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D:\Work\QIP\CEDS\Element Spredsheets\Create\v9\"/>
    </mc:Choice>
  </mc:AlternateContent>
  <xr:revisionPtr revIDLastSave="0" documentId="13_ncr:1_{5CC65D23-27C8-4B2A-84D6-18F36B7F2D68}" xr6:coauthVersionLast="46" xr6:coauthVersionMax="46" xr10:uidLastSave="{00000000-0000-0000-0000-000000000000}"/>
  <bookViews>
    <workbookView xWindow="-120" yWindow="-120" windowWidth="29040" windowHeight="15840" activeTab="3" xr2:uid="{00000000-000D-0000-FFFF-FFFF00000000}"/>
  </bookViews>
  <sheets>
    <sheet name="New" sheetId="11" r:id="rId1"/>
    <sheet name="Changed" sheetId="12" r:id="rId2"/>
    <sheet name="Removed" sheetId="13" r:id="rId3"/>
    <sheet name="All - By Name" sheetId="17" r:id="rId4"/>
    <sheet name="All - By Domain" sheetId="16" r:id="rId5"/>
  </sheets>
  <definedNames>
    <definedName name="_xlnm._FilterDatabase" localSheetId="4" hidden="1">'All - By Domain'!$A$1:$R$4</definedName>
    <definedName name="_xlnm._FilterDatabase" localSheetId="3" hidden="1">'All - By Name'!$A$1:$N$1</definedName>
    <definedName name="_xlnm._FilterDatabase" localSheetId="1" hidden="1">Changed!$A$1:$N$1</definedName>
    <definedName name="_xlnm._FilterDatabase" localSheetId="0" hidden="1">New!$A$1:$N$1</definedName>
    <definedName name="_xlnm._FilterDatabase" localSheetId="2" hidden="1">Removed!$A$1:$N$1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588" i="16" l="1"/>
  <c r="P4588" i="16"/>
  <c r="Q4587" i="16"/>
  <c r="P4587" i="16"/>
  <c r="Q4586" i="16"/>
  <c r="P4586" i="16"/>
  <c r="Q4585" i="16"/>
  <c r="P4585" i="16"/>
  <c r="Q4584" i="16"/>
  <c r="P4584" i="16"/>
  <c r="Q4581" i="16"/>
  <c r="P4581" i="16"/>
  <c r="Q4580" i="16"/>
  <c r="P4580" i="16"/>
  <c r="Q4579" i="16"/>
  <c r="P4579" i="16"/>
  <c r="Q4578" i="16"/>
  <c r="P4578" i="16"/>
  <c r="Q4577" i="16"/>
  <c r="P4577" i="16"/>
  <c r="Q4576" i="16"/>
  <c r="P4576" i="16"/>
  <c r="Q4575" i="16"/>
  <c r="P4575" i="16"/>
  <c r="Q4574" i="16"/>
  <c r="P4574" i="16"/>
  <c r="Q4573" i="16"/>
  <c r="P4573" i="16"/>
  <c r="Q4572" i="16"/>
  <c r="P4572" i="16"/>
  <c r="Q4571" i="16"/>
  <c r="P4571" i="16"/>
  <c r="Q4570" i="16"/>
  <c r="P4570" i="16"/>
  <c r="Q4569" i="16"/>
  <c r="P4569" i="16"/>
  <c r="Q4568" i="16"/>
  <c r="P4568" i="16"/>
  <c r="Q4567" i="16"/>
  <c r="P4567" i="16"/>
  <c r="Q4566" i="16"/>
  <c r="P4566" i="16"/>
  <c r="Q4565" i="16"/>
  <c r="P4565" i="16"/>
  <c r="Q4564" i="16"/>
  <c r="P4564" i="16"/>
  <c r="Q4563" i="16"/>
  <c r="P4563" i="16"/>
  <c r="Q4562" i="16"/>
  <c r="P4562" i="16"/>
  <c r="Q4561" i="16"/>
  <c r="P4561" i="16"/>
  <c r="Q4560" i="16"/>
  <c r="P4560" i="16"/>
  <c r="Q4559" i="16"/>
  <c r="P4559" i="16"/>
  <c r="Q4558" i="16"/>
  <c r="P4558" i="16"/>
  <c r="Q4557" i="16"/>
  <c r="P4557" i="16"/>
  <c r="Q4556" i="16"/>
  <c r="P4556" i="16"/>
  <c r="Q4555" i="16"/>
  <c r="P4555" i="16"/>
  <c r="Q4554" i="16"/>
  <c r="P4554" i="16"/>
  <c r="Q4553" i="16"/>
  <c r="P4553" i="16"/>
  <c r="Q4552" i="16"/>
  <c r="P4552" i="16"/>
  <c r="Q4551" i="16"/>
  <c r="P4551" i="16"/>
  <c r="Q4550" i="16"/>
  <c r="P4550" i="16"/>
  <c r="Q4549" i="16"/>
  <c r="P4549" i="16"/>
  <c r="Q4548" i="16"/>
  <c r="P4548" i="16"/>
  <c r="Q4547" i="16"/>
  <c r="P4547" i="16"/>
  <c r="Q4546" i="16"/>
  <c r="P4546" i="16"/>
  <c r="Q4545" i="16"/>
  <c r="P4545" i="16"/>
  <c r="Q4544" i="16"/>
  <c r="P4544" i="16"/>
  <c r="Q4543" i="16"/>
  <c r="P4543" i="16"/>
  <c r="Q4542" i="16"/>
  <c r="P4542" i="16"/>
  <c r="Q4541" i="16"/>
  <c r="P4541" i="16"/>
  <c r="Q4540" i="16"/>
  <c r="P4540" i="16"/>
  <c r="Q4539" i="16"/>
  <c r="P4539" i="16"/>
  <c r="Q4538" i="16"/>
  <c r="P4538" i="16"/>
  <c r="Q4537" i="16"/>
  <c r="P4537" i="16"/>
  <c r="Q4536" i="16"/>
  <c r="P4536" i="16"/>
  <c r="Q4535" i="16"/>
  <c r="P4535" i="16"/>
  <c r="Q4534" i="16"/>
  <c r="P4534" i="16"/>
  <c r="Q4533" i="16"/>
  <c r="P4533" i="16"/>
  <c r="Q4532" i="16"/>
  <c r="P4532" i="16"/>
  <c r="Q4531" i="16"/>
  <c r="P4531" i="16"/>
  <c r="Q4530" i="16"/>
  <c r="P4530" i="16"/>
  <c r="Q4529" i="16"/>
  <c r="P4529" i="16"/>
  <c r="Q4528" i="16"/>
  <c r="P4528" i="16"/>
  <c r="Q4527" i="16"/>
  <c r="P4527" i="16"/>
  <c r="Q4526" i="16"/>
  <c r="P4526" i="16"/>
  <c r="Q4525" i="16"/>
  <c r="P4525" i="16"/>
  <c r="Q4524" i="16"/>
  <c r="P4524" i="16"/>
  <c r="Q4523" i="16"/>
  <c r="P4523" i="16"/>
  <c r="Q4522" i="16"/>
  <c r="P4522" i="16"/>
  <c r="Q4521" i="16"/>
  <c r="P4521" i="16"/>
  <c r="Q4520" i="16"/>
  <c r="P4520" i="16"/>
  <c r="Q4519" i="16"/>
  <c r="P4519" i="16"/>
  <c r="Q4518" i="16"/>
  <c r="P4518" i="16"/>
  <c r="Q4517" i="16"/>
  <c r="P4517" i="16"/>
  <c r="Q4516" i="16"/>
  <c r="P4516" i="16"/>
  <c r="Q4515" i="16"/>
  <c r="P4515" i="16"/>
  <c r="Q4514" i="16"/>
  <c r="P4514" i="16"/>
  <c r="Q4513" i="16"/>
  <c r="P4513" i="16"/>
  <c r="Q4512" i="16"/>
  <c r="P4512" i="16"/>
  <c r="Q4511" i="16"/>
  <c r="P4511" i="16"/>
  <c r="Q4510" i="16"/>
  <c r="P4510" i="16"/>
  <c r="Q4509" i="16"/>
  <c r="P4509" i="16"/>
  <c r="Q4508" i="16"/>
  <c r="P4508" i="16"/>
  <c r="Q4507" i="16"/>
  <c r="P4507" i="16"/>
  <c r="Q4506" i="16"/>
  <c r="P4506" i="16"/>
  <c r="Q4505" i="16"/>
  <c r="P4505" i="16"/>
  <c r="Q4504" i="16"/>
  <c r="P4504" i="16"/>
  <c r="Q4503" i="16"/>
  <c r="P4503" i="16"/>
  <c r="Q4502" i="16"/>
  <c r="P4502" i="16"/>
  <c r="Q4501" i="16"/>
  <c r="P4501" i="16"/>
  <c r="Q4500" i="16"/>
  <c r="P4500" i="16"/>
  <c r="Q4499" i="16"/>
  <c r="P4499" i="16"/>
  <c r="Q4498" i="16"/>
  <c r="P4498" i="16"/>
  <c r="Q4497" i="16"/>
  <c r="P4497" i="16"/>
  <c r="Q4496" i="16"/>
  <c r="P4496" i="16"/>
  <c r="Q4495" i="16"/>
  <c r="P4495" i="16"/>
  <c r="Q4494" i="16"/>
  <c r="P4494" i="16"/>
  <c r="Q4493" i="16"/>
  <c r="P4493" i="16"/>
  <c r="Q4492" i="16"/>
  <c r="P4492" i="16"/>
  <c r="Q4491" i="16"/>
  <c r="P4491" i="16"/>
  <c r="Q4490" i="16"/>
  <c r="P4490" i="16"/>
  <c r="Q4489" i="16"/>
  <c r="P4489" i="16"/>
  <c r="Q4488" i="16"/>
  <c r="P4488" i="16"/>
  <c r="Q4487" i="16"/>
  <c r="P4487" i="16"/>
  <c r="Q4486" i="16"/>
  <c r="P4486" i="16"/>
  <c r="Q4485" i="16"/>
  <c r="P4485" i="16"/>
  <c r="Q4484" i="16"/>
  <c r="P4484" i="16"/>
  <c r="Q4483" i="16"/>
  <c r="P4483" i="16"/>
  <c r="Q4482" i="16"/>
  <c r="P4482" i="16"/>
  <c r="Q4481" i="16"/>
  <c r="P4481" i="16"/>
  <c r="Q4480" i="16"/>
  <c r="P4480" i="16"/>
  <c r="Q4479" i="16"/>
  <c r="P4479" i="16"/>
  <c r="Q4478" i="16"/>
  <c r="P4478" i="16"/>
  <c r="Q4477" i="16"/>
  <c r="P4477" i="16"/>
  <c r="Q4476" i="16"/>
  <c r="P4476" i="16"/>
  <c r="Q4475" i="16"/>
  <c r="P4475" i="16"/>
  <c r="Q4474" i="16"/>
  <c r="P4474" i="16"/>
  <c r="Q4473" i="16"/>
  <c r="P4473" i="16"/>
  <c r="Q4472" i="16"/>
  <c r="P4472" i="16"/>
  <c r="Q4471" i="16"/>
  <c r="P4471" i="16"/>
  <c r="Q4470" i="16"/>
  <c r="P4470" i="16"/>
  <c r="Q4469" i="16"/>
  <c r="P4469" i="16"/>
  <c r="Q4468" i="16"/>
  <c r="P4468" i="16"/>
  <c r="Q4467" i="16"/>
  <c r="P4467" i="16"/>
  <c r="Q4466" i="16"/>
  <c r="P4466" i="16"/>
  <c r="Q4465" i="16"/>
  <c r="P4465" i="16"/>
  <c r="Q4464" i="16"/>
  <c r="P4464" i="16"/>
  <c r="Q4463" i="16"/>
  <c r="P4463" i="16"/>
  <c r="Q4462" i="16"/>
  <c r="P4462" i="16"/>
  <c r="Q4461" i="16"/>
  <c r="P4461" i="16"/>
  <c r="Q4460" i="16"/>
  <c r="P4460" i="16"/>
  <c r="Q4459" i="16"/>
  <c r="P4459" i="16"/>
  <c r="Q4458" i="16"/>
  <c r="P4458" i="16"/>
  <c r="Q4457" i="16"/>
  <c r="P4457" i="16"/>
  <c r="Q4456" i="16"/>
  <c r="P4456" i="16"/>
  <c r="Q4455" i="16"/>
  <c r="P4455" i="16"/>
  <c r="Q4454" i="16"/>
  <c r="P4454" i="16"/>
  <c r="Q4453" i="16"/>
  <c r="P4453" i="16"/>
  <c r="Q4452" i="16"/>
  <c r="P4452" i="16"/>
  <c r="Q4451" i="16"/>
  <c r="P4451" i="16"/>
  <c r="Q4450" i="16"/>
  <c r="P4450" i="16"/>
  <c r="Q4449" i="16"/>
  <c r="P4449" i="16"/>
  <c r="Q4448" i="16"/>
  <c r="P4448" i="16"/>
  <c r="Q4447" i="16"/>
  <c r="P4447" i="16"/>
  <c r="Q4446" i="16"/>
  <c r="P4446" i="16"/>
  <c r="Q4445" i="16"/>
  <c r="P4445" i="16"/>
  <c r="Q4444" i="16"/>
  <c r="P4444" i="16"/>
  <c r="Q4443" i="16"/>
  <c r="P4443" i="16"/>
  <c r="Q4442" i="16"/>
  <c r="P4442" i="16"/>
  <c r="Q4441" i="16"/>
  <c r="P4441" i="16"/>
  <c r="Q4440" i="16"/>
  <c r="P4440" i="16"/>
  <c r="Q4439" i="16"/>
  <c r="P4439" i="16"/>
  <c r="Q4438" i="16"/>
  <c r="P4438" i="16"/>
  <c r="Q4437" i="16"/>
  <c r="P4437" i="16"/>
  <c r="Q4436" i="16"/>
  <c r="P4436" i="16"/>
  <c r="Q4435" i="16"/>
  <c r="P4435" i="16"/>
  <c r="Q4434" i="16"/>
  <c r="P4434" i="16"/>
  <c r="Q4433" i="16"/>
  <c r="P4433" i="16"/>
  <c r="Q4432" i="16"/>
  <c r="P4432" i="16"/>
  <c r="Q4431" i="16"/>
  <c r="P4431" i="16"/>
  <c r="Q4430" i="16"/>
  <c r="P4430" i="16"/>
  <c r="Q4429" i="16"/>
  <c r="P4429" i="16"/>
  <c r="Q4428" i="16"/>
  <c r="P4428" i="16"/>
  <c r="Q4427" i="16"/>
  <c r="P4427" i="16"/>
  <c r="Q4426" i="16"/>
  <c r="P4426" i="16"/>
  <c r="Q4425" i="16"/>
  <c r="P4425" i="16"/>
  <c r="Q4424" i="16"/>
  <c r="P4424" i="16"/>
  <c r="Q4423" i="16"/>
  <c r="P4423" i="16"/>
  <c r="Q4422" i="16"/>
  <c r="P4422" i="16"/>
  <c r="Q4421" i="16"/>
  <c r="P4421" i="16"/>
  <c r="Q4420" i="16"/>
  <c r="P4420" i="16"/>
  <c r="Q4419" i="16"/>
  <c r="P4419" i="16"/>
  <c r="Q4418" i="16"/>
  <c r="P4418" i="16"/>
  <c r="Q4415" i="16"/>
  <c r="P4415" i="16"/>
  <c r="Q4414" i="16"/>
  <c r="P4414" i="16"/>
  <c r="Q4411" i="16"/>
  <c r="P4411" i="16"/>
  <c r="Q4410" i="16"/>
  <c r="P4410" i="16"/>
  <c r="Q4409" i="16"/>
  <c r="P4409" i="16"/>
  <c r="Q4408" i="16"/>
  <c r="P4408" i="16"/>
  <c r="Q4407" i="16"/>
  <c r="P4407" i="16"/>
  <c r="Q4406" i="16"/>
  <c r="P4406" i="16"/>
  <c r="Q4405" i="16"/>
  <c r="P4405" i="16"/>
  <c r="Q4404" i="16"/>
  <c r="P4404" i="16"/>
  <c r="Q4403" i="16"/>
  <c r="P4403" i="16"/>
  <c r="Q4399" i="16"/>
  <c r="P4399" i="16"/>
  <c r="Q4398" i="16"/>
  <c r="P4398" i="16"/>
  <c r="Q4397" i="16"/>
  <c r="P4397" i="16"/>
  <c r="Q4396" i="16"/>
  <c r="P4396" i="16"/>
  <c r="Q4395" i="16"/>
  <c r="P4395" i="16"/>
  <c r="Q4394" i="16"/>
  <c r="P4394" i="16"/>
  <c r="Q4393" i="16"/>
  <c r="P4393" i="16"/>
  <c r="Q4392" i="16"/>
  <c r="P4392" i="16"/>
  <c r="Q4391" i="16"/>
  <c r="P4391" i="16"/>
  <c r="Q4390" i="16"/>
  <c r="P4390" i="16"/>
  <c r="Q4389" i="16"/>
  <c r="P4389" i="16"/>
  <c r="Q4388" i="16"/>
  <c r="P4388" i="16"/>
  <c r="Q4387" i="16"/>
  <c r="P4387" i="16"/>
  <c r="Q4386" i="16"/>
  <c r="P4386" i="16"/>
  <c r="Q4385" i="16"/>
  <c r="P4385" i="16"/>
  <c r="Q4384" i="16"/>
  <c r="P4384" i="16"/>
  <c r="Q4383" i="16"/>
  <c r="P4383" i="16"/>
  <c r="Q4382" i="16"/>
  <c r="P4382" i="16"/>
  <c r="Q4381" i="16"/>
  <c r="P4381" i="16"/>
  <c r="Q4380" i="16"/>
  <c r="P4380" i="16"/>
  <c r="Q4378" i="16"/>
  <c r="P4378" i="16"/>
  <c r="Q4377" i="16"/>
  <c r="P4377" i="16"/>
  <c r="Q4376" i="16"/>
  <c r="P4376" i="16"/>
  <c r="Q4375" i="16"/>
  <c r="P4375" i="16"/>
  <c r="Q4374" i="16"/>
  <c r="P4374" i="16"/>
  <c r="Q4373" i="16"/>
  <c r="P4373" i="16"/>
  <c r="Q4372" i="16"/>
  <c r="P4372" i="16"/>
  <c r="Q4371" i="16"/>
  <c r="P4371" i="16"/>
  <c r="Q4370" i="16"/>
  <c r="P4370" i="16"/>
  <c r="Q4369" i="16"/>
  <c r="P4369" i="16"/>
  <c r="Q4368" i="16"/>
  <c r="P4368" i="16"/>
  <c r="Q4367" i="16"/>
  <c r="P4367" i="16"/>
  <c r="Q4366" i="16"/>
  <c r="P4366" i="16"/>
  <c r="Q4365" i="16"/>
  <c r="P4365" i="16"/>
  <c r="Q4364" i="16"/>
  <c r="P4364" i="16"/>
  <c r="Q4363" i="16"/>
  <c r="P4363" i="16"/>
  <c r="Q4362" i="16"/>
  <c r="P4362" i="16"/>
  <c r="Q4361" i="16"/>
  <c r="P4361" i="16"/>
  <c r="Q4360" i="16"/>
  <c r="P4360" i="16"/>
  <c r="Q4359" i="16"/>
  <c r="P4359" i="16"/>
  <c r="Q4358" i="16"/>
  <c r="P4358" i="16"/>
  <c r="Q4357" i="16"/>
  <c r="P4357" i="16"/>
  <c r="Q4356" i="16"/>
  <c r="P4356" i="16"/>
  <c r="Q4355" i="16"/>
  <c r="P4355" i="16"/>
  <c r="Q4354" i="16"/>
  <c r="P4354" i="16"/>
  <c r="Q4353" i="16"/>
  <c r="P4353" i="16"/>
  <c r="Q4352" i="16"/>
  <c r="P4352" i="16"/>
  <c r="Q4351" i="16"/>
  <c r="P4351" i="16"/>
  <c r="Q4350" i="16"/>
  <c r="P4350" i="16"/>
  <c r="Q4349" i="16"/>
  <c r="P4349" i="16"/>
  <c r="Q4348" i="16"/>
  <c r="P4348" i="16"/>
  <c r="Q4347" i="16"/>
  <c r="P4347" i="16"/>
  <c r="Q4346" i="16"/>
  <c r="P4346" i="16"/>
  <c r="Q4345" i="16"/>
  <c r="P4345" i="16"/>
  <c r="Q4344" i="16"/>
  <c r="P4344" i="16"/>
  <c r="Q4343" i="16"/>
  <c r="P4343" i="16"/>
  <c r="Q4342" i="16"/>
  <c r="P4342" i="16"/>
  <c r="Q4341" i="16"/>
  <c r="P4341" i="16"/>
  <c r="Q4337" i="16"/>
  <c r="P4337" i="16"/>
  <c r="Q4336" i="16"/>
  <c r="P4336" i="16"/>
  <c r="Q4335" i="16"/>
  <c r="P4335" i="16"/>
  <c r="Q4334" i="16"/>
  <c r="P4334" i="16"/>
  <c r="Q4333" i="16"/>
  <c r="P4333" i="16"/>
  <c r="Q4332" i="16"/>
  <c r="P4332" i="16"/>
  <c r="Q4331" i="16"/>
  <c r="P4331" i="16"/>
  <c r="Q4330" i="16"/>
  <c r="P4330" i="16"/>
  <c r="Q4329" i="16"/>
  <c r="P4329" i="16"/>
  <c r="Q4328" i="16"/>
  <c r="P4328" i="16"/>
  <c r="Q4327" i="16"/>
  <c r="P4327" i="16"/>
  <c r="Q4326" i="16"/>
  <c r="P4326" i="16"/>
  <c r="Q4325" i="16"/>
  <c r="P4325" i="16"/>
  <c r="Q4324" i="16"/>
  <c r="P4324" i="16"/>
  <c r="Q4323" i="16"/>
  <c r="P4323" i="16"/>
  <c r="Q4322" i="16"/>
  <c r="P4322" i="16"/>
  <c r="Q4321" i="16"/>
  <c r="P4321" i="16"/>
  <c r="Q4320" i="16"/>
  <c r="P4320" i="16"/>
  <c r="Q4319" i="16"/>
  <c r="P4319" i="16"/>
  <c r="Q4318" i="16"/>
  <c r="P4318" i="16"/>
  <c r="Q4317" i="16"/>
  <c r="P4317" i="16"/>
  <c r="Q4316" i="16"/>
  <c r="P4316" i="16"/>
  <c r="Q4315" i="16"/>
  <c r="P4315" i="16"/>
  <c r="Q4314" i="16"/>
  <c r="P4314" i="16"/>
  <c r="Q4313" i="16"/>
  <c r="P4313" i="16"/>
  <c r="Q4306" i="16"/>
  <c r="P4306" i="16"/>
  <c r="Q4305" i="16"/>
  <c r="P4305" i="16"/>
  <c r="Q4304" i="16"/>
  <c r="P4304" i="16"/>
  <c r="Q4303" i="16"/>
  <c r="P4303" i="16"/>
  <c r="Q4302" i="16"/>
  <c r="P4302" i="16"/>
  <c r="Q4299" i="16"/>
  <c r="P4299" i="16"/>
  <c r="Q4298" i="16"/>
  <c r="P4298" i="16"/>
  <c r="Q4297" i="16"/>
  <c r="P4297" i="16"/>
  <c r="Q4296" i="16"/>
  <c r="P4296" i="16"/>
  <c r="Q4295" i="16"/>
  <c r="P4295" i="16"/>
  <c r="Q4292" i="16"/>
  <c r="P4292" i="16"/>
  <c r="Q4291" i="16"/>
  <c r="P4291" i="16"/>
  <c r="Q4290" i="16"/>
  <c r="P4290" i="16"/>
  <c r="Q4289" i="16"/>
  <c r="P4289" i="16"/>
  <c r="Q4288" i="16"/>
  <c r="P4288" i="16"/>
  <c r="Q4287" i="16"/>
  <c r="P4287" i="16"/>
  <c r="Q4286" i="16"/>
  <c r="P4286" i="16"/>
  <c r="Q4285" i="16"/>
  <c r="P4285" i="16"/>
  <c r="Q4284" i="16"/>
  <c r="P4284" i="16"/>
  <c r="Q4283" i="16"/>
  <c r="P4283" i="16"/>
  <c r="Q4282" i="16"/>
  <c r="P4282" i="16"/>
  <c r="Q4281" i="16"/>
  <c r="P4281" i="16"/>
  <c r="Q4280" i="16"/>
  <c r="P4280" i="16"/>
  <c r="Q4279" i="16"/>
  <c r="P4279" i="16"/>
  <c r="Q4278" i="16"/>
  <c r="P4278" i="16"/>
  <c r="Q4277" i="16"/>
  <c r="P4277" i="16"/>
  <c r="Q4276" i="16"/>
  <c r="P4276" i="16"/>
  <c r="Q4275" i="16"/>
  <c r="P4275" i="16"/>
  <c r="Q4274" i="16"/>
  <c r="P4274" i="16"/>
  <c r="Q4273" i="16"/>
  <c r="P4273" i="16"/>
  <c r="Q4270" i="16"/>
  <c r="P4270" i="16"/>
  <c r="Q4269" i="16"/>
  <c r="P4269" i="16"/>
  <c r="Q4268" i="16"/>
  <c r="P4268" i="16"/>
  <c r="Q4267" i="16"/>
  <c r="P4267" i="16"/>
  <c r="Q4266" i="16"/>
  <c r="P4266" i="16"/>
  <c r="Q4265" i="16"/>
  <c r="P4265" i="16"/>
  <c r="Q4264" i="16"/>
  <c r="P4264" i="16"/>
  <c r="Q4263" i="16"/>
  <c r="P4263" i="16"/>
  <c r="Q4262" i="16"/>
  <c r="P4262" i="16"/>
  <c r="Q4261" i="16"/>
  <c r="P4261" i="16"/>
  <c r="Q4260" i="16"/>
  <c r="P4260" i="16"/>
  <c r="Q4259" i="16"/>
  <c r="P4259" i="16"/>
  <c r="Q4258" i="16"/>
  <c r="P4258" i="16"/>
  <c r="Q4257" i="16"/>
  <c r="P4257" i="16"/>
  <c r="Q4256" i="16"/>
  <c r="P4256" i="16"/>
  <c r="Q4255" i="16"/>
  <c r="P4255" i="16"/>
  <c r="Q4254" i="16"/>
  <c r="P4254" i="16"/>
  <c r="Q4253" i="16"/>
  <c r="P4253" i="16"/>
  <c r="Q4252" i="16"/>
  <c r="P4252" i="16"/>
  <c r="Q4251" i="16"/>
  <c r="P4251" i="16"/>
  <c r="Q4250" i="16"/>
  <c r="P4250" i="16"/>
  <c r="Q4249" i="16"/>
  <c r="P4249" i="16"/>
  <c r="Q4248" i="16"/>
  <c r="P4248" i="16"/>
  <c r="Q4247" i="16"/>
  <c r="P4247" i="16"/>
  <c r="Q4246" i="16"/>
  <c r="P4246" i="16"/>
  <c r="Q4245" i="16"/>
  <c r="P4245" i="16"/>
  <c r="Q4244" i="16"/>
  <c r="P4244" i="16"/>
  <c r="Q4243" i="16"/>
  <c r="P4243" i="16"/>
  <c r="Q4242" i="16"/>
  <c r="P4242" i="16"/>
  <c r="Q4241" i="16"/>
  <c r="P4241" i="16"/>
  <c r="Q4240" i="16"/>
  <c r="P4240" i="16"/>
  <c r="Q4239" i="16"/>
  <c r="P4239" i="16"/>
  <c r="Q4238" i="16"/>
  <c r="P4238" i="16"/>
  <c r="Q4237" i="16"/>
  <c r="P4237" i="16"/>
  <c r="Q4236" i="16"/>
  <c r="P4236" i="16"/>
  <c r="Q4235" i="16"/>
  <c r="P4235" i="16"/>
  <c r="Q4234" i="16"/>
  <c r="P4234" i="16"/>
  <c r="Q4233" i="16"/>
  <c r="P4233" i="16"/>
  <c r="Q4230" i="16"/>
  <c r="P4230" i="16"/>
  <c r="Q4229" i="16"/>
  <c r="P4229" i="16"/>
  <c r="Q4226" i="16"/>
  <c r="P4226" i="16"/>
  <c r="Q4225" i="16"/>
  <c r="P4225" i="16"/>
  <c r="Q4224" i="16"/>
  <c r="P4224" i="16"/>
  <c r="Q4221" i="16"/>
  <c r="P4221" i="16"/>
  <c r="Q4220" i="16"/>
  <c r="P4220" i="16"/>
  <c r="Q4217" i="16"/>
  <c r="P4217" i="16"/>
  <c r="Q4216" i="16"/>
  <c r="P4216" i="16"/>
  <c r="Q4215" i="16"/>
  <c r="P4215" i="16"/>
  <c r="Q4214" i="16"/>
  <c r="P4214" i="16"/>
  <c r="Q4213" i="16"/>
  <c r="P4213" i="16"/>
  <c r="Q4212" i="16"/>
  <c r="P4212" i="16"/>
  <c r="Q4211" i="16"/>
  <c r="P4211" i="16"/>
  <c r="Q4210" i="16"/>
  <c r="P4210" i="16"/>
  <c r="Q4209" i="16"/>
  <c r="P4209" i="16"/>
  <c r="Q4208" i="16"/>
  <c r="P4208" i="16"/>
  <c r="Q4207" i="16"/>
  <c r="P4207" i="16"/>
  <c r="Q4206" i="16"/>
  <c r="P4206" i="16"/>
  <c r="Q4205" i="16"/>
  <c r="P4205" i="16"/>
  <c r="Q4204" i="16"/>
  <c r="P4204" i="16"/>
  <c r="Q4203" i="16"/>
  <c r="P4203" i="16"/>
  <c r="Q4202" i="16"/>
  <c r="P4202" i="16"/>
  <c r="Q4201" i="16"/>
  <c r="P4201" i="16"/>
  <c r="Q4200" i="16"/>
  <c r="P4200" i="16"/>
  <c r="Q4197" i="16"/>
  <c r="P4197" i="16"/>
  <c r="Q4196" i="16"/>
  <c r="P4196" i="16"/>
  <c r="Q4195" i="16"/>
  <c r="P4195" i="16"/>
  <c r="Q4194" i="16"/>
  <c r="P4194" i="16"/>
  <c r="Q4193" i="16"/>
  <c r="P4193" i="16"/>
  <c r="Q4192" i="16"/>
  <c r="P4192" i="16"/>
  <c r="Q4191" i="16"/>
  <c r="P4191" i="16"/>
  <c r="Q4190" i="16"/>
  <c r="P4190" i="16"/>
  <c r="Q4189" i="16"/>
  <c r="P4189" i="16"/>
  <c r="Q4188" i="16"/>
  <c r="P4188" i="16"/>
  <c r="Q4187" i="16"/>
  <c r="P4187" i="16"/>
  <c r="Q4186" i="16"/>
  <c r="P4186" i="16"/>
  <c r="Q4185" i="16"/>
  <c r="P4185" i="16"/>
  <c r="Q4184" i="16"/>
  <c r="P4184" i="16"/>
  <c r="Q4183" i="16"/>
  <c r="P4183" i="16"/>
  <c r="Q4182" i="16"/>
  <c r="P4182" i="16"/>
  <c r="Q4181" i="16"/>
  <c r="P4181" i="16"/>
  <c r="Q4178" i="16"/>
  <c r="P4178" i="16"/>
  <c r="Q4177" i="16"/>
  <c r="P4177" i="16"/>
  <c r="Q4176" i="16"/>
  <c r="P4176" i="16"/>
  <c r="Q4175" i="16"/>
  <c r="P4175" i="16"/>
  <c r="Q4174" i="16"/>
  <c r="P4174" i="16"/>
  <c r="Q4173" i="16"/>
  <c r="P4173" i="16"/>
  <c r="Q4170" i="16"/>
  <c r="P4170" i="16"/>
  <c r="Q4169" i="16"/>
  <c r="P4169" i="16"/>
  <c r="Q4168" i="16"/>
  <c r="P4168" i="16"/>
  <c r="Q4167" i="16"/>
  <c r="P4167" i="16"/>
  <c r="Q4166" i="16"/>
  <c r="P4166" i="16"/>
  <c r="Q4161" i="16"/>
  <c r="P4161" i="16"/>
  <c r="Q4158" i="16"/>
  <c r="P4158" i="16"/>
  <c r="Q4157" i="16"/>
  <c r="P4157" i="16"/>
  <c r="Q4156" i="16"/>
  <c r="P4156" i="16"/>
  <c r="Q4155" i="16"/>
  <c r="P4155" i="16"/>
  <c r="Q4154" i="16"/>
  <c r="P4154" i="16"/>
  <c r="Q4153" i="16"/>
  <c r="P4153" i="16"/>
  <c r="Q4152" i="16"/>
  <c r="P4152" i="16"/>
  <c r="Q4149" i="16"/>
  <c r="P4149" i="16"/>
  <c r="Q4148" i="16"/>
  <c r="P4148" i="16"/>
  <c r="Q4145" i="16"/>
  <c r="P4145" i="16"/>
  <c r="Q4144" i="16"/>
  <c r="P4144" i="16"/>
  <c r="Q4143" i="16"/>
  <c r="P4143" i="16"/>
  <c r="Q4142" i="16"/>
  <c r="P4142" i="16"/>
  <c r="Q4141" i="16"/>
  <c r="P4141" i="16"/>
  <c r="Q4140" i="16"/>
  <c r="P4140" i="16"/>
  <c r="Q4139" i="16"/>
  <c r="P4139" i="16"/>
  <c r="Q4136" i="16"/>
  <c r="P4136" i="16"/>
  <c r="Q4135" i="16"/>
  <c r="P4135" i="16"/>
  <c r="Q4132" i="16"/>
  <c r="P4132" i="16"/>
  <c r="Q4131" i="16"/>
  <c r="P4131" i="16"/>
  <c r="Q4130" i="16"/>
  <c r="P4130" i="16"/>
  <c r="Q4129" i="16"/>
  <c r="P4129" i="16"/>
  <c r="Q4128" i="16"/>
  <c r="P4128" i="16"/>
  <c r="Q4127" i="16"/>
  <c r="P4127" i="16"/>
  <c r="Q4126" i="16"/>
  <c r="P4126" i="16"/>
  <c r="Q4125" i="16"/>
  <c r="P4125" i="16"/>
  <c r="Q4124" i="16"/>
  <c r="P4124" i="16"/>
  <c r="Q4121" i="16"/>
  <c r="P4121" i="16"/>
  <c r="Q4120" i="16"/>
  <c r="P4120" i="16"/>
  <c r="Q4119" i="16"/>
  <c r="P4119" i="16"/>
  <c r="Q4118" i="16"/>
  <c r="P4118" i="16"/>
  <c r="Q4117" i="16"/>
  <c r="P4117" i="16"/>
  <c r="Q4116" i="16"/>
  <c r="P4116" i="16"/>
  <c r="Q4115" i="16"/>
  <c r="P4115" i="16"/>
  <c r="Q4114" i="16"/>
  <c r="P4114" i="16"/>
  <c r="Q4113" i="16"/>
  <c r="P4113" i="16"/>
  <c r="Q4112" i="16"/>
  <c r="P4112" i="16"/>
  <c r="Q4111" i="16"/>
  <c r="P4111" i="16"/>
  <c r="Q4110" i="16"/>
  <c r="P4110" i="16"/>
  <c r="Q4109" i="16"/>
  <c r="P4109" i="16"/>
  <c r="Q4108" i="16"/>
  <c r="P4108" i="16"/>
  <c r="Q4107" i="16"/>
  <c r="P4107" i="16"/>
  <c r="Q4106" i="16"/>
  <c r="P4106" i="16"/>
  <c r="Q4105" i="16"/>
  <c r="P4105" i="16"/>
  <c r="Q4104" i="16"/>
  <c r="P4104" i="16"/>
  <c r="Q4103" i="16"/>
  <c r="P4103" i="16"/>
  <c r="Q4102" i="16"/>
  <c r="P4102" i="16"/>
  <c r="Q4101" i="16"/>
  <c r="P4101" i="16"/>
  <c r="Q4100" i="16"/>
  <c r="P4100" i="16"/>
  <c r="Q4099" i="16"/>
  <c r="P4099" i="16"/>
  <c r="Q4098" i="16"/>
  <c r="P4098" i="16"/>
  <c r="Q4097" i="16"/>
  <c r="P4097" i="16"/>
  <c r="Q4096" i="16"/>
  <c r="P4096" i="16"/>
  <c r="Q4095" i="16"/>
  <c r="P4095" i="16"/>
  <c r="Q4094" i="16"/>
  <c r="P4094" i="16"/>
  <c r="Q4093" i="16"/>
  <c r="P4093" i="16"/>
  <c r="Q4092" i="16"/>
  <c r="P4092" i="16"/>
  <c r="Q4091" i="16"/>
  <c r="P4091" i="16"/>
  <c r="Q4090" i="16"/>
  <c r="P4090" i="16"/>
  <c r="Q4089" i="16"/>
  <c r="P4089" i="16"/>
  <c r="Q4088" i="16"/>
  <c r="P4088" i="16"/>
  <c r="Q4087" i="16"/>
  <c r="P4087" i="16"/>
  <c r="Q4086" i="16"/>
  <c r="P4086" i="16"/>
  <c r="Q4085" i="16"/>
  <c r="P4085" i="16"/>
  <c r="Q4084" i="16"/>
  <c r="P4084" i="16"/>
  <c r="Q4083" i="16"/>
  <c r="P4083" i="16"/>
  <c r="Q4082" i="16"/>
  <c r="P4082" i="16"/>
  <c r="Q4081" i="16"/>
  <c r="P4081" i="16"/>
  <c r="Q4080" i="16"/>
  <c r="P4080" i="16"/>
  <c r="Q4079" i="16"/>
  <c r="P4079" i="16"/>
  <c r="Q4078" i="16"/>
  <c r="P4078" i="16"/>
  <c r="Q4077" i="16"/>
  <c r="P4077" i="16"/>
  <c r="Q4076" i="16"/>
  <c r="P4076" i="16"/>
  <c r="Q4075" i="16"/>
  <c r="P4075" i="16"/>
  <c r="Q4074" i="16"/>
  <c r="P4074" i="16"/>
  <c r="Q4073" i="16"/>
  <c r="P4073" i="16"/>
  <c r="Q4072" i="16"/>
  <c r="P4072" i="16"/>
  <c r="Q4067" i="16"/>
  <c r="P4067" i="16"/>
  <c r="Q4066" i="16"/>
  <c r="P4066" i="16"/>
  <c r="Q4065" i="16"/>
  <c r="P4065" i="16"/>
  <c r="Q4062" i="16"/>
  <c r="P4062" i="16"/>
  <c r="Q4061" i="16"/>
  <c r="P4061" i="16"/>
  <c r="Q4058" i="16"/>
  <c r="P4058" i="16"/>
  <c r="Q4057" i="16"/>
  <c r="P4057" i="16"/>
  <c r="Q4054" i="16"/>
  <c r="P4054" i="16"/>
  <c r="Q4053" i="16"/>
  <c r="P4053" i="16"/>
  <c r="Q4052" i="16"/>
  <c r="P4052" i="16"/>
  <c r="Q4047" i="16"/>
  <c r="P4047" i="16"/>
  <c r="Q4046" i="16"/>
  <c r="P4046" i="16"/>
  <c r="Q4045" i="16"/>
  <c r="P4045" i="16"/>
  <c r="Q4044" i="16"/>
  <c r="P4044" i="16"/>
  <c r="Q4043" i="16"/>
  <c r="P4043" i="16"/>
  <c r="Q4042" i="16"/>
  <c r="P4042" i="16"/>
  <c r="Q4041" i="16"/>
  <c r="P4041" i="16"/>
  <c r="Q4040" i="16"/>
  <c r="P4040" i="16"/>
  <c r="Q4039" i="16"/>
  <c r="P4039" i="16"/>
  <c r="Q4038" i="16"/>
  <c r="P4038" i="16"/>
  <c r="Q4035" i="16"/>
  <c r="P4035" i="16"/>
  <c r="Q4034" i="16"/>
  <c r="P4034" i="16"/>
  <c r="Q4031" i="16"/>
  <c r="P4031" i="16"/>
  <c r="Q4029" i="16"/>
  <c r="P4029" i="16"/>
  <c r="Q4028" i="16"/>
  <c r="P4028" i="16"/>
  <c r="Q4027" i="16"/>
  <c r="P4027" i="16"/>
  <c r="Q4026" i="16"/>
  <c r="P4026" i="16"/>
  <c r="Q4025" i="16"/>
  <c r="P4025" i="16"/>
  <c r="Q4024" i="16"/>
  <c r="P4024" i="16"/>
  <c r="Q4023" i="16"/>
  <c r="P4023" i="16"/>
  <c r="Q4022" i="16"/>
  <c r="P4022" i="16"/>
  <c r="Q4021" i="16"/>
  <c r="P4021" i="16"/>
  <c r="Q4020" i="16"/>
  <c r="P4020" i="16"/>
  <c r="Q4019" i="16"/>
  <c r="P4019" i="16"/>
  <c r="Q4018" i="16"/>
  <c r="P4018" i="16"/>
  <c r="Q4017" i="16"/>
  <c r="P4017" i="16"/>
  <c r="Q4016" i="16"/>
  <c r="P4016" i="16"/>
  <c r="Q4015" i="16"/>
  <c r="P4015" i="16"/>
  <c r="Q4014" i="16"/>
  <c r="P4014" i="16"/>
  <c r="Q4013" i="16"/>
  <c r="P4013" i="16"/>
  <c r="Q4012" i="16"/>
  <c r="P4012" i="16"/>
  <c r="Q4011" i="16"/>
  <c r="P4011" i="16"/>
  <c r="Q4010" i="16"/>
  <c r="P4010" i="16"/>
  <c r="Q4009" i="16"/>
  <c r="P4009" i="16"/>
  <c r="Q4008" i="16"/>
  <c r="P4008" i="16"/>
  <c r="Q4007" i="16"/>
  <c r="P4007" i="16"/>
  <c r="Q4004" i="16"/>
  <c r="P4004" i="16"/>
  <c r="Q4003" i="16"/>
  <c r="P4003" i="16"/>
  <c r="Q4002" i="16"/>
  <c r="P4002" i="16"/>
  <c r="Q4001" i="16"/>
  <c r="P4001" i="16"/>
  <c r="Q4000" i="16"/>
  <c r="P4000" i="16"/>
  <c r="Q3999" i="16"/>
  <c r="P3999" i="16"/>
  <c r="Q3998" i="16"/>
  <c r="P3998" i="16"/>
  <c r="Q3997" i="16"/>
  <c r="P3997" i="16"/>
  <c r="Q3996" i="16"/>
  <c r="P3996" i="16"/>
  <c r="Q3995" i="16"/>
  <c r="P3995" i="16"/>
  <c r="Q3994" i="16"/>
  <c r="P3994" i="16"/>
  <c r="Q3993" i="16"/>
  <c r="P3993" i="16"/>
  <c r="Q3986" i="16"/>
  <c r="P3986" i="16"/>
  <c r="Q3985" i="16"/>
  <c r="P3985" i="16"/>
  <c r="Q3984" i="16"/>
  <c r="P3984" i="16"/>
  <c r="Q3983" i="16"/>
  <c r="P3983" i="16"/>
  <c r="Q3982" i="16"/>
  <c r="P3982" i="16"/>
  <c r="Q3981" i="16"/>
  <c r="P3981" i="16"/>
  <c r="Q3980" i="16"/>
  <c r="P3980" i="16"/>
  <c r="Q3977" i="16"/>
  <c r="P3977" i="16"/>
  <c r="Q3976" i="16"/>
  <c r="P3976" i="16"/>
  <c r="Q3975" i="16"/>
  <c r="P3975" i="16"/>
  <c r="Q3974" i="16"/>
  <c r="P3974" i="16"/>
  <c r="Q3973" i="16"/>
  <c r="P3973" i="16"/>
  <c r="Q3972" i="16"/>
  <c r="P3972" i="16"/>
  <c r="Q3971" i="16"/>
  <c r="P3971" i="16"/>
  <c r="Q3970" i="16"/>
  <c r="P3970" i="16"/>
  <c r="Q3969" i="16"/>
  <c r="P3969" i="16"/>
  <c r="Q3968" i="16"/>
  <c r="P3968" i="16"/>
  <c r="Q3967" i="16"/>
  <c r="P3967" i="16"/>
  <c r="Q3966" i="16"/>
  <c r="P3966" i="16"/>
  <c r="Q3965" i="16"/>
  <c r="P3965" i="16"/>
  <c r="Q3964" i="16"/>
  <c r="P3964" i="16"/>
  <c r="Q3961" i="16"/>
  <c r="P3961" i="16"/>
  <c r="Q3960" i="16"/>
  <c r="P3960" i="16"/>
  <c r="Q3959" i="16"/>
  <c r="P3959" i="16"/>
  <c r="Q3958" i="16"/>
  <c r="P3958" i="16"/>
  <c r="Q3957" i="16"/>
  <c r="P3957" i="16"/>
  <c r="Q3956" i="16"/>
  <c r="P3956" i="16"/>
  <c r="Q3955" i="16"/>
  <c r="P3955" i="16"/>
  <c r="Q3954" i="16"/>
  <c r="P3954" i="16"/>
  <c r="Q3953" i="16"/>
  <c r="P3953" i="16"/>
  <c r="Q3952" i="16"/>
  <c r="P3952" i="16"/>
  <c r="Q3951" i="16"/>
  <c r="P3951" i="16"/>
  <c r="Q3950" i="16"/>
  <c r="P3950" i="16"/>
  <c r="Q3949" i="16"/>
  <c r="P3949" i="16"/>
  <c r="Q3948" i="16"/>
  <c r="P3948" i="16"/>
  <c r="Q3947" i="16"/>
  <c r="P3947" i="16"/>
  <c r="Q3944" i="16"/>
  <c r="P3944" i="16"/>
  <c r="Q3943" i="16"/>
  <c r="P3943" i="16"/>
  <c r="Q3942" i="16"/>
  <c r="P3942" i="16"/>
  <c r="Q3941" i="16"/>
  <c r="P3941" i="16"/>
  <c r="Q3940" i="16"/>
  <c r="P3940" i="16"/>
  <c r="Q3939" i="16"/>
  <c r="P3939" i="16"/>
  <c r="Q3938" i="16"/>
  <c r="P3938" i="16"/>
  <c r="Q3937" i="16"/>
  <c r="P3937" i="16"/>
  <c r="Q3936" i="16"/>
  <c r="P3936" i="16"/>
  <c r="Q3935" i="16"/>
  <c r="P3935" i="16"/>
  <c r="Q3934" i="16"/>
  <c r="P3934" i="16"/>
  <c r="Q3933" i="16"/>
  <c r="P3933" i="16"/>
  <c r="Q3932" i="16"/>
  <c r="P3932" i="16"/>
  <c r="Q3931" i="16"/>
  <c r="P3931" i="16"/>
  <c r="Q3930" i="16"/>
  <c r="P3930" i="16"/>
  <c r="Q3929" i="16"/>
  <c r="P3929" i="16"/>
  <c r="Q3928" i="16"/>
  <c r="P3928" i="16"/>
  <c r="Q3927" i="16"/>
  <c r="P3927" i="16"/>
  <c r="Q3926" i="16"/>
  <c r="P3926" i="16"/>
  <c r="Q3925" i="16"/>
  <c r="P3925" i="16"/>
  <c r="Q3924" i="16"/>
  <c r="P3924" i="16"/>
  <c r="Q3923" i="16"/>
  <c r="P3923" i="16"/>
  <c r="Q3922" i="16"/>
  <c r="P3922" i="16"/>
  <c r="Q3921" i="16"/>
  <c r="P3921" i="16"/>
  <c r="Q3920" i="16"/>
  <c r="P3920" i="16"/>
  <c r="Q3919" i="16"/>
  <c r="P3919" i="16"/>
  <c r="Q3918" i="16"/>
  <c r="P3918" i="16"/>
  <c r="Q3917" i="16"/>
  <c r="P3917" i="16"/>
  <c r="Q3916" i="16"/>
  <c r="P3916" i="16"/>
  <c r="Q3915" i="16"/>
  <c r="P3915" i="16"/>
  <c r="Q3914" i="16"/>
  <c r="P3914" i="16"/>
  <c r="Q3913" i="16"/>
  <c r="P3913" i="16"/>
  <c r="Q3912" i="16"/>
  <c r="P3912" i="16"/>
  <c r="Q3911" i="16"/>
  <c r="P3911" i="16"/>
  <c r="Q3910" i="16"/>
  <c r="P3910" i="16"/>
  <c r="Q3909" i="16"/>
  <c r="P3909" i="16"/>
  <c r="Q3908" i="16"/>
  <c r="P3908" i="16"/>
  <c r="Q3907" i="16"/>
  <c r="P3907" i="16"/>
  <c r="Q3906" i="16"/>
  <c r="P3906" i="16"/>
  <c r="Q3905" i="16"/>
  <c r="P3905" i="16"/>
  <c r="Q3904" i="16"/>
  <c r="P3904" i="16"/>
  <c r="Q3903" i="16"/>
  <c r="P3903" i="16"/>
  <c r="Q3902" i="16"/>
  <c r="P3902" i="16"/>
  <c r="Q3901" i="16"/>
  <c r="P3901" i="16"/>
  <c r="Q3900" i="16"/>
  <c r="P3900" i="16"/>
  <c r="Q3899" i="16"/>
  <c r="P3899" i="16"/>
  <c r="Q3896" i="16"/>
  <c r="P3896" i="16"/>
  <c r="Q3895" i="16"/>
  <c r="P3895" i="16"/>
  <c r="Q3894" i="16"/>
  <c r="P3894" i="16"/>
  <c r="Q3893" i="16"/>
  <c r="P3893" i="16"/>
  <c r="Q3892" i="16"/>
  <c r="P3892" i="16"/>
  <c r="Q3891" i="16"/>
  <c r="P3891" i="16"/>
  <c r="Q3890" i="16"/>
  <c r="P3890" i="16"/>
  <c r="Q3889" i="16"/>
  <c r="P3889" i="16"/>
  <c r="Q3888" i="16"/>
  <c r="P3888" i="16"/>
  <c r="Q3887" i="16"/>
  <c r="P3887" i="16"/>
  <c r="Q3886" i="16"/>
  <c r="P3886" i="16"/>
  <c r="Q3885" i="16"/>
  <c r="P3885" i="16"/>
  <c r="Q3884" i="16"/>
  <c r="P3884" i="16"/>
  <c r="Q3883" i="16"/>
  <c r="P3883" i="16"/>
  <c r="Q3882" i="16"/>
  <c r="P3882" i="16"/>
  <c r="Q3881" i="16"/>
  <c r="P3881" i="16"/>
  <c r="Q3880" i="16"/>
  <c r="P3880" i="16"/>
  <c r="Q3879" i="16"/>
  <c r="P3879" i="16"/>
  <c r="Q3878" i="16"/>
  <c r="P3878" i="16"/>
  <c r="Q3877" i="16"/>
  <c r="P3877" i="16"/>
  <c r="Q3876" i="16"/>
  <c r="P3876" i="16"/>
  <c r="Q3875" i="16"/>
  <c r="P3875" i="16"/>
  <c r="Q3874" i="16"/>
  <c r="P3874" i="16"/>
  <c r="Q3873" i="16"/>
  <c r="P3873" i="16"/>
  <c r="Q3872" i="16"/>
  <c r="P3872" i="16"/>
  <c r="Q3871" i="16"/>
  <c r="P3871" i="16"/>
  <c r="Q3870" i="16"/>
  <c r="P3870" i="16"/>
  <c r="Q3869" i="16"/>
  <c r="P3869" i="16"/>
  <c r="Q3868" i="16"/>
  <c r="P3868" i="16"/>
  <c r="Q3867" i="16"/>
  <c r="P3867" i="16"/>
  <c r="Q3866" i="16"/>
  <c r="P3866" i="16"/>
  <c r="Q3865" i="16"/>
  <c r="P3865" i="16"/>
  <c r="Q3864" i="16"/>
  <c r="P3864" i="16"/>
  <c r="Q3863" i="16"/>
  <c r="P3863" i="16"/>
  <c r="Q3862" i="16"/>
  <c r="P3862" i="16"/>
  <c r="Q3861" i="16"/>
  <c r="P3861" i="16"/>
  <c r="Q3860" i="16"/>
  <c r="P3860" i="16"/>
  <c r="Q3859" i="16"/>
  <c r="P3859" i="16"/>
  <c r="Q3858" i="16"/>
  <c r="P3858" i="16"/>
  <c r="Q3857" i="16"/>
  <c r="P3857" i="16"/>
  <c r="Q3856" i="16"/>
  <c r="P3856" i="16"/>
  <c r="Q3855" i="16"/>
  <c r="P3855" i="16"/>
  <c r="Q3854" i="16"/>
  <c r="P3854" i="16"/>
  <c r="Q3853" i="16"/>
  <c r="P3853" i="16"/>
  <c r="Q3852" i="16"/>
  <c r="P3852" i="16"/>
  <c r="Q3851" i="16"/>
  <c r="P3851" i="16"/>
  <c r="Q3850" i="16"/>
  <c r="P3850" i="16"/>
  <c r="Q3849" i="16"/>
  <c r="P3849" i="16"/>
  <c r="Q3848" i="16"/>
  <c r="P3848" i="16"/>
  <c r="Q3847" i="16"/>
  <c r="P3847" i="16"/>
  <c r="Q3846" i="16"/>
  <c r="P3846" i="16"/>
  <c r="Q3845" i="16"/>
  <c r="P3845" i="16"/>
  <c r="Q3844" i="16"/>
  <c r="P3844" i="16"/>
  <c r="Q3843" i="16"/>
  <c r="P3843" i="16"/>
  <c r="Q3842" i="16"/>
  <c r="P3842" i="16"/>
  <c r="Q3841" i="16"/>
  <c r="P3841" i="16"/>
  <c r="Q3840" i="16"/>
  <c r="P3840" i="16"/>
  <c r="Q3839" i="16"/>
  <c r="P3839" i="16"/>
  <c r="Q3836" i="16"/>
  <c r="P3836" i="16"/>
  <c r="Q3835" i="16"/>
  <c r="P3835" i="16"/>
  <c r="Q3832" i="16"/>
  <c r="P3832" i="16"/>
  <c r="Q3831" i="16"/>
  <c r="P3831" i="16"/>
  <c r="Q3830" i="16"/>
  <c r="P3830" i="16"/>
  <c r="Q3829" i="16"/>
  <c r="P3829" i="16"/>
  <c r="Q3828" i="16"/>
  <c r="P3828" i="16"/>
  <c r="Q3827" i="16"/>
  <c r="P3827" i="16"/>
  <c r="Q3826" i="16"/>
  <c r="P3826" i="16"/>
  <c r="Q3825" i="16"/>
  <c r="P3825" i="16"/>
  <c r="Q3824" i="16"/>
  <c r="P3824" i="16"/>
  <c r="Q3823" i="16"/>
  <c r="P3823" i="16"/>
  <c r="Q3822" i="16"/>
  <c r="P3822" i="16"/>
  <c r="Q3821" i="16"/>
  <c r="P3821" i="16"/>
  <c r="Q3816" i="16"/>
  <c r="P3816" i="16"/>
  <c r="Q3813" i="16"/>
  <c r="P3813" i="16"/>
  <c r="Q3812" i="16"/>
  <c r="P3812" i="16"/>
  <c r="Q3809" i="16"/>
  <c r="P3809" i="16"/>
  <c r="Q3808" i="16"/>
  <c r="P3808" i="16"/>
  <c r="Q3807" i="16"/>
  <c r="P3807" i="16"/>
  <c r="Q3806" i="16"/>
  <c r="P3806" i="16"/>
  <c r="Q3805" i="16"/>
  <c r="P3805" i="16"/>
  <c r="Q3804" i="16"/>
  <c r="P3804" i="16"/>
  <c r="Q3803" i="16"/>
  <c r="P3803" i="16"/>
  <c r="Q3802" i="16"/>
  <c r="P3802" i="16"/>
  <c r="Q3801" i="16"/>
  <c r="P3801" i="16"/>
  <c r="Q3800" i="16"/>
  <c r="P3800" i="16"/>
  <c r="Q3799" i="16"/>
  <c r="P3799" i="16"/>
  <c r="Q3798" i="16"/>
  <c r="P3798" i="16"/>
  <c r="Q3793" i="16"/>
  <c r="P3793" i="16"/>
  <c r="Q3792" i="16"/>
  <c r="P3792" i="16"/>
  <c r="Q3791" i="16"/>
  <c r="P3791" i="16"/>
  <c r="Q3790" i="16"/>
  <c r="P3790" i="16"/>
  <c r="Q3787" i="16"/>
  <c r="P3787" i="16"/>
  <c r="Q3786" i="16"/>
  <c r="P3786" i="16"/>
  <c r="Q3785" i="16"/>
  <c r="P3785" i="16"/>
  <c r="Q3784" i="16"/>
  <c r="P3784" i="16"/>
  <c r="Q3783" i="16"/>
  <c r="P3783" i="16"/>
  <c r="Q3776" i="16"/>
  <c r="P3776" i="16"/>
  <c r="Q3775" i="16"/>
  <c r="P3775" i="16"/>
  <c r="Q3774" i="16"/>
  <c r="P3774" i="16"/>
  <c r="Q3773" i="16"/>
  <c r="P3773" i="16"/>
  <c r="Q3772" i="16"/>
  <c r="P3772" i="16"/>
  <c r="Q3771" i="16"/>
  <c r="P3771" i="16"/>
  <c r="Q3770" i="16"/>
  <c r="P3770" i="16"/>
  <c r="Q3769" i="16"/>
  <c r="P3769" i="16"/>
  <c r="Q3768" i="16"/>
  <c r="P3768" i="16"/>
  <c r="Q3767" i="16"/>
  <c r="P3767" i="16"/>
  <c r="Q3766" i="16"/>
  <c r="P3766" i="16"/>
  <c r="Q3765" i="16"/>
  <c r="P3765" i="16"/>
  <c r="Q3764" i="16"/>
  <c r="P3764" i="16"/>
  <c r="Q3761" i="16"/>
  <c r="P3761" i="16"/>
  <c r="Q3760" i="16"/>
  <c r="P3760" i="16"/>
  <c r="Q3757" i="16"/>
  <c r="P3757" i="16"/>
  <c r="Q3756" i="16"/>
  <c r="P3756" i="16"/>
  <c r="Q3755" i="16"/>
  <c r="P3755" i="16"/>
  <c r="Q3754" i="16"/>
  <c r="P3754" i="16"/>
  <c r="Q3753" i="16"/>
  <c r="P3753" i="16"/>
  <c r="Q3752" i="16"/>
  <c r="P3752" i="16"/>
  <c r="Q3751" i="16"/>
  <c r="P3751" i="16"/>
  <c r="Q3750" i="16"/>
  <c r="P3750" i="16"/>
  <c r="Q3749" i="16"/>
  <c r="P3749" i="16"/>
  <c r="Q3748" i="16"/>
  <c r="P3748" i="16"/>
  <c r="Q3747" i="16"/>
  <c r="P3747" i="16"/>
  <c r="Q3746" i="16"/>
  <c r="P3746" i="16"/>
  <c r="Q3745" i="16"/>
  <c r="P3745" i="16"/>
  <c r="Q3744" i="16"/>
  <c r="P3744" i="16"/>
  <c r="Q3743" i="16"/>
  <c r="P3743" i="16"/>
  <c r="Q3742" i="16"/>
  <c r="P3742" i="16"/>
  <c r="Q3741" i="16"/>
  <c r="P3741" i="16"/>
  <c r="Q3740" i="16"/>
  <c r="P3740" i="16"/>
  <c r="Q3739" i="16"/>
  <c r="P3739" i="16"/>
  <c r="Q3736" i="16"/>
  <c r="P3736" i="16"/>
  <c r="Q3735" i="16"/>
  <c r="P3735" i="16"/>
  <c r="Q3734" i="16"/>
  <c r="P3734" i="16"/>
  <c r="Q3733" i="16"/>
  <c r="P3733" i="16"/>
  <c r="Q3730" i="16"/>
  <c r="P3730" i="16"/>
  <c r="Q3729" i="16"/>
  <c r="P3729" i="16"/>
  <c r="Q3728" i="16"/>
  <c r="P3728" i="16"/>
  <c r="Q3727" i="16"/>
  <c r="P3727" i="16"/>
  <c r="Q3726" i="16"/>
  <c r="P3726" i="16"/>
  <c r="Q3723" i="16"/>
  <c r="P3723" i="16"/>
  <c r="Q3722" i="16"/>
  <c r="P3722" i="16"/>
  <c r="Q3721" i="16"/>
  <c r="P3721" i="16"/>
  <c r="Q3720" i="16"/>
  <c r="P3720" i="16"/>
  <c r="Q3719" i="16"/>
  <c r="P3719" i="16"/>
  <c r="Q3718" i="16"/>
  <c r="P3718" i="16"/>
  <c r="Q3717" i="16"/>
  <c r="P3717" i="16"/>
  <c r="Q3716" i="16"/>
  <c r="P3716" i="16"/>
  <c r="Q3715" i="16"/>
  <c r="P3715" i="16"/>
  <c r="Q3714" i="16"/>
  <c r="P3714" i="16"/>
  <c r="Q3713" i="16"/>
  <c r="P3713" i="16"/>
  <c r="Q3712" i="16"/>
  <c r="P3712" i="16"/>
  <c r="Q3711" i="16"/>
  <c r="P3711" i="16"/>
  <c r="Q3710" i="16"/>
  <c r="P3710" i="16"/>
  <c r="Q3709" i="16"/>
  <c r="P3709" i="16"/>
  <c r="Q3708" i="16"/>
  <c r="P3708" i="16"/>
  <c r="Q3707" i="16"/>
  <c r="P3707" i="16"/>
  <c r="Q3706" i="16"/>
  <c r="P3706" i="16"/>
  <c r="Q3705" i="16"/>
  <c r="P3705" i="16"/>
  <c r="Q3704" i="16"/>
  <c r="P3704" i="16"/>
  <c r="Q3703" i="16"/>
  <c r="P3703" i="16"/>
  <c r="Q3702" i="16"/>
  <c r="P3702" i="16"/>
  <c r="Q3701" i="16"/>
  <c r="P3701" i="16"/>
  <c r="Q3700" i="16"/>
  <c r="P3700" i="16"/>
  <c r="Q3699" i="16"/>
  <c r="P3699" i="16"/>
  <c r="Q3698" i="16"/>
  <c r="P3698" i="16"/>
  <c r="Q3697" i="16"/>
  <c r="P3697" i="16"/>
  <c r="Q3696" i="16"/>
  <c r="P3696" i="16"/>
  <c r="Q3695" i="16"/>
  <c r="P3695" i="16"/>
  <c r="Q3694" i="16"/>
  <c r="P3694" i="16"/>
  <c r="Q3693" i="16"/>
  <c r="P3693" i="16"/>
  <c r="Q3690" i="16"/>
  <c r="P3690" i="16"/>
  <c r="Q3689" i="16"/>
  <c r="P3689" i="16"/>
  <c r="Q3688" i="16"/>
  <c r="P3688" i="16"/>
  <c r="Q3687" i="16"/>
  <c r="P3687" i="16"/>
  <c r="Q3686" i="16"/>
  <c r="P3686" i="16"/>
  <c r="Q3685" i="16"/>
  <c r="P3685" i="16"/>
  <c r="Q3684" i="16"/>
  <c r="P3684" i="16"/>
  <c r="Q3683" i="16"/>
  <c r="P3683" i="16"/>
  <c r="Q3682" i="16"/>
  <c r="P3682" i="16"/>
  <c r="Q3681" i="16"/>
  <c r="P3681" i="16"/>
  <c r="Q3680" i="16"/>
  <c r="P3680" i="16"/>
  <c r="Q3679" i="16"/>
  <c r="P3679" i="16"/>
  <c r="Q3678" i="16"/>
  <c r="P3678" i="16"/>
  <c r="Q3677" i="16"/>
  <c r="P3677" i="16"/>
  <c r="Q3676" i="16"/>
  <c r="P3676" i="16"/>
  <c r="Q3671" i="16"/>
  <c r="P3671" i="16"/>
  <c r="Q3666" i="16"/>
  <c r="P3666" i="16"/>
  <c r="Q3661" i="16"/>
  <c r="P3661" i="16"/>
  <c r="Q3656" i="16"/>
  <c r="P3656" i="16"/>
  <c r="Q3651" i="16"/>
  <c r="P3651" i="16"/>
  <c r="Q3646" i="16"/>
  <c r="P3646" i="16"/>
  <c r="Q3645" i="16"/>
  <c r="P3645" i="16"/>
  <c r="Q3644" i="16"/>
  <c r="P3644" i="16"/>
  <c r="Q3643" i="16"/>
  <c r="P3643" i="16"/>
  <c r="Q3642" i="16"/>
  <c r="P3642" i="16"/>
  <c r="Q3641" i="16"/>
  <c r="P3641" i="16"/>
  <c r="Q3640" i="16"/>
  <c r="P3640" i="16"/>
  <c r="Q3639" i="16"/>
  <c r="P3639" i="16"/>
  <c r="Q3638" i="16"/>
  <c r="P3638" i="16"/>
  <c r="Q3637" i="16"/>
  <c r="P3637" i="16"/>
  <c r="Q3636" i="16"/>
  <c r="P3636" i="16"/>
  <c r="Q3635" i="16"/>
  <c r="P3635" i="16"/>
  <c r="Q3634" i="16"/>
  <c r="P3634" i="16"/>
  <c r="Q3633" i="16"/>
  <c r="P3633" i="16"/>
  <c r="Q3632" i="16"/>
  <c r="P3632" i="16"/>
  <c r="Q3631" i="16"/>
  <c r="P3631" i="16"/>
  <c r="Q3630" i="16"/>
  <c r="P3630" i="16"/>
  <c r="Q3629" i="16"/>
  <c r="P3629" i="16"/>
  <c r="Q3628" i="16"/>
  <c r="P3628" i="16"/>
  <c r="Q3627" i="16"/>
  <c r="P3627" i="16"/>
  <c r="Q3626" i="16"/>
  <c r="P3626" i="16"/>
  <c r="Q3625" i="16"/>
  <c r="P3625" i="16"/>
  <c r="Q3624" i="16"/>
  <c r="P3624" i="16"/>
  <c r="Q3623" i="16"/>
  <c r="P3623" i="16"/>
  <c r="Q3622" i="16"/>
  <c r="P3622" i="16"/>
  <c r="Q3621" i="16"/>
  <c r="P3621" i="16"/>
  <c r="Q3620" i="16"/>
  <c r="P3620" i="16"/>
  <c r="Q3619" i="16"/>
  <c r="P3619" i="16"/>
  <c r="Q3616" i="16"/>
  <c r="P3616" i="16"/>
  <c r="Q3615" i="16"/>
  <c r="P3615" i="16"/>
  <c r="Q3614" i="16"/>
  <c r="P3614" i="16"/>
  <c r="Q3613" i="16"/>
  <c r="P3613" i="16"/>
  <c r="Q3612" i="16"/>
  <c r="P3612" i="16"/>
  <c r="Q3611" i="16"/>
  <c r="P3611" i="16"/>
  <c r="Q3610" i="16"/>
  <c r="P3610" i="16"/>
  <c r="Q3609" i="16"/>
  <c r="P3609" i="16"/>
  <c r="Q3608" i="16"/>
  <c r="P3608" i="16"/>
  <c r="Q3606" i="16"/>
  <c r="P3606" i="16"/>
  <c r="Q3604" i="16"/>
  <c r="P3604" i="16"/>
  <c r="Q3602" i="16"/>
  <c r="P3602" i="16"/>
  <c r="Q3601" i="16"/>
  <c r="P3601" i="16"/>
  <c r="Q3600" i="16"/>
  <c r="P3600" i="16"/>
  <c r="Q3599" i="16"/>
  <c r="P3599" i="16"/>
  <c r="Q3598" i="16"/>
  <c r="P3598" i="16"/>
  <c r="Q3597" i="16"/>
  <c r="P3597" i="16"/>
  <c r="Q3596" i="16"/>
  <c r="P3596" i="16"/>
  <c r="Q3595" i="16"/>
  <c r="P3595" i="16"/>
  <c r="Q3594" i="16"/>
  <c r="P3594" i="16"/>
  <c r="Q3593" i="16"/>
  <c r="P3593" i="16"/>
  <c r="Q3592" i="16"/>
  <c r="P3592" i="16"/>
  <c r="Q3591" i="16"/>
  <c r="P3591" i="16"/>
  <c r="Q3590" i="16"/>
  <c r="P3590" i="16"/>
  <c r="Q3587" i="16"/>
  <c r="P3587" i="16"/>
  <c r="Q3586" i="16"/>
  <c r="P3586" i="16"/>
  <c r="Q3585" i="16"/>
  <c r="P3585" i="16"/>
  <c r="Q3584" i="16"/>
  <c r="P3584" i="16"/>
  <c r="Q3583" i="16"/>
  <c r="P3583" i="16"/>
  <c r="Q3582" i="16"/>
  <c r="P3582" i="16"/>
  <c r="Q3581" i="16"/>
  <c r="P3581" i="16"/>
  <c r="Q3580" i="16"/>
  <c r="P3580" i="16"/>
  <c r="Q3579" i="16"/>
  <c r="P3579" i="16"/>
  <c r="Q3578" i="16"/>
  <c r="P3578" i="16"/>
  <c r="Q3577" i="16"/>
  <c r="P3577" i="16"/>
  <c r="Q3576" i="16"/>
  <c r="P3576" i="16"/>
  <c r="Q3575" i="16"/>
  <c r="P3575" i="16"/>
  <c r="Q3574" i="16"/>
  <c r="P3574" i="16"/>
  <c r="Q3573" i="16"/>
  <c r="P3573" i="16"/>
  <c r="Q3572" i="16"/>
  <c r="P3572" i="16"/>
  <c r="Q3571" i="16"/>
  <c r="P3571" i="16"/>
  <c r="Q3568" i="16"/>
  <c r="P3568" i="16"/>
  <c r="Q3567" i="16"/>
  <c r="P3567" i="16"/>
  <c r="Q3566" i="16"/>
  <c r="P3566" i="16"/>
  <c r="Q3565" i="16"/>
  <c r="P3565" i="16"/>
  <c r="Q3564" i="16"/>
  <c r="P3564" i="16"/>
  <c r="Q3563" i="16"/>
  <c r="P3563" i="16"/>
  <c r="Q3562" i="16"/>
  <c r="P3562" i="16"/>
  <c r="Q3561" i="16"/>
  <c r="P3561" i="16"/>
  <c r="Q3560" i="16"/>
  <c r="P3560" i="16"/>
  <c r="Q3557" i="16"/>
  <c r="P3557" i="16"/>
  <c r="Q3556" i="16"/>
  <c r="P3556" i="16"/>
  <c r="Q3555" i="16"/>
  <c r="P3555" i="16"/>
  <c r="Q3554" i="16"/>
  <c r="P3554" i="16"/>
  <c r="Q3553" i="16"/>
  <c r="P3553" i="16"/>
  <c r="Q3552" i="16"/>
  <c r="P3552" i="16"/>
  <c r="Q3551" i="16"/>
  <c r="P3551" i="16"/>
  <c r="Q3550" i="16"/>
  <c r="P3550" i="16"/>
  <c r="Q3549" i="16"/>
  <c r="P3549" i="16"/>
  <c r="Q3548" i="16"/>
  <c r="P3548" i="16"/>
  <c r="Q3547" i="16"/>
  <c r="P3547" i="16"/>
  <c r="Q3546" i="16"/>
  <c r="P3546" i="16"/>
  <c r="Q3545" i="16"/>
  <c r="P3545" i="16"/>
  <c r="Q3542" i="16"/>
  <c r="P3542" i="16"/>
  <c r="Q3541" i="16"/>
  <c r="P3541" i="16"/>
  <c r="Q3538" i="16"/>
  <c r="P3538" i="16"/>
  <c r="Q3537" i="16"/>
  <c r="P3537" i="16"/>
  <c r="Q3536" i="16"/>
  <c r="P3536" i="16"/>
  <c r="Q3535" i="16"/>
  <c r="P3535" i="16"/>
  <c r="Q3534" i="16"/>
  <c r="P3534" i="16"/>
  <c r="Q3533" i="16"/>
  <c r="P3533" i="16"/>
  <c r="Q3532" i="16"/>
  <c r="P3532" i="16"/>
  <c r="Q3531" i="16"/>
  <c r="P3531" i="16"/>
  <c r="Q3530" i="16"/>
  <c r="P3530" i="16"/>
  <c r="Q3529" i="16"/>
  <c r="P3529" i="16"/>
  <c r="Q3528" i="16"/>
  <c r="P3528" i="16"/>
  <c r="Q3527" i="16"/>
  <c r="P3527" i="16"/>
  <c r="Q3526" i="16"/>
  <c r="P3526" i="16"/>
  <c r="Q3525" i="16"/>
  <c r="P3525" i="16"/>
  <c r="Q3524" i="16"/>
  <c r="P3524" i="16"/>
  <c r="Q3523" i="16"/>
  <c r="P3523" i="16"/>
  <c r="Q3522" i="16"/>
  <c r="P3522" i="16"/>
  <c r="Q3521" i="16"/>
  <c r="P3521" i="16"/>
  <c r="Q3520" i="16"/>
  <c r="P3520" i="16"/>
  <c r="Q3519" i="16"/>
  <c r="P3519" i="16"/>
  <c r="Q3518" i="16"/>
  <c r="P3518" i="16"/>
  <c r="Q3517" i="16"/>
  <c r="P3517" i="16"/>
  <c r="Q3516" i="16"/>
  <c r="P3516" i="16"/>
  <c r="Q3515" i="16"/>
  <c r="P3515" i="16"/>
  <c r="Q3514" i="16"/>
  <c r="P3514" i="16"/>
  <c r="Q3513" i="16"/>
  <c r="P3513" i="16"/>
  <c r="Q3512" i="16"/>
  <c r="P3512" i="16"/>
  <c r="Q3511" i="16"/>
  <c r="P3511" i="16"/>
  <c r="Q3508" i="16"/>
  <c r="P3508" i="16"/>
  <c r="Q3507" i="16"/>
  <c r="P3507" i="16"/>
  <c r="Q3506" i="16"/>
  <c r="P3506" i="16"/>
  <c r="Q3503" i="16"/>
  <c r="P3503" i="16"/>
  <c r="Q3502" i="16"/>
  <c r="P3502" i="16"/>
  <c r="Q3501" i="16"/>
  <c r="P3501" i="16"/>
  <c r="Q3500" i="16"/>
  <c r="P3500" i="16"/>
  <c r="Q3499" i="16"/>
  <c r="P3499" i="16"/>
  <c r="Q3498" i="16"/>
  <c r="P3498" i="16"/>
  <c r="Q3497" i="16"/>
  <c r="P3497" i="16"/>
  <c r="Q3496" i="16"/>
  <c r="P3496" i="16"/>
  <c r="Q3495" i="16"/>
  <c r="P3495" i="16"/>
  <c r="Q3494" i="16"/>
  <c r="P3494" i="16"/>
  <c r="Q3493" i="16"/>
  <c r="P3493" i="16"/>
  <c r="Q3492" i="16"/>
  <c r="P3492" i="16"/>
  <c r="Q3491" i="16"/>
  <c r="P3491" i="16"/>
  <c r="Q3490" i="16"/>
  <c r="P3490" i="16"/>
  <c r="Q3489" i="16"/>
  <c r="P3489" i="16"/>
  <c r="Q3488" i="16"/>
  <c r="P3488" i="16"/>
  <c r="Q3487" i="16"/>
  <c r="P3487" i="16"/>
  <c r="Q3486" i="16"/>
  <c r="P3486" i="16"/>
  <c r="Q3485" i="16"/>
  <c r="P3485" i="16"/>
  <c r="Q3484" i="16"/>
  <c r="P3484" i="16"/>
  <c r="Q3483" i="16"/>
  <c r="P3483" i="16"/>
  <c r="Q3482" i="16"/>
  <c r="P3482" i="16"/>
  <c r="Q3479" i="16"/>
  <c r="P3479" i="16"/>
  <c r="Q3478" i="16"/>
  <c r="P3478" i="16"/>
  <c r="Q3477" i="16"/>
  <c r="P3477" i="16"/>
  <c r="Q3476" i="16"/>
  <c r="P3476" i="16"/>
  <c r="Q3475" i="16"/>
  <c r="P3475" i="16"/>
  <c r="Q3474" i="16"/>
  <c r="P3474" i="16"/>
  <c r="Q3473" i="16"/>
  <c r="P3473" i="16"/>
  <c r="Q3472" i="16"/>
  <c r="P3472" i="16"/>
  <c r="Q3471" i="16"/>
  <c r="P3471" i="16"/>
  <c r="Q3470" i="16"/>
  <c r="P3470" i="16"/>
  <c r="Q3469" i="16"/>
  <c r="P3469" i="16"/>
  <c r="Q3468" i="16"/>
  <c r="P3468" i="16"/>
  <c r="Q3467" i="16"/>
  <c r="P3467" i="16"/>
  <c r="Q3466" i="16"/>
  <c r="P3466" i="16"/>
  <c r="Q3465" i="16"/>
  <c r="P3465" i="16"/>
  <c r="Q3464" i="16"/>
  <c r="P3464" i="16"/>
  <c r="Q3463" i="16"/>
  <c r="P3463" i="16"/>
  <c r="Q3462" i="16"/>
  <c r="P3462" i="16"/>
  <c r="Q3461" i="16"/>
  <c r="P3461" i="16"/>
  <c r="Q3460" i="16"/>
  <c r="P3460" i="16"/>
  <c r="Q3459" i="16"/>
  <c r="P3459" i="16"/>
  <c r="Q3458" i="16"/>
  <c r="P3458" i="16"/>
  <c r="Q3455" i="16"/>
  <c r="P3455" i="16"/>
  <c r="Q3454" i="16"/>
  <c r="P3454" i="16"/>
  <c r="Q3453" i="16"/>
  <c r="P3453" i="16"/>
  <c r="Q3452" i="16"/>
  <c r="P3452" i="16"/>
  <c r="Q3451" i="16"/>
  <c r="P3451" i="16"/>
  <c r="Q3450" i="16"/>
  <c r="P3450" i="16"/>
  <c r="Q3449" i="16"/>
  <c r="P3449" i="16"/>
  <c r="Q3448" i="16"/>
  <c r="P3448" i="16"/>
  <c r="Q3447" i="16"/>
  <c r="P3447" i="16"/>
  <c r="Q3446" i="16"/>
  <c r="P3446" i="16"/>
  <c r="Q3445" i="16"/>
  <c r="P3445" i="16"/>
  <c r="Q3444" i="16"/>
  <c r="P3444" i="16"/>
  <c r="Q3443" i="16"/>
  <c r="P3443" i="16"/>
  <c r="Q3442" i="16"/>
  <c r="P3442" i="16"/>
  <c r="Q3441" i="16"/>
  <c r="P3441" i="16"/>
  <c r="Q3440" i="16"/>
  <c r="P3440" i="16"/>
  <c r="Q3439" i="16"/>
  <c r="P3439" i="16"/>
  <c r="Q3438" i="16"/>
  <c r="P3438" i="16"/>
  <c r="Q3437" i="16"/>
  <c r="P3437" i="16"/>
  <c r="Q3436" i="16"/>
  <c r="P3436" i="16"/>
  <c r="Q3435" i="16"/>
  <c r="P3435" i="16"/>
  <c r="Q3434" i="16"/>
  <c r="P3434" i="16"/>
  <c r="Q3433" i="16"/>
  <c r="P3433" i="16"/>
  <c r="Q3432" i="16"/>
  <c r="P3432" i="16"/>
  <c r="Q3431" i="16"/>
  <c r="P3431" i="16"/>
  <c r="Q3430" i="16"/>
  <c r="P3430" i="16"/>
  <c r="Q3429" i="16"/>
  <c r="P3429" i="16"/>
  <c r="Q3428" i="16"/>
  <c r="P3428" i="16"/>
  <c r="Q3427" i="16"/>
  <c r="P3427" i="16"/>
  <c r="Q3426" i="16"/>
  <c r="P3426" i="16"/>
  <c r="Q3425" i="16"/>
  <c r="P3425" i="16"/>
  <c r="Q3424" i="16"/>
  <c r="P3424" i="16"/>
  <c r="Q3421" i="16"/>
  <c r="P3421" i="16"/>
  <c r="Q3420" i="16"/>
  <c r="P3420" i="16"/>
  <c r="Q3419" i="16"/>
  <c r="P3419" i="16"/>
  <c r="Q3418" i="16"/>
  <c r="P3418" i="16"/>
  <c r="Q3417" i="16"/>
  <c r="P3417" i="16"/>
  <c r="Q3416" i="16"/>
  <c r="P3416" i="16"/>
  <c r="Q3415" i="16"/>
  <c r="P3415" i="16"/>
  <c r="Q3413" i="16"/>
  <c r="P3413" i="16"/>
  <c r="Q3411" i="16"/>
  <c r="P3411" i="16"/>
  <c r="Q3409" i="16"/>
  <c r="P3409" i="16"/>
  <c r="Q3408" i="16"/>
  <c r="P3408" i="16"/>
  <c r="Q3407" i="16"/>
  <c r="P3407" i="16"/>
  <c r="Q3406" i="16"/>
  <c r="P3406" i="16"/>
  <c r="Q3405" i="16"/>
  <c r="P3405" i="16"/>
  <c r="Q3404" i="16"/>
  <c r="P3404" i="16"/>
  <c r="Q3403" i="16"/>
  <c r="P3403" i="16"/>
  <c r="Q3402" i="16"/>
  <c r="P3402" i="16"/>
  <c r="Q3401" i="16"/>
  <c r="P3401" i="16"/>
  <c r="Q3400" i="16"/>
  <c r="P3400" i="16"/>
  <c r="Q3399" i="16"/>
  <c r="P3399" i="16"/>
  <c r="Q3398" i="16"/>
  <c r="P3398" i="16"/>
  <c r="Q3397" i="16"/>
  <c r="P3397" i="16"/>
  <c r="Q3396" i="16"/>
  <c r="P3396" i="16"/>
  <c r="Q3395" i="16"/>
  <c r="P3395" i="16"/>
  <c r="Q3394" i="16"/>
  <c r="P3394" i="16"/>
  <c r="Q3393" i="16"/>
  <c r="P3393" i="16"/>
  <c r="Q3392" i="16"/>
  <c r="P3392" i="16"/>
  <c r="Q3391" i="16"/>
  <c r="P3391" i="16"/>
  <c r="Q3390" i="16"/>
  <c r="P3390" i="16"/>
  <c r="Q3389" i="16"/>
  <c r="P3389" i="16"/>
  <c r="Q3388" i="16"/>
  <c r="P3388" i="16"/>
  <c r="Q3387" i="16"/>
  <c r="P3387" i="16"/>
  <c r="Q3386" i="16"/>
  <c r="P3386" i="16"/>
  <c r="Q3385" i="16"/>
  <c r="P3385" i="16"/>
  <c r="Q3384" i="16"/>
  <c r="P3384" i="16"/>
  <c r="Q3383" i="16"/>
  <c r="P3383" i="16"/>
  <c r="Q3382" i="16"/>
  <c r="P3382" i="16"/>
  <c r="Q3381" i="16"/>
  <c r="P3381" i="16"/>
  <c r="Q3380" i="16"/>
  <c r="P3380" i="16"/>
  <c r="Q3379" i="16"/>
  <c r="P3379" i="16"/>
  <c r="Q3378" i="16"/>
  <c r="P3378" i="16"/>
  <c r="Q3377" i="16"/>
  <c r="P3377" i="16"/>
  <c r="Q3376" i="16"/>
  <c r="P3376" i="16"/>
  <c r="Q3375" i="16"/>
  <c r="P3375" i="16"/>
  <c r="Q3374" i="16"/>
  <c r="P3374" i="16"/>
  <c r="Q3373" i="16"/>
  <c r="P3373" i="16"/>
  <c r="Q3372" i="16"/>
  <c r="P3372" i="16"/>
  <c r="Q3371" i="16"/>
  <c r="P3371" i="16"/>
  <c r="Q3370" i="16"/>
  <c r="P3370" i="16"/>
  <c r="Q3369" i="16"/>
  <c r="P3369" i="16"/>
  <c r="Q3368" i="16"/>
  <c r="P3368" i="16"/>
  <c r="Q3367" i="16"/>
  <c r="P3367" i="16"/>
  <c r="Q3366" i="16"/>
  <c r="P3366" i="16"/>
  <c r="Q3365" i="16"/>
  <c r="P3365" i="16"/>
  <c r="Q3364" i="16"/>
  <c r="P3364" i="16"/>
  <c r="Q3363" i="16"/>
  <c r="P3363" i="16"/>
  <c r="Q3362" i="16"/>
  <c r="P3362" i="16"/>
  <c r="Q3359" i="16"/>
  <c r="P3359" i="16"/>
  <c r="Q3358" i="16"/>
  <c r="P3358" i="16"/>
  <c r="Q3357" i="16"/>
  <c r="P3357" i="16"/>
  <c r="Q3356" i="16"/>
  <c r="P3356" i="16"/>
  <c r="Q3355" i="16"/>
  <c r="P3355" i="16"/>
  <c r="Q3354" i="16"/>
  <c r="P3354" i="16"/>
  <c r="Q3353" i="16"/>
  <c r="P3353" i="16"/>
  <c r="Q3352" i="16"/>
  <c r="P3352" i="16"/>
  <c r="Q3351" i="16"/>
  <c r="P3351" i="16"/>
  <c r="Q3350" i="16"/>
  <c r="P3350" i="16"/>
  <c r="Q3349" i="16"/>
  <c r="P3349" i="16"/>
  <c r="Q3348" i="16"/>
  <c r="P3348" i="16"/>
  <c r="Q3347" i="16"/>
  <c r="P3347" i="16"/>
  <c r="Q3346" i="16"/>
  <c r="P3346" i="16"/>
  <c r="Q3345" i="16"/>
  <c r="P3345" i="16"/>
  <c r="Q3344" i="16"/>
  <c r="P3344" i="16"/>
  <c r="Q3343" i="16"/>
  <c r="P3343" i="16"/>
  <c r="Q3338" i="16"/>
  <c r="P3338" i="16"/>
  <c r="Q3333" i="16"/>
  <c r="P3333" i="16"/>
  <c r="Q3328" i="16"/>
  <c r="P3328" i="16"/>
  <c r="Q3323" i="16"/>
  <c r="P3323" i="16"/>
  <c r="Q3318" i="16"/>
  <c r="P3318" i="16"/>
  <c r="Q3313" i="16"/>
  <c r="P3313" i="16"/>
  <c r="Q3312" i="16"/>
  <c r="P3312" i="16"/>
  <c r="Q3311" i="16"/>
  <c r="P3311" i="16"/>
  <c r="Q3310" i="16"/>
  <c r="P3310" i="16"/>
  <c r="Q3309" i="16"/>
  <c r="P3309" i="16"/>
  <c r="Q3308" i="16"/>
  <c r="P3308" i="16"/>
  <c r="Q3307" i="16"/>
  <c r="P3307" i="16"/>
  <c r="Q3306" i="16"/>
  <c r="P3306" i="16"/>
  <c r="Q3305" i="16"/>
  <c r="P3305" i="16"/>
  <c r="Q3304" i="16"/>
  <c r="P3304" i="16"/>
  <c r="Q3303" i="16"/>
  <c r="P3303" i="16"/>
  <c r="Q3302" i="16"/>
  <c r="P3302" i="16"/>
  <c r="Q3301" i="16"/>
  <c r="P3301" i="16"/>
  <c r="Q3300" i="16"/>
  <c r="P3300" i="16"/>
  <c r="Q3299" i="16"/>
  <c r="P3299" i="16"/>
  <c r="Q3298" i="16"/>
  <c r="P3298" i="16"/>
  <c r="Q3297" i="16"/>
  <c r="P3297" i="16"/>
  <c r="Q3296" i="16"/>
  <c r="P3296" i="16"/>
  <c r="Q3295" i="16"/>
  <c r="P3295" i="16"/>
  <c r="Q3294" i="16"/>
  <c r="P3294" i="16"/>
  <c r="Q3293" i="16"/>
  <c r="P3293" i="16"/>
  <c r="Q3292" i="16"/>
  <c r="P3292" i="16"/>
  <c r="Q3291" i="16"/>
  <c r="P3291" i="16"/>
  <c r="Q3290" i="16"/>
  <c r="P3290" i="16"/>
  <c r="Q3289" i="16"/>
  <c r="P3289" i="16"/>
  <c r="Q3286" i="16"/>
  <c r="P3286" i="16"/>
  <c r="Q3285" i="16"/>
  <c r="P3285" i="16"/>
  <c r="Q3284" i="16"/>
  <c r="P3284" i="16"/>
  <c r="Q3283" i="16"/>
  <c r="P3283" i="16"/>
  <c r="Q3282" i="16"/>
  <c r="P3282" i="16"/>
  <c r="Q3281" i="16"/>
  <c r="P3281" i="16"/>
  <c r="Q3280" i="16"/>
  <c r="P3280" i="16"/>
  <c r="Q3278" i="16"/>
  <c r="P3278" i="16"/>
  <c r="Q3276" i="16"/>
  <c r="P3276" i="16"/>
  <c r="Q3274" i="16"/>
  <c r="P3274" i="16"/>
  <c r="Q3273" i="16"/>
  <c r="P3273" i="16"/>
  <c r="Q3272" i="16"/>
  <c r="P3272" i="16"/>
  <c r="Q3271" i="16"/>
  <c r="P3271" i="16"/>
  <c r="Q3270" i="16"/>
  <c r="P3270" i="16"/>
  <c r="Q3269" i="16"/>
  <c r="P3269" i="16"/>
  <c r="Q3268" i="16"/>
  <c r="P3268" i="16"/>
  <c r="Q3265" i="16"/>
  <c r="P3265" i="16"/>
  <c r="Q3264" i="16"/>
  <c r="P3264" i="16"/>
  <c r="Q3263" i="16"/>
  <c r="P3263" i="16"/>
  <c r="Q3262" i="16"/>
  <c r="P3262" i="16"/>
  <c r="Q3261" i="16"/>
  <c r="P3261" i="16"/>
  <c r="Q3260" i="16"/>
  <c r="P3260" i="16"/>
  <c r="Q3259" i="16"/>
  <c r="P3259" i="16"/>
  <c r="Q3258" i="16"/>
  <c r="P3258" i="16"/>
  <c r="Q3257" i="16"/>
  <c r="P3257" i="16"/>
  <c r="Q3256" i="16"/>
  <c r="P3256" i="16"/>
  <c r="Q3255" i="16"/>
  <c r="P3255" i="16"/>
  <c r="Q3254" i="16"/>
  <c r="P3254" i="16"/>
  <c r="Q3253" i="16"/>
  <c r="P3253" i="16"/>
  <c r="Q3252" i="16"/>
  <c r="P3252" i="16"/>
  <c r="Q3251" i="16"/>
  <c r="P3251" i="16"/>
  <c r="Q3248" i="16"/>
  <c r="P3248" i="16"/>
  <c r="Q3247" i="16"/>
  <c r="P3247" i="16"/>
  <c r="Q3246" i="16"/>
  <c r="P3246" i="16"/>
  <c r="Q3245" i="16"/>
  <c r="P3245" i="16"/>
  <c r="Q3244" i="16"/>
  <c r="P3244" i="16"/>
  <c r="Q3243" i="16"/>
  <c r="P3243" i="16"/>
  <c r="Q3242" i="16"/>
  <c r="P3242" i="16"/>
  <c r="Q3241" i="16"/>
  <c r="P3241" i="16"/>
  <c r="Q3240" i="16"/>
  <c r="P3240" i="16"/>
  <c r="Q3239" i="16"/>
  <c r="P3239" i="16"/>
  <c r="Q3238" i="16"/>
  <c r="P3238" i="16"/>
  <c r="Q3237" i="16"/>
  <c r="P3237" i="16"/>
  <c r="Q3236" i="16"/>
  <c r="P3236" i="16"/>
  <c r="Q3235" i="16"/>
  <c r="P3235" i="16"/>
  <c r="Q3234" i="16"/>
  <c r="P3234" i="16"/>
  <c r="Q3233" i="16"/>
  <c r="P3233" i="16"/>
  <c r="Q3232" i="16"/>
  <c r="P3232" i="16"/>
  <c r="Q3229" i="16"/>
  <c r="P3229" i="16"/>
  <c r="Q3228" i="16"/>
  <c r="P3228" i="16"/>
  <c r="Q3227" i="16"/>
  <c r="P3227" i="16"/>
  <c r="Q3226" i="16"/>
  <c r="P3226" i="16"/>
  <c r="Q3225" i="16"/>
  <c r="P3225" i="16"/>
  <c r="Q3224" i="16"/>
  <c r="P3224" i="16"/>
  <c r="Q3223" i="16"/>
  <c r="P3223" i="16"/>
  <c r="Q3222" i="16"/>
  <c r="P3222" i="16"/>
  <c r="Q3221" i="16"/>
  <c r="P3221" i="16"/>
  <c r="Q3220" i="16"/>
  <c r="P3220" i="16"/>
  <c r="Q3219" i="16"/>
  <c r="P3219" i="16"/>
  <c r="Q3218" i="16"/>
  <c r="P3218" i="16"/>
  <c r="Q3217" i="16"/>
  <c r="P3217" i="16"/>
  <c r="Q3216" i="16"/>
  <c r="P3216" i="16"/>
  <c r="Q3215" i="16"/>
  <c r="P3215" i="16"/>
  <c r="Q3214" i="16"/>
  <c r="P3214" i="16"/>
  <c r="Q3213" i="16"/>
  <c r="P3213" i="16"/>
  <c r="Q3212" i="16"/>
  <c r="P3212" i="16"/>
  <c r="Q3211" i="16"/>
  <c r="P3211" i="16"/>
  <c r="Q3210" i="16"/>
  <c r="P3210" i="16"/>
  <c r="Q3209" i="16"/>
  <c r="P3209" i="16"/>
  <c r="Q3206" i="16"/>
  <c r="P3206" i="16"/>
  <c r="Q3203" i="16"/>
  <c r="P3203" i="16"/>
  <c r="Q3202" i="16"/>
  <c r="P3202" i="16"/>
  <c r="Q3201" i="16"/>
  <c r="P3201" i="16"/>
  <c r="Q3200" i="16"/>
  <c r="P3200" i="16"/>
  <c r="Q3199" i="16"/>
  <c r="P3199" i="16"/>
  <c r="Q3198" i="16"/>
  <c r="P3198" i="16"/>
  <c r="Q3197" i="16"/>
  <c r="P3197" i="16"/>
  <c r="Q3196" i="16"/>
  <c r="P3196" i="16"/>
  <c r="Q3195" i="16"/>
  <c r="P3195" i="16"/>
  <c r="Q3194" i="16"/>
  <c r="P3194" i="16"/>
  <c r="Q3193" i="16"/>
  <c r="P3193" i="16"/>
  <c r="Q3192" i="16"/>
  <c r="P3192" i="16"/>
  <c r="Q3191" i="16"/>
  <c r="P3191" i="16"/>
  <c r="Q3190" i="16"/>
  <c r="P3190" i="16"/>
  <c r="Q3189" i="16"/>
  <c r="P3189" i="16"/>
  <c r="Q3188" i="16"/>
  <c r="P3188" i="16"/>
  <c r="Q3187" i="16"/>
  <c r="P3187" i="16"/>
  <c r="Q3186" i="16"/>
  <c r="P3186" i="16"/>
  <c r="Q3185" i="16"/>
  <c r="P3185" i="16"/>
  <c r="Q3184" i="16"/>
  <c r="P3184" i="16"/>
  <c r="Q3183" i="16"/>
  <c r="P3183" i="16"/>
  <c r="Q3180" i="16"/>
  <c r="P3180" i="16"/>
  <c r="Q3179" i="16"/>
  <c r="P3179" i="16"/>
  <c r="Q3178" i="16"/>
  <c r="P3178" i="16"/>
  <c r="Q3177" i="16"/>
  <c r="P3177" i="16"/>
  <c r="Q3174" i="16"/>
  <c r="P3174" i="16"/>
  <c r="Q3173" i="16"/>
  <c r="P3173" i="16"/>
  <c r="Q3172" i="16"/>
  <c r="P3172" i="16"/>
  <c r="Q3171" i="16"/>
  <c r="P3171" i="16"/>
  <c r="Q3170" i="16"/>
  <c r="P3170" i="16"/>
  <c r="Q3169" i="16"/>
  <c r="P3169" i="16"/>
  <c r="Q3168" i="16"/>
  <c r="P3168" i="16"/>
  <c r="Q3167" i="16"/>
  <c r="P3167" i="16"/>
  <c r="Q3166" i="16"/>
  <c r="P3166" i="16"/>
  <c r="Q3165" i="16"/>
  <c r="P3165" i="16"/>
  <c r="Q3164" i="16"/>
  <c r="P3164" i="16"/>
  <c r="Q3163" i="16"/>
  <c r="P3163" i="16"/>
  <c r="Q3162" i="16"/>
  <c r="P3162" i="16"/>
  <c r="Q3161" i="16"/>
  <c r="P3161" i="16"/>
  <c r="Q3160" i="16"/>
  <c r="P3160" i="16"/>
  <c r="Q3159" i="16"/>
  <c r="P3159" i="16"/>
  <c r="Q3158" i="16"/>
  <c r="P3158" i="16"/>
  <c r="Q3157" i="16"/>
  <c r="P3157" i="16"/>
  <c r="Q3156" i="16"/>
  <c r="P3156" i="16"/>
  <c r="Q3155" i="16"/>
  <c r="P3155" i="16"/>
  <c r="Q3154" i="16"/>
  <c r="P3154" i="16"/>
  <c r="Q3153" i="16"/>
  <c r="P3153" i="16"/>
  <c r="Q3152" i="16"/>
  <c r="P3152" i="16"/>
  <c r="Q3151" i="16"/>
  <c r="P3151" i="16"/>
  <c r="Q3150" i="16"/>
  <c r="P3150" i="16"/>
  <c r="Q3149" i="16"/>
  <c r="P3149" i="16"/>
  <c r="Q3148" i="16"/>
  <c r="P3148" i="16"/>
  <c r="Q3145" i="16"/>
  <c r="P3145" i="16"/>
  <c r="Q3144" i="16"/>
  <c r="P3144" i="16"/>
  <c r="Q3143" i="16"/>
  <c r="P3143" i="16"/>
  <c r="Q3140" i="16"/>
  <c r="P3140" i="16"/>
  <c r="Q3139" i="16"/>
  <c r="P3139" i="16"/>
  <c r="Q3138" i="16"/>
  <c r="P3138" i="16"/>
  <c r="Q3137" i="16"/>
  <c r="P3137" i="16"/>
  <c r="Q3136" i="16"/>
  <c r="P3136" i="16"/>
  <c r="Q3135" i="16"/>
  <c r="P3135" i="16"/>
  <c r="Q3134" i="16"/>
  <c r="P3134" i="16"/>
  <c r="Q3133" i="16"/>
  <c r="P3133" i="16"/>
  <c r="Q3132" i="16"/>
  <c r="P3132" i="16"/>
  <c r="Q3131" i="16"/>
  <c r="P3131" i="16"/>
  <c r="Q3130" i="16"/>
  <c r="P3130" i="16"/>
  <c r="Q3129" i="16"/>
  <c r="P3129" i="16"/>
  <c r="Q3128" i="16"/>
  <c r="P3128" i="16"/>
  <c r="Q3127" i="16"/>
  <c r="P3127" i="16"/>
  <c r="Q3126" i="16"/>
  <c r="P3126" i="16"/>
  <c r="Q3125" i="16"/>
  <c r="P3125" i="16"/>
  <c r="Q3124" i="16"/>
  <c r="P3124" i="16"/>
  <c r="Q3123" i="16"/>
  <c r="P3123" i="16"/>
  <c r="Q3122" i="16"/>
  <c r="P3122" i="16"/>
  <c r="Q3121" i="16"/>
  <c r="P3121" i="16"/>
  <c r="Q3120" i="16"/>
  <c r="P3120" i="16"/>
  <c r="Q3119" i="16"/>
  <c r="P3119" i="16"/>
  <c r="Q3116" i="16"/>
  <c r="P3116" i="16"/>
  <c r="Q3115" i="16"/>
  <c r="P3115" i="16"/>
  <c r="Q3114" i="16"/>
  <c r="P3114" i="16"/>
  <c r="Q3113" i="16"/>
  <c r="P3113" i="16"/>
  <c r="Q3112" i="16"/>
  <c r="P3112" i="16"/>
  <c r="Q3111" i="16"/>
  <c r="P3111" i="16"/>
  <c r="Q3110" i="16"/>
  <c r="P3110" i="16"/>
  <c r="Q3109" i="16"/>
  <c r="P3109" i="16"/>
  <c r="Q3108" i="16"/>
  <c r="P3108" i="16"/>
  <c r="Q3107" i="16"/>
  <c r="P3107" i="16"/>
  <c r="Q3106" i="16"/>
  <c r="P3106" i="16"/>
  <c r="Q3105" i="16"/>
  <c r="P3105" i="16"/>
  <c r="Q3104" i="16"/>
  <c r="P3104" i="16"/>
  <c r="Q3103" i="16"/>
  <c r="P3103" i="16"/>
  <c r="Q3102" i="16"/>
  <c r="P3102" i="16"/>
  <c r="Q3101" i="16"/>
  <c r="P3101" i="16"/>
  <c r="Q3100" i="16"/>
  <c r="P3100" i="16"/>
  <c r="Q3099" i="16"/>
  <c r="P3099" i="16"/>
  <c r="Q3098" i="16"/>
  <c r="P3098" i="16"/>
  <c r="Q3097" i="16"/>
  <c r="P3097" i="16"/>
  <c r="Q3096" i="16"/>
  <c r="P3096" i="16"/>
  <c r="Q3095" i="16"/>
  <c r="P3095" i="16"/>
  <c r="Q3094" i="16"/>
  <c r="P3094" i="16"/>
  <c r="Q3093" i="16"/>
  <c r="P3093" i="16"/>
  <c r="Q3092" i="16"/>
  <c r="P3092" i="16"/>
  <c r="Q3091" i="16"/>
  <c r="P3091" i="16"/>
  <c r="Q3090" i="16"/>
  <c r="P3090" i="16"/>
  <c r="Q3089" i="16"/>
  <c r="P3089" i="16"/>
  <c r="Q3088" i="16"/>
  <c r="P3088" i="16"/>
  <c r="Q3087" i="16"/>
  <c r="P3087" i="16"/>
  <c r="Q3086" i="16"/>
  <c r="P3086" i="16"/>
  <c r="Q3085" i="16"/>
  <c r="P3085" i="16"/>
  <c r="Q3084" i="16"/>
  <c r="P3084" i="16"/>
  <c r="Q3083" i="16"/>
  <c r="P3083" i="16"/>
  <c r="Q3082" i="16"/>
  <c r="P3082" i="16"/>
  <c r="Q3081" i="16"/>
  <c r="P3081" i="16"/>
  <c r="Q3078" i="16"/>
  <c r="P3078" i="16"/>
  <c r="Q3077" i="16"/>
  <c r="P3077" i="16"/>
  <c r="Q3076" i="16"/>
  <c r="P3076" i="16"/>
  <c r="Q3075" i="16"/>
  <c r="P3075" i="16"/>
  <c r="Q3074" i="16"/>
  <c r="P3074" i="16"/>
  <c r="Q3073" i="16"/>
  <c r="P3073" i="16"/>
  <c r="Q3072" i="16"/>
  <c r="P3072" i="16"/>
  <c r="Q3070" i="16"/>
  <c r="P3070" i="16"/>
  <c r="Q3068" i="16"/>
  <c r="P3068" i="16"/>
  <c r="Q3066" i="16"/>
  <c r="P3066" i="16"/>
  <c r="Q3065" i="16"/>
  <c r="P3065" i="16"/>
  <c r="Q3064" i="16"/>
  <c r="P3064" i="16"/>
  <c r="Q3063" i="16"/>
  <c r="P3063" i="16"/>
  <c r="Q3062" i="16"/>
  <c r="P3062" i="16"/>
  <c r="Q3061" i="16"/>
  <c r="P3061" i="16"/>
  <c r="Q3060" i="16"/>
  <c r="P3060" i="16"/>
  <c r="Q3059" i="16"/>
  <c r="P3059" i="16"/>
  <c r="Q3058" i="16"/>
  <c r="P3058" i="16"/>
  <c r="Q3057" i="16"/>
  <c r="P3057" i="16"/>
  <c r="Q3056" i="16"/>
  <c r="P3056" i="16"/>
  <c r="Q3055" i="16"/>
  <c r="P3055" i="16"/>
  <c r="Q3054" i="16"/>
  <c r="P3054" i="16"/>
  <c r="Q3053" i="16"/>
  <c r="P3053" i="16"/>
  <c r="Q3052" i="16"/>
  <c r="P3052" i="16"/>
  <c r="Q3051" i="16"/>
  <c r="P3051" i="16"/>
  <c r="Q3050" i="16"/>
  <c r="P3050" i="16"/>
  <c r="Q3049" i="16"/>
  <c r="P3049" i="16"/>
  <c r="Q3048" i="16"/>
  <c r="P3048" i="16"/>
  <c r="Q3047" i="16"/>
  <c r="P3047" i="16"/>
  <c r="Q3046" i="16"/>
  <c r="P3046" i="16"/>
  <c r="Q3045" i="16"/>
  <c r="P3045" i="16"/>
  <c r="Q3044" i="16"/>
  <c r="P3044" i="16"/>
  <c r="Q3043" i="16"/>
  <c r="P3043" i="16"/>
  <c r="Q3042" i="16"/>
  <c r="P3042" i="16"/>
  <c r="Q3041" i="16"/>
  <c r="P3041" i="16"/>
  <c r="Q3040" i="16"/>
  <c r="P3040" i="16"/>
  <c r="Q3039" i="16"/>
  <c r="P3039" i="16"/>
  <c r="Q3038" i="16"/>
  <c r="P3038" i="16"/>
  <c r="Q3037" i="16"/>
  <c r="P3037" i="16"/>
  <c r="Q3036" i="16"/>
  <c r="P3036" i="16"/>
  <c r="Q3035" i="16"/>
  <c r="P3035" i="16"/>
  <c r="Q3034" i="16"/>
  <c r="P3034" i="16"/>
  <c r="Q3033" i="16"/>
  <c r="P3033" i="16"/>
  <c r="Q3032" i="16"/>
  <c r="P3032" i="16"/>
  <c r="Q3031" i="16"/>
  <c r="P3031" i="16"/>
  <c r="Q3030" i="16"/>
  <c r="P3030" i="16"/>
  <c r="Q3029" i="16"/>
  <c r="P3029" i="16"/>
  <c r="Q3028" i="16"/>
  <c r="P3028" i="16"/>
  <c r="Q3027" i="16"/>
  <c r="P3027" i="16"/>
  <c r="Q3026" i="16"/>
  <c r="P3026" i="16"/>
  <c r="Q3025" i="16"/>
  <c r="P3025" i="16"/>
  <c r="Q3024" i="16"/>
  <c r="P3024" i="16"/>
  <c r="Q3023" i="16"/>
  <c r="P3023" i="16"/>
  <c r="Q3022" i="16"/>
  <c r="P3022" i="16"/>
  <c r="Q3021" i="16"/>
  <c r="P3021" i="16"/>
  <c r="Q3018" i="16"/>
  <c r="P3018" i="16"/>
  <c r="Q3017" i="16"/>
  <c r="P3017" i="16"/>
  <c r="Q3016" i="16"/>
  <c r="P3016" i="16"/>
  <c r="Q3015" i="16"/>
  <c r="P3015" i="16"/>
  <c r="Q3014" i="16"/>
  <c r="P3014" i="16"/>
  <c r="Q3013" i="16"/>
  <c r="P3013" i="16"/>
  <c r="Q3012" i="16"/>
  <c r="P3012" i="16"/>
  <c r="Q3011" i="16"/>
  <c r="P3011" i="16"/>
  <c r="Q3010" i="16"/>
  <c r="P3010" i="16"/>
  <c r="Q3009" i="16"/>
  <c r="P3009" i="16"/>
  <c r="Q3008" i="16"/>
  <c r="P3008" i="16"/>
  <c r="Q3003" i="16"/>
  <c r="P3003" i="16"/>
  <c r="Q2998" i="16"/>
  <c r="P2998" i="16"/>
  <c r="Q2993" i="16"/>
  <c r="P2993" i="16"/>
  <c r="Q2988" i="16"/>
  <c r="P2988" i="16"/>
  <c r="Q2983" i="16"/>
  <c r="P2983" i="16"/>
  <c r="Q2978" i="16"/>
  <c r="P2978" i="16"/>
  <c r="Q2977" i="16"/>
  <c r="P2977" i="16"/>
  <c r="Q2976" i="16"/>
  <c r="P2976" i="16"/>
  <c r="Q2975" i="16"/>
  <c r="P2975" i="16"/>
  <c r="Q2974" i="16"/>
  <c r="P2974" i="16"/>
  <c r="Q2973" i="16"/>
  <c r="P2973" i="16"/>
  <c r="Q2972" i="16"/>
  <c r="P2972" i="16"/>
  <c r="Q2971" i="16"/>
  <c r="P2971" i="16"/>
  <c r="Q2970" i="16"/>
  <c r="P2970" i="16"/>
  <c r="Q2969" i="16"/>
  <c r="P2969" i="16"/>
  <c r="Q2968" i="16"/>
  <c r="P2968" i="16"/>
  <c r="Q2967" i="16"/>
  <c r="P2967" i="16"/>
  <c r="Q2966" i="16"/>
  <c r="P2966" i="16"/>
  <c r="Q2965" i="16"/>
  <c r="P2965" i="16"/>
  <c r="Q2964" i="16"/>
  <c r="P2964" i="16"/>
  <c r="Q2963" i="16"/>
  <c r="P2963" i="16"/>
  <c r="Q2962" i="16"/>
  <c r="P2962" i="16"/>
  <c r="Q2961" i="16"/>
  <c r="P2961" i="16"/>
  <c r="Q2960" i="16"/>
  <c r="P2960" i="16"/>
  <c r="Q2959" i="16"/>
  <c r="P2959" i="16"/>
  <c r="Q2958" i="16"/>
  <c r="P2958" i="16"/>
  <c r="Q2957" i="16"/>
  <c r="P2957" i="16"/>
  <c r="Q2956" i="16"/>
  <c r="P2956" i="16"/>
  <c r="Q2955" i="16"/>
  <c r="P2955" i="16"/>
  <c r="Q2954" i="16"/>
  <c r="P2954" i="16"/>
  <c r="Q2951" i="16"/>
  <c r="P2951" i="16"/>
  <c r="Q2950" i="16"/>
  <c r="P2950" i="16"/>
  <c r="Q2949" i="16"/>
  <c r="P2949" i="16"/>
  <c r="Q2948" i="16"/>
  <c r="P2948" i="16"/>
  <c r="Q2947" i="16"/>
  <c r="P2947" i="16"/>
  <c r="Q2946" i="16"/>
  <c r="P2946" i="16"/>
  <c r="Q2945" i="16"/>
  <c r="P2945" i="16"/>
  <c r="Q2943" i="16"/>
  <c r="P2943" i="16"/>
  <c r="Q2941" i="16"/>
  <c r="P2941" i="16"/>
  <c r="Q2939" i="16"/>
  <c r="P2939" i="16"/>
  <c r="Q2938" i="16"/>
  <c r="P2938" i="16"/>
  <c r="Q2937" i="16"/>
  <c r="P2937" i="16"/>
  <c r="Q2936" i="16"/>
  <c r="P2936" i="16"/>
  <c r="Q2935" i="16"/>
  <c r="P2935" i="16"/>
  <c r="Q2932" i="16"/>
  <c r="P2932" i="16"/>
  <c r="Q2931" i="16"/>
  <c r="P2931" i="16"/>
  <c r="Q2930" i="16"/>
  <c r="P2930" i="16"/>
  <c r="Q2929" i="16"/>
  <c r="P2929" i="16"/>
  <c r="Q2928" i="16"/>
  <c r="P2928" i="16"/>
  <c r="Q2927" i="16"/>
  <c r="P2927" i="16"/>
  <c r="Q2926" i="16"/>
  <c r="P2926" i="16"/>
  <c r="Q2925" i="16"/>
  <c r="P2925" i="16"/>
  <c r="Q2924" i="16"/>
  <c r="P2924" i="16"/>
  <c r="Q2923" i="16"/>
  <c r="P2923" i="16"/>
  <c r="Q2922" i="16"/>
  <c r="P2922" i="16"/>
  <c r="Q2921" i="16"/>
  <c r="P2921" i="16"/>
  <c r="Q2920" i="16"/>
  <c r="P2920" i="16"/>
  <c r="Q2919" i="16"/>
  <c r="P2919" i="16"/>
  <c r="Q2918" i="16"/>
  <c r="P2918" i="16"/>
  <c r="Q2917" i="16"/>
  <c r="P2917" i="16"/>
  <c r="Q2916" i="16"/>
  <c r="P2916" i="16"/>
  <c r="Q2913" i="16"/>
  <c r="P2913" i="16"/>
  <c r="Q2912" i="16"/>
  <c r="P2912" i="16"/>
  <c r="Q2911" i="16"/>
  <c r="P2911" i="16"/>
  <c r="Q2910" i="16"/>
  <c r="P2910" i="16"/>
  <c r="Q2909" i="16"/>
  <c r="P2909" i="16"/>
  <c r="Q2908" i="16"/>
  <c r="P2908" i="16"/>
  <c r="Q2907" i="16"/>
  <c r="P2907" i="16"/>
  <c r="Q2906" i="16"/>
  <c r="P2906" i="16"/>
  <c r="Q2905" i="16"/>
  <c r="P2905" i="16"/>
  <c r="Q2904" i="16"/>
  <c r="P2904" i="16"/>
  <c r="Q2901" i="16"/>
  <c r="P2901" i="16"/>
  <c r="Q2900" i="16"/>
  <c r="P2900" i="16"/>
  <c r="Q2899" i="16"/>
  <c r="P2899" i="16"/>
  <c r="Q2898" i="16"/>
  <c r="P2898" i="16"/>
  <c r="Q2897" i="16"/>
  <c r="P2897" i="16"/>
  <c r="Q2896" i="16"/>
  <c r="P2896" i="16"/>
  <c r="Q2895" i="16"/>
  <c r="P2895" i="16"/>
  <c r="Q2894" i="16"/>
  <c r="P2894" i="16"/>
  <c r="Q2893" i="16"/>
  <c r="P2893" i="16"/>
  <c r="Q2892" i="16"/>
  <c r="P2892" i="16"/>
  <c r="Q2891" i="16"/>
  <c r="P2891" i="16"/>
  <c r="Q2890" i="16"/>
  <c r="P2890" i="16"/>
  <c r="Q2889" i="16"/>
  <c r="P2889" i="16"/>
  <c r="Q2888" i="16"/>
  <c r="P2888" i="16"/>
  <c r="Q2887" i="16"/>
  <c r="P2887" i="16"/>
  <c r="Q2886" i="16"/>
  <c r="P2886" i="16"/>
  <c r="Q2883" i="16"/>
  <c r="P2883" i="16"/>
  <c r="Q2882" i="16"/>
  <c r="P2882" i="16"/>
  <c r="Q2881" i="16"/>
  <c r="P2881" i="16"/>
  <c r="Q2880" i="16"/>
  <c r="P2880" i="16"/>
  <c r="Q2879" i="16"/>
  <c r="P2879" i="16"/>
  <c r="Q2878" i="16"/>
  <c r="P2878" i="16"/>
  <c r="Q2877" i="16"/>
  <c r="P2877" i="16"/>
  <c r="Q2876" i="16"/>
  <c r="P2876" i="16"/>
  <c r="Q2875" i="16"/>
  <c r="P2875" i="16"/>
  <c r="Q2874" i="16"/>
  <c r="P2874" i="16"/>
  <c r="Q2873" i="16"/>
  <c r="P2873" i="16"/>
  <c r="Q2872" i="16"/>
  <c r="P2872" i="16"/>
  <c r="Q2871" i="16"/>
  <c r="P2871" i="16"/>
  <c r="Q2870" i="16"/>
  <c r="P2870" i="16"/>
  <c r="Q2869" i="16"/>
  <c r="P2869" i="16"/>
  <c r="Q2868" i="16"/>
  <c r="P2868" i="16"/>
  <c r="Q2867" i="16"/>
  <c r="P2867" i="16"/>
  <c r="Q2866" i="16"/>
  <c r="P2866" i="16"/>
  <c r="Q2865" i="16"/>
  <c r="P2865" i="16"/>
  <c r="Q2864" i="16"/>
  <c r="P2864" i="16"/>
  <c r="Q2863" i="16"/>
  <c r="P2863" i="16"/>
  <c r="Q2862" i="16"/>
  <c r="P2862" i="16"/>
  <c r="Q2861" i="16"/>
  <c r="P2861" i="16"/>
  <c r="Q2860" i="16"/>
  <c r="P2860" i="16"/>
  <c r="Q2859" i="16"/>
  <c r="P2859" i="16"/>
  <c r="Q2858" i="16"/>
  <c r="P2858" i="16"/>
  <c r="Q2857" i="16"/>
  <c r="P2857" i="16"/>
  <c r="Q2856" i="16"/>
  <c r="P2856" i="16"/>
  <c r="Q2855" i="16"/>
  <c r="P2855" i="16"/>
  <c r="Q2854" i="16"/>
  <c r="P2854" i="16"/>
  <c r="Q2853" i="16"/>
  <c r="P2853" i="16"/>
  <c r="Q2852" i="16"/>
  <c r="P2852" i="16"/>
  <c r="Q2851" i="16"/>
  <c r="P2851" i="16"/>
  <c r="Q2846" i="16"/>
  <c r="P2846" i="16"/>
  <c r="Q2841" i="16"/>
  <c r="P2841" i="16"/>
  <c r="Q2836" i="16"/>
  <c r="P2836" i="16"/>
  <c r="Q2831" i="16"/>
  <c r="P2831" i="16"/>
  <c r="Q2826" i="16"/>
  <c r="P2826" i="16"/>
  <c r="Q2821" i="16"/>
  <c r="P2821" i="16"/>
  <c r="Q2820" i="16"/>
  <c r="P2820" i="16"/>
  <c r="Q2819" i="16"/>
  <c r="P2819" i="16"/>
  <c r="Q2818" i="16"/>
  <c r="P2818" i="16"/>
  <c r="Q2817" i="16"/>
  <c r="P2817" i="16"/>
  <c r="Q2816" i="16"/>
  <c r="P2816" i="16"/>
  <c r="Q2815" i="16"/>
  <c r="P2815" i="16"/>
  <c r="Q2814" i="16"/>
  <c r="P2814" i="16"/>
  <c r="Q2813" i="16"/>
  <c r="P2813" i="16"/>
  <c r="Q2812" i="16"/>
  <c r="P2812" i="16"/>
  <c r="Q2811" i="16"/>
  <c r="P2811" i="16"/>
  <c r="Q2810" i="16"/>
  <c r="P2810" i="16"/>
  <c r="Q2809" i="16"/>
  <c r="P2809" i="16"/>
  <c r="Q2808" i="16"/>
  <c r="P2808" i="16"/>
  <c r="Q2807" i="16"/>
  <c r="P2807" i="16"/>
  <c r="Q2806" i="16"/>
  <c r="P2806" i="16"/>
  <c r="Q2805" i="16"/>
  <c r="P2805" i="16"/>
  <c r="Q2804" i="16"/>
  <c r="P2804" i="16"/>
  <c r="Q2803" i="16"/>
  <c r="P2803" i="16"/>
  <c r="Q2802" i="16"/>
  <c r="P2802" i="16"/>
  <c r="Q2801" i="16"/>
  <c r="P2801" i="16"/>
  <c r="Q2800" i="16"/>
  <c r="P2800" i="16"/>
  <c r="Q2799" i="16"/>
  <c r="P2799" i="16"/>
  <c r="Q2798" i="16"/>
  <c r="P2798" i="16"/>
  <c r="Q2797" i="16"/>
  <c r="P2797" i="16"/>
  <c r="Q2794" i="16"/>
  <c r="P2794" i="16"/>
  <c r="Q2793" i="16"/>
  <c r="P2793" i="16"/>
  <c r="Q2792" i="16"/>
  <c r="P2792" i="16"/>
  <c r="Q2791" i="16"/>
  <c r="P2791" i="16"/>
  <c r="Q2790" i="16"/>
  <c r="P2790" i="16"/>
  <c r="Q2789" i="16"/>
  <c r="P2789" i="16"/>
  <c r="Q2788" i="16"/>
  <c r="P2788" i="16"/>
  <c r="Q2786" i="16"/>
  <c r="P2786" i="16"/>
  <c r="Q2784" i="16"/>
  <c r="P2784" i="16"/>
  <c r="Q2782" i="16"/>
  <c r="P2782" i="16"/>
  <c r="Q2781" i="16"/>
  <c r="P2781" i="16"/>
  <c r="Q2780" i="16"/>
  <c r="P2780" i="16"/>
  <c r="Q2779" i="16"/>
  <c r="P2779" i="16"/>
  <c r="Q2778" i="16"/>
  <c r="P2778" i="16"/>
  <c r="Q2777" i="16"/>
  <c r="P2777" i="16"/>
  <c r="Q2776" i="16"/>
  <c r="P2776" i="16"/>
  <c r="Q2775" i="16"/>
  <c r="P2775" i="16"/>
  <c r="Q2774" i="16"/>
  <c r="P2774" i="16"/>
  <c r="Q2773" i="16"/>
  <c r="P2773" i="16"/>
  <c r="Q2772" i="16"/>
  <c r="P2772" i="16"/>
  <c r="Q2771" i="16"/>
  <c r="P2771" i="16"/>
  <c r="Q2770" i="16"/>
  <c r="P2770" i="16"/>
  <c r="Q2769" i="16"/>
  <c r="P2769" i="16"/>
  <c r="Q2766" i="16"/>
  <c r="P2766" i="16"/>
  <c r="Q2765" i="16"/>
  <c r="P2765" i="16"/>
  <c r="Q2764" i="16"/>
  <c r="P2764" i="16"/>
  <c r="Q2763" i="16"/>
  <c r="P2763" i="16"/>
  <c r="Q2762" i="16"/>
  <c r="P2762" i="16"/>
  <c r="Q2761" i="16"/>
  <c r="P2761" i="16"/>
  <c r="Q2760" i="16"/>
  <c r="P2760" i="16"/>
  <c r="Q2759" i="16"/>
  <c r="P2759" i="16"/>
  <c r="Q2758" i="16"/>
  <c r="P2758" i="16"/>
  <c r="Q2757" i="16"/>
  <c r="P2757" i="16"/>
  <c r="Q2756" i="16"/>
  <c r="P2756" i="16"/>
  <c r="Q2755" i="16"/>
  <c r="P2755" i="16"/>
  <c r="Q2754" i="16"/>
  <c r="P2754" i="16"/>
  <c r="Q2753" i="16"/>
  <c r="P2753" i="16"/>
  <c r="Q2752" i="16"/>
  <c r="P2752" i="16"/>
  <c r="Q2751" i="16"/>
  <c r="P2751" i="16"/>
  <c r="Q2750" i="16"/>
  <c r="P2750" i="16"/>
  <c r="Q2749" i="16"/>
  <c r="P2749" i="16"/>
  <c r="Q2748" i="16"/>
  <c r="P2748" i="16"/>
  <c r="Q2747" i="16"/>
  <c r="P2747" i="16"/>
  <c r="Q2746" i="16"/>
  <c r="P2746" i="16"/>
  <c r="Q2745" i="16"/>
  <c r="P2745" i="16"/>
  <c r="Q2744" i="16"/>
  <c r="P2744" i="16"/>
  <c r="Q2741" i="16"/>
  <c r="P2741" i="16"/>
  <c r="Q2740" i="16"/>
  <c r="P2740" i="16"/>
  <c r="Q2739" i="16"/>
  <c r="P2739" i="16"/>
  <c r="Q2738" i="16"/>
  <c r="P2738" i="16"/>
  <c r="Q2737" i="16"/>
  <c r="P2737" i="16"/>
  <c r="Q2736" i="16"/>
  <c r="P2736" i="16"/>
  <c r="Q2735" i="16"/>
  <c r="P2735" i="16"/>
  <c r="Q2733" i="16"/>
  <c r="P2733" i="16"/>
  <c r="Q2731" i="16"/>
  <c r="P2731" i="16"/>
  <c r="Q2729" i="16"/>
  <c r="P2729" i="16"/>
  <c r="Q2728" i="16"/>
  <c r="P2728" i="16"/>
  <c r="Q2727" i="16"/>
  <c r="P2727" i="16"/>
  <c r="Q2726" i="16"/>
  <c r="P2726" i="16"/>
  <c r="Q2725" i="16"/>
  <c r="P2725" i="16"/>
  <c r="Q2724" i="16"/>
  <c r="P2724" i="16"/>
  <c r="Q2723" i="16"/>
  <c r="P2723" i="16"/>
  <c r="Q2722" i="16"/>
  <c r="P2722" i="16"/>
  <c r="Q2721" i="16"/>
  <c r="P2721" i="16"/>
  <c r="Q2720" i="16"/>
  <c r="P2720" i="16"/>
  <c r="Q2719" i="16"/>
  <c r="P2719" i="16"/>
  <c r="Q2718" i="16"/>
  <c r="P2718" i="16"/>
  <c r="Q2717" i="16"/>
  <c r="P2717" i="16"/>
  <c r="Q2716" i="16"/>
  <c r="P2716" i="16"/>
  <c r="Q2715" i="16"/>
  <c r="P2715" i="16"/>
  <c r="Q2714" i="16"/>
  <c r="P2714" i="16"/>
  <c r="Q2713" i="16"/>
  <c r="P2713" i="16"/>
  <c r="Q2712" i="16"/>
  <c r="P2712" i="16"/>
  <c r="Q2711" i="16"/>
  <c r="P2711" i="16"/>
  <c r="Q2710" i="16"/>
  <c r="P2710" i="16"/>
  <c r="Q2709" i="16"/>
  <c r="P2709" i="16"/>
  <c r="Q2708" i="16"/>
  <c r="P2708" i="16"/>
  <c r="Q2699" i="16"/>
  <c r="P2699" i="16"/>
  <c r="Q2698" i="16"/>
  <c r="P2698" i="16"/>
  <c r="Q2697" i="16"/>
  <c r="P2697" i="16"/>
  <c r="Q2696" i="16"/>
  <c r="P2696" i="16"/>
  <c r="Q2695" i="16"/>
  <c r="P2695" i="16"/>
  <c r="Q2694" i="16"/>
  <c r="P2694" i="16"/>
  <c r="Q2693" i="16"/>
  <c r="P2693" i="16"/>
  <c r="Q2692" i="16"/>
  <c r="P2692" i="16"/>
  <c r="Q2691" i="16"/>
  <c r="P2691" i="16"/>
  <c r="Q2690" i="16"/>
  <c r="P2690" i="16"/>
  <c r="Q2689" i="16"/>
  <c r="P2689" i="16"/>
  <c r="Q2688" i="16"/>
  <c r="P2688" i="16"/>
  <c r="Q2686" i="16"/>
  <c r="P2686" i="16"/>
  <c r="Q2684" i="16"/>
  <c r="P2684" i="16"/>
  <c r="Q2683" i="16"/>
  <c r="P2683" i="16"/>
  <c r="Q2682" i="16"/>
  <c r="P2682" i="16"/>
  <c r="Q2681" i="16"/>
  <c r="P2681" i="16"/>
  <c r="Q2680" i="16"/>
  <c r="P2680" i="16"/>
  <c r="Q2679" i="16"/>
  <c r="P2679" i="16"/>
  <c r="Q2678" i="16"/>
  <c r="P2678" i="16"/>
  <c r="Q2677" i="16"/>
  <c r="P2677" i="16"/>
  <c r="Q2676" i="16"/>
  <c r="P2676" i="16"/>
  <c r="Q2675" i="16"/>
  <c r="P2675" i="16"/>
  <c r="Q2674" i="16"/>
  <c r="P2674" i="16"/>
  <c r="Q2673" i="16"/>
  <c r="P2673" i="16"/>
  <c r="Q2672" i="16"/>
  <c r="P2672" i="16"/>
  <c r="Q2671" i="16"/>
  <c r="P2671" i="16"/>
  <c r="Q2670" i="16"/>
  <c r="P2670" i="16"/>
  <c r="Q2669" i="16"/>
  <c r="P2669" i="16"/>
  <c r="Q2668" i="16"/>
  <c r="P2668" i="16"/>
  <c r="Q2667" i="16"/>
  <c r="P2667" i="16"/>
  <c r="Q2666" i="16"/>
  <c r="P2666" i="16"/>
  <c r="Q2665" i="16"/>
  <c r="P2665" i="16"/>
  <c r="Q2664" i="16"/>
  <c r="P2664" i="16"/>
  <c r="Q2663" i="16"/>
  <c r="P2663" i="16"/>
  <c r="Q2662" i="16"/>
  <c r="P2662" i="16"/>
  <c r="Q2661" i="16"/>
  <c r="P2661" i="16"/>
  <c r="Q2660" i="16"/>
  <c r="P2660" i="16"/>
  <c r="Q2659" i="16"/>
  <c r="P2659" i="16"/>
  <c r="Q2658" i="16"/>
  <c r="P2658" i="16"/>
  <c r="Q2657" i="16"/>
  <c r="P2657" i="16"/>
  <c r="Q2656" i="16"/>
  <c r="P2656" i="16"/>
  <c r="Q2655" i="16"/>
  <c r="P2655" i="16"/>
  <c r="Q2654" i="16"/>
  <c r="P2654" i="16"/>
  <c r="Q2653" i="16"/>
  <c r="P2653" i="16"/>
  <c r="Q2652" i="16"/>
  <c r="P2652" i="16"/>
  <c r="Q2649" i="16"/>
  <c r="P2649" i="16"/>
  <c r="Q2648" i="16"/>
  <c r="P2648" i="16"/>
  <c r="Q2645" i="16"/>
  <c r="P2645" i="16"/>
  <c r="Q2644" i="16"/>
  <c r="P2644" i="16"/>
  <c r="Q2641" i="16"/>
  <c r="P2641" i="16"/>
  <c r="Q2640" i="16"/>
  <c r="P2640" i="16"/>
  <c r="Q2639" i="16"/>
  <c r="P2639" i="16"/>
  <c r="Q2638" i="16"/>
  <c r="P2638" i="16"/>
  <c r="Q2637" i="16"/>
  <c r="P2637" i="16"/>
  <c r="Q2636" i="16"/>
  <c r="P2636" i="16"/>
  <c r="Q2635" i="16"/>
  <c r="P2635" i="16"/>
  <c r="Q2634" i="16"/>
  <c r="P2634" i="16"/>
  <c r="Q2633" i="16"/>
  <c r="P2633" i="16"/>
  <c r="Q2632" i="16"/>
  <c r="P2632" i="16"/>
  <c r="Q2631" i="16"/>
  <c r="P2631" i="16"/>
  <c r="Q2630" i="16"/>
  <c r="P2630" i="16"/>
  <c r="Q2629" i="16"/>
  <c r="P2629" i="16"/>
  <c r="Q2628" i="16"/>
  <c r="P2628" i="16"/>
  <c r="Q2627" i="16"/>
  <c r="P2627" i="16"/>
  <c r="Q2624" i="16"/>
  <c r="P2624" i="16"/>
  <c r="Q2623" i="16"/>
  <c r="P2623" i="16"/>
  <c r="Q2622" i="16"/>
  <c r="P2622" i="16"/>
  <c r="Q2621" i="16"/>
  <c r="P2621" i="16"/>
  <c r="Q2620" i="16"/>
  <c r="P2620" i="16"/>
  <c r="Q2619" i="16"/>
  <c r="P2619" i="16"/>
  <c r="Q2618" i="16"/>
  <c r="P2618" i="16"/>
  <c r="Q2617" i="16"/>
  <c r="P2617" i="16"/>
  <c r="Q2616" i="16"/>
  <c r="P2616" i="16"/>
  <c r="Q2615" i="16"/>
  <c r="P2615" i="16"/>
  <c r="Q2614" i="16"/>
  <c r="P2614" i="16"/>
  <c r="Q2613" i="16"/>
  <c r="P2613" i="16"/>
  <c r="Q2612" i="16"/>
  <c r="P2612" i="16"/>
  <c r="Q2611" i="16"/>
  <c r="P2611" i="16"/>
  <c r="Q2610" i="16"/>
  <c r="P2610" i="16"/>
  <c r="Q2609" i="16"/>
  <c r="P2609" i="16"/>
  <c r="Q2608" i="16"/>
  <c r="P2608" i="16"/>
  <c r="Q2607" i="16"/>
  <c r="P2607" i="16"/>
  <c r="Q2606" i="16"/>
  <c r="P2606" i="16"/>
  <c r="Q2605" i="16"/>
  <c r="P2605" i="16"/>
  <c r="Q2604" i="16"/>
  <c r="P2604" i="16"/>
  <c r="Q2601" i="16"/>
  <c r="P2601" i="16"/>
  <c r="Q2600" i="16"/>
  <c r="P2600" i="16"/>
  <c r="Q2597" i="16"/>
  <c r="P2597" i="16"/>
  <c r="Q2596" i="16"/>
  <c r="P2596" i="16"/>
  <c r="Q2595" i="16"/>
  <c r="P2595" i="16"/>
  <c r="Q2594" i="16"/>
  <c r="P2594" i="16"/>
  <c r="Q2593" i="16"/>
  <c r="P2593" i="16"/>
  <c r="Q2592" i="16"/>
  <c r="P2592" i="16"/>
  <c r="Q2591" i="16"/>
  <c r="P2591" i="16"/>
  <c r="Q2590" i="16"/>
  <c r="P2590" i="16"/>
  <c r="Q2589" i="16"/>
  <c r="P2589" i="16"/>
  <c r="Q2588" i="16"/>
  <c r="P2588" i="16"/>
  <c r="Q2587" i="16"/>
  <c r="P2587" i="16"/>
  <c r="Q2586" i="16"/>
  <c r="P2586" i="16"/>
  <c r="Q2585" i="16"/>
  <c r="P2585" i="16"/>
  <c r="Q2584" i="16"/>
  <c r="P2584" i="16"/>
  <c r="Q2583" i="16"/>
  <c r="P2583" i="16"/>
  <c r="Q2582" i="16"/>
  <c r="P2582" i="16"/>
  <c r="Q2581" i="16"/>
  <c r="P2581" i="16"/>
  <c r="Q2580" i="16"/>
  <c r="P2580" i="16"/>
  <c r="Q2579" i="16"/>
  <c r="P2579" i="16"/>
  <c r="Q2578" i="16"/>
  <c r="P2578" i="16"/>
  <c r="Q2577" i="16"/>
  <c r="P2577" i="16"/>
  <c r="Q2576" i="16"/>
  <c r="P2576" i="16"/>
  <c r="Q2575" i="16"/>
  <c r="P2575" i="16"/>
  <c r="Q2574" i="16"/>
  <c r="P2574" i="16"/>
  <c r="Q2573" i="16"/>
  <c r="P2573" i="16"/>
  <c r="Q2572" i="16"/>
  <c r="P2572" i="16"/>
  <c r="Q2571" i="16"/>
  <c r="P2571" i="16"/>
  <c r="Q2570" i="16"/>
  <c r="P2570" i="16"/>
  <c r="Q2569" i="16"/>
  <c r="P2569" i="16"/>
  <c r="Q2568" i="16"/>
  <c r="P2568" i="16"/>
  <c r="Q2567" i="16"/>
  <c r="P2567" i="16"/>
  <c r="Q2566" i="16"/>
  <c r="P2566" i="16"/>
  <c r="Q2563" i="16"/>
  <c r="P2563" i="16"/>
  <c r="Q2562" i="16"/>
  <c r="P2562" i="16"/>
  <c r="Q2561" i="16"/>
  <c r="P2561" i="16"/>
  <c r="Q2560" i="16"/>
  <c r="P2560" i="16"/>
  <c r="Q2559" i="16"/>
  <c r="P2559" i="16"/>
  <c r="Q2558" i="16"/>
  <c r="P2558" i="16"/>
  <c r="Q2557" i="16"/>
  <c r="P2557" i="16"/>
  <c r="Q2556" i="16"/>
  <c r="P2556" i="16"/>
  <c r="Q2555" i="16"/>
  <c r="P2555" i="16"/>
  <c r="Q2554" i="16"/>
  <c r="P2554" i="16"/>
  <c r="Q2553" i="16"/>
  <c r="P2553" i="16"/>
  <c r="Q2552" i="16"/>
  <c r="P2552" i="16"/>
  <c r="Q2551" i="16"/>
  <c r="P2551" i="16"/>
  <c r="Q2550" i="16"/>
  <c r="P2550" i="16"/>
  <c r="Q2549" i="16"/>
  <c r="P2549" i="16"/>
  <c r="Q2548" i="16"/>
  <c r="P2548" i="16"/>
  <c r="Q2547" i="16"/>
  <c r="P2547" i="16"/>
  <c r="Q2545" i="16"/>
  <c r="P2545" i="16"/>
  <c r="Q2543" i="16"/>
  <c r="P2543" i="16"/>
  <c r="Q2541" i="16"/>
  <c r="P2541" i="16"/>
  <c r="Q2540" i="16"/>
  <c r="P2540" i="16"/>
  <c r="Q2539" i="16"/>
  <c r="P2539" i="16"/>
  <c r="Q2538" i="16"/>
  <c r="P2538" i="16"/>
  <c r="Q2536" i="16"/>
  <c r="P2536" i="16"/>
  <c r="Q2535" i="16"/>
  <c r="P2535" i="16"/>
  <c r="Q2534" i="16"/>
  <c r="P2534" i="16"/>
  <c r="Q2533" i="16"/>
  <c r="P2533" i="16"/>
  <c r="Q2532" i="16"/>
  <c r="P2532" i="16"/>
  <c r="Q2531" i="16"/>
  <c r="P2531" i="16"/>
  <c r="Q2530" i="16"/>
  <c r="P2530" i="16"/>
  <c r="Q2529" i="16"/>
  <c r="P2529" i="16"/>
  <c r="Q2528" i="16"/>
  <c r="P2528" i="16"/>
  <c r="Q2527" i="16"/>
  <c r="P2527" i="16"/>
  <c r="Q2524" i="16"/>
  <c r="P2524" i="16"/>
  <c r="Q2523" i="16"/>
  <c r="P2523" i="16"/>
  <c r="Q2520" i="16"/>
  <c r="P2520" i="16"/>
  <c r="Q2519" i="16"/>
  <c r="P2519" i="16"/>
  <c r="Q2516" i="16"/>
  <c r="P2516" i="16"/>
  <c r="Q2515" i="16"/>
  <c r="P2515" i="16"/>
  <c r="Q2514" i="16"/>
  <c r="P2514" i="16"/>
  <c r="Q2513" i="16"/>
  <c r="P2513" i="16"/>
  <c r="Q2512" i="16"/>
  <c r="P2512" i="16"/>
  <c r="Q2511" i="16"/>
  <c r="P2511" i="16"/>
  <c r="Q2510" i="16"/>
  <c r="P2510" i="16"/>
  <c r="Q2509" i="16"/>
  <c r="P2509" i="16"/>
  <c r="Q2508" i="16"/>
  <c r="P2508" i="16"/>
  <c r="Q2507" i="16"/>
  <c r="P2507" i="16"/>
  <c r="Q2506" i="16"/>
  <c r="P2506" i="16"/>
  <c r="Q2505" i="16"/>
  <c r="P2505" i="16"/>
  <c r="Q2504" i="16"/>
  <c r="P2504" i="16"/>
  <c r="Q2503" i="16"/>
  <c r="P2503" i="16"/>
  <c r="Q2502" i="16"/>
  <c r="P2502" i="16"/>
  <c r="Q2501" i="16"/>
  <c r="P2501" i="16"/>
  <c r="Q2500" i="16"/>
  <c r="P2500" i="16"/>
  <c r="Q2499" i="16"/>
  <c r="P2499" i="16"/>
  <c r="Q2498" i="16"/>
  <c r="P2498" i="16"/>
  <c r="Q2497" i="16"/>
  <c r="P2497" i="16"/>
  <c r="Q2496" i="16"/>
  <c r="P2496" i="16"/>
  <c r="Q2491" i="16"/>
  <c r="P2491" i="16"/>
  <c r="Q2486" i="16"/>
  <c r="P2486" i="16"/>
  <c r="Q2481" i="16"/>
  <c r="P2481" i="16"/>
  <c r="Q2476" i="16"/>
  <c r="P2476" i="16"/>
  <c r="Q2471" i="16"/>
  <c r="P2471" i="16"/>
  <c r="Q2466" i="16"/>
  <c r="P2466" i="16"/>
  <c r="Q2465" i="16"/>
  <c r="P2465" i="16"/>
  <c r="Q2464" i="16"/>
  <c r="P2464" i="16"/>
  <c r="Q2463" i="16"/>
  <c r="P2463" i="16"/>
  <c r="Q2462" i="16"/>
  <c r="P2462" i="16"/>
  <c r="Q2461" i="16"/>
  <c r="P2461" i="16"/>
  <c r="Q2460" i="16"/>
  <c r="P2460" i="16"/>
  <c r="Q2459" i="16"/>
  <c r="P2459" i="16"/>
  <c r="Q2458" i="16"/>
  <c r="P2458" i="16"/>
  <c r="Q2457" i="16"/>
  <c r="P2457" i="16"/>
  <c r="Q2456" i="16"/>
  <c r="P2456" i="16"/>
  <c r="Q2455" i="16"/>
  <c r="P2455" i="16"/>
  <c r="Q2454" i="16"/>
  <c r="P2454" i="16"/>
  <c r="Q2453" i="16"/>
  <c r="P2453" i="16"/>
  <c r="Q2452" i="16"/>
  <c r="P2452" i="16"/>
  <c r="Q2451" i="16"/>
  <c r="P2451" i="16"/>
  <c r="Q2450" i="16"/>
  <c r="P2450" i="16"/>
  <c r="Q2449" i="16"/>
  <c r="P2449" i="16"/>
  <c r="Q2448" i="16"/>
  <c r="P2448" i="16"/>
  <c r="Q2447" i="16"/>
  <c r="P2447" i="16"/>
  <c r="Q2446" i="16"/>
  <c r="P2446" i="16"/>
  <c r="Q2445" i="16"/>
  <c r="P2445" i="16"/>
  <c r="Q2444" i="16"/>
  <c r="P2444" i="16"/>
  <c r="Q2443" i="16"/>
  <c r="P2443" i="16"/>
  <c r="Q2442" i="16"/>
  <c r="P2442" i="16"/>
  <c r="Q2441" i="16"/>
  <c r="P2441" i="16"/>
  <c r="Q2438" i="16"/>
  <c r="P2438" i="16"/>
  <c r="Q2437" i="16"/>
  <c r="P2437" i="16"/>
  <c r="Q2436" i="16"/>
  <c r="P2436" i="16"/>
  <c r="Q2435" i="16"/>
  <c r="P2435" i="16"/>
  <c r="Q2434" i="16"/>
  <c r="P2434" i="16"/>
  <c r="Q2433" i="16"/>
  <c r="P2433" i="16"/>
  <c r="Q2432" i="16"/>
  <c r="P2432" i="16"/>
  <c r="Q2430" i="16"/>
  <c r="P2430" i="16"/>
  <c r="Q2428" i="16"/>
  <c r="P2428" i="16"/>
  <c r="Q2426" i="16"/>
  <c r="P2426" i="16"/>
  <c r="Q2425" i="16"/>
  <c r="P2425" i="16"/>
  <c r="Q2424" i="16"/>
  <c r="P2424" i="16"/>
  <c r="Q2423" i="16"/>
  <c r="P2423" i="16"/>
  <c r="Q2422" i="16"/>
  <c r="P2422" i="16"/>
  <c r="Q2421" i="16"/>
  <c r="P2421" i="16"/>
  <c r="Q2419" i="16"/>
  <c r="P2419" i="16"/>
  <c r="Q2418" i="16"/>
  <c r="P2418" i="16"/>
  <c r="Q2417" i="16"/>
  <c r="P2417" i="16"/>
  <c r="Q2416" i="16"/>
  <c r="P2416" i="16"/>
  <c r="Q2415" i="16"/>
  <c r="P2415" i="16"/>
  <c r="Q2414" i="16"/>
  <c r="P2414" i="16"/>
  <c r="Q2413" i="16"/>
  <c r="P2413" i="16"/>
  <c r="Q2412" i="16"/>
  <c r="P2412" i="16"/>
  <c r="Q2411" i="16"/>
  <c r="P2411" i="16"/>
  <c r="Q2410" i="16"/>
  <c r="P2410" i="16"/>
  <c r="Q2409" i="16"/>
  <c r="P2409" i="16"/>
  <c r="Q2408" i="16"/>
  <c r="P2408" i="16"/>
  <c r="Q2407" i="16"/>
  <c r="P2407" i="16"/>
  <c r="Q2406" i="16"/>
  <c r="P2406" i="16"/>
  <c r="Q2405" i="16"/>
  <c r="P2405" i="16"/>
  <c r="Q2404" i="16"/>
  <c r="P2404" i="16"/>
  <c r="Q2403" i="16"/>
  <c r="P2403" i="16"/>
  <c r="Q2400" i="16"/>
  <c r="P2400" i="16"/>
  <c r="Q2399" i="16"/>
  <c r="P2399" i="16"/>
  <c r="Q2398" i="16"/>
  <c r="P2398" i="16"/>
  <c r="Q2397" i="16"/>
  <c r="P2397" i="16"/>
  <c r="Q2396" i="16"/>
  <c r="P2396" i="16"/>
  <c r="Q2395" i="16"/>
  <c r="P2395" i="16"/>
  <c r="Q2394" i="16"/>
  <c r="P2394" i="16"/>
  <c r="Q2393" i="16"/>
  <c r="P2393" i="16"/>
  <c r="Q2392" i="16"/>
  <c r="P2392" i="16"/>
  <c r="Q2391" i="16"/>
  <c r="P2391" i="16"/>
  <c r="Q2390" i="16"/>
  <c r="P2390" i="16"/>
  <c r="Q2389" i="16"/>
  <c r="P2389" i="16"/>
  <c r="Q2388" i="16"/>
  <c r="P2388" i="16"/>
  <c r="Q2387" i="16"/>
  <c r="P2387" i="16"/>
  <c r="Q2386" i="16"/>
  <c r="P2386" i="16"/>
  <c r="Q2385" i="16"/>
  <c r="P2385" i="16"/>
  <c r="Q2384" i="16"/>
  <c r="P2384" i="16"/>
  <c r="Q2383" i="16"/>
  <c r="P2383" i="16"/>
  <c r="Q2382" i="16"/>
  <c r="P2382" i="16"/>
  <c r="Q2381" i="16"/>
  <c r="P2381" i="16"/>
  <c r="Q2380" i="16"/>
  <c r="P2380" i="16"/>
  <c r="Q2379" i="16"/>
  <c r="P2379" i="16"/>
  <c r="Q2378" i="16"/>
  <c r="P2378" i="16"/>
  <c r="Q2377" i="16"/>
  <c r="P2377" i="16"/>
  <c r="Q2376" i="16"/>
  <c r="P2376" i="16"/>
  <c r="Q2375" i="16"/>
  <c r="P2375" i="16"/>
  <c r="Q2374" i="16"/>
  <c r="P2374" i="16"/>
  <c r="Q2373" i="16"/>
  <c r="P2373" i="16"/>
  <c r="Q2372" i="16"/>
  <c r="P2372" i="16"/>
  <c r="Q2371" i="16"/>
  <c r="P2371" i="16"/>
  <c r="Q2370" i="16"/>
  <c r="P2370" i="16"/>
  <c r="Q2369" i="16"/>
  <c r="P2369" i="16"/>
  <c r="Q2368" i="16"/>
  <c r="P2368" i="16"/>
  <c r="Q2367" i="16"/>
  <c r="P2367" i="16"/>
  <c r="Q2366" i="16"/>
  <c r="P2366" i="16"/>
  <c r="Q2365" i="16"/>
  <c r="P2365" i="16"/>
  <c r="Q2364" i="16"/>
  <c r="P2364" i="16"/>
  <c r="Q2363" i="16"/>
  <c r="P2363" i="16"/>
  <c r="Q2362" i="16"/>
  <c r="P2362" i="16"/>
  <c r="Q2361" i="16"/>
  <c r="P2361" i="16"/>
  <c r="Q2360" i="16"/>
  <c r="P2360" i="16"/>
  <c r="Q2359" i="16"/>
  <c r="P2359" i="16"/>
  <c r="Q2358" i="16"/>
  <c r="P2358" i="16"/>
  <c r="Q2357" i="16"/>
  <c r="P2357" i="16"/>
  <c r="Q2356" i="16"/>
  <c r="P2356" i="16"/>
  <c r="Q2355" i="16"/>
  <c r="P2355" i="16"/>
  <c r="Q2354" i="16"/>
  <c r="P2354" i="16"/>
  <c r="Q2353" i="16"/>
  <c r="P2353" i="16"/>
  <c r="Q2352" i="16"/>
  <c r="P2352" i="16"/>
  <c r="Q2351" i="16"/>
  <c r="P2351" i="16"/>
  <c r="Q2350" i="16"/>
  <c r="P2350" i="16"/>
  <c r="Q2349" i="16"/>
  <c r="P2349" i="16"/>
  <c r="Q2348" i="16"/>
  <c r="P2348" i="16"/>
  <c r="Q2347" i="16"/>
  <c r="P2347" i="16"/>
  <c r="Q2346" i="16"/>
  <c r="P2346" i="16"/>
  <c r="Q2345" i="16"/>
  <c r="P2345" i="16"/>
  <c r="Q2344" i="16"/>
  <c r="P2344" i="16"/>
  <c r="Q2343" i="16"/>
  <c r="P2343" i="16"/>
  <c r="Q2342" i="16"/>
  <c r="P2342" i="16"/>
  <c r="Q2341" i="16"/>
  <c r="P2341" i="16"/>
  <c r="Q2340" i="16"/>
  <c r="P2340" i="16"/>
  <c r="Q2339" i="16"/>
  <c r="P2339" i="16"/>
  <c r="Q2338" i="16"/>
  <c r="P2338" i="16"/>
  <c r="Q2337" i="16"/>
  <c r="P2337" i="16"/>
  <c r="Q2336" i="16"/>
  <c r="P2336" i="16"/>
  <c r="Q2335" i="16"/>
  <c r="P2335" i="16"/>
  <c r="Q2334" i="16"/>
  <c r="P2334" i="16"/>
  <c r="Q2333" i="16"/>
  <c r="P2333" i="16"/>
  <c r="Q2332" i="16"/>
  <c r="P2332" i="16"/>
  <c r="Q2331" i="16"/>
  <c r="P2331" i="16"/>
  <c r="Q2330" i="16"/>
  <c r="P2330" i="16"/>
  <c r="Q2329" i="16"/>
  <c r="P2329" i="16"/>
  <c r="Q2328" i="16"/>
  <c r="P2328" i="16"/>
  <c r="Q2327" i="16"/>
  <c r="P2327" i="16"/>
  <c r="Q2326" i="16"/>
  <c r="P2326" i="16"/>
  <c r="Q2325" i="16"/>
  <c r="P2325" i="16"/>
  <c r="Q2324" i="16"/>
  <c r="P2324" i="16"/>
  <c r="Q2323" i="16"/>
  <c r="P2323" i="16"/>
  <c r="Q2322" i="16"/>
  <c r="P2322" i="16"/>
  <c r="Q2321" i="16"/>
  <c r="P2321" i="16"/>
  <c r="Q2320" i="16"/>
  <c r="P2320" i="16"/>
  <c r="Q2319" i="16"/>
  <c r="P2319" i="16"/>
  <c r="Q2318" i="16"/>
  <c r="P2318" i="16"/>
  <c r="Q2317" i="16"/>
  <c r="P2317" i="16"/>
  <c r="Q2316" i="16"/>
  <c r="P2316" i="16"/>
  <c r="Q2315" i="16"/>
  <c r="P2315" i="16"/>
  <c r="Q2314" i="16"/>
  <c r="P2314" i="16"/>
  <c r="Q2313" i="16"/>
  <c r="P2313" i="16"/>
  <c r="Q2312" i="16"/>
  <c r="P2312" i="16"/>
  <c r="Q2311" i="16"/>
  <c r="P2311" i="16"/>
  <c r="Q2310" i="16"/>
  <c r="P2310" i="16"/>
  <c r="Q2309" i="16"/>
  <c r="P2309" i="16"/>
  <c r="Q2308" i="16"/>
  <c r="P2308" i="16"/>
  <c r="Q2307" i="16"/>
  <c r="P2307" i="16"/>
  <c r="Q2305" i="16"/>
  <c r="P2305" i="16"/>
  <c r="Q2303" i="16"/>
  <c r="P2303" i="16"/>
  <c r="Q2301" i="16"/>
  <c r="P2301" i="16"/>
  <c r="Q2300" i="16"/>
  <c r="P2300" i="16"/>
  <c r="Q2299" i="16"/>
  <c r="P2299" i="16"/>
  <c r="Q2298" i="16"/>
  <c r="P2298" i="16"/>
  <c r="Q2297" i="16"/>
  <c r="P2297" i="16"/>
  <c r="Q2296" i="16"/>
  <c r="P2296" i="16"/>
  <c r="Q2295" i="16"/>
  <c r="P2295" i="16"/>
  <c r="Q2294" i="16"/>
  <c r="P2294" i="16"/>
  <c r="Q2293" i="16"/>
  <c r="P2293" i="16"/>
  <c r="Q2292" i="16"/>
  <c r="P2292" i="16"/>
  <c r="Q2291" i="16"/>
  <c r="P2291" i="16"/>
  <c r="Q2290" i="16"/>
  <c r="P2290" i="16"/>
  <c r="Q2289" i="16"/>
  <c r="P2289" i="16"/>
  <c r="Q2288" i="16"/>
  <c r="P2288" i="16"/>
  <c r="Q2287" i="16"/>
  <c r="P2287" i="16"/>
  <c r="Q2286" i="16"/>
  <c r="P2286" i="16"/>
  <c r="Q2285" i="16"/>
  <c r="P2285" i="16"/>
  <c r="Q2284" i="16"/>
  <c r="P2284" i="16"/>
  <c r="Q2283" i="16"/>
  <c r="P2283" i="16"/>
  <c r="Q2282" i="16"/>
  <c r="P2282" i="16"/>
  <c r="Q2281" i="16"/>
  <c r="P2281" i="16"/>
  <c r="Q2280" i="16"/>
  <c r="P2280" i="16"/>
  <c r="Q2279" i="16"/>
  <c r="P2279" i="16"/>
  <c r="Q2278" i="16"/>
  <c r="P2278" i="16"/>
  <c r="Q2277" i="16"/>
  <c r="P2277" i="16"/>
  <c r="Q2276" i="16"/>
  <c r="P2276" i="16"/>
  <c r="Q2273" i="16"/>
  <c r="P2273" i="16"/>
  <c r="Q2272" i="16"/>
  <c r="P2272" i="16"/>
  <c r="Q2271" i="16"/>
  <c r="P2271" i="16"/>
  <c r="Q2270" i="16"/>
  <c r="P2270" i="16"/>
  <c r="Q2269" i="16"/>
  <c r="P2269" i="16"/>
  <c r="Q2268" i="16"/>
  <c r="P2268" i="16"/>
  <c r="Q2267" i="16"/>
  <c r="P2267" i="16"/>
  <c r="Q2266" i="16"/>
  <c r="P2266" i="16"/>
  <c r="Q2265" i="16"/>
  <c r="P2265" i="16"/>
  <c r="Q2264" i="16"/>
  <c r="P2264" i="16"/>
  <c r="Q2263" i="16"/>
  <c r="P2263" i="16"/>
  <c r="Q2262" i="16"/>
  <c r="P2262" i="16"/>
  <c r="Q2261" i="16"/>
  <c r="P2261" i="16"/>
  <c r="Q2260" i="16"/>
  <c r="P2260" i="16"/>
  <c r="Q2259" i="16"/>
  <c r="P2259" i="16"/>
  <c r="Q2258" i="16"/>
  <c r="P2258" i="16"/>
  <c r="Q2257" i="16"/>
  <c r="P2257" i="16"/>
  <c r="Q2256" i="16"/>
  <c r="P2256" i="16"/>
  <c r="Q2255" i="16"/>
  <c r="P2255" i="16"/>
  <c r="Q2254" i="16"/>
  <c r="P2254" i="16"/>
  <c r="Q2253" i="16"/>
  <c r="P2253" i="16"/>
  <c r="Q2252" i="16"/>
  <c r="P2252" i="16"/>
  <c r="Q2251" i="16"/>
  <c r="P2251" i="16"/>
  <c r="Q2250" i="16"/>
  <c r="P2250" i="16"/>
  <c r="Q2249" i="16"/>
  <c r="P2249" i="16"/>
  <c r="Q2248" i="16"/>
  <c r="P2248" i="16"/>
  <c r="Q2247" i="16"/>
  <c r="P2247" i="16"/>
  <c r="Q2246" i="16"/>
  <c r="P2246" i="16"/>
  <c r="Q2245" i="16"/>
  <c r="P2245" i="16"/>
  <c r="Q2244" i="16"/>
  <c r="P2244" i="16"/>
  <c r="Q2243" i="16"/>
  <c r="P2243" i="16"/>
  <c r="Q2242" i="16"/>
  <c r="P2242" i="16"/>
  <c r="Q2241" i="16"/>
  <c r="P2241" i="16"/>
  <c r="Q2240" i="16"/>
  <c r="P2240" i="16"/>
  <c r="Q2239" i="16"/>
  <c r="P2239" i="16"/>
  <c r="Q2238" i="16"/>
  <c r="P2238" i="16"/>
  <c r="Q2237" i="16"/>
  <c r="P2237" i="16"/>
  <c r="Q2236" i="16"/>
  <c r="P2236" i="16"/>
  <c r="Q2235" i="16"/>
  <c r="P2235" i="16"/>
  <c r="Q2234" i="16"/>
  <c r="P2234" i="16"/>
  <c r="Q2233" i="16"/>
  <c r="P2233" i="16"/>
  <c r="Q2232" i="16"/>
  <c r="P2232" i="16"/>
  <c r="Q2231" i="16"/>
  <c r="P2231" i="16"/>
  <c r="Q2230" i="16"/>
  <c r="P2230" i="16"/>
  <c r="Q2229" i="16"/>
  <c r="P2229" i="16"/>
  <c r="Q2228" i="16"/>
  <c r="P2228" i="16"/>
  <c r="Q2227" i="16"/>
  <c r="P2227" i="16"/>
  <c r="Q2224" i="16"/>
  <c r="P2224" i="16"/>
  <c r="Q2223" i="16"/>
  <c r="P2223" i="16"/>
  <c r="Q2220" i="16"/>
  <c r="P2220" i="16"/>
  <c r="Q2219" i="16"/>
  <c r="P2219" i="16"/>
  <c r="Q2218" i="16"/>
  <c r="P2218" i="16"/>
  <c r="Q2217" i="16"/>
  <c r="P2217" i="16"/>
  <c r="Q2214" i="16"/>
  <c r="P2214" i="16"/>
  <c r="Q2213" i="16"/>
  <c r="P2213" i="16"/>
  <c r="Q2212" i="16"/>
  <c r="P2212" i="16"/>
  <c r="Q2209" i="16"/>
  <c r="P2209" i="16"/>
  <c r="Q2208" i="16"/>
  <c r="P2208" i="16"/>
  <c r="Q2207" i="16"/>
  <c r="P2207" i="16"/>
  <c r="Q2206" i="16"/>
  <c r="P2206" i="16"/>
  <c r="Q2205" i="16"/>
  <c r="P2205" i="16"/>
  <c r="Q2204" i="16"/>
  <c r="P2204" i="16"/>
  <c r="Q2203" i="16"/>
  <c r="P2203" i="16"/>
  <c r="Q2202" i="16"/>
  <c r="P2202" i="16"/>
  <c r="Q2201" i="16"/>
  <c r="P2201" i="16"/>
  <c r="Q2198" i="16"/>
  <c r="P2198" i="16"/>
  <c r="Q2189" i="16"/>
  <c r="P2189" i="16"/>
  <c r="Q2188" i="16"/>
  <c r="P2188" i="16"/>
  <c r="Q2187" i="16"/>
  <c r="P2187" i="16"/>
  <c r="Q2186" i="16"/>
  <c r="P2186" i="16"/>
  <c r="Q2183" i="16"/>
  <c r="P2183" i="16"/>
  <c r="Q2182" i="16"/>
  <c r="P2182" i="16"/>
  <c r="Q2181" i="16"/>
  <c r="P2181" i="16"/>
  <c r="Q2180" i="16"/>
  <c r="P2180" i="16"/>
  <c r="Q2179" i="16"/>
  <c r="P2179" i="16"/>
  <c r="Q2178" i="16"/>
  <c r="P2178" i="16"/>
  <c r="Q2177" i="16"/>
  <c r="P2177" i="16"/>
  <c r="Q2176" i="16"/>
  <c r="P2176" i="16"/>
  <c r="Q2175" i="16"/>
  <c r="P2175" i="16"/>
  <c r="Q2174" i="16"/>
  <c r="P2174" i="16"/>
  <c r="Q2173" i="16"/>
  <c r="P2173" i="16"/>
  <c r="Q2172" i="16"/>
  <c r="P2172" i="16"/>
  <c r="Q2171" i="16"/>
  <c r="P2171" i="16"/>
  <c r="Q2170" i="16"/>
  <c r="P2170" i="16"/>
  <c r="Q2169" i="16"/>
  <c r="P2169" i="16"/>
  <c r="Q2168" i="16"/>
  <c r="P2168" i="16"/>
  <c r="Q2167" i="16"/>
  <c r="P2167" i="16"/>
  <c r="Q2166" i="16"/>
  <c r="P2166" i="16"/>
  <c r="Q2165" i="16"/>
  <c r="P2165" i="16"/>
  <c r="Q2164" i="16"/>
  <c r="P2164" i="16"/>
  <c r="Q2163" i="16"/>
  <c r="P2163" i="16"/>
  <c r="Q2162" i="16"/>
  <c r="P2162" i="16"/>
  <c r="Q2161" i="16"/>
  <c r="P2161" i="16"/>
  <c r="Q2160" i="16"/>
  <c r="P2160" i="16"/>
  <c r="Q2159" i="16"/>
  <c r="P2159" i="16"/>
  <c r="Q2158" i="16"/>
  <c r="P2158" i="16"/>
  <c r="Q2157" i="16"/>
  <c r="P2157" i="16"/>
  <c r="Q2156" i="16"/>
  <c r="P2156" i="16"/>
  <c r="Q2155" i="16"/>
  <c r="P2155" i="16"/>
  <c r="Q2154" i="16"/>
  <c r="P2154" i="16"/>
  <c r="Q2153" i="16"/>
  <c r="P2153" i="16"/>
  <c r="Q2152" i="16"/>
  <c r="P2152" i="16"/>
  <c r="Q2149" i="16"/>
  <c r="P2149" i="16"/>
  <c r="Q2148" i="16"/>
  <c r="P2148" i="16"/>
  <c r="Q2147" i="16"/>
  <c r="P2147" i="16"/>
  <c r="Q2146" i="16"/>
  <c r="P2146" i="16"/>
  <c r="Q2143" i="16"/>
  <c r="P2143" i="16"/>
  <c r="Q2142" i="16"/>
  <c r="P2142" i="16"/>
  <c r="Q2141" i="16"/>
  <c r="P2141" i="16"/>
  <c r="Q2140" i="16"/>
  <c r="P2140" i="16"/>
  <c r="Q2139" i="16"/>
  <c r="P2139" i="16"/>
  <c r="Q2138" i="16"/>
  <c r="P2138" i="16"/>
  <c r="Q2137" i="16"/>
  <c r="P2137" i="16"/>
  <c r="Q2136" i="16"/>
  <c r="P2136" i="16"/>
  <c r="Q2135" i="16"/>
  <c r="P2135" i="16"/>
  <c r="Q2134" i="16"/>
  <c r="P2134" i="16"/>
  <c r="Q2133" i="16"/>
  <c r="P2133" i="16"/>
  <c r="Q2132" i="16"/>
  <c r="P2132" i="16"/>
  <c r="Q2129" i="16"/>
  <c r="P2129" i="16"/>
  <c r="Q2128" i="16"/>
  <c r="P2128" i="16"/>
  <c r="Q2127" i="16"/>
  <c r="P2127" i="16"/>
  <c r="Q2126" i="16"/>
  <c r="P2126" i="16"/>
  <c r="Q2125" i="16"/>
  <c r="P2125" i="16"/>
  <c r="Q2124" i="16"/>
  <c r="P2124" i="16"/>
  <c r="Q2123" i="16"/>
  <c r="P2123" i="16"/>
  <c r="Q2122" i="16"/>
  <c r="P2122" i="16"/>
  <c r="Q2121" i="16"/>
  <c r="P2121" i="16"/>
  <c r="Q2120" i="16"/>
  <c r="P2120" i="16"/>
  <c r="Q2119" i="16"/>
  <c r="P2119" i="16"/>
  <c r="Q2118" i="16"/>
  <c r="P2118" i="16"/>
  <c r="Q2117" i="16"/>
  <c r="P2117" i="16"/>
  <c r="Q2116" i="16"/>
  <c r="P2116" i="16"/>
  <c r="Q2115" i="16"/>
  <c r="P2115" i="16"/>
  <c r="Q2114" i="16"/>
  <c r="P2114" i="16"/>
  <c r="Q2113" i="16"/>
  <c r="P2113" i="16"/>
  <c r="Q2112" i="16"/>
  <c r="P2112" i="16"/>
  <c r="Q2111" i="16"/>
  <c r="P2111" i="16"/>
  <c r="Q2110" i="16"/>
  <c r="P2110" i="16"/>
  <c r="Q2109" i="16"/>
  <c r="P2109" i="16"/>
  <c r="Q2108" i="16"/>
  <c r="P2108" i="16"/>
  <c r="Q2107" i="16"/>
  <c r="P2107" i="16"/>
  <c r="Q2106" i="16"/>
  <c r="P2106" i="16"/>
  <c r="Q2103" i="16"/>
  <c r="P2103" i="16"/>
  <c r="Q2102" i="16"/>
  <c r="P2102" i="16"/>
  <c r="Q2101" i="16"/>
  <c r="P2101" i="16"/>
  <c r="Q2100" i="16"/>
  <c r="P2100" i="16"/>
  <c r="Q2099" i="16"/>
  <c r="P2099" i="16"/>
  <c r="Q2098" i="16"/>
  <c r="P2098" i="16"/>
  <c r="Q2097" i="16"/>
  <c r="P2097" i="16"/>
  <c r="Q2096" i="16"/>
  <c r="P2096" i="16"/>
  <c r="Q2095" i="16"/>
  <c r="P2095" i="16"/>
  <c r="Q2094" i="16"/>
  <c r="P2094" i="16"/>
  <c r="Q2093" i="16"/>
  <c r="P2093" i="16"/>
  <c r="Q2092" i="16"/>
  <c r="P2092" i="16"/>
  <c r="Q2089" i="16"/>
  <c r="P2089" i="16"/>
  <c r="Q2088" i="16"/>
  <c r="P2088" i="16"/>
  <c r="Q2087" i="16"/>
  <c r="P2087" i="16"/>
  <c r="Q2086" i="16"/>
  <c r="P2086" i="16"/>
  <c r="Q2085" i="16"/>
  <c r="P2085" i="16"/>
  <c r="Q2084" i="16"/>
  <c r="P2084" i="16"/>
  <c r="Q2083" i="16"/>
  <c r="P2083" i="16"/>
  <c r="Q2082" i="16"/>
  <c r="P2082" i="16"/>
  <c r="Q2081" i="16"/>
  <c r="P2081" i="16"/>
  <c r="Q2080" i="16"/>
  <c r="P2080" i="16"/>
  <c r="Q2079" i="16"/>
  <c r="P2079" i="16"/>
  <c r="Q2078" i="16"/>
  <c r="P2078" i="16"/>
  <c r="Q2077" i="16"/>
  <c r="P2077" i="16"/>
  <c r="Q2076" i="16"/>
  <c r="P2076" i="16"/>
  <c r="Q2075" i="16"/>
  <c r="P2075" i="16"/>
  <c r="Q2074" i="16"/>
  <c r="P2074" i="16"/>
  <c r="Q2073" i="16"/>
  <c r="P2073" i="16"/>
  <c r="Q2070" i="16"/>
  <c r="P2070" i="16"/>
  <c r="Q2069" i="16"/>
  <c r="P2069" i="16"/>
  <c r="Q2068" i="16"/>
  <c r="P2068" i="16"/>
  <c r="Q2065" i="16"/>
  <c r="P2065" i="16"/>
  <c r="Q2064" i="16"/>
  <c r="P2064" i="16"/>
  <c r="Q2063" i="16"/>
  <c r="P2063" i="16"/>
  <c r="Q2062" i="16"/>
  <c r="P2062" i="16"/>
  <c r="Q2061" i="16"/>
  <c r="P2061" i="16"/>
  <c r="Q2060" i="16"/>
  <c r="P2060" i="16"/>
  <c r="Q2059" i="16"/>
  <c r="P2059" i="16"/>
  <c r="Q2058" i="16"/>
  <c r="P2058" i="16"/>
  <c r="Q2057" i="16"/>
  <c r="P2057" i="16"/>
  <c r="Q2056" i="16"/>
  <c r="P2056" i="16"/>
  <c r="Q2055" i="16"/>
  <c r="P2055" i="16"/>
  <c r="Q2054" i="16"/>
  <c r="P2054" i="16"/>
  <c r="Q2053" i="16"/>
  <c r="P2053" i="16"/>
  <c r="Q2052" i="16"/>
  <c r="P2052" i="16"/>
  <c r="Q2051" i="16"/>
  <c r="P2051" i="16"/>
  <c r="Q2050" i="16"/>
  <c r="P2050" i="16"/>
  <c r="Q2049" i="16"/>
  <c r="P2049" i="16"/>
  <c r="Q2048" i="16"/>
  <c r="P2048" i="16"/>
  <c r="Q2047" i="16"/>
  <c r="P2047" i="16"/>
  <c r="Q2046" i="16"/>
  <c r="P2046" i="16"/>
  <c r="Q2043" i="16"/>
  <c r="P2043" i="16"/>
  <c r="Q2042" i="16"/>
  <c r="P2042" i="16"/>
  <c r="Q2041" i="16"/>
  <c r="P2041" i="16"/>
  <c r="Q2040" i="16"/>
  <c r="P2040" i="16"/>
  <c r="Q2039" i="16"/>
  <c r="P2039" i="16"/>
  <c r="Q2038" i="16"/>
  <c r="P2038" i="16"/>
  <c r="Q2037" i="16"/>
  <c r="P2037" i="16"/>
  <c r="Q2036" i="16"/>
  <c r="P2036" i="16"/>
  <c r="Q2035" i="16"/>
  <c r="P2035" i="16"/>
  <c r="Q2034" i="16"/>
  <c r="P2034" i="16"/>
  <c r="Q2033" i="16"/>
  <c r="P2033" i="16"/>
  <c r="Q2032" i="16"/>
  <c r="P2032" i="16"/>
  <c r="Q2031" i="16"/>
  <c r="P2031" i="16"/>
  <c r="Q2030" i="16"/>
  <c r="P2030" i="16"/>
  <c r="Q2029" i="16"/>
  <c r="P2029" i="16"/>
  <c r="Q2028" i="16"/>
  <c r="P2028" i="16"/>
  <c r="Q2027" i="16"/>
  <c r="P2027" i="16"/>
  <c r="Q2026" i="16"/>
  <c r="P2026" i="16"/>
  <c r="Q2025" i="16"/>
  <c r="P2025" i="16"/>
  <c r="Q2024" i="16"/>
  <c r="P2024" i="16"/>
  <c r="Q2023" i="16"/>
  <c r="P2023" i="16"/>
  <c r="Q2022" i="16"/>
  <c r="P2022" i="16"/>
  <c r="Q2021" i="16"/>
  <c r="P2021" i="16"/>
  <c r="Q2020" i="16"/>
  <c r="P2020" i="16"/>
  <c r="Q2019" i="16"/>
  <c r="P2019" i="16"/>
  <c r="Q2018" i="16"/>
  <c r="P2018" i="16"/>
  <c r="Q2017" i="16"/>
  <c r="P2017" i="16"/>
  <c r="Q2016" i="16"/>
  <c r="P2016" i="16"/>
  <c r="Q2015" i="16"/>
  <c r="P2015" i="16"/>
  <c r="Q2014" i="16"/>
  <c r="P2014" i="16"/>
  <c r="Q2013" i="16"/>
  <c r="P2013" i="16"/>
  <c r="Q2012" i="16"/>
  <c r="P2012" i="16"/>
  <c r="Q2011" i="16"/>
  <c r="P2011" i="16"/>
  <c r="Q2010" i="16"/>
  <c r="P2010" i="16"/>
  <c r="Q2009" i="16"/>
  <c r="P2009" i="16"/>
  <c r="Q2006" i="16"/>
  <c r="P2006" i="16"/>
  <c r="Q2005" i="16"/>
  <c r="P2005" i="16"/>
  <c r="Q2004" i="16"/>
  <c r="P2004" i="16"/>
  <c r="Q2003" i="16"/>
  <c r="P2003" i="16"/>
  <c r="Q2002" i="16"/>
  <c r="P2002" i="16"/>
  <c r="Q2001" i="16"/>
  <c r="P2001" i="16"/>
  <c r="Q2000" i="16"/>
  <c r="P2000" i="16"/>
  <c r="Q1999" i="16"/>
  <c r="P1999" i="16"/>
  <c r="Q1998" i="16"/>
  <c r="P1998" i="16"/>
  <c r="Q1997" i="16"/>
  <c r="P1997" i="16"/>
  <c r="Q1996" i="16"/>
  <c r="P1996" i="16"/>
  <c r="Q1995" i="16"/>
  <c r="P1995" i="16"/>
  <c r="Q1994" i="16"/>
  <c r="P1994" i="16"/>
  <c r="Q1993" i="16"/>
  <c r="P1993" i="16"/>
  <c r="Q1992" i="16"/>
  <c r="P1992" i="16"/>
  <c r="Q1991" i="16"/>
  <c r="P1991" i="16"/>
  <c r="Q1990" i="16"/>
  <c r="P1990" i="16"/>
  <c r="Q1989" i="16"/>
  <c r="P1989" i="16"/>
  <c r="Q1988" i="16"/>
  <c r="P1988" i="16"/>
  <c r="Q1987" i="16"/>
  <c r="P1987" i="16"/>
  <c r="Q1986" i="16"/>
  <c r="P1986" i="16"/>
  <c r="Q1985" i="16"/>
  <c r="P1985" i="16"/>
  <c r="Q1984" i="16"/>
  <c r="P1984" i="16"/>
  <c r="Q1983" i="16"/>
  <c r="P1983" i="16"/>
  <c r="Q1982" i="16"/>
  <c r="P1982" i="16"/>
  <c r="Q1981" i="16"/>
  <c r="P1981" i="16"/>
  <c r="Q1980" i="16"/>
  <c r="P1980" i="16"/>
  <c r="Q1979" i="16"/>
  <c r="P1979" i="16"/>
  <c r="Q1978" i="16"/>
  <c r="P1978" i="16"/>
  <c r="Q1977" i="16"/>
  <c r="P1977" i="16"/>
  <c r="Q1976" i="16"/>
  <c r="P1976" i="16"/>
  <c r="Q1975" i="16"/>
  <c r="P1975" i="16"/>
  <c r="Q1974" i="16"/>
  <c r="P1974" i="16"/>
  <c r="Q1973" i="16"/>
  <c r="P1973" i="16"/>
  <c r="Q1972" i="16"/>
  <c r="P1972" i="16"/>
  <c r="Q1971" i="16"/>
  <c r="P1971" i="16"/>
  <c r="Q1970" i="16"/>
  <c r="P1970" i="16"/>
  <c r="Q1969" i="16"/>
  <c r="P1969" i="16"/>
  <c r="Q1966" i="16"/>
  <c r="P1966" i="16"/>
  <c r="Q1965" i="16"/>
  <c r="P1965" i="16"/>
  <c r="Q1964" i="16"/>
  <c r="P1964" i="16"/>
  <c r="Q1963" i="16"/>
  <c r="P1963" i="16"/>
  <c r="Q1962" i="16"/>
  <c r="P1962" i="16"/>
  <c r="Q1961" i="16"/>
  <c r="P1961" i="16"/>
  <c r="Q1960" i="16"/>
  <c r="P1960" i="16"/>
  <c r="Q1959" i="16"/>
  <c r="P1959" i="16"/>
  <c r="Q1958" i="16"/>
  <c r="P1958" i="16"/>
  <c r="Q1955" i="16"/>
  <c r="P1955" i="16"/>
  <c r="Q1954" i="16"/>
  <c r="P1954" i="16"/>
  <c r="Q1953" i="16"/>
  <c r="P1953" i="16"/>
  <c r="Q1952" i="16"/>
  <c r="P1952" i="16"/>
  <c r="Q1951" i="16"/>
  <c r="P1951" i="16"/>
  <c r="Q1950" i="16"/>
  <c r="P1950" i="16"/>
  <c r="Q1949" i="16"/>
  <c r="P1949" i="16"/>
  <c r="Q1948" i="16"/>
  <c r="P1948" i="16"/>
  <c r="Q1947" i="16"/>
  <c r="P1947" i="16"/>
  <c r="Q1946" i="16"/>
  <c r="P1946" i="16"/>
  <c r="Q1945" i="16"/>
  <c r="P1945" i="16"/>
  <c r="Q1944" i="16"/>
  <c r="P1944" i="16"/>
  <c r="Q1943" i="16"/>
  <c r="P1943" i="16"/>
  <c r="Q1942" i="16"/>
  <c r="P1942" i="16"/>
  <c r="Q1941" i="16"/>
  <c r="P1941" i="16"/>
  <c r="Q1940" i="16"/>
  <c r="P1940" i="16"/>
  <c r="Q1939" i="16"/>
  <c r="P1939" i="16"/>
  <c r="Q1938" i="16"/>
  <c r="P1938" i="16"/>
  <c r="Q1937" i="16"/>
  <c r="P1937" i="16"/>
  <c r="Q1936" i="16"/>
  <c r="P1936" i="16"/>
  <c r="Q1935" i="16"/>
  <c r="P1935" i="16"/>
  <c r="Q1934" i="16"/>
  <c r="P1934" i="16"/>
  <c r="Q1933" i="16"/>
  <c r="P1933" i="16"/>
  <c r="Q1932" i="16"/>
  <c r="P1932" i="16"/>
  <c r="Q1931" i="16"/>
  <c r="P1931" i="16"/>
  <c r="Q1930" i="16"/>
  <c r="P1930" i="16"/>
  <c r="Q1929" i="16"/>
  <c r="P1929" i="16"/>
  <c r="Q1928" i="16"/>
  <c r="P1928" i="16"/>
  <c r="Q1927" i="16"/>
  <c r="P1927" i="16"/>
  <c r="Q1926" i="16"/>
  <c r="P1926" i="16"/>
  <c r="Q1925" i="16"/>
  <c r="P1925" i="16"/>
  <c r="Q1923" i="16"/>
  <c r="P1923" i="16"/>
  <c r="Q1922" i="16"/>
  <c r="P1922" i="16"/>
  <c r="Q1920" i="16"/>
  <c r="P1920" i="16"/>
  <c r="Q1918" i="16"/>
  <c r="P1918" i="16"/>
  <c r="Q1917" i="16"/>
  <c r="P1917" i="16"/>
  <c r="Q1916" i="16"/>
  <c r="P1916" i="16"/>
  <c r="Q1915" i="16"/>
  <c r="P1915" i="16"/>
  <c r="Q1912" i="16"/>
  <c r="P1912" i="16"/>
  <c r="Q1911" i="16"/>
  <c r="P1911" i="16"/>
  <c r="Q1910" i="16"/>
  <c r="P1910" i="16"/>
  <c r="Q1909" i="16"/>
  <c r="P1909" i="16"/>
  <c r="Q1908" i="16"/>
  <c r="P1908" i="16"/>
  <c r="Q1907" i="16"/>
  <c r="P1907" i="16"/>
  <c r="Q1906" i="16"/>
  <c r="P1906" i="16"/>
  <c r="Q1905" i="16"/>
  <c r="P1905" i="16"/>
  <c r="Q1904" i="16"/>
  <c r="P1904" i="16"/>
  <c r="Q1903" i="16"/>
  <c r="P1903" i="16"/>
  <c r="Q1902" i="16"/>
  <c r="P1902" i="16"/>
  <c r="Q1901" i="16"/>
  <c r="P1901" i="16"/>
  <c r="Q1900" i="16"/>
  <c r="P1900" i="16"/>
  <c r="Q1899" i="16"/>
  <c r="P1899" i="16"/>
  <c r="Q1898" i="16"/>
  <c r="P1898" i="16"/>
  <c r="Q1897" i="16"/>
  <c r="P1897" i="16"/>
  <c r="Q1896" i="16"/>
  <c r="P1896" i="16"/>
  <c r="Q1895" i="16"/>
  <c r="P1895" i="16"/>
  <c r="Q1894" i="16"/>
  <c r="P1894" i="16"/>
  <c r="Q1893" i="16"/>
  <c r="P1893" i="16"/>
  <c r="Q1892" i="16"/>
  <c r="P1892" i="16"/>
  <c r="Q1891" i="16"/>
  <c r="P1891" i="16"/>
  <c r="Q1890" i="16"/>
  <c r="P1890" i="16"/>
  <c r="Q1889" i="16"/>
  <c r="P1889" i="16"/>
  <c r="Q1888" i="16"/>
  <c r="P1888" i="16"/>
  <c r="Q1887" i="16"/>
  <c r="P1887" i="16"/>
  <c r="Q1886" i="16"/>
  <c r="P1886" i="16"/>
  <c r="Q1885" i="16"/>
  <c r="P1885" i="16"/>
  <c r="Q1884" i="16"/>
  <c r="P1884" i="16"/>
  <c r="Q1883" i="16"/>
  <c r="P1883" i="16"/>
  <c r="Q1882" i="16"/>
  <c r="P1882" i="16"/>
  <c r="Q1881" i="16"/>
  <c r="P1881" i="16"/>
  <c r="Q1880" i="16"/>
  <c r="P1880" i="16"/>
  <c r="Q1879" i="16"/>
  <c r="P1879" i="16"/>
  <c r="Q1878" i="16"/>
  <c r="P1878" i="16"/>
  <c r="Q1877" i="16"/>
  <c r="P1877" i="16"/>
  <c r="Q1876" i="16"/>
  <c r="P1876" i="16"/>
  <c r="Q1875" i="16"/>
  <c r="P1875" i="16"/>
  <c r="Q1874" i="16"/>
  <c r="P1874" i="16"/>
  <c r="Q1873" i="16"/>
  <c r="P1873" i="16"/>
  <c r="Q1872" i="16"/>
  <c r="P1872" i="16"/>
  <c r="Q1871" i="16"/>
  <c r="P1871" i="16"/>
  <c r="Q1870" i="16"/>
  <c r="P1870" i="16"/>
  <c r="Q1869" i="16"/>
  <c r="P1869" i="16"/>
  <c r="Q1868" i="16"/>
  <c r="P1868" i="16"/>
  <c r="Q1867" i="16"/>
  <c r="P1867" i="16"/>
  <c r="Q1866" i="16"/>
  <c r="P1866" i="16"/>
  <c r="Q1865" i="16"/>
  <c r="P1865" i="16"/>
  <c r="Q1864" i="16"/>
  <c r="P1864" i="16"/>
  <c r="Q1863" i="16"/>
  <c r="P1863" i="16"/>
  <c r="Q1862" i="16"/>
  <c r="P1862" i="16"/>
  <c r="Q1861" i="16"/>
  <c r="P1861" i="16"/>
  <c r="Q1860" i="16"/>
  <c r="P1860" i="16"/>
  <c r="Q1859" i="16"/>
  <c r="P1859" i="16"/>
  <c r="Q1858" i="16"/>
  <c r="P1858" i="16"/>
  <c r="Q1857" i="16"/>
  <c r="P1857" i="16"/>
  <c r="Q1856" i="16"/>
  <c r="P1856" i="16"/>
  <c r="Q1855" i="16"/>
  <c r="P1855" i="16"/>
  <c r="Q1854" i="16"/>
  <c r="P1854" i="16"/>
  <c r="Q1853" i="16"/>
  <c r="P1853" i="16"/>
  <c r="Q1850" i="16"/>
  <c r="P1850" i="16"/>
  <c r="Q1849" i="16"/>
  <c r="P1849" i="16"/>
  <c r="Q1846" i="16"/>
  <c r="P1846" i="16"/>
  <c r="Q1845" i="16"/>
  <c r="P1845" i="16"/>
  <c r="Q1844" i="16"/>
  <c r="P1844" i="16"/>
  <c r="Q1843" i="16"/>
  <c r="P1843" i="16"/>
  <c r="Q1842" i="16"/>
  <c r="P1842" i="16"/>
  <c r="Q1837" i="16"/>
  <c r="P1837" i="16"/>
  <c r="Q1832" i="16"/>
  <c r="P1832" i="16"/>
  <c r="Q1827" i="16"/>
  <c r="P1827" i="16"/>
  <c r="Q1822" i="16"/>
  <c r="P1822" i="16"/>
  <c r="Q1817" i="16"/>
  <c r="P1817" i="16"/>
  <c r="Q1812" i="16"/>
  <c r="P1812" i="16"/>
  <c r="Q1811" i="16"/>
  <c r="P1811" i="16"/>
  <c r="Q1810" i="16"/>
  <c r="P1810" i="16"/>
  <c r="Q1809" i="16"/>
  <c r="P1809" i="16"/>
  <c r="Q1808" i="16"/>
  <c r="P1808" i="16"/>
  <c r="Q1807" i="16"/>
  <c r="P1807" i="16"/>
  <c r="Q1806" i="16"/>
  <c r="P1806" i="16"/>
  <c r="Q1805" i="16"/>
  <c r="P1805" i="16"/>
  <c r="Q1804" i="16"/>
  <c r="P1804" i="16"/>
  <c r="Q1803" i="16"/>
  <c r="P1803" i="16"/>
  <c r="Q1802" i="16"/>
  <c r="P1802" i="16"/>
  <c r="Q1801" i="16"/>
  <c r="P1801" i="16"/>
  <c r="Q1800" i="16"/>
  <c r="P1800" i="16"/>
  <c r="Q1799" i="16"/>
  <c r="P1799" i="16"/>
  <c r="Q1798" i="16"/>
  <c r="P1798" i="16"/>
  <c r="Q1797" i="16"/>
  <c r="P1797" i="16"/>
  <c r="Q1796" i="16"/>
  <c r="P1796" i="16"/>
  <c r="Q1795" i="16"/>
  <c r="P1795" i="16"/>
  <c r="Q1794" i="16"/>
  <c r="P1794" i="16"/>
  <c r="Q1793" i="16"/>
  <c r="P1793" i="16"/>
  <c r="Q1792" i="16"/>
  <c r="P1792" i="16"/>
  <c r="Q1791" i="16"/>
  <c r="P1791" i="16"/>
  <c r="Q1790" i="16"/>
  <c r="P1790" i="16"/>
  <c r="Q1789" i="16"/>
  <c r="P1789" i="16"/>
  <c r="Q1788" i="16"/>
  <c r="P1788" i="16"/>
  <c r="Q1785" i="16"/>
  <c r="P1785" i="16"/>
  <c r="Q1784" i="16"/>
  <c r="P1784" i="16"/>
  <c r="Q1783" i="16"/>
  <c r="P1783" i="16"/>
  <c r="Q1782" i="16"/>
  <c r="P1782" i="16"/>
  <c r="Q1781" i="16"/>
  <c r="P1781" i="16"/>
  <c r="Q1780" i="16"/>
  <c r="P1780" i="16"/>
  <c r="Q1779" i="16"/>
  <c r="P1779" i="16"/>
  <c r="Q1777" i="16"/>
  <c r="P1777" i="16"/>
  <c r="Q1775" i="16"/>
  <c r="P1775" i="16"/>
  <c r="Q1773" i="16"/>
  <c r="P1773" i="16"/>
  <c r="Q1772" i="16"/>
  <c r="P1772" i="16"/>
  <c r="Q1771" i="16"/>
  <c r="P1771" i="16"/>
  <c r="Q1770" i="16"/>
  <c r="P1770" i="16"/>
  <c r="Q1769" i="16"/>
  <c r="P1769" i="16"/>
  <c r="Q1768" i="16"/>
  <c r="P1768" i="16"/>
  <c r="Q1767" i="16"/>
  <c r="P1767" i="16"/>
  <c r="Q1766" i="16"/>
  <c r="P1766" i="16"/>
  <c r="Q1765" i="16"/>
  <c r="P1765" i="16"/>
  <c r="Q1764" i="16"/>
  <c r="P1764" i="16"/>
  <c r="Q1763" i="16"/>
  <c r="P1763" i="16"/>
  <c r="Q1762" i="16"/>
  <c r="P1762" i="16"/>
  <c r="Q1761" i="16"/>
  <c r="P1761" i="16"/>
  <c r="Q1760" i="16"/>
  <c r="P1760" i="16"/>
  <c r="Q1759" i="16"/>
  <c r="P1759" i="16"/>
  <c r="Q1756" i="16"/>
  <c r="P1756" i="16"/>
  <c r="Q1753" i="16"/>
  <c r="P1753" i="16"/>
  <c r="Q1752" i="16"/>
  <c r="P1752" i="16"/>
  <c r="Q1749" i="16"/>
  <c r="P1749" i="16"/>
  <c r="Q1748" i="16"/>
  <c r="P1748" i="16"/>
  <c r="Q1747" i="16"/>
  <c r="P1747" i="16"/>
  <c r="Q1746" i="16"/>
  <c r="P1746" i="16"/>
  <c r="Q1745" i="16"/>
  <c r="P1745" i="16"/>
  <c r="Q1744" i="16"/>
  <c r="P1744" i="16"/>
  <c r="Q1743" i="16"/>
  <c r="P1743" i="16"/>
  <c r="Q1742" i="16"/>
  <c r="P1742" i="16"/>
  <c r="Q1741" i="16"/>
  <c r="P1741" i="16"/>
  <c r="Q1740" i="16"/>
  <c r="P1740" i="16"/>
  <c r="Q1739" i="16"/>
  <c r="P1739" i="16"/>
  <c r="Q1738" i="16"/>
  <c r="P1738" i="16"/>
  <c r="Q1737" i="16"/>
  <c r="P1737" i="16"/>
  <c r="Q1736" i="16"/>
  <c r="P1736" i="16"/>
  <c r="Q1735" i="16"/>
  <c r="P1735" i="16"/>
  <c r="Q1734" i="16"/>
  <c r="P1734" i="16"/>
  <c r="Q1733" i="16"/>
  <c r="P1733" i="16"/>
  <c r="Q1732" i="16"/>
  <c r="P1732" i="16"/>
  <c r="Q1731" i="16"/>
  <c r="P1731" i="16"/>
  <c r="Q1730" i="16"/>
  <c r="P1730" i="16"/>
  <c r="Q1729" i="16"/>
  <c r="P1729" i="16"/>
  <c r="Q1728" i="16"/>
  <c r="P1728" i="16"/>
  <c r="Q1727" i="16"/>
  <c r="P1727" i="16"/>
  <c r="Q1726" i="16"/>
  <c r="P1726" i="16"/>
  <c r="Q1725" i="16"/>
  <c r="P1725" i="16"/>
  <c r="Q1724" i="16"/>
  <c r="P1724" i="16"/>
  <c r="Q1723" i="16"/>
  <c r="P1723" i="16"/>
  <c r="Q1722" i="16"/>
  <c r="P1722" i="16"/>
  <c r="Q1721" i="16"/>
  <c r="P1721" i="16"/>
  <c r="Q1718" i="16"/>
  <c r="P1718" i="16"/>
  <c r="Q1717" i="16"/>
  <c r="P1717" i="16"/>
  <c r="Q1716" i="16"/>
  <c r="P1716" i="16"/>
  <c r="Q1715" i="16"/>
  <c r="P1715" i="16"/>
  <c r="Q1714" i="16"/>
  <c r="P1714" i="16"/>
  <c r="Q1713" i="16"/>
  <c r="P1713" i="16"/>
  <c r="Q1712" i="16"/>
  <c r="P1712" i="16"/>
  <c r="Q1710" i="16"/>
  <c r="P1710" i="16"/>
  <c r="Q1708" i="16"/>
  <c r="P1708" i="16"/>
  <c r="Q1706" i="16"/>
  <c r="P1706" i="16"/>
  <c r="Q1705" i="16"/>
  <c r="P1705" i="16"/>
  <c r="Q1704" i="16"/>
  <c r="P1704" i="16"/>
  <c r="Q1703" i="16"/>
  <c r="P1703" i="16"/>
  <c r="Q1702" i="16"/>
  <c r="P1702" i="16"/>
  <c r="Q1701" i="16"/>
  <c r="P1701" i="16"/>
  <c r="Q1700" i="16"/>
  <c r="P1700" i="16"/>
  <c r="Q1699" i="16"/>
  <c r="P1699" i="16"/>
  <c r="Q1696" i="16"/>
  <c r="P1696" i="16"/>
  <c r="Q1695" i="16"/>
  <c r="P1695" i="16"/>
  <c r="Q1694" i="16"/>
  <c r="P1694" i="16"/>
  <c r="Q1691" i="16"/>
  <c r="P1691" i="16"/>
  <c r="Q1690" i="16"/>
  <c r="P1690" i="16"/>
  <c r="Q1689" i="16"/>
  <c r="P1689" i="16"/>
  <c r="Q1688" i="16"/>
  <c r="P1688" i="16"/>
  <c r="Q1687" i="16"/>
  <c r="P1687" i="16"/>
  <c r="Q1686" i="16"/>
  <c r="P1686" i="16"/>
  <c r="Q1685" i="16"/>
  <c r="P1685" i="16"/>
  <c r="Q1684" i="16"/>
  <c r="P1684" i="16"/>
  <c r="Q1683" i="16"/>
  <c r="P1683" i="16"/>
  <c r="Q1682" i="16"/>
  <c r="P1682" i="16"/>
  <c r="Q1681" i="16"/>
  <c r="P1681" i="16"/>
  <c r="Q1680" i="16"/>
  <c r="P1680" i="16"/>
  <c r="Q1679" i="16"/>
  <c r="P1679" i="16"/>
  <c r="Q1678" i="16"/>
  <c r="P1678" i="16"/>
  <c r="Q1675" i="16"/>
  <c r="P1675" i="16"/>
  <c r="Q1674" i="16"/>
  <c r="P1674" i="16"/>
  <c r="Q1673" i="16"/>
  <c r="P1673" i="16"/>
  <c r="Q1671" i="16"/>
  <c r="P1671" i="16"/>
  <c r="Q1669" i="16"/>
  <c r="P1669" i="16"/>
  <c r="Q1668" i="16"/>
  <c r="P1668" i="16"/>
  <c r="Q1667" i="16"/>
  <c r="P1667" i="16"/>
  <c r="Q1666" i="16"/>
  <c r="P1666" i="16"/>
  <c r="Q1665" i="16"/>
  <c r="P1665" i="16"/>
  <c r="Q1664" i="16"/>
  <c r="P1664" i="16"/>
  <c r="Q1663" i="16"/>
  <c r="P1663" i="16"/>
  <c r="Q1662" i="16"/>
  <c r="P1662" i="16"/>
  <c r="Q1659" i="16"/>
  <c r="P1659" i="16"/>
  <c r="Q1658" i="16"/>
  <c r="P1658" i="16"/>
  <c r="Q1657" i="16"/>
  <c r="P1657" i="16"/>
  <c r="Q1656" i="16"/>
  <c r="P1656" i="16"/>
  <c r="Q1655" i="16"/>
  <c r="P1655" i="16"/>
  <c r="Q1654" i="16"/>
  <c r="P1654" i="16"/>
  <c r="Q1653" i="16"/>
  <c r="P1653" i="16"/>
  <c r="Q1652" i="16"/>
  <c r="P1652" i="16"/>
  <c r="Q1651" i="16"/>
  <c r="P1651" i="16"/>
  <c r="Q1650" i="16"/>
  <c r="P1650" i="16"/>
  <c r="Q1649" i="16"/>
  <c r="P1649" i="16"/>
  <c r="Q1648" i="16"/>
  <c r="P1648" i="16"/>
  <c r="Q1647" i="16"/>
  <c r="P1647" i="16"/>
  <c r="Q1646" i="16"/>
  <c r="P1646" i="16"/>
  <c r="Q1645" i="16"/>
  <c r="P1645" i="16"/>
  <c r="Q1644" i="16"/>
  <c r="P1644" i="16"/>
  <c r="Q1643" i="16"/>
  <c r="P1643" i="16"/>
  <c r="Q1642" i="16"/>
  <c r="P1642" i="16"/>
  <c r="Q1639" i="16"/>
  <c r="P1639" i="16"/>
  <c r="Q1638" i="16"/>
  <c r="P1638" i="16"/>
  <c r="Q1637" i="16"/>
  <c r="P1637" i="16"/>
  <c r="Q1636" i="16"/>
  <c r="P1636" i="16"/>
  <c r="Q1635" i="16"/>
  <c r="P1635" i="16"/>
  <c r="Q1634" i="16"/>
  <c r="P1634" i="16"/>
  <c r="Q1633" i="16"/>
  <c r="P1633" i="16"/>
  <c r="Q1632" i="16"/>
  <c r="P1632" i="16"/>
  <c r="Q1631" i="16"/>
  <c r="P1631" i="16"/>
  <c r="Q1630" i="16"/>
  <c r="P1630" i="16"/>
  <c r="Q1629" i="16"/>
  <c r="P1629" i="16"/>
  <c r="Q1628" i="16"/>
  <c r="P1628" i="16"/>
  <c r="Q1627" i="16"/>
  <c r="P1627" i="16"/>
  <c r="Q1626" i="16"/>
  <c r="P1626" i="16"/>
  <c r="Q1625" i="16"/>
  <c r="P1625" i="16"/>
  <c r="Q1624" i="16"/>
  <c r="P1624" i="16"/>
  <c r="Q1623" i="16"/>
  <c r="P1623" i="16"/>
  <c r="Q1622" i="16"/>
  <c r="P1622" i="16"/>
  <c r="Q1621" i="16"/>
  <c r="P1621" i="16"/>
  <c r="Q1620" i="16"/>
  <c r="P1620" i="16"/>
  <c r="Q1619" i="16"/>
  <c r="P1619" i="16"/>
  <c r="Q1618" i="16"/>
  <c r="P1618" i="16"/>
  <c r="Q1617" i="16"/>
  <c r="P1617" i="16"/>
  <c r="Q1616" i="16"/>
  <c r="P1616" i="16"/>
  <c r="Q1615" i="16"/>
  <c r="P1615" i="16"/>
  <c r="Q1614" i="16"/>
  <c r="P1614" i="16"/>
  <c r="Q1613" i="16"/>
  <c r="P1613" i="16"/>
  <c r="Q1612" i="16"/>
  <c r="P1612" i="16"/>
  <c r="Q1609" i="16"/>
  <c r="P1609" i="16"/>
  <c r="Q1608" i="16"/>
  <c r="P1608" i="16"/>
  <c r="Q1607" i="16"/>
  <c r="P1607" i="16"/>
  <c r="Q1606" i="16"/>
  <c r="P1606" i="16"/>
  <c r="Q1605" i="16"/>
  <c r="P1605" i="16"/>
  <c r="Q1604" i="16"/>
  <c r="P1604" i="16"/>
  <c r="Q1603" i="16"/>
  <c r="P1603" i="16"/>
  <c r="Q1602" i="16"/>
  <c r="P1602" i="16"/>
  <c r="Q1601" i="16"/>
  <c r="P1601" i="16"/>
  <c r="Q1600" i="16"/>
  <c r="P1600" i="16"/>
  <c r="Q1599" i="16"/>
  <c r="P1599" i="16"/>
  <c r="Q1598" i="16"/>
  <c r="P1598" i="16"/>
  <c r="Q1597" i="16"/>
  <c r="P1597" i="16"/>
  <c r="Q1596" i="16"/>
  <c r="P1596" i="16"/>
  <c r="Q1595" i="16"/>
  <c r="P1595" i="16"/>
  <c r="Q1594" i="16"/>
  <c r="P1594" i="16"/>
  <c r="Q1593" i="16"/>
  <c r="P1593" i="16"/>
  <c r="Q1592" i="16"/>
  <c r="P1592" i="16"/>
  <c r="Q1591" i="16"/>
  <c r="P1591" i="16"/>
  <c r="Q1590" i="16"/>
  <c r="P1590" i="16"/>
  <c r="Q1589" i="16"/>
  <c r="P1589" i="16"/>
  <c r="Q1588" i="16"/>
  <c r="P1588" i="16"/>
  <c r="Q1587" i="16"/>
  <c r="P1587" i="16"/>
  <c r="Q1586" i="16"/>
  <c r="P1586" i="16"/>
  <c r="Q1585" i="16"/>
  <c r="P1585" i="16"/>
  <c r="Q1584" i="16"/>
  <c r="P1584" i="16"/>
  <c r="Q1583" i="16"/>
  <c r="P1583" i="16"/>
  <c r="Q1582" i="16"/>
  <c r="P1582" i="16"/>
  <c r="Q1581" i="16"/>
  <c r="P1581" i="16"/>
  <c r="Q1580" i="16"/>
  <c r="P1580" i="16"/>
  <c r="Q1579" i="16"/>
  <c r="P1579" i="16"/>
  <c r="Q1578" i="16"/>
  <c r="P1578" i="16"/>
  <c r="Q1577" i="16"/>
  <c r="P1577" i="16"/>
  <c r="Q1576" i="16"/>
  <c r="P1576" i="16"/>
  <c r="Q1575" i="16"/>
  <c r="P1575" i="16"/>
  <c r="Q1574" i="16"/>
  <c r="P1574" i="16"/>
  <c r="Q1573" i="16"/>
  <c r="P1573" i="16"/>
  <c r="Q1572" i="16"/>
  <c r="P1572" i="16"/>
  <c r="Q1571" i="16"/>
  <c r="P1571" i="16"/>
  <c r="Q1570" i="16"/>
  <c r="P1570" i="16"/>
  <c r="Q1569" i="16"/>
  <c r="P1569" i="16"/>
  <c r="Q1568" i="16"/>
  <c r="P1568" i="16"/>
  <c r="Q1567" i="16"/>
  <c r="P1567" i="16"/>
  <c r="Q1566" i="16"/>
  <c r="P1566" i="16"/>
  <c r="Q1565" i="16"/>
  <c r="P1565" i="16"/>
  <c r="Q1564" i="16"/>
  <c r="P1564" i="16"/>
  <c r="Q1563" i="16"/>
  <c r="P1563" i="16"/>
  <c r="Q1562" i="16"/>
  <c r="P1562" i="16"/>
  <c r="Q1561" i="16"/>
  <c r="P1561" i="16"/>
  <c r="Q1560" i="16"/>
  <c r="P1560" i="16"/>
  <c r="Q1559" i="16"/>
  <c r="P1559" i="16"/>
  <c r="Q1558" i="16"/>
  <c r="P1558" i="16"/>
  <c r="Q1557" i="16"/>
  <c r="P1557" i="16"/>
  <c r="Q1556" i="16"/>
  <c r="P1556" i="16"/>
  <c r="Q1555" i="16"/>
  <c r="P1555" i="16"/>
  <c r="Q1554" i="16"/>
  <c r="P1554" i="16"/>
  <c r="Q1553" i="16"/>
  <c r="P1553" i="16"/>
  <c r="Q1552" i="16"/>
  <c r="P1552" i="16"/>
  <c r="Q1551" i="16"/>
  <c r="P1551" i="16"/>
  <c r="Q1548" i="16"/>
  <c r="P1548" i="16"/>
  <c r="Q1547" i="16"/>
  <c r="P1547" i="16"/>
  <c r="Q1544" i="16"/>
  <c r="P1544" i="16"/>
  <c r="Q1543" i="16"/>
  <c r="P1543" i="16"/>
  <c r="Q1542" i="16"/>
  <c r="P1542" i="16"/>
  <c r="Q1541" i="16"/>
  <c r="P1541" i="16"/>
  <c r="Q1540" i="16"/>
  <c r="P1540" i="16"/>
  <c r="Q1539" i="16"/>
  <c r="P1539" i="16"/>
  <c r="Q1538" i="16"/>
  <c r="P1538" i="16"/>
  <c r="Q1537" i="16"/>
  <c r="P1537" i="16"/>
  <c r="Q1536" i="16"/>
  <c r="P1536" i="16"/>
  <c r="Q1535" i="16"/>
  <c r="P1535" i="16"/>
  <c r="Q1534" i="16"/>
  <c r="P1534" i="16"/>
  <c r="Q1533" i="16"/>
  <c r="P1533" i="16"/>
  <c r="Q1532" i="16"/>
  <c r="P1532" i="16"/>
  <c r="Q1531" i="16"/>
  <c r="P1531" i="16"/>
  <c r="Q1530" i="16"/>
  <c r="P1530" i="16"/>
  <c r="Q1529" i="16"/>
  <c r="P1529" i="16"/>
  <c r="Q1528" i="16"/>
  <c r="P1528" i="16"/>
  <c r="Q1527" i="16"/>
  <c r="P1527" i="16"/>
  <c r="Q1526" i="16"/>
  <c r="P1526" i="16"/>
  <c r="Q1525" i="16"/>
  <c r="P1525" i="16"/>
  <c r="Q1524" i="16"/>
  <c r="P1524" i="16"/>
  <c r="Q1523" i="16"/>
  <c r="P1523" i="16"/>
  <c r="Q1522" i="16"/>
  <c r="P1522" i="16"/>
  <c r="Q1521" i="16"/>
  <c r="P1521" i="16"/>
  <c r="Q1520" i="16"/>
  <c r="P1520" i="16"/>
  <c r="Q1519" i="16"/>
  <c r="P1519" i="16"/>
  <c r="Q1518" i="16"/>
  <c r="P1518" i="16"/>
  <c r="Q1517" i="16"/>
  <c r="P1517" i="16"/>
  <c r="Q1516" i="16"/>
  <c r="P1516" i="16"/>
  <c r="Q1515" i="16"/>
  <c r="P1515" i="16"/>
  <c r="Q1514" i="16"/>
  <c r="P1514" i="16"/>
  <c r="Q1513" i="16"/>
  <c r="P1513" i="16"/>
  <c r="Q1512" i="16"/>
  <c r="P1512" i="16"/>
  <c r="Q1511" i="16"/>
  <c r="P1511" i="16"/>
  <c r="Q1510" i="16"/>
  <c r="P1510" i="16"/>
  <c r="Q1509" i="16"/>
  <c r="P1509" i="16"/>
  <c r="Q1506" i="16"/>
  <c r="P1506" i="16"/>
  <c r="Q1505" i="16"/>
  <c r="P1505" i="16"/>
  <c r="Q1504" i="16"/>
  <c r="P1504" i="16"/>
  <c r="Q1503" i="16"/>
  <c r="P1503" i="16"/>
  <c r="Q1502" i="16"/>
  <c r="P1502" i="16"/>
  <c r="Q1501" i="16"/>
  <c r="P1501" i="16"/>
  <c r="Q1500" i="16"/>
  <c r="P1500" i="16"/>
  <c r="Q1499" i="16"/>
  <c r="P1499" i="16"/>
  <c r="Q1498" i="16"/>
  <c r="P1498" i="16"/>
  <c r="Q1497" i="16"/>
  <c r="P1497" i="16"/>
  <c r="Q1496" i="16"/>
  <c r="P1496" i="16"/>
  <c r="Q1495" i="16"/>
  <c r="P1495" i="16"/>
  <c r="Q1494" i="16"/>
  <c r="P1494" i="16"/>
  <c r="Q1493" i="16"/>
  <c r="P1493" i="16"/>
  <c r="Q1492" i="16"/>
  <c r="P1492" i="16"/>
  <c r="Q1491" i="16"/>
  <c r="P1491" i="16"/>
  <c r="Q1490" i="16"/>
  <c r="P1490" i="16"/>
  <c r="Q1489" i="16"/>
  <c r="P1489" i="16"/>
  <c r="Q1488" i="16"/>
  <c r="P1488" i="16"/>
  <c r="Q1487" i="16"/>
  <c r="P1487" i="16"/>
  <c r="Q1486" i="16"/>
  <c r="P1486" i="16"/>
  <c r="Q1485" i="16"/>
  <c r="P1485" i="16"/>
  <c r="Q1484" i="16"/>
  <c r="P1484" i="16"/>
  <c r="Q1483" i="16"/>
  <c r="P1483" i="16"/>
  <c r="Q1482" i="16"/>
  <c r="P1482" i="16"/>
  <c r="Q1481" i="16"/>
  <c r="P1481" i="16"/>
  <c r="Q1480" i="16"/>
  <c r="P1480" i="16"/>
  <c r="Q1479" i="16"/>
  <c r="P1479" i="16"/>
  <c r="Q1478" i="16"/>
  <c r="P1478" i="16"/>
  <c r="Q1475" i="16"/>
  <c r="P1475" i="16"/>
  <c r="Q1474" i="16"/>
  <c r="P1474" i="16"/>
  <c r="Q1473" i="16"/>
  <c r="P1473" i="16"/>
  <c r="Q1472" i="16"/>
  <c r="P1472" i="16"/>
  <c r="Q1471" i="16"/>
  <c r="P1471" i="16"/>
  <c r="Q1470" i="16"/>
  <c r="P1470" i="16"/>
  <c r="Q1469" i="16"/>
  <c r="P1469" i="16"/>
  <c r="Q1468" i="16"/>
  <c r="P1468" i="16"/>
  <c r="Q1467" i="16"/>
  <c r="P1467" i="16"/>
  <c r="Q1466" i="16"/>
  <c r="P1466" i="16"/>
  <c r="Q1465" i="16"/>
  <c r="P1465" i="16"/>
  <c r="Q1464" i="16"/>
  <c r="P1464" i="16"/>
  <c r="Q1463" i="16"/>
  <c r="P1463" i="16"/>
  <c r="Q1462" i="16"/>
  <c r="P1462" i="16"/>
  <c r="Q1461" i="16"/>
  <c r="P1461" i="16"/>
  <c r="Q1460" i="16"/>
  <c r="P1460" i="16"/>
  <c r="Q1459" i="16"/>
  <c r="P1459" i="16"/>
  <c r="Q1458" i="16"/>
  <c r="P1458" i="16"/>
  <c r="Q1457" i="16"/>
  <c r="P1457" i="16"/>
  <c r="Q1456" i="16"/>
  <c r="P1456" i="16"/>
  <c r="Q1455" i="16"/>
  <c r="P1455" i="16"/>
  <c r="Q1454" i="16"/>
  <c r="P1454" i="16"/>
  <c r="Q1453" i="16"/>
  <c r="P1453" i="16"/>
  <c r="Q1452" i="16"/>
  <c r="P1452" i="16"/>
  <c r="Q1451" i="16"/>
  <c r="P1451" i="16"/>
  <c r="Q1450" i="16"/>
  <c r="P1450" i="16"/>
  <c r="Q1449" i="16"/>
  <c r="P1449" i="16"/>
  <c r="Q1448" i="16"/>
  <c r="P1448" i="16"/>
  <c r="Q1447" i="16"/>
  <c r="P1447" i="16"/>
  <c r="Q1446" i="16"/>
  <c r="P1446" i="16"/>
  <c r="Q1445" i="16"/>
  <c r="P1445" i="16"/>
  <c r="Q1444" i="16"/>
  <c r="P1444" i="16"/>
  <c r="Q1443" i="16"/>
  <c r="P1443" i="16"/>
  <c r="Q1442" i="16"/>
  <c r="P1442" i="16"/>
  <c r="Q1441" i="16"/>
  <c r="P1441" i="16"/>
  <c r="Q1440" i="16"/>
  <c r="P1440" i="16"/>
  <c r="Q1439" i="16"/>
  <c r="P1439" i="16"/>
  <c r="Q1438" i="16"/>
  <c r="P1438" i="16"/>
  <c r="Q1437" i="16"/>
  <c r="P1437" i="16"/>
  <c r="Q1436" i="16"/>
  <c r="P1436" i="16"/>
  <c r="Q1435" i="16"/>
  <c r="P1435" i="16"/>
  <c r="Q1434" i="16"/>
  <c r="P1434" i="16"/>
  <c r="Q1433" i="16"/>
  <c r="P1433" i="16"/>
  <c r="Q1432" i="16"/>
  <c r="P1432" i="16"/>
  <c r="Q1431" i="16"/>
  <c r="P1431" i="16"/>
  <c r="Q1430" i="16"/>
  <c r="P1430" i="16"/>
  <c r="Q1429" i="16"/>
  <c r="P1429" i="16"/>
  <c r="Q1428" i="16"/>
  <c r="P1428" i="16"/>
  <c r="Q1427" i="16"/>
  <c r="P1427" i="16"/>
  <c r="Q1426" i="16"/>
  <c r="P1426" i="16"/>
  <c r="Q1423" i="16"/>
  <c r="P1423" i="16"/>
  <c r="Q1422" i="16"/>
  <c r="P1422" i="16"/>
  <c r="Q1421" i="16"/>
  <c r="P1421" i="16"/>
  <c r="Q1420" i="16"/>
  <c r="P1420" i="16"/>
  <c r="Q1419" i="16"/>
  <c r="P1419" i="16"/>
  <c r="Q1418" i="16"/>
  <c r="P1418" i="16"/>
  <c r="Q1417" i="16"/>
  <c r="P1417" i="16"/>
  <c r="Q1416" i="16"/>
  <c r="P1416" i="16"/>
  <c r="Q1415" i="16"/>
  <c r="P1415" i="16"/>
  <c r="Q1414" i="16"/>
  <c r="P1414" i="16"/>
  <c r="Q1413" i="16"/>
  <c r="P1413" i="16"/>
  <c r="Q1412" i="16"/>
  <c r="P1412" i="16"/>
  <c r="Q1411" i="16"/>
  <c r="P1411" i="16"/>
  <c r="Q1410" i="16"/>
  <c r="P1410" i="16"/>
  <c r="Q1407" i="16"/>
  <c r="P1407" i="16"/>
  <c r="Q1406" i="16"/>
  <c r="P1406" i="16"/>
  <c r="Q1405" i="16"/>
  <c r="P1405" i="16"/>
  <c r="Q1404" i="16"/>
  <c r="P1404" i="16"/>
  <c r="Q1403" i="16"/>
  <c r="P1403" i="16"/>
  <c r="Q1402" i="16"/>
  <c r="P1402" i="16"/>
  <c r="Q1401" i="16"/>
  <c r="P1401" i="16"/>
  <c r="Q1400" i="16"/>
  <c r="P1400" i="16"/>
  <c r="Q1399" i="16"/>
  <c r="P1399" i="16"/>
  <c r="Q1398" i="16"/>
  <c r="P1398" i="16"/>
  <c r="Q1397" i="16"/>
  <c r="P1397" i="16"/>
  <c r="Q1396" i="16"/>
  <c r="P1396" i="16"/>
  <c r="Q1395" i="16"/>
  <c r="P1395" i="16"/>
  <c r="Q1394" i="16"/>
  <c r="P1394" i="16"/>
  <c r="Q1393" i="16"/>
  <c r="P1393" i="16"/>
  <c r="Q1392" i="16"/>
  <c r="P1392" i="16"/>
  <c r="Q1391" i="16"/>
  <c r="P1391" i="16"/>
  <c r="Q1390" i="16"/>
  <c r="P1390" i="16"/>
  <c r="Q1389" i="16"/>
  <c r="P1389" i="16"/>
  <c r="Q1388" i="16"/>
  <c r="P1388" i="16"/>
  <c r="Q1387" i="16"/>
  <c r="P1387" i="16"/>
  <c r="Q1386" i="16"/>
  <c r="P1386" i="16"/>
  <c r="Q1385" i="16"/>
  <c r="P1385" i="16"/>
  <c r="Q1384" i="16"/>
  <c r="P1384" i="16"/>
  <c r="Q1383" i="16"/>
  <c r="P1383" i="16"/>
  <c r="Q1382" i="16"/>
  <c r="P1382" i="16"/>
  <c r="Q1381" i="16"/>
  <c r="P1381" i="16"/>
  <c r="Q1380" i="16"/>
  <c r="P1380" i="16"/>
  <c r="Q1379" i="16"/>
  <c r="P1379" i="16"/>
  <c r="Q1378" i="16"/>
  <c r="P1378" i="16"/>
  <c r="Q1377" i="16"/>
  <c r="P1377" i="16"/>
  <c r="Q1376" i="16"/>
  <c r="P1376" i="16"/>
  <c r="Q1375" i="16"/>
  <c r="P1375" i="16"/>
  <c r="Q1374" i="16"/>
  <c r="P1374" i="16"/>
  <c r="Q1373" i="16"/>
  <c r="P1373" i="16"/>
  <c r="Q1372" i="16"/>
  <c r="P1372" i="16"/>
  <c r="Q1371" i="16"/>
  <c r="P1371" i="16"/>
  <c r="Q1370" i="16"/>
  <c r="P1370" i="16"/>
  <c r="Q1369" i="16"/>
  <c r="P1369" i="16"/>
  <c r="Q1368" i="16"/>
  <c r="P1368" i="16"/>
  <c r="Q1367" i="16"/>
  <c r="P1367" i="16"/>
  <c r="Q1366" i="16"/>
  <c r="P1366" i="16"/>
  <c r="Q1365" i="16"/>
  <c r="P1365" i="16"/>
  <c r="Q1364" i="16"/>
  <c r="P1364" i="16"/>
  <c r="Q1361" i="16"/>
  <c r="P1361" i="16"/>
  <c r="Q1360" i="16"/>
  <c r="P1360" i="16"/>
  <c r="Q1359" i="16"/>
  <c r="P1359" i="16"/>
  <c r="Q1358" i="16"/>
  <c r="P1358" i="16"/>
  <c r="Q1357" i="16"/>
  <c r="P1357" i="16"/>
  <c r="Q1356" i="16"/>
  <c r="P1356" i="16"/>
  <c r="Q1355" i="16"/>
  <c r="P1355" i="16"/>
  <c r="Q1354" i="16"/>
  <c r="P1354" i="16"/>
  <c r="Q1353" i="16"/>
  <c r="P1353" i="16"/>
  <c r="Q1352" i="16"/>
  <c r="P1352" i="16"/>
  <c r="Q1351" i="16"/>
  <c r="P1351" i="16"/>
  <c r="Q1350" i="16"/>
  <c r="P1350" i="16"/>
  <c r="Q1349" i="16"/>
  <c r="P1349" i="16"/>
  <c r="Q1348" i="16"/>
  <c r="P1348" i="16"/>
  <c r="Q1347" i="16"/>
  <c r="P1347" i="16"/>
  <c r="Q1346" i="16"/>
  <c r="P1346" i="16"/>
  <c r="Q1345" i="16"/>
  <c r="P1345" i="16"/>
  <c r="Q1342" i="16"/>
  <c r="P1342" i="16"/>
  <c r="Q1341" i="16"/>
  <c r="P1341" i="16"/>
  <c r="Q1340" i="16"/>
  <c r="P1340" i="16"/>
  <c r="Q1339" i="16"/>
  <c r="P1339" i="16"/>
  <c r="Q1338" i="16"/>
  <c r="P1338" i="16"/>
  <c r="Q1337" i="16"/>
  <c r="P1337" i="16"/>
  <c r="Q1336" i="16"/>
  <c r="P1336" i="16"/>
  <c r="Q1335" i="16"/>
  <c r="P1335" i="16"/>
  <c r="Q1334" i="16"/>
  <c r="P1334" i="16"/>
  <c r="Q1333" i="16"/>
  <c r="P1333" i="16"/>
  <c r="Q1332" i="16"/>
  <c r="P1332" i="16"/>
  <c r="Q1327" i="16"/>
  <c r="P1327" i="16"/>
  <c r="Q1326" i="16"/>
  <c r="P1326" i="16"/>
  <c r="Q1325" i="16"/>
  <c r="P1325" i="16"/>
  <c r="Q1324" i="16"/>
  <c r="P1324" i="16"/>
  <c r="Q1323" i="16"/>
  <c r="P1323" i="16"/>
  <c r="Q1322" i="16"/>
  <c r="P1322" i="16"/>
  <c r="Q1321" i="16"/>
  <c r="P1321" i="16"/>
  <c r="Q1320" i="16"/>
  <c r="P1320" i="16"/>
  <c r="Q1319" i="16"/>
  <c r="P1319" i="16"/>
  <c r="Q1318" i="16"/>
  <c r="P1318" i="16"/>
  <c r="Q1313" i="16"/>
  <c r="P1313" i="16"/>
  <c r="Q1312" i="16"/>
  <c r="P1312" i="16"/>
  <c r="Q1309" i="16"/>
  <c r="P1309" i="16"/>
  <c r="Q1308" i="16"/>
  <c r="P1308" i="16"/>
  <c r="Q1305" i="16"/>
  <c r="P1305" i="16"/>
  <c r="Q1304" i="16"/>
  <c r="P1304" i="16"/>
  <c r="Q1303" i="16"/>
  <c r="P1303" i="16"/>
  <c r="Q1300" i="16"/>
  <c r="P1300" i="16"/>
  <c r="Q1299" i="16"/>
  <c r="P1299" i="16"/>
  <c r="Q1296" i="16"/>
  <c r="P1296" i="16"/>
  <c r="Q1295" i="16"/>
  <c r="P1295" i="16"/>
  <c r="Q1294" i="16"/>
  <c r="P1294" i="16"/>
  <c r="Q1293" i="16"/>
  <c r="P1293" i="16"/>
  <c r="Q1292" i="16"/>
  <c r="P1292" i="16"/>
  <c r="Q1291" i="16"/>
  <c r="P1291" i="16"/>
  <c r="Q1290" i="16"/>
  <c r="P1290" i="16"/>
  <c r="Q1289" i="16"/>
  <c r="P1289" i="16"/>
  <c r="Q1288" i="16"/>
  <c r="P1288" i="16"/>
  <c r="Q1287" i="16"/>
  <c r="P1287" i="16"/>
  <c r="Q1286" i="16"/>
  <c r="P1286" i="16"/>
  <c r="Q1285" i="16"/>
  <c r="P1285" i="16"/>
  <c r="Q1284" i="16"/>
  <c r="P1284" i="16"/>
  <c r="Q1283" i="16"/>
  <c r="P1283" i="16"/>
  <c r="Q1282" i="16"/>
  <c r="P1282" i="16"/>
  <c r="Q1281" i="16"/>
  <c r="P1281" i="16"/>
  <c r="Q1280" i="16"/>
  <c r="P1280" i="16"/>
  <c r="Q1279" i="16"/>
  <c r="P1279" i="16"/>
  <c r="Q1278" i="16"/>
  <c r="P1278" i="16"/>
  <c r="Q1277" i="16"/>
  <c r="P1277" i="16"/>
  <c r="Q1276" i="16"/>
  <c r="P1276" i="16"/>
  <c r="Q1275" i="16"/>
  <c r="P1275" i="16"/>
  <c r="Q1274" i="16"/>
  <c r="P1274" i="16"/>
  <c r="Q1273" i="16"/>
  <c r="P1273" i="16"/>
  <c r="Q1272" i="16"/>
  <c r="P1272" i="16"/>
  <c r="Q1271" i="16"/>
  <c r="P1271" i="16"/>
  <c r="Q1270" i="16"/>
  <c r="P1270" i="16"/>
  <c r="Q1269" i="16"/>
  <c r="P1269" i="16"/>
  <c r="Q1264" i="16"/>
  <c r="P1264" i="16"/>
  <c r="Q1263" i="16"/>
  <c r="P1263" i="16"/>
  <c r="Q1258" i="16"/>
  <c r="P1258" i="16"/>
  <c r="Q1253" i="16"/>
  <c r="P1253" i="16"/>
  <c r="Q1248" i="16"/>
  <c r="P1248" i="16"/>
  <c r="Q1243" i="16"/>
  <c r="P1243" i="16"/>
  <c r="Q1238" i="16"/>
  <c r="P1238" i="16"/>
  <c r="Q1237" i="16"/>
  <c r="P1237" i="16"/>
  <c r="Q1236" i="16"/>
  <c r="P1236" i="16"/>
  <c r="Q1235" i="16"/>
  <c r="P1235" i="16"/>
  <c r="Q1234" i="16"/>
  <c r="P1234" i="16"/>
  <c r="Q1233" i="16"/>
  <c r="P1233" i="16"/>
  <c r="Q1232" i="16"/>
  <c r="P1232" i="16"/>
  <c r="Q1231" i="16"/>
  <c r="P1231" i="16"/>
  <c r="Q1230" i="16"/>
  <c r="P1230" i="16"/>
  <c r="Q1229" i="16"/>
  <c r="P1229" i="16"/>
  <c r="Q1228" i="16"/>
  <c r="P1228" i="16"/>
  <c r="Q1227" i="16"/>
  <c r="P1227" i="16"/>
  <c r="Q1226" i="16"/>
  <c r="P1226" i="16"/>
  <c r="Q1225" i="16"/>
  <c r="P1225" i="16"/>
  <c r="Q1224" i="16"/>
  <c r="P1224" i="16"/>
  <c r="Q1223" i="16"/>
  <c r="P1223" i="16"/>
  <c r="Q1222" i="16"/>
  <c r="P1222" i="16"/>
  <c r="Q1221" i="16"/>
  <c r="P1221" i="16"/>
  <c r="Q1220" i="16"/>
  <c r="P1220" i="16"/>
  <c r="Q1219" i="16"/>
  <c r="P1219" i="16"/>
  <c r="Q1218" i="16"/>
  <c r="P1218" i="16"/>
  <c r="Q1217" i="16"/>
  <c r="P1217" i="16"/>
  <c r="Q1216" i="16"/>
  <c r="P1216" i="16"/>
  <c r="Q1215" i="16"/>
  <c r="P1215" i="16"/>
  <c r="Q1214" i="16"/>
  <c r="P1214" i="16"/>
  <c r="Q1213" i="16"/>
  <c r="P1213" i="16"/>
  <c r="Q1210" i="16"/>
  <c r="P1210" i="16"/>
  <c r="Q1209" i="16"/>
  <c r="P1209" i="16"/>
  <c r="Q1208" i="16"/>
  <c r="P1208" i="16"/>
  <c r="Q1207" i="16"/>
  <c r="P1207" i="16"/>
  <c r="Q1206" i="16"/>
  <c r="P1206" i="16"/>
  <c r="Q1205" i="16"/>
  <c r="P1205" i="16"/>
  <c r="Q1204" i="16"/>
  <c r="P1204" i="16"/>
  <c r="Q1202" i="16"/>
  <c r="P1202" i="16"/>
  <c r="Q1200" i="16"/>
  <c r="P1200" i="16"/>
  <c r="Q1198" i="16"/>
  <c r="P1198" i="16"/>
  <c r="Q1197" i="16"/>
  <c r="P1197" i="16"/>
  <c r="Q1196" i="16"/>
  <c r="P1196" i="16"/>
  <c r="Q1195" i="16"/>
  <c r="P1195" i="16"/>
  <c r="Q1194" i="16"/>
  <c r="P1194" i="16"/>
  <c r="Q1193" i="16"/>
  <c r="P1193" i="16"/>
  <c r="Q1192" i="16"/>
  <c r="P1192" i="16"/>
  <c r="Q1191" i="16"/>
  <c r="P1191" i="16"/>
  <c r="Q1190" i="16"/>
  <c r="P1190" i="16"/>
  <c r="Q1189" i="16"/>
  <c r="P1189" i="16"/>
  <c r="Q1188" i="16"/>
  <c r="P1188" i="16"/>
  <c r="Q1187" i="16"/>
  <c r="P1187" i="16"/>
  <c r="Q1186" i="16"/>
  <c r="P1186" i="16"/>
  <c r="Q1185" i="16"/>
  <c r="P1185" i="16"/>
  <c r="Q1184" i="16"/>
  <c r="P1184" i="16"/>
  <c r="Q1183" i="16"/>
  <c r="P1183" i="16"/>
  <c r="Q1182" i="16"/>
  <c r="P1182" i="16"/>
  <c r="Q1181" i="16"/>
  <c r="P1181" i="16"/>
  <c r="Q1180" i="16"/>
  <c r="P1180" i="16"/>
  <c r="Q1171" i="16"/>
  <c r="P1171" i="16"/>
  <c r="Q1170" i="16"/>
  <c r="P1170" i="16"/>
  <c r="Q1169" i="16"/>
  <c r="P1169" i="16"/>
  <c r="Q1168" i="16"/>
  <c r="P1168" i="16"/>
  <c r="Q1165" i="16"/>
  <c r="P1165" i="16"/>
  <c r="Q1164" i="16"/>
  <c r="P1164" i="16"/>
  <c r="Q1163" i="16"/>
  <c r="P1163" i="16"/>
  <c r="Q1162" i="16"/>
  <c r="P1162" i="16"/>
  <c r="Q1161" i="16"/>
  <c r="P1161" i="16"/>
  <c r="Q1160" i="16"/>
  <c r="P1160" i="16"/>
  <c r="Q1159" i="16"/>
  <c r="P1159" i="16"/>
  <c r="Q1158" i="16"/>
  <c r="P1158" i="16"/>
  <c r="Q1157" i="16"/>
  <c r="P1157" i="16"/>
  <c r="Q1156" i="16"/>
  <c r="P1156" i="16"/>
  <c r="Q1155" i="16"/>
  <c r="P1155" i="16"/>
  <c r="Q1154" i="16"/>
  <c r="P1154" i="16"/>
  <c r="Q1153" i="16"/>
  <c r="P1153" i="16"/>
  <c r="Q1152" i="16"/>
  <c r="P1152" i="16"/>
  <c r="Q1151" i="16"/>
  <c r="P1151" i="16"/>
  <c r="Q1150" i="16"/>
  <c r="P1150" i="16"/>
  <c r="Q1149" i="16"/>
  <c r="P1149" i="16"/>
  <c r="Q1148" i="16"/>
  <c r="P1148" i="16"/>
  <c r="Q1147" i="16"/>
  <c r="P1147" i="16"/>
  <c r="Q1146" i="16"/>
  <c r="P1146" i="16"/>
  <c r="Q1145" i="16"/>
  <c r="P1145" i="16"/>
  <c r="Q1144" i="16"/>
  <c r="P1144" i="16"/>
  <c r="Q1143" i="16"/>
  <c r="P1143" i="16"/>
  <c r="Q1142" i="16"/>
  <c r="P1142" i="16"/>
  <c r="Q1141" i="16"/>
  <c r="P1141" i="16"/>
  <c r="Q1140" i="16"/>
  <c r="P1140" i="16"/>
  <c r="Q1139" i="16"/>
  <c r="P1139" i="16"/>
  <c r="Q1138" i="16"/>
  <c r="P1138" i="16"/>
  <c r="Q1137" i="16"/>
  <c r="P1137" i="16"/>
  <c r="Q1136" i="16"/>
  <c r="P1136" i="16"/>
  <c r="Q1135" i="16"/>
  <c r="P1135" i="16"/>
  <c r="Q1134" i="16"/>
  <c r="P1134" i="16"/>
  <c r="Q1133" i="16"/>
  <c r="P1133" i="16"/>
  <c r="Q1132" i="16"/>
  <c r="P1132" i="16"/>
  <c r="Q1131" i="16"/>
  <c r="P1131" i="16"/>
  <c r="Q1130" i="16"/>
  <c r="P1130" i="16"/>
  <c r="Q1129" i="16"/>
  <c r="P1129" i="16"/>
  <c r="Q1128" i="16"/>
  <c r="P1128" i="16"/>
  <c r="Q1127" i="16"/>
  <c r="P1127" i="16"/>
  <c r="Q1126" i="16"/>
  <c r="P1126" i="16"/>
  <c r="Q1124" i="16"/>
  <c r="P1124" i="16"/>
  <c r="Q1122" i="16"/>
  <c r="P1122" i="16"/>
  <c r="Q1120" i="16"/>
  <c r="P1120" i="16"/>
  <c r="Q1119" i="16"/>
  <c r="P1119" i="16"/>
  <c r="Q1118" i="16"/>
  <c r="P1118" i="16"/>
  <c r="Q1117" i="16"/>
  <c r="P1117" i="16"/>
  <c r="Q1116" i="16"/>
  <c r="P1116" i="16"/>
  <c r="Q1115" i="16"/>
  <c r="P1115" i="16"/>
  <c r="Q1114" i="16"/>
  <c r="P1114" i="16"/>
  <c r="Q1113" i="16"/>
  <c r="P1113" i="16"/>
  <c r="Q1112" i="16"/>
  <c r="P1112" i="16"/>
  <c r="Q1111" i="16"/>
  <c r="P1111" i="16"/>
  <c r="Q1110" i="16"/>
  <c r="P1110" i="16"/>
  <c r="Q1109" i="16"/>
  <c r="P1109" i="16"/>
  <c r="Q1108" i="16"/>
  <c r="P1108" i="16"/>
  <c r="Q1107" i="16"/>
  <c r="P1107" i="16"/>
  <c r="Q1106" i="16"/>
  <c r="P1106" i="16"/>
  <c r="Q1105" i="16"/>
  <c r="P1105" i="16"/>
  <c r="Q1104" i="16"/>
  <c r="P1104" i="16"/>
  <c r="Q1103" i="16"/>
  <c r="P1103" i="16"/>
  <c r="Q1102" i="16"/>
  <c r="P1102" i="16"/>
  <c r="Q1101" i="16"/>
  <c r="P1101" i="16"/>
  <c r="Q1100" i="16"/>
  <c r="P1100" i="16"/>
  <c r="Q1097" i="16"/>
  <c r="P1097" i="16"/>
  <c r="Q1096" i="16"/>
  <c r="P1096" i="16"/>
  <c r="Q1095" i="16"/>
  <c r="P1095" i="16"/>
  <c r="Q1094" i="16"/>
  <c r="P1094" i="16"/>
  <c r="Q1093" i="16"/>
  <c r="P1093" i="16"/>
  <c r="Q1092" i="16"/>
  <c r="P1092" i="16"/>
  <c r="Q1089" i="16"/>
  <c r="P1089" i="16"/>
  <c r="Q1086" i="16"/>
  <c r="P1086" i="16"/>
  <c r="Q1085" i="16"/>
  <c r="P1085" i="16"/>
  <c r="Q1084" i="16"/>
  <c r="P1084" i="16"/>
  <c r="Q1083" i="16"/>
  <c r="P1083" i="16"/>
  <c r="Q1082" i="16"/>
  <c r="P1082" i="16"/>
  <c r="Q1081" i="16"/>
  <c r="P1081" i="16"/>
  <c r="Q1080" i="16"/>
  <c r="P1080" i="16"/>
  <c r="Q1079" i="16"/>
  <c r="P1079" i="16"/>
  <c r="Q1078" i="16"/>
  <c r="P1078" i="16"/>
  <c r="Q1077" i="16"/>
  <c r="P1077" i="16"/>
  <c r="Q1076" i="16"/>
  <c r="P1076" i="16"/>
  <c r="Q1075" i="16"/>
  <c r="P1075" i="16"/>
  <c r="Q1074" i="16"/>
  <c r="P1074" i="16"/>
  <c r="Q1073" i="16"/>
  <c r="P1073" i="16"/>
  <c r="Q1072" i="16"/>
  <c r="P1072" i="16"/>
  <c r="Q1071" i="16"/>
  <c r="P1071" i="16"/>
  <c r="Q1070" i="16"/>
  <c r="P1070" i="16"/>
  <c r="Q1069" i="16"/>
  <c r="P1069" i="16"/>
  <c r="Q1068" i="16"/>
  <c r="P1068" i="16"/>
  <c r="Q1067" i="16"/>
  <c r="P1067" i="16"/>
  <c r="Q1066" i="16"/>
  <c r="P1066" i="16"/>
  <c r="Q1065" i="16"/>
  <c r="P1065" i="16"/>
  <c r="Q1064" i="16"/>
  <c r="P1064" i="16"/>
  <c r="Q1063" i="16"/>
  <c r="P1063" i="16"/>
  <c r="Q1062" i="16"/>
  <c r="P1062" i="16"/>
  <c r="Q1061" i="16"/>
  <c r="P1061" i="16"/>
  <c r="Q1060" i="16"/>
  <c r="P1060" i="16"/>
  <c r="Q1059" i="16"/>
  <c r="P1059" i="16"/>
  <c r="Q1058" i="16"/>
  <c r="P1058" i="16"/>
  <c r="Q1057" i="16"/>
  <c r="P1057" i="16"/>
  <c r="Q1056" i="16"/>
  <c r="P1056" i="16"/>
  <c r="Q1055" i="16"/>
  <c r="P1055" i="16"/>
  <c r="Q1054" i="16"/>
  <c r="P1054" i="16"/>
  <c r="Q1053" i="16"/>
  <c r="P1053" i="16"/>
  <c r="Q1052" i="16"/>
  <c r="P1052" i="16"/>
  <c r="Q1051" i="16"/>
  <c r="P1051" i="16"/>
  <c r="Q1050" i="16"/>
  <c r="P1050" i="16"/>
  <c r="Q1049" i="16"/>
  <c r="P1049" i="16"/>
  <c r="Q1048" i="16"/>
  <c r="P1048" i="16"/>
  <c r="Q1047" i="16"/>
  <c r="P1047" i="16"/>
  <c r="Q1046" i="16"/>
  <c r="P1046" i="16"/>
  <c r="Q1045" i="16"/>
  <c r="P1045" i="16"/>
  <c r="Q1044" i="16"/>
  <c r="P1044" i="16"/>
  <c r="Q1043" i="16"/>
  <c r="P1043" i="16"/>
  <c r="Q1042" i="16"/>
  <c r="P1042" i="16"/>
  <c r="Q1041" i="16"/>
  <c r="P1041" i="16"/>
  <c r="Q1040" i="16"/>
  <c r="P1040" i="16"/>
  <c r="Q1039" i="16"/>
  <c r="P1039" i="16"/>
  <c r="Q1038" i="16"/>
  <c r="P1038" i="16"/>
  <c r="Q1037" i="16"/>
  <c r="P1037" i="16"/>
  <c r="Q1036" i="16"/>
  <c r="P1036" i="16"/>
  <c r="Q1035" i="16"/>
  <c r="P1035" i="16"/>
  <c r="Q1034" i="16"/>
  <c r="P1034" i="16"/>
  <c r="Q1033" i="16"/>
  <c r="P1033" i="16"/>
  <c r="Q1032" i="16"/>
  <c r="P1032" i="16"/>
  <c r="Q1031" i="16"/>
  <c r="P1031" i="16"/>
  <c r="Q1030" i="16"/>
  <c r="P1030" i="16"/>
  <c r="Q1029" i="16"/>
  <c r="P1029" i="16"/>
  <c r="Q1028" i="16"/>
  <c r="P1028" i="16"/>
  <c r="Q1027" i="16"/>
  <c r="P1027" i="16"/>
  <c r="Q1026" i="16"/>
  <c r="P1026" i="16"/>
  <c r="Q1025" i="16"/>
  <c r="P1025" i="16"/>
  <c r="Q1024" i="16"/>
  <c r="P1024" i="16"/>
  <c r="Q1023" i="16"/>
  <c r="P1023" i="16"/>
  <c r="Q1022" i="16"/>
  <c r="P1022" i="16"/>
  <c r="Q1013" i="16"/>
  <c r="P1013" i="16"/>
  <c r="Q1012" i="16"/>
  <c r="P1012" i="16"/>
  <c r="Q1011" i="16"/>
  <c r="P1011" i="16"/>
  <c r="Q1010" i="16"/>
  <c r="P1010" i="16"/>
  <c r="Q1007" i="16"/>
  <c r="P1007" i="16"/>
  <c r="Q1006" i="16"/>
  <c r="P1006" i="16"/>
  <c r="Q1005" i="16"/>
  <c r="P1005" i="16"/>
  <c r="Q1004" i="16"/>
  <c r="P1004" i="16"/>
  <c r="Q1003" i="16"/>
  <c r="P1003" i="16"/>
  <c r="Q1002" i="16"/>
  <c r="P1002" i="16"/>
  <c r="Q1001" i="16"/>
  <c r="P1001" i="16"/>
  <c r="Q1000" i="16"/>
  <c r="P1000" i="16"/>
  <c r="Q999" i="16"/>
  <c r="P999" i="16"/>
  <c r="Q998" i="16"/>
  <c r="P998" i="16"/>
  <c r="Q997" i="16"/>
  <c r="P997" i="16"/>
  <c r="Q996" i="16"/>
  <c r="P996" i="16"/>
  <c r="Q995" i="16"/>
  <c r="P995" i="16"/>
  <c r="Q994" i="16"/>
  <c r="P994" i="16"/>
  <c r="Q993" i="16"/>
  <c r="P993" i="16"/>
  <c r="Q992" i="16"/>
  <c r="P992" i="16"/>
  <c r="Q991" i="16"/>
  <c r="P991" i="16"/>
  <c r="Q990" i="16"/>
  <c r="P990" i="16"/>
  <c r="Q989" i="16"/>
  <c r="P989" i="16"/>
  <c r="Q988" i="16"/>
  <c r="P988" i="16"/>
  <c r="Q987" i="16"/>
  <c r="P987" i="16"/>
  <c r="Q986" i="16"/>
  <c r="P986" i="16"/>
  <c r="Q985" i="16"/>
  <c r="P985" i="16"/>
  <c r="Q984" i="16"/>
  <c r="P984" i="16"/>
  <c r="Q983" i="16"/>
  <c r="P983" i="16"/>
  <c r="Q982" i="16"/>
  <c r="P982" i="16"/>
  <c r="Q981" i="16"/>
  <c r="P981" i="16"/>
  <c r="Q980" i="16"/>
  <c r="P980" i="16"/>
  <c r="Q979" i="16"/>
  <c r="P979" i="16"/>
  <c r="Q978" i="16"/>
  <c r="P978" i="16"/>
  <c r="Q975" i="16"/>
  <c r="P975" i="16"/>
  <c r="Q974" i="16"/>
  <c r="P974" i="16"/>
  <c r="Q973" i="16"/>
  <c r="P973" i="16"/>
  <c r="Q972" i="16"/>
  <c r="P972" i="16"/>
  <c r="Q971" i="16"/>
  <c r="P971" i="16"/>
  <c r="Q970" i="16"/>
  <c r="P970" i="16"/>
  <c r="Q968" i="16"/>
  <c r="P968" i="16"/>
  <c r="Q967" i="16"/>
  <c r="P967" i="16"/>
  <c r="Q966" i="16"/>
  <c r="P966" i="16"/>
  <c r="Q965" i="16"/>
  <c r="P965" i="16"/>
  <c r="Q964" i="16"/>
  <c r="P964" i="16"/>
  <c r="Q963" i="16"/>
  <c r="P963" i="16"/>
  <c r="Q962" i="16"/>
  <c r="P962" i="16"/>
  <c r="Q961" i="16"/>
  <c r="P961" i="16"/>
  <c r="Q960" i="16"/>
  <c r="P960" i="16"/>
  <c r="Q959" i="16"/>
  <c r="P959" i="16"/>
  <c r="Q958" i="16"/>
  <c r="P958" i="16"/>
  <c r="Q957" i="16"/>
  <c r="P957" i="16"/>
  <c r="Q956" i="16"/>
  <c r="P956" i="16"/>
  <c r="Q955" i="16"/>
  <c r="P955" i="16"/>
  <c r="Q954" i="16"/>
  <c r="P954" i="16"/>
  <c r="Q953" i="16"/>
  <c r="P953" i="16"/>
  <c r="Q952" i="16"/>
  <c r="P952" i="16"/>
  <c r="Q951" i="16"/>
  <c r="P951" i="16"/>
  <c r="Q950" i="16"/>
  <c r="P950" i="16"/>
  <c r="Q949" i="16"/>
  <c r="P949" i="16"/>
  <c r="Q948" i="16"/>
  <c r="P948" i="16"/>
  <c r="Q947" i="16"/>
  <c r="P947" i="16"/>
  <c r="Q946" i="16"/>
  <c r="P946" i="16"/>
  <c r="Q943" i="16"/>
  <c r="P943" i="16"/>
  <c r="Q942" i="16"/>
  <c r="P942" i="16"/>
  <c r="Q941" i="16"/>
  <c r="P941" i="16"/>
  <c r="Q940" i="16"/>
  <c r="P940" i="16"/>
  <c r="Q939" i="16"/>
  <c r="P939" i="16"/>
  <c r="Q938" i="16"/>
  <c r="P938" i="16"/>
  <c r="Q937" i="16"/>
  <c r="P937" i="16"/>
  <c r="Q936" i="16"/>
  <c r="P936" i="16"/>
  <c r="Q935" i="16"/>
  <c r="P935" i="16"/>
  <c r="Q934" i="16"/>
  <c r="P934" i="16"/>
  <c r="Q933" i="16"/>
  <c r="P933" i="16"/>
  <c r="Q932" i="16"/>
  <c r="P932" i="16"/>
  <c r="Q931" i="16"/>
  <c r="P931" i="16"/>
  <c r="Q930" i="16"/>
  <c r="P930" i="16"/>
  <c r="Q929" i="16"/>
  <c r="P929" i="16"/>
  <c r="Q928" i="16"/>
  <c r="P928" i="16"/>
  <c r="Q927" i="16"/>
  <c r="P927" i="16"/>
  <c r="Q926" i="16"/>
  <c r="P926" i="16"/>
  <c r="Q925" i="16"/>
  <c r="P925" i="16"/>
  <c r="Q924" i="16"/>
  <c r="P924" i="16"/>
  <c r="Q923" i="16"/>
  <c r="P923" i="16"/>
  <c r="Q922" i="16"/>
  <c r="P922" i="16"/>
  <c r="Q921" i="16"/>
  <c r="P921" i="16"/>
  <c r="Q920" i="16"/>
  <c r="P920" i="16"/>
  <c r="Q919" i="16"/>
  <c r="P919" i="16"/>
  <c r="Q918" i="16"/>
  <c r="P918" i="16"/>
  <c r="Q917" i="16"/>
  <c r="P917" i="16"/>
  <c r="Q916" i="16"/>
  <c r="P916" i="16"/>
  <c r="Q915" i="16"/>
  <c r="P915" i="16"/>
  <c r="Q914" i="16"/>
  <c r="P914" i="16"/>
  <c r="Q913" i="16"/>
  <c r="P913" i="16"/>
  <c r="Q912" i="16"/>
  <c r="P912" i="16"/>
  <c r="Q911" i="16"/>
  <c r="P911" i="16"/>
  <c r="Q910" i="16"/>
  <c r="P910" i="16"/>
  <c r="Q909" i="16"/>
  <c r="P909" i="16"/>
  <c r="Q908" i="16"/>
  <c r="P908" i="16"/>
  <c r="Q907" i="16"/>
  <c r="P907" i="16"/>
  <c r="Q906" i="16"/>
  <c r="P906" i="16"/>
  <c r="Q905" i="16"/>
  <c r="P905" i="16"/>
  <c r="Q904" i="16"/>
  <c r="P904" i="16"/>
  <c r="Q903" i="16"/>
  <c r="P903" i="16"/>
  <c r="Q902" i="16"/>
  <c r="P902" i="16"/>
  <c r="Q901" i="16"/>
  <c r="P901" i="16"/>
  <c r="Q900" i="16"/>
  <c r="P900" i="16"/>
  <c r="Q899" i="16"/>
  <c r="P899" i="16"/>
  <c r="Q898" i="16"/>
  <c r="P898" i="16"/>
  <c r="Q897" i="16"/>
  <c r="P897" i="16"/>
  <c r="Q888" i="16"/>
  <c r="P888" i="16"/>
  <c r="Q887" i="16"/>
  <c r="P887" i="16"/>
  <c r="Q886" i="16"/>
  <c r="P886" i="16"/>
  <c r="Q885" i="16"/>
  <c r="P885" i="16"/>
  <c r="Q882" i="16"/>
  <c r="P882" i="16"/>
  <c r="Q881" i="16"/>
  <c r="P881" i="16"/>
  <c r="Q880" i="16"/>
  <c r="P880" i="16"/>
  <c r="Q879" i="16"/>
  <c r="P879" i="16"/>
  <c r="Q878" i="16"/>
  <c r="P878" i="16"/>
  <c r="Q877" i="16"/>
  <c r="P877" i="16"/>
  <c r="Q876" i="16"/>
  <c r="P876" i="16"/>
  <c r="Q875" i="16"/>
  <c r="P875" i="16"/>
  <c r="Q874" i="16"/>
  <c r="P874" i="16"/>
  <c r="Q873" i="16"/>
  <c r="P873" i="16"/>
  <c r="Q872" i="16"/>
  <c r="P872" i="16"/>
  <c r="Q871" i="16"/>
  <c r="P871" i="16"/>
  <c r="Q870" i="16"/>
  <c r="P870" i="16"/>
  <c r="Q869" i="16"/>
  <c r="P869" i="16"/>
  <c r="Q868" i="16"/>
  <c r="P868" i="16"/>
  <c r="Q867" i="16"/>
  <c r="P867" i="16"/>
  <c r="Q866" i="16"/>
  <c r="P866" i="16"/>
  <c r="Q865" i="16"/>
  <c r="P865" i="16"/>
  <c r="Q864" i="16"/>
  <c r="P864" i="16"/>
  <c r="Q863" i="16"/>
  <c r="P863" i="16"/>
  <c r="Q862" i="16"/>
  <c r="P862" i="16"/>
  <c r="Q861" i="16"/>
  <c r="P861" i="16"/>
  <c r="Q860" i="16"/>
  <c r="P860" i="16"/>
  <c r="Q859" i="16"/>
  <c r="P859" i="16"/>
  <c r="Q858" i="16"/>
  <c r="P858" i="16"/>
  <c r="Q857" i="16"/>
  <c r="P857" i="16"/>
  <c r="Q856" i="16"/>
  <c r="P856" i="16"/>
  <c r="Q855" i="16"/>
  <c r="P855" i="16"/>
  <c r="Q854" i="16"/>
  <c r="P854" i="16"/>
  <c r="Q853" i="16"/>
  <c r="P853" i="16"/>
  <c r="Q852" i="16"/>
  <c r="P852" i="16"/>
  <c r="Q851" i="16"/>
  <c r="P851" i="16"/>
  <c r="Q850" i="16"/>
  <c r="P850" i="16"/>
  <c r="Q849" i="16"/>
  <c r="P849" i="16"/>
  <c r="Q848" i="16"/>
  <c r="P848" i="16"/>
  <c r="Q847" i="16"/>
  <c r="P847" i="16"/>
  <c r="Q846" i="16"/>
  <c r="P846" i="16"/>
  <c r="Q845" i="16"/>
  <c r="P845" i="16"/>
  <c r="Q844" i="16"/>
  <c r="P844" i="16"/>
  <c r="Q843" i="16"/>
  <c r="P843" i="16"/>
  <c r="Q842" i="16"/>
  <c r="P842" i="16"/>
  <c r="Q841" i="16"/>
  <c r="P841" i="16"/>
  <c r="Q840" i="16"/>
  <c r="P840" i="16"/>
  <c r="Q839" i="16"/>
  <c r="P839" i="16"/>
  <c r="Q838" i="16"/>
  <c r="P838" i="16"/>
  <c r="Q837" i="16"/>
  <c r="P837" i="16"/>
  <c r="Q836" i="16"/>
  <c r="P836" i="16"/>
  <c r="Q833" i="16"/>
  <c r="P833" i="16"/>
  <c r="Q832" i="16"/>
  <c r="P832" i="16"/>
  <c r="Q831" i="16"/>
  <c r="P831" i="16"/>
  <c r="Q828" i="16"/>
  <c r="P828" i="16"/>
  <c r="Q827" i="16"/>
  <c r="P827" i="16"/>
  <c r="Q826" i="16"/>
  <c r="P826" i="16"/>
  <c r="Q825" i="16"/>
  <c r="P825" i="16"/>
  <c r="Q824" i="16"/>
  <c r="P824" i="16"/>
  <c r="Q823" i="16"/>
  <c r="P823" i="16"/>
  <c r="Q822" i="16"/>
  <c r="P822" i="16"/>
  <c r="Q821" i="16"/>
  <c r="P821" i="16"/>
  <c r="Q820" i="16"/>
  <c r="P820" i="16"/>
  <c r="Q819" i="16"/>
  <c r="P819" i="16"/>
  <c r="Q818" i="16"/>
  <c r="P818" i="16"/>
  <c r="Q817" i="16"/>
  <c r="P817" i="16"/>
  <c r="Q816" i="16"/>
  <c r="P816" i="16"/>
  <c r="Q815" i="16"/>
  <c r="P815" i="16"/>
  <c r="Q814" i="16"/>
  <c r="P814" i="16"/>
  <c r="Q813" i="16"/>
  <c r="P813" i="16"/>
  <c r="Q812" i="16"/>
  <c r="P812" i="16"/>
  <c r="Q811" i="16"/>
  <c r="P811" i="16"/>
  <c r="Q810" i="16"/>
  <c r="P810" i="16"/>
  <c r="Q809" i="16"/>
  <c r="P809" i="16"/>
  <c r="Q808" i="16"/>
  <c r="P808" i="16"/>
  <c r="Q807" i="16"/>
  <c r="P807" i="16"/>
  <c r="Q806" i="16"/>
  <c r="P806" i="16"/>
  <c r="Q805" i="16"/>
  <c r="P805" i="16"/>
  <c r="Q804" i="16"/>
  <c r="P804" i="16"/>
  <c r="Q803" i="16"/>
  <c r="P803" i="16"/>
  <c r="Q802" i="16"/>
  <c r="P802" i="16"/>
  <c r="Q801" i="16"/>
  <c r="P801" i="16"/>
  <c r="Q800" i="16"/>
  <c r="P800" i="16"/>
  <c r="Q799" i="16"/>
  <c r="P799" i="16"/>
  <c r="Q798" i="16"/>
  <c r="P798" i="16"/>
  <c r="Q797" i="16"/>
  <c r="P797" i="16"/>
  <c r="Q796" i="16"/>
  <c r="P796" i="16"/>
  <c r="Q795" i="16"/>
  <c r="P795" i="16"/>
  <c r="Q794" i="16"/>
  <c r="P794" i="16"/>
  <c r="Q793" i="16"/>
  <c r="P793" i="16"/>
  <c r="Q792" i="16"/>
  <c r="P792" i="16"/>
  <c r="Q791" i="16"/>
  <c r="P791" i="16"/>
  <c r="Q790" i="16"/>
  <c r="P790" i="16"/>
  <c r="Q789" i="16"/>
  <c r="P789" i="16"/>
  <c r="Q788" i="16"/>
  <c r="P788" i="16"/>
  <c r="Q787" i="16"/>
  <c r="P787" i="16"/>
  <c r="Q786" i="16"/>
  <c r="P786" i="16"/>
  <c r="Q785" i="16"/>
  <c r="P785" i="16"/>
  <c r="Q784" i="16"/>
  <c r="P784" i="16"/>
  <c r="Q783" i="16"/>
  <c r="P783" i="16"/>
  <c r="Q782" i="16"/>
  <c r="P782" i="16"/>
  <c r="Q781" i="16"/>
  <c r="P781" i="16"/>
  <c r="Q780" i="16"/>
  <c r="P780" i="16"/>
  <c r="Q779" i="16"/>
  <c r="P779" i="16"/>
  <c r="Q778" i="16"/>
  <c r="P778" i="16"/>
  <c r="Q775" i="16"/>
  <c r="P775" i="16"/>
  <c r="Q774" i="16"/>
  <c r="P774" i="16"/>
  <c r="Q773" i="16"/>
  <c r="P773" i="16"/>
  <c r="Q772" i="16"/>
  <c r="P772" i="16"/>
  <c r="Q771" i="16"/>
  <c r="P771" i="16"/>
  <c r="Q770" i="16"/>
  <c r="P770" i="16"/>
  <c r="Q769" i="16"/>
  <c r="P769" i="16"/>
  <c r="Q768" i="16"/>
  <c r="P768" i="16"/>
  <c r="Q767" i="16"/>
  <c r="P767" i="16"/>
  <c r="Q766" i="16"/>
  <c r="P766" i="16"/>
  <c r="Q765" i="16"/>
  <c r="P765" i="16"/>
  <c r="Q764" i="16"/>
  <c r="P764" i="16"/>
  <c r="Q763" i="16"/>
  <c r="P763" i="16"/>
  <c r="Q762" i="16"/>
  <c r="P762" i="16"/>
  <c r="Q761" i="16"/>
  <c r="P761" i="16"/>
  <c r="Q760" i="16"/>
  <c r="P760" i="16"/>
  <c r="Q759" i="16"/>
  <c r="P759" i="16"/>
  <c r="Q758" i="16"/>
  <c r="P758" i="16"/>
  <c r="Q757" i="16"/>
  <c r="P757" i="16"/>
  <c r="Q756" i="16"/>
  <c r="P756" i="16"/>
  <c r="Q755" i="16"/>
  <c r="P755" i="16"/>
  <c r="Q754" i="16"/>
  <c r="P754" i="16"/>
  <c r="Q753" i="16"/>
  <c r="P753" i="16"/>
  <c r="Q752" i="16"/>
  <c r="P752" i="16"/>
  <c r="Q751" i="16"/>
  <c r="P751" i="16"/>
  <c r="Q750" i="16"/>
  <c r="P750" i="16"/>
  <c r="Q749" i="16"/>
  <c r="P749" i="16"/>
  <c r="Q748" i="16"/>
  <c r="P748" i="16"/>
  <c r="Q747" i="16"/>
  <c r="P747" i="16"/>
  <c r="Q746" i="16"/>
  <c r="P746" i="16"/>
  <c r="Q745" i="16"/>
  <c r="P745" i="16"/>
  <c r="Q743" i="16"/>
  <c r="P743" i="16"/>
  <c r="Q741" i="16"/>
  <c r="P741" i="16"/>
  <c r="Q739" i="16"/>
  <c r="P739" i="16"/>
  <c r="Q738" i="16"/>
  <c r="P738" i="16"/>
  <c r="Q737" i="16"/>
  <c r="P737" i="16"/>
  <c r="Q736" i="16"/>
  <c r="P736" i="16"/>
  <c r="Q735" i="16"/>
  <c r="P735" i="16"/>
  <c r="Q734" i="16"/>
  <c r="P734" i="16"/>
  <c r="Q733" i="16"/>
  <c r="P733" i="16"/>
  <c r="Q732" i="16"/>
  <c r="P732" i="16"/>
  <c r="Q731" i="16"/>
  <c r="P731" i="16"/>
  <c r="Q730" i="16"/>
  <c r="P730" i="16"/>
  <c r="Q729" i="16"/>
  <c r="P729" i="16"/>
  <c r="Q728" i="16"/>
  <c r="P728" i="16"/>
  <c r="Q727" i="16"/>
  <c r="P727" i="16"/>
  <c r="Q726" i="16"/>
  <c r="P726" i="16"/>
  <c r="Q725" i="16"/>
  <c r="P725" i="16"/>
  <c r="Q724" i="16"/>
  <c r="P724" i="16"/>
  <c r="Q723" i="16"/>
  <c r="P723" i="16"/>
  <c r="Q722" i="16"/>
  <c r="P722" i="16"/>
  <c r="Q721" i="16"/>
  <c r="P721" i="16"/>
  <c r="Q720" i="16"/>
  <c r="P720" i="16"/>
  <c r="Q719" i="16"/>
  <c r="P719" i="16"/>
  <c r="Q718" i="16"/>
  <c r="P718" i="16"/>
  <c r="Q717" i="16"/>
  <c r="P717" i="16"/>
  <c r="Q716" i="16"/>
  <c r="P716" i="16"/>
  <c r="Q715" i="16"/>
  <c r="P715" i="16"/>
  <c r="Q714" i="16"/>
  <c r="P714" i="16"/>
  <c r="Q713" i="16"/>
  <c r="P713" i="16"/>
  <c r="Q710" i="16"/>
  <c r="P710" i="16"/>
  <c r="Q709" i="16"/>
  <c r="P709" i="16"/>
  <c r="Q708" i="16"/>
  <c r="P708" i="16"/>
  <c r="Q707" i="16"/>
  <c r="P707" i="16"/>
  <c r="Q706" i="16"/>
  <c r="P706" i="16"/>
  <c r="Q703" i="16"/>
  <c r="P703" i="16"/>
  <c r="Q702" i="16"/>
  <c r="P702" i="16"/>
  <c r="Q701" i="16"/>
  <c r="P701" i="16"/>
  <c r="Q700" i="16"/>
  <c r="P700" i="16"/>
  <c r="Q699" i="16"/>
  <c r="P699" i="16"/>
  <c r="Q698" i="16"/>
  <c r="P698" i="16"/>
  <c r="Q697" i="16"/>
  <c r="P697" i="16"/>
  <c r="Q696" i="16"/>
  <c r="P696" i="16"/>
  <c r="Q695" i="16"/>
  <c r="P695" i="16"/>
  <c r="Q694" i="16"/>
  <c r="P694" i="16"/>
  <c r="Q693" i="16"/>
  <c r="P693" i="16"/>
  <c r="Q692" i="16"/>
  <c r="P692" i="16"/>
  <c r="Q691" i="16"/>
  <c r="P691" i="16"/>
  <c r="Q690" i="16"/>
  <c r="P690" i="16"/>
  <c r="Q689" i="16"/>
  <c r="P689" i="16"/>
  <c r="Q688" i="16"/>
  <c r="P688" i="16"/>
  <c r="Q687" i="16"/>
  <c r="P687" i="16"/>
  <c r="Q686" i="16"/>
  <c r="P686" i="16"/>
  <c r="Q685" i="16"/>
  <c r="P685" i="16"/>
  <c r="Q682" i="16"/>
  <c r="P682" i="16"/>
  <c r="Q681" i="16"/>
  <c r="P681" i="16"/>
  <c r="Q680" i="16"/>
  <c r="P680" i="16"/>
  <c r="Q679" i="16"/>
  <c r="P679" i="16"/>
  <c r="Q678" i="16"/>
  <c r="P678" i="16"/>
  <c r="Q677" i="16"/>
  <c r="P677" i="16"/>
  <c r="Q676" i="16"/>
  <c r="P676" i="16"/>
  <c r="Q675" i="16"/>
  <c r="P675" i="16"/>
  <c r="Q674" i="16"/>
  <c r="P674" i="16"/>
  <c r="Q673" i="16"/>
  <c r="P673" i="16"/>
  <c r="Q672" i="16"/>
  <c r="P672" i="16"/>
  <c r="Q671" i="16"/>
  <c r="P671" i="16"/>
  <c r="Q670" i="16"/>
  <c r="P670" i="16"/>
  <c r="Q669" i="16"/>
  <c r="P669" i="16"/>
  <c r="Q668" i="16"/>
  <c r="P668" i="16"/>
  <c r="Q667" i="16"/>
  <c r="P667" i="16"/>
  <c r="Q666" i="16"/>
  <c r="P666" i="16"/>
  <c r="Q665" i="16"/>
  <c r="P665" i="16"/>
  <c r="Q662" i="16"/>
  <c r="P662" i="16"/>
  <c r="Q661" i="16"/>
  <c r="P661" i="16"/>
  <c r="Q660" i="16"/>
  <c r="P660" i="16"/>
  <c r="Q659" i="16"/>
  <c r="P659" i="16"/>
  <c r="Q658" i="16"/>
  <c r="P658" i="16"/>
  <c r="Q657" i="16"/>
  <c r="P657" i="16"/>
  <c r="Q656" i="16"/>
  <c r="P656" i="16"/>
  <c r="Q655" i="16"/>
  <c r="P655" i="16"/>
  <c r="Q654" i="16"/>
  <c r="P654" i="16"/>
  <c r="Q653" i="16"/>
  <c r="P653" i="16"/>
  <c r="Q652" i="16"/>
  <c r="P652" i="16"/>
  <c r="Q649" i="16"/>
  <c r="P649" i="16"/>
  <c r="Q648" i="16"/>
  <c r="P648" i="16"/>
  <c r="Q647" i="16"/>
  <c r="P647" i="16"/>
  <c r="Q646" i="16"/>
  <c r="P646" i="16"/>
  <c r="Q645" i="16"/>
  <c r="P645" i="16"/>
  <c r="Q644" i="16"/>
  <c r="P644" i="16"/>
  <c r="Q643" i="16"/>
  <c r="P643" i="16"/>
  <c r="Q642" i="16"/>
  <c r="P642" i="16"/>
  <c r="Q641" i="16"/>
  <c r="P641" i="16"/>
  <c r="Q640" i="16"/>
  <c r="P640" i="16"/>
  <c r="Q639" i="16"/>
  <c r="P639" i="16"/>
  <c r="Q638" i="16"/>
  <c r="P638" i="16"/>
  <c r="Q637" i="16"/>
  <c r="P637" i="16"/>
  <c r="Q636" i="16"/>
  <c r="P636" i="16"/>
  <c r="Q635" i="16"/>
  <c r="P635" i="16"/>
  <c r="Q634" i="16"/>
  <c r="P634" i="16"/>
  <c r="Q633" i="16"/>
  <c r="P633" i="16"/>
  <c r="Q632" i="16"/>
  <c r="P632" i="16"/>
  <c r="Q631" i="16"/>
  <c r="P631" i="16"/>
  <c r="Q630" i="16"/>
  <c r="P630" i="16"/>
  <c r="Q629" i="16"/>
  <c r="P629" i="16"/>
  <c r="Q628" i="16"/>
  <c r="P628" i="16"/>
  <c r="Q627" i="16"/>
  <c r="P627" i="16"/>
  <c r="Q626" i="16"/>
  <c r="P626" i="16"/>
  <c r="Q625" i="16"/>
  <c r="P625" i="16"/>
  <c r="Q624" i="16"/>
  <c r="P624" i="16"/>
  <c r="Q623" i="16"/>
  <c r="P623" i="16"/>
  <c r="Q622" i="16"/>
  <c r="P622" i="16"/>
  <c r="Q621" i="16"/>
  <c r="P621" i="16"/>
  <c r="Q620" i="16"/>
  <c r="P620" i="16"/>
  <c r="Q619" i="16"/>
  <c r="P619" i="16"/>
  <c r="Q618" i="16"/>
  <c r="P618" i="16"/>
  <c r="Q617" i="16"/>
  <c r="P617" i="16"/>
  <c r="Q615" i="16"/>
  <c r="P615" i="16"/>
  <c r="Q613" i="16"/>
  <c r="P613" i="16"/>
  <c r="Q611" i="16"/>
  <c r="P611" i="16"/>
  <c r="Q610" i="16"/>
  <c r="P610" i="16"/>
  <c r="Q609" i="16"/>
  <c r="P609" i="16"/>
  <c r="Q608" i="16"/>
  <c r="P608" i="16"/>
  <c r="Q605" i="16"/>
  <c r="P605" i="16"/>
  <c r="Q604" i="16"/>
  <c r="P604" i="16"/>
  <c r="Q603" i="16"/>
  <c r="P603" i="16"/>
  <c r="Q602" i="16"/>
  <c r="P602" i="16"/>
  <c r="Q601" i="16"/>
  <c r="P601" i="16"/>
  <c r="Q600" i="16"/>
  <c r="P600" i="16"/>
  <c r="Q599" i="16"/>
  <c r="P599" i="16"/>
  <c r="Q598" i="16"/>
  <c r="P598" i="16"/>
  <c r="Q597" i="16"/>
  <c r="P597" i="16"/>
  <c r="Q596" i="16"/>
  <c r="P596" i="16"/>
  <c r="Q595" i="16"/>
  <c r="P595" i="16"/>
  <c r="Q594" i="16"/>
  <c r="P594" i="16"/>
  <c r="Q593" i="16"/>
  <c r="P593" i="16"/>
  <c r="Q592" i="16"/>
  <c r="P592" i="16"/>
  <c r="Q591" i="16"/>
  <c r="P591" i="16"/>
  <c r="Q590" i="16"/>
  <c r="P590" i="16"/>
  <c r="Q589" i="16"/>
  <c r="P589" i="16"/>
  <c r="Q588" i="16"/>
  <c r="P588" i="16"/>
  <c r="Q587" i="16"/>
  <c r="P587" i="16"/>
  <c r="Q586" i="16"/>
  <c r="P586" i="16"/>
  <c r="Q585" i="16"/>
  <c r="P585" i="16"/>
  <c r="Q584" i="16"/>
  <c r="P584" i="16"/>
  <c r="Q583" i="16"/>
  <c r="P583" i="16"/>
  <c r="Q582" i="16"/>
  <c r="P582" i="16"/>
  <c r="Q581" i="16"/>
  <c r="P581" i="16"/>
  <c r="Q580" i="16"/>
  <c r="P580" i="16"/>
  <c r="Q579" i="16"/>
  <c r="P579" i="16"/>
  <c r="Q578" i="16"/>
  <c r="P578" i="16"/>
  <c r="Q577" i="16"/>
  <c r="P577" i="16"/>
  <c r="Q576" i="16"/>
  <c r="P576" i="16"/>
  <c r="Q575" i="16"/>
  <c r="P575" i="16"/>
  <c r="Q574" i="16"/>
  <c r="P574" i="16"/>
  <c r="Q573" i="16"/>
  <c r="P573" i="16"/>
  <c r="Q572" i="16"/>
  <c r="P572" i="16"/>
  <c r="Q571" i="16"/>
  <c r="P571" i="16"/>
  <c r="Q570" i="16"/>
  <c r="P570" i="16"/>
  <c r="Q569" i="16"/>
  <c r="P569" i="16"/>
  <c r="Q568" i="16"/>
  <c r="P568" i="16"/>
  <c r="Q567" i="16"/>
  <c r="P567" i="16"/>
  <c r="Q566" i="16"/>
  <c r="P566" i="16"/>
  <c r="Q565" i="16"/>
  <c r="P565" i="16"/>
  <c r="Q564" i="16"/>
  <c r="P564" i="16"/>
  <c r="Q563" i="16"/>
  <c r="P563" i="16"/>
  <c r="Q562" i="16"/>
  <c r="P562" i="16"/>
  <c r="Q561" i="16"/>
  <c r="P561" i="16"/>
  <c r="Q560" i="16"/>
  <c r="P560" i="16"/>
  <c r="Q559" i="16"/>
  <c r="P559" i="16"/>
  <c r="Q558" i="16"/>
  <c r="P558" i="16"/>
  <c r="Q557" i="16"/>
  <c r="P557" i="16"/>
  <c r="Q556" i="16"/>
  <c r="P556" i="16"/>
  <c r="Q555" i="16"/>
  <c r="P555" i="16"/>
  <c r="Q554" i="16"/>
  <c r="P554" i="16"/>
  <c r="Q553" i="16"/>
  <c r="P553" i="16"/>
  <c r="Q552" i="16"/>
  <c r="P552" i="16"/>
  <c r="Q551" i="16"/>
  <c r="P551" i="16"/>
  <c r="Q550" i="16"/>
  <c r="P550" i="16"/>
  <c r="Q549" i="16"/>
  <c r="P549" i="16"/>
  <c r="Q548" i="16"/>
  <c r="P548" i="16"/>
  <c r="Q547" i="16"/>
  <c r="P547" i="16"/>
  <c r="Q546" i="16"/>
  <c r="P546" i="16"/>
  <c r="Q545" i="16"/>
  <c r="P545" i="16"/>
  <c r="Q544" i="16"/>
  <c r="P544" i="16"/>
  <c r="Q543" i="16"/>
  <c r="P543" i="16"/>
  <c r="Q542" i="16"/>
  <c r="P542" i="16"/>
  <c r="Q541" i="16"/>
  <c r="P541" i="16"/>
  <c r="Q540" i="16"/>
  <c r="P540" i="16"/>
  <c r="Q539" i="16"/>
  <c r="P539" i="16"/>
  <c r="Q538" i="16"/>
  <c r="P538" i="16"/>
  <c r="Q537" i="16"/>
  <c r="P537" i="16"/>
  <c r="Q536" i="16"/>
  <c r="P536" i="16"/>
  <c r="Q535" i="16"/>
  <c r="P535" i="16"/>
  <c r="Q534" i="16"/>
  <c r="P534" i="16"/>
  <c r="Q533" i="16"/>
  <c r="P533" i="16"/>
  <c r="Q532" i="16"/>
  <c r="P532" i="16"/>
  <c r="Q531" i="16"/>
  <c r="P531" i="16"/>
  <c r="Q530" i="16"/>
  <c r="P530" i="16"/>
  <c r="Q529" i="16"/>
  <c r="P529" i="16"/>
  <c r="Q528" i="16"/>
  <c r="P528" i="16"/>
  <c r="Q527" i="16"/>
  <c r="P527" i="16"/>
  <c r="Q526" i="16"/>
  <c r="P526" i="16"/>
  <c r="Q525" i="16"/>
  <c r="P525" i="16"/>
  <c r="Q524" i="16"/>
  <c r="P524" i="16"/>
  <c r="Q519" i="16"/>
  <c r="P519" i="16"/>
  <c r="Q514" i="16"/>
  <c r="P514" i="16"/>
  <c r="Q509" i="16"/>
  <c r="P509" i="16"/>
  <c r="Q504" i="16"/>
  <c r="P504" i="16"/>
  <c r="Q499" i="16"/>
  <c r="P499" i="16"/>
  <c r="Q494" i="16"/>
  <c r="P494" i="16"/>
  <c r="Q493" i="16"/>
  <c r="P493" i="16"/>
  <c r="Q492" i="16"/>
  <c r="P492" i="16"/>
  <c r="Q491" i="16"/>
  <c r="P491" i="16"/>
  <c r="Q490" i="16"/>
  <c r="P490" i="16"/>
  <c r="Q489" i="16"/>
  <c r="P489" i="16"/>
  <c r="Q488" i="16"/>
  <c r="P488" i="16"/>
  <c r="Q487" i="16"/>
  <c r="P487" i="16"/>
  <c r="Q486" i="16"/>
  <c r="P486" i="16"/>
  <c r="Q485" i="16"/>
  <c r="P485" i="16"/>
  <c r="Q484" i="16"/>
  <c r="P484" i="16"/>
  <c r="Q483" i="16"/>
  <c r="P483" i="16"/>
  <c r="Q482" i="16"/>
  <c r="P482" i="16"/>
  <c r="Q481" i="16"/>
  <c r="P481" i="16"/>
  <c r="Q480" i="16"/>
  <c r="P480" i="16"/>
  <c r="Q479" i="16"/>
  <c r="P479" i="16"/>
  <c r="Q478" i="16"/>
  <c r="P478" i="16"/>
  <c r="Q477" i="16"/>
  <c r="P477" i="16"/>
  <c r="Q476" i="16"/>
  <c r="P476" i="16"/>
  <c r="Q475" i="16"/>
  <c r="P475" i="16"/>
  <c r="Q474" i="16"/>
  <c r="P474" i="16"/>
  <c r="Q473" i="16"/>
  <c r="P473" i="16"/>
  <c r="Q472" i="16"/>
  <c r="P472" i="16"/>
  <c r="Q471" i="16"/>
  <c r="P471" i="16"/>
  <c r="Q468" i="16"/>
  <c r="P468" i="16"/>
  <c r="Q467" i="16"/>
  <c r="P467" i="16"/>
  <c r="Q466" i="16"/>
  <c r="P466" i="16"/>
  <c r="Q465" i="16"/>
  <c r="P465" i="16"/>
  <c r="Q464" i="16"/>
  <c r="P464" i="16"/>
  <c r="Q463" i="16"/>
  <c r="P463" i="16"/>
  <c r="Q462" i="16"/>
  <c r="P462" i="16"/>
  <c r="Q460" i="16"/>
  <c r="P460" i="16"/>
  <c r="Q458" i="16"/>
  <c r="P458" i="16"/>
  <c r="Q456" i="16"/>
  <c r="P456" i="16"/>
  <c r="Q455" i="16"/>
  <c r="P455" i="16"/>
  <c r="Q454" i="16"/>
  <c r="P454" i="16"/>
  <c r="Q453" i="16"/>
  <c r="P453" i="16"/>
  <c r="Q452" i="16"/>
  <c r="P452" i="16"/>
  <c r="Q451" i="16"/>
  <c r="P451" i="16"/>
  <c r="Q450" i="16"/>
  <c r="P450" i="16"/>
  <c r="Q449" i="16"/>
  <c r="P449" i="16"/>
  <c r="Q448" i="16"/>
  <c r="P448" i="16"/>
  <c r="Q445" i="16"/>
  <c r="P445" i="16"/>
  <c r="Q444" i="16"/>
  <c r="P444" i="16"/>
  <c r="Q443" i="16"/>
  <c r="P443" i="16"/>
  <c r="Q442" i="16"/>
  <c r="P442" i="16"/>
  <c r="Q441" i="16"/>
  <c r="P441" i="16"/>
  <c r="Q440" i="16"/>
  <c r="P440" i="16"/>
  <c r="Q439" i="16"/>
  <c r="P439" i="16"/>
  <c r="Q438" i="16"/>
  <c r="P438" i="16"/>
  <c r="Q437" i="16"/>
  <c r="P437" i="16"/>
  <c r="Q436" i="16"/>
  <c r="P436" i="16"/>
  <c r="Q435" i="16"/>
  <c r="P435" i="16"/>
  <c r="Q434" i="16"/>
  <c r="P434" i="16"/>
  <c r="Q433" i="16"/>
  <c r="P433" i="16"/>
  <c r="Q432" i="16"/>
  <c r="P432" i="16"/>
  <c r="Q431" i="16"/>
  <c r="P431" i="16"/>
  <c r="Q430" i="16"/>
  <c r="P430" i="16"/>
  <c r="Q429" i="16"/>
  <c r="P429" i="16"/>
  <c r="Q428" i="16"/>
  <c r="P428" i="16"/>
  <c r="Q427" i="16"/>
  <c r="P427" i="16"/>
  <c r="Q426" i="16"/>
  <c r="P426" i="16"/>
  <c r="Q425" i="16"/>
  <c r="P425" i="16"/>
  <c r="Q424" i="16"/>
  <c r="P424" i="16"/>
  <c r="Q423" i="16"/>
  <c r="P423" i="16"/>
  <c r="Q422" i="16"/>
  <c r="P422" i="16"/>
  <c r="Q421" i="16"/>
  <c r="P421" i="16"/>
  <c r="Q420" i="16"/>
  <c r="P420" i="16"/>
  <c r="Q419" i="16"/>
  <c r="P419" i="16"/>
  <c r="Q418" i="16"/>
  <c r="P418" i="16"/>
  <c r="Q417" i="16"/>
  <c r="P417" i="16"/>
  <c r="Q416" i="16"/>
  <c r="P416" i="16"/>
  <c r="Q415" i="16"/>
  <c r="P415" i="16"/>
  <c r="Q414" i="16"/>
  <c r="P414" i="16"/>
  <c r="Q413" i="16"/>
  <c r="P413" i="16"/>
  <c r="Q412" i="16"/>
  <c r="P412" i="16"/>
  <c r="Q411" i="16"/>
  <c r="P411" i="16"/>
  <c r="Q410" i="16"/>
  <c r="P410" i="16"/>
  <c r="Q409" i="16"/>
  <c r="P409" i="16"/>
  <c r="Q408" i="16"/>
  <c r="P408" i="16"/>
  <c r="Q407" i="16"/>
  <c r="P407" i="16"/>
  <c r="Q406" i="16"/>
  <c r="P406" i="16"/>
  <c r="Q405" i="16"/>
  <c r="P405" i="16"/>
  <c r="Q404" i="16"/>
  <c r="P404" i="16"/>
  <c r="Q403" i="16"/>
  <c r="P403" i="16"/>
  <c r="Q402" i="16"/>
  <c r="P402" i="16"/>
  <c r="Q401" i="16"/>
  <c r="P401" i="16"/>
  <c r="Q398" i="16"/>
  <c r="P398" i="16"/>
  <c r="Q397" i="16"/>
  <c r="P397" i="16"/>
  <c r="Q396" i="16"/>
  <c r="P396" i="16"/>
  <c r="Q395" i="16"/>
  <c r="P395" i="16"/>
  <c r="Q394" i="16"/>
  <c r="P394" i="16"/>
  <c r="Q393" i="16"/>
  <c r="P393" i="16"/>
  <c r="Q392" i="16"/>
  <c r="P392" i="16"/>
  <c r="Q390" i="16"/>
  <c r="P390" i="16"/>
  <c r="Q388" i="16"/>
  <c r="P388" i="16"/>
  <c r="Q386" i="16"/>
  <c r="P386" i="16"/>
  <c r="Q385" i="16"/>
  <c r="P385" i="16"/>
  <c r="Q384" i="16"/>
  <c r="P384" i="16"/>
  <c r="Q383" i="16"/>
  <c r="P383" i="16"/>
  <c r="Q382" i="16"/>
  <c r="P382" i="16"/>
  <c r="Q381" i="16"/>
  <c r="P381" i="16"/>
  <c r="Q380" i="16"/>
  <c r="P380" i="16"/>
  <c r="Q379" i="16"/>
  <c r="P379" i="16"/>
  <c r="Q378" i="16"/>
  <c r="P378" i="16"/>
  <c r="Q377" i="16"/>
  <c r="P377" i="16"/>
  <c r="Q374" i="16"/>
  <c r="P374" i="16"/>
  <c r="Q373" i="16"/>
  <c r="P373" i="16"/>
  <c r="Q368" i="16"/>
  <c r="P368" i="16"/>
  <c r="Q367" i="16"/>
  <c r="P367" i="16"/>
  <c r="Q366" i="16"/>
  <c r="P366" i="16"/>
  <c r="Q365" i="16"/>
  <c r="P365" i="16"/>
  <c r="Q364" i="16"/>
  <c r="P364" i="16"/>
  <c r="Q363" i="16"/>
  <c r="P363" i="16"/>
  <c r="Q362" i="16"/>
  <c r="P362" i="16"/>
  <c r="Q361" i="16"/>
  <c r="P361" i="16"/>
  <c r="Q360" i="16"/>
  <c r="P360" i="16"/>
  <c r="Q359" i="16"/>
  <c r="P359" i="16"/>
  <c r="Q358" i="16"/>
  <c r="P358" i="16"/>
  <c r="Q357" i="16"/>
  <c r="P357" i="16"/>
  <c r="Q356" i="16"/>
  <c r="P356" i="16"/>
  <c r="Q355" i="16"/>
  <c r="P355" i="16"/>
  <c r="Q354" i="16"/>
  <c r="P354" i="16"/>
  <c r="Q353" i="16"/>
  <c r="P353" i="16"/>
  <c r="Q352" i="16"/>
  <c r="P352" i="16"/>
  <c r="Q351" i="16"/>
  <c r="P351" i="16"/>
  <c r="Q350" i="16"/>
  <c r="P350" i="16"/>
  <c r="Q349" i="16"/>
  <c r="P349" i="16"/>
  <c r="Q348" i="16"/>
  <c r="P348" i="16"/>
  <c r="Q347" i="16"/>
  <c r="P347" i="16"/>
  <c r="Q346" i="16"/>
  <c r="P346" i="16"/>
  <c r="Q345" i="16"/>
  <c r="P345" i="16"/>
  <c r="Q344" i="16"/>
  <c r="P344" i="16"/>
  <c r="Q343" i="16"/>
  <c r="P343" i="16"/>
  <c r="Q342" i="16"/>
  <c r="P342" i="16"/>
  <c r="Q341" i="16"/>
  <c r="P341" i="16"/>
  <c r="Q340" i="16"/>
  <c r="P340" i="16"/>
  <c r="Q339" i="16"/>
  <c r="P339" i="16"/>
  <c r="Q338" i="16"/>
  <c r="P338" i="16"/>
  <c r="Q337" i="16"/>
  <c r="P337" i="16"/>
  <c r="Q336" i="16"/>
  <c r="P336" i="16"/>
  <c r="Q335" i="16"/>
  <c r="P335" i="16"/>
  <c r="Q334" i="16"/>
  <c r="P334" i="16"/>
  <c r="Q333" i="16"/>
  <c r="P333" i="16"/>
  <c r="Q332" i="16"/>
  <c r="P332" i="16"/>
  <c r="Q331" i="16"/>
  <c r="P331" i="16"/>
  <c r="Q330" i="16"/>
  <c r="P330" i="16"/>
  <c r="Q329" i="16"/>
  <c r="P329" i="16"/>
  <c r="Q328" i="16"/>
  <c r="P328" i="16"/>
  <c r="Q327" i="16"/>
  <c r="P327" i="16"/>
  <c r="Q326" i="16"/>
  <c r="P326" i="16"/>
  <c r="Q325" i="16"/>
  <c r="P325" i="16"/>
  <c r="Q324" i="16"/>
  <c r="P324" i="16"/>
  <c r="Q323" i="16"/>
  <c r="P323" i="16"/>
  <c r="Q322" i="16"/>
  <c r="P322" i="16"/>
  <c r="Q321" i="16"/>
  <c r="P321" i="16"/>
  <c r="Q320" i="16"/>
  <c r="P320" i="16"/>
  <c r="Q319" i="16"/>
  <c r="P319" i="16"/>
  <c r="Q318" i="16"/>
  <c r="P318" i="16"/>
  <c r="Q317" i="16"/>
  <c r="P317" i="16"/>
  <c r="Q316" i="16"/>
  <c r="P316" i="16"/>
  <c r="Q313" i="16"/>
  <c r="P313" i="16"/>
  <c r="Q312" i="16"/>
  <c r="P312" i="16"/>
  <c r="Q309" i="16"/>
  <c r="P309" i="16"/>
  <c r="Q308" i="16"/>
  <c r="P308" i="16"/>
  <c r="Q307" i="16"/>
  <c r="P307" i="16"/>
  <c r="Q306" i="16"/>
  <c r="P306" i="16"/>
  <c r="Q305" i="16"/>
  <c r="P305" i="16"/>
  <c r="Q304" i="16"/>
  <c r="P304" i="16"/>
  <c r="Q303" i="16"/>
  <c r="P303" i="16"/>
  <c r="Q302" i="16"/>
  <c r="P302" i="16"/>
  <c r="Q301" i="16"/>
  <c r="P301" i="16"/>
  <c r="Q300" i="16"/>
  <c r="P300" i="16"/>
  <c r="Q299" i="16"/>
  <c r="P299" i="16"/>
  <c r="Q298" i="16"/>
  <c r="P298" i="16"/>
  <c r="Q297" i="16"/>
  <c r="P297" i="16"/>
  <c r="Q296" i="16"/>
  <c r="P296" i="16"/>
  <c r="Q295" i="16"/>
  <c r="P295" i="16"/>
  <c r="Q294" i="16"/>
  <c r="P294" i="16"/>
  <c r="Q293" i="16"/>
  <c r="P293" i="16"/>
  <c r="Q292" i="16"/>
  <c r="P292" i="16"/>
  <c r="Q291" i="16"/>
  <c r="P291" i="16"/>
  <c r="Q290" i="16"/>
  <c r="P290" i="16"/>
  <c r="Q289" i="16"/>
  <c r="P289" i="16"/>
  <c r="Q288" i="16"/>
  <c r="P288" i="16"/>
  <c r="Q287" i="16"/>
  <c r="P287" i="16"/>
  <c r="Q286" i="16"/>
  <c r="P286" i="16"/>
  <c r="Q285" i="16"/>
  <c r="P285" i="16"/>
  <c r="Q284" i="16"/>
  <c r="P284" i="16"/>
  <c r="Q283" i="16"/>
  <c r="P283" i="16"/>
  <c r="Q282" i="16"/>
  <c r="P282" i="16"/>
  <c r="Q281" i="16"/>
  <c r="P281" i="16"/>
  <c r="Q280" i="16"/>
  <c r="P280" i="16"/>
  <c r="Q279" i="16"/>
  <c r="P279" i="16"/>
  <c r="Q278" i="16"/>
  <c r="P278" i="16"/>
  <c r="Q273" i="16"/>
  <c r="P273" i="16"/>
  <c r="Q272" i="16"/>
  <c r="P272" i="16"/>
  <c r="Q271" i="16"/>
  <c r="P271" i="16"/>
  <c r="Q270" i="16"/>
  <c r="P270" i="16"/>
  <c r="Q269" i="16"/>
  <c r="P269" i="16"/>
  <c r="Q268" i="16"/>
  <c r="P268" i="16"/>
  <c r="Q267" i="16"/>
  <c r="P267" i="16"/>
  <c r="Q266" i="16"/>
  <c r="P266" i="16"/>
  <c r="Q265" i="16"/>
  <c r="P265" i="16"/>
  <c r="Q264" i="16"/>
  <c r="P264" i="16"/>
  <c r="Q263" i="16"/>
  <c r="P263" i="16"/>
  <c r="Q262" i="16"/>
  <c r="P262" i="16"/>
  <c r="Q261" i="16"/>
  <c r="P261" i="16"/>
  <c r="Q260" i="16"/>
  <c r="P260" i="16"/>
  <c r="Q259" i="16"/>
  <c r="P259" i="16"/>
  <c r="Q258" i="16"/>
  <c r="P258" i="16"/>
  <c r="Q257" i="16"/>
  <c r="P257" i="16"/>
  <c r="Q256" i="16"/>
  <c r="P256" i="16"/>
  <c r="Q255" i="16"/>
  <c r="P255" i="16"/>
  <c r="Q248" i="16"/>
  <c r="P248" i="16"/>
  <c r="Q247" i="16"/>
  <c r="P247" i="16"/>
  <c r="Q246" i="16"/>
  <c r="P246" i="16"/>
  <c r="Q245" i="16"/>
  <c r="P245" i="16"/>
  <c r="Q244" i="16"/>
  <c r="P244" i="16"/>
  <c r="Q243" i="16"/>
  <c r="P243" i="16"/>
  <c r="Q242" i="16"/>
  <c r="P242" i="16"/>
  <c r="Q241" i="16"/>
  <c r="P241" i="16"/>
  <c r="Q240" i="16"/>
  <c r="P240" i="16"/>
  <c r="Q239" i="16"/>
  <c r="P239" i="16"/>
  <c r="Q238" i="16"/>
  <c r="P238" i="16"/>
  <c r="Q237" i="16"/>
  <c r="P237" i="16"/>
  <c r="Q236" i="16"/>
  <c r="P236" i="16"/>
  <c r="Q235" i="16"/>
  <c r="P235" i="16"/>
  <c r="Q234" i="16"/>
  <c r="P234" i="16"/>
  <c r="Q233" i="16"/>
  <c r="P233" i="16"/>
  <c r="Q232" i="16"/>
  <c r="P232" i="16"/>
  <c r="Q231" i="16"/>
  <c r="P231" i="16"/>
  <c r="Q230" i="16"/>
  <c r="P230" i="16"/>
  <c r="Q229" i="16"/>
  <c r="P229" i="16"/>
  <c r="Q228" i="16"/>
  <c r="P228" i="16"/>
  <c r="Q227" i="16"/>
  <c r="P227" i="16"/>
  <c r="Q226" i="16"/>
  <c r="P226" i="16"/>
  <c r="Q225" i="16"/>
  <c r="P225" i="16"/>
  <c r="Q224" i="16"/>
  <c r="P224" i="16"/>
  <c r="Q223" i="16"/>
  <c r="P223" i="16"/>
  <c r="Q222" i="16"/>
  <c r="P222" i="16"/>
  <c r="Q221" i="16"/>
  <c r="P221" i="16"/>
  <c r="Q220" i="16"/>
  <c r="P220" i="16"/>
  <c r="Q219" i="16"/>
  <c r="P219" i="16"/>
  <c r="Q218" i="16"/>
  <c r="P218" i="16"/>
  <c r="Q217" i="16"/>
  <c r="P217" i="16"/>
  <c r="Q216" i="16"/>
  <c r="P216" i="16"/>
  <c r="Q215" i="16"/>
  <c r="P215" i="16"/>
  <c r="Q210" i="16"/>
  <c r="P210" i="16"/>
  <c r="Q209" i="16"/>
  <c r="P209" i="16"/>
  <c r="Q208" i="16"/>
  <c r="P208" i="16"/>
  <c r="Q203" i="16"/>
  <c r="P203" i="16"/>
  <c r="Q198" i="16"/>
  <c r="P198" i="16"/>
  <c r="Q193" i="16"/>
  <c r="P193" i="16"/>
  <c r="Q188" i="16"/>
  <c r="P188" i="16"/>
  <c r="Q183" i="16"/>
  <c r="P183" i="16"/>
  <c r="Q182" i="16"/>
  <c r="P182" i="16"/>
  <c r="Q181" i="16"/>
  <c r="P181" i="16"/>
  <c r="Q180" i="16"/>
  <c r="P180" i="16"/>
  <c r="Q179" i="16"/>
  <c r="P179" i="16"/>
  <c r="Q178" i="16"/>
  <c r="P178" i="16"/>
  <c r="Q177" i="16"/>
  <c r="P177" i="16"/>
  <c r="Q176" i="16"/>
  <c r="P176" i="16"/>
  <c r="Q175" i="16"/>
  <c r="P175" i="16"/>
  <c r="Q174" i="16"/>
  <c r="P174" i="16"/>
  <c r="Q173" i="16"/>
  <c r="P173" i="16"/>
  <c r="Q172" i="16"/>
  <c r="P172" i="16"/>
  <c r="Q171" i="16"/>
  <c r="P171" i="16"/>
  <c r="Q170" i="16"/>
  <c r="P170" i="16"/>
  <c r="Q169" i="16"/>
  <c r="P169" i="16"/>
  <c r="Q168" i="16"/>
  <c r="P168" i="16"/>
  <c r="Q167" i="16"/>
  <c r="P167" i="16"/>
  <c r="Q166" i="16"/>
  <c r="P166" i="16"/>
  <c r="Q165" i="16"/>
  <c r="P165" i="16"/>
  <c r="Q164" i="16"/>
  <c r="P164" i="16"/>
  <c r="Q163" i="16"/>
  <c r="P163" i="16"/>
  <c r="Q162" i="16"/>
  <c r="P162" i="16"/>
  <c r="Q159" i="16"/>
  <c r="P159" i="16"/>
  <c r="Q158" i="16"/>
  <c r="P158" i="16"/>
  <c r="Q157" i="16"/>
  <c r="P157" i="16"/>
  <c r="Q156" i="16"/>
  <c r="P156" i="16"/>
  <c r="Q155" i="16"/>
  <c r="P155" i="16"/>
  <c r="Q154" i="16"/>
  <c r="P154" i="16"/>
  <c r="Q152" i="16"/>
  <c r="P152" i="16"/>
  <c r="Q150" i="16"/>
  <c r="P150" i="16"/>
  <c r="Q148" i="16"/>
  <c r="P148" i="16"/>
  <c r="Q147" i="16"/>
  <c r="P147" i="16"/>
  <c r="Q146" i="16"/>
  <c r="P146" i="16"/>
  <c r="Q145" i="16"/>
  <c r="P145" i="16"/>
  <c r="Q144" i="16"/>
  <c r="P144" i="16"/>
  <c r="Q143" i="16"/>
  <c r="P143" i="16"/>
  <c r="Q142" i="16"/>
  <c r="P142" i="16"/>
  <c r="Q141" i="16"/>
  <c r="P141" i="16"/>
  <c r="Q140" i="16"/>
  <c r="P140" i="16"/>
  <c r="Q139" i="16"/>
  <c r="P139" i="16"/>
  <c r="Q138" i="16"/>
  <c r="P138" i="16"/>
  <c r="Q137" i="16"/>
  <c r="P137" i="16"/>
  <c r="Q136" i="16"/>
  <c r="P136" i="16"/>
  <c r="Q135" i="16"/>
  <c r="P135" i="16"/>
  <c r="Q134" i="16"/>
  <c r="P134" i="16"/>
  <c r="Q133" i="16"/>
  <c r="P133" i="16"/>
  <c r="Q132" i="16"/>
  <c r="P132" i="16"/>
  <c r="Q131" i="16"/>
  <c r="P131" i="16"/>
  <c r="Q130" i="16"/>
  <c r="P130" i="16"/>
  <c r="Q129" i="16"/>
  <c r="P129" i="16"/>
  <c r="Q128" i="16"/>
  <c r="P128" i="16"/>
  <c r="Q127" i="16"/>
  <c r="P127" i="16"/>
  <c r="Q126" i="16"/>
  <c r="P126" i="16"/>
  <c r="Q125" i="16"/>
  <c r="P125" i="16"/>
  <c r="Q124" i="16"/>
  <c r="P124" i="16"/>
  <c r="Q123" i="16"/>
  <c r="P123" i="16"/>
  <c r="Q122" i="16"/>
  <c r="P122" i="16"/>
  <c r="Q121" i="16"/>
  <c r="P121" i="16"/>
  <c r="Q120" i="16"/>
  <c r="P120" i="16"/>
  <c r="Q119" i="16"/>
  <c r="P119" i="16"/>
  <c r="Q118" i="16"/>
  <c r="P118" i="16"/>
  <c r="Q117" i="16"/>
  <c r="P117" i="16"/>
  <c r="Q116" i="16"/>
  <c r="P116" i="16"/>
  <c r="Q115" i="16"/>
  <c r="P115" i="16"/>
  <c r="Q114" i="16"/>
  <c r="P114" i="16"/>
  <c r="Q113" i="16"/>
  <c r="P113" i="16"/>
  <c r="Q112" i="16"/>
  <c r="P112" i="16"/>
  <c r="Q111" i="16"/>
  <c r="P111" i="16"/>
  <c r="Q110" i="16"/>
  <c r="P110" i="16"/>
  <c r="Q109" i="16"/>
  <c r="P109" i="16"/>
  <c r="Q108" i="16"/>
  <c r="P108" i="16"/>
  <c r="Q107" i="16"/>
  <c r="P107" i="16"/>
  <c r="Q106" i="16"/>
  <c r="P106" i="16"/>
  <c r="Q105" i="16"/>
  <c r="P105" i="16"/>
  <c r="Q104" i="16"/>
  <c r="P104" i="16"/>
  <c r="Q103" i="16"/>
  <c r="P103" i="16"/>
  <c r="Q102" i="16"/>
  <c r="P102" i="16"/>
  <c r="Q101" i="16"/>
  <c r="P101" i="16"/>
  <c r="Q100" i="16"/>
  <c r="P100" i="16"/>
  <c r="Q99" i="16"/>
  <c r="P99" i="16"/>
  <c r="Q98" i="16"/>
  <c r="P98" i="16"/>
  <c r="Q97" i="16"/>
  <c r="P97" i="16"/>
  <c r="Q96" i="16"/>
  <c r="P96" i="16"/>
  <c r="Q95" i="16"/>
  <c r="P95" i="16"/>
  <c r="Q94" i="16"/>
  <c r="P94" i="16"/>
  <c r="Q93" i="16"/>
  <c r="P93" i="16"/>
  <c r="Q92" i="16"/>
  <c r="P92" i="16"/>
  <c r="Q91" i="16"/>
  <c r="P91" i="16"/>
  <c r="Q90" i="16"/>
  <c r="P90" i="16"/>
  <c r="Q89" i="16"/>
  <c r="P89" i="16"/>
  <c r="Q88" i="16"/>
  <c r="P88" i="16"/>
  <c r="Q87" i="16"/>
  <c r="P87" i="16"/>
  <c r="Q86" i="16"/>
  <c r="P86" i="16"/>
  <c r="Q85" i="16"/>
  <c r="P85" i="16"/>
  <c r="Q84" i="16"/>
  <c r="P84" i="16"/>
  <c r="Q83" i="16"/>
  <c r="P83" i="16"/>
  <c r="Q82" i="16"/>
  <c r="P82" i="16"/>
  <c r="Q81" i="16"/>
  <c r="P81" i="16"/>
  <c r="Q80" i="16"/>
  <c r="P80" i="16"/>
  <c r="Q79" i="16"/>
  <c r="P79" i="16"/>
  <c r="Q78" i="16"/>
  <c r="P78" i="16"/>
  <c r="Q77" i="16"/>
  <c r="P77" i="16"/>
  <c r="Q76" i="16"/>
  <c r="P76" i="16"/>
  <c r="Q75" i="16"/>
  <c r="P75" i="16"/>
  <c r="Q74" i="16"/>
  <c r="P74" i="16"/>
  <c r="Q73" i="16"/>
  <c r="P73" i="16"/>
  <c r="Q72" i="16"/>
  <c r="P72" i="16"/>
  <c r="Q71" i="16"/>
  <c r="P71" i="16"/>
  <c r="Q70" i="16"/>
  <c r="P70" i="16"/>
  <c r="Q69" i="16"/>
  <c r="P69" i="16"/>
  <c r="Q68" i="16"/>
  <c r="P68" i="16"/>
  <c r="Q67" i="16"/>
  <c r="P67" i="16"/>
  <c r="Q66" i="16"/>
  <c r="P66" i="16"/>
  <c r="Q65" i="16"/>
  <c r="P65" i="16"/>
  <c r="Q64" i="16"/>
  <c r="P64" i="16"/>
  <c r="Q63" i="16"/>
  <c r="P63" i="16"/>
  <c r="Q62" i="16"/>
  <c r="P62" i="16"/>
  <c r="Q61" i="16"/>
  <c r="P61" i="16"/>
  <c r="Q60" i="16"/>
  <c r="P60" i="16"/>
  <c r="Q59" i="16"/>
  <c r="P59" i="16"/>
  <c r="Q58" i="16"/>
  <c r="P58" i="16"/>
  <c r="Q57" i="16"/>
  <c r="P57" i="16"/>
  <c r="Q56" i="16"/>
  <c r="P56" i="16"/>
  <c r="Q55" i="16"/>
  <c r="P55" i="16"/>
  <c r="Q54" i="16"/>
  <c r="P54" i="16"/>
  <c r="Q53" i="16"/>
  <c r="P53" i="16"/>
  <c r="Q52" i="16"/>
  <c r="P52" i="16"/>
  <c r="Q51" i="16"/>
  <c r="P51" i="16"/>
  <c r="Q50" i="16"/>
  <c r="P50" i="16"/>
  <c r="Q49" i="16"/>
  <c r="P49" i="16"/>
  <c r="Q48" i="16"/>
  <c r="P48" i="16"/>
  <c r="Q47" i="16"/>
  <c r="P47" i="16"/>
  <c r="Q46" i="16"/>
  <c r="P46" i="16"/>
  <c r="Q45" i="16"/>
  <c r="P45" i="16"/>
  <c r="Q44" i="16"/>
  <c r="P44" i="16"/>
  <c r="Q43" i="16"/>
  <c r="P43" i="16"/>
  <c r="Q42" i="16"/>
  <c r="P42" i="16"/>
  <c r="Q41" i="16"/>
  <c r="P41" i="16"/>
  <c r="Q40" i="16"/>
  <c r="P40" i="16"/>
  <c r="Q38" i="16"/>
  <c r="P38" i="16"/>
  <c r="Q36" i="16"/>
  <c r="P36" i="16"/>
  <c r="Q34" i="16"/>
  <c r="P34" i="16"/>
  <c r="Q33" i="16"/>
  <c r="P33" i="16"/>
  <c r="Q32" i="16"/>
  <c r="P32" i="16"/>
  <c r="Q31" i="16"/>
  <c r="P31" i="16"/>
  <c r="Q30" i="16"/>
  <c r="P30" i="16"/>
  <c r="Q29" i="16"/>
  <c r="P29" i="16"/>
  <c r="Q28" i="16"/>
  <c r="P28" i="16"/>
  <c r="Q27" i="16"/>
  <c r="P27" i="16"/>
  <c r="Q26" i="16"/>
  <c r="P26" i="16"/>
  <c r="Q25" i="16"/>
  <c r="P25" i="16"/>
  <c r="Q24" i="16"/>
  <c r="P24" i="16"/>
  <c r="Q23" i="16"/>
  <c r="P23" i="16"/>
  <c r="Q22" i="16"/>
  <c r="P22" i="16"/>
  <c r="Q21" i="16"/>
  <c r="P21" i="16"/>
  <c r="Q20" i="16"/>
  <c r="P20" i="16"/>
  <c r="Q19" i="16"/>
  <c r="P19" i="16"/>
  <c r="Q18" i="16"/>
  <c r="P18" i="16"/>
  <c r="Q17" i="16"/>
  <c r="P17" i="16"/>
  <c r="Q16" i="16"/>
  <c r="P16" i="16"/>
  <c r="Q15" i="16"/>
  <c r="P15" i="16"/>
  <c r="Q14" i="16"/>
  <c r="P14" i="16"/>
  <c r="Q13" i="16"/>
  <c r="P13" i="16"/>
  <c r="Q12" i="16"/>
  <c r="P12" i="16"/>
  <c r="Q11" i="16"/>
  <c r="P11" i="16"/>
  <c r="Q10" i="16"/>
  <c r="P10" i="16"/>
  <c r="Q9" i="16"/>
  <c r="P9" i="16"/>
  <c r="Q8" i="16"/>
  <c r="P8" i="16"/>
  <c r="Q5" i="16"/>
  <c r="P5" i="16"/>
  <c r="Q4" i="16"/>
  <c r="P4" i="16"/>
  <c r="Q3" i="16"/>
  <c r="P3" i="16"/>
  <c r="Q2" i="16"/>
  <c r="P2" i="16"/>
  <c r="N58" i="12"/>
  <c r="M58" i="12"/>
  <c r="N11" i="11"/>
  <c r="M11" i="11"/>
  <c r="N10" i="11"/>
  <c r="M10" i="11"/>
  <c r="N57" i="12"/>
  <c r="M57" i="12"/>
  <c r="N56" i="12"/>
  <c r="M56" i="12"/>
  <c r="N55" i="12"/>
  <c r="M55" i="12"/>
  <c r="N54" i="12"/>
  <c r="M54" i="12"/>
  <c r="N9" i="11"/>
  <c r="M9" i="11"/>
  <c r="N53" i="12"/>
  <c r="M53" i="12"/>
  <c r="N52" i="12"/>
  <c r="M52" i="12"/>
  <c r="N51" i="12"/>
  <c r="M51" i="12"/>
  <c r="N50" i="12"/>
  <c r="M50" i="12"/>
  <c r="N49" i="12"/>
  <c r="M49" i="12"/>
  <c r="N8" i="11"/>
  <c r="M8" i="11"/>
  <c r="N48" i="12"/>
  <c r="M48" i="12"/>
  <c r="N47" i="12"/>
  <c r="M47" i="12"/>
  <c r="N45" i="12"/>
  <c r="M45" i="12"/>
  <c r="N43" i="12"/>
  <c r="M43" i="12"/>
  <c r="N42" i="12"/>
  <c r="M42" i="12"/>
  <c r="N40" i="12"/>
  <c r="M40" i="12"/>
  <c r="N39" i="12"/>
  <c r="M39" i="12"/>
  <c r="N38" i="12"/>
  <c r="M38" i="12"/>
  <c r="N37" i="12"/>
  <c r="M37" i="12"/>
  <c r="N36" i="12"/>
  <c r="M36" i="12"/>
  <c r="N35" i="12"/>
  <c r="M35" i="12"/>
  <c r="N34" i="12"/>
  <c r="M34" i="12"/>
  <c r="N33" i="12"/>
  <c r="M33" i="12"/>
  <c r="N32" i="12"/>
  <c r="M32" i="12"/>
  <c r="N31" i="12"/>
  <c r="M31" i="12"/>
  <c r="N30" i="12"/>
  <c r="M30" i="12"/>
  <c r="N29" i="12"/>
  <c r="M29" i="12"/>
  <c r="N7" i="11"/>
  <c r="M7" i="11"/>
  <c r="N28" i="12"/>
  <c r="M28" i="12"/>
  <c r="N6" i="11"/>
  <c r="M6" i="11"/>
  <c r="N23" i="12"/>
  <c r="M23" i="12"/>
  <c r="N22" i="12"/>
  <c r="M22" i="12"/>
  <c r="N3" i="13"/>
  <c r="M3" i="13"/>
  <c r="N21" i="12"/>
  <c r="M21" i="12"/>
  <c r="N5" i="11"/>
  <c r="M5" i="11"/>
  <c r="N20" i="12"/>
  <c r="M20" i="12"/>
  <c r="N19" i="12"/>
  <c r="M19" i="12"/>
  <c r="N18" i="12"/>
  <c r="M18" i="12"/>
  <c r="N4" i="11"/>
  <c r="M4" i="11"/>
  <c r="N17" i="12"/>
  <c r="M17" i="12"/>
  <c r="N16" i="12"/>
  <c r="M16" i="12"/>
  <c r="N15" i="12"/>
  <c r="M15" i="12"/>
  <c r="N14" i="12"/>
  <c r="M14" i="12"/>
  <c r="N13" i="12"/>
  <c r="M13" i="12"/>
  <c r="N12" i="12"/>
  <c r="M12" i="12"/>
  <c r="N11" i="12"/>
  <c r="M11" i="12"/>
  <c r="N10" i="12"/>
  <c r="M10" i="12"/>
  <c r="N3" i="11"/>
  <c r="M3" i="11"/>
  <c r="N2" i="13"/>
  <c r="M2" i="13"/>
  <c r="N9" i="12"/>
  <c r="M9" i="12"/>
  <c r="N8" i="12"/>
  <c r="M8" i="12"/>
  <c r="N7" i="12"/>
  <c r="M7" i="12"/>
  <c r="N6" i="12"/>
  <c r="M6" i="12"/>
  <c r="N5" i="12"/>
  <c r="M5" i="12"/>
  <c r="N4" i="12"/>
  <c r="M4" i="12"/>
  <c r="M267" i="17"/>
  <c r="N267" i="17"/>
  <c r="M268" i="17"/>
  <c r="N268" i="17"/>
  <c r="M269" i="17"/>
  <c r="N269" i="17"/>
  <c r="N3" i="12"/>
  <c r="M3" i="12"/>
  <c r="N2" i="12"/>
  <c r="M2" i="12"/>
  <c r="N2" i="11"/>
  <c r="M2" i="11"/>
  <c r="N1921" i="17"/>
  <c r="M1921" i="17"/>
  <c r="N1920" i="17"/>
  <c r="M1920" i="17"/>
  <c r="N1919" i="17"/>
  <c r="M1919" i="17"/>
  <c r="N1918" i="17"/>
  <c r="M1918" i="17"/>
  <c r="N1917" i="17"/>
  <c r="M1917" i="17"/>
  <c r="N1916" i="17"/>
  <c r="M1916" i="17"/>
  <c r="N1911" i="17"/>
  <c r="M1911" i="17"/>
  <c r="N1910" i="17"/>
  <c r="M1910" i="17"/>
  <c r="N1909" i="17"/>
  <c r="M1909" i="17"/>
  <c r="N1908" i="17"/>
  <c r="M1908" i="17"/>
  <c r="N1907" i="17"/>
  <c r="M1907" i="17"/>
  <c r="N1906" i="17"/>
  <c r="M1906" i="17"/>
  <c r="N1905" i="17"/>
  <c r="M1905" i="17"/>
  <c r="N1904" i="17"/>
  <c r="M1904" i="17"/>
  <c r="N1903" i="17"/>
  <c r="M1903" i="17"/>
  <c r="N1902" i="17"/>
  <c r="M1902" i="17"/>
  <c r="N1901" i="17"/>
  <c r="M1901" i="17"/>
  <c r="N1900" i="17"/>
  <c r="M1900" i="17"/>
  <c r="N1899" i="17"/>
  <c r="M1899" i="17"/>
  <c r="N1898" i="17"/>
  <c r="M1898" i="17"/>
  <c r="N1897" i="17"/>
  <c r="M1897" i="17"/>
  <c r="N1896" i="17"/>
  <c r="M1896" i="17"/>
  <c r="N1895" i="17"/>
  <c r="M1895" i="17"/>
  <c r="N1894" i="17"/>
  <c r="M1894" i="17"/>
  <c r="N1893" i="17"/>
  <c r="M1893" i="17"/>
  <c r="N1892" i="17"/>
  <c r="M1892" i="17"/>
  <c r="N1891" i="17"/>
  <c r="M1891" i="17"/>
  <c r="N1890" i="17"/>
  <c r="M1890" i="17"/>
  <c r="N1889" i="17"/>
  <c r="M1889" i="17"/>
  <c r="N1888" i="17"/>
  <c r="M1888" i="17"/>
  <c r="N1887" i="17"/>
  <c r="M1887" i="17"/>
  <c r="N1886" i="17"/>
  <c r="M1886" i="17"/>
  <c r="N1885" i="17"/>
  <c r="M1885" i="17"/>
  <c r="N1884" i="17"/>
  <c r="M1884" i="17"/>
  <c r="N1883" i="17"/>
  <c r="M1883" i="17"/>
  <c r="N1882" i="17"/>
  <c r="M1882" i="17"/>
  <c r="N1881" i="17"/>
  <c r="M1881" i="17"/>
  <c r="N1880" i="17"/>
  <c r="M1880" i="17"/>
  <c r="N1879" i="17"/>
  <c r="M1879" i="17"/>
  <c r="N1878" i="17"/>
  <c r="M1878" i="17"/>
  <c r="N1877" i="17"/>
  <c r="M1877" i="17"/>
  <c r="N1876" i="17"/>
  <c r="M1876" i="17"/>
  <c r="N1875" i="17"/>
  <c r="M1875" i="17"/>
  <c r="N1874" i="17"/>
  <c r="M1874" i="17"/>
  <c r="N1873" i="17"/>
  <c r="M1873" i="17"/>
  <c r="N1872" i="17"/>
  <c r="M1872" i="17"/>
  <c r="N1871" i="17"/>
  <c r="M1871" i="17"/>
  <c r="N1870" i="17"/>
  <c r="M1870" i="17"/>
  <c r="N1869" i="17"/>
  <c r="M1869" i="17"/>
  <c r="N1868" i="17"/>
  <c r="M1868" i="17"/>
  <c r="N1867" i="17"/>
  <c r="M1867" i="17"/>
  <c r="N1866" i="17"/>
  <c r="M1866" i="17"/>
  <c r="N1865" i="17"/>
  <c r="M1865" i="17"/>
  <c r="N1864" i="17"/>
  <c r="M1864" i="17"/>
  <c r="N1863" i="17"/>
  <c r="M1863" i="17"/>
  <c r="N1862" i="17"/>
  <c r="M1862" i="17"/>
  <c r="N1861" i="17"/>
  <c r="M1861" i="17"/>
  <c r="N1858" i="17"/>
  <c r="M1858" i="17"/>
  <c r="N1857" i="17"/>
  <c r="M1857" i="17"/>
  <c r="N1856" i="17"/>
  <c r="M1856" i="17"/>
  <c r="N1855" i="17"/>
  <c r="M1855" i="17"/>
  <c r="N1854" i="17"/>
  <c r="M1854" i="17"/>
  <c r="N1853" i="17"/>
  <c r="M1853" i="17"/>
  <c r="N1852" i="17"/>
  <c r="M1852" i="17"/>
  <c r="N1851" i="17"/>
  <c r="M1851" i="17"/>
  <c r="N1850" i="17"/>
  <c r="M1850" i="17"/>
  <c r="N1849" i="17"/>
  <c r="M1849" i="17"/>
  <c r="N1848" i="17"/>
  <c r="M1848" i="17"/>
  <c r="N1847" i="17"/>
  <c r="M1847" i="17"/>
  <c r="N1846" i="17"/>
  <c r="M1846" i="17"/>
  <c r="N1845" i="17"/>
  <c r="M1845" i="17"/>
  <c r="N1844" i="17"/>
  <c r="M1844" i="17"/>
  <c r="N1843" i="17"/>
  <c r="M1843" i="17"/>
  <c r="N1842" i="17"/>
  <c r="M1842" i="17"/>
  <c r="N1841" i="17"/>
  <c r="M1841" i="17"/>
  <c r="N1840" i="17"/>
  <c r="M1840" i="17"/>
  <c r="N1839" i="17"/>
  <c r="M1839" i="17"/>
  <c r="N1838" i="17"/>
  <c r="M1838" i="17"/>
  <c r="N1837" i="17"/>
  <c r="M1837" i="17"/>
  <c r="N1836" i="17"/>
  <c r="M1836" i="17"/>
  <c r="N1835" i="17"/>
  <c r="M1835" i="17"/>
  <c r="N1826" i="17"/>
  <c r="M1826" i="17"/>
  <c r="N1825" i="17"/>
  <c r="M1825" i="17"/>
  <c r="N1824" i="17"/>
  <c r="M1824" i="17"/>
  <c r="N1823" i="17"/>
  <c r="M1823" i="17"/>
  <c r="N1822" i="17"/>
  <c r="M1822" i="17"/>
  <c r="N1821" i="17"/>
  <c r="M1821" i="17"/>
  <c r="N1820" i="17"/>
  <c r="M1820" i="17"/>
  <c r="N1819" i="17"/>
  <c r="M1819" i="17"/>
  <c r="N1818" i="17"/>
  <c r="M1818" i="17"/>
  <c r="N1817" i="17"/>
  <c r="M1817" i="17"/>
  <c r="N1814" i="17"/>
  <c r="M1814" i="17"/>
  <c r="N1813" i="17"/>
  <c r="M1813" i="17"/>
  <c r="N1812" i="17"/>
  <c r="M1812" i="17"/>
  <c r="N1811" i="17"/>
  <c r="M1811" i="17"/>
  <c r="N1810" i="17"/>
  <c r="M1810" i="17"/>
  <c r="N1809" i="17"/>
  <c r="M1809" i="17"/>
  <c r="N1808" i="17"/>
  <c r="M1808" i="17"/>
  <c r="N1807" i="17"/>
  <c r="M1807" i="17"/>
  <c r="N1806" i="17"/>
  <c r="M1806" i="17"/>
  <c r="N1805" i="17"/>
  <c r="M1805" i="17"/>
  <c r="N1804" i="17"/>
  <c r="M1804" i="17"/>
  <c r="N1803" i="17"/>
  <c r="M1803" i="17"/>
  <c r="N1802" i="17"/>
  <c r="M1802" i="17"/>
  <c r="N1801" i="17"/>
  <c r="M1801" i="17"/>
  <c r="N1800" i="17"/>
  <c r="M1800" i="17"/>
  <c r="N1799" i="17"/>
  <c r="M1799" i="17"/>
  <c r="N1798" i="17"/>
  <c r="M1798" i="17"/>
  <c r="N1797" i="17"/>
  <c r="M1797" i="17"/>
  <c r="N1796" i="17"/>
  <c r="M1796" i="17"/>
  <c r="N1795" i="17"/>
  <c r="M1795" i="17"/>
  <c r="N1794" i="17"/>
  <c r="M1794" i="17"/>
  <c r="N1791" i="17"/>
  <c r="M1791" i="17"/>
  <c r="N1790" i="17"/>
  <c r="M1790" i="17"/>
  <c r="N1789" i="17"/>
  <c r="M1789" i="17"/>
  <c r="N1788" i="17"/>
  <c r="M1788" i="17"/>
  <c r="N1787" i="17"/>
  <c r="M1787" i="17"/>
  <c r="N1786" i="17"/>
  <c r="M1786" i="17"/>
  <c r="N1785" i="17"/>
  <c r="M1785" i="17"/>
  <c r="N1784" i="17"/>
  <c r="M1784" i="17"/>
  <c r="N1783" i="17"/>
  <c r="M1783" i="17"/>
  <c r="N1780" i="17"/>
  <c r="M1780" i="17"/>
  <c r="N1779" i="17"/>
  <c r="M1779" i="17"/>
  <c r="N1778" i="17"/>
  <c r="M1778" i="17"/>
  <c r="N1777" i="17"/>
  <c r="M1777" i="17"/>
  <c r="N1776" i="17"/>
  <c r="M1776" i="17"/>
  <c r="N1775" i="17"/>
  <c r="M1775" i="17"/>
  <c r="N1774" i="17"/>
  <c r="M1774" i="17"/>
  <c r="N1773" i="17"/>
  <c r="M1773" i="17"/>
  <c r="N1772" i="17"/>
  <c r="M1772" i="17"/>
  <c r="N1771" i="17"/>
  <c r="M1771" i="17"/>
  <c r="N1770" i="17"/>
  <c r="M1770" i="17"/>
  <c r="N1769" i="17"/>
  <c r="M1769" i="17"/>
  <c r="N1768" i="17"/>
  <c r="M1768" i="17"/>
  <c r="N1767" i="17"/>
  <c r="M1767" i="17"/>
  <c r="N1766" i="17"/>
  <c r="M1766" i="17"/>
  <c r="N1765" i="17"/>
  <c r="M1765" i="17"/>
  <c r="N1764" i="17"/>
  <c r="M1764" i="17"/>
  <c r="N1763" i="17"/>
  <c r="M1763" i="17"/>
  <c r="N1762" i="17"/>
  <c r="M1762" i="17"/>
  <c r="N1761" i="17"/>
  <c r="M1761" i="17"/>
  <c r="N1760" i="17"/>
  <c r="M1760" i="17"/>
  <c r="N1759" i="17"/>
  <c r="M1759" i="17"/>
  <c r="N1758" i="17"/>
  <c r="M1758" i="17"/>
  <c r="N1757" i="17"/>
  <c r="M1757" i="17"/>
  <c r="N1756" i="17"/>
  <c r="M1756" i="17"/>
  <c r="N1755" i="17"/>
  <c r="M1755" i="17"/>
  <c r="N1754" i="17"/>
  <c r="M1754" i="17"/>
  <c r="N1753" i="17"/>
  <c r="M1753" i="17"/>
  <c r="N1752" i="17"/>
  <c r="M1752" i="17"/>
  <c r="N1751" i="17"/>
  <c r="M1751" i="17"/>
  <c r="N1750" i="17"/>
  <c r="M1750" i="17"/>
  <c r="N1749" i="17"/>
  <c r="M1749" i="17"/>
  <c r="N1748" i="17"/>
  <c r="M1748" i="17"/>
  <c r="N1747" i="17"/>
  <c r="M1747" i="17"/>
  <c r="N1746" i="17"/>
  <c r="M1746" i="17"/>
  <c r="N1745" i="17"/>
  <c r="M1745" i="17"/>
  <c r="N1744" i="17"/>
  <c r="M1744" i="17"/>
  <c r="N1743" i="17"/>
  <c r="M1743" i="17"/>
  <c r="N1742" i="17"/>
  <c r="M1742" i="17"/>
  <c r="N1741" i="17"/>
  <c r="M1741" i="17"/>
  <c r="N1740" i="17"/>
  <c r="M1740" i="17"/>
  <c r="N1739" i="17"/>
  <c r="M1739" i="17"/>
  <c r="N1738" i="17"/>
  <c r="M1738" i="17"/>
  <c r="N1737" i="17"/>
  <c r="M1737" i="17"/>
  <c r="N1736" i="17"/>
  <c r="M1736" i="17"/>
  <c r="N1735" i="17"/>
  <c r="M1735" i="17"/>
  <c r="N1734" i="17"/>
  <c r="M1734" i="17"/>
  <c r="N1733" i="17"/>
  <c r="M1733" i="17"/>
  <c r="N1732" i="17"/>
  <c r="M1732" i="17"/>
  <c r="N1731" i="17"/>
  <c r="M1731" i="17"/>
  <c r="N1730" i="17"/>
  <c r="M1730" i="17"/>
  <c r="N1729" i="17"/>
  <c r="M1729" i="17"/>
  <c r="N1728" i="17"/>
  <c r="M1728" i="17"/>
  <c r="N1727" i="17"/>
  <c r="M1727" i="17"/>
  <c r="N1726" i="17"/>
  <c r="M1726" i="17"/>
  <c r="N1725" i="17"/>
  <c r="M1725" i="17"/>
  <c r="N1724" i="17"/>
  <c r="M1724" i="17"/>
  <c r="N1723" i="17"/>
  <c r="M1723" i="17"/>
  <c r="N1722" i="17"/>
  <c r="M1722" i="17"/>
  <c r="N1721" i="17"/>
  <c r="M1721" i="17"/>
  <c r="N1720" i="17"/>
  <c r="M1720" i="17"/>
  <c r="N1719" i="17"/>
  <c r="M1719" i="17"/>
  <c r="N1718" i="17"/>
  <c r="M1718" i="17"/>
  <c r="N1717" i="17"/>
  <c r="M1717" i="17"/>
  <c r="N1716" i="17"/>
  <c r="M1716" i="17"/>
  <c r="N1715" i="17"/>
  <c r="M1715" i="17"/>
  <c r="N1714" i="17"/>
  <c r="M1714" i="17"/>
  <c r="N1713" i="17"/>
  <c r="M1713" i="17"/>
  <c r="N1712" i="17"/>
  <c r="M1712" i="17"/>
  <c r="N1711" i="17"/>
  <c r="M1711" i="17"/>
  <c r="N1710" i="17"/>
  <c r="M1710" i="17"/>
  <c r="N1707" i="17"/>
  <c r="M1707" i="17"/>
  <c r="N1706" i="17"/>
  <c r="M1706" i="17"/>
  <c r="N1705" i="17"/>
  <c r="M1705" i="17"/>
  <c r="N1704" i="17"/>
  <c r="M1704" i="17"/>
  <c r="N1703" i="17"/>
  <c r="M1703" i="17"/>
  <c r="N1702" i="17"/>
  <c r="M1702" i="17"/>
  <c r="N1701" i="17"/>
  <c r="M1701" i="17"/>
  <c r="N1700" i="17"/>
  <c r="M1700" i="17"/>
  <c r="N1699" i="17"/>
  <c r="M1699" i="17"/>
  <c r="N1698" i="17"/>
  <c r="M1698" i="17"/>
  <c r="N1697" i="17"/>
  <c r="M1697" i="17"/>
  <c r="N1696" i="17"/>
  <c r="M1696" i="17"/>
  <c r="N1695" i="17"/>
  <c r="M1695" i="17"/>
  <c r="N1694" i="17"/>
  <c r="M1694" i="17"/>
  <c r="N1693" i="17"/>
  <c r="M1693" i="17"/>
  <c r="N1692" i="17"/>
  <c r="M1692" i="17"/>
  <c r="N1691" i="17"/>
  <c r="M1691" i="17"/>
  <c r="N1690" i="17"/>
  <c r="M1690" i="17"/>
  <c r="N1689" i="17"/>
  <c r="M1689" i="17"/>
  <c r="N1688" i="17"/>
  <c r="M1688" i="17"/>
  <c r="N1687" i="17"/>
  <c r="M1687" i="17"/>
  <c r="N1686" i="17"/>
  <c r="M1686" i="17"/>
  <c r="N1685" i="17"/>
  <c r="M1685" i="17"/>
  <c r="N1684" i="17"/>
  <c r="M1684" i="17"/>
  <c r="N1683" i="17"/>
  <c r="M1683" i="17"/>
  <c r="N1680" i="17"/>
  <c r="M1680" i="17"/>
  <c r="N1679" i="17"/>
  <c r="M1679" i="17"/>
  <c r="N1678" i="17"/>
  <c r="M1678" i="17"/>
  <c r="N1677" i="17"/>
  <c r="M1677" i="17"/>
  <c r="N1676" i="17"/>
  <c r="M1676" i="17"/>
  <c r="N1675" i="17"/>
  <c r="M1675" i="17"/>
  <c r="N1674" i="17"/>
  <c r="M1674" i="17"/>
  <c r="N1673" i="17"/>
  <c r="M1673" i="17"/>
  <c r="N1672" i="17"/>
  <c r="M1672" i="17"/>
  <c r="N1671" i="17"/>
  <c r="M1671" i="17"/>
  <c r="N1670" i="17"/>
  <c r="M1670" i="17"/>
  <c r="N1669" i="17"/>
  <c r="M1669" i="17"/>
  <c r="N1668" i="17"/>
  <c r="M1668" i="17"/>
  <c r="N1667" i="17"/>
  <c r="M1667" i="17"/>
  <c r="N1666" i="17"/>
  <c r="M1666" i="17"/>
  <c r="N1663" i="17"/>
  <c r="M1663" i="17"/>
  <c r="N1662" i="17"/>
  <c r="M1662" i="17"/>
  <c r="N1657" i="17"/>
  <c r="M1657" i="17"/>
  <c r="N1656" i="17"/>
  <c r="M1656" i="17"/>
  <c r="N1653" i="17"/>
  <c r="M1653" i="17"/>
  <c r="N1652" i="17"/>
  <c r="M1652" i="17"/>
  <c r="N1651" i="17"/>
  <c r="M1651" i="17"/>
  <c r="N1650" i="17"/>
  <c r="M1650" i="17"/>
  <c r="N1647" i="17"/>
  <c r="M1647" i="17"/>
  <c r="N1646" i="17"/>
  <c r="M1646" i="17"/>
  <c r="N1645" i="17"/>
  <c r="M1645" i="17"/>
  <c r="N1644" i="17"/>
  <c r="M1644" i="17"/>
  <c r="N1643" i="17"/>
  <c r="M1643" i="17"/>
  <c r="N1642" i="17"/>
  <c r="M1642" i="17"/>
  <c r="N1641" i="17"/>
  <c r="M1641" i="17"/>
  <c r="N1640" i="17"/>
  <c r="M1640" i="17"/>
  <c r="N1639" i="17"/>
  <c r="M1639" i="17"/>
  <c r="N1638" i="17"/>
  <c r="M1638" i="17"/>
  <c r="N1637" i="17"/>
  <c r="M1637" i="17"/>
  <c r="N1636" i="17"/>
  <c r="M1636" i="17"/>
  <c r="N1635" i="17"/>
  <c r="M1635" i="17"/>
  <c r="N1634" i="17"/>
  <c r="M1634" i="17"/>
  <c r="N1633" i="17"/>
  <c r="M1633" i="17"/>
  <c r="N1632" i="17"/>
  <c r="M1632" i="17"/>
  <c r="N1631" i="17"/>
  <c r="M1631" i="17"/>
  <c r="N1630" i="17"/>
  <c r="M1630" i="17"/>
  <c r="N1629" i="17"/>
  <c r="M1629" i="17"/>
  <c r="N1628" i="17"/>
  <c r="M1628" i="17"/>
  <c r="N1627" i="17"/>
  <c r="M1627" i="17"/>
  <c r="N1626" i="17"/>
  <c r="M1626" i="17"/>
  <c r="N1625" i="17"/>
  <c r="M1625" i="17"/>
  <c r="N1624" i="17"/>
  <c r="M1624" i="17"/>
  <c r="N1623" i="17"/>
  <c r="M1623" i="17"/>
  <c r="N1622" i="17"/>
  <c r="M1622" i="17"/>
  <c r="N1621" i="17"/>
  <c r="M1621" i="17"/>
  <c r="N1620" i="17"/>
  <c r="M1620" i="17"/>
  <c r="N1619" i="17"/>
  <c r="M1619" i="17"/>
  <c r="N1618" i="17"/>
  <c r="M1618" i="17"/>
  <c r="N1617" i="17"/>
  <c r="M1617" i="17"/>
  <c r="N1616" i="17"/>
  <c r="M1616" i="17"/>
  <c r="N1615" i="17"/>
  <c r="M1615" i="17"/>
  <c r="N1614" i="17"/>
  <c r="M1614" i="17"/>
  <c r="N1613" i="17"/>
  <c r="M1613" i="17"/>
  <c r="N1612" i="17"/>
  <c r="M1612" i="17"/>
  <c r="N1611" i="17"/>
  <c r="M1611" i="17"/>
  <c r="N1610" i="17"/>
  <c r="M1610" i="17"/>
  <c r="N1609" i="17"/>
  <c r="M1609" i="17"/>
  <c r="N1608" i="17"/>
  <c r="M1608" i="17"/>
  <c r="N1607" i="17"/>
  <c r="M1607" i="17"/>
  <c r="N1606" i="17"/>
  <c r="M1606" i="17"/>
  <c r="N1605" i="17"/>
  <c r="M1605" i="17"/>
  <c r="N1604" i="17"/>
  <c r="M1604" i="17"/>
  <c r="N1603" i="17"/>
  <c r="M1603" i="17"/>
  <c r="N1602" i="17"/>
  <c r="M1602" i="17"/>
  <c r="N1601" i="17"/>
  <c r="M1601" i="17"/>
  <c r="N1600" i="17"/>
  <c r="M1600" i="17"/>
  <c r="N1599" i="17"/>
  <c r="M1599" i="17"/>
  <c r="N1598" i="17"/>
  <c r="M1598" i="17"/>
  <c r="N1597" i="17"/>
  <c r="M1597" i="17"/>
  <c r="N1596" i="17"/>
  <c r="M1596" i="17"/>
  <c r="N1595" i="17"/>
  <c r="M1595" i="17"/>
  <c r="N1594" i="17"/>
  <c r="M1594" i="17"/>
  <c r="N1593" i="17"/>
  <c r="M1593" i="17"/>
  <c r="N1592" i="17"/>
  <c r="M1592" i="17"/>
  <c r="N1591" i="17"/>
  <c r="M1591" i="17"/>
  <c r="N1590" i="17"/>
  <c r="M1590" i="17"/>
  <c r="N1589" i="17"/>
  <c r="M1589" i="17"/>
  <c r="N1588" i="17"/>
  <c r="M1588" i="17"/>
  <c r="N1587" i="17"/>
  <c r="M1587" i="17"/>
  <c r="N1584" i="17"/>
  <c r="M1584" i="17"/>
  <c r="N1583" i="17"/>
  <c r="M1583" i="17"/>
  <c r="N1582" i="17"/>
  <c r="M1582" i="17"/>
  <c r="N1581" i="17"/>
  <c r="M1581" i="17"/>
  <c r="N1580" i="17"/>
  <c r="M1580" i="17"/>
  <c r="N1579" i="17"/>
  <c r="M1579" i="17"/>
  <c r="N1578" i="17"/>
  <c r="M1578" i="17"/>
  <c r="N1577" i="17"/>
  <c r="M1577" i="17"/>
  <c r="N1576" i="17"/>
  <c r="M1576" i="17"/>
  <c r="N1575" i="17"/>
  <c r="M1575" i="17"/>
  <c r="N1574" i="17"/>
  <c r="M1574" i="17"/>
  <c r="N1573" i="17"/>
  <c r="M1573" i="17"/>
  <c r="N1572" i="17"/>
  <c r="M1572" i="17"/>
  <c r="N1571" i="17"/>
  <c r="M1571" i="17"/>
  <c r="N1570" i="17"/>
  <c r="M1570" i="17"/>
  <c r="N1569" i="17"/>
  <c r="M1569" i="17"/>
  <c r="N1566" i="17"/>
  <c r="M1566" i="17"/>
  <c r="N1565" i="17"/>
  <c r="M1565" i="17"/>
  <c r="N1564" i="17"/>
  <c r="M1564" i="17"/>
  <c r="N1563" i="17"/>
  <c r="M1563" i="17"/>
  <c r="N1562" i="17"/>
  <c r="M1562" i="17"/>
  <c r="N1561" i="17"/>
  <c r="M1561" i="17"/>
  <c r="N1560" i="17"/>
  <c r="M1560" i="17"/>
  <c r="N1559" i="17"/>
  <c r="M1559" i="17"/>
  <c r="N1558" i="17"/>
  <c r="M1558" i="17"/>
  <c r="N1557" i="17"/>
  <c r="M1557" i="17"/>
  <c r="N1554" i="17"/>
  <c r="M1554" i="17"/>
  <c r="N1553" i="17"/>
  <c r="M1553" i="17"/>
  <c r="N1552" i="17"/>
  <c r="M1552" i="17"/>
  <c r="N1551" i="17"/>
  <c r="M1551" i="17"/>
  <c r="N1550" i="17"/>
  <c r="M1550" i="17"/>
  <c r="N1549" i="17"/>
  <c r="M1549" i="17"/>
  <c r="N1548" i="17"/>
  <c r="M1548" i="17"/>
  <c r="N1547" i="17"/>
  <c r="M1547" i="17"/>
  <c r="N1546" i="17"/>
  <c r="M1546" i="17"/>
  <c r="N1545" i="17"/>
  <c r="M1545" i="17"/>
  <c r="N1544" i="17"/>
  <c r="M1544" i="17"/>
  <c r="N1543" i="17"/>
  <c r="M1543" i="17"/>
  <c r="N1542" i="17"/>
  <c r="M1542" i="17"/>
  <c r="N1541" i="17"/>
  <c r="M1541" i="17"/>
  <c r="N1540" i="17"/>
  <c r="M1540" i="17"/>
  <c r="N1539" i="17"/>
  <c r="M1539" i="17"/>
  <c r="N1538" i="17"/>
  <c r="M1538" i="17"/>
  <c r="N1537" i="17"/>
  <c r="M1537" i="17"/>
  <c r="N1536" i="17"/>
  <c r="M1536" i="17"/>
  <c r="N1535" i="17"/>
  <c r="M1535" i="17"/>
  <c r="N1534" i="17"/>
  <c r="M1534" i="17"/>
  <c r="N1533" i="17"/>
  <c r="M1533" i="17"/>
  <c r="N1532" i="17"/>
  <c r="M1532" i="17"/>
  <c r="N1531" i="17"/>
  <c r="M1531" i="17"/>
  <c r="N1530" i="17"/>
  <c r="M1530" i="17"/>
  <c r="N1529" i="17"/>
  <c r="M1529" i="17"/>
  <c r="N1528" i="17"/>
  <c r="M1528" i="17"/>
  <c r="N1527" i="17"/>
  <c r="M1527" i="17"/>
  <c r="N1526" i="17"/>
  <c r="M1526" i="17"/>
  <c r="N1525" i="17"/>
  <c r="M1525" i="17"/>
  <c r="N1524" i="17"/>
  <c r="M1524" i="17"/>
  <c r="N1523" i="17"/>
  <c r="M1523" i="17"/>
  <c r="N1522" i="17"/>
  <c r="M1522" i="17"/>
  <c r="N1521" i="17"/>
  <c r="M1521" i="17"/>
  <c r="N1520" i="17"/>
  <c r="M1520" i="17"/>
  <c r="N1519" i="17"/>
  <c r="M1519" i="17"/>
  <c r="N1518" i="17"/>
  <c r="M1518" i="17"/>
  <c r="N1517" i="17"/>
  <c r="M1517" i="17"/>
  <c r="N1516" i="17"/>
  <c r="M1516" i="17"/>
  <c r="N1515" i="17"/>
  <c r="M1515" i="17"/>
  <c r="N1514" i="17"/>
  <c r="M1514" i="17"/>
  <c r="N1513" i="17"/>
  <c r="M1513" i="17"/>
  <c r="N1512" i="17"/>
  <c r="M1512" i="17"/>
  <c r="N1511" i="17"/>
  <c r="M1511" i="17"/>
  <c r="N1510" i="17"/>
  <c r="M1510" i="17"/>
  <c r="N1509" i="17"/>
  <c r="M1509" i="17"/>
  <c r="N1508" i="17"/>
  <c r="M1508" i="17"/>
  <c r="N1507" i="17"/>
  <c r="M1507" i="17"/>
  <c r="N1506" i="17"/>
  <c r="M1506" i="17"/>
  <c r="N1505" i="17"/>
  <c r="M1505" i="17"/>
  <c r="N1504" i="17"/>
  <c r="M1504" i="17"/>
  <c r="N1503" i="17"/>
  <c r="M1503" i="17"/>
  <c r="N1502" i="17"/>
  <c r="M1502" i="17"/>
  <c r="N1501" i="17"/>
  <c r="M1501" i="17"/>
  <c r="N1500" i="17"/>
  <c r="M1500" i="17"/>
  <c r="N1497" i="17"/>
  <c r="M1497" i="17"/>
  <c r="N1496" i="17"/>
  <c r="M1496" i="17"/>
  <c r="N1495" i="17"/>
  <c r="M1495" i="17"/>
  <c r="N1494" i="17"/>
  <c r="M1494" i="17"/>
  <c r="N1493" i="17"/>
  <c r="M1493" i="17"/>
  <c r="N1492" i="17"/>
  <c r="M1492" i="17"/>
  <c r="N1491" i="17"/>
  <c r="M1491" i="17"/>
  <c r="N1490" i="17"/>
  <c r="M1490" i="17"/>
  <c r="N1489" i="17"/>
  <c r="M1489" i="17"/>
  <c r="N1488" i="17"/>
  <c r="M1488" i="17"/>
  <c r="N1487" i="17"/>
  <c r="M1487" i="17"/>
  <c r="N1486" i="17"/>
  <c r="M1486" i="17"/>
  <c r="N1485" i="17"/>
  <c r="M1485" i="17"/>
  <c r="N1484" i="17"/>
  <c r="M1484" i="17"/>
  <c r="N1483" i="17"/>
  <c r="M1483" i="17"/>
  <c r="N1482" i="17"/>
  <c r="M1482" i="17"/>
  <c r="N1481" i="17"/>
  <c r="M1481" i="17"/>
  <c r="N1480" i="17"/>
  <c r="M1480" i="17"/>
  <c r="N1479" i="17"/>
  <c r="M1479" i="17"/>
  <c r="N1478" i="17"/>
  <c r="M1478" i="17"/>
  <c r="N1477" i="17"/>
  <c r="M1477" i="17"/>
  <c r="N1476" i="17"/>
  <c r="M1476" i="17"/>
  <c r="N1475" i="17"/>
  <c r="M1475" i="17"/>
  <c r="N1474" i="17"/>
  <c r="M1474" i="17"/>
  <c r="N1473" i="17"/>
  <c r="M1473" i="17"/>
  <c r="N1472" i="17"/>
  <c r="M1472" i="17"/>
  <c r="N1471" i="17"/>
  <c r="M1471" i="17"/>
  <c r="N1468" i="17"/>
  <c r="M1468" i="17"/>
  <c r="N1467" i="17"/>
  <c r="M1467" i="17"/>
  <c r="N1466" i="17"/>
  <c r="M1466" i="17"/>
  <c r="N1465" i="17"/>
  <c r="M1465" i="17"/>
  <c r="N1464" i="17"/>
  <c r="M1464" i="17"/>
  <c r="N1463" i="17"/>
  <c r="M1463" i="17"/>
  <c r="N1462" i="17"/>
  <c r="M1462" i="17"/>
  <c r="N1461" i="17"/>
  <c r="M1461" i="17"/>
  <c r="N1460" i="17"/>
  <c r="M1460" i="17"/>
  <c r="N1459" i="17"/>
  <c r="M1459" i="17"/>
  <c r="N1456" i="17"/>
  <c r="M1456" i="17"/>
  <c r="N1455" i="17"/>
  <c r="M1455" i="17"/>
  <c r="N1454" i="17"/>
  <c r="M1454" i="17"/>
  <c r="N1453" i="17"/>
  <c r="M1453" i="17"/>
  <c r="N1452" i="17"/>
  <c r="M1452" i="17"/>
  <c r="N1451" i="17"/>
  <c r="M1451" i="17"/>
  <c r="N1450" i="17"/>
  <c r="M1450" i="17"/>
  <c r="N1449" i="17"/>
  <c r="M1449" i="17"/>
  <c r="N1448" i="17"/>
  <c r="M1448" i="17"/>
  <c r="N1447" i="17"/>
  <c r="M1447" i="17"/>
  <c r="N1446" i="17"/>
  <c r="M1446" i="17"/>
  <c r="N1445" i="17"/>
  <c r="M1445" i="17"/>
  <c r="N1444" i="17"/>
  <c r="M1444" i="17"/>
  <c r="N1443" i="17"/>
  <c r="M1443" i="17"/>
  <c r="N1442" i="17"/>
  <c r="M1442" i="17"/>
  <c r="N1441" i="17"/>
  <c r="M1441" i="17"/>
  <c r="N1440" i="17"/>
  <c r="M1440" i="17"/>
  <c r="N1439" i="17"/>
  <c r="M1439" i="17"/>
  <c r="N1438" i="17"/>
  <c r="M1438" i="17"/>
  <c r="N1437" i="17"/>
  <c r="M1437" i="17"/>
  <c r="N1436" i="17"/>
  <c r="M1436" i="17"/>
  <c r="N1435" i="17"/>
  <c r="M1435" i="17"/>
  <c r="N1434" i="17"/>
  <c r="M1434" i="17"/>
  <c r="N1433" i="17"/>
  <c r="M1433" i="17"/>
  <c r="N1432" i="17"/>
  <c r="M1432" i="17"/>
  <c r="N1431" i="17"/>
  <c r="M1431" i="17"/>
  <c r="N1430" i="17"/>
  <c r="M1430" i="17"/>
  <c r="N1429" i="17"/>
  <c r="M1429" i="17"/>
  <c r="N1428" i="17"/>
  <c r="M1428" i="17"/>
  <c r="N1426" i="17"/>
  <c r="M1426" i="17"/>
  <c r="N1424" i="17"/>
  <c r="M1424" i="17"/>
  <c r="N1423" i="17"/>
  <c r="M1423" i="17"/>
  <c r="N1418" i="17"/>
  <c r="M1418" i="17"/>
  <c r="N1417" i="17"/>
  <c r="M1417" i="17"/>
  <c r="N1416" i="17"/>
  <c r="M1416" i="17"/>
  <c r="N1415" i="17"/>
  <c r="M1415" i="17"/>
  <c r="N1414" i="17"/>
  <c r="M1414" i="17"/>
  <c r="N1413" i="17"/>
  <c r="M1413" i="17"/>
  <c r="N1412" i="17"/>
  <c r="M1412" i="17"/>
  <c r="N1411" i="17"/>
  <c r="M1411" i="17"/>
  <c r="N1410" i="17"/>
  <c r="M1410" i="17"/>
  <c r="N1409" i="17"/>
  <c r="M1409" i="17"/>
  <c r="N1408" i="17"/>
  <c r="M1408" i="17"/>
  <c r="N1407" i="17"/>
  <c r="M1407" i="17"/>
  <c r="N1406" i="17"/>
  <c r="M1406" i="17"/>
  <c r="N1405" i="17"/>
  <c r="M1405" i="17"/>
  <c r="N1404" i="17"/>
  <c r="M1404" i="17"/>
  <c r="N1403" i="17"/>
  <c r="M1403" i="17"/>
  <c r="N1402" i="17"/>
  <c r="M1402" i="17"/>
  <c r="N1401" i="17"/>
  <c r="M1401" i="17"/>
  <c r="N1400" i="17"/>
  <c r="M1400" i="17"/>
  <c r="N1399" i="17"/>
  <c r="M1399" i="17"/>
  <c r="N1398" i="17"/>
  <c r="M1398" i="17"/>
  <c r="N1397" i="17"/>
  <c r="M1397" i="17"/>
  <c r="N1396" i="17"/>
  <c r="M1396" i="17"/>
  <c r="N1395" i="17"/>
  <c r="M1395" i="17"/>
  <c r="N1394" i="17"/>
  <c r="M1394" i="17"/>
  <c r="N1393" i="17"/>
  <c r="M1393" i="17"/>
  <c r="N1392" i="17"/>
  <c r="M1392" i="17"/>
  <c r="N1391" i="17"/>
  <c r="M1391" i="17"/>
  <c r="N1390" i="17"/>
  <c r="M1390" i="17"/>
  <c r="N1389" i="17"/>
  <c r="M1389" i="17"/>
  <c r="N1387" i="17"/>
  <c r="M1387" i="17"/>
  <c r="N1386" i="17"/>
  <c r="M1386" i="17"/>
  <c r="N1385" i="17"/>
  <c r="M1385" i="17"/>
  <c r="N1384" i="17"/>
  <c r="M1384" i="17"/>
  <c r="N1383" i="17"/>
  <c r="M1383" i="17"/>
  <c r="N1382" i="17"/>
  <c r="M1382" i="17"/>
  <c r="N1381" i="17"/>
  <c r="M1381" i="17"/>
  <c r="N1380" i="17"/>
  <c r="M1380" i="17"/>
  <c r="N1379" i="17"/>
  <c r="M1379" i="17"/>
  <c r="N1378" i="17"/>
  <c r="M1378" i="17"/>
  <c r="N1377" i="17"/>
  <c r="M1377" i="17"/>
  <c r="N1376" i="17"/>
  <c r="M1376" i="17"/>
  <c r="N1374" i="17"/>
  <c r="M1374" i="17"/>
  <c r="N1373" i="17"/>
  <c r="M1373" i="17"/>
  <c r="N1372" i="17"/>
  <c r="M1372" i="17"/>
  <c r="N1371" i="17"/>
  <c r="M1371" i="17"/>
  <c r="N1370" i="17"/>
  <c r="M1370" i="17"/>
  <c r="N1367" i="17"/>
  <c r="M1367" i="17"/>
  <c r="N1366" i="17"/>
  <c r="M1366" i="17"/>
  <c r="N1365" i="17"/>
  <c r="M1365" i="17"/>
  <c r="N1364" i="17"/>
  <c r="M1364" i="17"/>
  <c r="N1363" i="17"/>
  <c r="M1363" i="17"/>
  <c r="N1362" i="17"/>
  <c r="M1362" i="17"/>
  <c r="N1361" i="17"/>
  <c r="M1361" i="17"/>
  <c r="N1360" i="17"/>
  <c r="M1360" i="17"/>
  <c r="N1359" i="17"/>
  <c r="M1359" i="17"/>
  <c r="N1358" i="17"/>
  <c r="M1358" i="17"/>
  <c r="N1357" i="17"/>
  <c r="M1357" i="17"/>
  <c r="N1356" i="17"/>
  <c r="M1356" i="17"/>
  <c r="N1355" i="17"/>
  <c r="M1355" i="17"/>
  <c r="N1354" i="17"/>
  <c r="M1354" i="17"/>
  <c r="N1353" i="17"/>
  <c r="M1353" i="17"/>
  <c r="N1352" i="17"/>
  <c r="M1352" i="17"/>
  <c r="N1351" i="17"/>
  <c r="M1351" i="17"/>
  <c r="N1350" i="17"/>
  <c r="M1350" i="17"/>
  <c r="N1349" i="17"/>
  <c r="M1349" i="17"/>
  <c r="N1348" i="17"/>
  <c r="M1348" i="17"/>
  <c r="N1347" i="17"/>
  <c r="M1347" i="17"/>
  <c r="N1346" i="17"/>
  <c r="M1346" i="17"/>
  <c r="N1345" i="17"/>
  <c r="M1345" i="17"/>
  <c r="N1344" i="17"/>
  <c r="M1344" i="17"/>
  <c r="N1343" i="17"/>
  <c r="M1343" i="17"/>
  <c r="N1342" i="17"/>
  <c r="M1342" i="17"/>
  <c r="N1341" i="17"/>
  <c r="M1341" i="17"/>
  <c r="N1340" i="17"/>
  <c r="M1340" i="17"/>
  <c r="N1339" i="17"/>
  <c r="M1339" i="17"/>
  <c r="N1338" i="17"/>
  <c r="M1338" i="17"/>
  <c r="N1337" i="17"/>
  <c r="M1337" i="17"/>
  <c r="N1336" i="17"/>
  <c r="M1336" i="17"/>
  <c r="N1335" i="17"/>
  <c r="M1335" i="17"/>
  <c r="N1334" i="17"/>
  <c r="M1334" i="17"/>
  <c r="N1332" i="17"/>
  <c r="M1332" i="17"/>
  <c r="N1331" i="17"/>
  <c r="M1331" i="17"/>
  <c r="N1330" i="17"/>
  <c r="M1330" i="17"/>
  <c r="N1329" i="17"/>
  <c r="M1329" i="17"/>
  <c r="N1328" i="17"/>
  <c r="M1328" i="17"/>
  <c r="N1327" i="17"/>
  <c r="M1327" i="17"/>
  <c r="N1326" i="17"/>
  <c r="M1326" i="17"/>
  <c r="N1325" i="17"/>
  <c r="M1325" i="17"/>
  <c r="N1324" i="17"/>
  <c r="M1324" i="17"/>
  <c r="N1323" i="17"/>
  <c r="M1323" i="17"/>
  <c r="N1322" i="17"/>
  <c r="M1322" i="17"/>
  <c r="N1321" i="17"/>
  <c r="M1321" i="17"/>
  <c r="N1320" i="17"/>
  <c r="M1320" i="17"/>
  <c r="N1319" i="17"/>
  <c r="M1319" i="17"/>
  <c r="N1318" i="17"/>
  <c r="M1318" i="17"/>
  <c r="N1317" i="17"/>
  <c r="M1317" i="17"/>
  <c r="N1316" i="17"/>
  <c r="M1316" i="17"/>
  <c r="N1315" i="17"/>
  <c r="M1315" i="17"/>
  <c r="N1314" i="17"/>
  <c r="M1314" i="17"/>
  <c r="N1313" i="17"/>
  <c r="M1313" i="17"/>
  <c r="N1312" i="17"/>
  <c r="M1312" i="17"/>
  <c r="N1311" i="17"/>
  <c r="M1311" i="17"/>
  <c r="N1310" i="17"/>
  <c r="M1310" i="17"/>
  <c r="N1309" i="17"/>
  <c r="M1309" i="17"/>
  <c r="N1308" i="17"/>
  <c r="M1308" i="17"/>
  <c r="N1307" i="17"/>
  <c r="M1307" i="17"/>
  <c r="N1306" i="17"/>
  <c r="M1306" i="17"/>
  <c r="N1305" i="17"/>
  <c r="M1305" i="17"/>
  <c r="N1304" i="17"/>
  <c r="M1304" i="17"/>
  <c r="N1303" i="17"/>
  <c r="M1303" i="17"/>
  <c r="N1302" i="17"/>
  <c r="M1302" i="17"/>
  <c r="N1301" i="17"/>
  <c r="M1301" i="17"/>
  <c r="N1300" i="17"/>
  <c r="M1300" i="17"/>
  <c r="N1299" i="17"/>
  <c r="M1299" i="17"/>
  <c r="N1298" i="17"/>
  <c r="M1298" i="17"/>
  <c r="N1297" i="17"/>
  <c r="M1297" i="17"/>
  <c r="N1296" i="17"/>
  <c r="M1296" i="17"/>
  <c r="N1295" i="17"/>
  <c r="M1295" i="17"/>
  <c r="N1294" i="17"/>
  <c r="M1294" i="17"/>
  <c r="N1293" i="17"/>
  <c r="M1293" i="17"/>
  <c r="N1292" i="17"/>
  <c r="M1292" i="17"/>
  <c r="N1291" i="17"/>
  <c r="M1291" i="17"/>
  <c r="N1290" i="17"/>
  <c r="M1290" i="17"/>
  <c r="N1289" i="17"/>
  <c r="M1289" i="17"/>
  <c r="N1288" i="17"/>
  <c r="M1288" i="17"/>
  <c r="N1287" i="17"/>
  <c r="M1287" i="17"/>
  <c r="N1286" i="17"/>
  <c r="M1286" i="17"/>
  <c r="N1285" i="17"/>
  <c r="M1285" i="17"/>
  <c r="N1282" i="17"/>
  <c r="M1282" i="17"/>
  <c r="N1281" i="17"/>
  <c r="M1281" i="17"/>
  <c r="N1280" i="17"/>
  <c r="M1280" i="17"/>
  <c r="N1277" i="17"/>
  <c r="M1277" i="17"/>
  <c r="N1276" i="17"/>
  <c r="M1276" i="17"/>
  <c r="N1275" i="17"/>
  <c r="M1275" i="17"/>
  <c r="N1274" i="17"/>
  <c r="M1274" i="17"/>
  <c r="N1272" i="17"/>
  <c r="M1272" i="17"/>
  <c r="N1271" i="17"/>
  <c r="M1271" i="17"/>
  <c r="N1270" i="17"/>
  <c r="M1270" i="17"/>
  <c r="N1269" i="17"/>
  <c r="M1269" i="17"/>
  <c r="N1268" i="17"/>
  <c r="M1268" i="17"/>
  <c r="N1267" i="17"/>
  <c r="M1267" i="17"/>
  <c r="N1266" i="17"/>
  <c r="M1266" i="17"/>
  <c r="N1265" i="17"/>
  <c r="M1265" i="17"/>
  <c r="N1264" i="17"/>
  <c r="M1264" i="17"/>
  <c r="N1263" i="17"/>
  <c r="M1263" i="17"/>
  <c r="N1262" i="17"/>
  <c r="M1262" i="17"/>
  <c r="N1261" i="17"/>
  <c r="M1261" i="17"/>
  <c r="N1260" i="17"/>
  <c r="M1260" i="17"/>
  <c r="N1259" i="17"/>
  <c r="M1259" i="17"/>
  <c r="N1258" i="17"/>
  <c r="M1258" i="17"/>
  <c r="N1257" i="17"/>
  <c r="M1257" i="17"/>
  <c r="N1256" i="17"/>
  <c r="M1256" i="17"/>
  <c r="N1255" i="17"/>
  <c r="M1255" i="17"/>
  <c r="N1254" i="17"/>
  <c r="M1254" i="17"/>
  <c r="N1253" i="17"/>
  <c r="M1253" i="17"/>
  <c r="N1252" i="17"/>
  <c r="M1252" i="17"/>
  <c r="N1251" i="17"/>
  <c r="M1251" i="17"/>
  <c r="N1250" i="17"/>
  <c r="M1250" i="17"/>
  <c r="N1249" i="17"/>
  <c r="M1249" i="17"/>
  <c r="N1248" i="17"/>
  <c r="M1248" i="17"/>
  <c r="N1247" i="17"/>
  <c r="M1247" i="17"/>
  <c r="N1246" i="17"/>
  <c r="M1246" i="17"/>
  <c r="N1245" i="17"/>
  <c r="M1245" i="17"/>
  <c r="N1244" i="17"/>
  <c r="M1244" i="17"/>
  <c r="N1243" i="17"/>
  <c r="M1243" i="17"/>
  <c r="N1242" i="17"/>
  <c r="M1242" i="17"/>
  <c r="N1241" i="17"/>
  <c r="M1241" i="17"/>
  <c r="N1240" i="17"/>
  <c r="M1240" i="17"/>
  <c r="N1239" i="17"/>
  <c r="M1239" i="17"/>
  <c r="N1238" i="17"/>
  <c r="M1238" i="17"/>
  <c r="N1237" i="17"/>
  <c r="M1237" i="17"/>
  <c r="N1236" i="17"/>
  <c r="M1236" i="17"/>
  <c r="N1235" i="17"/>
  <c r="M1235" i="17"/>
  <c r="N1234" i="17"/>
  <c r="M1234" i="17"/>
  <c r="N1233" i="17"/>
  <c r="M1233" i="17"/>
  <c r="N1232" i="17"/>
  <c r="M1232" i="17"/>
  <c r="N1231" i="17"/>
  <c r="M1231" i="17"/>
  <c r="N1230" i="17"/>
  <c r="M1230" i="17"/>
  <c r="N1229" i="17"/>
  <c r="M1229" i="17"/>
  <c r="N1228" i="17"/>
  <c r="M1228" i="17"/>
  <c r="N1227" i="17"/>
  <c r="M1227" i="17"/>
  <c r="N1226" i="17"/>
  <c r="M1226" i="17"/>
  <c r="N1225" i="17"/>
  <c r="M1225" i="17"/>
  <c r="N1224" i="17"/>
  <c r="M1224" i="17"/>
  <c r="N1223" i="17"/>
  <c r="M1223" i="17"/>
  <c r="N1222" i="17"/>
  <c r="M1222" i="17"/>
  <c r="N1221" i="17"/>
  <c r="M1221" i="17"/>
  <c r="N1220" i="17"/>
  <c r="M1220" i="17"/>
  <c r="N1219" i="17"/>
  <c r="M1219" i="17"/>
  <c r="N1218" i="17"/>
  <c r="M1218" i="17"/>
  <c r="N1217" i="17"/>
  <c r="M1217" i="17"/>
  <c r="N1216" i="17"/>
  <c r="M1216" i="17"/>
  <c r="N1215" i="17"/>
  <c r="M1215" i="17"/>
  <c r="N1214" i="17"/>
  <c r="M1214" i="17"/>
  <c r="N1213" i="17"/>
  <c r="M1213" i="17"/>
  <c r="N1212" i="17"/>
  <c r="M1212" i="17"/>
  <c r="N1211" i="17"/>
  <c r="M1211" i="17"/>
  <c r="N1210" i="17"/>
  <c r="M1210" i="17"/>
  <c r="N1209" i="17"/>
  <c r="M1209" i="17"/>
  <c r="N1208" i="17"/>
  <c r="M1208" i="17"/>
  <c r="N1207" i="17"/>
  <c r="M1207" i="17"/>
  <c r="N1206" i="17"/>
  <c r="M1206" i="17"/>
  <c r="N1205" i="17"/>
  <c r="M1205" i="17"/>
  <c r="N1204" i="17"/>
  <c r="M1204" i="17"/>
  <c r="N1203" i="17"/>
  <c r="M1203" i="17"/>
  <c r="N1202" i="17"/>
  <c r="M1202" i="17"/>
  <c r="N1201" i="17"/>
  <c r="M1201" i="17"/>
  <c r="N1200" i="17"/>
  <c r="M1200" i="17"/>
  <c r="N1199" i="17"/>
  <c r="M1199" i="17"/>
  <c r="N1198" i="17"/>
  <c r="M1198" i="17"/>
  <c r="N1197" i="17"/>
  <c r="M1197" i="17"/>
  <c r="N1196" i="17"/>
  <c r="M1196" i="17"/>
  <c r="N1195" i="17"/>
  <c r="M1195" i="17"/>
  <c r="N1194" i="17"/>
  <c r="M1194" i="17"/>
  <c r="N1193" i="17"/>
  <c r="M1193" i="17"/>
  <c r="N1192" i="17"/>
  <c r="M1192" i="17"/>
  <c r="N1191" i="17"/>
  <c r="M1191" i="17"/>
  <c r="N1190" i="17"/>
  <c r="M1190" i="17"/>
  <c r="N1189" i="17"/>
  <c r="M1189" i="17"/>
  <c r="N1188" i="17"/>
  <c r="M1188" i="17"/>
  <c r="N1187" i="17"/>
  <c r="M1187" i="17"/>
  <c r="N1186" i="17"/>
  <c r="M1186" i="17"/>
  <c r="N1185" i="17"/>
  <c r="M1185" i="17"/>
  <c r="N1184" i="17"/>
  <c r="M1184" i="17"/>
  <c r="N1181" i="17"/>
  <c r="M1181" i="17"/>
  <c r="N1180" i="17"/>
  <c r="M1180" i="17"/>
  <c r="N1177" i="17"/>
  <c r="M1177" i="17"/>
  <c r="N1176" i="17"/>
  <c r="M1176" i="17"/>
  <c r="N1175" i="17"/>
  <c r="M1175" i="17"/>
  <c r="N1174" i="17"/>
  <c r="M1174" i="17"/>
  <c r="N1173" i="17"/>
  <c r="M1173" i="17"/>
  <c r="N1172" i="17"/>
  <c r="M1172" i="17"/>
  <c r="N1171" i="17"/>
  <c r="M1171" i="17"/>
  <c r="N1170" i="17"/>
  <c r="M1170" i="17"/>
  <c r="N1169" i="17"/>
  <c r="M1169" i="17"/>
  <c r="N1168" i="17"/>
  <c r="M1168" i="17"/>
  <c r="N1165" i="17"/>
  <c r="M1165" i="17"/>
  <c r="N1164" i="17"/>
  <c r="M1164" i="17"/>
  <c r="N1163" i="17"/>
  <c r="M1163" i="17"/>
  <c r="N1162" i="17"/>
  <c r="M1162" i="17"/>
  <c r="N1159" i="17"/>
  <c r="M1159" i="17"/>
  <c r="N1158" i="17"/>
  <c r="M1158" i="17"/>
  <c r="N1157" i="17"/>
  <c r="M1157" i="17"/>
  <c r="N1156" i="17"/>
  <c r="M1156" i="17"/>
  <c r="N1155" i="17"/>
  <c r="M1155" i="17"/>
  <c r="N1154" i="17"/>
  <c r="M1154" i="17"/>
  <c r="N1153" i="17"/>
  <c r="M1153" i="17"/>
  <c r="N1152" i="17"/>
  <c r="M1152" i="17"/>
  <c r="N1151" i="17"/>
  <c r="M1151" i="17"/>
  <c r="N1150" i="17"/>
  <c r="M1150" i="17"/>
  <c r="N1149" i="17"/>
  <c r="M1149" i="17"/>
  <c r="N1148" i="17"/>
  <c r="M1148" i="17"/>
  <c r="N1147" i="17"/>
  <c r="M1147" i="17"/>
  <c r="N1146" i="17"/>
  <c r="M1146" i="17"/>
  <c r="N1145" i="17"/>
  <c r="M1145" i="17"/>
  <c r="N1144" i="17"/>
  <c r="M1144" i="17"/>
  <c r="N1143" i="17"/>
  <c r="M1143" i="17"/>
  <c r="N1142" i="17"/>
  <c r="M1142" i="17"/>
  <c r="N1141" i="17"/>
  <c r="M1141" i="17"/>
  <c r="N1140" i="17"/>
  <c r="M1140" i="17"/>
  <c r="N1139" i="17"/>
  <c r="M1139" i="17"/>
  <c r="N1138" i="17"/>
  <c r="M1138" i="17"/>
  <c r="N1137" i="17"/>
  <c r="M1137" i="17"/>
  <c r="N1136" i="17"/>
  <c r="M1136" i="17"/>
  <c r="N1135" i="17"/>
  <c r="M1135" i="17"/>
  <c r="N1134" i="17"/>
  <c r="M1134" i="17"/>
  <c r="N1133" i="17"/>
  <c r="M1133" i="17"/>
  <c r="N1132" i="17"/>
  <c r="M1132" i="17"/>
  <c r="N1131" i="17"/>
  <c r="M1131" i="17"/>
  <c r="N1130" i="17"/>
  <c r="M1130" i="17"/>
  <c r="N1129" i="17"/>
  <c r="M1129" i="17"/>
  <c r="N1128" i="17"/>
  <c r="M1128" i="17"/>
  <c r="N1127" i="17"/>
  <c r="M1127" i="17"/>
  <c r="N1126" i="17"/>
  <c r="M1126" i="17"/>
  <c r="N1125" i="17"/>
  <c r="M1125" i="17"/>
  <c r="N1124" i="17"/>
  <c r="M1124" i="17"/>
  <c r="N1123" i="17"/>
  <c r="M1123" i="17"/>
  <c r="N1122" i="17"/>
  <c r="M1122" i="17"/>
  <c r="N1121" i="17"/>
  <c r="M1121" i="17"/>
  <c r="N1120" i="17"/>
  <c r="M1120" i="17"/>
  <c r="N1119" i="17"/>
  <c r="M1119" i="17"/>
  <c r="N1118" i="17"/>
  <c r="M1118" i="17"/>
  <c r="N1117" i="17"/>
  <c r="M1117" i="17"/>
  <c r="N1116" i="17"/>
  <c r="M1116" i="17"/>
  <c r="N1115" i="17"/>
  <c r="M1115" i="17"/>
  <c r="N1114" i="17"/>
  <c r="M1114" i="17"/>
  <c r="N1113" i="17"/>
  <c r="M1113" i="17"/>
  <c r="N1108" i="17"/>
  <c r="M1108" i="17"/>
  <c r="N1107" i="17"/>
  <c r="M1107" i="17"/>
  <c r="N1106" i="17"/>
  <c r="M1106" i="17"/>
  <c r="N1105" i="17"/>
  <c r="M1105" i="17"/>
  <c r="N1104" i="17"/>
  <c r="M1104" i="17"/>
  <c r="N1103" i="17"/>
  <c r="M1103" i="17"/>
  <c r="N1101" i="17"/>
  <c r="M1101" i="17"/>
  <c r="N1100" i="17"/>
  <c r="M1100" i="17"/>
  <c r="N1099" i="17"/>
  <c r="M1099" i="17"/>
  <c r="N1098" i="17"/>
  <c r="M1098" i="17"/>
  <c r="N1097" i="17"/>
  <c r="M1097" i="17"/>
  <c r="N1096" i="17"/>
  <c r="M1096" i="17"/>
  <c r="N1095" i="17"/>
  <c r="M1095" i="17"/>
  <c r="N1094" i="17"/>
  <c r="M1094" i="17"/>
  <c r="N1093" i="17"/>
  <c r="M1093" i="17"/>
  <c r="N1092" i="17"/>
  <c r="M1092" i="17"/>
  <c r="N1091" i="17"/>
  <c r="M1091" i="17"/>
  <c r="N1090" i="17"/>
  <c r="M1090" i="17"/>
  <c r="N1089" i="17"/>
  <c r="M1089" i="17"/>
  <c r="N1088" i="17"/>
  <c r="M1088" i="17"/>
  <c r="N1087" i="17"/>
  <c r="M1087" i="17"/>
  <c r="N1086" i="17"/>
  <c r="M1086" i="17"/>
  <c r="N1085" i="17"/>
  <c r="M1085" i="17"/>
  <c r="N1084" i="17"/>
  <c r="M1084" i="17"/>
  <c r="N1083" i="17"/>
  <c r="M1083" i="17"/>
  <c r="N1082" i="17"/>
  <c r="M1082" i="17"/>
  <c r="N1081" i="17"/>
  <c r="M1081" i="17"/>
  <c r="N1080" i="17"/>
  <c r="M1080" i="17"/>
  <c r="N1079" i="17"/>
  <c r="M1079" i="17"/>
  <c r="N1078" i="17"/>
  <c r="M1078" i="17"/>
  <c r="N1077" i="17"/>
  <c r="M1077" i="17"/>
  <c r="N1076" i="17"/>
  <c r="M1076" i="17"/>
  <c r="N1075" i="17"/>
  <c r="M1075" i="17"/>
  <c r="N1074" i="17"/>
  <c r="M1074" i="17"/>
  <c r="N1073" i="17"/>
  <c r="M1073" i="17"/>
  <c r="N1072" i="17"/>
  <c r="M1072" i="17"/>
  <c r="N1071" i="17"/>
  <c r="M1071" i="17"/>
  <c r="N1070" i="17"/>
  <c r="M1070" i="17"/>
  <c r="N1069" i="17"/>
  <c r="M1069" i="17"/>
  <c r="N1068" i="17"/>
  <c r="M1068" i="17"/>
  <c r="N1067" i="17"/>
  <c r="M1067" i="17"/>
  <c r="N1066" i="17"/>
  <c r="M1066" i="17"/>
  <c r="N1065" i="17"/>
  <c r="M1065" i="17"/>
  <c r="N1064" i="17"/>
  <c r="M1064" i="17"/>
  <c r="N1063" i="17"/>
  <c r="M1063" i="17"/>
  <c r="N1062" i="17"/>
  <c r="M1062" i="17"/>
  <c r="N1061" i="17"/>
  <c r="M1061" i="17"/>
  <c r="N1060" i="17"/>
  <c r="M1060" i="17"/>
  <c r="N1059" i="17"/>
  <c r="M1059" i="17"/>
  <c r="N1058" i="17"/>
  <c r="M1058" i="17"/>
  <c r="N1057" i="17"/>
  <c r="M1057" i="17"/>
  <c r="N1055" i="17"/>
  <c r="M1055" i="17"/>
  <c r="N1054" i="17"/>
  <c r="M1054" i="17"/>
  <c r="N1053" i="17"/>
  <c r="M1053" i="17"/>
  <c r="N1052" i="17"/>
  <c r="M1052" i="17"/>
  <c r="N1051" i="17"/>
  <c r="M1051" i="17"/>
  <c r="N1050" i="17"/>
  <c r="M1050" i="17"/>
  <c r="N1049" i="17"/>
  <c r="M1049" i="17"/>
  <c r="N1048" i="17"/>
  <c r="M1048" i="17"/>
  <c r="N1047" i="17"/>
  <c r="M1047" i="17"/>
  <c r="N1046" i="17"/>
  <c r="M1046" i="17"/>
  <c r="N1045" i="17"/>
  <c r="M1045" i="17"/>
  <c r="N1044" i="17"/>
  <c r="M1044" i="17"/>
  <c r="N1043" i="17"/>
  <c r="M1043" i="17"/>
  <c r="N1042" i="17"/>
  <c r="M1042" i="17"/>
  <c r="N1041" i="17"/>
  <c r="M1041" i="17"/>
  <c r="N1040" i="17"/>
  <c r="M1040" i="17"/>
  <c r="N1039" i="17"/>
  <c r="M1039" i="17"/>
  <c r="N1038" i="17"/>
  <c r="M1038" i="17"/>
  <c r="N1037" i="17"/>
  <c r="M1037" i="17"/>
  <c r="N1036" i="17"/>
  <c r="M1036" i="17"/>
  <c r="N1035" i="17"/>
  <c r="M1035" i="17"/>
  <c r="N1034" i="17"/>
  <c r="M1034" i="17"/>
  <c r="N1033" i="17"/>
  <c r="M1033" i="17"/>
  <c r="N1024" i="17"/>
  <c r="M1024" i="17"/>
  <c r="N1023" i="17"/>
  <c r="M1023" i="17"/>
  <c r="N1022" i="17"/>
  <c r="M1022" i="17"/>
  <c r="N1021" i="17"/>
  <c r="M1021" i="17"/>
  <c r="N1020" i="17"/>
  <c r="M1020" i="17"/>
  <c r="N1019" i="17"/>
  <c r="M1019" i="17"/>
  <c r="N1018" i="17"/>
  <c r="M1018" i="17"/>
  <c r="N1017" i="17"/>
  <c r="M1017" i="17"/>
  <c r="N1015" i="17"/>
  <c r="M1015" i="17"/>
  <c r="N1013" i="17"/>
  <c r="M1013" i="17"/>
  <c r="N1011" i="17"/>
  <c r="M1011" i="17"/>
  <c r="N1010" i="17"/>
  <c r="M1010" i="17"/>
  <c r="N1008" i="17"/>
  <c r="M1008" i="17"/>
  <c r="N1007" i="17"/>
  <c r="M1007" i="17"/>
  <c r="N1006" i="17"/>
  <c r="M1006" i="17"/>
  <c r="N1005" i="17"/>
  <c r="M1005" i="17"/>
  <c r="N1004" i="17"/>
  <c r="M1004" i="17"/>
  <c r="N1003" i="17"/>
  <c r="M1003" i="17"/>
  <c r="N1002" i="17"/>
  <c r="M1002" i="17"/>
  <c r="N1001" i="17"/>
  <c r="M1001" i="17"/>
  <c r="N1000" i="17"/>
  <c r="M1000" i="17"/>
  <c r="N999" i="17"/>
  <c r="M999" i="17"/>
  <c r="N996" i="17"/>
  <c r="M996" i="17"/>
  <c r="N995" i="17"/>
  <c r="M995" i="17"/>
  <c r="N994" i="17"/>
  <c r="M994" i="17"/>
  <c r="N993" i="17"/>
  <c r="M993" i="17"/>
  <c r="N992" i="17"/>
  <c r="M992" i="17"/>
  <c r="N991" i="17"/>
  <c r="M991" i="17"/>
  <c r="N990" i="17"/>
  <c r="M990" i="17"/>
  <c r="N989" i="17"/>
  <c r="M989" i="17"/>
  <c r="N988" i="17"/>
  <c r="M988" i="17"/>
  <c r="N987" i="17"/>
  <c r="M987" i="17"/>
  <c r="N986" i="17"/>
  <c r="M986" i="17"/>
  <c r="N983" i="17"/>
  <c r="M983" i="17"/>
  <c r="N982" i="17"/>
  <c r="M982" i="17"/>
  <c r="N981" i="17"/>
  <c r="M981" i="17"/>
  <c r="N980" i="17"/>
  <c r="M980" i="17"/>
  <c r="N979" i="17"/>
  <c r="M979" i="17"/>
  <c r="N978" i="17"/>
  <c r="M978" i="17"/>
  <c r="N977" i="17"/>
  <c r="M977" i="17"/>
  <c r="N976" i="17"/>
  <c r="M976" i="17"/>
  <c r="N975" i="17"/>
  <c r="M975" i="17"/>
  <c r="N974" i="17"/>
  <c r="M974" i="17"/>
  <c r="N973" i="17"/>
  <c r="M973" i="17"/>
  <c r="N972" i="17"/>
  <c r="M972" i="17"/>
  <c r="N971" i="17"/>
  <c r="M971" i="17"/>
  <c r="N970" i="17"/>
  <c r="M970" i="17"/>
  <c r="N969" i="17"/>
  <c r="M969" i="17"/>
  <c r="N968" i="17"/>
  <c r="M968" i="17"/>
  <c r="N967" i="17"/>
  <c r="M967" i="17"/>
  <c r="N966" i="17"/>
  <c r="M966" i="17"/>
  <c r="N965" i="17"/>
  <c r="M965" i="17"/>
  <c r="N964" i="17"/>
  <c r="M964" i="17"/>
  <c r="N963" i="17"/>
  <c r="M963" i="17"/>
  <c r="N962" i="17"/>
  <c r="M962" i="17"/>
  <c r="N961" i="17"/>
  <c r="M961" i="17"/>
  <c r="N960" i="17"/>
  <c r="M960" i="17"/>
  <c r="N959" i="17"/>
  <c r="M959" i="17"/>
  <c r="N958" i="17"/>
  <c r="M958" i="17"/>
  <c r="N957" i="17"/>
  <c r="M957" i="17"/>
  <c r="N956" i="17"/>
  <c r="M956" i="17"/>
  <c r="N955" i="17"/>
  <c r="M955" i="17"/>
  <c r="N954" i="17"/>
  <c r="M954" i="17"/>
  <c r="N953" i="17"/>
  <c r="M953" i="17"/>
  <c r="N952" i="17"/>
  <c r="M952" i="17"/>
  <c r="N951" i="17"/>
  <c r="M951" i="17"/>
  <c r="N950" i="17"/>
  <c r="M950" i="17"/>
  <c r="N949" i="17"/>
  <c r="M949" i="17"/>
  <c r="N948" i="17"/>
  <c r="M948" i="17"/>
  <c r="N947" i="17"/>
  <c r="M947" i="17"/>
  <c r="N946" i="17"/>
  <c r="M946" i="17"/>
  <c r="N945" i="17"/>
  <c r="M945" i="17"/>
  <c r="N944" i="17"/>
  <c r="M944" i="17"/>
  <c r="N943" i="17"/>
  <c r="M943" i="17"/>
  <c r="N942" i="17"/>
  <c r="M942" i="17"/>
  <c r="N941" i="17"/>
  <c r="M941" i="17"/>
  <c r="N940" i="17"/>
  <c r="M940" i="17"/>
  <c r="N939" i="17"/>
  <c r="M939" i="17"/>
  <c r="N938" i="17"/>
  <c r="M938" i="17"/>
  <c r="N937" i="17"/>
  <c r="M937" i="17"/>
  <c r="N936" i="17"/>
  <c r="M936" i="17"/>
  <c r="N935" i="17"/>
  <c r="M935" i="17"/>
  <c r="N934" i="17"/>
  <c r="M934" i="17"/>
  <c r="N933" i="17"/>
  <c r="M933" i="17"/>
  <c r="N932" i="17"/>
  <c r="M932" i="17"/>
  <c r="N931" i="17"/>
  <c r="M931" i="17"/>
  <c r="N930" i="17"/>
  <c r="M930" i="17"/>
  <c r="N929" i="17"/>
  <c r="M929" i="17"/>
  <c r="N928" i="17"/>
  <c r="M928" i="17"/>
  <c r="N927" i="17"/>
  <c r="M927" i="17"/>
  <c r="N926" i="17"/>
  <c r="M926" i="17"/>
  <c r="N925" i="17"/>
  <c r="M925" i="17"/>
  <c r="N924" i="17"/>
  <c r="M924" i="17"/>
  <c r="N923" i="17"/>
  <c r="M923" i="17"/>
  <c r="N922" i="17"/>
  <c r="M922" i="17"/>
  <c r="N921" i="17"/>
  <c r="M921" i="17"/>
  <c r="N920" i="17"/>
  <c r="M920" i="17"/>
  <c r="N919" i="17"/>
  <c r="M919" i="17"/>
  <c r="N918" i="17"/>
  <c r="M918" i="17"/>
  <c r="N917" i="17"/>
  <c r="M917" i="17"/>
  <c r="N914" i="17"/>
  <c r="M914" i="17"/>
  <c r="N913" i="17"/>
  <c r="M913" i="17"/>
  <c r="N908" i="17"/>
  <c r="M908" i="17"/>
  <c r="N907" i="17"/>
  <c r="M907" i="17"/>
  <c r="N906" i="17"/>
  <c r="M906" i="17"/>
  <c r="N905" i="17"/>
  <c r="M905" i="17"/>
  <c r="N904" i="17"/>
  <c r="M904" i="17"/>
  <c r="N903" i="17"/>
  <c r="M903" i="17"/>
  <c r="N902" i="17"/>
  <c r="M902" i="17"/>
  <c r="N901" i="17"/>
  <c r="M901" i="17"/>
  <c r="N900" i="17"/>
  <c r="M900" i="17"/>
  <c r="N899" i="17"/>
  <c r="M899" i="17"/>
  <c r="N898" i="17"/>
  <c r="M898" i="17"/>
  <c r="N897" i="17"/>
  <c r="M897" i="17"/>
  <c r="N896" i="17"/>
  <c r="M896" i="17"/>
  <c r="N895" i="17"/>
  <c r="M895" i="17"/>
  <c r="N894" i="17"/>
  <c r="M894" i="17"/>
  <c r="N893" i="17"/>
  <c r="M893" i="17"/>
  <c r="N892" i="17"/>
  <c r="M892" i="17"/>
  <c r="N891" i="17"/>
  <c r="M891" i="17"/>
  <c r="N890" i="17"/>
  <c r="M890" i="17"/>
  <c r="N889" i="17"/>
  <c r="M889" i="17"/>
  <c r="N888" i="17"/>
  <c r="M888" i="17"/>
  <c r="N887" i="17"/>
  <c r="M887" i="17"/>
  <c r="N886" i="17"/>
  <c r="M886" i="17"/>
  <c r="N885" i="17"/>
  <c r="M885" i="17"/>
  <c r="N884" i="17"/>
  <c r="M884" i="17"/>
  <c r="N883" i="17"/>
  <c r="M883" i="17"/>
  <c r="N882" i="17"/>
  <c r="M882" i="17"/>
  <c r="N881" i="17"/>
  <c r="M881" i="17"/>
  <c r="N880" i="17"/>
  <c r="M880" i="17"/>
  <c r="N879" i="17"/>
  <c r="M879" i="17"/>
  <c r="N878" i="17"/>
  <c r="M878" i="17"/>
  <c r="N877" i="17"/>
  <c r="M877" i="17"/>
  <c r="N876" i="17"/>
  <c r="M876" i="17"/>
  <c r="N875" i="17"/>
  <c r="M875" i="17"/>
  <c r="N874" i="17"/>
  <c r="M874" i="17"/>
  <c r="N873" i="17"/>
  <c r="M873" i="17"/>
  <c r="N872" i="17"/>
  <c r="M872" i="17"/>
  <c r="N871" i="17"/>
  <c r="M871" i="17"/>
  <c r="N870" i="17"/>
  <c r="M870" i="17"/>
  <c r="N869" i="17"/>
  <c r="M869" i="17"/>
  <c r="N868" i="17"/>
  <c r="M868" i="17"/>
  <c r="N867" i="17"/>
  <c r="M867" i="17"/>
  <c r="N866" i="17"/>
  <c r="M866" i="17"/>
  <c r="N865" i="17"/>
  <c r="M865" i="17"/>
  <c r="N864" i="17"/>
  <c r="M864" i="17"/>
  <c r="N863" i="17"/>
  <c r="M863" i="17"/>
  <c r="N862" i="17"/>
  <c r="M862" i="17"/>
  <c r="N861" i="17"/>
  <c r="M861" i="17"/>
  <c r="N860" i="17"/>
  <c r="M860" i="17"/>
  <c r="N859" i="17"/>
  <c r="M859" i="17"/>
  <c r="N858" i="17"/>
  <c r="M858" i="17"/>
  <c r="N857" i="17"/>
  <c r="M857" i="17"/>
  <c r="N856" i="17"/>
  <c r="M856" i="17"/>
  <c r="N855" i="17"/>
  <c r="M855" i="17"/>
  <c r="N854" i="17"/>
  <c r="M854" i="17"/>
  <c r="N853" i="17"/>
  <c r="M853" i="17"/>
  <c r="N852" i="17"/>
  <c r="M852" i="17"/>
  <c r="N851" i="17"/>
  <c r="M851" i="17"/>
  <c r="N850" i="17"/>
  <c r="M850" i="17"/>
  <c r="N849" i="17"/>
  <c r="M849" i="17"/>
  <c r="N848" i="17"/>
  <c r="M848" i="17"/>
  <c r="N847" i="17"/>
  <c r="M847" i="17"/>
  <c r="N846" i="17"/>
  <c r="M846" i="17"/>
  <c r="N845" i="17"/>
  <c r="M845" i="17"/>
  <c r="N844" i="17"/>
  <c r="M844" i="17"/>
  <c r="N843" i="17"/>
  <c r="M843" i="17"/>
  <c r="N842" i="17"/>
  <c r="M842" i="17"/>
  <c r="N841" i="17"/>
  <c r="M841" i="17"/>
  <c r="N840" i="17"/>
  <c r="M840" i="17"/>
  <c r="N839" i="17"/>
  <c r="M839" i="17"/>
  <c r="N838" i="17"/>
  <c r="M838" i="17"/>
  <c r="N835" i="17"/>
  <c r="M835" i="17"/>
  <c r="N834" i="17"/>
  <c r="M834" i="17"/>
  <c r="N833" i="17"/>
  <c r="M833" i="17"/>
  <c r="N832" i="17"/>
  <c r="M832" i="17"/>
  <c r="N831" i="17"/>
  <c r="M831" i="17"/>
  <c r="N828" i="17"/>
  <c r="M828" i="17"/>
  <c r="N827" i="17"/>
  <c r="M827" i="17"/>
  <c r="N826" i="17"/>
  <c r="M826" i="17"/>
  <c r="N823" i="17"/>
  <c r="M823" i="17"/>
  <c r="N822" i="17"/>
  <c r="M822" i="17"/>
  <c r="N821" i="17"/>
  <c r="M821" i="17"/>
  <c r="N820" i="17"/>
  <c r="M820" i="17"/>
  <c r="N819" i="17"/>
  <c r="M819" i="17"/>
  <c r="N818" i="17"/>
  <c r="M818" i="17"/>
  <c r="N817" i="17"/>
  <c r="M817" i="17"/>
  <c r="N816" i="17"/>
  <c r="M816" i="17"/>
  <c r="N815" i="17"/>
  <c r="M815" i="17"/>
  <c r="N814" i="17"/>
  <c r="M814" i="17"/>
  <c r="N813" i="17"/>
  <c r="M813" i="17"/>
  <c r="N812" i="17"/>
  <c r="M812" i="17"/>
  <c r="N811" i="17"/>
  <c r="M811" i="17"/>
  <c r="N810" i="17"/>
  <c r="M810" i="17"/>
  <c r="N809" i="17"/>
  <c r="M809" i="17"/>
  <c r="N808" i="17"/>
  <c r="M808" i="17"/>
  <c r="N807" i="17"/>
  <c r="M807" i="17"/>
  <c r="N806" i="17"/>
  <c r="M806" i="17"/>
  <c r="N805" i="17"/>
  <c r="M805" i="17"/>
  <c r="N804" i="17"/>
  <c r="M804" i="17"/>
  <c r="N803" i="17"/>
  <c r="M803" i="17"/>
  <c r="N802" i="17"/>
  <c r="M802" i="17"/>
  <c r="N801" i="17"/>
  <c r="M801" i="17"/>
  <c r="N800" i="17"/>
  <c r="M800" i="17"/>
  <c r="N799" i="17"/>
  <c r="M799" i="17"/>
  <c r="N798" i="17"/>
  <c r="M798" i="17"/>
  <c r="N797" i="17"/>
  <c r="M797" i="17"/>
  <c r="N796" i="17"/>
  <c r="M796" i="17"/>
  <c r="N795" i="17"/>
  <c r="M795" i="17"/>
  <c r="N794" i="17"/>
  <c r="M794" i="17"/>
  <c r="N793" i="17"/>
  <c r="M793" i="17"/>
  <c r="N792" i="17"/>
  <c r="M792" i="17"/>
  <c r="N791" i="17"/>
  <c r="M791" i="17"/>
  <c r="N790" i="17"/>
  <c r="M790" i="17"/>
  <c r="N789" i="17"/>
  <c r="M789" i="17"/>
  <c r="N788" i="17"/>
  <c r="M788" i="17"/>
  <c r="N787" i="17"/>
  <c r="M787" i="17"/>
  <c r="N786" i="17"/>
  <c r="M786" i="17"/>
  <c r="N785" i="17"/>
  <c r="M785" i="17"/>
  <c r="N784" i="17"/>
  <c r="M784" i="17"/>
  <c r="N781" i="17"/>
  <c r="M781" i="17"/>
  <c r="N780" i="17"/>
  <c r="M780" i="17"/>
  <c r="N779" i="17"/>
  <c r="M779" i="17"/>
  <c r="N778" i="17"/>
  <c r="M778" i="17"/>
  <c r="N777" i="17"/>
  <c r="M777" i="17"/>
  <c r="N776" i="17"/>
  <c r="M776" i="17"/>
  <c r="N775" i="17"/>
  <c r="M775" i="17"/>
  <c r="N774" i="17"/>
  <c r="M774" i="17"/>
  <c r="N773" i="17"/>
  <c r="M773" i="17"/>
  <c r="N772" i="17"/>
  <c r="M772" i="17"/>
  <c r="N771" i="17"/>
  <c r="M771" i="17"/>
  <c r="N770" i="17"/>
  <c r="M770" i="17"/>
  <c r="N769" i="17"/>
  <c r="M769" i="17"/>
  <c r="N768" i="17"/>
  <c r="M768" i="17"/>
  <c r="N767" i="17"/>
  <c r="M767" i="17"/>
  <c r="N766" i="17"/>
  <c r="M766" i="17"/>
  <c r="N765" i="17"/>
  <c r="M765" i="17"/>
  <c r="N764" i="17"/>
  <c r="M764" i="17"/>
  <c r="N763" i="17"/>
  <c r="M763" i="17"/>
  <c r="N762" i="17"/>
  <c r="M762" i="17"/>
  <c r="N761" i="17"/>
  <c r="M761" i="17"/>
  <c r="N760" i="17"/>
  <c r="M760" i="17"/>
  <c r="N759" i="17"/>
  <c r="M759" i="17"/>
  <c r="N758" i="17"/>
  <c r="M758" i="17"/>
  <c r="N757" i="17"/>
  <c r="M757" i="17"/>
  <c r="N756" i="17"/>
  <c r="M756" i="17"/>
  <c r="N755" i="17"/>
  <c r="M755" i="17"/>
  <c r="N754" i="17"/>
  <c r="M754" i="17"/>
  <c r="N753" i="17"/>
  <c r="M753" i="17"/>
  <c r="N752" i="17"/>
  <c r="M752" i="17"/>
  <c r="N751" i="17"/>
  <c r="M751" i="17"/>
  <c r="N750" i="17"/>
  <c r="M750" i="17"/>
  <c r="N749" i="17"/>
  <c r="M749" i="17"/>
  <c r="N748" i="17"/>
  <c r="M748" i="17"/>
  <c r="N747" i="17"/>
  <c r="M747" i="17"/>
  <c r="N746" i="17"/>
  <c r="M746" i="17"/>
  <c r="N745" i="17"/>
  <c r="M745" i="17"/>
  <c r="N744" i="17"/>
  <c r="M744" i="17"/>
  <c r="N743" i="17"/>
  <c r="M743" i="17"/>
  <c r="N742" i="17"/>
  <c r="M742" i="17"/>
  <c r="N741" i="17"/>
  <c r="M741" i="17"/>
  <c r="N740" i="17"/>
  <c r="M740" i="17"/>
  <c r="N739" i="17"/>
  <c r="M739" i="17"/>
  <c r="N738" i="17"/>
  <c r="M738" i="17"/>
  <c r="N737" i="17"/>
  <c r="M737" i="17"/>
  <c r="N736" i="17"/>
  <c r="M736" i="17"/>
  <c r="N735" i="17"/>
  <c r="M735" i="17"/>
  <c r="N734" i="17"/>
  <c r="M734" i="17"/>
  <c r="N733" i="17"/>
  <c r="M733" i="17"/>
  <c r="N732" i="17"/>
  <c r="M732" i="17"/>
  <c r="N731" i="17"/>
  <c r="M731" i="17"/>
  <c r="N730" i="17"/>
  <c r="M730" i="17"/>
  <c r="N729" i="17"/>
  <c r="M729" i="17"/>
  <c r="N728" i="17"/>
  <c r="M728" i="17"/>
  <c r="N727" i="17"/>
  <c r="M727" i="17"/>
  <c r="N726" i="17"/>
  <c r="M726" i="17"/>
  <c r="N725" i="17"/>
  <c r="M725" i="17"/>
  <c r="N724" i="17"/>
  <c r="M724" i="17"/>
  <c r="N723" i="17"/>
  <c r="M723" i="17"/>
  <c r="N722" i="17"/>
  <c r="M722" i="17"/>
  <c r="N721" i="17"/>
  <c r="M721" i="17"/>
  <c r="N720" i="17"/>
  <c r="M720" i="17"/>
  <c r="N719" i="17"/>
  <c r="M719" i="17"/>
  <c r="N718" i="17"/>
  <c r="M718" i="17"/>
  <c r="N717" i="17"/>
  <c r="M717" i="17"/>
  <c r="N716" i="17"/>
  <c r="M716" i="17"/>
  <c r="N715" i="17"/>
  <c r="M715" i="17"/>
  <c r="N714" i="17"/>
  <c r="M714" i="17"/>
  <c r="N713" i="17"/>
  <c r="M713" i="17"/>
  <c r="N712" i="17"/>
  <c r="M712" i="17"/>
  <c r="N711" i="17"/>
  <c r="M711" i="17"/>
  <c r="N710" i="17"/>
  <c r="M710" i="17"/>
  <c r="N709" i="17"/>
  <c r="M709" i="17"/>
  <c r="N708" i="17"/>
  <c r="M708" i="17"/>
  <c r="N707" i="17"/>
  <c r="M707" i="17"/>
  <c r="N706" i="17"/>
  <c r="M706" i="17"/>
  <c r="N705" i="17"/>
  <c r="M705" i="17"/>
  <c r="N704" i="17"/>
  <c r="M704" i="17"/>
  <c r="N703" i="17"/>
  <c r="M703" i="17"/>
  <c r="N702" i="17"/>
  <c r="M702" i="17"/>
  <c r="N701" i="17"/>
  <c r="M701" i="17"/>
  <c r="N700" i="17"/>
  <c r="M700" i="17"/>
  <c r="N699" i="17"/>
  <c r="M699" i="17"/>
  <c r="N698" i="17"/>
  <c r="M698" i="17"/>
  <c r="N697" i="17"/>
  <c r="M697" i="17"/>
  <c r="N696" i="17"/>
  <c r="M696" i="17"/>
  <c r="N695" i="17"/>
  <c r="M695" i="17"/>
  <c r="N694" i="17"/>
  <c r="M694" i="17"/>
  <c r="N693" i="17"/>
  <c r="M693" i="17"/>
  <c r="N690" i="17"/>
  <c r="M690" i="17"/>
  <c r="N689" i="17"/>
  <c r="M689" i="17"/>
  <c r="N688" i="17"/>
  <c r="M688" i="17"/>
  <c r="N687" i="17"/>
  <c r="M687" i="17"/>
  <c r="N686" i="17"/>
  <c r="M686" i="17"/>
  <c r="N685" i="17"/>
  <c r="M685" i="17"/>
  <c r="N684" i="17"/>
  <c r="M684" i="17"/>
  <c r="N683" i="17"/>
  <c r="M683" i="17"/>
  <c r="N682" i="17"/>
  <c r="M682" i="17"/>
  <c r="N681" i="17"/>
  <c r="M681" i="17"/>
  <c r="N680" i="17"/>
  <c r="M680" i="17"/>
  <c r="N679" i="17"/>
  <c r="M679" i="17"/>
  <c r="N678" i="17"/>
  <c r="M678" i="17"/>
  <c r="N677" i="17"/>
  <c r="M677" i="17"/>
  <c r="N676" i="17"/>
  <c r="M676" i="17"/>
  <c r="N675" i="17"/>
  <c r="M675" i="17"/>
  <c r="N674" i="17"/>
  <c r="M674" i="17"/>
  <c r="N673" i="17"/>
  <c r="M673" i="17"/>
  <c r="N672" i="17"/>
  <c r="M672" i="17"/>
  <c r="N671" i="17"/>
  <c r="M671" i="17"/>
  <c r="N668" i="17"/>
  <c r="M668" i="17"/>
  <c r="N667" i="17"/>
  <c r="M667" i="17"/>
  <c r="N666" i="17"/>
  <c r="M666" i="17"/>
  <c r="N665" i="17"/>
  <c r="M665" i="17"/>
  <c r="N664" i="17"/>
  <c r="M664" i="17"/>
  <c r="N663" i="17"/>
  <c r="M663" i="17"/>
  <c r="N662" i="17"/>
  <c r="M662" i="17"/>
  <c r="N661" i="17"/>
  <c r="M661" i="17"/>
  <c r="N660" i="17"/>
  <c r="M660" i="17"/>
  <c r="N659" i="17"/>
  <c r="M659" i="17"/>
  <c r="N658" i="17"/>
  <c r="M658" i="17"/>
  <c r="N657" i="17"/>
  <c r="M657" i="17"/>
  <c r="N656" i="17"/>
  <c r="M656" i="17"/>
  <c r="N655" i="17"/>
  <c r="M655" i="17"/>
  <c r="N654" i="17"/>
  <c r="M654" i="17"/>
  <c r="N653" i="17"/>
  <c r="M653" i="17"/>
  <c r="N652" i="17"/>
  <c r="M652" i="17"/>
  <c r="N651" i="17"/>
  <c r="M651" i="17"/>
  <c r="N650" i="17"/>
  <c r="M650" i="17"/>
  <c r="N649" i="17"/>
  <c r="M649" i="17"/>
  <c r="N648" i="17"/>
  <c r="M648" i="17"/>
  <c r="N647" i="17"/>
  <c r="M647" i="17"/>
  <c r="N646" i="17"/>
  <c r="M646" i="17"/>
  <c r="N645" i="17"/>
  <c r="M645" i="17"/>
  <c r="N644" i="17"/>
  <c r="M644" i="17"/>
  <c r="N643" i="17"/>
  <c r="M643" i="17"/>
  <c r="N642" i="17"/>
  <c r="M642" i="17"/>
  <c r="N641" i="17"/>
  <c r="M641" i="17"/>
  <c r="N640" i="17"/>
  <c r="M640" i="17"/>
  <c r="N639" i="17"/>
  <c r="M639" i="17"/>
  <c r="N638" i="17"/>
  <c r="M638" i="17"/>
  <c r="N637" i="17"/>
  <c r="M637" i="17"/>
  <c r="N636" i="17"/>
  <c r="M636" i="17"/>
  <c r="N635" i="17"/>
  <c r="M635" i="17"/>
  <c r="N634" i="17"/>
  <c r="M634" i="17"/>
  <c r="N633" i="17"/>
  <c r="M633" i="17"/>
  <c r="N632" i="17"/>
  <c r="M632" i="17"/>
  <c r="N631" i="17"/>
  <c r="M631" i="17"/>
  <c r="N630" i="17"/>
  <c r="M630" i="17"/>
  <c r="N629" i="17"/>
  <c r="M629" i="17"/>
  <c r="N628" i="17"/>
  <c r="M628" i="17"/>
  <c r="N627" i="17"/>
  <c r="M627" i="17"/>
  <c r="N626" i="17"/>
  <c r="M626" i="17"/>
  <c r="N625" i="17"/>
  <c r="M625" i="17"/>
  <c r="N624" i="17"/>
  <c r="M624" i="17"/>
  <c r="N623" i="17"/>
  <c r="M623" i="17"/>
  <c r="N622" i="17"/>
  <c r="M622" i="17"/>
  <c r="N621" i="17"/>
  <c r="M621" i="17"/>
  <c r="N620" i="17"/>
  <c r="M620" i="17"/>
  <c r="N619" i="17"/>
  <c r="M619" i="17"/>
  <c r="N618" i="17"/>
  <c r="M618" i="17"/>
  <c r="N617" i="17"/>
  <c r="M617" i="17"/>
  <c r="N616" i="17"/>
  <c r="M616" i="17"/>
  <c r="N615" i="17"/>
  <c r="M615" i="17"/>
  <c r="N614" i="17"/>
  <c r="M614" i="17"/>
  <c r="N613" i="17"/>
  <c r="M613" i="17"/>
  <c r="N612" i="17"/>
  <c r="M612" i="17"/>
  <c r="N611" i="17"/>
  <c r="M611" i="17"/>
  <c r="N610" i="17"/>
  <c r="M610" i="17"/>
  <c r="N609" i="17"/>
  <c r="M609" i="17"/>
  <c r="N608" i="17"/>
  <c r="M608" i="17"/>
  <c r="N607" i="17"/>
  <c r="M607" i="17"/>
  <c r="N606" i="17"/>
  <c r="M606" i="17"/>
  <c r="N605" i="17"/>
  <c r="M605" i="17"/>
  <c r="N604" i="17"/>
  <c r="M604" i="17"/>
  <c r="N603" i="17"/>
  <c r="M603" i="17"/>
  <c r="N602" i="17"/>
  <c r="M602" i="17"/>
  <c r="N601" i="17"/>
  <c r="M601" i="17"/>
  <c r="N600" i="17"/>
  <c r="M600" i="17"/>
  <c r="N599" i="17"/>
  <c r="M599" i="17"/>
  <c r="N598" i="17"/>
  <c r="M598" i="17"/>
  <c r="N597" i="17"/>
  <c r="M597" i="17"/>
  <c r="N596" i="17"/>
  <c r="M596" i="17"/>
  <c r="N595" i="17"/>
  <c r="M595" i="17"/>
  <c r="N594" i="17"/>
  <c r="M594" i="17"/>
  <c r="N593" i="17"/>
  <c r="M593" i="17"/>
  <c r="N586" i="17"/>
  <c r="M586" i="17"/>
  <c r="N585" i="17"/>
  <c r="M585" i="17"/>
  <c r="N584" i="17"/>
  <c r="M584" i="17"/>
  <c r="N581" i="17"/>
  <c r="M581" i="17"/>
  <c r="N580" i="17"/>
  <c r="M580" i="17"/>
  <c r="N579" i="17"/>
  <c r="M579" i="17"/>
  <c r="N578" i="17"/>
  <c r="M578" i="17"/>
  <c r="N577" i="17"/>
  <c r="M577" i="17"/>
  <c r="N576" i="17"/>
  <c r="M576" i="17"/>
  <c r="N575" i="17"/>
  <c r="M575" i="17"/>
  <c r="N572" i="17"/>
  <c r="M572" i="17"/>
  <c r="N571" i="17"/>
  <c r="M571" i="17"/>
  <c r="N570" i="17"/>
  <c r="M570" i="17"/>
  <c r="N569" i="17"/>
  <c r="M569" i="17"/>
  <c r="N568" i="17"/>
  <c r="M568" i="17"/>
  <c r="N567" i="17"/>
  <c r="M567" i="17"/>
  <c r="N566" i="17"/>
  <c r="M566" i="17"/>
  <c r="N565" i="17"/>
  <c r="M565" i="17"/>
  <c r="N561" i="17"/>
  <c r="M561" i="17"/>
  <c r="N560" i="17"/>
  <c r="M560" i="17"/>
  <c r="N559" i="17"/>
  <c r="M559" i="17"/>
  <c r="N558" i="17"/>
  <c r="M558" i="17"/>
  <c r="N557" i="17"/>
  <c r="M557" i="17"/>
  <c r="N556" i="17"/>
  <c r="M556" i="17"/>
  <c r="N555" i="17"/>
  <c r="M555" i="17"/>
  <c r="N554" i="17"/>
  <c r="M554" i="17"/>
  <c r="N553" i="17"/>
  <c r="M553" i="17"/>
  <c r="N552" i="17"/>
  <c r="M552" i="17"/>
  <c r="N551" i="17"/>
  <c r="M551" i="17"/>
  <c r="N550" i="17"/>
  <c r="M550" i="17"/>
  <c r="N549" i="17"/>
  <c r="M549" i="17"/>
  <c r="N546" i="17"/>
  <c r="M546" i="17"/>
  <c r="N545" i="17"/>
  <c r="M545" i="17"/>
  <c r="N544" i="17"/>
  <c r="M544" i="17"/>
  <c r="N543" i="17"/>
  <c r="M543" i="17"/>
  <c r="N542" i="17"/>
  <c r="M542" i="17"/>
  <c r="N541" i="17"/>
  <c r="M541" i="17"/>
  <c r="N540" i="17"/>
  <c r="M540" i="17"/>
  <c r="N539" i="17"/>
  <c r="M539" i="17"/>
  <c r="N538" i="17"/>
  <c r="M538" i="17"/>
  <c r="N537" i="17"/>
  <c r="M537" i="17"/>
  <c r="N536" i="17"/>
  <c r="M536" i="17"/>
  <c r="N535" i="17"/>
  <c r="M535" i="17"/>
  <c r="N534" i="17"/>
  <c r="M534" i="17"/>
  <c r="N533" i="17"/>
  <c r="M533" i="17"/>
  <c r="N532" i="17"/>
  <c r="M532" i="17"/>
  <c r="N531" i="17"/>
  <c r="M531" i="17"/>
  <c r="N528" i="17"/>
  <c r="M528" i="17"/>
  <c r="N527" i="17"/>
  <c r="M527" i="17"/>
  <c r="N526" i="17"/>
  <c r="M526" i="17"/>
  <c r="N525" i="17"/>
  <c r="M525" i="17"/>
  <c r="N524" i="17"/>
  <c r="M524" i="17"/>
  <c r="N523" i="17"/>
  <c r="M523" i="17"/>
  <c r="N522" i="17"/>
  <c r="M522" i="17"/>
  <c r="N521" i="17"/>
  <c r="M521" i="17"/>
  <c r="N520" i="17"/>
  <c r="M520" i="17"/>
  <c r="N519" i="17"/>
  <c r="M519" i="17"/>
  <c r="N518" i="17"/>
  <c r="M518" i="17"/>
  <c r="N517" i="17"/>
  <c r="M517" i="17"/>
  <c r="N516" i="17"/>
  <c r="M516" i="17"/>
  <c r="N515" i="17"/>
  <c r="M515" i="17"/>
  <c r="N514" i="17"/>
  <c r="M514" i="17"/>
  <c r="N513" i="17"/>
  <c r="M513" i="17"/>
  <c r="N512" i="17"/>
  <c r="M512" i="17"/>
  <c r="N511" i="17"/>
  <c r="M511" i="17"/>
  <c r="N510" i="17"/>
  <c r="M510" i="17"/>
  <c r="N509" i="17"/>
  <c r="M509" i="17"/>
  <c r="N508" i="17"/>
  <c r="M508" i="17"/>
  <c r="N507" i="17"/>
  <c r="M507" i="17"/>
  <c r="N506" i="17"/>
  <c r="M506" i="17"/>
  <c r="N505" i="17"/>
  <c r="M505" i="17"/>
  <c r="N504" i="17"/>
  <c r="M504" i="17"/>
  <c r="N503" i="17"/>
  <c r="M503" i="17"/>
  <c r="N502" i="17"/>
  <c r="M502" i="17"/>
  <c r="N501" i="17"/>
  <c r="M501" i="17"/>
  <c r="N500" i="17"/>
  <c r="M500" i="17"/>
  <c r="N499" i="17"/>
  <c r="M499" i="17"/>
  <c r="N498" i="17"/>
  <c r="M498" i="17"/>
  <c r="N497" i="17"/>
  <c r="M497" i="17"/>
  <c r="N496" i="17"/>
  <c r="M496" i="17"/>
  <c r="N495" i="17"/>
  <c r="M495" i="17"/>
  <c r="N494" i="17"/>
  <c r="M494" i="17"/>
  <c r="N493" i="17"/>
  <c r="M493" i="17"/>
  <c r="N492" i="17"/>
  <c r="M492" i="17"/>
  <c r="N491" i="17"/>
  <c r="M491" i="17"/>
  <c r="N490" i="17"/>
  <c r="M490" i="17"/>
  <c r="N489" i="17"/>
  <c r="M489" i="17"/>
  <c r="N488" i="17"/>
  <c r="M488" i="17"/>
  <c r="N487" i="17"/>
  <c r="M487" i="17"/>
  <c r="N486" i="17"/>
  <c r="M486" i="17"/>
  <c r="N485" i="17"/>
  <c r="M485" i="17"/>
  <c r="N484" i="17"/>
  <c r="M484" i="17"/>
  <c r="N483" i="17"/>
  <c r="M483" i="17"/>
  <c r="N482" i="17"/>
  <c r="M482" i="17"/>
  <c r="N481" i="17"/>
  <c r="M481" i="17"/>
  <c r="N480" i="17"/>
  <c r="M480" i="17"/>
  <c r="N479" i="17"/>
  <c r="M479" i="17"/>
  <c r="N478" i="17"/>
  <c r="M478" i="17"/>
  <c r="N477" i="17"/>
  <c r="M477" i="17"/>
  <c r="N476" i="17"/>
  <c r="M476" i="17"/>
  <c r="N475" i="17"/>
  <c r="M475" i="17"/>
  <c r="N474" i="17"/>
  <c r="M474" i="17"/>
  <c r="N473" i="17"/>
  <c r="M473" i="17"/>
  <c r="N472" i="17"/>
  <c r="M472" i="17"/>
  <c r="N471" i="17"/>
  <c r="M471" i="17"/>
  <c r="N470" i="17"/>
  <c r="M470" i="17"/>
  <c r="N469" i="17"/>
  <c r="M469" i="17"/>
  <c r="N468" i="17"/>
  <c r="M468" i="17"/>
  <c r="N467" i="17"/>
  <c r="M467" i="17"/>
  <c r="N466" i="17"/>
  <c r="M466" i="17"/>
  <c r="N465" i="17"/>
  <c r="M465" i="17"/>
  <c r="N464" i="17"/>
  <c r="M464" i="17"/>
  <c r="N463" i="17"/>
  <c r="M463" i="17"/>
  <c r="N462" i="17"/>
  <c r="M462" i="17"/>
  <c r="N461" i="17"/>
  <c r="M461" i="17"/>
  <c r="N460" i="17"/>
  <c r="M460" i="17"/>
  <c r="N459" i="17"/>
  <c r="M459" i="17"/>
  <c r="N458" i="17"/>
  <c r="M458" i="17"/>
  <c r="N457" i="17"/>
  <c r="M457" i="17"/>
  <c r="N456" i="17"/>
  <c r="M456" i="17"/>
  <c r="N455" i="17"/>
  <c r="M455" i="17"/>
  <c r="N454" i="17"/>
  <c r="M454" i="17"/>
  <c r="N453" i="17"/>
  <c r="M453" i="17"/>
  <c r="N452" i="17"/>
  <c r="M452" i="17"/>
  <c r="N451" i="17"/>
  <c r="M451" i="17"/>
  <c r="N450" i="17"/>
  <c r="M450" i="17"/>
  <c r="N449" i="17"/>
  <c r="M449" i="17"/>
  <c r="N448" i="17"/>
  <c r="M448" i="17"/>
  <c r="N447" i="17"/>
  <c r="M447" i="17"/>
  <c r="N446" i="17"/>
  <c r="M446" i="17"/>
  <c r="N445" i="17"/>
  <c r="M445" i="17"/>
  <c r="N444" i="17"/>
  <c r="M444" i="17"/>
  <c r="N443" i="17"/>
  <c r="M443" i="17"/>
  <c r="N442" i="17"/>
  <c r="M442" i="17"/>
  <c r="N441" i="17"/>
  <c r="M441" i="17"/>
  <c r="N440" i="17"/>
  <c r="M440" i="17"/>
  <c r="N439" i="17"/>
  <c r="M439" i="17"/>
  <c r="N438" i="17"/>
  <c r="M438" i="17"/>
  <c r="N437" i="17"/>
  <c r="M437" i="17"/>
  <c r="N436" i="17"/>
  <c r="M436" i="17"/>
  <c r="N435" i="17"/>
  <c r="M435" i="17"/>
  <c r="N434" i="17"/>
  <c r="M434" i="17"/>
  <c r="N433" i="17"/>
  <c r="M433" i="17"/>
  <c r="N432" i="17"/>
  <c r="M432" i="17"/>
  <c r="N431" i="17"/>
  <c r="M431" i="17"/>
  <c r="N430" i="17"/>
  <c r="M430" i="17"/>
  <c r="N429" i="17"/>
  <c r="M429" i="17"/>
  <c r="N428" i="17"/>
  <c r="M428" i="17"/>
  <c r="N427" i="17"/>
  <c r="M427" i="17"/>
  <c r="N426" i="17"/>
  <c r="M426" i="17"/>
  <c r="N425" i="17"/>
  <c r="M425" i="17"/>
  <c r="N424" i="17"/>
  <c r="M424" i="17"/>
  <c r="N423" i="17"/>
  <c r="M423" i="17"/>
  <c r="N422" i="17"/>
  <c r="M422" i="17"/>
  <c r="N421" i="17"/>
  <c r="M421" i="17"/>
  <c r="N416" i="17"/>
  <c r="M416" i="17"/>
  <c r="N415" i="17"/>
  <c r="M415" i="17"/>
  <c r="N414" i="17"/>
  <c r="M414" i="17"/>
  <c r="N413" i="17"/>
  <c r="M413" i="17"/>
  <c r="N412" i="17"/>
  <c r="M412" i="17"/>
  <c r="N411" i="17"/>
  <c r="M411" i="17"/>
  <c r="N410" i="17"/>
  <c r="M410" i="17"/>
  <c r="N409" i="17"/>
  <c r="M409" i="17"/>
  <c r="N408" i="17"/>
  <c r="M408" i="17"/>
  <c r="N407" i="17"/>
  <c r="M407" i="17"/>
  <c r="N406" i="17"/>
  <c r="M406" i="17"/>
  <c r="N405" i="17"/>
  <c r="M405" i="17"/>
  <c r="N404" i="17"/>
  <c r="M404" i="17"/>
  <c r="N403" i="17"/>
  <c r="M403" i="17"/>
  <c r="N402" i="17"/>
  <c r="M402" i="17"/>
  <c r="N401" i="17"/>
  <c r="M401" i="17"/>
  <c r="N400" i="17"/>
  <c r="M400" i="17"/>
  <c r="N399" i="17"/>
  <c r="M399" i="17"/>
  <c r="N398" i="17"/>
  <c r="M398" i="17"/>
  <c r="N397" i="17"/>
  <c r="M397" i="17"/>
  <c r="N396" i="17"/>
  <c r="M396" i="17"/>
  <c r="N393" i="17"/>
  <c r="M393" i="17"/>
  <c r="N392" i="17"/>
  <c r="M392" i="17"/>
  <c r="N391" i="17"/>
  <c r="M391" i="17"/>
  <c r="N390" i="17"/>
  <c r="M390" i="17"/>
  <c r="N389" i="17"/>
  <c r="M389" i="17"/>
  <c r="N388" i="17"/>
  <c r="M388" i="17"/>
  <c r="N387" i="17"/>
  <c r="M387" i="17"/>
  <c r="N386" i="17"/>
  <c r="M386" i="17"/>
  <c r="N385" i="17"/>
  <c r="M385" i="17"/>
  <c r="N384" i="17"/>
  <c r="M384" i="17"/>
  <c r="N383" i="17"/>
  <c r="M383" i="17"/>
  <c r="N382" i="17"/>
  <c r="M382" i="17"/>
  <c r="N381" i="17"/>
  <c r="M381" i="17"/>
  <c r="N380" i="17"/>
  <c r="M380" i="17"/>
  <c r="N379" i="17"/>
  <c r="M379" i="17"/>
  <c r="N378" i="17"/>
  <c r="M378" i="17"/>
  <c r="N377" i="17"/>
  <c r="M377" i="17"/>
  <c r="N376" i="17"/>
  <c r="M376" i="17"/>
  <c r="N373" i="17"/>
  <c r="M373" i="17"/>
  <c r="N372" i="17"/>
  <c r="M372" i="17"/>
  <c r="N371" i="17"/>
  <c r="M371" i="17"/>
  <c r="N370" i="17"/>
  <c r="M370" i="17"/>
  <c r="N369" i="17"/>
  <c r="M369" i="17"/>
  <c r="N368" i="17"/>
  <c r="M368" i="17"/>
  <c r="N367" i="17"/>
  <c r="M367" i="17"/>
  <c r="N366" i="17"/>
  <c r="M366" i="17"/>
  <c r="N365" i="17"/>
  <c r="M365" i="17"/>
  <c r="N364" i="17"/>
  <c r="M364" i="17"/>
  <c r="N363" i="17"/>
  <c r="M363" i="17"/>
  <c r="N362" i="17"/>
  <c r="M362" i="17"/>
  <c r="N357" i="17"/>
  <c r="M357" i="17"/>
  <c r="N356" i="17"/>
  <c r="M356" i="17"/>
  <c r="N355" i="17"/>
  <c r="M355" i="17"/>
  <c r="N352" i="17"/>
  <c r="M352" i="17"/>
  <c r="N351" i="17"/>
  <c r="M351" i="17"/>
  <c r="N350" i="17"/>
  <c r="M350" i="17"/>
  <c r="N349" i="17"/>
  <c r="M349" i="17"/>
  <c r="N348" i="17"/>
  <c r="M348" i="17"/>
  <c r="N347" i="17"/>
  <c r="M347" i="17"/>
  <c r="N346" i="17"/>
  <c r="M346" i="17"/>
  <c r="N345" i="17"/>
  <c r="M345" i="17"/>
  <c r="N344" i="17"/>
  <c r="M344" i="17"/>
  <c r="N343" i="17"/>
  <c r="M343" i="17"/>
  <c r="N342" i="17"/>
  <c r="M342" i="17"/>
  <c r="N341" i="17"/>
  <c r="M341" i="17"/>
  <c r="N340" i="17"/>
  <c r="M340" i="17"/>
  <c r="N339" i="17"/>
  <c r="M339" i="17"/>
  <c r="N338" i="17"/>
  <c r="M338" i="17"/>
  <c r="N337" i="17"/>
  <c r="M337" i="17"/>
  <c r="N336" i="17"/>
  <c r="M336" i="17"/>
  <c r="N335" i="17"/>
  <c r="M335" i="17"/>
  <c r="N334" i="17"/>
  <c r="M334" i="17"/>
  <c r="N333" i="17"/>
  <c r="M333" i="17"/>
  <c r="N332" i="17"/>
  <c r="M332" i="17"/>
  <c r="N327" i="17"/>
  <c r="M327" i="17"/>
  <c r="N326" i="17"/>
  <c r="M326" i="17"/>
  <c r="N325" i="17"/>
  <c r="M325" i="17"/>
  <c r="N324" i="17"/>
  <c r="M324" i="17"/>
  <c r="N323" i="17"/>
  <c r="M323" i="17"/>
  <c r="N322" i="17"/>
  <c r="M322" i="17"/>
  <c r="N321" i="17"/>
  <c r="M321" i="17"/>
  <c r="N320" i="17"/>
  <c r="M320" i="17"/>
  <c r="N319" i="17"/>
  <c r="M319" i="17"/>
  <c r="N318" i="17"/>
  <c r="M318" i="17"/>
  <c r="N313" i="17"/>
  <c r="M313" i="17"/>
  <c r="N312" i="17"/>
  <c r="M312" i="17"/>
  <c r="N311" i="17"/>
  <c r="M311" i="17"/>
  <c r="N310" i="17"/>
  <c r="M310" i="17"/>
  <c r="N309" i="17"/>
  <c r="M309" i="17"/>
  <c r="N308" i="17"/>
  <c r="M308" i="17"/>
  <c r="N307" i="17"/>
  <c r="M307" i="17"/>
  <c r="N306" i="17"/>
  <c r="M306" i="17"/>
  <c r="N305" i="17"/>
  <c r="M305" i="17"/>
  <c r="N302" i="17"/>
  <c r="M302" i="17"/>
  <c r="N301" i="17"/>
  <c r="M301" i="17"/>
  <c r="N300" i="17"/>
  <c r="M300" i="17"/>
  <c r="N299" i="17"/>
  <c r="M299" i="17"/>
  <c r="N298" i="17"/>
  <c r="M298" i="17"/>
  <c r="N297" i="17"/>
  <c r="M297" i="17"/>
  <c r="N296" i="17"/>
  <c r="M296" i="17"/>
  <c r="N293" i="17"/>
  <c r="M293" i="17"/>
  <c r="N292" i="17"/>
  <c r="M292" i="17"/>
  <c r="N291" i="17"/>
  <c r="M291" i="17"/>
  <c r="N290" i="17"/>
  <c r="M290" i="17"/>
  <c r="N289" i="17"/>
  <c r="M289" i="17"/>
  <c r="N288" i="17"/>
  <c r="M288" i="17"/>
  <c r="N287" i="17"/>
  <c r="M287" i="17"/>
  <c r="N286" i="17"/>
  <c r="M286" i="17"/>
  <c r="N285" i="17"/>
  <c r="M285" i="17"/>
  <c r="N284" i="17"/>
  <c r="M284" i="17"/>
  <c r="N283" i="17"/>
  <c r="M283" i="17"/>
  <c r="N282" i="17"/>
  <c r="M282" i="17"/>
  <c r="N281" i="17"/>
  <c r="M281" i="17"/>
  <c r="N280" i="17"/>
  <c r="M280" i="17"/>
  <c r="N279" i="17"/>
  <c r="M279" i="17"/>
  <c r="N278" i="17"/>
  <c r="M278" i="17"/>
  <c r="N277" i="17"/>
  <c r="M277" i="17"/>
  <c r="N276" i="17"/>
  <c r="M276" i="17"/>
  <c r="N275" i="17"/>
  <c r="M275" i="17"/>
  <c r="N274" i="17"/>
  <c r="M274" i="17"/>
  <c r="N273" i="17"/>
  <c r="M273" i="17"/>
  <c r="N272" i="17"/>
  <c r="M272" i="17"/>
  <c r="N271" i="17"/>
  <c r="M271" i="17"/>
  <c r="N270" i="17"/>
  <c r="M270" i="17"/>
  <c r="N266" i="17"/>
  <c r="M266" i="17"/>
  <c r="N265" i="17"/>
  <c r="M265" i="17"/>
  <c r="N264" i="17"/>
  <c r="M264" i="17"/>
  <c r="N263" i="17"/>
  <c r="M263" i="17"/>
  <c r="N262" i="17"/>
  <c r="M262" i="17"/>
  <c r="N261" i="17"/>
  <c r="M261" i="17"/>
  <c r="N260" i="17"/>
  <c r="M260" i="17"/>
  <c r="N259" i="17"/>
  <c r="M259" i="17"/>
  <c r="N258" i="17"/>
  <c r="M258" i="17"/>
  <c r="N257" i="17"/>
  <c r="M257" i="17"/>
  <c r="N256" i="17"/>
  <c r="M256" i="17"/>
  <c r="N255" i="17"/>
  <c r="M255" i="17"/>
  <c r="N254" i="17"/>
  <c r="M254" i="17"/>
  <c r="N253" i="17"/>
  <c r="M253" i="17"/>
  <c r="N252" i="17"/>
  <c r="M252" i="17"/>
  <c r="N251" i="17"/>
  <c r="M251" i="17"/>
  <c r="N250" i="17"/>
  <c r="M250" i="17"/>
  <c r="N249" i="17"/>
  <c r="M249" i="17"/>
  <c r="N248" i="17"/>
  <c r="M248" i="17"/>
  <c r="N247" i="17"/>
  <c r="M247" i="17"/>
  <c r="N246" i="17"/>
  <c r="M246" i="17"/>
  <c r="N245" i="17"/>
  <c r="M245" i="17"/>
  <c r="N244" i="17"/>
  <c r="M244" i="17"/>
  <c r="N243" i="17"/>
  <c r="M243" i="17"/>
  <c r="N242" i="17"/>
  <c r="M242" i="17"/>
  <c r="N241" i="17"/>
  <c r="M241" i="17"/>
  <c r="N240" i="17"/>
  <c r="M240" i="17"/>
  <c r="N239" i="17"/>
  <c r="M239" i="17"/>
  <c r="N238" i="17"/>
  <c r="M238" i="17"/>
  <c r="N237" i="17"/>
  <c r="M237" i="17"/>
  <c r="N236" i="17"/>
  <c r="M236" i="17"/>
  <c r="N235" i="17"/>
  <c r="M235" i="17"/>
  <c r="N234" i="17"/>
  <c r="M234" i="17"/>
  <c r="N233" i="17"/>
  <c r="M233" i="17"/>
  <c r="N232" i="17"/>
  <c r="M232" i="17"/>
  <c r="N231" i="17"/>
  <c r="M231" i="17"/>
  <c r="N230" i="17"/>
  <c r="M230" i="17"/>
  <c r="N229" i="17"/>
  <c r="M229" i="17"/>
  <c r="N228" i="17"/>
  <c r="M228" i="17"/>
  <c r="N227" i="17"/>
  <c r="M227" i="17"/>
  <c r="N226" i="17"/>
  <c r="M226" i="17"/>
  <c r="N225" i="17"/>
  <c r="M225" i="17"/>
  <c r="N224" i="17"/>
  <c r="M224" i="17"/>
  <c r="N223" i="17"/>
  <c r="M223" i="17"/>
  <c r="N222" i="17"/>
  <c r="M222" i="17"/>
  <c r="N221" i="17"/>
  <c r="M221" i="17"/>
  <c r="N220" i="17"/>
  <c r="M220" i="17"/>
  <c r="N219" i="17"/>
  <c r="M219" i="17"/>
  <c r="N218" i="17"/>
  <c r="M218" i="17"/>
  <c r="N217" i="17"/>
  <c r="M217" i="17"/>
  <c r="N216" i="17"/>
  <c r="M216" i="17"/>
  <c r="N215" i="17"/>
  <c r="M215" i="17"/>
  <c r="N214" i="17"/>
  <c r="M214" i="17"/>
  <c r="N213" i="17"/>
  <c r="M213" i="17"/>
  <c r="N212" i="17"/>
  <c r="M212" i="17"/>
  <c r="N211" i="17"/>
  <c r="M211" i="17"/>
  <c r="N210" i="17"/>
  <c r="M210" i="17"/>
  <c r="N209" i="17"/>
  <c r="M209" i="17"/>
  <c r="N208" i="17"/>
  <c r="M208" i="17"/>
  <c r="N205" i="17"/>
  <c r="M205" i="17"/>
  <c r="N204" i="17"/>
  <c r="M204" i="17"/>
  <c r="N203" i="17"/>
  <c r="M203" i="17"/>
  <c r="N202" i="17"/>
  <c r="M202" i="17"/>
  <c r="N201" i="17"/>
  <c r="M201" i="17"/>
  <c r="N200" i="17"/>
  <c r="M200" i="17"/>
  <c r="N199" i="17"/>
  <c r="M199" i="17"/>
  <c r="N198" i="17"/>
  <c r="M198" i="17"/>
  <c r="N197" i="17"/>
  <c r="M197" i="17"/>
  <c r="N196" i="17"/>
  <c r="M196" i="17"/>
  <c r="N195" i="17"/>
  <c r="M195" i="17"/>
  <c r="N194" i="17"/>
  <c r="M194" i="17"/>
  <c r="N193" i="17"/>
  <c r="M193" i="17"/>
  <c r="N192" i="17"/>
  <c r="M192" i="17"/>
  <c r="N191" i="17"/>
  <c r="M191" i="17"/>
  <c r="N190" i="17"/>
  <c r="M190" i="17"/>
  <c r="N189" i="17"/>
  <c r="M189" i="17"/>
  <c r="N188" i="17"/>
  <c r="M188" i="17"/>
  <c r="N187" i="17"/>
  <c r="M187" i="17"/>
  <c r="N186" i="17"/>
  <c r="M186" i="17"/>
  <c r="N185" i="17"/>
  <c r="M185" i="17"/>
  <c r="N184" i="17"/>
  <c r="M184" i="17"/>
  <c r="N183" i="17"/>
  <c r="M183" i="17"/>
  <c r="N182" i="17"/>
  <c r="M182" i="17"/>
  <c r="N181" i="17"/>
  <c r="M181" i="17"/>
  <c r="N180" i="17"/>
  <c r="M180" i="17"/>
  <c r="N179" i="17"/>
  <c r="M179" i="17"/>
  <c r="N178" i="17"/>
  <c r="M178" i="17"/>
  <c r="N175" i="17"/>
  <c r="M175" i="17"/>
  <c r="N174" i="17"/>
  <c r="M174" i="17"/>
  <c r="N173" i="17"/>
  <c r="M173" i="17"/>
  <c r="N172" i="17"/>
  <c r="M172" i="17"/>
  <c r="N171" i="17"/>
  <c r="M171" i="17"/>
  <c r="N170" i="17"/>
  <c r="M170" i="17"/>
  <c r="N169" i="17"/>
  <c r="M169" i="17"/>
  <c r="N168" i="17"/>
  <c r="M168" i="17"/>
  <c r="N167" i="17"/>
  <c r="M167" i="17"/>
  <c r="N166" i="17"/>
  <c r="M166" i="17"/>
  <c r="N165" i="17"/>
  <c r="M165" i="17"/>
  <c r="N162" i="17"/>
  <c r="M162" i="17"/>
  <c r="N161" i="17"/>
  <c r="M161" i="17"/>
  <c r="N158" i="17"/>
  <c r="M158" i="17"/>
  <c r="N157" i="17"/>
  <c r="M157" i="17"/>
  <c r="N156" i="17"/>
  <c r="M156" i="17"/>
  <c r="N155" i="17"/>
  <c r="M155" i="17"/>
  <c r="N154" i="17"/>
  <c r="M154" i="17"/>
  <c r="N153" i="17"/>
  <c r="M153" i="17"/>
  <c r="N152" i="17"/>
  <c r="M152" i="17"/>
  <c r="N151" i="17"/>
  <c r="M151" i="17"/>
  <c r="N150" i="17"/>
  <c r="M150" i="17"/>
  <c r="N149" i="17"/>
  <c r="M149" i="17"/>
  <c r="N148" i="17"/>
  <c r="M148" i="17"/>
  <c r="N147" i="17"/>
  <c r="M147" i="17"/>
  <c r="N146" i="17"/>
  <c r="M146" i="17"/>
  <c r="N143" i="17"/>
  <c r="M143" i="17"/>
  <c r="N140" i="17"/>
  <c r="M140" i="17"/>
  <c r="N139" i="17"/>
  <c r="M139" i="17"/>
  <c r="N138" i="17"/>
  <c r="M138" i="17"/>
  <c r="N137" i="17"/>
  <c r="M137" i="17"/>
  <c r="N136" i="17"/>
  <c r="M136" i="17"/>
  <c r="N133" i="17"/>
  <c r="M133" i="17"/>
  <c r="N132" i="17"/>
  <c r="M132" i="17"/>
  <c r="N127" i="17"/>
  <c r="M127" i="17"/>
  <c r="N126" i="17"/>
  <c r="M126" i="17"/>
  <c r="N125" i="17"/>
  <c r="M125" i="17"/>
  <c r="N124" i="17"/>
  <c r="M124" i="17"/>
  <c r="N123" i="17"/>
  <c r="M123" i="17"/>
  <c r="N116" i="17"/>
  <c r="M116" i="17"/>
  <c r="N115" i="17"/>
  <c r="M115" i="17"/>
  <c r="N114" i="17"/>
  <c r="M114" i="17"/>
  <c r="N113" i="17"/>
  <c r="M113" i="17"/>
  <c r="N112" i="17"/>
  <c r="M112" i="17"/>
  <c r="N111" i="17"/>
  <c r="M111" i="17"/>
  <c r="N110" i="17"/>
  <c r="M110" i="17"/>
  <c r="N109" i="17"/>
  <c r="M109" i="17"/>
  <c r="N106" i="17"/>
  <c r="M106" i="17"/>
  <c r="N105" i="17"/>
  <c r="M105" i="17"/>
  <c r="N104" i="17"/>
  <c r="M104" i="17"/>
  <c r="N103" i="17"/>
  <c r="M103" i="17"/>
  <c r="N102" i="17"/>
  <c r="M102" i="17"/>
  <c r="N101" i="17"/>
  <c r="M101" i="17"/>
  <c r="N100" i="17"/>
  <c r="M100" i="17"/>
  <c r="N99" i="17"/>
  <c r="M99" i="17"/>
  <c r="N98" i="17"/>
  <c r="M98" i="17"/>
  <c r="N97" i="17"/>
  <c r="M97" i="17"/>
  <c r="N96" i="17"/>
  <c r="M96" i="17"/>
  <c r="N95" i="17"/>
  <c r="M95" i="17"/>
  <c r="N94" i="17"/>
  <c r="M94" i="17"/>
  <c r="N93" i="17"/>
  <c r="M93" i="17"/>
  <c r="N92" i="17"/>
  <c r="M92" i="17"/>
  <c r="N87" i="17"/>
  <c r="M87" i="17"/>
  <c r="N86" i="17"/>
  <c r="M86" i="17"/>
  <c r="N85" i="17"/>
  <c r="M85" i="17"/>
  <c r="N84" i="17"/>
  <c r="M84" i="17"/>
  <c r="N83" i="17"/>
  <c r="M83" i="17"/>
  <c r="N82" i="17"/>
  <c r="M82" i="17"/>
  <c r="N81" i="17"/>
  <c r="M81" i="17"/>
  <c r="N80" i="17"/>
  <c r="M80" i="17"/>
  <c r="N75" i="17"/>
  <c r="M75" i="17"/>
  <c r="N74" i="17"/>
  <c r="M74" i="17"/>
  <c r="N73" i="17"/>
  <c r="M73" i="17"/>
  <c r="N72" i="17"/>
  <c r="M72" i="17"/>
  <c r="N71" i="17"/>
  <c r="M71" i="17"/>
  <c r="N70" i="17"/>
  <c r="M70" i="17"/>
  <c r="N69" i="17"/>
  <c r="M69" i="17"/>
  <c r="N68" i="17"/>
  <c r="M68" i="17"/>
  <c r="N65" i="17"/>
  <c r="M65" i="17"/>
  <c r="N64" i="17"/>
  <c r="M64" i="17"/>
  <c r="N63" i="17"/>
  <c r="M63" i="17"/>
  <c r="N62" i="17"/>
  <c r="M62" i="17"/>
  <c r="N61" i="17"/>
  <c r="M61" i="17"/>
  <c r="N60" i="17"/>
  <c r="M60" i="17"/>
  <c r="N59" i="17"/>
  <c r="M59" i="17"/>
  <c r="N58" i="17"/>
  <c r="M58" i="17"/>
  <c r="N57" i="17"/>
  <c r="M57" i="17"/>
  <c r="N54" i="17"/>
  <c r="M54" i="17"/>
  <c r="N53" i="17"/>
  <c r="M53" i="17"/>
  <c r="N52" i="17"/>
  <c r="M52" i="17"/>
  <c r="N51" i="17"/>
  <c r="M51" i="17"/>
  <c r="N50" i="17"/>
  <c r="M50" i="17"/>
  <c r="N49" i="17"/>
  <c r="M49" i="17"/>
  <c r="N48" i="17"/>
  <c r="M48" i="17"/>
  <c r="N47" i="17"/>
  <c r="M47" i="17"/>
  <c r="N46" i="17"/>
  <c r="M46" i="17"/>
  <c r="N45" i="17"/>
  <c r="M45" i="17"/>
  <c r="N44" i="17"/>
  <c r="M44" i="17"/>
  <c r="N43" i="17"/>
  <c r="M43" i="17"/>
  <c r="N42" i="17"/>
  <c r="M42" i="17"/>
  <c r="N41" i="17"/>
  <c r="M41" i="17"/>
  <c r="N40" i="17"/>
  <c r="M40" i="17"/>
  <c r="N39" i="17"/>
  <c r="M39" i="17"/>
  <c r="N38" i="17"/>
  <c r="M38" i="17"/>
  <c r="N37" i="17"/>
  <c r="M37" i="17"/>
  <c r="N36" i="17"/>
  <c r="M36" i="17"/>
  <c r="N35" i="17"/>
  <c r="M35" i="17"/>
  <c r="N34" i="17"/>
  <c r="M34" i="17"/>
  <c r="N33" i="17"/>
  <c r="M33" i="17"/>
  <c r="N32" i="17"/>
  <c r="M32" i="17"/>
  <c r="N31" i="17"/>
  <c r="M31" i="17"/>
  <c r="N30" i="17"/>
  <c r="M30" i="17"/>
  <c r="N29" i="17"/>
  <c r="M29" i="17"/>
  <c r="N28" i="17"/>
  <c r="M28" i="17"/>
  <c r="N27" i="17"/>
  <c r="M27" i="17"/>
  <c r="N26" i="17"/>
  <c r="M26" i="17"/>
  <c r="N25" i="17"/>
  <c r="M25" i="17"/>
  <c r="N22" i="17"/>
  <c r="M22" i="17"/>
  <c r="N21" i="17"/>
  <c r="M21" i="17"/>
  <c r="N20" i="17"/>
  <c r="M20" i="17"/>
  <c r="N19" i="17"/>
  <c r="M19" i="17"/>
  <c r="N18" i="17"/>
  <c r="M18" i="17"/>
  <c r="N17" i="17"/>
  <c r="M17" i="17"/>
  <c r="N16" i="17"/>
  <c r="M16" i="17"/>
  <c r="N15" i="17"/>
  <c r="M15" i="17"/>
  <c r="N14" i="17"/>
  <c r="M14" i="17"/>
  <c r="N13" i="17"/>
  <c r="M13" i="17"/>
  <c r="N12" i="17"/>
  <c r="M12" i="17"/>
  <c r="N11" i="17"/>
  <c r="M11" i="17"/>
  <c r="N10" i="17"/>
  <c r="M10" i="17"/>
  <c r="N9" i="17"/>
  <c r="M9" i="17"/>
  <c r="N8" i="17"/>
  <c r="M8" i="17"/>
  <c r="N7" i="17"/>
  <c r="M7" i="17"/>
  <c r="N6" i="17"/>
  <c r="M6" i="17"/>
  <c r="N5" i="17"/>
  <c r="M5" i="17"/>
  <c r="N4" i="17"/>
  <c r="M4" i="17"/>
  <c r="N3" i="17"/>
  <c r="M3" i="17"/>
  <c r="N2" i="17"/>
  <c r="M2" i="17"/>
</calcChain>
</file>

<file path=xl/sharedStrings.xml><?xml version="1.0" encoding="utf-8"?>
<sst xmlns="http://schemas.openxmlformats.org/spreadsheetml/2006/main" count="54102" uniqueCount="9319">
  <si>
    <t>Element Name</t>
  </si>
  <si>
    <t>Definition</t>
  </si>
  <si>
    <t>Option Set</t>
  </si>
  <si>
    <t>Domain -&gt; Entity -&gt; Category</t>
  </si>
  <si>
    <t>Status</t>
  </si>
  <si>
    <t>Format</t>
  </si>
  <si>
    <t>Change Notes</t>
  </si>
  <si>
    <t>Usage Notes</t>
  </si>
  <si>
    <t>Global ID</t>
  </si>
  <si>
    <t>Alternate Name</t>
  </si>
  <si>
    <t>Technical Name</t>
  </si>
  <si>
    <t>Use Case/Connection</t>
  </si>
  <si>
    <t>URL</t>
  </si>
  <si>
    <t>Submit a Comment</t>
  </si>
  <si>
    <t>Domain</t>
  </si>
  <si>
    <t>Entity</t>
  </si>
  <si>
    <t>Category</t>
  </si>
  <si>
    <t>New Association</t>
  </si>
  <si>
    <t>Use Case / Connection</t>
  </si>
  <si>
    <t>Element Change Status</t>
  </si>
  <si>
    <t>Submit Comment</t>
  </si>
  <si>
    <t>Data Model ID</t>
  </si>
  <si>
    <t>Ability Grouping Status</t>
  </si>
  <si>
    <t>An indication of whether the school has students who are ability grouped for classroom instruction in mathematics or English/reading/language arts.</t>
  </si>
  <si>
    <t xml:space="preserve">Yes
No
</t>
  </si>
  <si>
    <t>Adult Education -&gt; Course Section
Career and Technical -&gt; Course Section
K12 -&gt; Course Section
K12 -&gt; K12 Course
K12 -&gt; K12 School -&gt; Institution Characteristics</t>
  </si>
  <si>
    <t>000328</t>
  </si>
  <si>
    <t>AbilityGroupingStatus</t>
  </si>
  <si>
    <t>K-12 -&gt; Civil Rights Data Collection</t>
  </si>
  <si>
    <t>Absent Attendance Category</t>
  </si>
  <si>
    <t>The category that describes how the student spends his or her time not physically present on school grounds and not participating in instruction or instruction-related activities at an approved off-grounds location.</t>
  </si>
  <si>
    <r>
      <t>13297</t>
    </r>
    <r>
      <rPr>
        <sz val="10"/>
        <color theme="1"/>
        <rFont val="Calibri"/>
        <family val="2"/>
        <scheme val="minor"/>
      </rPr>
      <t xml:space="preserve"> - Absent - Disciplinary action, not receiving instruction
</t>
    </r>
    <r>
      <rPr>
        <b/>
        <sz val="10"/>
        <color theme="1"/>
        <rFont val="Calibri"/>
        <family val="2"/>
        <scheme val="minor"/>
      </rPr>
      <t>13299</t>
    </r>
    <r>
      <rPr>
        <sz val="10"/>
        <color theme="1"/>
        <rFont val="Calibri"/>
        <family val="2"/>
        <scheme val="minor"/>
      </rPr>
      <t xml:space="preserve"> - Absent - Family activity
</t>
    </r>
    <r>
      <rPr>
        <b/>
        <sz val="10"/>
        <color theme="1"/>
        <rFont val="Calibri"/>
        <family val="2"/>
        <scheme val="minor"/>
      </rPr>
      <t>13296</t>
    </r>
    <r>
      <rPr>
        <sz val="10"/>
        <color theme="1"/>
        <rFont val="Calibri"/>
        <family val="2"/>
        <scheme val="minor"/>
      </rPr>
      <t xml:space="preserve"> - Absent - Family emergency or bereavement
</t>
    </r>
    <r>
      <rPr>
        <b/>
        <sz val="10"/>
        <color theme="1"/>
        <rFont val="Calibri"/>
        <family val="2"/>
        <scheme val="minor"/>
      </rPr>
      <t>13295</t>
    </r>
    <r>
      <rPr>
        <sz val="10"/>
        <color theme="1"/>
        <rFont val="Calibri"/>
        <family val="2"/>
        <scheme val="minor"/>
      </rPr>
      <t xml:space="preserve"> - Absent - Illness, injury, health treatment, or examination
</t>
    </r>
    <r>
      <rPr>
        <b/>
        <sz val="10"/>
        <color theme="1"/>
        <rFont val="Calibri"/>
        <family val="2"/>
        <scheme val="minor"/>
      </rPr>
      <t>13298</t>
    </r>
    <r>
      <rPr>
        <sz val="10"/>
        <color theme="1"/>
        <rFont val="Calibri"/>
        <family val="2"/>
        <scheme val="minor"/>
      </rPr>
      <t xml:space="preserve"> - Absent - Legal or judicial requirement
</t>
    </r>
    <r>
      <rPr>
        <b/>
        <sz val="10"/>
        <color theme="1"/>
        <rFont val="Calibri"/>
        <family val="2"/>
        <scheme val="minor"/>
      </rPr>
      <t>13293</t>
    </r>
    <r>
      <rPr>
        <sz val="10"/>
        <color theme="1"/>
        <rFont val="Calibri"/>
        <family val="2"/>
        <scheme val="minor"/>
      </rPr>
      <t xml:space="preserve"> - Absent - Noninstructional activity recognized by state, district, or school
</t>
    </r>
    <r>
      <rPr>
        <b/>
        <sz val="10"/>
        <color theme="1"/>
        <rFont val="Calibri"/>
        <family val="2"/>
        <scheme val="minor"/>
      </rPr>
      <t>13294</t>
    </r>
    <r>
      <rPr>
        <sz val="10"/>
        <color theme="1"/>
        <rFont val="Calibri"/>
        <family val="2"/>
        <scheme val="minor"/>
      </rPr>
      <t xml:space="preserve"> - Absent - Religious observation
</t>
    </r>
    <r>
      <rPr>
        <b/>
        <sz val="10"/>
        <color theme="1"/>
        <rFont val="Calibri"/>
        <family val="2"/>
        <scheme val="minor"/>
      </rPr>
      <t>13303</t>
    </r>
    <r>
      <rPr>
        <sz val="10"/>
        <color theme="1"/>
        <rFont val="Calibri"/>
        <family val="2"/>
        <scheme val="minor"/>
      </rPr>
      <t xml:space="preserve"> - Absent - Situation unknown
</t>
    </r>
    <r>
      <rPr>
        <b/>
        <sz val="10"/>
        <color theme="1"/>
        <rFont val="Calibri"/>
        <family val="2"/>
        <scheme val="minor"/>
      </rPr>
      <t>13300</t>
    </r>
    <r>
      <rPr>
        <sz val="10"/>
        <color theme="1"/>
        <rFont val="Calibri"/>
        <family val="2"/>
        <scheme val="minor"/>
      </rPr>
      <t xml:space="preserve"> - Absent - Student employment
</t>
    </r>
    <r>
      <rPr>
        <b/>
        <sz val="10"/>
        <color theme="1"/>
        <rFont val="Calibri"/>
        <family val="2"/>
        <scheme val="minor"/>
      </rPr>
      <t>13302</t>
    </r>
    <r>
      <rPr>
        <sz val="10"/>
        <color theme="1"/>
        <rFont val="Calibri"/>
        <family val="2"/>
        <scheme val="minor"/>
      </rPr>
      <t xml:space="preserve"> - Absent - Student is skipping school
</t>
    </r>
    <r>
      <rPr>
        <b/>
        <sz val="10"/>
        <color theme="1"/>
        <rFont val="Calibri"/>
        <family val="2"/>
        <scheme val="minor"/>
      </rPr>
      <t>13301</t>
    </r>
    <r>
      <rPr>
        <sz val="10"/>
        <color theme="1"/>
        <rFont val="Calibri"/>
        <family val="2"/>
        <scheme val="minor"/>
      </rPr>
      <t xml:space="preserve"> - Absent - Transportation not available
</t>
    </r>
  </si>
  <si>
    <t>K12 -&gt; K12 Student -&gt; Attendance</t>
  </si>
  <si>
    <t>000599</t>
  </si>
  <si>
    <t>AbsentAttendanceCategory</t>
  </si>
  <si>
    <t>Academic Award Date</t>
  </si>
  <si>
    <t>The year, month and day or year and month on which the academic award was conferred.</t>
  </si>
  <si>
    <t>None</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</si>
  <si>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</si>
  <si>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YYYY-MM-DD or YYYY-MM</t>
  </si>
  <si>
    <t>000001</t>
  </si>
  <si>
    <t>AcademicAwardDate</t>
  </si>
  <si>
    <t>Postsecondary Education -&gt; Complete College America
Postsecondary Education -&gt; IPEDS
Postsecondary Education -&gt; Transition</t>
  </si>
  <si>
    <t>Academic Award Level Conferred</t>
  </si>
  <si>
    <t>An indicator of the category of award conferred by a college, university, or other postsecondary education institution as official recognition for the successful completion of a program of study.</t>
  </si>
  <si>
    <r>
      <t>01</t>
    </r>
    <r>
      <rPr>
        <sz val="10"/>
        <color theme="1"/>
        <rFont val="Calibri"/>
        <family val="2"/>
        <scheme val="minor"/>
      </rPr>
      <t xml:space="preserve"> - Postsecondary award, certificate, or diploma of less than 1 academic year
</t>
    </r>
    <r>
      <rPr>
        <b/>
        <sz val="10"/>
        <color theme="1"/>
        <rFont val="Calibri"/>
        <family val="2"/>
        <scheme val="minor"/>
      </rPr>
      <t>02</t>
    </r>
    <r>
      <rPr>
        <sz val="10"/>
        <color theme="1"/>
        <rFont val="Calibri"/>
        <family val="2"/>
        <scheme val="minor"/>
      </rPr>
      <t xml:space="preserve"> - Postsecondary award, certificate, or diploma of at least 1 but less than 2 academic years
</t>
    </r>
    <r>
      <rPr>
        <b/>
        <sz val="10"/>
        <color theme="1"/>
        <rFont val="Calibri"/>
        <family val="2"/>
        <scheme val="minor"/>
      </rPr>
      <t>03</t>
    </r>
    <r>
      <rPr>
        <sz val="10"/>
        <color theme="1"/>
        <rFont val="Calibri"/>
        <family val="2"/>
        <scheme val="minor"/>
      </rPr>
      <t xml:space="preserve"> - Associate's Degree
</t>
    </r>
    <r>
      <rPr>
        <b/>
        <sz val="10"/>
        <color theme="1"/>
        <rFont val="Calibri"/>
        <family val="2"/>
        <scheme val="minor"/>
      </rPr>
      <t>04</t>
    </r>
    <r>
      <rPr>
        <sz val="10"/>
        <color theme="1"/>
        <rFont val="Calibri"/>
        <family val="2"/>
        <scheme val="minor"/>
      </rPr>
      <t xml:space="preserve"> - Postsecondary award, certificate, or diploma of at least 2 but less than 4 academic years
</t>
    </r>
    <r>
      <rPr>
        <b/>
        <sz val="10"/>
        <color theme="1"/>
        <rFont val="Calibri"/>
        <family val="2"/>
        <scheme val="minor"/>
      </rPr>
      <t>05</t>
    </r>
    <r>
      <rPr>
        <sz val="10"/>
        <color theme="1"/>
        <rFont val="Calibri"/>
        <family val="2"/>
        <scheme val="minor"/>
      </rPr>
      <t xml:space="preserve"> - Bachelor's Degree
</t>
    </r>
    <r>
      <rPr>
        <b/>
        <sz val="10"/>
        <color theme="1"/>
        <rFont val="Calibri"/>
        <family val="2"/>
        <scheme val="minor"/>
      </rPr>
      <t>06</t>
    </r>
    <r>
      <rPr>
        <sz val="10"/>
        <color theme="1"/>
        <rFont val="Calibri"/>
        <family val="2"/>
        <scheme val="minor"/>
      </rPr>
      <t xml:space="preserve"> - Postbaccalaureate Certificate
</t>
    </r>
    <r>
      <rPr>
        <b/>
        <sz val="10"/>
        <color theme="1"/>
        <rFont val="Calibri"/>
        <family val="2"/>
        <scheme val="minor"/>
      </rPr>
      <t>07</t>
    </r>
    <r>
      <rPr>
        <sz val="10"/>
        <color theme="1"/>
        <rFont val="Calibri"/>
        <family val="2"/>
        <scheme val="minor"/>
      </rPr>
      <t xml:space="preserve"> - Master's Degree
</t>
    </r>
    <r>
      <rPr>
        <b/>
        <sz val="10"/>
        <color theme="1"/>
        <rFont val="Calibri"/>
        <family val="2"/>
        <scheme val="minor"/>
      </rPr>
      <t>08</t>
    </r>
    <r>
      <rPr>
        <sz val="10"/>
        <color theme="1"/>
        <rFont val="Calibri"/>
        <family val="2"/>
        <scheme val="minor"/>
      </rPr>
      <t xml:space="preserve"> - Post-Master's Certificate
</t>
    </r>
    <r>
      <rPr>
        <b/>
        <sz val="10"/>
        <color theme="1"/>
        <rFont val="Calibri"/>
        <family val="2"/>
        <scheme val="minor"/>
      </rPr>
      <t>17</t>
    </r>
    <r>
      <rPr>
        <sz val="10"/>
        <color theme="1"/>
        <rFont val="Calibri"/>
        <family val="2"/>
        <scheme val="minor"/>
      </rPr>
      <t xml:space="preserve"> - Doctor's Degree-Research/Scholarship
</t>
    </r>
    <r>
      <rPr>
        <b/>
        <sz val="10"/>
        <color theme="1"/>
        <rFont val="Calibri"/>
        <family val="2"/>
        <scheme val="minor"/>
      </rPr>
      <t>18</t>
    </r>
    <r>
      <rPr>
        <sz val="10"/>
        <color theme="1"/>
        <rFont val="Calibri"/>
        <family val="2"/>
        <scheme val="minor"/>
      </rPr>
      <t xml:space="preserve"> - Doctor's Degree-Professional Practice
</t>
    </r>
    <r>
      <rPr>
        <b/>
        <sz val="10"/>
        <color theme="1"/>
        <rFont val="Calibri"/>
        <family val="2"/>
        <scheme val="minor"/>
      </rPr>
      <t>19</t>
    </r>
    <r>
      <rPr>
        <sz val="10"/>
        <color theme="1"/>
        <rFont val="Calibri"/>
        <family val="2"/>
        <scheme val="minor"/>
      </rPr>
      <t xml:space="preserve"> - Doctor's Degree-Other
</t>
    </r>
  </si>
  <si>
    <t>000002</t>
  </si>
  <si>
    <t>AcademicAwardLevelConferred</t>
  </si>
  <si>
    <t>K-12 -&gt; High School Feedback Report
Postsecondary Education -&gt; Complete College America
Postsecondary Education -&gt; IPEDS
Postsecondary Education -&gt; Transition</t>
  </si>
  <si>
    <t>Academic Award Prerequisite Type</t>
  </si>
  <si>
    <t>Prerequisite conditions for earning an academic award.</t>
  </si>
  <si>
    <r>
      <t>Achievement</t>
    </r>
    <r>
      <rPr>
        <sz val="10"/>
        <color theme="1"/>
        <rFont val="Calibri"/>
        <family val="2"/>
        <scheme val="minor"/>
      </rPr>
      <t xml:space="preserve"> - Achievement
</t>
    </r>
    <r>
      <rPr>
        <b/>
        <sz val="10"/>
        <color theme="1"/>
        <rFont val="Calibri"/>
        <family val="2"/>
        <scheme val="minor"/>
      </rPr>
      <t>Experience</t>
    </r>
    <r>
      <rPr>
        <sz val="10"/>
        <color theme="1"/>
        <rFont val="Calibri"/>
        <family val="2"/>
        <scheme val="minor"/>
      </rPr>
      <t xml:space="preserve"> - Experience
</t>
    </r>
    <r>
      <rPr>
        <b/>
        <sz val="10"/>
        <color theme="1"/>
        <rFont val="Calibri"/>
        <family val="2"/>
        <scheme val="minor"/>
      </rPr>
      <t>Status</t>
    </r>
    <r>
      <rPr>
        <sz val="10"/>
        <color theme="1"/>
        <rFont val="Calibri"/>
        <family val="2"/>
        <scheme val="minor"/>
      </rPr>
      <t xml:space="preserve"> - Status
</t>
    </r>
    <r>
      <rPr>
        <b/>
        <sz val="10"/>
        <color theme="1"/>
        <rFont val="Calibri"/>
        <family val="2"/>
        <scheme val="minor"/>
      </rPr>
      <t>Score</t>
    </r>
    <r>
      <rPr>
        <sz val="10"/>
        <color theme="1"/>
        <rFont val="Calibri"/>
        <family val="2"/>
        <scheme val="minor"/>
      </rPr>
      <t xml:space="preserve"> - Score
</t>
    </r>
    <r>
      <rPr>
        <b/>
        <sz val="10"/>
        <color theme="1"/>
        <rFont val="Calibri"/>
        <family val="2"/>
        <scheme val="minor"/>
      </rPr>
      <t>Course</t>
    </r>
    <r>
      <rPr>
        <sz val="10"/>
        <color theme="1"/>
        <rFont val="Calibri"/>
        <family val="2"/>
        <scheme val="minor"/>
      </rPr>
      <t xml:space="preserve"> - Course
</t>
    </r>
  </si>
  <si>
    <t>Postsecondary -&gt; PS Student -&gt; Academic Record -&gt; Academic Award
Postsecondary -&gt; PS Student -&gt; Institution Enrollment -&gt; Prior Academic Award</t>
  </si>
  <si>
    <t>001666</t>
  </si>
  <si>
    <t>AcademicAwardPrerequisiteType</t>
  </si>
  <si>
    <t>Academic Award Requirements URL</t>
  </si>
  <si>
    <t>A URL to a page that describes the requirements for the credential.</t>
  </si>
  <si>
    <t>Alphanumeric - 512 characters maximum</t>
  </si>
  <si>
    <t>001665</t>
  </si>
  <si>
    <t>AcademicAwardRequirementsURL</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</si>
  <si>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</si>
  <si>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</si>
  <si>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</si>
  <si>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</si>
  <si>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</si>
  <si>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</si>
  <si>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</si>
  <si>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</si>
  <si>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r>
      <t>01985</t>
    </r>
    <r>
      <rPr>
        <sz val="10"/>
        <color theme="1"/>
        <rFont val="Calibri"/>
        <family val="2"/>
        <scheme val="minor"/>
      </rPr>
      <t xml:space="preserve"> - Honor roll
</t>
    </r>
    <r>
      <rPr>
        <b/>
        <sz val="10"/>
        <color theme="1"/>
        <rFont val="Calibri"/>
        <family val="2"/>
        <scheme val="minor"/>
      </rPr>
      <t>01986</t>
    </r>
    <r>
      <rPr>
        <sz val="10"/>
        <color theme="1"/>
        <rFont val="Calibri"/>
        <family val="2"/>
        <scheme val="minor"/>
      </rPr>
      <t xml:space="preserve"> - Honor society
</t>
    </r>
    <r>
      <rPr>
        <b/>
        <sz val="10"/>
        <color theme="1"/>
        <rFont val="Calibri"/>
        <family val="2"/>
        <scheme val="minor"/>
      </rPr>
      <t>01987</t>
    </r>
    <r>
      <rPr>
        <sz val="10"/>
        <color theme="1"/>
        <rFont val="Calibri"/>
        <family val="2"/>
        <scheme val="minor"/>
      </rPr>
      <t xml:space="preserve"> - Honorable mention
</t>
    </r>
    <r>
      <rPr>
        <b/>
        <sz val="10"/>
        <color theme="1"/>
        <rFont val="Calibri"/>
        <family val="2"/>
        <scheme val="minor"/>
      </rPr>
      <t>01988</t>
    </r>
    <r>
      <rPr>
        <sz val="10"/>
        <color theme="1"/>
        <rFont val="Calibri"/>
        <family val="2"/>
        <scheme val="minor"/>
      </rPr>
      <t xml:space="preserve"> - Honors program
</t>
    </r>
    <r>
      <rPr>
        <b/>
        <sz val="10"/>
        <color theme="1"/>
        <rFont val="Calibri"/>
        <family val="2"/>
        <scheme val="minor"/>
      </rPr>
      <t>73064</t>
    </r>
    <r>
      <rPr>
        <sz val="10"/>
        <color theme="1"/>
        <rFont val="Calibri"/>
        <family val="2"/>
        <scheme val="minor"/>
      </rPr>
      <t xml:space="preserve"> - National Technical Education Honor Society
</t>
    </r>
    <r>
      <rPr>
        <b/>
        <sz val="10"/>
        <color theme="1"/>
        <rFont val="Calibri"/>
        <family val="2"/>
        <scheme val="minor"/>
      </rPr>
      <t>01989</t>
    </r>
    <r>
      <rPr>
        <sz val="10"/>
        <color theme="1"/>
        <rFont val="Calibri"/>
        <family val="2"/>
        <scheme val="minor"/>
      </rPr>
      <t xml:space="preserve"> - Prize awards
</t>
    </r>
    <r>
      <rPr>
        <b/>
        <sz val="10"/>
        <color theme="1"/>
        <rFont val="Calibri"/>
        <family val="2"/>
        <scheme val="minor"/>
      </rPr>
      <t>01991</t>
    </r>
    <r>
      <rPr>
        <sz val="10"/>
        <color theme="1"/>
        <rFont val="Calibri"/>
        <family val="2"/>
        <scheme val="minor"/>
      </rPr>
      <t xml:space="preserve"> - Scholarships
</t>
    </r>
    <r>
      <rPr>
        <b/>
        <sz val="10"/>
        <color theme="1"/>
        <rFont val="Calibri"/>
        <family val="2"/>
        <scheme val="minor"/>
      </rPr>
      <t>00738</t>
    </r>
    <r>
      <rPr>
        <sz val="10"/>
        <color theme="1"/>
        <rFont val="Calibri"/>
        <family val="2"/>
        <scheme val="minor"/>
      </rPr>
      <t xml:space="preserve"> - Awarding of units of value
</t>
    </r>
    <r>
      <rPr>
        <b/>
        <sz val="10"/>
        <color theme="1"/>
        <rFont val="Calibri"/>
        <family val="2"/>
        <scheme val="minor"/>
      </rPr>
      <t>00740</t>
    </r>
    <r>
      <rPr>
        <sz val="10"/>
        <color theme="1"/>
        <rFont val="Calibri"/>
        <family val="2"/>
        <scheme val="minor"/>
      </rPr>
      <t xml:space="preserve"> - Citizenship award/recognition
</t>
    </r>
    <r>
      <rPr>
        <b/>
        <sz val="10"/>
        <color theme="1"/>
        <rFont val="Calibri"/>
        <family val="2"/>
        <scheme val="minor"/>
      </rPr>
      <t>00741</t>
    </r>
    <r>
      <rPr>
        <sz val="10"/>
        <color theme="1"/>
        <rFont val="Calibri"/>
        <family val="2"/>
        <scheme val="minor"/>
      </rPr>
      <t xml:space="preserve"> - Completion of requirement, but no units of value awarded
</t>
    </r>
    <r>
      <rPr>
        <b/>
        <sz val="10"/>
        <color theme="1"/>
        <rFont val="Calibri"/>
        <family val="2"/>
        <scheme val="minor"/>
      </rPr>
      <t>08692</t>
    </r>
    <r>
      <rPr>
        <sz val="10"/>
        <color theme="1"/>
        <rFont val="Calibri"/>
        <family val="2"/>
        <scheme val="minor"/>
      </rPr>
      <t xml:space="preserve"> - Attendance award
</t>
    </r>
    <r>
      <rPr>
        <b/>
        <sz val="10"/>
        <color theme="1"/>
        <rFont val="Calibri"/>
        <family val="2"/>
        <scheme val="minor"/>
      </rPr>
      <t>00742</t>
    </r>
    <r>
      <rPr>
        <sz val="10"/>
        <color theme="1"/>
        <rFont val="Calibri"/>
        <family val="2"/>
        <scheme val="minor"/>
      </rPr>
      <t xml:space="preserve"> - Certificate
</t>
    </r>
    <r>
      <rPr>
        <b/>
        <sz val="10"/>
        <color theme="1"/>
        <rFont val="Calibri"/>
        <family val="2"/>
        <scheme val="minor"/>
      </rPr>
      <t>02047</t>
    </r>
    <r>
      <rPr>
        <sz val="10"/>
        <color theme="1"/>
        <rFont val="Calibri"/>
        <family val="2"/>
        <scheme val="minor"/>
      </rPr>
      <t xml:space="preserve"> - Honor award
</t>
    </r>
    <r>
      <rPr>
        <b/>
        <sz val="10"/>
        <color theme="1"/>
        <rFont val="Calibri"/>
        <family val="2"/>
        <scheme val="minor"/>
      </rPr>
      <t>00744</t>
    </r>
    <r>
      <rPr>
        <sz val="10"/>
        <color theme="1"/>
        <rFont val="Calibri"/>
        <family val="2"/>
        <scheme val="minor"/>
      </rPr>
      <t xml:space="preserve"> - Letter of student commendation
</t>
    </r>
    <r>
      <rPr>
        <b/>
        <sz val="10"/>
        <color theme="1"/>
        <rFont val="Calibri"/>
        <family val="2"/>
        <scheme val="minor"/>
      </rPr>
      <t>00745</t>
    </r>
    <r>
      <rPr>
        <sz val="10"/>
        <color theme="1"/>
        <rFont val="Calibri"/>
        <family val="2"/>
        <scheme val="minor"/>
      </rPr>
      <t xml:space="preserve"> - Medals
</t>
    </r>
    <r>
      <rPr>
        <b/>
        <sz val="10"/>
        <color theme="1"/>
        <rFont val="Calibri"/>
        <family val="2"/>
        <scheme val="minor"/>
      </rPr>
      <t>08693</t>
    </r>
    <r>
      <rPr>
        <sz val="10"/>
        <color theme="1"/>
        <rFont val="Calibri"/>
        <family val="2"/>
        <scheme val="minor"/>
      </rPr>
      <t xml:space="preserve"> - National Merit scholar
</t>
    </r>
    <r>
      <rPr>
        <b/>
        <sz val="10"/>
        <color theme="1"/>
        <rFont val="Calibri"/>
        <family val="2"/>
        <scheme val="minor"/>
      </rPr>
      <t>00747</t>
    </r>
    <r>
      <rPr>
        <sz val="10"/>
        <color theme="1"/>
        <rFont val="Calibri"/>
        <family val="2"/>
        <scheme val="minor"/>
      </rPr>
      <t xml:space="preserve"> - Points
</t>
    </r>
    <r>
      <rPr>
        <b/>
        <sz val="10"/>
        <color theme="1"/>
        <rFont val="Calibri"/>
        <family val="2"/>
        <scheme val="minor"/>
      </rPr>
      <t>00748</t>
    </r>
    <r>
      <rPr>
        <sz val="10"/>
        <color theme="1"/>
        <rFont val="Calibri"/>
        <family val="2"/>
        <scheme val="minor"/>
      </rPr>
      <t xml:space="preserve"> - Promotion or advancement
</t>
    </r>
    <r>
      <rPr>
        <b/>
        <sz val="10"/>
        <color theme="1"/>
        <rFont val="Calibri"/>
        <family val="2"/>
        <scheme val="minor"/>
      </rPr>
      <t>09999</t>
    </r>
    <r>
      <rPr>
        <sz val="10"/>
        <color theme="1"/>
        <rFont val="Calibri"/>
        <family val="2"/>
        <scheme val="minor"/>
      </rPr>
      <t xml:space="preserve"> - Other
</t>
    </r>
  </si>
  <si>
    <t>K12 -&gt; K12 Student -&gt; Academic Record</t>
  </si>
  <si>
    <t>000004</t>
  </si>
  <si>
    <t>AcademicHonorsType</t>
  </si>
  <si>
    <t>K-12 -&gt; High School Generated Transcript
K-12 -&gt; LEA-to-LEA Student Record Exchange
K-12 -&gt; LEA-to-SEA Student Record Exchange</t>
  </si>
  <si>
    <t>Academic Rank</t>
  </si>
  <si>
    <t>The academic rank of staff whose primary responsibility is instruction, research, and/or public service. Institutions without standard academic ranks should code staff whose primary responsibility is instruction, research, and/or public service as "No Academic Rank."</t>
  </si>
  <si>
    <r>
      <t>Professor</t>
    </r>
    <r>
      <rPr>
        <sz val="10"/>
        <color theme="1"/>
        <rFont val="Calibri"/>
        <family val="2"/>
        <scheme val="minor"/>
      </rPr>
      <t xml:space="preserve"> - Professor
</t>
    </r>
    <r>
      <rPr>
        <b/>
        <sz val="10"/>
        <color theme="1"/>
        <rFont val="Calibri"/>
        <family val="2"/>
        <scheme val="minor"/>
      </rPr>
      <t>AssociateProfessor</t>
    </r>
    <r>
      <rPr>
        <sz val="10"/>
        <color theme="1"/>
        <rFont val="Calibri"/>
        <family val="2"/>
        <scheme val="minor"/>
      </rPr>
      <t xml:space="preserve"> - Associate Professor
</t>
    </r>
    <r>
      <rPr>
        <b/>
        <sz val="10"/>
        <color theme="1"/>
        <rFont val="Calibri"/>
        <family val="2"/>
        <scheme val="minor"/>
      </rPr>
      <t>AssistantProfessor</t>
    </r>
    <r>
      <rPr>
        <sz val="10"/>
        <color theme="1"/>
        <rFont val="Calibri"/>
        <family val="2"/>
        <scheme val="minor"/>
      </rPr>
      <t xml:space="preserve"> - Assistant Professor
</t>
    </r>
    <r>
      <rPr>
        <b/>
        <sz val="10"/>
        <color theme="1"/>
        <rFont val="Calibri"/>
        <family val="2"/>
        <scheme val="minor"/>
      </rPr>
      <t>Instructor</t>
    </r>
    <r>
      <rPr>
        <sz val="10"/>
        <color theme="1"/>
        <rFont val="Calibri"/>
        <family val="2"/>
        <scheme val="minor"/>
      </rPr>
      <t xml:space="preserve"> - Instructor
</t>
    </r>
    <r>
      <rPr>
        <b/>
        <sz val="10"/>
        <color theme="1"/>
        <rFont val="Calibri"/>
        <family val="2"/>
        <scheme val="minor"/>
      </rPr>
      <t>Lecturer</t>
    </r>
    <r>
      <rPr>
        <sz val="10"/>
        <color theme="1"/>
        <rFont val="Calibri"/>
        <family val="2"/>
        <scheme val="minor"/>
      </rPr>
      <t xml:space="preserve"> - Lecturer
</t>
    </r>
    <r>
      <rPr>
        <b/>
        <sz val="10"/>
        <color theme="1"/>
        <rFont val="Calibri"/>
        <family val="2"/>
        <scheme val="minor"/>
      </rPr>
      <t>NoAcademicRank</t>
    </r>
    <r>
      <rPr>
        <sz val="10"/>
        <color theme="1"/>
        <rFont val="Calibri"/>
        <family val="2"/>
        <scheme val="minor"/>
      </rPr>
      <t xml:space="preserve"> - No Academic Rank
</t>
    </r>
  </si>
  <si>
    <t>Postsecondary -&gt; PS Staff -&gt; Employment</t>
  </si>
  <si>
    <t>Element definition and option set defined in IPEDS. Adjunct is not included since it can be determined from a combination of the elements Instructional Staff Faculty Tenure Status and Full-time Status.</t>
  </si>
  <si>
    <t>000740</t>
  </si>
  <si>
    <t>AcademicRank</t>
  </si>
  <si>
    <t>Postsecondary Education -&gt; IPEDS -&gt; HR</t>
  </si>
  <si>
    <t>Academic Term Designator</t>
  </si>
  <si>
    <t>The academic term for which the data apply.</t>
  </si>
  <si>
    <r>
      <t>Fall</t>
    </r>
    <r>
      <rPr>
        <sz val="10"/>
        <color theme="1"/>
        <rFont val="Calibri"/>
        <family val="2"/>
        <scheme val="minor"/>
      </rPr>
      <t xml:space="preserve"> - Fall
</t>
    </r>
    <r>
      <rPr>
        <b/>
        <sz val="10"/>
        <color theme="1"/>
        <rFont val="Calibri"/>
        <family val="2"/>
        <scheme val="minor"/>
      </rPr>
      <t>Winter</t>
    </r>
    <r>
      <rPr>
        <sz val="10"/>
        <color theme="1"/>
        <rFont val="Calibri"/>
        <family val="2"/>
        <scheme val="minor"/>
      </rPr>
      <t xml:space="preserve"> - Winter
</t>
    </r>
    <r>
      <rPr>
        <b/>
        <sz val="10"/>
        <color theme="1"/>
        <rFont val="Calibri"/>
        <family val="2"/>
        <scheme val="minor"/>
      </rPr>
      <t>WinterIntersession</t>
    </r>
    <r>
      <rPr>
        <sz val="10"/>
        <color theme="1"/>
        <rFont val="Calibri"/>
        <family val="2"/>
        <scheme val="minor"/>
      </rPr>
      <t xml:space="preserve"> - Winter Intersession
</t>
    </r>
    <r>
      <rPr>
        <b/>
        <sz val="10"/>
        <color theme="1"/>
        <rFont val="Calibri"/>
        <family val="2"/>
        <scheme val="minor"/>
      </rPr>
      <t>Spring</t>
    </r>
    <r>
      <rPr>
        <sz val="10"/>
        <color theme="1"/>
        <rFont val="Calibri"/>
        <family val="2"/>
        <scheme val="minor"/>
      </rPr>
      <t xml:space="preserve"> - Spring
</t>
    </r>
    <r>
      <rPr>
        <b/>
        <sz val="10"/>
        <color theme="1"/>
        <rFont val="Calibri"/>
        <family val="2"/>
        <scheme val="minor"/>
      </rPr>
      <t>Summer</t>
    </r>
    <r>
      <rPr>
        <sz val="10"/>
        <color theme="1"/>
        <rFont val="Calibri"/>
        <family val="2"/>
        <scheme val="minor"/>
      </rPr>
      <t xml:space="preserve"> - Summer
</t>
    </r>
    <r>
      <rPr>
        <b/>
        <sz val="10"/>
        <color theme="1"/>
        <rFont val="Calibri"/>
        <family val="2"/>
        <scheme val="minor"/>
      </rPr>
      <t>Summer1</t>
    </r>
    <r>
      <rPr>
        <sz val="10"/>
        <color theme="1"/>
        <rFont val="Calibri"/>
        <family val="2"/>
        <scheme val="minor"/>
      </rPr>
      <t xml:space="preserve"> - Summer 1
</t>
    </r>
    <r>
      <rPr>
        <b/>
        <sz val="10"/>
        <color theme="1"/>
        <rFont val="Calibri"/>
        <family val="2"/>
        <scheme val="minor"/>
      </rPr>
      <t>Summer2</t>
    </r>
    <r>
      <rPr>
        <sz val="10"/>
        <color theme="1"/>
        <rFont val="Calibri"/>
        <family val="2"/>
        <scheme val="minor"/>
      </rPr>
      <t xml:space="preserve"> - Summer 2
</t>
    </r>
    <r>
      <rPr>
        <b/>
        <sz val="10"/>
        <color theme="1"/>
        <rFont val="Calibri"/>
        <family val="2"/>
        <scheme val="minor"/>
      </rPr>
      <t>SpringIntersession</t>
    </r>
    <r>
      <rPr>
        <sz val="10"/>
        <color theme="1"/>
        <rFont val="Calibri"/>
        <family val="2"/>
        <scheme val="minor"/>
      </rPr>
      <t xml:space="preserve"> - Spring Intersession
</t>
    </r>
    <r>
      <rPr>
        <b/>
        <sz val="10"/>
        <color theme="1"/>
        <rFont val="Calibri"/>
        <family val="2"/>
        <scheme val="minor"/>
      </rPr>
      <t>Other</t>
    </r>
    <r>
      <rPr>
        <sz val="10"/>
        <color theme="1"/>
        <rFont val="Calibri"/>
        <family val="2"/>
        <scheme val="minor"/>
      </rPr>
      <t xml:space="preserve"> - Other
</t>
    </r>
  </si>
  <si>
    <t>Postsecondary -&gt; PS Student -&gt; Academic Record
Postsecondary -&gt; PS Student -&gt; Term Enrollment</t>
  </si>
  <si>
    <t>Needs to be used in combination with Predominant Calendar System element in order to determine if the option set is referring to a semester, quarter, or some other term length.</t>
  </si>
  <si>
    <t>000727</t>
  </si>
  <si>
    <t>AcademicTermDesignator</t>
  </si>
  <si>
    <t>Postsecondary Education -&gt; Complete College America
Postsecondary Education -&gt; Student Achievement Measure</t>
  </si>
  <si>
    <t>Academic Year Designator</t>
  </si>
  <si>
    <t>The academic year for which the data apply.</t>
  </si>
  <si>
    <t>YYYY-YYYY</t>
  </si>
  <si>
    <t>000726</t>
  </si>
  <si>
    <t>AcademicYearDesignator</t>
  </si>
  <si>
    <t>Accommodation Other Description</t>
  </si>
  <si>
    <t>The description of the accommodation when 'Accommodation Type' is set to 'Other'.</t>
  </si>
  <si>
    <t>Assessments -&gt; Assessment Participant Session
Assessments -&gt; Assessment Registration
K12 -&gt; K12 Student -&gt; Individualized Program -&gt; Accommodation
K12 -&gt; K12 Student -&gt; Individualized Program -&gt; Assessment</t>
  </si>
  <si>
    <t>Alphanumeric - 30 characters maximum</t>
  </si>
  <si>
    <t>001157</t>
  </si>
  <si>
    <t>AccommodationOtherDescription</t>
  </si>
  <si>
    <t>Accommodation Type</t>
  </si>
  <si>
    <t>The specific accommodation necessary for assessment or instruction.</t>
  </si>
  <si>
    <r>
      <t>03513</t>
    </r>
    <r>
      <rPr>
        <sz val="10"/>
        <color theme="1"/>
        <rFont val="Calibri"/>
        <family val="2"/>
        <scheme val="minor"/>
      </rPr>
      <t xml:space="preserve"> - Additional example items/tasks
</t>
    </r>
    <r>
      <rPr>
        <b/>
        <sz val="10"/>
        <color theme="1"/>
        <rFont val="Calibri"/>
        <family val="2"/>
        <scheme val="minor"/>
      </rPr>
      <t>00461</t>
    </r>
    <r>
      <rPr>
        <sz val="10"/>
        <color theme="1"/>
        <rFont val="Calibri"/>
        <family val="2"/>
        <scheme val="minor"/>
      </rPr>
      <t xml:space="preserve"> - Adjustable swivel arm
</t>
    </r>
    <r>
      <rPr>
        <b/>
        <sz val="10"/>
        <color theme="1"/>
        <rFont val="Calibri"/>
        <family val="2"/>
        <scheme val="minor"/>
      </rPr>
      <t>00462</t>
    </r>
    <r>
      <rPr>
        <sz val="10"/>
        <color theme="1"/>
        <rFont val="Calibri"/>
        <family val="2"/>
        <scheme val="minor"/>
      </rPr>
      <t xml:space="preserve"> - Adjustable table height
</t>
    </r>
    <r>
      <rPr>
        <b/>
        <sz val="10"/>
        <color theme="1"/>
        <rFont val="Calibri"/>
        <family val="2"/>
        <scheme val="minor"/>
      </rPr>
      <t>03514</t>
    </r>
    <r>
      <rPr>
        <sz val="10"/>
        <color theme="1"/>
        <rFont val="Calibri"/>
        <family val="2"/>
        <scheme val="minor"/>
      </rPr>
      <t xml:space="preserve"> - Administration in several sessions
</t>
    </r>
    <r>
      <rPr>
        <b/>
        <sz val="10"/>
        <color theme="1"/>
        <rFont val="Calibri"/>
        <family val="2"/>
        <scheme val="minor"/>
      </rPr>
      <t>13803</t>
    </r>
    <r>
      <rPr>
        <sz val="10"/>
        <color theme="1"/>
        <rFont val="Calibri"/>
        <family val="2"/>
        <scheme val="minor"/>
      </rPr>
      <t xml:space="preserve"> - Alternate representation
</t>
    </r>
    <r>
      <rPr>
        <b/>
        <sz val="10"/>
        <color theme="1"/>
        <rFont val="Calibri"/>
        <family val="2"/>
        <scheme val="minor"/>
      </rPr>
      <t>13793</t>
    </r>
    <r>
      <rPr>
        <sz val="10"/>
        <color theme="1"/>
        <rFont val="Calibri"/>
        <family val="2"/>
        <scheme val="minor"/>
      </rPr>
      <t xml:space="preserve"> - Answer masking
</t>
    </r>
    <r>
      <rPr>
        <b/>
        <sz val="10"/>
        <color theme="1"/>
        <rFont val="Calibri"/>
        <family val="2"/>
        <scheme val="minor"/>
      </rPr>
      <t>03515</t>
    </r>
    <r>
      <rPr>
        <sz val="10"/>
        <color theme="1"/>
        <rFont val="Calibri"/>
        <family val="2"/>
        <scheme val="minor"/>
      </rPr>
      <t xml:space="preserve"> - Answers written directly in test booklet
</t>
    </r>
    <r>
      <rPr>
        <b/>
        <sz val="10"/>
        <color theme="1"/>
        <rFont val="Calibri"/>
        <family val="2"/>
        <scheme val="minor"/>
      </rPr>
      <t>03517</t>
    </r>
    <r>
      <rPr>
        <sz val="10"/>
        <color theme="1"/>
        <rFont val="Calibri"/>
        <family val="2"/>
        <scheme val="minor"/>
      </rPr>
      <t xml:space="preserve"> - Arithmetic table (math or science)
</t>
    </r>
    <r>
      <rPr>
        <b/>
        <sz val="10"/>
        <color theme="1"/>
        <rFont val="Calibri"/>
        <family val="2"/>
        <scheme val="minor"/>
      </rPr>
      <t>75005</t>
    </r>
    <r>
      <rPr>
        <sz val="10"/>
        <color theme="1"/>
        <rFont val="Calibri"/>
        <family val="2"/>
        <scheme val="minor"/>
      </rPr>
      <t xml:space="preserve"> - Native language
</t>
    </r>
    <r>
      <rPr>
        <b/>
        <sz val="10"/>
        <color theme="1"/>
        <rFont val="Calibri"/>
        <family val="2"/>
        <scheme val="minor"/>
      </rPr>
      <t>03519</t>
    </r>
    <r>
      <rPr>
        <sz val="10"/>
        <color theme="1"/>
        <rFont val="Calibri"/>
        <family val="2"/>
        <scheme val="minor"/>
      </rPr>
      <t xml:space="preserve"> - Assistive device that does interfere with independent work of the student
</t>
    </r>
    <r>
      <rPr>
        <b/>
        <sz val="10"/>
        <color theme="1"/>
        <rFont val="Calibri"/>
        <family val="2"/>
        <scheme val="minor"/>
      </rPr>
      <t>03518</t>
    </r>
    <r>
      <rPr>
        <sz val="10"/>
        <color theme="1"/>
        <rFont val="Calibri"/>
        <family val="2"/>
        <scheme val="minor"/>
      </rPr>
      <t xml:space="preserve"> - Assistive device that does not interfere with independent work of the student
</t>
    </r>
    <r>
      <rPr>
        <b/>
        <sz val="10"/>
        <color theme="1"/>
        <rFont val="Calibri"/>
        <family val="2"/>
        <scheme val="minor"/>
      </rPr>
      <t>75006</t>
    </r>
    <r>
      <rPr>
        <sz val="10"/>
        <color theme="1"/>
        <rFont val="Calibri"/>
        <family val="2"/>
        <scheme val="minor"/>
      </rPr>
      <t xml:space="preserve"> - Audio recordings
</t>
    </r>
    <r>
      <rPr>
        <b/>
        <sz val="10"/>
        <color theme="1"/>
        <rFont val="Calibri"/>
        <family val="2"/>
        <scheme val="minor"/>
      </rPr>
      <t>13791</t>
    </r>
    <r>
      <rPr>
        <sz val="10"/>
        <color theme="1"/>
        <rFont val="Calibri"/>
        <family val="2"/>
        <scheme val="minor"/>
      </rPr>
      <t xml:space="preserve"> - Auditory calming
</t>
    </r>
    <r>
      <rPr>
        <b/>
        <sz val="10"/>
        <color theme="1"/>
        <rFont val="Calibri"/>
        <family val="2"/>
        <scheme val="minor"/>
      </rPr>
      <t>00463</t>
    </r>
    <r>
      <rPr>
        <sz val="10"/>
        <color theme="1"/>
        <rFont val="Calibri"/>
        <family val="2"/>
        <scheme val="minor"/>
      </rPr>
      <t xml:space="preserve"> - Braille
</t>
    </r>
    <r>
      <rPr>
        <b/>
        <sz val="10"/>
        <color theme="1"/>
        <rFont val="Calibri"/>
        <family val="2"/>
        <scheme val="minor"/>
      </rPr>
      <t>03522</t>
    </r>
    <r>
      <rPr>
        <sz val="10"/>
        <color theme="1"/>
        <rFont val="Calibri"/>
        <family val="2"/>
        <scheme val="minor"/>
      </rPr>
      <t xml:space="preserve"> - Braille writer, no thesaurus, spell- or grammar-checker
</t>
    </r>
    <r>
      <rPr>
        <b/>
        <sz val="10"/>
        <color theme="1"/>
        <rFont val="Calibri"/>
        <family val="2"/>
        <scheme val="minor"/>
      </rPr>
      <t>75007</t>
    </r>
    <r>
      <rPr>
        <sz val="10"/>
        <color theme="1"/>
        <rFont val="Calibri"/>
        <family val="2"/>
        <scheme val="minor"/>
      </rPr>
      <t xml:space="preserve"> - Breaks
</t>
    </r>
    <r>
      <rPr>
        <b/>
        <sz val="10"/>
        <color theme="1"/>
        <rFont val="Calibri"/>
        <family val="2"/>
        <scheme val="minor"/>
      </rPr>
      <t>03524</t>
    </r>
    <r>
      <rPr>
        <sz val="10"/>
        <color theme="1"/>
        <rFont val="Calibri"/>
        <family val="2"/>
        <scheme val="minor"/>
      </rPr>
      <t xml:space="preserve"> - Calculator (math or science)
</t>
    </r>
    <r>
      <rPr>
        <b/>
        <sz val="10"/>
        <color theme="1"/>
        <rFont val="Calibri"/>
        <family val="2"/>
        <scheme val="minor"/>
      </rPr>
      <t>13800</t>
    </r>
    <r>
      <rPr>
        <sz val="10"/>
        <color theme="1"/>
        <rFont val="Calibri"/>
        <family val="2"/>
        <scheme val="minor"/>
      </rPr>
      <t xml:space="preserve"> - Chunking
</t>
    </r>
    <r>
      <rPr>
        <b/>
        <sz val="10"/>
        <color theme="1"/>
        <rFont val="Calibri"/>
        <family val="2"/>
        <scheme val="minor"/>
      </rPr>
      <t>03525</t>
    </r>
    <r>
      <rPr>
        <sz val="10"/>
        <color theme="1"/>
        <rFont val="Calibri"/>
        <family val="2"/>
        <scheme val="minor"/>
      </rPr>
      <t xml:space="preserve"> - Clarify directions
</t>
    </r>
    <r>
      <rPr>
        <b/>
        <sz val="10"/>
        <color theme="1"/>
        <rFont val="Calibri"/>
        <family val="2"/>
        <scheme val="minor"/>
      </rPr>
      <t>03526</t>
    </r>
    <r>
      <rPr>
        <sz val="10"/>
        <color theme="1"/>
        <rFont val="Calibri"/>
        <family val="2"/>
        <scheme val="minor"/>
      </rPr>
      <t xml:space="preserve"> - Colored lenses
</t>
    </r>
    <r>
      <rPr>
        <b/>
        <sz val="10"/>
        <color theme="1"/>
        <rFont val="Calibri"/>
        <family val="2"/>
        <scheme val="minor"/>
      </rPr>
      <t>03527</t>
    </r>
    <r>
      <rPr>
        <sz val="10"/>
        <color theme="1"/>
        <rFont val="Calibri"/>
        <family val="2"/>
        <scheme val="minor"/>
      </rPr>
      <t xml:space="preserve"> - Computer administration
</t>
    </r>
    <r>
      <rPr>
        <b/>
        <sz val="10"/>
        <color theme="1"/>
        <rFont val="Calibri"/>
        <family val="2"/>
        <scheme val="minor"/>
      </rPr>
      <t>03528</t>
    </r>
    <r>
      <rPr>
        <sz val="10"/>
        <color theme="1"/>
        <rFont val="Calibri"/>
        <family val="2"/>
        <scheme val="minor"/>
      </rPr>
      <t xml:space="preserve"> - Cranmer abacus
</t>
    </r>
    <r>
      <rPr>
        <b/>
        <sz val="10"/>
        <color theme="1"/>
        <rFont val="Calibri"/>
        <family val="2"/>
        <scheme val="minor"/>
      </rPr>
      <t>03529</t>
    </r>
    <r>
      <rPr>
        <sz val="10"/>
        <color theme="1"/>
        <rFont val="Calibri"/>
        <family val="2"/>
        <scheme val="minor"/>
      </rPr>
      <t xml:space="preserve"> - Cueing
</t>
    </r>
    <r>
      <rPr>
        <b/>
        <sz val="10"/>
        <color theme="1"/>
        <rFont val="Calibri"/>
        <family val="2"/>
        <scheme val="minor"/>
      </rPr>
      <t>75008</t>
    </r>
    <r>
      <rPr>
        <sz val="10"/>
        <color theme="1"/>
        <rFont val="Calibri"/>
        <family val="2"/>
        <scheme val="minor"/>
      </rPr>
      <t xml:space="preserve"> - Dictated oral response
</t>
    </r>
    <r>
      <rPr>
        <b/>
        <sz val="10"/>
        <color theme="1"/>
        <rFont val="Calibri"/>
        <family val="2"/>
        <scheme val="minor"/>
      </rPr>
      <t>03530</t>
    </r>
    <r>
      <rPr>
        <sz val="10"/>
        <color theme="1"/>
        <rFont val="Calibri"/>
        <family val="2"/>
        <scheme val="minor"/>
      </rPr>
      <t xml:space="preserve"> - Dictionary in English
</t>
    </r>
    <r>
      <rPr>
        <b/>
        <sz val="10"/>
        <color theme="1"/>
        <rFont val="Calibri"/>
        <family val="2"/>
        <scheme val="minor"/>
      </rPr>
      <t>03531</t>
    </r>
    <r>
      <rPr>
        <sz val="10"/>
        <color theme="1"/>
        <rFont val="Calibri"/>
        <family val="2"/>
        <scheme val="minor"/>
      </rPr>
      <t xml:space="preserve"> - Dictionary in native language
</t>
    </r>
    <r>
      <rPr>
        <b/>
        <sz val="10"/>
        <color theme="1"/>
        <rFont val="Calibri"/>
        <family val="2"/>
        <scheme val="minor"/>
      </rPr>
      <t>03533</t>
    </r>
    <r>
      <rPr>
        <sz val="10"/>
        <color theme="1"/>
        <rFont val="Calibri"/>
        <family val="2"/>
        <scheme val="minor"/>
      </rPr>
      <t xml:space="preserve"> - Directions read aloud or explained
</t>
    </r>
    <r>
      <rPr>
        <b/>
        <sz val="10"/>
        <color theme="1"/>
        <rFont val="Calibri"/>
        <family val="2"/>
        <scheme val="minor"/>
      </rPr>
      <t>13795</t>
    </r>
    <r>
      <rPr>
        <sz val="10"/>
        <color theme="1"/>
        <rFont val="Calibri"/>
        <family val="2"/>
        <scheme val="minor"/>
      </rPr>
      <t xml:space="preserve"> - Encouraging prompts
</t>
    </r>
    <r>
      <rPr>
        <b/>
        <sz val="10"/>
        <color theme="1"/>
        <rFont val="Calibri"/>
        <family val="2"/>
        <scheme val="minor"/>
      </rPr>
      <t>00937</t>
    </r>
    <r>
      <rPr>
        <sz val="10"/>
        <color theme="1"/>
        <rFont val="Calibri"/>
        <family val="2"/>
        <scheme val="minor"/>
      </rPr>
      <t xml:space="preserve"> - Enlarged keyboard
</t>
    </r>
    <r>
      <rPr>
        <b/>
        <sz val="10"/>
        <color theme="1"/>
        <rFont val="Calibri"/>
        <family val="2"/>
        <scheme val="minor"/>
      </rPr>
      <t>00464</t>
    </r>
    <r>
      <rPr>
        <sz val="10"/>
        <color theme="1"/>
        <rFont val="Calibri"/>
        <family val="2"/>
        <scheme val="minor"/>
      </rPr>
      <t xml:space="preserve"> - Enlarged monitor view
</t>
    </r>
    <r>
      <rPr>
        <b/>
        <sz val="10"/>
        <color theme="1"/>
        <rFont val="Calibri"/>
        <family val="2"/>
        <scheme val="minor"/>
      </rPr>
      <t>03534</t>
    </r>
    <r>
      <rPr>
        <sz val="10"/>
        <color theme="1"/>
        <rFont val="Calibri"/>
        <family val="2"/>
        <scheme val="minor"/>
      </rPr>
      <t xml:space="preserve"> - Examiner familiarity
</t>
    </r>
    <r>
      <rPr>
        <b/>
        <sz val="10"/>
        <color theme="1"/>
        <rFont val="Calibri"/>
        <family val="2"/>
        <scheme val="minor"/>
      </rPr>
      <t>00465</t>
    </r>
    <r>
      <rPr>
        <sz val="10"/>
        <color theme="1"/>
        <rFont val="Calibri"/>
        <family val="2"/>
        <scheme val="minor"/>
      </rPr>
      <t xml:space="preserve"> - Extra time
</t>
    </r>
    <r>
      <rPr>
        <b/>
        <sz val="10"/>
        <color theme="1"/>
        <rFont val="Calibri"/>
        <family val="2"/>
        <scheme val="minor"/>
      </rPr>
      <t>13797</t>
    </r>
    <r>
      <rPr>
        <sz val="10"/>
        <color theme="1"/>
        <rFont val="Calibri"/>
        <family val="2"/>
        <scheme val="minor"/>
      </rPr>
      <t xml:space="preserve"> - Flagging
</t>
    </r>
    <r>
      <rPr>
        <b/>
        <sz val="10"/>
        <color theme="1"/>
        <rFont val="Calibri"/>
        <family val="2"/>
        <scheme val="minor"/>
      </rPr>
      <t>03535</t>
    </r>
    <r>
      <rPr>
        <sz val="10"/>
        <color theme="1"/>
        <rFont val="Calibri"/>
        <family val="2"/>
        <scheme val="minor"/>
      </rPr>
      <t xml:space="preserve"> - Font enlarged beyond print version requirements
</t>
    </r>
    <r>
      <rPr>
        <b/>
        <sz val="10"/>
        <color theme="1"/>
        <rFont val="Calibri"/>
        <family val="2"/>
        <scheme val="minor"/>
      </rPr>
      <t>13789</t>
    </r>
    <r>
      <rPr>
        <sz val="10"/>
        <color theme="1"/>
        <rFont val="Calibri"/>
        <family val="2"/>
        <scheme val="minor"/>
      </rPr>
      <t xml:space="preserve"> - Foreground/Background colors
</t>
    </r>
    <r>
      <rPr>
        <b/>
        <sz val="10"/>
        <color theme="1"/>
        <rFont val="Calibri"/>
        <family val="2"/>
        <scheme val="minor"/>
      </rPr>
      <t>03536</t>
    </r>
    <r>
      <rPr>
        <sz val="10"/>
        <color theme="1"/>
        <rFont val="Calibri"/>
        <family val="2"/>
        <scheme val="minor"/>
      </rPr>
      <t xml:space="preserve"> - Foreign language interpreter
</t>
    </r>
    <r>
      <rPr>
        <b/>
        <sz val="10"/>
        <color theme="1"/>
        <rFont val="Calibri"/>
        <family val="2"/>
        <scheme val="minor"/>
      </rPr>
      <t>03537</t>
    </r>
    <r>
      <rPr>
        <sz val="10"/>
        <color theme="1"/>
        <rFont val="Calibri"/>
        <family val="2"/>
        <scheme val="minor"/>
      </rPr>
      <t xml:space="preserve"> - Foreign language interpreter for instructions, ask questions
</t>
    </r>
    <r>
      <rPr>
        <b/>
        <sz val="10"/>
        <color theme="1"/>
        <rFont val="Calibri"/>
        <family val="2"/>
        <scheme val="minor"/>
      </rPr>
      <t>03538</t>
    </r>
    <r>
      <rPr>
        <sz val="10"/>
        <color theme="1"/>
        <rFont val="Calibri"/>
        <family val="2"/>
        <scheme val="minor"/>
      </rPr>
      <t xml:space="preserve"> - Format
</t>
    </r>
    <r>
      <rPr>
        <b/>
        <sz val="10"/>
        <color theme="1"/>
        <rFont val="Calibri"/>
        <family val="2"/>
        <scheme val="minor"/>
      </rPr>
      <t>03539</t>
    </r>
    <r>
      <rPr>
        <sz val="10"/>
        <color theme="1"/>
        <rFont val="Calibri"/>
        <family val="2"/>
        <scheme val="minor"/>
      </rPr>
      <t xml:space="preserve"> - Hospital/home testing
</t>
    </r>
    <r>
      <rPr>
        <b/>
        <sz val="10"/>
        <color theme="1"/>
        <rFont val="Calibri"/>
        <family val="2"/>
        <scheme val="minor"/>
      </rPr>
      <t>13790</t>
    </r>
    <r>
      <rPr>
        <sz val="10"/>
        <color theme="1"/>
        <rFont val="Calibri"/>
        <family val="2"/>
        <scheme val="minor"/>
      </rPr>
      <t xml:space="preserve"> - Increase white space
</t>
    </r>
    <r>
      <rPr>
        <b/>
        <sz val="10"/>
        <color theme="1"/>
        <rFont val="Calibri"/>
        <family val="2"/>
        <scheme val="minor"/>
      </rPr>
      <t>13805</t>
    </r>
    <r>
      <rPr>
        <sz val="10"/>
        <color theme="1"/>
        <rFont val="Calibri"/>
        <family val="2"/>
        <scheme val="minor"/>
      </rPr>
      <t xml:space="preserve"> - Item translation
</t>
    </r>
    <r>
      <rPr>
        <b/>
        <sz val="10"/>
        <color theme="1"/>
        <rFont val="Calibri"/>
        <family val="2"/>
        <scheme val="minor"/>
      </rPr>
      <t>13798</t>
    </r>
    <r>
      <rPr>
        <sz val="10"/>
        <color theme="1"/>
        <rFont val="Calibri"/>
        <family val="2"/>
        <scheme val="minor"/>
      </rPr>
      <t xml:space="preserve"> - Keyword highlighting
</t>
    </r>
    <r>
      <rPr>
        <b/>
        <sz val="10"/>
        <color theme="1"/>
        <rFont val="Calibri"/>
        <family val="2"/>
        <scheme val="minor"/>
      </rPr>
      <t>13804</t>
    </r>
    <r>
      <rPr>
        <sz val="10"/>
        <color theme="1"/>
        <rFont val="Calibri"/>
        <family val="2"/>
        <scheme val="minor"/>
      </rPr>
      <t xml:space="preserve"> - Keyword translation
</t>
    </r>
    <r>
      <rPr>
        <b/>
        <sz val="10"/>
        <color theme="1"/>
        <rFont val="Calibri"/>
        <family val="2"/>
        <scheme val="minor"/>
      </rPr>
      <t>75009</t>
    </r>
    <r>
      <rPr>
        <sz val="10"/>
        <color theme="1"/>
        <rFont val="Calibri"/>
        <family val="2"/>
        <scheme val="minor"/>
      </rPr>
      <t xml:space="preserve"> - Large print
</t>
    </r>
    <r>
      <rPr>
        <b/>
        <sz val="10"/>
        <color theme="1"/>
        <rFont val="Calibri"/>
        <family val="2"/>
        <scheme val="minor"/>
      </rPr>
      <t>13796</t>
    </r>
    <r>
      <rPr>
        <sz val="10"/>
        <color theme="1"/>
        <rFont val="Calibri"/>
        <family val="2"/>
        <scheme val="minor"/>
      </rPr>
      <t xml:space="preserve"> - Line reader
</t>
    </r>
    <r>
      <rPr>
        <b/>
        <sz val="10"/>
        <color theme="1"/>
        <rFont val="Calibri"/>
        <family val="2"/>
        <scheme val="minor"/>
      </rPr>
      <t>75010</t>
    </r>
    <r>
      <rPr>
        <sz val="10"/>
        <color theme="1"/>
        <rFont val="Calibri"/>
        <family val="2"/>
        <scheme val="minor"/>
      </rPr>
      <t xml:space="preserve"> - Linguistic modification of directions
</t>
    </r>
    <r>
      <rPr>
        <b/>
        <sz val="10"/>
        <color theme="1"/>
        <rFont val="Calibri"/>
        <family val="2"/>
        <scheme val="minor"/>
      </rPr>
      <t>03541</t>
    </r>
    <r>
      <rPr>
        <sz val="10"/>
        <color theme="1"/>
        <rFont val="Calibri"/>
        <family val="2"/>
        <scheme val="minor"/>
      </rPr>
      <t xml:space="preserve"> - Magnification device
</t>
    </r>
    <r>
      <rPr>
        <b/>
        <sz val="10"/>
        <color theme="1"/>
        <rFont val="Calibri"/>
        <family val="2"/>
        <scheme val="minor"/>
      </rPr>
      <t>75011</t>
    </r>
    <r>
      <rPr>
        <sz val="10"/>
        <color theme="1"/>
        <rFont val="Calibri"/>
        <family val="2"/>
        <scheme val="minor"/>
      </rPr>
      <t xml:space="preserve"> - Manually coded English or American Sign Language to present questions
</t>
    </r>
    <r>
      <rPr>
        <b/>
        <sz val="10"/>
        <color theme="1"/>
        <rFont val="Calibri"/>
        <family val="2"/>
        <scheme val="minor"/>
      </rPr>
      <t>13792</t>
    </r>
    <r>
      <rPr>
        <sz val="10"/>
        <color theme="1"/>
        <rFont val="Calibri"/>
        <family val="2"/>
        <scheme val="minor"/>
      </rPr>
      <t xml:space="preserve"> - Masking
</t>
    </r>
    <r>
      <rPr>
        <b/>
        <sz val="10"/>
        <color theme="1"/>
        <rFont val="Calibri"/>
        <family val="2"/>
        <scheme val="minor"/>
      </rPr>
      <t>03543</t>
    </r>
    <r>
      <rPr>
        <sz val="10"/>
        <color theme="1"/>
        <rFont val="Calibri"/>
        <family val="2"/>
        <scheme val="minor"/>
      </rPr>
      <t xml:space="preserve"> - Math manipulatives (math or science)
</t>
    </r>
    <r>
      <rPr>
        <b/>
        <sz val="10"/>
        <color theme="1"/>
        <rFont val="Calibri"/>
        <family val="2"/>
        <scheme val="minor"/>
      </rPr>
      <t>03544</t>
    </r>
    <r>
      <rPr>
        <sz val="10"/>
        <color theme="1"/>
        <rFont val="Calibri"/>
        <family val="2"/>
        <scheme val="minor"/>
      </rPr>
      <t xml:space="preserve"> - Modification of linguistic complexity
</t>
    </r>
    <r>
      <rPr>
        <b/>
        <sz val="10"/>
        <color theme="1"/>
        <rFont val="Calibri"/>
        <family val="2"/>
        <scheme val="minor"/>
      </rPr>
      <t>00469</t>
    </r>
    <r>
      <rPr>
        <sz val="10"/>
        <color theme="1"/>
        <rFont val="Calibri"/>
        <family val="2"/>
        <scheme val="minor"/>
      </rPr>
      <t xml:space="preserve"> - Multi-day administration
</t>
    </r>
    <r>
      <rPr>
        <b/>
        <sz val="10"/>
        <color theme="1"/>
        <rFont val="Calibri"/>
        <family val="2"/>
        <scheme val="minor"/>
      </rPr>
      <t>03545</t>
    </r>
    <r>
      <rPr>
        <sz val="10"/>
        <color theme="1"/>
        <rFont val="Calibri"/>
        <family val="2"/>
        <scheme val="minor"/>
      </rPr>
      <t xml:space="preserve"> - Multiple test sessions
</t>
    </r>
    <r>
      <rPr>
        <b/>
        <sz val="10"/>
        <color theme="1"/>
        <rFont val="Calibri"/>
        <family val="2"/>
        <scheme val="minor"/>
      </rPr>
      <t>13802</t>
    </r>
    <r>
      <rPr>
        <sz val="10"/>
        <color theme="1"/>
        <rFont val="Calibri"/>
        <family val="2"/>
        <scheme val="minor"/>
      </rPr>
      <t xml:space="preserve"> - Negatives removed
</t>
    </r>
    <r>
      <rPr>
        <b/>
        <sz val="10"/>
        <color theme="1"/>
        <rFont val="Calibri"/>
        <family val="2"/>
        <scheme val="minor"/>
      </rPr>
      <t>03546</t>
    </r>
    <r>
      <rPr>
        <sz val="10"/>
        <color theme="1"/>
        <rFont val="Calibri"/>
        <family val="2"/>
        <scheme val="minor"/>
      </rPr>
      <t xml:space="preserve"> - Oral directions in the native language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03547</t>
    </r>
    <r>
      <rPr>
        <sz val="10"/>
        <color theme="1"/>
        <rFont val="Calibri"/>
        <family val="2"/>
        <scheme val="minor"/>
      </rPr>
      <t xml:space="preserve"> - Paraphrasing
</t>
    </r>
    <r>
      <rPr>
        <b/>
        <sz val="10"/>
        <color theme="1"/>
        <rFont val="Calibri"/>
        <family val="2"/>
        <scheme val="minor"/>
      </rPr>
      <t>03548</t>
    </r>
    <r>
      <rPr>
        <sz val="10"/>
        <color theme="1"/>
        <rFont val="Calibri"/>
        <family val="2"/>
        <scheme val="minor"/>
      </rPr>
      <t xml:space="preserve"> - Physical supports
</t>
    </r>
    <r>
      <rPr>
        <b/>
        <sz val="10"/>
        <color theme="1"/>
        <rFont val="Calibri"/>
        <family val="2"/>
        <scheme val="minor"/>
      </rPr>
      <t>00471</t>
    </r>
    <r>
      <rPr>
        <sz val="10"/>
        <color theme="1"/>
        <rFont val="Calibri"/>
        <family val="2"/>
        <scheme val="minor"/>
      </rPr>
      <t xml:space="preserve"> - Recorder or amanuensis
</t>
    </r>
    <r>
      <rPr>
        <b/>
        <sz val="10"/>
        <color theme="1"/>
        <rFont val="Calibri"/>
        <family val="2"/>
        <scheme val="minor"/>
      </rPr>
      <t>13801</t>
    </r>
    <r>
      <rPr>
        <sz val="10"/>
        <color theme="1"/>
        <rFont val="Calibri"/>
        <family val="2"/>
        <scheme val="minor"/>
      </rPr>
      <t xml:space="preserve"> - Reduced answer choices
</t>
    </r>
    <r>
      <rPr>
        <b/>
        <sz val="10"/>
        <color theme="1"/>
        <rFont val="Calibri"/>
        <family val="2"/>
        <scheme val="minor"/>
      </rPr>
      <t>03549</t>
    </r>
    <r>
      <rPr>
        <sz val="10"/>
        <color theme="1"/>
        <rFont val="Calibri"/>
        <family val="2"/>
        <scheme val="minor"/>
      </rPr>
      <t xml:space="preserve"> - Response dictated in American Sign Language
</t>
    </r>
    <r>
      <rPr>
        <b/>
        <sz val="10"/>
        <color theme="1"/>
        <rFont val="Calibri"/>
        <family val="2"/>
        <scheme val="minor"/>
      </rPr>
      <t>03550</t>
    </r>
    <r>
      <rPr>
        <sz val="10"/>
        <color theme="1"/>
        <rFont val="Calibri"/>
        <family val="2"/>
        <scheme val="minor"/>
      </rPr>
      <t xml:space="preserve"> - Response in native language
</t>
    </r>
    <r>
      <rPr>
        <b/>
        <sz val="10"/>
        <color theme="1"/>
        <rFont val="Calibri"/>
        <family val="2"/>
        <scheme val="minor"/>
      </rPr>
      <t>13788</t>
    </r>
    <r>
      <rPr>
        <sz val="10"/>
        <color theme="1"/>
        <rFont val="Calibri"/>
        <family val="2"/>
        <scheme val="minor"/>
      </rPr>
      <t xml:space="preserve"> - Reverse contrast
</t>
    </r>
    <r>
      <rPr>
        <b/>
        <sz val="10"/>
        <color theme="1"/>
        <rFont val="Calibri"/>
        <family val="2"/>
        <scheme val="minor"/>
      </rPr>
      <t>13799</t>
    </r>
    <r>
      <rPr>
        <sz val="10"/>
        <color theme="1"/>
        <rFont val="Calibri"/>
        <family val="2"/>
        <scheme val="minor"/>
      </rPr>
      <t xml:space="preserve"> - Scaffolding
</t>
    </r>
    <r>
      <rPr>
        <b/>
        <sz val="10"/>
        <color theme="1"/>
        <rFont val="Calibri"/>
        <family val="2"/>
        <scheme val="minor"/>
      </rPr>
      <t>03551</t>
    </r>
    <r>
      <rPr>
        <sz val="10"/>
        <color theme="1"/>
        <rFont val="Calibri"/>
        <family val="2"/>
        <scheme val="minor"/>
      </rPr>
      <t xml:space="preserve"> - Scheduled extended time
</t>
    </r>
    <r>
      <rPr>
        <b/>
        <sz val="10"/>
        <color theme="1"/>
        <rFont val="Calibri"/>
        <family val="2"/>
        <scheme val="minor"/>
      </rPr>
      <t>00473</t>
    </r>
    <r>
      <rPr>
        <sz val="10"/>
        <color theme="1"/>
        <rFont val="Calibri"/>
        <family val="2"/>
        <scheme val="minor"/>
      </rPr>
      <t xml:space="preserve"> - Separate room
</t>
    </r>
    <r>
      <rPr>
        <b/>
        <sz val="10"/>
        <color theme="1"/>
        <rFont val="Calibri"/>
        <family val="2"/>
        <scheme val="minor"/>
      </rPr>
      <t>03552</t>
    </r>
    <r>
      <rPr>
        <sz val="10"/>
        <color theme="1"/>
        <rFont val="Calibri"/>
        <family val="2"/>
        <scheme val="minor"/>
      </rPr>
      <t xml:space="preserve"> - Separate room with other English Learners under supervision of district employee
</t>
    </r>
    <r>
      <rPr>
        <b/>
        <sz val="10"/>
        <color theme="1"/>
        <rFont val="Calibri"/>
        <family val="2"/>
        <scheme val="minor"/>
      </rPr>
      <t>73070</t>
    </r>
    <r>
      <rPr>
        <sz val="10"/>
        <color theme="1"/>
        <rFont val="Calibri"/>
        <family val="2"/>
        <scheme val="minor"/>
      </rPr>
      <t xml:space="preserve"> - Sign Language Video
</t>
    </r>
    <r>
      <rPr>
        <b/>
        <sz val="10"/>
        <color theme="1"/>
        <rFont val="Calibri"/>
        <family val="2"/>
        <scheme val="minor"/>
      </rPr>
      <t>03553</t>
    </r>
    <r>
      <rPr>
        <sz val="10"/>
        <color theme="1"/>
        <rFont val="Calibri"/>
        <family val="2"/>
        <scheme val="minor"/>
      </rPr>
      <t xml:space="preserve"> - Signer/sign language for instructions, ask questions
</t>
    </r>
    <r>
      <rPr>
        <b/>
        <sz val="10"/>
        <color theme="1"/>
        <rFont val="Calibri"/>
        <family val="2"/>
        <scheme val="minor"/>
      </rPr>
      <t>00474</t>
    </r>
    <r>
      <rPr>
        <sz val="10"/>
        <color theme="1"/>
        <rFont val="Calibri"/>
        <family val="2"/>
        <scheme val="minor"/>
      </rPr>
      <t xml:space="preserve"> - Signer/sign language interpreter
</t>
    </r>
    <r>
      <rPr>
        <b/>
        <sz val="10"/>
        <color theme="1"/>
        <rFont val="Calibri"/>
        <family val="2"/>
        <scheme val="minor"/>
      </rPr>
      <t>03554</t>
    </r>
    <r>
      <rPr>
        <sz val="10"/>
        <color theme="1"/>
        <rFont val="Calibri"/>
        <family val="2"/>
        <scheme val="minor"/>
      </rPr>
      <t xml:space="preserve"> - Simplified language
</t>
    </r>
    <r>
      <rPr>
        <b/>
        <sz val="10"/>
        <color theme="1"/>
        <rFont val="Calibri"/>
        <family val="2"/>
        <scheme val="minor"/>
      </rPr>
      <t>03555</t>
    </r>
    <r>
      <rPr>
        <sz val="10"/>
        <color theme="1"/>
        <rFont val="Calibri"/>
        <family val="2"/>
        <scheme val="minor"/>
      </rPr>
      <t xml:space="preserve"> - Small-group or individual administration
</t>
    </r>
    <r>
      <rPr>
        <b/>
        <sz val="10"/>
        <color theme="1"/>
        <rFont val="Calibri"/>
        <family val="2"/>
        <scheme val="minor"/>
      </rPr>
      <t>00475</t>
    </r>
    <r>
      <rPr>
        <sz val="10"/>
        <color theme="1"/>
        <rFont val="Calibri"/>
        <family val="2"/>
        <scheme val="minor"/>
      </rPr>
      <t xml:space="preserve"> - Special furniture
</t>
    </r>
    <r>
      <rPr>
        <b/>
        <sz val="10"/>
        <color theme="1"/>
        <rFont val="Calibri"/>
        <family val="2"/>
        <scheme val="minor"/>
      </rPr>
      <t>00476</t>
    </r>
    <r>
      <rPr>
        <sz val="10"/>
        <color theme="1"/>
        <rFont val="Calibri"/>
        <family val="2"/>
        <scheme val="minor"/>
      </rPr>
      <t xml:space="preserve"> - Special lighting
</t>
    </r>
    <r>
      <rPr>
        <b/>
        <sz val="10"/>
        <color theme="1"/>
        <rFont val="Calibri"/>
        <family val="2"/>
        <scheme val="minor"/>
      </rPr>
      <t>03558</t>
    </r>
    <r>
      <rPr>
        <sz val="10"/>
        <color theme="1"/>
        <rFont val="Calibri"/>
        <family val="2"/>
        <scheme val="minor"/>
      </rPr>
      <t xml:space="preserve"> - Specialized setting
</t>
    </r>
    <r>
      <rPr>
        <b/>
        <sz val="10"/>
        <color theme="1"/>
        <rFont val="Calibri"/>
        <family val="2"/>
        <scheme val="minor"/>
      </rPr>
      <t>03556</t>
    </r>
    <r>
      <rPr>
        <sz val="10"/>
        <color theme="1"/>
        <rFont val="Calibri"/>
        <family val="2"/>
        <scheme val="minor"/>
      </rPr>
      <t xml:space="preserve"> - Speech recognition system
</t>
    </r>
    <r>
      <rPr>
        <b/>
        <sz val="10"/>
        <color theme="1"/>
        <rFont val="Calibri"/>
        <family val="2"/>
        <scheme val="minor"/>
      </rPr>
      <t>03557</t>
    </r>
    <r>
      <rPr>
        <sz val="10"/>
        <color theme="1"/>
        <rFont val="Calibri"/>
        <family val="2"/>
        <scheme val="minor"/>
      </rPr>
      <t xml:space="preserve"> - Spell-checker
</t>
    </r>
    <r>
      <rPr>
        <b/>
        <sz val="10"/>
        <color theme="1"/>
        <rFont val="Calibri"/>
        <family val="2"/>
        <scheme val="minor"/>
      </rPr>
      <t>13794</t>
    </r>
    <r>
      <rPr>
        <sz val="10"/>
        <color theme="1"/>
        <rFont val="Calibri"/>
        <family val="2"/>
        <scheme val="minor"/>
      </rPr>
      <t xml:space="preserve"> - Structured masking
</t>
    </r>
    <r>
      <rPr>
        <b/>
        <sz val="10"/>
        <color theme="1"/>
        <rFont val="Calibri"/>
        <family val="2"/>
        <scheme val="minor"/>
      </rPr>
      <t>03559</t>
    </r>
    <r>
      <rPr>
        <sz val="10"/>
        <color theme="1"/>
        <rFont val="Calibri"/>
        <family val="2"/>
        <scheme val="minor"/>
      </rPr>
      <t xml:space="preserve"> - Student read aloud
</t>
    </r>
    <r>
      <rPr>
        <b/>
        <sz val="10"/>
        <color theme="1"/>
        <rFont val="Calibri"/>
        <family val="2"/>
        <scheme val="minor"/>
      </rPr>
      <t>03560</t>
    </r>
    <r>
      <rPr>
        <sz val="10"/>
        <color theme="1"/>
        <rFont val="Calibri"/>
        <family val="2"/>
        <scheme val="minor"/>
      </rPr>
      <t xml:space="preserve"> - Student-requested extended time
</t>
    </r>
    <r>
      <rPr>
        <b/>
        <sz val="10"/>
        <color theme="1"/>
        <rFont val="Calibri"/>
        <family val="2"/>
        <scheme val="minor"/>
      </rPr>
      <t>75012</t>
    </r>
    <r>
      <rPr>
        <sz val="10"/>
        <color theme="1"/>
        <rFont val="Calibri"/>
        <family val="2"/>
        <scheme val="minor"/>
      </rPr>
      <t xml:space="preserve"> - Supervised breaks
</t>
    </r>
    <r>
      <rPr>
        <b/>
        <sz val="10"/>
        <color theme="1"/>
        <rFont val="Calibri"/>
        <family val="2"/>
        <scheme val="minor"/>
      </rPr>
      <t>13806</t>
    </r>
    <r>
      <rPr>
        <sz val="10"/>
        <color theme="1"/>
        <rFont val="Calibri"/>
        <family val="2"/>
        <scheme val="minor"/>
      </rPr>
      <t xml:space="preserve"> - Tactile
</t>
    </r>
    <r>
      <rPr>
        <b/>
        <sz val="10"/>
        <color theme="1"/>
        <rFont val="Calibri"/>
        <family val="2"/>
        <scheme val="minor"/>
      </rPr>
      <t>03562</t>
    </r>
    <r>
      <rPr>
        <sz val="10"/>
        <color theme="1"/>
        <rFont val="Calibri"/>
        <family val="2"/>
        <scheme val="minor"/>
      </rPr>
      <t xml:space="preserve"> - Technological aid
</t>
    </r>
    <r>
      <rPr>
        <b/>
        <sz val="10"/>
        <color theme="1"/>
        <rFont val="Calibri"/>
        <family val="2"/>
        <scheme val="minor"/>
      </rPr>
      <t>75013</t>
    </r>
    <r>
      <rPr>
        <sz val="10"/>
        <color theme="1"/>
        <rFont val="Calibri"/>
        <family val="2"/>
        <scheme val="minor"/>
      </rPr>
      <t xml:space="preserve"> - Test administered at best time of day for student
</t>
    </r>
    <r>
      <rPr>
        <b/>
        <sz val="10"/>
        <color theme="1"/>
        <rFont val="Calibri"/>
        <family val="2"/>
        <scheme val="minor"/>
      </rPr>
      <t>03563</t>
    </r>
    <r>
      <rPr>
        <sz val="10"/>
        <color theme="1"/>
        <rFont val="Calibri"/>
        <family val="2"/>
        <scheme val="minor"/>
      </rPr>
      <t xml:space="preserve"> - Test administrator marked / wrote test at student's direction
</t>
    </r>
    <r>
      <rPr>
        <b/>
        <sz val="10"/>
        <color theme="1"/>
        <rFont val="Calibri"/>
        <family val="2"/>
        <scheme val="minor"/>
      </rPr>
      <t>03564</t>
    </r>
    <r>
      <rPr>
        <sz val="10"/>
        <color theme="1"/>
        <rFont val="Calibri"/>
        <family val="2"/>
        <scheme val="minor"/>
      </rPr>
      <t xml:space="preserve"> - Test administrator read questions aloud
</t>
    </r>
    <r>
      <rPr>
        <b/>
        <sz val="10"/>
        <color theme="1"/>
        <rFont val="Calibri"/>
        <family val="2"/>
        <scheme val="minor"/>
      </rPr>
      <t>03566</t>
    </r>
    <r>
      <rPr>
        <sz val="10"/>
        <color theme="1"/>
        <rFont val="Calibri"/>
        <family val="2"/>
        <scheme val="minor"/>
      </rPr>
      <t xml:space="preserve"> - Text changes in vocabulary
</t>
    </r>
    <r>
      <rPr>
        <b/>
        <sz val="10"/>
        <color theme="1"/>
        <rFont val="Calibri"/>
        <family val="2"/>
        <scheme val="minor"/>
      </rPr>
      <t>00477</t>
    </r>
    <r>
      <rPr>
        <sz val="10"/>
        <color theme="1"/>
        <rFont val="Calibri"/>
        <family val="2"/>
        <scheme val="minor"/>
      </rPr>
      <t xml:space="preserve"> - Track ball
</t>
    </r>
    <r>
      <rPr>
        <b/>
        <sz val="10"/>
        <color theme="1"/>
        <rFont val="Calibri"/>
        <family val="2"/>
        <scheme val="minor"/>
      </rPr>
      <t>03567</t>
    </r>
    <r>
      <rPr>
        <sz val="10"/>
        <color theme="1"/>
        <rFont val="Calibri"/>
        <family val="2"/>
        <scheme val="minor"/>
      </rPr>
      <t xml:space="preserve"> - Translation dictionary
</t>
    </r>
    <r>
      <rPr>
        <b/>
        <sz val="10"/>
        <color theme="1"/>
        <rFont val="Calibri"/>
        <family val="2"/>
        <scheme val="minor"/>
      </rPr>
      <t>09997</t>
    </r>
    <r>
      <rPr>
        <sz val="10"/>
        <color theme="1"/>
        <rFont val="Calibri"/>
        <family val="2"/>
        <scheme val="minor"/>
      </rPr>
      <t xml:space="preserve"> - Unknown
</t>
    </r>
    <r>
      <rPr>
        <b/>
        <sz val="10"/>
        <color theme="1"/>
        <rFont val="Calibri"/>
        <family val="2"/>
        <scheme val="minor"/>
      </rPr>
      <t>00479</t>
    </r>
    <r>
      <rPr>
        <sz val="10"/>
        <color theme="1"/>
        <rFont val="Calibri"/>
        <family val="2"/>
        <scheme val="minor"/>
      </rPr>
      <t xml:space="preserve"> - Untimed
</t>
    </r>
    <r>
      <rPr>
        <b/>
        <sz val="10"/>
        <color theme="1"/>
        <rFont val="Calibri"/>
        <family val="2"/>
        <scheme val="minor"/>
      </rPr>
      <t>03568</t>
    </r>
    <r>
      <rPr>
        <sz val="10"/>
        <color theme="1"/>
        <rFont val="Calibri"/>
        <family val="2"/>
        <scheme val="minor"/>
      </rPr>
      <t xml:space="preserve"> - Verbalized problem-solving
</t>
    </r>
    <r>
      <rPr>
        <b/>
        <sz val="10"/>
        <color theme="1"/>
        <rFont val="Calibri"/>
        <family val="2"/>
        <scheme val="minor"/>
      </rPr>
      <t>75014</t>
    </r>
    <r>
      <rPr>
        <sz val="10"/>
        <color theme="1"/>
        <rFont val="Calibri"/>
        <family val="2"/>
        <scheme val="minor"/>
      </rPr>
      <t xml:space="preserve"> - Video recordings
</t>
    </r>
    <r>
      <rPr>
        <b/>
        <sz val="10"/>
        <color theme="1"/>
        <rFont val="Calibri"/>
        <family val="2"/>
        <scheme val="minor"/>
      </rPr>
      <t>03570</t>
    </r>
    <r>
      <rPr>
        <sz val="10"/>
        <color theme="1"/>
        <rFont val="Calibri"/>
        <family val="2"/>
        <scheme val="minor"/>
      </rPr>
      <t xml:space="preserve"> - Visual cues
</t>
    </r>
    <r>
      <rPr>
        <b/>
        <sz val="10"/>
        <color theme="1"/>
        <rFont val="Calibri"/>
        <family val="2"/>
        <scheme val="minor"/>
      </rPr>
      <t>03571</t>
    </r>
    <r>
      <rPr>
        <sz val="10"/>
        <color theme="1"/>
        <rFont val="Calibri"/>
        <family val="2"/>
        <scheme val="minor"/>
      </rPr>
      <t xml:space="preserve"> - Word processor
</t>
    </r>
    <r>
      <rPr>
        <b/>
        <sz val="10"/>
        <color theme="1"/>
        <rFont val="Calibri"/>
        <family val="2"/>
        <scheme val="minor"/>
      </rPr>
      <t>03572</t>
    </r>
    <r>
      <rPr>
        <sz val="10"/>
        <color theme="1"/>
        <rFont val="Calibri"/>
        <family val="2"/>
        <scheme val="minor"/>
      </rPr>
      <t xml:space="preserve"> - Word processor - grammar-checker turned off
</t>
    </r>
    <r>
      <rPr>
        <b/>
        <sz val="10"/>
        <color theme="1"/>
        <rFont val="Calibri"/>
        <family val="2"/>
        <scheme val="minor"/>
      </rPr>
      <t>03573</t>
    </r>
    <r>
      <rPr>
        <sz val="10"/>
        <color theme="1"/>
        <rFont val="Calibri"/>
        <family val="2"/>
        <scheme val="minor"/>
      </rPr>
      <t xml:space="preserve"> - Word processor - grammar-checker enabled on essay response portion of test
</t>
    </r>
    <r>
      <rPr>
        <b/>
        <sz val="10"/>
        <color theme="1"/>
        <rFont val="Calibri"/>
        <family val="2"/>
        <scheme val="minor"/>
      </rPr>
      <t>75015</t>
    </r>
    <r>
      <rPr>
        <sz val="10"/>
        <color theme="1"/>
        <rFont val="Calibri"/>
        <family val="2"/>
        <scheme val="minor"/>
      </rPr>
      <t xml:space="preserve"> - Alternate assignments or goals
</t>
    </r>
    <r>
      <rPr>
        <b/>
        <sz val="10"/>
        <color theme="1"/>
        <rFont val="Calibri"/>
        <family val="2"/>
        <scheme val="minor"/>
      </rPr>
      <t>75016</t>
    </r>
    <r>
      <rPr>
        <sz val="10"/>
        <color theme="1"/>
        <rFont val="Calibri"/>
        <family val="2"/>
        <scheme val="minor"/>
      </rPr>
      <t xml:space="preserve"> - Behavior management program
</t>
    </r>
    <r>
      <rPr>
        <b/>
        <sz val="10"/>
        <color theme="1"/>
        <rFont val="Calibri"/>
        <family val="2"/>
        <scheme val="minor"/>
      </rPr>
      <t>75017</t>
    </r>
    <r>
      <rPr>
        <sz val="10"/>
        <color theme="1"/>
        <rFont val="Calibri"/>
        <family val="2"/>
        <scheme val="minor"/>
      </rPr>
      <t xml:space="preserve"> - Check for understanding
</t>
    </r>
    <r>
      <rPr>
        <b/>
        <sz val="10"/>
        <color theme="1"/>
        <rFont val="Calibri"/>
        <family val="2"/>
        <scheme val="minor"/>
      </rPr>
      <t>75018</t>
    </r>
    <r>
      <rPr>
        <sz val="10"/>
        <color theme="1"/>
        <rFont val="Calibri"/>
        <family val="2"/>
        <scheme val="minor"/>
      </rPr>
      <t xml:space="preserve"> - Frequent feedback
</t>
    </r>
    <r>
      <rPr>
        <b/>
        <sz val="10"/>
        <color theme="1"/>
        <rFont val="Calibri"/>
        <family val="2"/>
        <scheme val="minor"/>
      </rPr>
      <t>75019</t>
    </r>
    <r>
      <rPr>
        <sz val="10"/>
        <color theme="1"/>
        <rFont val="Calibri"/>
        <family val="2"/>
        <scheme val="minor"/>
      </rPr>
      <t xml:space="preserve"> - Peer support
</t>
    </r>
  </si>
  <si>
    <t>Assessments -&gt; Assessment Participant Session
K12 -&gt; K12 Student -&gt; Individualized Program -&gt; Accommodation
K12 -&gt; K12 Student -&gt; Individualized Program -&gt; Assessment</t>
  </si>
  <si>
    <t>000385</t>
  </si>
  <si>
    <t>AccommodationType</t>
  </si>
  <si>
    <t>K-12 -&gt; LEA Assessments
K-12 -&gt; SEA Assessments
School Readiness</t>
  </si>
  <si>
    <t>Accommodations Needed Type</t>
  </si>
  <si>
    <t>Codes identifying the set of health accommodations.</t>
  </si>
  <si>
    <r>
      <t>01</t>
    </r>
    <r>
      <rPr>
        <sz val="10"/>
        <color theme="1"/>
        <rFont val="Calibri"/>
        <family val="2"/>
        <scheme val="minor"/>
      </rPr>
      <t xml:space="preserve"> - Materials in Braille
</t>
    </r>
    <r>
      <rPr>
        <b/>
        <sz val="10"/>
        <color theme="1"/>
        <rFont val="Calibri"/>
        <family val="2"/>
        <scheme val="minor"/>
      </rPr>
      <t>02</t>
    </r>
    <r>
      <rPr>
        <sz val="10"/>
        <color theme="1"/>
        <rFont val="Calibri"/>
        <family val="2"/>
        <scheme val="minor"/>
      </rPr>
      <t xml:space="preserve"> - Closed caption decoder
</t>
    </r>
    <r>
      <rPr>
        <b/>
        <sz val="10"/>
        <color theme="1"/>
        <rFont val="Calibri"/>
        <family val="2"/>
        <scheme val="minor"/>
      </rPr>
      <t>03</t>
    </r>
    <r>
      <rPr>
        <sz val="10"/>
        <color theme="1"/>
        <rFont val="Calibri"/>
        <family val="2"/>
        <scheme val="minor"/>
      </rPr>
      <t xml:space="preserve"> - Computer-based instruction or other assistive technological devices
</t>
    </r>
    <r>
      <rPr>
        <b/>
        <sz val="10"/>
        <color theme="1"/>
        <rFont val="Calibri"/>
        <family val="2"/>
        <scheme val="minor"/>
      </rPr>
      <t>04</t>
    </r>
    <r>
      <rPr>
        <sz val="10"/>
        <color theme="1"/>
        <rFont val="Calibri"/>
        <family val="2"/>
        <scheme val="minor"/>
      </rPr>
      <t xml:space="preserve"> - Listening devices
</t>
    </r>
    <r>
      <rPr>
        <b/>
        <sz val="10"/>
        <color theme="1"/>
        <rFont val="Calibri"/>
        <family val="2"/>
        <scheme val="minor"/>
      </rPr>
      <t>05</t>
    </r>
    <r>
      <rPr>
        <sz val="10"/>
        <color theme="1"/>
        <rFont val="Calibri"/>
        <family val="2"/>
        <scheme val="minor"/>
      </rPr>
      <t xml:space="preserve"> - Low vision readers
</t>
    </r>
    <r>
      <rPr>
        <b/>
        <sz val="10"/>
        <color theme="1"/>
        <rFont val="Calibri"/>
        <family val="2"/>
        <scheme val="minor"/>
      </rPr>
      <t>06</t>
    </r>
    <r>
      <rPr>
        <sz val="10"/>
        <color theme="1"/>
        <rFont val="Calibri"/>
        <family val="2"/>
        <scheme val="minor"/>
      </rPr>
      <t xml:space="preserve"> - Notetakers
</t>
    </r>
    <r>
      <rPr>
        <b/>
        <sz val="10"/>
        <color theme="1"/>
        <rFont val="Calibri"/>
        <family val="2"/>
        <scheme val="minor"/>
      </rPr>
      <t>07</t>
    </r>
    <r>
      <rPr>
        <sz val="10"/>
        <color theme="1"/>
        <rFont val="Calibri"/>
        <family val="2"/>
        <scheme val="minor"/>
      </rPr>
      <t xml:space="preserve"> - Readers
</t>
    </r>
    <r>
      <rPr>
        <b/>
        <sz val="10"/>
        <color theme="1"/>
        <rFont val="Calibri"/>
        <family val="2"/>
        <scheme val="minor"/>
      </rPr>
      <t>08</t>
    </r>
    <r>
      <rPr>
        <sz val="10"/>
        <color theme="1"/>
        <rFont val="Calibri"/>
        <family val="2"/>
        <scheme val="minor"/>
      </rPr>
      <t xml:space="preserve"> - Sign language interpreters
</t>
    </r>
    <r>
      <rPr>
        <b/>
        <sz val="10"/>
        <color theme="1"/>
        <rFont val="Calibri"/>
        <family val="2"/>
        <scheme val="minor"/>
      </rPr>
      <t>09</t>
    </r>
    <r>
      <rPr>
        <sz val="10"/>
        <color theme="1"/>
        <rFont val="Calibri"/>
        <family val="2"/>
        <scheme val="minor"/>
      </rPr>
      <t xml:space="preserve"> - Special housing accommodations
</t>
    </r>
    <r>
      <rPr>
        <b/>
        <sz val="10"/>
        <color theme="1"/>
        <rFont val="Calibri"/>
        <family val="2"/>
        <scheme val="minor"/>
      </rPr>
      <t>10</t>
    </r>
    <r>
      <rPr>
        <sz val="10"/>
        <color theme="1"/>
        <rFont val="Calibri"/>
        <family val="2"/>
        <scheme val="minor"/>
      </rPr>
      <t xml:space="preserve"> - Recorded text
</t>
    </r>
    <r>
      <rPr>
        <b/>
        <sz val="10"/>
        <color theme="1"/>
        <rFont val="Calibri"/>
        <family val="2"/>
        <scheme val="minor"/>
      </rPr>
      <t>11</t>
    </r>
    <r>
      <rPr>
        <sz val="10"/>
        <color theme="1"/>
        <rFont val="Calibri"/>
        <family val="2"/>
        <scheme val="minor"/>
      </rPr>
      <t xml:space="preserve"> - Telecommunication Devices (TDDs) for Hearing Impaired
</t>
    </r>
    <r>
      <rPr>
        <b/>
        <sz val="10"/>
        <color theme="1"/>
        <rFont val="Calibri"/>
        <family val="2"/>
        <scheme val="minor"/>
      </rPr>
      <t>12</t>
    </r>
    <r>
      <rPr>
        <sz val="10"/>
        <color theme="1"/>
        <rFont val="Calibri"/>
        <family val="2"/>
        <scheme val="minor"/>
      </rPr>
      <t xml:space="preserve"> - Telephone handset amplifiers
</t>
    </r>
    <r>
      <rPr>
        <b/>
        <sz val="10"/>
        <color theme="1"/>
        <rFont val="Calibri"/>
        <family val="2"/>
        <scheme val="minor"/>
      </rPr>
      <t>13</t>
    </r>
    <r>
      <rPr>
        <sz val="10"/>
        <color theme="1"/>
        <rFont val="Calibri"/>
        <family val="2"/>
        <scheme val="minor"/>
      </rPr>
      <t xml:space="preserve"> - Test assistants
</t>
    </r>
    <r>
      <rPr>
        <b/>
        <sz val="10"/>
        <color theme="1"/>
        <rFont val="Calibri"/>
        <family val="2"/>
        <scheme val="minor"/>
      </rPr>
      <t>14</t>
    </r>
    <r>
      <rPr>
        <sz val="10"/>
        <color theme="1"/>
        <rFont val="Calibri"/>
        <family val="2"/>
        <scheme val="minor"/>
      </rPr>
      <t xml:space="preserve"> - Test modifications
</t>
    </r>
    <r>
      <rPr>
        <b/>
        <sz val="10"/>
        <color theme="1"/>
        <rFont val="Calibri"/>
        <family val="2"/>
        <scheme val="minor"/>
      </rPr>
      <t>15</t>
    </r>
    <r>
      <rPr>
        <sz val="10"/>
        <color theme="1"/>
        <rFont val="Calibri"/>
        <family val="2"/>
        <scheme val="minor"/>
      </rPr>
      <t xml:space="preserve"> - Transportation services (e.g., handicapped parking spaces)
</t>
    </r>
    <r>
      <rPr>
        <b/>
        <sz val="10"/>
        <color theme="1"/>
        <rFont val="Calibri"/>
        <family val="2"/>
        <scheme val="minor"/>
      </rPr>
      <t>16</t>
    </r>
    <r>
      <rPr>
        <sz val="10"/>
        <color theme="1"/>
        <rFont val="Calibri"/>
        <family val="2"/>
        <scheme val="minor"/>
      </rPr>
      <t xml:space="preserve"> - Tutors
</t>
    </r>
    <r>
      <rPr>
        <b/>
        <sz val="10"/>
        <color theme="1"/>
        <rFont val="Calibri"/>
        <family val="2"/>
        <scheme val="minor"/>
      </rPr>
      <t>17</t>
    </r>
    <r>
      <rPr>
        <sz val="10"/>
        <color theme="1"/>
        <rFont val="Calibri"/>
        <family val="2"/>
        <scheme val="minor"/>
      </rPr>
      <t xml:space="preserve"> - Voice synthesizer speech programs, equipment
</t>
    </r>
    <r>
      <rPr>
        <b/>
        <sz val="10"/>
        <color theme="1"/>
        <rFont val="Calibri"/>
        <family val="2"/>
        <scheme val="minor"/>
      </rPr>
      <t>18</t>
    </r>
    <r>
      <rPr>
        <sz val="10"/>
        <color theme="1"/>
        <rFont val="Calibri"/>
        <family val="2"/>
        <scheme val="minor"/>
      </rPr>
      <t xml:space="preserve"> - Wheel chair accessibility
</t>
    </r>
    <r>
      <rPr>
        <b/>
        <sz val="10"/>
        <color theme="1"/>
        <rFont val="Calibri"/>
        <family val="2"/>
        <scheme val="minor"/>
      </rPr>
      <t>19</t>
    </r>
    <r>
      <rPr>
        <sz val="10"/>
        <color theme="1"/>
        <rFont val="Calibri"/>
        <family val="2"/>
        <scheme val="minor"/>
      </rPr>
      <t xml:space="preserve"> - Wheel chair
</t>
    </r>
    <r>
      <rPr>
        <b/>
        <sz val="10"/>
        <color theme="1"/>
        <rFont val="Calibri"/>
        <family val="2"/>
        <scheme val="minor"/>
      </rPr>
      <t>99</t>
    </r>
    <r>
      <rPr>
        <sz val="10"/>
        <color theme="1"/>
        <rFont val="Calibri"/>
        <family val="2"/>
        <scheme val="minor"/>
      </rPr>
      <t xml:space="preserve"> - Other type of accommodation
</t>
    </r>
  </si>
  <si>
    <t>Postsecondary -&gt; PS Student -&gt; Disability</t>
  </si>
  <si>
    <t>001277</t>
  </si>
  <si>
    <t>AccommodationsNeededType</t>
  </si>
  <si>
    <t>Accountability Report Title</t>
  </si>
  <si>
    <t>The title of the accountability report.</t>
  </si>
  <si>
    <t>K12 -&gt; LEA -&gt; Accountability</t>
  </si>
  <si>
    <t>000005</t>
  </si>
  <si>
    <t>AccountabilityReportTitle</t>
  </si>
  <si>
    <t>Accreditation Agency</t>
  </si>
  <si>
    <t>The agency that accredited a program.</t>
  </si>
  <si>
    <r>
      <t>NAEYC</t>
    </r>
    <r>
      <rPr>
        <sz val="10"/>
        <color theme="1"/>
        <rFont val="Calibri"/>
        <family val="2"/>
        <scheme val="minor"/>
      </rPr>
      <t xml:space="preserve"> - National Association for the Education of Young Children
</t>
    </r>
    <r>
      <rPr>
        <b/>
        <sz val="10"/>
        <color theme="1"/>
        <rFont val="Calibri"/>
        <family val="2"/>
        <scheme val="minor"/>
      </rPr>
      <t>NECPA</t>
    </r>
    <r>
      <rPr>
        <sz val="10"/>
        <color theme="1"/>
        <rFont val="Calibri"/>
        <family val="2"/>
        <scheme val="minor"/>
      </rPr>
      <t xml:space="preserve"> - National Early Childhood Program Accreditation
</t>
    </r>
    <r>
      <rPr>
        <b/>
        <sz val="10"/>
        <color theme="1"/>
        <rFont val="Calibri"/>
        <family val="2"/>
        <scheme val="minor"/>
      </rPr>
      <t>NAC</t>
    </r>
    <r>
      <rPr>
        <sz val="10"/>
        <color theme="1"/>
        <rFont val="Calibri"/>
        <family val="2"/>
        <scheme val="minor"/>
      </rPr>
      <t xml:space="preserve"> - National Accreditation Commission
</t>
    </r>
    <r>
      <rPr>
        <b/>
        <sz val="10"/>
        <color theme="1"/>
        <rFont val="Calibri"/>
        <family val="2"/>
        <scheme val="minor"/>
      </rPr>
      <t>COA</t>
    </r>
    <r>
      <rPr>
        <sz val="10"/>
        <color theme="1"/>
        <rFont val="Calibri"/>
        <family val="2"/>
        <scheme val="minor"/>
      </rPr>
      <t xml:space="preserve"> - Council on Accreditation
</t>
    </r>
    <r>
      <rPr>
        <b/>
        <sz val="10"/>
        <color theme="1"/>
        <rFont val="Calibri"/>
        <family val="2"/>
        <scheme val="minor"/>
      </rPr>
      <t>NAFCC</t>
    </r>
    <r>
      <rPr>
        <sz val="10"/>
        <color theme="1"/>
        <rFont val="Calibri"/>
        <family val="2"/>
        <scheme val="minor"/>
      </rPr>
      <t xml:space="preserve"> - National Association for Family Child Care
</t>
    </r>
    <r>
      <rPr>
        <b/>
        <sz val="10"/>
        <color theme="1"/>
        <rFont val="Calibri"/>
        <family val="2"/>
        <scheme val="minor"/>
      </rPr>
      <t>SACS</t>
    </r>
    <r>
      <rPr>
        <sz val="10"/>
        <color theme="1"/>
        <rFont val="Calibri"/>
        <family val="2"/>
        <scheme val="minor"/>
      </rPr>
      <t xml:space="preserve"> - Southern Association of Colleges and Schools
</t>
    </r>
    <r>
      <rPr>
        <b/>
        <sz val="10"/>
        <color theme="1"/>
        <rFont val="Calibri"/>
        <family val="2"/>
        <scheme val="minor"/>
      </rPr>
      <t>NotAccredited</t>
    </r>
    <r>
      <rPr>
        <sz val="10"/>
        <color theme="1"/>
        <rFont val="Calibri"/>
        <family val="2"/>
        <scheme val="minor"/>
      </rPr>
      <t xml:space="preserve"> - Not accredited
</t>
    </r>
    <r>
      <rPr>
        <b/>
        <sz val="10"/>
        <color theme="1"/>
        <rFont val="Calibri"/>
        <family val="2"/>
        <scheme val="minor"/>
      </rPr>
      <t>Other</t>
    </r>
    <r>
      <rPr>
        <sz val="10"/>
        <color theme="1"/>
        <rFont val="Calibri"/>
        <family val="2"/>
        <scheme val="minor"/>
      </rPr>
      <t xml:space="preserve"> - Other Accreditation Agency
</t>
    </r>
  </si>
  <si>
    <t>Early Learning -&gt; EL Organization -&gt; Accreditation</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</si>
  <si>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</si>
  <si>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</si>
  <si>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</si>
  <si>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</si>
  <si>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</si>
  <si>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</si>
  <si>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K12 -&gt; K12 School -&gt; Institution Characteristics</t>
  </si>
  <si>
    <t>Alphanumeric - 300 characters maximum</t>
  </si>
  <si>
    <t>001526</t>
  </si>
  <si>
    <t>AccreditationAgencyName</t>
  </si>
  <si>
    <t>Accreditation Award Date</t>
  </si>
  <si>
    <t>The year, month and day when an accreditation was awarded.</t>
  </si>
  <si>
    <t>Early Learning -&gt; EL Organization -&gt; Accreditation
K12 -&gt; K12 School -&gt; Institution Characteristics</t>
  </si>
  <si>
    <t>YYYY-MM-DD</t>
  </si>
  <si>
    <t>000840</t>
  </si>
  <si>
    <t>AccreditationAwardDate</t>
  </si>
  <si>
    <t>Accreditation Expiration Date</t>
  </si>
  <si>
    <t>The year, month and day when an accreditation expires.</t>
  </si>
  <si>
    <t>000841</t>
  </si>
  <si>
    <t>AccreditationExpirationDate</t>
  </si>
  <si>
    <t>Activity Description</t>
  </si>
  <si>
    <t>A description of the events and procedures that take place under the purview of an organized activity, such as a co-curricular or extra-curricular activity that is offered at an education institution.</t>
  </si>
  <si>
    <t>K12 -&gt; K12 Student -&gt; Academic Record -&gt; Activity
K12 -&gt; K12 Student -&gt; Enrollment -&gt; Activity
Postsecondary -&gt; PS Student -&gt; Academic Record -&gt; Activity</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</si>
  <si>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</si>
  <si>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</si>
  <si>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</si>
  <si>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</si>
  <si>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</si>
  <si>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</si>
  <si>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000006</t>
  </si>
  <si>
    <t>ActivityIdentifier</t>
  </si>
  <si>
    <t>An Identifier MAY be a Universally Unique Identifier (UUID) / Globally Unique Identifier (GUID), i.e.128-bit unique identifiers generated according to the algorithms and encoding standards of RFC 4122.</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</si>
  <si>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</si>
  <si>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</si>
  <si>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</si>
  <si>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</si>
  <si>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</si>
  <si>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</si>
  <si>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All CEDS Exit and End Dates represent the last day of the date range specified, such as the last day that a person was enrolled, participated, or received services.</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</si>
  <si>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</si>
  <si>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</si>
  <si>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</si>
  <si>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</si>
  <si>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</si>
  <si>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</si>
  <si>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</si>
  <si>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</si>
  <si>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</si>
  <si>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r>
      <t>WeeklyHours</t>
    </r>
    <r>
      <rPr>
        <sz val="10"/>
        <color theme="1"/>
        <rFont val="Calibri"/>
        <family val="2"/>
        <scheme val="minor"/>
      </rPr>
      <t xml:space="preserve"> - Weekly hours
</t>
    </r>
    <r>
      <rPr>
        <b/>
        <sz val="10"/>
        <color theme="1"/>
        <rFont val="Calibri"/>
        <family val="2"/>
        <scheme val="minor"/>
      </rPr>
      <t>YearlyWeeks</t>
    </r>
    <r>
      <rPr>
        <sz val="10"/>
        <color theme="1"/>
        <rFont val="Calibri"/>
        <family val="2"/>
        <scheme val="minor"/>
      </rPr>
      <t xml:space="preserve"> - Yearly weeks
</t>
    </r>
  </si>
  <si>
    <t>001528</t>
  </si>
  <si>
    <t>ActivityTimeMeasurementType</t>
  </si>
  <si>
    <t>Activity Title</t>
  </si>
  <si>
    <t>The title for a particular activity, such as a co-curricular or extra-curricular activity.</t>
  </si>
  <si>
    <t>Alphanumeric - 60 characters maximum</t>
  </si>
  <si>
    <t>000009</t>
  </si>
  <si>
    <t>ActivityTitle</t>
  </si>
  <si>
    <t>Additional Credit Type</t>
  </si>
  <si>
    <t>The type of credits or units of value available for the completion of a course in addition to Carnegie Units.</t>
  </si>
  <si>
    <r>
      <t>AdvancedPlacement</t>
    </r>
    <r>
      <rPr>
        <sz val="10"/>
        <color theme="1"/>
        <rFont val="Calibri"/>
        <family val="2"/>
        <scheme val="minor"/>
      </rPr>
      <t xml:space="preserve"> - Advanced Placement
</t>
    </r>
    <r>
      <rPr>
        <b/>
        <sz val="10"/>
        <color theme="1"/>
        <rFont val="Calibri"/>
        <family val="2"/>
        <scheme val="minor"/>
      </rPr>
      <t>ApprenticeshipCredit</t>
    </r>
    <r>
      <rPr>
        <sz val="10"/>
        <color theme="1"/>
        <rFont val="Calibri"/>
        <family val="2"/>
        <scheme val="minor"/>
      </rPr>
      <t xml:space="preserve"> - Apprenticeship Credit
</t>
    </r>
    <r>
      <rPr>
        <b/>
        <sz val="10"/>
        <color theme="1"/>
        <rFont val="Calibri"/>
        <family val="2"/>
        <scheme val="minor"/>
      </rPr>
      <t>CTE</t>
    </r>
    <r>
      <rPr>
        <sz val="10"/>
        <color theme="1"/>
        <rFont val="Calibri"/>
        <family val="2"/>
        <scheme val="minor"/>
      </rPr>
      <t xml:space="preserve"> - Career and Technical Education
</t>
    </r>
    <r>
      <rPr>
        <b/>
        <sz val="10"/>
        <color theme="1"/>
        <rFont val="Calibri"/>
        <family val="2"/>
        <scheme val="minor"/>
      </rPr>
      <t>DualCredit</t>
    </r>
    <r>
      <rPr>
        <sz val="10"/>
        <color theme="1"/>
        <rFont val="Calibri"/>
        <family val="2"/>
        <scheme val="minor"/>
      </rPr>
      <t xml:space="preserve"> - Dual Credit
</t>
    </r>
    <r>
      <rPr>
        <b/>
        <sz val="10"/>
        <color theme="1"/>
        <rFont val="Calibri"/>
        <family val="2"/>
        <scheme val="minor"/>
      </rPr>
      <t>InternationalBaccalaureate</t>
    </r>
    <r>
      <rPr>
        <sz val="10"/>
        <color theme="1"/>
        <rFont val="Calibri"/>
        <family val="2"/>
        <scheme val="minor"/>
      </rPr>
      <t xml:space="preserve"> - International Baccalaureate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QualifiedAdmission</t>
    </r>
    <r>
      <rPr>
        <sz val="10"/>
        <color theme="1"/>
        <rFont val="Calibri"/>
        <family val="2"/>
        <scheme val="minor"/>
      </rPr>
      <t xml:space="preserve"> - Qualified Admission
</t>
    </r>
    <r>
      <rPr>
        <b/>
        <sz val="10"/>
        <color theme="1"/>
        <rFont val="Calibri"/>
        <family val="2"/>
        <scheme val="minor"/>
      </rPr>
      <t>STEM</t>
    </r>
    <r>
      <rPr>
        <sz val="10"/>
        <color theme="1"/>
        <rFont val="Calibri"/>
        <family val="2"/>
        <scheme val="minor"/>
      </rPr>
      <t xml:space="preserve"> - Science, Technology, Engineering and Mathematics
</t>
    </r>
    <r>
      <rPr>
        <b/>
        <sz val="10"/>
        <color theme="1"/>
        <rFont val="Calibri"/>
        <family val="2"/>
        <scheme val="minor"/>
      </rPr>
      <t>CTEAndAcademic</t>
    </r>
    <r>
      <rPr>
        <sz val="10"/>
        <color theme="1"/>
        <rFont val="Calibri"/>
        <family val="2"/>
        <scheme val="minor"/>
      </rPr>
      <t xml:space="preserve"> - Simultaneous CTE and Academic Credit
</t>
    </r>
    <r>
      <rPr>
        <b/>
        <sz val="10"/>
        <color theme="1"/>
        <rFont val="Calibri"/>
        <family val="2"/>
        <scheme val="minor"/>
      </rPr>
      <t>StateScholarship</t>
    </r>
    <r>
      <rPr>
        <sz val="10"/>
        <color theme="1"/>
        <rFont val="Calibri"/>
        <family val="2"/>
        <scheme val="minor"/>
      </rPr>
      <t xml:space="preserve"> - State Scholarship
</t>
    </r>
  </si>
  <si>
    <t>Adult Education -&gt; Course Section
Career and Technical -&gt; Course
Career and Technical -&gt; Course Section
K12 -&gt; Course Section
K12 -&gt; K12 Course</t>
  </si>
  <si>
    <t>000596</t>
  </si>
  <si>
    <t>AdditionalCreditType</t>
  </si>
  <si>
    <t>Additional Targeted Support and Improvement Status</t>
  </si>
  <si>
    <t>The designation given to a school by the state for additional targeted support and improvement as part of its statewide system of annual meaningful differentiation.</t>
  </si>
  <si>
    <r>
      <t>ADDLTSI</t>
    </r>
    <r>
      <rPr>
        <sz val="10"/>
        <color theme="1"/>
        <rFont val="Calibri"/>
        <family val="2"/>
        <scheme val="minor"/>
      </rPr>
      <t xml:space="preserve"> - Additional targeted support and improvement
</t>
    </r>
    <r>
      <rPr>
        <b/>
        <sz val="10"/>
        <color theme="1"/>
        <rFont val="Calibri"/>
        <family val="2"/>
        <scheme val="minor"/>
      </rPr>
      <t>NOTADDLTSI</t>
    </r>
    <r>
      <rPr>
        <sz val="10"/>
        <color theme="1"/>
        <rFont val="Calibri"/>
        <family val="2"/>
        <scheme val="minor"/>
      </rPr>
      <t xml:space="preserve"> - Not additional targeted support and improvement
</t>
    </r>
  </si>
  <si>
    <t>K12 -&gt; K12 School -&gt; Accountability (added)</t>
  </si>
  <si>
    <t>New</t>
  </si>
  <si>
    <t>Added element to support EDFacts.</t>
  </si>
  <si>
    <t>001925</t>
  </si>
  <si>
    <t>AdditionalTargetedSupportAndImprovementStatus</t>
  </si>
  <si>
    <t>Address Apartment Room or Suite Number</t>
  </si>
  <si>
    <t>The apartment, room, or suite number of an address.</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</si>
  <si>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EL Staff -&gt; Professional Development -&gt; Instructor
Early Learning -&gt; EL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</si>
  <si>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Updated</t>
  </si>
  <si>
    <t>Increased the max size limit.</t>
  </si>
  <si>
    <t>000019</t>
  </si>
  <si>
    <t>AddressApartmentRoomOrSuiteNumber</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</si>
  <si>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</si>
  <si>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Address City</t>
  </si>
  <si>
    <t>The name of the city in which an address is located.</t>
  </si>
  <si>
    <t>000040</t>
  </si>
  <si>
    <t>AddressCity</t>
  </si>
  <si>
    <t>Address County Name</t>
  </si>
  <si>
    <t>The name of the county, parish, borough, or comparable unit (within a state) in which an address is located.</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</si>
  <si>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</si>
  <si>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</si>
  <si>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</si>
  <si>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</si>
  <si>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</si>
  <si>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</si>
  <si>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</si>
  <si>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</si>
  <si>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</si>
  <si>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</si>
  <si>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Alphanumeric - 150 characters maximum</t>
  </si>
  <si>
    <t>000269</t>
  </si>
  <si>
    <t>AddressStreetNumberAndName</t>
  </si>
  <si>
    <t>Address Type for Learner or Family</t>
  </si>
  <si>
    <t>The type of address listed for a learner or a parent, guardian, family member or related person.</t>
  </si>
  <si>
    <r>
      <t>Mailing</t>
    </r>
    <r>
      <rPr>
        <sz val="10"/>
        <color theme="1"/>
        <rFont val="Calibri"/>
        <family val="2"/>
        <scheme val="minor"/>
      </rPr>
      <t xml:space="preserve"> - Mailing
</t>
    </r>
    <r>
      <rPr>
        <b/>
        <sz val="10"/>
        <color theme="1"/>
        <rFont val="Calibri"/>
        <family val="2"/>
        <scheme val="minor"/>
      </rPr>
      <t>Physical</t>
    </r>
    <r>
      <rPr>
        <sz val="10"/>
        <color theme="1"/>
        <rFont val="Calibri"/>
        <family val="2"/>
        <scheme val="minor"/>
      </rPr>
      <t xml:space="preserve"> - Physical
</t>
    </r>
    <r>
      <rPr>
        <b/>
        <sz val="10"/>
        <color theme="1"/>
        <rFont val="Calibri"/>
        <family val="2"/>
        <scheme val="minor"/>
      </rPr>
      <t>Shipping</t>
    </r>
    <r>
      <rPr>
        <sz val="10"/>
        <color theme="1"/>
        <rFont val="Calibri"/>
        <family val="2"/>
        <scheme val="minor"/>
      </rPr>
      <t xml:space="preserve"> - Shipping
</t>
    </r>
    <r>
      <rPr>
        <b/>
        <sz val="10"/>
        <color theme="1"/>
        <rFont val="Calibri"/>
        <family val="2"/>
        <scheme val="minor"/>
      </rPr>
      <t>Billing</t>
    </r>
    <r>
      <rPr>
        <sz val="10"/>
        <color theme="1"/>
        <rFont val="Calibri"/>
        <family val="2"/>
        <scheme val="minor"/>
      </rPr>
      <t xml:space="preserve"> - Billing address
</t>
    </r>
    <r>
      <rPr>
        <b/>
        <sz val="10"/>
        <color theme="1"/>
        <rFont val="Calibri"/>
        <family val="2"/>
        <scheme val="minor"/>
      </rPr>
      <t>OnCampus</t>
    </r>
    <r>
      <rPr>
        <sz val="10"/>
        <color theme="1"/>
        <rFont val="Calibri"/>
        <family val="2"/>
        <scheme val="minor"/>
      </rPr>
      <t xml:space="preserve"> - On campus
</t>
    </r>
    <r>
      <rPr>
        <b/>
        <sz val="10"/>
        <color theme="1"/>
        <rFont val="Calibri"/>
        <family val="2"/>
        <scheme val="minor"/>
      </rPr>
      <t>OffCampus</t>
    </r>
    <r>
      <rPr>
        <sz val="10"/>
        <color theme="1"/>
        <rFont val="Calibri"/>
        <family val="2"/>
        <scheme val="minor"/>
      </rPr>
      <t xml:space="preserve"> - Off-campus, temporary
</t>
    </r>
    <r>
      <rPr>
        <b/>
        <sz val="10"/>
        <color theme="1"/>
        <rFont val="Calibri"/>
        <family val="2"/>
        <scheme val="minor"/>
      </rPr>
      <t>PermanentStudent</t>
    </r>
    <r>
      <rPr>
        <sz val="10"/>
        <color theme="1"/>
        <rFont val="Calibri"/>
        <family val="2"/>
        <scheme val="minor"/>
      </rPr>
      <t xml:space="preserve"> - Permanent, student
</t>
    </r>
    <r>
      <rPr>
        <b/>
        <sz val="10"/>
        <color theme="1"/>
        <rFont val="Calibri"/>
        <family val="2"/>
        <scheme val="minor"/>
      </rPr>
      <t>PermanentAdmission</t>
    </r>
    <r>
      <rPr>
        <sz val="10"/>
        <color theme="1"/>
        <rFont val="Calibri"/>
        <family val="2"/>
        <scheme val="minor"/>
      </rPr>
      <t xml:space="preserve"> - Permanent, at time of admission
</t>
    </r>
    <r>
      <rPr>
        <b/>
        <sz val="10"/>
        <color theme="1"/>
        <rFont val="Calibri"/>
        <family val="2"/>
        <scheme val="minor"/>
      </rPr>
      <t>FatherAddress</t>
    </r>
    <r>
      <rPr>
        <sz val="10"/>
        <color theme="1"/>
        <rFont val="Calibri"/>
        <family val="2"/>
        <scheme val="minor"/>
      </rPr>
      <t xml:space="preserve"> - Father's address
</t>
    </r>
    <r>
      <rPr>
        <b/>
        <sz val="10"/>
        <color theme="1"/>
        <rFont val="Calibri"/>
        <family val="2"/>
        <scheme val="minor"/>
      </rPr>
      <t>MotherAddress</t>
    </r>
    <r>
      <rPr>
        <sz val="10"/>
        <color theme="1"/>
        <rFont val="Calibri"/>
        <family val="2"/>
        <scheme val="minor"/>
      </rPr>
      <t xml:space="preserve"> - Mother's address
</t>
    </r>
    <r>
      <rPr>
        <b/>
        <sz val="10"/>
        <color theme="1"/>
        <rFont val="Calibri"/>
        <family val="2"/>
        <scheme val="minor"/>
      </rPr>
      <t>GuardianAddress</t>
    </r>
    <r>
      <rPr>
        <sz val="10"/>
        <color theme="1"/>
        <rFont val="Calibri"/>
        <family val="2"/>
        <scheme val="minor"/>
      </rPr>
      <t xml:space="preserve"> - Guardian's address
</t>
    </r>
  </si>
  <si>
    <t>Adult Education -&gt; AE Student -&gt; Contact -&gt; Address
Career and Technical -&gt; CTE Student -&gt; Contact -&gt; Address
Early Learning -&gt; EL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</si>
  <si>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000010</t>
  </si>
  <si>
    <t>AddressTypeForLearnerOrFamily</t>
  </si>
  <si>
    <t>Postsecondary Education -&gt; Complete College America
Postsecondary Education -&gt; IPEDS</t>
  </si>
  <si>
    <t>Address Type for Organization</t>
  </si>
  <si>
    <t>The type of address listed for an organization.</t>
  </si>
  <si>
    <r>
      <t>Mailing</t>
    </r>
    <r>
      <rPr>
        <sz val="10"/>
        <color theme="1"/>
        <rFont val="Calibri"/>
        <family val="2"/>
        <scheme val="minor"/>
      </rPr>
      <t xml:space="preserve"> - Mailing
</t>
    </r>
    <r>
      <rPr>
        <b/>
        <sz val="10"/>
        <color theme="1"/>
        <rFont val="Calibri"/>
        <family val="2"/>
        <scheme val="minor"/>
      </rPr>
      <t>Physical</t>
    </r>
    <r>
      <rPr>
        <sz val="10"/>
        <color theme="1"/>
        <rFont val="Calibri"/>
        <family val="2"/>
        <scheme val="minor"/>
      </rPr>
      <t xml:space="preserve"> - Physical
</t>
    </r>
    <r>
      <rPr>
        <b/>
        <sz val="10"/>
        <color theme="1"/>
        <rFont val="Calibri"/>
        <family val="2"/>
        <scheme val="minor"/>
      </rPr>
      <t>Shipping</t>
    </r>
    <r>
      <rPr>
        <sz val="10"/>
        <color theme="1"/>
        <rFont val="Calibri"/>
        <family val="2"/>
        <scheme val="minor"/>
      </rPr>
      <t xml:space="preserve"> - Shipping
</t>
    </r>
  </si>
  <si>
    <t>Early Learning -&gt; EL Organization -&gt; Address
Early Learning -&gt; EL Organization -&gt; Contact -&gt; Address
Facilities -&gt; Facility -&gt; Address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t>
  </si>
  <si>
    <t>001066</t>
  </si>
  <si>
    <t>AddressTypeForOrganization</t>
  </si>
  <si>
    <t>Address Type for Staff</t>
  </si>
  <si>
    <t>The address type for a staff member.</t>
  </si>
  <si>
    <r>
      <t>Mailing</t>
    </r>
    <r>
      <rPr>
        <sz val="10"/>
        <color theme="1"/>
        <rFont val="Calibri"/>
        <family val="2"/>
        <scheme val="minor"/>
      </rPr>
      <t xml:space="preserve"> - Mailing
</t>
    </r>
    <r>
      <rPr>
        <b/>
        <sz val="10"/>
        <color theme="1"/>
        <rFont val="Calibri"/>
        <family val="2"/>
        <scheme val="minor"/>
      </rPr>
      <t>Physical</t>
    </r>
    <r>
      <rPr>
        <sz val="10"/>
        <color theme="1"/>
        <rFont val="Calibri"/>
        <family val="2"/>
        <scheme val="minor"/>
      </rPr>
      <t xml:space="preserve"> - Physical
</t>
    </r>
    <r>
      <rPr>
        <b/>
        <sz val="10"/>
        <color theme="1"/>
        <rFont val="Calibri"/>
        <family val="2"/>
        <scheme val="minor"/>
      </rPr>
      <t>OtherHome</t>
    </r>
    <r>
      <rPr>
        <sz val="10"/>
        <color theme="1"/>
        <rFont val="Calibri"/>
        <family val="2"/>
        <scheme val="minor"/>
      </rPr>
      <t xml:space="preserve"> - Other home address
</t>
    </r>
    <r>
      <rPr>
        <b/>
        <sz val="10"/>
        <color theme="1"/>
        <rFont val="Calibri"/>
        <family val="2"/>
        <scheme val="minor"/>
      </rPr>
      <t>Employers</t>
    </r>
    <r>
      <rPr>
        <sz val="10"/>
        <color theme="1"/>
        <rFont val="Calibri"/>
        <family val="2"/>
        <scheme val="minor"/>
      </rPr>
      <t xml:space="preserve"> - Employer's address
</t>
    </r>
    <r>
      <rPr>
        <b/>
        <sz val="10"/>
        <color theme="1"/>
        <rFont val="Calibri"/>
        <family val="2"/>
        <scheme val="minor"/>
      </rPr>
      <t>Employment</t>
    </r>
    <r>
      <rPr>
        <sz val="10"/>
        <color theme="1"/>
        <rFont val="Calibri"/>
        <family val="2"/>
        <scheme val="minor"/>
      </rPr>
      <t xml:space="preserve"> - Employment address
</t>
    </r>
    <r>
      <rPr>
        <b/>
        <sz val="10"/>
        <color theme="1"/>
        <rFont val="Calibri"/>
        <family val="2"/>
        <scheme val="minor"/>
      </rPr>
      <t>Billing</t>
    </r>
    <r>
      <rPr>
        <sz val="10"/>
        <color theme="1"/>
        <rFont val="Calibri"/>
        <family val="2"/>
        <scheme val="minor"/>
      </rPr>
      <t xml:space="preserve"> - Billing address
</t>
    </r>
  </si>
  <si>
    <t>Adult Education -&gt; AE Staff -&gt; Contact -&gt; Address
Career and Technical -&gt; CTE Staff -&gt; Contact -&gt; Address
Early Learning -&gt; EL Staff -&gt; Contact -&gt; Address
Early Learning -&gt; EL Staff -&gt; Professional Development -&gt; Instructor
K12 -&gt; K12 Staff -&gt; Contact -&gt; Address
K12 -&gt; K12 Staff -&gt; Professional Development -&gt; Instructor
K12 -&gt; SEA -&gt; Contact -&gt; Address
Postsecondary -&gt; PS Staff -&gt; Contact -&gt; Address</t>
  </si>
  <si>
    <t>000722</t>
  </si>
  <si>
    <t>AddressTypeForStaff</t>
  </si>
  <si>
    <t>Early Learning -&gt; Staff Quality</t>
  </si>
  <si>
    <t>Adequate Yearly Progress Appeal Changed Designation</t>
  </si>
  <si>
    <t>An indication that the appeal resulted in a change in a school or district's AYP designation.</t>
  </si>
  <si>
    <t>K12 -&gt; K12 School -&gt; Accountability
K12 -&gt; LEA -&gt; Accountability</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</si>
  <si>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</si>
  <si>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</si>
  <si>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</si>
  <si>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</si>
  <si>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</si>
  <si>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</si>
  <si>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</si>
  <si>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</si>
  <si>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</si>
  <si>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</si>
  <si>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</si>
  <si>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r>
      <t>Yes</t>
    </r>
    <r>
      <rPr>
        <sz val="10"/>
        <color theme="1"/>
        <rFont val="Calibri"/>
        <family val="2"/>
        <scheme val="minor"/>
      </rPr>
      <t xml:space="preserve"> - Yes
</t>
    </r>
    <r>
      <rPr>
        <b/>
        <sz val="10"/>
        <color theme="1"/>
        <rFont val="Calibri"/>
        <family val="2"/>
        <scheme val="minor"/>
      </rPr>
      <t>YesGrowth</t>
    </r>
    <r>
      <rPr>
        <sz val="10"/>
        <color theme="1"/>
        <rFont val="Calibri"/>
        <family val="2"/>
        <scheme val="minor"/>
      </rPr>
      <t xml:space="preserve"> - Yes Growth
</t>
    </r>
    <r>
      <rPr>
        <b/>
        <sz val="10"/>
        <color theme="1"/>
        <rFont val="Calibri"/>
        <family val="2"/>
        <scheme val="minor"/>
      </rPr>
      <t>No</t>
    </r>
    <r>
      <rPr>
        <sz val="10"/>
        <color theme="1"/>
        <rFont val="Calibri"/>
        <family val="2"/>
        <scheme val="minor"/>
      </rPr>
      <t xml:space="preserve"> - No
</t>
    </r>
    <r>
      <rPr>
        <b/>
        <sz val="10"/>
        <color theme="1"/>
        <rFont val="Calibri"/>
        <family val="2"/>
        <scheme val="minor"/>
      </rPr>
      <t>NA</t>
    </r>
    <r>
      <rPr>
        <sz val="10"/>
        <color theme="1"/>
        <rFont val="Calibri"/>
        <family val="2"/>
        <scheme val="minor"/>
      </rPr>
      <t xml:space="preserve"> - Not applicable
</t>
    </r>
  </si>
  <si>
    <t>K12 -&gt; K12 School -&gt; Accountability
K12 -&gt; LEA -&gt; Accountability
K12 -&gt; SEA -&gt; Accountability</t>
  </si>
  <si>
    <t>000011</t>
  </si>
  <si>
    <t>AYP Status</t>
  </si>
  <si>
    <t>AYPStatus</t>
  </si>
  <si>
    <t>K-12 -&gt; EDFacts</t>
  </si>
  <si>
    <t>Administrative Funding Control</t>
  </si>
  <si>
    <t>The type of education institution as classified by its funding source.</t>
  </si>
  <si>
    <r>
      <t>Public</t>
    </r>
    <r>
      <rPr>
        <sz val="10"/>
        <color theme="1"/>
        <rFont val="Calibri"/>
        <family val="2"/>
        <scheme val="minor"/>
      </rPr>
      <t xml:space="preserve"> - Public School
</t>
    </r>
    <r>
      <rPr>
        <b/>
        <sz val="10"/>
        <color theme="1"/>
        <rFont val="Calibri"/>
        <family val="2"/>
        <scheme val="minor"/>
      </rPr>
      <t>Private</t>
    </r>
    <r>
      <rPr>
        <sz val="10"/>
        <color theme="1"/>
        <rFont val="Calibri"/>
        <family val="2"/>
        <scheme val="minor"/>
      </rPr>
      <t xml:space="preserve"> - Private School
</t>
    </r>
    <r>
      <rPr>
        <b/>
        <sz val="10"/>
        <color theme="1"/>
        <rFont val="Calibri"/>
        <family val="2"/>
        <scheme val="minor"/>
      </rPr>
      <t>Other</t>
    </r>
    <r>
      <rPr>
        <sz val="10"/>
        <color theme="1"/>
        <rFont val="Calibri"/>
        <family val="2"/>
        <scheme val="minor"/>
      </rPr>
      <t xml:space="preserve"> - Other
</t>
    </r>
  </si>
  <si>
    <t>K12 -&gt; K12 School -&gt; Directory</t>
  </si>
  <si>
    <t>000012</t>
  </si>
  <si>
    <t>AdministrativeFundingControl</t>
  </si>
  <si>
    <t>Administrative Policy Type</t>
  </si>
  <si>
    <t>A type of administrative policy used by a program.</t>
  </si>
  <si>
    <r>
      <t>01</t>
    </r>
    <r>
      <rPr>
        <sz val="10"/>
        <color theme="1"/>
        <rFont val="Calibri"/>
        <family val="2"/>
        <scheme val="minor"/>
      </rPr>
      <t xml:space="preserve"> - Risk management plan
</t>
    </r>
    <r>
      <rPr>
        <b/>
        <sz val="10"/>
        <color theme="1"/>
        <rFont val="Calibri"/>
        <family val="2"/>
        <scheme val="minor"/>
      </rPr>
      <t>02</t>
    </r>
    <r>
      <rPr>
        <sz val="10"/>
        <color theme="1"/>
        <rFont val="Calibri"/>
        <family val="2"/>
        <scheme val="minor"/>
      </rPr>
      <t xml:space="preserve"> - Financial records
</t>
    </r>
    <r>
      <rPr>
        <b/>
        <sz val="10"/>
        <color theme="1"/>
        <rFont val="Calibri"/>
        <family val="2"/>
        <scheme val="minor"/>
      </rPr>
      <t>03</t>
    </r>
    <r>
      <rPr>
        <sz val="10"/>
        <color theme="1"/>
        <rFont val="Calibri"/>
        <family val="2"/>
        <scheme val="minor"/>
      </rPr>
      <t xml:space="preserve"> - Program administration and plan
</t>
    </r>
    <r>
      <rPr>
        <b/>
        <sz val="10"/>
        <color theme="1"/>
        <rFont val="Calibri"/>
        <family val="2"/>
        <scheme val="minor"/>
      </rPr>
      <t>04</t>
    </r>
    <r>
      <rPr>
        <sz val="10"/>
        <color theme="1"/>
        <rFont val="Calibri"/>
        <family val="2"/>
        <scheme val="minor"/>
      </rPr>
      <t xml:space="preserve"> - Marketing strategy
</t>
    </r>
    <r>
      <rPr>
        <b/>
        <sz val="10"/>
        <color theme="1"/>
        <rFont val="Calibri"/>
        <family val="2"/>
        <scheme val="minor"/>
      </rPr>
      <t>05</t>
    </r>
    <r>
      <rPr>
        <sz val="10"/>
        <color theme="1"/>
        <rFont val="Calibri"/>
        <family val="2"/>
        <scheme val="minor"/>
      </rPr>
      <t xml:space="preserve"> - Written program policies
</t>
    </r>
    <r>
      <rPr>
        <b/>
        <sz val="10"/>
        <color theme="1"/>
        <rFont val="Calibri"/>
        <family val="2"/>
        <scheme val="minor"/>
      </rPr>
      <t>06</t>
    </r>
    <r>
      <rPr>
        <sz val="10"/>
        <color theme="1"/>
        <rFont val="Calibri"/>
        <family val="2"/>
        <scheme val="minor"/>
      </rPr>
      <t xml:space="preserve"> - Program self assessment
</t>
    </r>
    <r>
      <rPr>
        <b/>
        <sz val="10"/>
        <color theme="1"/>
        <rFont val="Calibri"/>
        <family val="2"/>
        <scheme val="minor"/>
      </rPr>
      <t>99</t>
    </r>
    <r>
      <rPr>
        <sz val="10"/>
        <color theme="1"/>
        <rFont val="Calibri"/>
        <family val="2"/>
        <scheme val="minor"/>
      </rPr>
      <t xml:space="preserve"> - Other
</t>
    </r>
  </si>
  <si>
    <t>Early Learning -&gt; EL Organization -&gt; Policies</t>
  </si>
  <si>
    <t>More than one Administrative Policy Type may apply.</t>
  </si>
  <si>
    <t>000983</t>
  </si>
  <si>
    <t>AdministrativePolicyType</t>
  </si>
  <si>
    <t>Admission Consideration Level</t>
  </si>
  <si>
    <t>The level of consideration given a type of admission criteria used at an institution during the selection process.</t>
  </si>
  <si>
    <r>
      <t>Required</t>
    </r>
    <r>
      <rPr>
        <sz val="10"/>
        <color theme="1"/>
        <rFont val="Calibri"/>
        <family val="2"/>
        <scheme val="minor"/>
      </rPr>
      <t xml:space="preserve"> - Required
</t>
    </r>
    <r>
      <rPr>
        <b/>
        <sz val="10"/>
        <color theme="1"/>
        <rFont val="Calibri"/>
        <family val="2"/>
        <scheme val="minor"/>
      </rPr>
      <t>Recommended</t>
    </r>
    <r>
      <rPr>
        <sz val="10"/>
        <color theme="1"/>
        <rFont val="Calibri"/>
        <family val="2"/>
        <scheme val="minor"/>
      </rPr>
      <t xml:space="preserve"> - Recommended
</t>
    </r>
    <r>
      <rPr>
        <b/>
        <sz val="10"/>
        <color theme="1"/>
        <rFont val="Calibri"/>
        <family val="2"/>
        <scheme val="minor"/>
      </rPr>
      <t>NeitherRequiredRecommended</t>
    </r>
    <r>
      <rPr>
        <sz val="10"/>
        <color theme="1"/>
        <rFont val="Calibri"/>
        <family val="2"/>
        <scheme val="minor"/>
      </rPr>
      <t xml:space="preserve"> - Neither Required nor Recommended
</t>
    </r>
    <r>
      <rPr>
        <b/>
        <sz val="10"/>
        <color theme="1"/>
        <rFont val="Calibri"/>
        <family val="2"/>
        <scheme val="minor"/>
      </rPr>
      <t>DontKnow</t>
    </r>
    <r>
      <rPr>
        <sz val="10"/>
        <color theme="1"/>
        <rFont val="Calibri"/>
        <family val="2"/>
        <scheme val="minor"/>
      </rPr>
      <t xml:space="preserve"> - Don't Know
</t>
    </r>
  </si>
  <si>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</si>
  <si>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</si>
  <si>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</si>
  <si>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</si>
  <si>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</si>
  <si>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</si>
  <si>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r>
      <t>SecondarySchoolGPA</t>
    </r>
    <r>
      <rPr>
        <sz val="10"/>
        <color theme="1"/>
        <rFont val="Calibri"/>
        <family val="2"/>
        <scheme val="minor"/>
      </rPr>
      <t xml:space="preserve"> - Secondary school GPA
</t>
    </r>
    <r>
      <rPr>
        <b/>
        <sz val="10"/>
        <color theme="1"/>
        <rFont val="Calibri"/>
        <family val="2"/>
        <scheme val="minor"/>
      </rPr>
      <t>SecondarySchoolRank</t>
    </r>
    <r>
      <rPr>
        <sz val="10"/>
        <color theme="1"/>
        <rFont val="Calibri"/>
        <family val="2"/>
        <scheme val="minor"/>
      </rPr>
      <t xml:space="preserve"> - Secondary school rank
</t>
    </r>
    <r>
      <rPr>
        <b/>
        <sz val="10"/>
        <color theme="1"/>
        <rFont val="Calibri"/>
        <family val="2"/>
        <scheme val="minor"/>
      </rPr>
      <t>SecondarySchoolRecord</t>
    </r>
    <r>
      <rPr>
        <sz val="10"/>
        <color theme="1"/>
        <rFont val="Calibri"/>
        <family val="2"/>
        <scheme val="minor"/>
      </rPr>
      <t xml:space="preserve"> - Secondary school record
</t>
    </r>
    <r>
      <rPr>
        <b/>
        <sz val="10"/>
        <color theme="1"/>
        <rFont val="Calibri"/>
        <family val="2"/>
        <scheme val="minor"/>
      </rPr>
      <t>CompletionOfCollegePrepProgram</t>
    </r>
    <r>
      <rPr>
        <sz val="10"/>
        <color theme="1"/>
        <rFont val="Calibri"/>
        <family val="2"/>
        <scheme val="minor"/>
      </rPr>
      <t xml:space="preserve"> - Completion of college-preparatory program
</t>
    </r>
    <r>
      <rPr>
        <b/>
        <sz val="10"/>
        <color theme="1"/>
        <rFont val="Calibri"/>
        <family val="2"/>
        <scheme val="minor"/>
      </rPr>
      <t>Recommendations</t>
    </r>
    <r>
      <rPr>
        <sz val="10"/>
        <color theme="1"/>
        <rFont val="Calibri"/>
        <family val="2"/>
        <scheme val="minor"/>
      </rPr>
      <t xml:space="preserve"> - Recommendations
</t>
    </r>
    <r>
      <rPr>
        <b/>
        <sz val="10"/>
        <color theme="1"/>
        <rFont val="Calibri"/>
        <family val="2"/>
        <scheme val="minor"/>
      </rPr>
      <t>FormalDemonstrationOfCompetencies</t>
    </r>
    <r>
      <rPr>
        <sz val="10"/>
        <color theme="1"/>
        <rFont val="Calibri"/>
        <family val="2"/>
        <scheme val="minor"/>
      </rPr>
      <t xml:space="preserve"> - Formal demonstration of competencies (e.g., portfolios, certificates of mastery, assessment instruments)
</t>
    </r>
    <r>
      <rPr>
        <b/>
        <sz val="10"/>
        <color theme="1"/>
        <rFont val="Calibri"/>
        <family val="2"/>
        <scheme val="minor"/>
      </rPr>
      <t>AdmissionTestScores</t>
    </r>
    <r>
      <rPr>
        <sz val="10"/>
        <color theme="1"/>
        <rFont val="Calibri"/>
        <family val="2"/>
        <scheme val="minor"/>
      </rPr>
      <t xml:space="preserve"> - Admission test scores
</t>
    </r>
    <r>
      <rPr>
        <b/>
        <sz val="10"/>
        <color theme="1"/>
        <rFont val="Calibri"/>
        <family val="2"/>
        <scheme val="minor"/>
      </rPr>
      <t>SAT_ACT</t>
    </r>
    <r>
      <rPr>
        <sz val="10"/>
        <color theme="1"/>
        <rFont val="Calibri"/>
        <family val="2"/>
        <scheme val="minor"/>
      </rPr>
      <t xml:space="preserve"> - SAT / ACT
</t>
    </r>
    <r>
      <rPr>
        <b/>
        <sz val="10"/>
        <color theme="1"/>
        <rFont val="Calibri"/>
        <family val="2"/>
        <scheme val="minor"/>
      </rPr>
      <t>TOEFL</t>
    </r>
    <r>
      <rPr>
        <sz val="10"/>
        <color theme="1"/>
        <rFont val="Calibri"/>
        <family val="2"/>
        <scheme val="minor"/>
      </rPr>
      <t xml:space="preserve"> - Test of English as a Foreign Language
</t>
    </r>
    <r>
      <rPr>
        <b/>
        <sz val="10"/>
        <color theme="1"/>
        <rFont val="Calibri"/>
        <family val="2"/>
        <scheme val="minor"/>
      </rPr>
      <t>OtherTest</t>
    </r>
    <r>
      <rPr>
        <sz val="10"/>
        <color theme="1"/>
        <rFont val="Calibri"/>
        <family val="2"/>
        <scheme val="minor"/>
      </rPr>
      <t xml:space="preserve"> - Other Test (ABT, Wonderlic, WISC-III, etc.)
</t>
    </r>
  </si>
  <si>
    <t>001580</t>
  </si>
  <si>
    <t>AdmissionConsiderationType</t>
  </si>
  <si>
    <t>Admitted Student</t>
  </si>
  <si>
    <t>Applicant who has been granted an official offer to enroll in a postsecondary institution. Admitted applicants should include wait-listed students who were subsequently offered admission.</t>
  </si>
  <si>
    <r>
      <t>Conditional</t>
    </r>
    <r>
      <rPr>
        <sz val="10"/>
        <color theme="1"/>
        <rFont val="Calibri"/>
        <family val="2"/>
        <scheme val="minor"/>
      </rPr>
      <t xml:space="preserve"> - Conditional Admit
</t>
    </r>
    <r>
      <rPr>
        <b/>
        <sz val="10"/>
        <color theme="1"/>
        <rFont val="Calibri"/>
        <family val="2"/>
        <scheme val="minor"/>
      </rPr>
      <t>EarlyAction</t>
    </r>
    <r>
      <rPr>
        <sz val="10"/>
        <color theme="1"/>
        <rFont val="Calibri"/>
        <family val="2"/>
        <scheme val="minor"/>
      </rPr>
      <t xml:space="preserve"> - Early Action
</t>
    </r>
    <r>
      <rPr>
        <b/>
        <sz val="10"/>
        <color theme="1"/>
        <rFont val="Calibri"/>
        <family val="2"/>
        <scheme val="minor"/>
      </rPr>
      <t>EarlyAdmit</t>
    </r>
    <r>
      <rPr>
        <sz val="10"/>
        <color theme="1"/>
        <rFont val="Calibri"/>
        <family val="2"/>
        <scheme val="minor"/>
      </rPr>
      <t xml:space="preserve"> - Early Admit
</t>
    </r>
    <r>
      <rPr>
        <b/>
        <sz val="10"/>
        <color theme="1"/>
        <rFont val="Calibri"/>
        <family val="2"/>
        <scheme val="minor"/>
      </rPr>
      <t>EarlyDecision</t>
    </r>
    <r>
      <rPr>
        <sz val="10"/>
        <color theme="1"/>
        <rFont val="Calibri"/>
        <family val="2"/>
        <scheme val="minor"/>
      </rPr>
      <t xml:space="preserve"> - Early Decision
</t>
    </r>
    <r>
      <rPr>
        <b/>
        <sz val="10"/>
        <color theme="1"/>
        <rFont val="Calibri"/>
        <family val="2"/>
        <scheme val="minor"/>
      </rPr>
      <t>Regular</t>
    </r>
    <r>
      <rPr>
        <sz val="10"/>
        <color theme="1"/>
        <rFont val="Calibri"/>
        <family val="2"/>
        <scheme val="minor"/>
      </rPr>
      <t xml:space="preserve"> - Regular Admit
</t>
    </r>
    <r>
      <rPr>
        <b/>
        <sz val="10"/>
        <color theme="1"/>
        <rFont val="Calibri"/>
        <family val="2"/>
        <scheme val="minor"/>
      </rPr>
      <t>Waitlist</t>
    </r>
    <r>
      <rPr>
        <sz val="10"/>
        <color theme="1"/>
        <rFont val="Calibri"/>
        <family val="2"/>
        <scheme val="minor"/>
      </rPr>
      <t xml:space="preserve"> - Waitlist Admit
</t>
    </r>
    <r>
      <rPr>
        <b/>
        <sz val="10"/>
        <color theme="1"/>
        <rFont val="Calibri"/>
        <family val="2"/>
        <scheme val="minor"/>
      </rPr>
      <t>Other</t>
    </r>
    <r>
      <rPr>
        <sz val="10"/>
        <color theme="1"/>
        <rFont val="Calibri"/>
        <family val="2"/>
        <scheme val="minor"/>
      </rPr>
      <t xml:space="preserve"> - Other Admit
</t>
    </r>
    <r>
      <rPr>
        <b/>
        <sz val="10"/>
        <color theme="1"/>
        <rFont val="Calibri"/>
        <family val="2"/>
        <scheme val="minor"/>
      </rPr>
      <t>No</t>
    </r>
    <r>
      <rPr>
        <sz val="10"/>
        <color theme="1"/>
        <rFont val="Calibri"/>
        <family val="2"/>
        <scheme val="minor"/>
      </rPr>
      <t xml:space="preserve"> - No
</t>
    </r>
  </si>
  <si>
    <t>Postsecondary -&gt; PS Applicant</t>
  </si>
  <si>
    <t>First sentence from IPEDS, not CDS; Second sentence from CDS instructions. All options except "No" should be able to be collapsed into "Yes" for IPEDS reporting.</t>
  </si>
  <si>
    <t>000756</t>
  </si>
  <si>
    <t>AdmittedStudent</t>
  </si>
  <si>
    <t>Postsecondary Education -&gt; Common Data Set</t>
  </si>
  <si>
    <t>Adult Education Certification Type</t>
  </si>
  <si>
    <t>An indication of the category of certification a person holds.</t>
  </si>
  <si>
    <r>
      <t>AdultEducationCertification</t>
    </r>
    <r>
      <rPr>
        <sz val="10"/>
        <color theme="1"/>
        <rFont val="Calibri"/>
        <family val="2"/>
        <scheme val="minor"/>
      </rPr>
      <t xml:space="preserve"> - Adult Education Certification
</t>
    </r>
    <r>
      <rPr>
        <b/>
        <sz val="10"/>
        <color theme="1"/>
        <rFont val="Calibri"/>
        <family val="2"/>
        <scheme val="minor"/>
      </rPr>
      <t>K-12Certification</t>
    </r>
    <r>
      <rPr>
        <sz val="10"/>
        <color theme="1"/>
        <rFont val="Calibri"/>
        <family val="2"/>
        <scheme val="minor"/>
      </rPr>
      <t xml:space="preserve"> - K-12 Certification
</t>
    </r>
    <r>
      <rPr>
        <b/>
        <sz val="10"/>
        <color theme="1"/>
        <rFont val="Calibri"/>
        <family val="2"/>
        <scheme val="minor"/>
      </rPr>
      <t>SpecialEducationCertification</t>
    </r>
    <r>
      <rPr>
        <sz val="10"/>
        <color theme="1"/>
        <rFont val="Calibri"/>
        <family val="2"/>
        <scheme val="minor"/>
      </rPr>
      <t xml:space="preserve"> - Special Education Certification
</t>
    </r>
    <r>
      <rPr>
        <b/>
        <sz val="10"/>
        <color theme="1"/>
        <rFont val="Calibri"/>
        <family val="2"/>
        <scheme val="minor"/>
      </rPr>
      <t>TESOLCertification</t>
    </r>
    <r>
      <rPr>
        <sz val="10"/>
        <color theme="1"/>
        <rFont val="Calibri"/>
        <family val="2"/>
        <scheme val="minor"/>
      </rPr>
      <t xml:space="preserve"> - Teachers of English to Speakers of Other Languages (TESOL) Certification
</t>
    </r>
    <r>
      <rPr>
        <b/>
        <sz val="10"/>
        <color theme="1"/>
        <rFont val="Calibri"/>
        <family val="2"/>
        <scheme val="minor"/>
      </rPr>
      <t>None</t>
    </r>
    <r>
      <rPr>
        <sz val="10"/>
        <color theme="1"/>
        <rFont val="Calibri"/>
        <family val="2"/>
        <scheme val="minor"/>
      </rPr>
      <t xml:space="preserve"> - None
</t>
    </r>
  </si>
  <si>
    <t>Adult Education -&gt; AE Staff -&gt; Certification</t>
  </si>
  <si>
    <t>001085</t>
  </si>
  <si>
    <t>AdultEducationCertificationType</t>
  </si>
  <si>
    <t>Adult Education Instructional Program Type</t>
  </si>
  <si>
    <t>The type of instructional program in which an adult is enrolled.</t>
  </si>
  <si>
    <r>
      <t>ABE</t>
    </r>
    <r>
      <rPr>
        <sz val="10"/>
        <color theme="1"/>
        <rFont val="Calibri"/>
        <family val="2"/>
        <scheme val="minor"/>
      </rPr>
      <t xml:space="preserve"> - Adult Basic Education
</t>
    </r>
    <r>
      <rPr>
        <b/>
        <sz val="10"/>
        <color theme="1"/>
        <rFont val="Calibri"/>
        <family val="2"/>
        <scheme val="minor"/>
      </rPr>
      <t>ASE</t>
    </r>
    <r>
      <rPr>
        <sz val="10"/>
        <color theme="1"/>
        <rFont val="Calibri"/>
        <family val="2"/>
        <scheme val="minor"/>
      </rPr>
      <t xml:space="preserve"> - Adult Secondary Education
</t>
    </r>
    <r>
      <rPr>
        <b/>
        <sz val="10"/>
        <color theme="1"/>
        <rFont val="Calibri"/>
        <family val="2"/>
        <scheme val="minor"/>
      </rPr>
      <t>ESL</t>
    </r>
    <r>
      <rPr>
        <sz val="10"/>
        <color theme="1"/>
        <rFont val="Calibri"/>
        <family val="2"/>
        <scheme val="minor"/>
      </rPr>
      <t xml:space="preserve"> - English as a Second Language/Civics
</t>
    </r>
  </si>
  <si>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</si>
  <si>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</si>
  <si>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</si>
  <si>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</si>
  <si>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</si>
  <si>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r>
      <t>NoInformation</t>
    </r>
    <r>
      <rPr>
        <sz val="10"/>
        <color theme="1"/>
        <rFont val="Calibri"/>
        <family val="2"/>
        <scheme val="minor"/>
      </rPr>
      <t xml:space="preserve"> - No information
</t>
    </r>
    <r>
      <rPr>
        <b/>
        <sz val="10"/>
        <color theme="1"/>
        <rFont val="Calibri"/>
        <family val="2"/>
        <scheme val="minor"/>
      </rPr>
      <t>Enrolled</t>
    </r>
    <r>
      <rPr>
        <sz val="10"/>
        <color theme="1"/>
        <rFont val="Calibri"/>
        <family val="2"/>
        <scheme val="minor"/>
      </rPr>
      <t xml:space="preserve"> - Enrolled
</t>
    </r>
    <r>
      <rPr>
        <b/>
        <sz val="10"/>
        <color theme="1"/>
        <rFont val="Calibri"/>
        <family val="2"/>
        <scheme val="minor"/>
      </rPr>
      <t>NotEnrolled</t>
    </r>
    <r>
      <rPr>
        <sz val="10"/>
        <color theme="1"/>
        <rFont val="Calibri"/>
        <family val="2"/>
        <scheme val="minor"/>
      </rPr>
      <t xml:space="preserve"> - Not enrolled
</t>
    </r>
  </si>
  <si>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</si>
  <si>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</si>
  <si>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</si>
  <si>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</si>
  <si>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</si>
  <si>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</si>
  <si>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</si>
  <si>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</si>
  <si>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r>
      <t>LEA</t>
    </r>
    <r>
      <rPr>
        <sz val="10"/>
        <color theme="1"/>
        <rFont val="Calibri"/>
        <family val="2"/>
        <scheme val="minor"/>
      </rPr>
      <t xml:space="preserve"> - Local Education Agency
</t>
    </r>
    <r>
      <rPr>
        <b/>
        <sz val="10"/>
        <color theme="1"/>
        <rFont val="Calibri"/>
        <family val="2"/>
        <scheme val="minor"/>
      </rPr>
      <t>PostsecondaryInstitution</t>
    </r>
    <r>
      <rPr>
        <sz val="10"/>
        <color theme="1"/>
        <rFont val="Calibri"/>
        <family val="2"/>
        <scheme val="minor"/>
      </rPr>
      <t xml:space="preserve"> - Postsecondary Institution
</t>
    </r>
    <r>
      <rPr>
        <b/>
        <sz val="10"/>
        <color theme="1"/>
        <rFont val="Calibri"/>
        <family val="2"/>
        <scheme val="minor"/>
      </rPr>
      <t>CommunityBasedOrganization</t>
    </r>
    <r>
      <rPr>
        <sz val="10"/>
        <color theme="1"/>
        <rFont val="Calibri"/>
        <family val="2"/>
        <scheme val="minor"/>
      </rPr>
      <t xml:space="preserve"> - Community-Based Organization
</t>
    </r>
    <r>
      <rPr>
        <b/>
        <sz val="10"/>
        <color theme="1"/>
        <rFont val="Calibri"/>
        <family val="2"/>
        <scheme val="minor"/>
      </rPr>
      <t>Library</t>
    </r>
    <r>
      <rPr>
        <sz val="10"/>
        <color theme="1"/>
        <rFont val="Calibri"/>
        <family val="2"/>
        <scheme val="minor"/>
      </rPr>
      <t xml:space="preserve"> - Library
</t>
    </r>
    <r>
      <rPr>
        <b/>
        <sz val="10"/>
        <color theme="1"/>
        <rFont val="Calibri"/>
        <family val="2"/>
        <scheme val="minor"/>
      </rPr>
      <t>CorrectionalInstitution</t>
    </r>
    <r>
      <rPr>
        <sz val="10"/>
        <color theme="1"/>
        <rFont val="Calibri"/>
        <family val="2"/>
        <scheme val="minor"/>
      </rPr>
      <t xml:space="preserve"> - Correctional Institution
</t>
    </r>
    <r>
      <rPr>
        <b/>
        <sz val="10"/>
        <color theme="1"/>
        <rFont val="Calibri"/>
        <family val="2"/>
        <scheme val="minor"/>
      </rPr>
      <t>OtherInstitution</t>
    </r>
    <r>
      <rPr>
        <sz val="10"/>
        <color theme="1"/>
        <rFont val="Calibri"/>
        <family val="2"/>
        <scheme val="minor"/>
      </rPr>
      <t xml:space="preserve"> - Other Institution
</t>
    </r>
    <r>
      <rPr>
        <b/>
        <sz val="10"/>
        <color theme="1"/>
        <rFont val="Calibri"/>
        <family val="2"/>
        <scheme val="minor"/>
      </rPr>
      <t>OtherAgency</t>
    </r>
    <r>
      <rPr>
        <sz val="10"/>
        <color theme="1"/>
        <rFont val="Calibri"/>
        <family val="2"/>
        <scheme val="minor"/>
      </rPr>
      <t xml:space="preserve"> - Other state or local government agency
</t>
    </r>
    <r>
      <rPr>
        <b/>
        <sz val="10"/>
        <color theme="1"/>
        <rFont val="Calibri"/>
        <family val="2"/>
        <scheme val="minor"/>
      </rPr>
      <t>Other</t>
    </r>
    <r>
      <rPr>
        <sz val="10"/>
        <color theme="1"/>
        <rFont val="Calibri"/>
        <family val="2"/>
        <scheme val="minor"/>
      </rPr>
      <t xml:space="preserve"> - Other
</t>
    </r>
  </si>
  <si>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</si>
  <si>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</si>
  <si>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</si>
  <si>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</si>
  <si>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</si>
  <si>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r>
      <t>School</t>
    </r>
    <r>
      <rPr>
        <sz val="10"/>
        <color theme="1"/>
        <rFont val="Calibri"/>
        <family val="2"/>
        <scheme val="minor"/>
      </rPr>
      <t xml:space="preserve"> - School-assigned number
</t>
    </r>
    <r>
      <rPr>
        <b/>
        <sz val="10"/>
        <color theme="1"/>
        <rFont val="Calibri"/>
        <family val="2"/>
        <scheme val="minor"/>
      </rPr>
      <t>ACT</t>
    </r>
    <r>
      <rPr>
        <sz val="10"/>
        <color theme="1"/>
        <rFont val="Calibri"/>
        <family val="2"/>
        <scheme val="minor"/>
      </rPr>
      <t xml:space="preserve"> - College Board/ACT program code set of PK-grade 12 institutions
</t>
    </r>
    <r>
      <rPr>
        <b/>
        <sz val="10"/>
        <color theme="1"/>
        <rFont val="Calibri"/>
        <family val="2"/>
        <scheme val="minor"/>
      </rPr>
      <t>LEA</t>
    </r>
    <r>
      <rPr>
        <sz val="10"/>
        <color theme="1"/>
        <rFont val="Calibri"/>
        <family val="2"/>
        <scheme val="minor"/>
      </rPr>
      <t xml:space="preserve"> - Local Education Agency assigned number
</t>
    </r>
    <r>
      <rPr>
        <b/>
        <sz val="10"/>
        <color theme="1"/>
        <rFont val="Calibri"/>
        <family val="2"/>
        <scheme val="minor"/>
      </rPr>
      <t>SEA</t>
    </r>
    <r>
      <rPr>
        <sz val="10"/>
        <color theme="1"/>
        <rFont val="Calibri"/>
        <family val="2"/>
        <scheme val="minor"/>
      </rPr>
      <t xml:space="preserve"> - State Education Agency assigned number
</t>
    </r>
    <r>
      <rPr>
        <b/>
        <sz val="10"/>
        <color theme="1"/>
        <rFont val="Calibri"/>
        <family val="2"/>
        <scheme val="minor"/>
      </rPr>
      <t>NCES</t>
    </r>
    <r>
      <rPr>
        <sz val="10"/>
        <color theme="1"/>
        <rFont val="Calibri"/>
        <family val="2"/>
        <scheme val="minor"/>
      </rPr>
      <t xml:space="preserve"> - National Center for Education Statistics assigned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DUNS</t>
    </r>
    <r>
      <rPr>
        <sz val="10"/>
        <color theme="1"/>
        <rFont val="Calibri"/>
        <family val="2"/>
        <scheme val="minor"/>
      </rPr>
      <t xml:space="preserve"> - Dun and Bradstreet number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Other</t>
    </r>
    <r>
      <rPr>
        <sz val="10"/>
        <color theme="1"/>
        <rFont val="Calibri"/>
        <family val="2"/>
        <scheme val="minor"/>
      </rPr>
      <t xml:space="preserve"> - Other
</t>
    </r>
  </si>
  <si>
    <t>Adult Education -&gt; AE Provider
Adult Education -&gt; AE Staff -&gt; Assignment</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</si>
  <si>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</si>
  <si>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</si>
  <si>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</si>
  <si>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</si>
  <si>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</si>
  <si>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</si>
  <si>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</si>
  <si>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</si>
  <si>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r>
      <t>CorrectionalEducation</t>
    </r>
    <r>
      <rPr>
        <sz val="10"/>
        <color theme="1"/>
        <rFont val="Calibri"/>
        <family val="2"/>
        <scheme val="minor"/>
      </rPr>
      <t xml:space="preserve"> - Correctional education program in facility or community
</t>
    </r>
    <r>
      <rPr>
        <b/>
        <sz val="10"/>
        <color theme="1"/>
        <rFont val="Calibri"/>
        <family val="2"/>
        <scheme val="minor"/>
      </rPr>
      <t>FamilyLiteracy</t>
    </r>
    <r>
      <rPr>
        <sz val="10"/>
        <color theme="1"/>
        <rFont val="Calibri"/>
        <family val="2"/>
        <scheme val="minor"/>
      </rPr>
      <t xml:space="preserve"> - Family Literacy
</t>
    </r>
    <r>
      <rPr>
        <b/>
        <sz val="10"/>
        <color theme="1"/>
        <rFont val="Calibri"/>
        <family val="2"/>
        <scheme val="minor"/>
      </rPr>
      <t>WorkplaceLiteracy</t>
    </r>
    <r>
      <rPr>
        <sz val="10"/>
        <color theme="1"/>
        <rFont val="Calibri"/>
        <family val="2"/>
        <scheme val="minor"/>
      </rPr>
      <t xml:space="preserve"> - Workplace Literacy
</t>
    </r>
    <r>
      <rPr>
        <b/>
        <sz val="10"/>
        <color theme="1"/>
        <rFont val="Calibri"/>
        <family val="2"/>
        <scheme val="minor"/>
      </rPr>
      <t>Homeless</t>
    </r>
    <r>
      <rPr>
        <sz val="10"/>
        <color theme="1"/>
        <rFont val="Calibri"/>
        <family val="2"/>
        <scheme val="minor"/>
      </rPr>
      <t xml:space="preserve"> - Program for the Homeless
</t>
    </r>
    <r>
      <rPr>
        <b/>
        <sz val="10"/>
        <color theme="1"/>
        <rFont val="Calibri"/>
        <family val="2"/>
        <scheme val="minor"/>
      </rPr>
      <t>Co-enrollment</t>
    </r>
    <r>
      <rPr>
        <sz val="10"/>
        <color theme="1"/>
        <rFont val="Calibri"/>
        <family val="2"/>
        <scheme val="minor"/>
      </rPr>
      <t xml:space="preserve"> - Co-enrollment in adult education and postsecondary education
</t>
    </r>
    <r>
      <rPr>
        <b/>
        <sz val="10"/>
        <color theme="1"/>
        <rFont val="Calibri"/>
        <family val="2"/>
        <scheme val="minor"/>
      </rPr>
      <t>DistanceEducation</t>
    </r>
    <r>
      <rPr>
        <sz val="10"/>
        <color theme="1"/>
        <rFont val="Calibri"/>
        <family val="2"/>
        <scheme val="minor"/>
      </rPr>
      <t xml:space="preserve"> - Distance Education
</t>
    </r>
  </si>
  <si>
    <t>Also see Adult Education Instructional Program Type</t>
  </si>
  <si>
    <t>000782</t>
  </si>
  <si>
    <t>AdultEducationSpecialProgramType</t>
  </si>
  <si>
    <t>Adult Education Staff Classification</t>
  </si>
  <si>
    <t>The titles of employment, official status, or rank of adult education staff.</t>
  </si>
  <si>
    <r>
      <t>01</t>
    </r>
    <r>
      <rPr>
        <sz val="10"/>
        <color theme="1"/>
        <rFont val="Calibri"/>
        <family val="2"/>
        <scheme val="minor"/>
      </rPr>
      <t xml:space="preserve"> - State-level administrative/supervisory/ancillary services
</t>
    </r>
    <r>
      <rPr>
        <b/>
        <sz val="10"/>
        <color theme="1"/>
        <rFont val="Calibri"/>
        <family val="2"/>
        <scheme val="minor"/>
      </rPr>
      <t>02</t>
    </r>
    <r>
      <rPr>
        <sz val="10"/>
        <color theme="1"/>
        <rFont val="Calibri"/>
        <family val="2"/>
        <scheme val="minor"/>
      </rPr>
      <t xml:space="preserve"> - Local-level administrative/supervisory/ancillary services
</t>
    </r>
    <r>
      <rPr>
        <b/>
        <sz val="10"/>
        <color theme="1"/>
        <rFont val="Calibri"/>
        <family val="2"/>
        <scheme val="minor"/>
      </rPr>
      <t>03</t>
    </r>
    <r>
      <rPr>
        <sz val="10"/>
        <color theme="1"/>
        <rFont val="Calibri"/>
        <family val="2"/>
        <scheme val="minor"/>
      </rPr>
      <t xml:space="preserve"> - Local teacher
</t>
    </r>
    <r>
      <rPr>
        <b/>
        <sz val="10"/>
        <color theme="1"/>
        <rFont val="Calibri"/>
        <family val="2"/>
        <scheme val="minor"/>
      </rPr>
      <t>04</t>
    </r>
    <r>
      <rPr>
        <sz val="10"/>
        <color theme="1"/>
        <rFont val="Calibri"/>
        <family val="2"/>
        <scheme val="minor"/>
      </rPr>
      <t xml:space="preserve"> - Local counselor
</t>
    </r>
    <r>
      <rPr>
        <b/>
        <sz val="10"/>
        <color theme="1"/>
        <rFont val="Calibri"/>
        <family val="2"/>
        <scheme val="minor"/>
      </rPr>
      <t>05</t>
    </r>
    <r>
      <rPr>
        <sz val="10"/>
        <color theme="1"/>
        <rFont val="Calibri"/>
        <family val="2"/>
        <scheme val="minor"/>
      </rPr>
      <t xml:space="preserve"> - Local paraprofessional
</t>
    </r>
    <r>
      <rPr>
        <b/>
        <sz val="10"/>
        <color theme="1"/>
        <rFont val="Calibri"/>
        <family val="2"/>
        <scheme val="minor"/>
      </rPr>
      <t>06</t>
    </r>
    <r>
      <rPr>
        <sz val="10"/>
        <color theme="1"/>
        <rFont val="Calibri"/>
        <family val="2"/>
        <scheme val="minor"/>
      </rPr>
      <t xml:space="preserve"> - State Professional Development Staff
</t>
    </r>
    <r>
      <rPr>
        <b/>
        <sz val="10"/>
        <color theme="1"/>
        <rFont val="Calibri"/>
        <family val="2"/>
        <scheme val="minor"/>
      </rPr>
      <t>07</t>
    </r>
    <r>
      <rPr>
        <sz val="10"/>
        <color theme="1"/>
        <rFont val="Calibri"/>
        <family val="2"/>
        <scheme val="minor"/>
      </rPr>
      <t xml:space="preserve"> - Regional Professional Development Staff
</t>
    </r>
    <r>
      <rPr>
        <b/>
        <sz val="10"/>
        <color theme="1"/>
        <rFont val="Calibri"/>
        <family val="2"/>
        <scheme val="minor"/>
      </rPr>
      <t>08</t>
    </r>
    <r>
      <rPr>
        <sz val="10"/>
        <color theme="1"/>
        <rFont val="Calibri"/>
        <family val="2"/>
        <scheme val="minor"/>
      </rPr>
      <t xml:space="preserve"> - Local Professional Development Staff
</t>
    </r>
  </si>
  <si>
    <t>Adult Education -&gt; AE Staff -&gt; Employment</t>
  </si>
  <si>
    <t>000786</t>
  </si>
  <si>
    <t>AdultEducationStaffClassification</t>
  </si>
  <si>
    <t>Adult Education Staff Employment Status</t>
  </si>
  <si>
    <t>The condition under which a person has agreed to serve as an employee.</t>
  </si>
  <si>
    <r>
      <t>FullTimePaid</t>
    </r>
    <r>
      <rPr>
        <sz val="10"/>
        <color theme="1"/>
        <rFont val="Calibri"/>
        <family val="2"/>
        <scheme val="minor"/>
      </rPr>
      <t xml:space="preserve"> - Full-time paid
</t>
    </r>
    <r>
      <rPr>
        <b/>
        <sz val="10"/>
        <color theme="1"/>
        <rFont val="Calibri"/>
        <family val="2"/>
        <scheme val="minor"/>
      </rPr>
      <t>PartTimePaid</t>
    </r>
    <r>
      <rPr>
        <sz val="10"/>
        <color theme="1"/>
        <rFont val="Calibri"/>
        <family val="2"/>
        <scheme val="minor"/>
      </rPr>
      <t xml:space="preserve"> - Part-time paid
</t>
    </r>
    <r>
      <rPr>
        <b/>
        <sz val="10"/>
        <color theme="1"/>
        <rFont val="Calibri"/>
        <family val="2"/>
        <scheme val="minor"/>
      </rPr>
      <t>FullTimeVolunteer</t>
    </r>
    <r>
      <rPr>
        <sz val="10"/>
        <color theme="1"/>
        <rFont val="Calibri"/>
        <family val="2"/>
        <scheme val="minor"/>
      </rPr>
      <t xml:space="preserve"> - Full-time volunteer
</t>
    </r>
    <r>
      <rPr>
        <b/>
        <sz val="10"/>
        <color theme="1"/>
        <rFont val="Calibri"/>
        <family val="2"/>
        <scheme val="minor"/>
      </rPr>
      <t>PartTimeVolunteer</t>
    </r>
    <r>
      <rPr>
        <sz val="10"/>
        <color theme="1"/>
        <rFont val="Calibri"/>
        <family val="2"/>
        <scheme val="minor"/>
      </rPr>
      <t xml:space="preserve"> - Part-time volunteer
</t>
    </r>
  </si>
  <si>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</si>
  <si>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</si>
  <si>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</si>
  <si>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</si>
  <si>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r>
      <t>ABEBegLit</t>
    </r>
    <r>
      <rPr>
        <sz val="10"/>
        <color theme="1"/>
        <rFont val="Calibri"/>
        <family val="2"/>
        <scheme val="minor"/>
      </rPr>
      <t xml:space="preserve"> - ABE Beginning Literacy
</t>
    </r>
    <r>
      <rPr>
        <b/>
        <sz val="10"/>
        <color theme="1"/>
        <rFont val="Calibri"/>
        <family val="2"/>
        <scheme val="minor"/>
      </rPr>
      <t>ABEBegBasic</t>
    </r>
    <r>
      <rPr>
        <sz val="10"/>
        <color theme="1"/>
        <rFont val="Calibri"/>
        <family val="2"/>
        <scheme val="minor"/>
      </rPr>
      <t xml:space="preserve"> - Beginning Basic Education
</t>
    </r>
    <r>
      <rPr>
        <b/>
        <sz val="10"/>
        <color theme="1"/>
        <rFont val="Calibri"/>
        <family val="2"/>
        <scheme val="minor"/>
      </rPr>
      <t>ABEIntLow</t>
    </r>
    <r>
      <rPr>
        <sz val="10"/>
        <color theme="1"/>
        <rFont val="Calibri"/>
        <family val="2"/>
        <scheme val="minor"/>
      </rPr>
      <t xml:space="preserve"> - Low Intermediate Basic Education
</t>
    </r>
    <r>
      <rPr>
        <b/>
        <sz val="10"/>
        <color theme="1"/>
        <rFont val="Calibri"/>
        <family val="2"/>
        <scheme val="minor"/>
      </rPr>
      <t>ABEIntHigh</t>
    </r>
    <r>
      <rPr>
        <sz val="10"/>
        <color theme="1"/>
        <rFont val="Calibri"/>
        <family val="2"/>
        <scheme val="minor"/>
      </rPr>
      <t xml:space="preserve"> - High Intermediate Basic Education
</t>
    </r>
    <r>
      <rPr>
        <b/>
        <sz val="10"/>
        <color theme="1"/>
        <rFont val="Calibri"/>
        <family val="2"/>
        <scheme val="minor"/>
      </rPr>
      <t>ASELow</t>
    </r>
    <r>
      <rPr>
        <sz val="10"/>
        <color theme="1"/>
        <rFont val="Calibri"/>
        <family val="2"/>
        <scheme val="minor"/>
      </rPr>
      <t xml:space="preserve"> - Adult Secondary Education Low
</t>
    </r>
    <r>
      <rPr>
        <b/>
        <sz val="10"/>
        <color theme="1"/>
        <rFont val="Calibri"/>
        <family val="2"/>
        <scheme val="minor"/>
      </rPr>
      <t>ASEHigh</t>
    </r>
    <r>
      <rPr>
        <sz val="10"/>
        <color theme="1"/>
        <rFont val="Calibri"/>
        <family val="2"/>
        <scheme val="minor"/>
      </rPr>
      <t xml:space="preserve"> - Adult Secondary Education High
</t>
    </r>
    <r>
      <rPr>
        <b/>
        <sz val="10"/>
        <color theme="1"/>
        <rFont val="Calibri"/>
        <family val="2"/>
        <scheme val="minor"/>
      </rPr>
      <t>ESLBegLit</t>
    </r>
    <r>
      <rPr>
        <sz val="10"/>
        <color theme="1"/>
        <rFont val="Calibri"/>
        <family val="2"/>
        <scheme val="minor"/>
      </rPr>
      <t xml:space="preserve"> - Beginning ESL Literacy
</t>
    </r>
    <r>
      <rPr>
        <b/>
        <sz val="10"/>
        <color theme="1"/>
        <rFont val="Calibri"/>
        <family val="2"/>
        <scheme val="minor"/>
      </rPr>
      <t>ESLBegLow</t>
    </r>
    <r>
      <rPr>
        <sz val="10"/>
        <color theme="1"/>
        <rFont val="Calibri"/>
        <family val="2"/>
        <scheme val="minor"/>
      </rPr>
      <t xml:space="preserve"> - ESL Low Beginning
</t>
    </r>
    <r>
      <rPr>
        <b/>
        <sz val="10"/>
        <color theme="1"/>
        <rFont val="Calibri"/>
        <family val="2"/>
        <scheme val="minor"/>
      </rPr>
      <t>ESLBegHigh</t>
    </r>
    <r>
      <rPr>
        <sz val="10"/>
        <color theme="1"/>
        <rFont val="Calibri"/>
        <family val="2"/>
        <scheme val="minor"/>
      </rPr>
      <t xml:space="preserve"> - ESL High Beginning
</t>
    </r>
    <r>
      <rPr>
        <b/>
        <sz val="10"/>
        <color theme="1"/>
        <rFont val="Calibri"/>
        <family val="2"/>
        <scheme val="minor"/>
      </rPr>
      <t>ESLIntLow</t>
    </r>
    <r>
      <rPr>
        <sz val="10"/>
        <color theme="1"/>
        <rFont val="Calibri"/>
        <family val="2"/>
        <scheme val="minor"/>
      </rPr>
      <t xml:space="preserve"> - ESL Low Intermediate
</t>
    </r>
    <r>
      <rPr>
        <b/>
        <sz val="10"/>
        <color theme="1"/>
        <rFont val="Calibri"/>
        <family val="2"/>
        <scheme val="minor"/>
      </rPr>
      <t>ESLIntHigh</t>
    </r>
    <r>
      <rPr>
        <sz val="10"/>
        <color theme="1"/>
        <rFont val="Calibri"/>
        <family val="2"/>
        <scheme val="minor"/>
      </rPr>
      <t xml:space="preserve"> - ESL Intermediate High
</t>
    </r>
    <r>
      <rPr>
        <b/>
        <sz val="10"/>
        <color theme="1"/>
        <rFont val="Calibri"/>
        <family val="2"/>
        <scheme val="minor"/>
      </rPr>
      <t>ESLAdv</t>
    </r>
    <r>
      <rPr>
        <sz val="10"/>
        <color theme="1"/>
        <rFont val="Calibri"/>
        <family val="2"/>
        <scheme val="minor"/>
      </rPr>
      <t xml:space="preserve"> - ESL Advanced
</t>
    </r>
  </si>
  <si>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</si>
  <si>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</si>
  <si>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</si>
  <si>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</si>
  <si>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</si>
  <si>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</si>
  <si>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</si>
  <si>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Course areas for advanced placement or credit. For a list of codes see http://apcentral.collegeboard.com/apc/public/courses/teachers_corner/index.html .</t>
  </si>
  <si>
    <r>
      <t>ArtHistory</t>
    </r>
    <r>
      <rPr>
        <sz val="10"/>
        <color theme="1"/>
        <rFont val="Calibri"/>
        <family val="2"/>
        <scheme val="minor"/>
      </rPr>
      <t xml:space="preserve"> - Art History
</t>
    </r>
    <r>
      <rPr>
        <b/>
        <sz val="10"/>
        <color theme="1"/>
        <rFont val="Calibri"/>
        <family val="2"/>
        <scheme val="minor"/>
      </rPr>
      <t>Biology</t>
    </r>
    <r>
      <rPr>
        <sz val="10"/>
        <color theme="1"/>
        <rFont val="Calibri"/>
        <family val="2"/>
        <scheme val="minor"/>
      </rPr>
      <t xml:space="preserve"> - Biology
</t>
    </r>
    <r>
      <rPr>
        <b/>
        <sz val="10"/>
        <color theme="1"/>
        <rFont val="Calibri"/>
        <family val="2"/>
        <scheme val="minor"/>
      </rPr>
      <t>CalculusAB</t>
    </r>
    <r>
      <rPr>
        <sz val="10"/>
        <color theme="1"/>
        <rFont val="Calibri"/>
        <family val="2"/>
        <scheme val="minor"/>
      </rPr>
      <t xml:space="preserve"> - Calculus AB
</t>
    </r>
    <r>
      <rPr>
        <b/>
        <sz val="10"/>
        <color theme="1"/>
        <rFont val="Calibri"/>
        <family val="2"/>
        <scheme val="minor"/>
      </rPr>
      <t>CalculusBC</t>
    </r>
    <r>
      <rPr>
        <sz val="10"/>
        <color theme="1"/>
        <rFont val="Calibri"/>
        <family val="2"/>
        <scheme val="minor"/>
      </rPr>
      <t xml:space="preserve"> - Calculus BC
</t>
    </r>
    <r>
      <rPr>
        <b/>
        <sz val="10"/>
        <color theme="1"/>
        <rFont val="Calibri"/>
        <family val="2"/>
        <scheme val="minor"/>
      </rPr>
      <t>Chemistry</t>
    </r>
    <r>
      <rPr>
        <sz val="10"/>
        <color theme="1"/>
        <rFont val="Calibri"/>
        <family val="2"/>
        <scheme val="minor"/>
      </rPr>
      <t xml:space="preserve"> - Chemistry
</t>
    </r>
    <r>
      <rPr>
        <b/>
        <sz val="10"/>
        <color theme="1"/>
        <rFont val="Calibri"/>
        <family val="2"/>
        <scheme val="minor"/>
      </rPr>
      <t>ComputerScienceA</t>
    </r>
    <r>
      <rPr>
        <sz val="10"/>
        <color theme="1"/>
        <rFont val="Calibri"/>
        <family val="2"/>
        <scheme val="minor"/>
      </rPr>
      <t xml:space="preserve"> - Computer Science A
</t>
    </r>
    <r>
      <rPr>
        <b/>
        <sz val="10"/>
        <color theme="1"/>
        <rFont val="Calibri"/>
        <family val="2"/>
        <scheme val="minor"/>
      </rPr>
      <t>ComputerScienceAB</t>
    </r>
    <r>
      <rPr>
        <sz val="10"/>
        <color theme="1"/>
        <rFont val="Calibri"/>
        <family val="2"/>
        <scheme val="minor"/>
      </rPr>
      <t xml:space="preserve"> - Computer Science AB
</t>
    </r>
    <r>
      <rPr>
        <b/>
        <sz val="10"/>
        <color theme="1"/>
        <rFont val="Calibri"/>
        <family val="2"/>
        <scheme val="minor"/>
      </rPr>
      <t>Macroeconomics</t>
    </r>
    <r>
      <rPr>
        <sz val="10"/>
        <color theme="1"/>
        <rFont val="Calibri"/>
        <family val="2"/>
        <scheme val="minor"/>
      </rPr>
      <t xml:space="preserve"> - Macroeconomics
</t>
    </r>
    <r>
      <rPr>
        <b/>
        <sz val="10"/>
        <color theme="1"/>
        <rFont val="Calibri"/>
        <family val="2"/>
        <scheme val="minor"/>
      </rPr>
      <t>Microeconomics</t>
    </r>
    <r>
      <rPr>
        <sz val="10"/>
        <color theme="1"/>
        <rFont val="Calibri"/>
        <family val="2"/>
        <scheme val="minor"/>
      </rPr>
      <t xml:space="preserve"> - Microeconomics
</t>
    </r>
    <r>
      <rPr>
        <b/>
        <sz val="10"/>
        <color theme="1"/>
        <rFont val="Calibri"/>
        <family val="2"/>
        <scheme val="minor"/>
      </rPr>
      <t>EnglishLanguage</t>
    </r>
    <r>
      <rPr>
        <sz val="10"/>
        <color theme="1"/>
        <rFont val="Calibri"/>
        <family val="2"/>
        <scheme val="minor"/>
      </rPr>
      <t xml:space="preserve"> - English Language
</t>
    </r>
    <r>
      <rPr>
        <b/>
        <sz val="10"/>
        <color theme="1"/>
        <rFont val="Calibri"/>
        <family val="2"/>
        <scheme val="minor"/>
      </rPr>
      <t>EnglishLiterature</t>
    </r>
    <r>
      <rPr>
        <sz val="10"/>
        <color theme="1"/>
        <rFont val="Calibri"/>
        <family val="2"/>
        <scheme val="minor"/>
      </rPr>
      <t xml:space="preserve"> - English Literature
</t>
    </r>
    <r>
      <rPr>
        <b/>
        <sz val="10"/>
        <color theme="1"/>
        <rFont val="Calibri"/>
        <family val="2"/>
        <scheme val="minor"/>
      </rPr>
      <t>EnvironmentalScience</t>
    </r>
    <r>
      <rPr>
        <sz val="10"/>
        <color theme="1"/>
        <rFont val="Calibri"/>
        <family val="2"/>
        <scheme val="minor"/>
      </rPr>
      <t xml:space="preserve"> - Environmental Science
</t>
    </r>
    <r>
      <rPr>
        <b/>
        <sz val="10"/>
        <color theme="1"/>
        <rFont val="Calibri"/>
        <family val="2"/>
        <scheme val="minor"/>
      </rPr>
      <t>EuropeanHistory</t>
    </r>
    <r>
      <rPr>
        <sz val="10"/>
        <color theme="1"/>
        <rFont val="Calibri"/>
        <family val="2"/>
        <scheme val="minor"/>
      </rPr>
      <t xml:space="preserve"> - European History
</t>
    </r>
    <r>
      <rPr>
        <b/>
        <sz val="10"/>
        <color theme="1"/>
        <rFont val="Calibri"/>
        <family val="2"/>
        <scheme val="minor"/>
      </rPr>
      <t>FrenchLanguage</t>
    </r>
    <r>
      <rPr>
        <sz val="10"/>
        <color theme="1"/>
        <rFont val="Calibri"/>
        <family val="2"/>
        <scheme val="minor"/>
      </rPr>
      <t xml:space="preserve"> - French Language
</t>
    </r>
    <r>
      <rPr>
        <b/>
        <sz val="10"/>
        <color theme="1"/>
        <rFont val="Calibri"/>
        <family val="2"/>
        <scheme val="minor"/>
      </rPr>
      <t>FrenchLiterature</t>
    </r>
    <r>
      <rPr>
        <sz val="10"/>
        <color theme="1"/>
        <rFont val="Calibri"/>
        <family val="2"/>
        <scheme val="minor"/>
      </rPr>
      <t xml:space="preserve"> - French Literature
</t>
    </r>
    <r>
      <rPr>
        <b/>
        <sz val="10"/>
        <color theme="1"/>
        <rFont val="Calibri"/>
        <family val="2"/>
        <scheme val="minor"/>
      </rPr>
      <t>GermanLanguage</t>
    </r>
    <r>
      <rPr>
        <sz val="10"/>
        <color theme="1"/>
        <rFont val="Calibri"/>
        <family val="2"/>
        <scheme val="minor"/>
      </rPr>
      <t xml:space="preserve"> - German Language
</t>
    </r>
    <r>
      <rPr>
        <b/>
        <sz val="10"/>
        <color theme="1"/>
        <rFont val="Calibri"/>
        <family val="2"/>
        <scheme val="minor"/>
      </rPr>
      <t>CompGovernmentAndPolitics</t>
    </r>
    <r>
      <rPr>
        <sz val="10"/>
        <color theme="1"/>
        <rFont val="Calibri"/>
        <family val="2"/>
        <scheme val="minor"/>
      </rPr>
      <t xml:space="preserve"> - Comp Government And Politics
</t>
    </r>
    <r>
      <rPr>
        <b/>
        <sz val="10"/>
        <color theme="1"/>
        <rFont val="Calibri"/>
        <family val="2"/>
        <scheme val="minor"/>
      </rPr>
      <t>USGovernmentAndPolitics</t>
    </r>
    <r>
      <rPr>
        <sz val="10"/>
        <color theme="1"/>
        <rFont val="Calibri"/>
        <family val="2"/>
        <scheme val="minor"/>
      </rPr>
      <t xml:space="preserve"> - US Government And Politics
</t>
    </r>
    <r>
      <rPr>
        <b/>
        <sz val="10"/>
        <color theme="1"/>
        <rFont val="Calibri"/>
        <family val="2"/>
        <scheme val="minor"/>
      </rPr>
      <t>HumanGeography</t>
    </r>
    <r>
      <rPr>
        <sz val="10"/>
        <color theme="1"/>
        <rFont val="Calibri"/>
        <family val="2"/>
        <scheme val="minor"/>
      </rPr>
      <t xml:space="preserve"> - Human Geography
</t>
    </r>
    <r>
      <rPr>
        <b/>
        <sz val="10"/>
        <color theme="1"/>
        <rFont val="Calibri"/>
        <family val="2"/>
        <scheme val="minor"/>
      </rPr>
      <t>ItalianLanguageAndCulture</t>
    </r>
    <r>
      <rPr>
        <sz val="10"/>
        <color theme="1"/>
        <rFont val="Calibri"/>
        <family val="2"/>
        <scheme val="minor"/>
      </rPr>
      <t xml:space="preserve"> - Italian Language And Culture
</t>
    </r>
    <r>
      <rPr>
        <b/>
        <sz val="10"/>
        <color theme="1"/>
        <rFont val="Calibri"/>
        <family val="2"/>
        <scheme val="minor"/>
      </rPr>
      <t>LatinLiterature</t>
    </r>
    <r>
      <rPr>
        <sz val="10"/>
        <color theme="1"/>
        <rFont val="Calibri"/>
        <family val="2"/>
        <scheme val="minor"/>
      </rPr>
      <t xml:space="preserve"> - Latin Literature
</t>
    </r>
    <r>
      <rPr>
        <b/>
        <sz val="10"/>
        <color theme="1"/>
        <rFont val="Calibri"/>
        <family val="2"/>
        <scheme val="minor"/>
      </rPr>
      <t>LatinVergil</t>
    </r>
    <r>
      <rPr>
        <sz val="10"/>
        <color theme="1"/>
        <rFont val="Calibri"/>
        <family val="2"/>
        <scheme val="minor"/>
      </rPr>
      <t xml:space="preserve"> - Latin Vergil
</t>
    </r>
    <r>
      <rPr>
        <b/>
        <sz val="10"/>
        <color theme="1"/>
        <rFont val="Calibri"/>
        <family val="2"/>
        <scheme val="minor"/>
      </rPr>
      <t>MusicTheory</t>
    </r>
    <r>
      <rPr>
        <sz val="10"/>
        <color theme="1"/>
        <rFont val="Calibri"/>
        <family val="2"/>
        <scheme val="minor"/>
      </rPr>
      <t xml:space="preserve"> - Music Theory
</t>
    </r>
    <r>
      <rPr>
        <b/>
        <sz val="10"/>
        <color theme="1"/>
        <rFont val="Calibri"/>
        <family val="2"/>
        <scheme val="minor"/>
      </rPr>
      <t>PhysicsB</t>
    </r>
    <r>
      <rPr>
        <sz val="10"/>
        <color theme="1"/>
        <rFont val="Calibri"/>
        <family val="2"/>
        <scheme val="minor"/>
      </rPr>
      <t xml:space="preserve"> - Physics B
</t>
    </r>
    <r>
      <rPr>
        <b/>
        <sz val="10"/>
        <color theme="1"/>
        <rFont val="Calibri"/>
        <family val="2"/>
        <scheme val="minor"/>
      </rPr>
      <t>PhysicsC</t>
    </r>
    <r>
      <rPr>
        <sz val="10"/>
        <color theme="1"/>
        <rFont val="Calibri"/>
        <family val="2"/>
        <scheme val="minor"/>
      </rPr>
      <t xml:space="preserve"> - Physics C
</t>
    </r>
    <r>
      <rPr>
        <b/>
        <sz val="10"/>
        <color theme="1"/>
        <rFont val="Calibri"/>
        <family val="2"/>
        <scheme val="minor"/>
      </rPr>
      <t>Psychology</t>
    </r>
    <r>
      <rPr>
        <sz val="10"/>
        <color theme="1"/>
        <rFont val="Calibri"/>
        <family val="2"/>
        <scheme val="minor"/>
      </rPr>
      <t xml:space="preserve"> - Psychology
</t>
    </r>
    <r>
      <rPr>
        <b/>
        <sz val="10"/>
        <color theme="1"/>
        <rFont val="Calibri"/>
        <family val="2"/>
        <scheme val="minor"/>
      </rPr>
      <t>SpanishLanguage</t>
    </r>
    <r>
      <rPr>
        <sz val="10"/>
        <color theme="1"/>
        <rFont val="Calibri"/>
        <family val="2"/>
        <scheme val="minor"/>
      </rPr>
      <t xml:space="preserve"> - Spanish Language
</t>
    </r>
    <r>
      <rPr>
        <b/>
        <sz val="10"/>
        <color theme="1"/>
        <rFont val="Calibri"/>
        <family val="2"/>
        <scheme val="minor"/>
      </rPr>
      <t>SpanishLiterature</t>
    </r>
    <r>
      <rPr>
        <sz val="10"/>
        <color theme="1"/>
        <rFont val="Calibri"/>
        <family val="2"/>
        <scheme val="minor"/>
      </rPr>
      <t xml:space="preserve"> - Spanish Literature
</t>
    </r>
    <r>
      <rPr>
        <b/>
        <sz val="10"/>
        <color theme="1"/>
        <rFont val="Calibri"/>
        <family val="2"/>
        <scheme val="minor"/>
      </rPr>
      <t>Statistics</t>
    </r>
    <r>
      <rPr>
        <sz val="10"/>
        <color theme="1"/>
        <rFont val="Calibri"/>
        <family val="2"/>
        <scheme val="minor"/>
      </rPr>
      <t xml:space="preserve"> - Statistics
</t>
    </r>
    <r>
      <rPr>
        <b/>
        <sz val="10"/>
        <color theme="1"/>
        <rFont val="Calibri"/>
        <family val="2"/>
        <scheme val="minor"/>
      </rPr>
      <t>StudioArt</t>
    </r>
    <r>
      <rPr>
        <sz val="10"/>
        <color theme="1"/>
        <rFont val="Calibri"/>
        <family val="2"/>
        <scheme val="minor"/>
      </rPr>
      <t xml:space="preserve"> - Studio Art
</t>
    </r>
    <r>
      <rPr>
        <b/>
        <sz val="10"/>
        <color theme="1"/>
        <rFont val="Calibri"/>
        <family val="2"/>
        <scheme val="minor"/>
      </rPr>
      <t>USHistory</t>
    </r>
    <r>
      <rPr>
        <sz val="10"/>
        <color theme="1"/>
        <rFont val="Calibri"/>
        <family val="2"/>
        <scheme val="minor"/>
      </rPr>
      <t xml:space="preserve"> - US History
</t>
    </r>
    <r>
      <rPr>
        <b/>
        <sz val="10"/>
        <color theme="1"/>
        <rFont val="Calibri"/>
        <family val="2"/>
        <scheme val="minor"/>
      </rPr>
      <t>WorldHistory</t>
    </r>
    <r>
      <rPr>
        <sz val="10"/>
        <color theme="1"/>
        <rFont val="Calibri"/>
        <family val="2"/>
        <scheme val="minor"/>
      </rPr>
      <t xml:space="preserve"> - World History
</t>
    </r>
  </si>
  <si>
    <t>Adult Education -&gt; Course Section
Career and Technical -&gt; Course Section
K12 -&gt; Course Section
K12 -&gt; K12 Course
Postsecondary -&gt; Course Section</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</si>
  <si>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</si>
  <si>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</si>
  <si>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</si>
  <si>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</si>
  <si>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</si>
  <si>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</si>
  <si>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</si>
  <si>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</si>
  <si>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</si>
  <si>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The number of credits awarded a student by the postsecondary institution based on successful completion of advanced placement courses and/or advanced placement tests.</t>
  </si>
  <si>
    <t>Postsecondary -&gt; PS Student -&gt; Academic Record</t>
  </si>
  <si>
    <t>Integer - greater than or equal to 0</t>
  </si>
  <si>
    <t>000018</t>
  </si>
  <si>
    <t>AP Credits Awarded</t>
  </si>
  <si>
    <t>APCreditsAwarded</t>
  </si>
  <si>
    <t>Agency Course Identifier</t>
  </si>
  <si>
    <t>The course identifier as it may be recorded at the regional or state level to conform to a standardized course classification system.</t>
  </si>
  <si>
    <t>Adult Education -&gt; Course Section -&gt; Course
Career and Technical -&gt; Course Section -&gt; Course
Postsecondary -&gt; Course Section -&gt; Course</t>
  </si>
  <si>
    <t>001280</t>
  </si>
  <si>
    <t>AgencyCourseIdentifier</t>
  </si>
  <si>
    <t>Allergy Reaction Description</t>
  </si>
  <si>
    <t>Describes symptoms know to be associated with a person's reaction to an allergen.</t>
  </si>
  <si>
    <t>Early Learning -&gt; EL Child -&gt; Health
K12 -&gt; K12 Student -&gt; Health</t>
  </si>
  <si>
    <t>Alphanumeric</t>
  </si>
  <si>
    <t>001281</t>
  </si>
  <si>
    <t>AllergyReactionDescription</t>
  </si>
  <si>
    <t>Allergy Severity</t>
  </si>
  <si>
    <t>The level of severity of a person's reaction to an allergen.</t>
  </si>
  <si>
    <r>
      <t>Mild</t>
    </r>
    <r>
      <rPr>
        <sz val="10"/>
        <color theme="1"/>
        <rFont val="Calibri"/>
        <family val="2"/>
        <scheme val="minor"/>
      </rPr>
      <t xml:space="preserve"> - Mild allergic reaction
</t>
    </r>
    <r>
      <rPr>
        <b/>
        <sz val="10"/>
        <color theme="1"/>
        <rFont val="Calibri"/>
        <family val="2"/>
        <scheme val="minor"/>
      </rPr>
      <t>Severe</t>
    </r>
    <r>
      <rPr>
        <sz val="10"/>
        <color theme="1"/>
        <rFont val="Calibri"/>
        <family val="2"/>
        <scheme val="minor"/>
      </rPr>
      <t xml:space="preserve"> - Severe allergic reaction
</t>
    </r>
  </si>
  <si>
    <t>001282</t>
  </si>
  <si>
    <t>AllergySeverity</t>
  </si>
  <si>
    <t>Allergy Type</t>
  </si>
  <si>
    <t>Type of allergy condition attributed to a person as defined by the SNOWMED Clinical Terms(r) vocabulary.</t>
  </si>
  <si>
    <r>
      <t>417930000</t>
    </r>
    <r>
      <rPr>
        <sz val="10"/>
        <color theme="1"/>
        <rFont val="Calibri"/>
        <family val="2"/>
        <scheme val="minor"/>
      </rPr>
      <t xml:space="preserve"> - Allergy to adhesive
</t>
    </r>
    <r>
      <rPr>
        <b/>
        <sz val="10"/>
        <color theme="1"/>
        <rFont val="Calibri"/>
        <family val="2"/>
        <scheme val="minor"/>
      </rPr>
      <t>419238009</t>
    </r>
    <r>
      <rPr>
        <sz val="10"/>
        <color theme="1"/>
        <rFont val="Calibri"/>
        <family val="2"/>
        <scheme val="minor"/>
      </rPr>
      <t xml:space="preserve"> - Allergy to adhesive bandage
</t>
    </r>
    <r>
      <rPr>
        <b/>
        <sz val="10"/>
        <color theme="1"/>
        <rFont val="Calibri"/>
        <family val="2"/>
        <scheme val="minor"/>
      </rPr>
      <t>420140004</t>
    </r>
    <r>
      <rPr>
        <sz val="10"/>
        <color theme="1"/>
        <rFont val="Calibri"/>
        <family val="2"/>
        <scheme val="minor"/>
      </rPr>
      <t xml:space="preserve"> - Allergy to alcohol
</t>
    </r>
    <r>
      <rPr>
        <b/>
        <sz val="10"/>
        <color theme="1"/>
        <rFont val="Calibri"/>
        <family val="2"/>
        <scheme val="minor"/>
      </rPr>
      <t>418606003</t>
    </r>
    <r>
      <rPr>
        <sz val="10"/>
        <color theme="1"/>
        <rFont val="Calibri"/>
        <family val="2"/>
        <scheme val="minor"/>
      </rPr>
      <t xml:space="preserve"> - Allergy to almond oil
</t>
    </r>
    <r>
      <rPr>
        <b/>
        <sz val="10"/>
        <color theme="1"/>
        <rFont val="Calibri"/>
        <family val="2"/>
        <scheme val="minor"/>
      </rPr>
      <t>439109008</t>
    </r>
    <r>
      <rPr>
        <sz val="10"/>
        <color theme="1"/>
        <rFont val="Calibri"/>
        <family val="2"/>
        <scheme val="minor"/>
      </rPr>
      <t xml:space="preserve"> - Allergy to alpha glucoside inhibitor
</t>
    </r>
    <r>
      <rPr>
        <b/>
        <sz val="10"/>
        <color theme="1"/>
        <rFont val="Calibri"/>
        <family val="2"/>
        <scheme val="minor"/>
      </rPr>
      <t>402306009</t>
    </r>
    <r>
      <rPr>
        <sz val="10"/>
        <color theme="1"/>
        <rFont val="Calibri"/>
        <family val="2"/>
        <scheme val="minor"/>
      </rPr>
      <t xml:space="preserve"> - Allergy to aluminum
</t>
    </r>
    <r>
      <rPr>
        <b/>
        <sz val="10"/>
        <color theme="1"/>
        <rFont val="Calibri"/>
        <family val="2"/>
        <scheme val="minor"/>
      </rPr>
      <t>439405005</t>
    </r>
    <r>
      <rPr>
        <sz val="10"/>
        <color theme="1"/>
        <rFont val="Calibri"/>
        <family val="2"/>
        <scheme val="minor"/>
      </rPr>
      <t xml:space="preserve"> - Allergy to angiotensin II receptor antagonist
</t>
    </r>
    <r>
      <rPr>
        <b/>
        <sz val="10"/>
        <color theme="1"/>
        <rFont val="Calibri"/>
        <family val="2"/>
        <scheme val="minor"/>
      </rPr>
      <t>232347008</t>
    </r>
    <r>
      <rPr>
        <sz val="10"/>
        <color theme="1"/>
        <rFont val="Calibri"/>
        <family val="2"/>
        <scheme val="minor"/>
      </rPr>
      <t xml:space="preserve"> - Allergy to animal
</t>
    </r>
    <r>
      <rPr>
        <b/>
        <sz val="10"/>
        <color theme="1"/>
        <rFont val="Calibri"/>
        <family val="2"/>
        <scheme val="minor"/>
      </rPr>
      <t>300911008</t>
    </r>
    <r>
      <rPr>
        <sz val="10"/>
        <color theme="1"/>
        <rFont val="Calibri"/>
        <family val="2"/>
        <scheme val="minor"/>
      </rPr>
      <t xml:space="preserve"> - Allergy to animal hair
</t>
    </r>
    <r>
      <rPr>
        <b/>
        <sz val="10"/>
        <color theme="1"/>
        <rFont val="Calibri"/>
        <family val="2"/>
        <scheme val="minor"/>
      </rPr>
      <t>91929009</t>
    </r>
    <r>
      <rPr>
        <sz val="10"/>
        <color theme="1"/>
        <rFont val="Calibri"/>
        <family val="2"/>
        <scheme val="minor"/>
      </rPr>
      <t xml:space="preserve"> - Allergy to anti-infective agent
</t>
    </r>
    <r>
      <rPr>
        <b/>
        <sz val="10"/>
        <color theme="1"/>
        <rFont val="Calibri"/>
        <family val="2"/>
        <scheme val="minor"/>
      </rPr>
      <t>418314004</t>
    </r>
    <r>
      <rPr>
        <sz val="10"/>
        <color theme="1"/>
        <rFont val="Calibri"/>
        <family val="2"/>
        <scheme val="minor"/>
      </rPr>
      <t xml:space="preserve"> - Allergy to apple juice
</t>
    </r>
    <r>
      <rPr>
        <b/>
        <sz val="10"/>
        <color theme="1"/>
        <rFont val="Calibri"/>
        <family val="2"/>
        <scheme val="minor"/>
      </rPr>
      <t>419180003</t>
    </r>
    <r>
      <rPr>
        <sz val="10"/>
        <color theme="1"/>
        <rFont val="Calibri"/>
        <family val="2"/>
        <scheme val="minor"/>
      </rPr>
      <t xml:space="preserve"> - Allergy to aspartame
</t>
    </r>
    <r>
      <rPr>
        <b/>
        <sz val="10"/>
        <color theme="1"/>
        <rFont val="Calibri"/>
        <family val="2"/>
        <scheme val="minor"/>
      </rPr>
      <t>294314002</t>
    </r>
    <r>
      <rPr>
        <sz val="10"/>
        <color theme="1"/>
        <rFont val="Calibri"/>
        <family val="2"/>
        <scheme val="minor"/>
      </rPr>
      <t xml:space="preserve"> - Allergy to bases and inactive substances
</t>
    </r>
    <r>
      <rPr>
        <b/>
        <sz val="10"/>
        <color theme="1"/>
        <rFont val="Calibri"/>
        <family val="2"/>
        <scheme val="minor"/>
      </rPr>
      <t>424213003</t>
    </r>
    <r>
      <rPr>
        <sz val="10"/>
        <color theme="1"/>
        <rFont val="Calibri"/>
        <family val="2"/>
        <scheme val="minor"/>
      </rPr>
      <t xml:space="preserve"> - Allergy to bee venom
</t>
    </r>
    <r>
      <rPr>
        <b/>
        <sz val="10"/>
        <color theme="1"/>
        <rFont val="Calibri"/>
        <family val="2"/>
        <scheme val="minor"/>
      </rPr>
      <t>402591008</t>
    </r>
    <r>
      <rPr>
        <sz val="10"/>
        <color theme="1"/>
        <rFont val="Calibri"/>
        <family val="2"/>
        <scheme val="minor"/>
      </rPr>
      <t xml:space="preserve"> - Allergy to biocide
</t>
    </r>
    <r>
      <rPr>
        <b/>
        <sz val="10"/>
        <color theme="1"/>
        <rFont val="Calibri"/>
        <family val="2"/>
        <scheme val="minor"/>
      </rPr>
      <t>402590009</t>
    </r>
    <r>
      <rPr>
        <sz val="10"/>
        <color theme="1"/>
        <rFont val="Calibri"/>
        <family val="2"/>
        <scheme val="minor"/>
      </rPr>
      <t xml:space="preserve"> - Allergy to biocide in cosmetic
</t>
    </r>
    <r>
      <rPr>
        <b/>
        <sz val="10"/>
        <color theme="1"/>
        <rFont val="Calibri"/>
        <family val="2"/>
        <scheme val="minor"/>
      </rPr>
      <t>418344001</t>
    </r>
    <r>
      <rPr>
        <sz val="10"/>
        <color theme="1"/>
        <rFont val="Calibri"/>
        <family val="2"/>
        <scheme val="minor"/>
      </rPr>
      <t xml:space="preserve"> - Allergy to caffeine
</t>
    </r>
    <r>
      <rPr>
        <b/>
        <sz val="10"/>
        <color theme="1"/>
        <rFont val="Calibri"/>
        <family val="2"/>
        <scheme val="minor"/>
      </rPr>
      <t>420080006</t>
    </r>
    <r>
      <rPr>
        <sz val="10"/>
        <color theme="1"/>
        <rFont val="Calibri"/>
        <family val="2"/>
        <scheme val="minor"/>
      </rPr>
      <t xml:space="preserve"> - Allergy to carrot
</t>
    </r>
    <r>
      <rPr>
        <b/>
        <sz val="10"/>
        <color theme="1"/>
        <rFont val="Calibri"/>
        <family val="2"/>
        <scheme val="minor"/>
      </rPr>
      <t>232346004</t>
    </r>
    <r>
      <rPr>
        <sz val="10"/>
        <color theme="1"/>
        <rFont val="Calibri"/>
        <family val="2"/>
        <scheme val="minor"/>
      </rPr>
      <t xml:space="preserve"> - Allergy to cat dander
</t>
    </r>
    <r>
      <rPr>
        <b/>
        <sz val="10"/>
        <color theme="1"/>
        <rFont val="Calibri"/>
        <family val="2"/>
        <scheme val="minor"/>
      </rPr>
      <t>418051002</t>
    </r>
    <r>
      <rPr>
        <sz val="10"/>
        <color theme="1"/>
        <rFont val="Calibri"/>
        <family val="2"/>
        <scheme val="minor"/>
      </rPr>
      <t xml:space="preserve"> - Allergy to cherry
</t>
    </r>
    <r>
      <rPr>
        <b/>
        <sz val="10"/>
        <color theme="1"/>
        <rFont val="Calibri"/>
        <family val="2"/>
        <scheme val="minor"/>
      </rPr>
      <t>441931002</t>
    </r>
    <r>
      <rPr>
        <sz val="10"/>
        <color theme="1"/>
        <rFont val="Calibri"/>
        <family val="2"/>
        <scheme val="minor"/>
      </rPr>
      <t xml:space="preserve"> - Allergy to chloroprocaine
</t>
    </r>
    <r>
      <rPr>
        <b/>
        <sz val="10"/>
        <color theme="1"/>
        <rFont val="Calibri"/>
        <family val="2"/>
        <scheme val="minor"/>
      </rPr>
      <t>418397007</t>
    </r>
    <r>
      <rPr>
        <sz val="10"/>
        <color theme="1"/>
        <rFont val="Calibri"/>
        <family val="2"/>
        <scheme val="minor"/>
      </rPr>
      <t xml:space="preserve"> - Allergy to cinnamon
</t>
    </r>
    <r>
      <rPr>
        <b/>
        <sz val="10"/>
        <color theme="1"/>
        <rFont val="Calibri"/>
        <family val="2"/>
        <scheme val="minor"/>
      </rPr>
      <t>448438007</t>
    </r>
    <r>
      <rPr>
        <sz val="10"/>
        <color theme="1"/>
        <rFont val="Calibri"/>
        <family val="2"/>
        <scheme val="minor"/>
      </rPr>
      <t xml:space="preserve"> - Allergy to cisatracurium
</t>
    </r>
    <r>
      <rPr>
        <b/>
        <sz val="10"/>
        <color theme="1"/>
        <rFont val="Calibri"/>
        <family val="2"/>
        <scheme val="minor"/>
      </rPr>
      <t>418085001</t>
    </r>
    <r>
      <rPr>
        <sz val="10"/>
        <color theme="1"/>
        <rFont val="Calibri"/>
        <family val="2"/>
        <scheme val="minor"/>
      </rPr>
      <t xml:space="preserve"> - Allergy to citrus fruit
</t>
    </r>
    <r>
      <rPr>
        <b/>
        <sz val="10"/>
        <color theme="1"/>
        <rFont val="Calibri"/>
        <family val="2"/>
        <scheme val="minor"/>
      </rPr>
      <t>419814004</t>
    </r>
    <r>
      <rPr>
        <sz val="10"/>
        <color theme="1"/>
        <rFont val="Calibri"/>
        <family val="2"/>
        <scheme val="minor"/>
      </rPr>
      <t xml:space="preserve"> - Allergy to coconut oil
</t>
    </r>
    <r>
      <rPr>
        <b/>
        <sz val="10"/>
        <color theme="1"/>
        <rFont val="Calibri"/>
        <family val="2"/>
        <scheme val="minor"/>
      </rPr>
      <t>419573007</t>
    </r>
    <r>
      <rPr>
        <sz val="10"/>
        <color theme="1"/>
        <rFont val="Calibri"/>
        <family val="2"/>
        <scheme val="minor"/>
      </rPr>
      <t xml:space="preserve"> - Allergy to corn
</t>
    </r>
    <r>
      <rPr>
        <b/>
        <sz val="10"/>
        <color theme="1"/>
        <rFont val="Calibri"/>
        <family val="2"/>
        <scheme val="minor"/>
      </rPr>
      <t>417982003</t>
    </r>
    <r>
      <rPr>
        <sz val="10"/>
        <color theme="1"/>
        <rFont val="Calibri"/>
        <family val="2"/>
        <scheme val="minor"/>
      </rPr>
      <t xml:space="preserve"> - Allergy to cosmetic
</t>
    </r>
    <r>
      <rPr>
        <b/>
        <sz val="10"/>
        <color theme="1"/>
        <rFont val="Calibri"/>
        <family val="2"/>
        <scheme val="minor"/>
      </rPr>
      <t>425525006</t>
    </r>
    <r>
      <rPr>
        <sz val="10"/>
        <color theme="1"/>
        <rFont val="Calibri"/>
        <family val="2"/>
        <scheme val="minor"/>
      </rPr>
      <t xml:space="preserve"> - Allergy to dairy product
</t>
    </r>
    <r>
      <rPr>
        <b/>
        <sz val="10"/>
        <color theme="1"/>
        <rFont val="Calibri"/>
        <family val="2"/>
        <scheme val="minor"/>
      </rPr>
      <t>447961002</t>
    </r>
    <r>
      <rPr>
        <sz val="10"/>
        <color theme="1"/>
        <rFont val="Calibri"/>
        <family val="2"/>
        <scheme val="minor"/>
      </rPr>
      <t xml:space="preserve"> - Allergy to dietary mushroom
</t>
    </r>
    <r>
      <rPr>
        <b/>
        <sz val="10"/>
        <color theme="1"/>
        <rFont val="Calibri"/>
        <family val="2"/>
        <scheme val="minor"/>
      </rPr>
      <t>419271008</t>
    </r>
    <r>
      <rPr>
        <sz val="10"/>
        <color theme="1"/>
        <rFont val="Calibri"/>
        <family val="2"/>
        <scheme val="minor"/>
      </rPr>
      <t xml:space="preserve"> - Allergy to dog dander
</t>
    </r>
    <r>
      <rPr>
        <b/>
        <sz val="10"/>
        <color theme="1"/>
        <rFont val="Calibri"/>
        <family val="2"/>
        <scheme val="minor"/>
      </rPr>
      <t>449324007</t>
    </r>
    <r>
      <rPr>
        <sz val="10"/>
        <color theme="1"/>
        <rFont val="Calibri"/>
        <family val="2"/>
        <scheme val="minor"/>
      </rPr>
      <t xml:space="preserve"> - Allergy to doxacurium
</t>
    </r>
    <r>
      <rPr>
        <b/>
        <sz val="10"/>
        <color theme="1"/>
        <rFont val="Calibri"/>
        <family val="2"/>
        <scheme val="minor"/>
      </rPr>
      <t>416098002</t>
    </r>
    <r>
      <rPr>
        <sz val="10"/>
        <color theme="1"/>
        <rFont val="Calibri"/>
        <family val="2"/>
        <scheme val="minor"/>
      </rPr>
      <t xml:space="preserve"> - Allergy to drug
</t>
    </r>
    <r>
      <rPr>
        <b/>
        <sz val="10"/>
        <color theme="1"/>
        <rFont val="Calibri"/>
        <family val="2"/>
        <scheme val="minor"/>
      </rPr>
      <t>402592001</t>
    </r>
    <r>
      <rPr>
        <sz val="10"/>
        <color theme="1"/>
        <rFont val="Calibri"/>
        <family val="2"/>
        <scheme val="minor"/>
      </rPr>
      <t xml:space="preserve"> - Allergy to drug in contact with skin
</t>
    </r>
    <r>
      <rPr>
        <b/>
        <sz val="10"/>
        <color theme="1"/>
        <rFont val="Calibri"/>
        <family val="2"/>
        <scheme val="minor"/>
      </rPr>
      <t>402593006</t>
    </r>
    <r>
      <rPr>
        <sz val="10"/>
        <color theme="1"/>
        <rFont val="Calibri"/>
        <family val="2"/>
        <scheme val="minor"/>
      </rPr>
      <t xml:space="preserve"> - Allergy to drug vehicle
</t>
    </r>
    <r>
      <rPr>
        <b/>
        <sz val="10"/>
        <color theme="1"/>
        <rFont val="Calibri"/>
        <family val="2"/>
        <scheme val="minor"/>
      </rPr>
      <t>418545001</t>
    </r>
    <r>
      <rPr>
        <sz val="10"/>
        <color theme="1"/>
        <rFont val="Calibri"/>
        <family val="2"/>
        <scheme val="minor"/>
      </rPr>
      <t xml:space="preserve"> - Allergy to dye
</t>
    </r>
    <r>
      <rPr>
        <b/>
        <sz val="10"/>
        <color theme="1"/>
        <rFont val="Calibri"/>
        <family val="2"/>
        <scheme val="minor"/>
      </rPr>
      <t>91930004</t>
    </r>
    <r>
      <rPr>
        <sz val="10"/>
        <color theme="1"/>
        <rFont val="Calibri"/>
        <family val="2"/>
        <scheme val="minor"/>
      </rPr>
      <t xml:space="preserve"> - Allergy to eggs
</t>
    </r>
    <r>
      <rPr>
        <b/>
        <sz val="10"/>
        <color theme="1"/>
        <rFont val="Calibri"/>
        <family val="2"/>
        <scheme val="minor"/>
      </rPr>
      <t>441725009</t>
    </r>
    <r>
      <rPr>
        <sz val="10"/>
        <color theme="1"/>
        <rFont val="Calibri"/>
        <family val="2"/>
        <scheme val="minor"/>
      </rPr>
      <t xml:space="preserve"> - Allergy to ertapenem
</t>
    </r>
    <r>
      <rPr>
        <b/>
        <sz val="10"/>
        <color theme="1"/>
        <rFont val="Calibri"/>
        <family val="2"/>
        <scheme val="minor"/>
      </rPr>
      <t>91931000</t>
    </r>
    <r>
      <rPr>
        <sz val="10"/>
        <color theme="1"/>
        <rFont val="Calibri"/>
        <family val="2"/>
        <scheme val="minor"/>
      </rPr>
      <t xml:space="preserve"> - Allergy to erythromycin
</t>
    </r>
    <r>
      <rPr>
        <b/>
        <sz val="10"/>
        <color theme="1"/>
        <rFont val="Calibri"/>
        <family val="2"/>
        <scheme val="minor"/>
      </rPr>
      <t>420140004</t>
    </r>
    <r>
      <rPr>
        <sz val="10"/>
        <color theme="1"/>
        <rFont val="Calibri"/>
        <family val="2"/>
        <scheme val="minor"/>
      </rPr>
      <t xml:space="preserve"> - Allergy to ethanol
</t>
    </r>
    <r>
      <rPr>
        <b/>
        <sz val="10"/>
        <color theme="1"/>
        <rFont val="Calibri"/>
        <family val="2"/>
        <scheme val="minor"/>
      </rPr>
      <t>420140004</t>
    </r>
    <r>
      <rPr>
        <sz val="10"/>
        <color theme="1"/>
        <rFont val="Calibri"/>
        <family val="2"/>
        <scheme val="minor"/>
      </rPr>
      <t xml:space="preserve"> - Allergy to ethyl alcohol
</t>
    </r>
    <r>
      <rPr>
        <b/>
        <sz val="10"/>
        <color theme="1"/>
        <rFont val="Calibri"/>
        <family val="2"/>
        <scheme val="minor"/>
      </rPr>
      <t>417532002</t>
    </r>
    <r>
      <rPr>
        <sz val="10"/>
        <color theme="1"/>
        <rFont val="Calibri"/>
        <family val="2"/>
        <scheme val="minor"/>
      </rPr>
      <t xml:space="preserve"> - Allergy to fish
</t>
    </r>
    <r>
      <rPr>
        <b/>
        <sz val="10"/>
        <color theme="1"/>
        <rFont val="Calibri"/>
        <family val="2"/>
        <scheme val="minor"/>
      </rPr>
      <t>402598002</t>
    </r>
    <r>
      <rPr>
        <sz val="10"/>
        <color theme="1"/>
        <rFont val="Calibri"/>
        <family val="2"/>
        <scheme val="minor"/>
      </rPr>
      <t xml:space="preserve"> - Allergy to flavor
</t>
    </r>
    <r>
      <rPr>
        <b/>
        <sz val="10"/>
        <color theme="1"/>
        <rFont val="Calibri"/>
        <family val="2"/>
        <scheme val="minor"/>
      </rPr>
      <t>91932007</t>
    </r>
    <r>
      <rPr>
        <sz val="10"/>
        <color theme="1"/>
        <rFont val="Calibri"/>
        <family val="2"/>
        <scheme val="minor"/>
      </rPr>
      <t xml:space="preserve"> - Allergy to fruit
</t>
    </r>
    <r>
      <rPr>
        <b/>
        <sz val="10"/>
        <color theme="1"/>
        <rFont val="Calibri"/>
        <family val="2"/>
        <scheme val="minor"/>
      </rPr>
      <t>418968001</t>
    </r>
    <r>
      <rPr>
        <sz val="10"/>
        <color theme="1"/>
        <rFont val="Calibri"/>
        <family val="2"/>
        <scheme val="minor"/>
      </rPr>
      <t xml:space="preserve"> - Allergy to gauze
</t>
    </r>
    <r>
      <rPr>
        <b/>
        <sz val="10"/>
        <color theme="1"/>
        <rFont val="Calibri"/>
        <family val="2"/>
        <scheme val="minor"/>
      </rPr>
      <t>418689008</t>
    </r>
    <r>
      <rPr>
        <sz val="10"/>
        <color theme="1"/>
        <rFont val="Calibri"/>
        <family val="2"/>
        <scheme val="minor"/>
      </rPr>
      <t xml:space="preserve"> - Allergy to grass pollen
</t>
    </r>
    <r>
      <rPr>
        <b/>
        <sz val="10"/>
        <color theme="1"/>
        <rFont val="Calibri"/>
        <family val="2"/>
        <scheme val="minor"/>
      </rPr>
      <t>418689008</t>
    </r>
    <r>
      <rPr>
        <sz val="10"/>
        <color theme="1"/>
        <rFont val="Calibri"/>
        <family val="2"/>
        <scheme val="minor"/>
      </rPr>
      <t xml:space="preserve"> - Allergy to hay
</t>
    </r>
    <r>
      <rPr>
        <b/>
        <sz val="10"/>
        <color theme="1"/>
        <rFont val="Calibri"/>
        <family val="2"/>
        <scheme val="minor"/>
      </rPr>
      <t>419063004</t>
    </r>
    <r>
      <rPr>
        <sz val="10"/>
        <color theme="1"/>
        <rFont val="Calibri"/>
        <family val="2"/>
        <scheme val="minor"/>
      </rPr>
      <t xml:space="preserve"> - Allergy to horse dander
</t>
    </r>
    <r>
      <rPr>
        <b/>
        <sz val="10"/>
        <color theme="1"/>
        <rFont val="Calibri"/>
        <family val="2"/>
        <scheme val="minor"/>
      </rPr>
      <t>442408006</t>
    </r>
    <r>
      <rPr>
        <sz val="10"/>
        <color theme="1"/>
        <rFont val="Calibri"/>
        <family val="2"/>
        <scheme val="minor"/>
      </rPr>
      <t xml:space="preserve"> - Allergy to imipenem
</t>
    </r>
    <r>
      <rPr>
        <b/>
        <sz val="10"/>
        <color theme="1"/>
        <rFont val="Calibri"/>
        <family val="2"/>
        <scheme val="minor"/>
      </rPr>
      <t>294162002</t>
    </r>
    <r>
      <rPr>
        <sz val="10"/>
        <color theme="1"/>
        <rFont val="Calibri"/>
        <family val="2"/>
        <scheme val="minor"/>
      </rPr>
      <t xml:space="preserve"> - Allergy to inhaled corticosteroids
</t>
    </r>
    <r>
      <rPr>
        <b/>
        <sz val="10"/>
        <color theme="1"/>
        <rFont val="Calibri"/>
        <family val="2"/>
        <scheme val="minor"/>
      </rPr>
      <t>409136006</t>
    </r>
    <r>
      <rPr>
        <sz val="10"/>
        <color theme="1"/>
        <rFont val="Calibri"/>
        <family val="2"/>
        <scheme val="minor"/>
      </rPr>
      <t xml:space="preserve"> - Allergy to legumes
</t>
    </r>
    <r>
      <rPr>
        <b/>
        <sz val="10"/>
        <color theme="1"/>
        <rFont val="Calibri"/>
        <family val="2"/>
        <scheme val="minor"/>
      </rPr>
      <t>402596003</t>
    </r>
    <r>
      <rPr>
        <sz val="10"/>
        <color theme="1"/>
        <rFont val="Calibri"/>
        <family val="2"/>
        <scheme val="minor"/>
      </rPr>
      <t xml:space="preserve"> - Allergy to lichen
</t>
    </r>
    <r>
      <rPr>
        <b/>
        <sz val="10"/>
        <color theme="1"/>
        <rFont val="Calibri"/>
        <family val="2"/>
        <scheme val="minor"/>
      </rPr>
      <t>418626004</t>
    </r>
    <r>
      <rPr>
        <sz val="10"/>
        <color theme="1"/>
        <rFont val="Calibri"/>
        <family val="2"/>
        <scheme val="minor"/>
      </rPr>
      <t xml:space="preserve"> - Allergy to lobster
</t>
    </r>
    <r>
      <rPr>
        <b/>
        <sz val="10"/>
        <color theme="1"/>
        <rFont val="Calibri"/>
        <family val="2"/>
        <scheme val="minor"/>
      </rPr>
      <t>91933002</t>
    </r>
    <r>
      <rPr>
        <sz val="10"/>
        <color theme="1"/>
        <rFont val="Calibri"/>
        <family val="2"/>
        <scheme val="minor"/>
      </rPr>
      <t xml:space="preserve"> - Allergy to macrolide antibiotic
</t>
    </r>
    <r>
      <rPr>
        <b/>
        <sz val="10"/>
        <color theme="1"/>
        <rFont val="Calibri"/>
        <family val="2"/>
        <scheme val="minor"/>
      </rPr>
      <t>439406006</t>
    </r>
    <r>
      <rPr>
        <sz val="10"/>
        <color theme="1"/>
        <rFont val="Calibri"/>
        <family val="2"/>
        <scheme val="minor"/>
      </rPr>
      <t xml:space="preserve"> - Allergy to meglitinide
</t>
    </r>
    <r>
      <rPr>
        <b/>
        <sz val="10"/>
        <color theme="1"/>
        <rFont val="Calibri"/>
        <family val="2"/>
        <scheme val="minor"/>
      </rPr>
      <t>442022002</t>
    </r>
    <r>
      <rPr>
        <sz val="10"/>
        <color theme="1"/>
        <rFont val="Calibri"/>
        <family val="2"/>
        <scheme val="minor"/>
      </rPr>
      <t xml:space="preserve"> - Allergy to meropenem
</t>
    </r>
    <r>
      <rPr>
        <b/>
        <sz val="10"/>
        <color theme="1"/>
        <rFont val="Calibri"/>
        <family val="2"/>
        <scheme val="minor"/>
      </rPr>
      <t>419474003</t>
    </r>
    <r>
      <rPr>
        <sz val="10"/>
        <color theme="1"/>
        <rFont val="Calibri"/>
        <family val="2"/>
        <scheme val="minor"/>
      </rPr>
      <t xml:space="preserve"> - Allergy to mildew
</t>
    </r>
    <r>
      <rPr>
        <b/>
        <sz val="10"/>
        <color theme="1"/>
        <rFont val="Calibri"/>
        <family val="2"/>
        <scheme val="minor"/>
      </rPr>
      <t>419474003</t>
    </r>
    <r>
      <rPr>
        <sz val="10"/>
        <color theme="1"/>
        <rFont val="Calibri"/>
        <family val="2"/>
        <scheme val="minor"/>
      </rPr>
      <t xml:space="preserve"> - Allergy to mold
</t>
    </r>
    <r>
      <rPr>
        <b/>
        <sz val="10"/>
        <color theme="1"/>
        <rFont val="Calibri"/>
        <family val="2"/>
        <scheme val="minor"/>
      </rPr>
      <t>419474003</t>
    </r>
    <r>
      <rPr>
        <sz val="10"/>
        <color theme="1"/>
        <rFont val="Calibri"/>
        <family val="2"/>
        <scheme val="minor"/>
      </rPr>
      <t xml:space="preserve"> - Allergy to mould
</t>
    </r>
    <r>
      <rPr>
        <b/>
        <sz val="10"/>
        <color theme="1"/>
        <rFont val="Calibri"/>
        <family val="2"/>
        <scheme val="minor"/>
      </rPr>
      <t>445395006</t>
    </r>
    <r>
      <rPr>
        <sz val="10"/>
        <color theme="1"/>
        <rFont val="Calibri"/>
        <family val="2"/>
        <scheme val="minor"/>
      </rPr>
      <t xml:space="preserve"> - Allergy to Myroxylon pereirae
</t>
    </r>
    <r>
      <rPr>
        <b/>
        <sz val="10"/>
        <color theme="1"/>
        <rFont val="Calibri"/>
        <family val="2"/>
        <scheme val="minor"/>
      </rPr>
      <t>419788000</t>
    </r>
    <r>
      <rPr>
        <sz val="10"/>
        <color theme="1"/>
        <rFont val="Calibri"/>
        <family val="2"/>
        <scheme val="minor"/>
      </rPr>
      <t xml:space="preserve"> - Allergy to nickel
</t>
    </r>
    <r>
      <rPr>
        <b/>
        <sz val="10"/>
        <color theme="1"/>
        <rFont val="Calibri"/>
        <family val="2"/>
        <scheme val="minor"/>
      </rPr>
      <t>91934008</t>
    </r>
    <r>
      <rPr>
        <sz val="10"/>
        <color theme="1"/>
        <rFont val="Calibri"/>
        <family val="2"/>
        <scheme val="minor"/>
      </rPr>
      <t xml:space="preserve"> - Allergy to nuts
</t>
    </r>
    <r>
      <rPr>
        <b/>
        <sz val="10"/>
        <color theme="1"/>
        <rFont val="Calibri"/>
        <family val="2"/>
        <scheme val="minor"/>
      </rPr>
      <t>419342009</t>
    </r>
    <r>
      <rPr>
        <sz val="10"/>
        <color theme="1"/>
        <rFont val="Calibri"/>
        <family val="2"/>
        <scheme val="minor"/>
      </rPr>
      <t xml:space="preserve"> - Allergy to oats
</t>
    </r>
    <r>
      <rPr>
        <b/>
        <sz val="10"/>
        <color theme="1"/>
        <rFont val="Calibri"/>
        <family val="2"/>
        <scheme val="minor"/>
      </rPr>
      <t>293580007</t>
    </r>
    <r>
      <rPr>
        <sz val="10"/>
        <color theme="1"/>
        <rFont val="Calibri"/>
        <family val="2"/>
        <scheme val="minor"/>
      </rPr>
      <t xml:space="preserve"> - Allergy to over-the-counter drug
</t>
    </r>
    <r>
      <rPr>
        <b/>
        <sz val="10"/>
        <color theme="1"/>
        <rFont val="Calibri"/>
        <family val="2"/>
        <scheme val="minor"/>
      </rPr>
      <t>419967000</t>
    </r>
    <r>
      <rPr>
        <sz val="10"/>
        <color theme="1"/>
        <rFont val="Calibri"/>
        <family val="2"/>
        <scheme val="minor"/>
      </rPr>
      <t xml:space="preserve"> - Allergy to oyster
</t>
    </r>
    <r>
      <rPr>
        <b/>
        <sz val="10"/>
        <color theme="1"/>
        <rFont val="Calibri"/>
        <family val="2"/>
        <scheme val="minor"/>
      </rPr>
      <t>91935009</t>
    </r>
    <r>
      <rPr>
        <sz val="10"/>
        <color theme="1"/>
        <rFont val="Calibri"/>
        <family val="2"/>
        <scheme val="minor"/>
      </rPr>
      <t xml:space="preserve"> - Allergy to peanuts
</t>
    </r>
    <r>
      <rPr>
        <b/>
        <sz val="10"/>
        <color theme="1"/>
        <rFont val="Calibri"/>
        <family val="2"/>
        <scheme val="minor"/>
      </rPr>
      <t>91936005</t>
    </r>
    <r>
      <rPr>
        <sz val="10"/>
        <color theme="1"/>
        <rFont val="Calibri"/>
        <family val="2"/>
        <scheme val="minor"/>
      </rPr>
      <t xml:space="preserve"> - Allergy to penicillin
</t>
    </r>
    <r>
      <rPr>
        <b/>
        <sz val="10"/>
        <color theme="1"/>
        <rFont val="Calibri"/>
        <family val="2"/>
        <scheme val="minor"/>
      </rPr>
      <t>448690007</t>
    </r>
    <r>
      <rPr>
        <sz val="10"/>
        <color theme="1"/>
        <rFont val="Calibri"/>
        <family val="2"/>
        <scheme val="minor"/>
      </rPr>
      <t xml:space="preserve"> - Allergy to phosphodiesterase 5 inhibitor
</t>
    </r>
    <r>
      <rPr>
        <b/>
        <sz val="10"/>
        <color theme="1"/>
        <rFont val="Calibri"/>
        <family val="2"/>
        <scheme val="minor"/>
      </rPr>
      <t>402594000</t>
    </r>
    <r>
      <rPr>
        <sz val="10"/>
        <color theme="1"/>
        <rFont val="Calibri"/>
        <family val="2"/>
        <scheme val="minor"/>
      </rPr>
      <t xml:space="preserve"> - Allergy to plant
</t>
    </r>
    <r>
      <rPr>
        <b/>
        <sz val="10"/>
        <color theme="1"/>
        <rFont val="Calibri"/>
        <family val="2"/>
        <scheme val="minor"/>
      </rPr>
      <t>300910009</t>
    </r>
    <r>
      <rPr>
        <sz val="10"/>
        <color theme="1"/>
        <rFont val="Calibri"/>
        <family val="2"/>
        <scheme val="minor"/>
      </rPr>
      <t xml:space="preserve"> - Allergy to pollen
</t>
    </r>
    <r>
      <rPr>
        <b/>
        <sz val="10"/>
        <color theme="1"/>
        <rFont val="Calibri"/>
        <family val="2"/>
        <scheme val="minor"/>
      </rPr>
      <t>417918006</t>
    </r>
    <r>
      <rPr>
        <sz val="10"/>
        <color theme="1"/>
        <rFont val="Calibri"/>
        <family val="2"/>
        <scheme val="minor"/>
      </rPr>
      <t xml:space="preserve"> - Allergy to pork
</t>
    </r>
    <r>
      <rPr>
        <b/>
        <sz val="10"/>
        <color theme="1"/>
        <rFont val="Calibri"/>
        <family val="2"/>
        <scheme val="minor"/>
      </rPr>
      <t>419619007</t>
    </r>
    <r>
      <rPr>
        <sz val="10"/>
        <color theme="1"/>
        <rFont val="Calibri"/>
        <family val="2"/>
        <scheme val="minor"/>
      </rPr>
      <t xml:space="preserve"> - Allergy to potato
</t>
    </r>
    <r>
      <rPr>
        <b/>
        <sz val="10"/>
        <color theme="1"/>
        <rFont val="Calibri"/>
        <family val="2"/>
        <scheme val="minor"/>
      </rPr>
      <t>409136006</t>
    </r>
    <r>
      <rPr>
        <sz val="10"/>
        <color theme="1"/>
        <rFont val="Calibri"/>
        <family val="2"/>
        <scheme val="minor"/>
      </rPr>
      <t xml:space="preserve"> - Allergy to pulse vegetables
</t>
    </r>
    <r>
      <rPr>
        <b/>
        <sz val="10"/>
        <color theme="1"/>
        <rFont val="Calibri"/>
        <family val="2"/>
        <scheme val="minor"/>
      </rPr>
      <t>418561004</t>
    </r>
    <r>
      <rPr>
        <sz val="10"/>
        <color theme="1"/>
        <rFont val="Calibri"/>
        <family val="2"/>
        <scheme val="minor"/>
      </rPr>
      <t xml:space="preserve"> - Allergy to ragweed pollen
</t>
    </r>
    <r>
      <rPr>
        <b/>
        <sz val="10"/>
        <color theme="1"/>
        <rFont val="Calibri"/>
        <family val="2"/>
        <scheme val="minor"/>
      </rPr>
      <t>473078001</t>
    </r>
    <r>
      <rPr>
        <sz val="10"/>
        <color theme="1"/>
        <rFont val="Calibri"/>
        <family val="2"/>
        <scheme val="minor"/>
      </rPr>
      <t xml:space="preserve"> - Allergy to raloxifene
</t>
    </r>
    <r>
      <rPr>
        <b/>
        <sz val="10"/>
        <color theme="1"/>
        <rFont val="Calibri"/>
        <family val="2"/>
        <scheme val="minor"/>
      </rPr>
      <t>449414003</t>
    </r>
    <r>
      <rPr>
        <sz val="10"/>
        <color theme="1"/>
        <rFont val="Calibri"/>
        <family val="2"/>
        <scheme val="minor"/>
      </rPr>
      <t xml:space="preserve"> - Allergy to rapacuronium
</t>
    </r>
    <r>
      <rPr>
        <b/>
        <sz val="10"/>
        <color theme="1"/>
        <rFont val="Calibri"/>
        <family val="2"/>
        <scheme val="minor"/>
      </rPr>
      <t>418815008</t>
    </r>
    <r>
      <rPr>
        <sz val="10"/>
        <color theme="1"/>
        <rFont val="Calibri"/>
        <family val="2"/>
        <scheme val="minor"/>
      </rPr>
      <t xml:space="preserve"> - Allergy to red meat
</t>
    </r>
    <r>
      <rPr>
        <b/>
        <sz val="10"/>
        <color theme="1"/>
        <rFont val="Calibri"/>
        <family val="2"/>
        <scheme val="minor"/>
      </rPr>
      <t>441992007</t>
    </r>
    <r>
      <rPr>
        <sz val="10"/>
        <color theme="1"/>
        <rFont val="Calibri"/>
        <family val="2"/>
        <scheme val="minor"/>
      </rPr>
      <t xml:space="preserve"> - Allergy to remifentanil
</t>
    </r>
    <r>
      <rPr>
        <b/>
        <sz val="10"/>
        <color theme="1"/>
        <rFont val="Calibri"/>
        <family val="2"/>
        <scheme val="minor"/>
      </rPr>
      <t>419412007</t>
    </r>
    <r>
      <rPr>
        <sz val="10"/>
        <color theme="1"/>
        <rFont val="Calibri"/>
        <family val="2"/>
        <scheme val="minor"/>
      </rPr>
      <t xml:space="preserve"> - Allergy to rubber
</t>
    </r>
    <r>
      <rPr>
        <b/>
        <sz val="10"/>
        <color theme="1"/>
        <rFont val="Calibri"/>
        <family val="2"/>
        <scheme val="minor"/>
      </rPr>
      <t>418184004</t>
    </r>
    <r>
      <rPr>
        <sz val="10"/>
        <color theme="1"/>
        <rFont val="Calibri"/>
        <family val="2"/>
        <scheme val="minor"/>
      </rPr>
      <t xml:space="preserve"> - Allergy to rye
</t>
    </r>
    <r>
      <rPr>
        <b/>
        <sz val="10"/>
        <color theme="1"/>
        <rFont val="Calibri"/>
        <family val="2"/>
        <scheme val="minor"/>
      </rPr>
      <t>422921000</t>
    </r>
    <r>
      <rPr>
        <sz val="10"/>
        <color theme="1"/>
        <rFont val="Calibri"/>
        <family val="2"/>
        <scheme val="minor"/>
      </rPr>
      <t xml:space="preserve"> - Allergy to scorpion venom
</t>
    </r>
    <r>
      <rPr>
        <b/>
        <sz val="10"/>
        <color theme="1"/>
        <rFont val="Calibri"/>
        <family val="2"/>
        <scheme val="minor"/>
      </rPr>
      <t>91937001</t>
    </r>
    <r>
      <rPr>
        <sz val="10"/>
        <color theme="1"/>
        <rFont val="Calibri"/>
        <family val="2"/>
        <scheme val="minor"/>
      </rPr>
      <t xml:space="preserve"> - Allergy to seafood
</t>
    </r>
    <r>
      <rPr>
        <b/>
        <sz val="10"/>
        <color theme="1"/>
        <rFont val="Calibri"/>
        <family val="2"/>
        <scheme val="minor"/>
      </rPr>
      <t>419101002</t>
    </r>
    <r>
      <rPr>
        <sz val="10"/>
        <color theme="1"/>
        <rFont val="Calibri"/>
        <family val="2"/>
        <scheme val="minor"/>
      </rPr>
      <t xml:space="preserve"> - Allergy to seed
</t>
    </r>
    <r>
      <rPr>
        <b/>
        <sz val="10"/>
        <color theme="1"/>
        <rFont val="Calibri"/>
        <family val="2"/>
        <scheme val="minor"/>
      </rPr>
      <t>441954006</t>
    </r>
    <r>
      <rPr>
        <sz val="10"/>
        <color theme="1"/>
        <rFont val="Calibri"/>
        <family val="2"/>
        <scheme val="minor"/>
      </rPr>
      <t xml:space="preserve"> - Allergy to sevoflurane
</t>
    </r>
    <r>
      <rPr>
        <b/>
        <sz val="10"/>
        <color theme="1"/>
        <rFont val="Calibri"/>
        <family val="2"/>
        <scheme val="minor"/>
      </rPr>
      <t>419972009</t>
    </r>
    <r>
      <rPr>
        <sz val="10"/>
        <color theme="1"/>
        <rFont val="Calibri"/>
        <family val="2"/>
        <scheme val="minor"/>
      </rPr>
      <t xml:space="preserve"> - Allergy to shrimp
</t>
    </r>
    <r>
      <rPr>
        <b/>
        <sz val="10"/>
        <color theme="1"/>
        <rFont val="Calibri"/>
        <family val="2"/>
        <scheme val="minor"/>
      </rPr>
      <t>427487000</t>
    </r>
    <r>
      <rPr>
        <sz val="10"/>
        <color theme="1"/>
        <rFont val="Calibri"/>
        <family val="2"/>
        <scheme val="minor"/>
      </rPr>
      <t xml:space="preserve"> - Allergy to spider venom
</t>
    </r>
    <r>
      <rPr>
        <b/>
        <sz val="10"/>
        <color theme="1"/>
        <rFont val="Calibri"/>
        <family val="2"/>
        <scheme val="minor"/>
      </rPr>
      <t>91938006</t>
    </r>
    <r>
      <rPr>
        <sz val="10"/>
        <color theme="1"/>
        <rFont val="Calibri"/>
        <family val="2"/>
        <scheme val="minor"/>
      </rPr>
      <t xml:space="preserve"> - Allergy to strawberries
</t>
    </r>
    <r>
      <rPr>
        <b/>
        <sz val="10"/>
        <color theme="1"/>
        <rFont val="Calibri"/>
        <family val="2"/>
        <scheme val="minor"/>
      </rPr>
      <t>419199007</t>
    </r>
    <r>
      <rPr>
        <sz val="10"/>
        <color theme="1"/>
        <rFont val="Calibri"/>
        <family val="2"/>
        <scheme val="minor"/>
      </rPr>
      <t xml:space="preserve"> - Allergy to substance
</t>
    </r>
    <r>
      <rPr>
        <b/>
        <sz val="10"/>
        <color theme="1"/>
        <rFont val="Calibri"/>
        <family val="2"/>
        <scheme val="minor"/>
      </rPr>
      <t>441955007</t>
    </r>
    <r>
      <rPr>
        <sz val="10"/>
        <color theme="1"/>
        <rFont val="Calibri"/>
        <family val="2"/>
        <scheme val="minor"/>
      </rPr>
      <t xml:space="preserve"> - Allergy to sufentanil
</t>
    </r>
    <r>
      <rPr>
        <b/>
        <sz val="10"/>
        <color theme="1"/>
        <rFont val="Calibri"/>
        <family val="2"/>
        <scheme val="minor"/>
      </rPr>
      <t>419421008</t>
    </r>
    <r>
      <rPr>
        <sz val="10"/>
        <color theme="1"/>
        <rFont val="Calibri"/>
        <family val="2"/>
        <scheme val="minor"/>
      </rPr>
      <t xml:space="preserve"> - Allergy to sulfite based food preservative
</t>
    </r>
    <r>
      <rPr>
        <b/>
        <sz val="10"/>
        <color theme="1"/>
        <rFont val="Calibri"/>
        <family val="2"/>
        <scheme val="minor"/>
      </rPr>
      <t>429239002</t>
    </r>
    <r>
      <rPr>
        <sz val="10"/>
        <color theme="1"/>
        <rFont val="Calibri"/>
        <family val="2"/>
        <scheme val="minor"/>
      </rPr>
      <t xml:space="preserve"> - Allergy to sulfonamide antibiotic
</t>
    </r>
    <r>
      <rPr>
        <b/>
        <sz val="10"/>
        <color theme="1"/>
        <rFont val="Calibri"/>
        <family val="2"/>
        <scheme val="minor"/>
      </rPr>
      <t>91939003</t>
    </r>
    <r>
      <rPr>
        <sz val="10"/>
        <color theme="1"/>
        <rFont val="Calibri"/>
        <family val="2"/>
        <scheme val="minor"/>
      </rPr>
      <t xml:space="preserve"> - Allergy to sulfonamides
</t>
    </r>
    <r>
      <rPr>
        <b/>
        <sz val="10"/>
        <color theme="1"/>
        <rFont val="Calibri"/>
        <family val="2"/>
        <scheme val="minor"/>
      </rPr>
      <t>419421008</t>
    </r>
    <r>
      <rPr>
        <sz val="10"/>
        <color theme="1"/>
        <rFont val="Calibri"/>
        <family val="2"/>
        <scheme val="minor"/>
      </rPr>
      <t xml:space="preserve"> - Allergy to sulphite based food preservative
</t>
    </r>
    <r>
      <rPr>
        <b/>
        <sz val="10"/>
        <color theme="1"/>
        <rFont val="Calibri"/>
        <family val="2"/>
        <scheme val="minor"/>
      </rPr>
      <t>429239002</t>
    </r>
    <r>
      <rPr>
        <sz val="10"/>
        <color theme="1"/>
        <rFont val="Calibri"/>
        <family val="2"/>
        <scheme val="minor"/>
      </rPr>
      <t xml:space="preserve"> - Allergy to sulphonamide antibiotic
</t>
    </r>
    <r>
      <rPr>
        <b/>
        <sz val="10"/>
        <color theme="1"/>
        <rFont val="Calibri"/>
        <family val="2"/>
        <scheme val="minor"/>
      </rPr>
      <t>91939003</t>
    </r>
    <r>
      <rPr>
        <sz val="10"/>
        <color theme="1"/>
        <rFont val="Calibri"/>
        <family val="2"/>
        <scheme val="minor"/>
      </rPr>
      <t xml:space="preserve"> - Allergy to sulphonamides
</t>
    </r>
    <r>
      <rPr>
        <b/>
        <sz val="10"/>
        <color theme="1"/>
        <rFont val="Calibri"/>
        <family val="2"/>
        <scheme val="minor"/>
      </rPr>
      <t>258155009</t>
    </r>
    <r>
      <rPr>
        <sz val="10"/>
        <color theme="1"/>
        <rFont val="Calibri"/>
        <family val="2"/>
        <scheme val="minor"/>
      </rPr>
      <t xml:space="preserve"> - Allergy to sunlight
</t>
    </r>
    <r>
      <rPr>
        <b/>
        <sz val="10"/>
        <color theme="1"/>
        <rFont val="Calibri"/>
        <family val="2"/>
        <scheme val="minor"/>
      </rPr>
      <t>473077006</t>
    </r>
    <r>
      <rPr>
        <sz val="10"/>
        <color theme="1"/>
        <rFont val="Calibri"/>
        <family val="2"/>
        <scheme val="minor"/>
      </rPr>
      <t xml:space="preserve"> - Allergy to teriparatide
</t>
    </r>
    <r>
      <rPr>
        <b/>
        <sz val="10"/>
        <color theme="1"/>
        <rFont val="Calibri"/>
        <family val="2"/>
        <scheme val="minor"/>
      </rPr>
      <t>439954005</t>
    </r>
    <r>
      <rPr>
        <sz val="10"/>
        <color theme="1"/>
        <rFont val="Calibri"/>
        <family val="2"/>
        <scheme val="minor"/>
      </rPr>
      <t xml:space="preserve"> - Allergy to thiazolidinedione
</t>
    </r>
    <r>
      <rPr>
        <b/>
        <sz val="10"/>
        <color theme="1"/>
        <rFont val="Calibri"/>
        <family val="2"/>
        <scheme val="minor"/>
      </rPr>
      <t>418779002</t>
    </r>
    <r>
      <rPr>
        <sz val="10"/>
        <color theme="1"/>
        <rFont val="Calibri"/>
        <family val="2"/>
        <scheme val="minor"/>
      </rPr>
      <t xml:space="preserve"> - Allergy to tomato
</t>
    </r>
    <r>
      <rPr>
        <b/>
        <sz val="10"/>
        <color theme="1"/>
        <rFont val="Calibri"/>
        <family val="2"/>
        <scheme val="minor"/>
      </rPr>
      <t>450767000</t>
    </r>
    <r>
      <rPr>
        <sz val="10"/>
        <color theme="1"/>
        <rFont val="Calibri"/>
        <family val="2"/>
        <scheme val="minor"/>
      </rPr>
      <t xml:space="preserve"> - Allergy to tramadol
</t>
    </r>
    <r>
      <rPr>
        <b/>
        <sz val="10"/>
        <color theme="1"/>
        <rFont val="Calibri"/>
        <family val="2"/>
        <scheme val="minor"/>
      </rPr>
      <t>419263009</t>
    </r>
    <r>
      <rPr>
        <sz val="10"/>
        <color theme="1"/>
        <rFont val="Calibri"/>
        <family val="2"/>
        <scheme val="minor"/>
      </rPr>
      <t xml:space="preserve"> - Allergy to tree pollen
</t>
    </r>
    <r>
      <rPr>
        <b/>
        <sz val="10"/>
        <color theme="1"/>
        <rFont val="Calibri"/>
        <family val="2"/>
        <scheme val="minor"/>
      </rPr>
      <t>402597007</t>
    </r>
    <r>
      <rPr>
        <sz val="10"/>
        <color theme="1"/>
        <rFont val="Calibri"/>
        <family val="2"/>
        <scheme val="minor"/>
      </rPr>
      <t xml:space="preserve"> - Allergy to tree resin
</t>
    </r>
    <r>
      <rPr>
        <b/>
        <sz val="10"/>
        <color theme="1"/>
        <rFont val="Calibri"/>
        <family val="2"/>
        <scheme val="minor"/>
      </rPr>
      <t>91940001</t>
    </r>
    <r>
      <rPr>
        <sz val="10"/>
        <color theme="1"/>
        <rFont val="Calibri"/>
        <family val="2"/>
        <scheme val="minor"/>
      </rPr>
      <t xml:space="preserve"> - Allergy to walnuts
</t>
    </r>
    <r>
      <rPr>
        <b/>
        <sz val="10"/>
        <color theme="1"/>
        <rFont val="Calibri"/>
        <family val="2"/>
        <scheme val="minor"/>
      </rPr>
      <t>423058007</t>
    </r>
    <r>
      <rPr>
        <sz val="10"/>
        <color theme="1"/>
        <rFont val="Calibri"/>
        <family val="2"/>
        <scheme val="minor"/>
      </rPr>
      <t xml:space="preserve"> - Allergy to wasp venom
</t>
    </r>
    <r>
      <rPr>
        <b/>
        <sz val="10"/>
        <color theme="1"/>
        <rFont val="Calibri"/>
        <family val="2"/>
        <scheme val="minor"/>
      </rPr>
      <t>419298007</t>
    </r>
    <r>
      <rPr>
        <sz val="10"/>
        <color theme="1"/>
        <rFont val="Calibri"/>
        <family val="2"/>
        <scheme val="minor"/>
      </rPr>
      <t xml:space="preserve"> - Allergy to watermelon
</t>
    </r>
    <r>
      <rPr>
        <b/>
        <sz val="10"/>
        <color theme="1"/>
        <rFont val="Calibri"/>
        <family val="2"/>
        <scheme val="minor"/>
      </rPr>
      <t>419210001</t>
    </r>
    <r>
      <rPr>
        <sz val="10"/>
        <color theme="1"/>
        <rFont val="Calibri"/>
        <family val="2"/>
        <scheme val="minor"/>
      </rPr>
      <t xml:space="preserve"> - Allergy to weed pollen
</t>
    </r>
    <r>
      <rPr>
        <b/>
        <sz val="10"/>
        <color theme="1"/>
        <rFont val="Calibri"/>
        <family val="2"/>
        <scheme val="minor"/>
      </rPr>
      <t>420174000</t>
    </r>
    <r>
      <rPr>
        <sz val="10"/>
        <color theme="1"/>
        <rFont val="Calibri"/>
        <family val="2"/>
        <scheme val="minor"/>
      </rPr>
      <t xml:space="preserve"> - Allergy to wheat
</t>
    </r>
    <r>
      <rPr>
        <b/>
        <sz val="10"/>
        <color theme="1"/>
        <rFont val="Calibri"/>
        <family val="2"/>
        <scheme val="minor"/>
      </rPr>
      <t>402595004</t>
    </r>
    <r>
      <rPr>
        <sz val="10"/>
        <color theme="1"/>
        <rFont val="Calibri"/>
        <family val="2"/>
        <scheme val="minor"/>
      </rPr>
      <t xml:space="preserve"> - Allergy to wood
</t>
    </r>
    <r>
      <rPr>
        <b/>
        <sz val="10"/>
        <color theme="1"/>
        <rFont val="Calibri"/>
        <family val="2"/>
        <scheme val="minor"/>
      </rPr>
      <t>425605001</t>
    </r>
    <r>
      <rPr>
        <sz val="10"/>
        <color theme="1"/>
        <rFont val="Calibri"/>
        <family val="2"/>
        <scheme val="minor"/>
      </rPr>
      <t xml:space="preserve"> - Allergy to wool
</t>
    </r>
  </si>
  <si>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</si>
  <si>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</si>
  <si>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</si>
  <si>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</si>
  <si>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</si>
  <si>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</si>
  <si>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</si>
  <si>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</si>
  <si>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</si>
  <si>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</si>
  <si>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</si>
  <si>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</si>
  <si>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</si>
  <si>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</si>
  <si>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</si>
  <si>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r>
      <t>Yes</t>
    </r>
    <r>
      <rPr>
        <sz val="10"/>
        <color theme="1"/>
        <rFont val="Calibri"/>
        <family val="2"/>
        <scheme val="minor"/>
      </rPr>
      <t xml:space="preserve"> - Yes
</t>
    </r>
    <r>
      <rPr>
        <b/>
        <sz val="10"/>
        <color theme="1"/>
        <rFont val="Calibri"/>
        <family val="2"/>
        <scheme val="minor"/>
      </rPr>
      <t>No</t>
    </r>
    <r>
      <rPr>
        <sz val="10"/>
        <color theme="1"/>
        <rFont val="Calibri"/>
        <family val="2"/>
        <scheme val="minor"/>
      </rPr>
      <t xml:space="preserve"> - No
</t>
    </r>
    <r>
      <rPr>
        <b/>
        <sz val="10"/>
        <color theme="1"/>
        <rFont val="Calibri"/>
        <family val="2"/>
        <scheme val="minor"/>
      </rPr>
      <t>NA</t>
    </r>
    <r>
      <rPr>
        <sz val="10"/>
        <color theme="1"/>
        <rFont val="Calibri"/>
        <family val="2"/>
        <scheme val="minor"/>
      </rPr>
      <t xml:space="preserve"> - Not applicable
</t>
    </r>
  </si>
  <si>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</si>
  <si>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</si>
  <si>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</si>
  <si>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</si>
  <si>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</si>
  <si>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</si>
  <si>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r>
      <t>Academic</t>
    </r>
    <r>
      <rPr>
        <sz val="10"/>
        <color theme="1"/>
        <rFont val="Calibri"/>
        <family val="2"/>
        <scheme val="minor"/>
      </rPr>
      <t xml:space="preserve"> - Alternative school for students with academic difficulties
</t>
    </r>
    <r>
      <rPr>
        <b/>
        <sz val="10"/>
        <color theme="1"/>
        <rFont val="Calibri"/>
        <family val="2"/>
        <scheme val="minor"/>
      </rPr>
      <t>Discipline</t>
    </r>
    <r>
      <rPr>
        <sz val="10"/>
        <color theme="1"/>
        <rFont val="Calibri"/>
        <family val="2"/>
        <scheme val="minor"/>
      </rPr>
      <t xml:space="preserve"> - Alternative school for students with discipline problems
</t>
    </r>
    <r>
      <rPr>
        <b/>
        <sz val="10"/>
        <color theme="1"/>
        <rFont val="Calibri"/>
        <family val="2"/>
        <scheme val="minor"/>
      </rPr>
      <t>Both</t>
    </r>
    <r>
      <rPr>
        <sz val="10"/>
        <color theme="1"/>
        <rFont val="Calibri"/>
        <family val="2"/>
        <scheme val="minor"/>
      </rPr>
      <t xml:space="preserve"> - Alternative school for students with both discipline and academic problems 
</t>
    </r>
  </si>
  <si>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</si>
  <si>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</si>
  <si>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</si>
  <si>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</si>
  <si>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r>
      <t>Yes</t>
    </r>
    <r>
      <rPr>
        <sz val="10"/>
        <color theme="1"/>
        <rFont val="Calibri"/>
        <family val="2"/>
        <scheme val="minor"/>
      </rPr>
      <t xml:space="preserve"> - Yes
</t>
    </r>
    <r>
      <rPr>
        <b/>
        <sz val="10"/>
        <color theme="1"/>
        <rFont val="Calibri"/>
        <family val="2"/>
        <scheme val="minor"/>
      </rPr>
      <t>No</t>
    </r>
    <r>
      <rPr>
        <sz val="10"/>
        <color theme="1"/>
        <rFont val="Calibri"/>
        <family val="2"/>
        <scheme val="minor"/>
      </rPr>
      <t xml:space="preserve"> - No
</t>
    </r>
    <r>
      <rPr>
        <b/>
        <sz val="10"/>
        <color theme="1"/>
        <rFont val="Calibri"/>
        <family val="2"/>
        <scheme val="minor"/>
      </rPr>
      <t>NotSelected</t>
    </r>
    <r>
      <rPr>
        <sz val="10"/>
        <color theme="1"/>
        <rFont val="Calibri"/>
        <family val="2"/>
        <scheme val="minor"/>
      </rPr>
      <t xml:space="preserve"> - Not selected
</t>
    </r>
  </si>
  <si>
    <t>Adult Education -&gt; AE Student -&gt; Demographic
Career and Technical -&gt; CTE Student -&gt; Demographic
Early Learning -&gt; EL Child -&gt; Demographic
Early Learning -&gt; EL Staff -&gt; Demographic
K12 -&gt; K12 Staff -&gt; Demographic
K12 -&gt; K12 Student -&gt; Demographic
Postsecondary -&gt; PS Staff -&gt; Demographic
Postsecondary -&gt; PS Student -&gt; Demographic
Workforce -&gt; Workforce Program Participant -&gt; Demographic</t>
  </si>
  <si>
    <t>K12: Use cases support Yes and No as options.</t>
  </si>
  <si>
    <t>000016</t>
  </si>
  <si>
    <t>Race American Indian or Alaska Native</t>
  </si>
  <si>
    <t>AmericanIndianOrAlaskaNative</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</si>
  <si>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</si>
  <si>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Postsecondary:</t>
  </si>
  <si>
    <t>- Use cases support Yes and Not Selected as options</t>
  </si>
  <si>
    <t>- As defined in IPEDS</t>
  </si>
  <si>
    <t>Annual Base Contractual Salary</t>
  </si>
  <si>
    <t>The total annual base contractual salary of a person.</t>
  </si>
  <si>
    <t>As defined in IPEDS</t>
  </si>
  <si>
    <t>000744</t>
  </si>
  <si>
    <t>AnnualBaseContractualSalary</t>
  </si>
  <si>
    <t>Annual Measurable Achievement Objective AYP Progress Attainment Status for LEP Students</t>
  </si>
  <si>
    <t>An indication of whether the state or district met the annual measurable objectives for the Limited English Proficient (LEP) student subgroup in mathematics and reading/language arts.</t>
  </si>
  <si>
    <r>
      <t>Met</t>
    </r>
    <r>
      <rPr>
        <sz val="10"/>
        <color theme="1"/>
        <rFont val="Calibri"/>
        <family val="2"/>
        <scheme val="minor"/>
      </rPr>
      <t xml:space="preserve"> - Met
</t>
    </r>
    <r>
      <rPr>
        <b/>
        <sz val="10"/>
        <color theme="1"/>
        <rFont val="Calibri"/>
        <family val="2"/>
        <scheme val="minor"/>
      </rPr>
      <t>DidNotMeet</t>
    </r>
    <r>
      <rPr>
        <sz val="10"/>
        <color theme="1"/>
        <rFont val="Calibri"/>
        <family val="2"/>
        <scheme val="minor"/>
      </rPr>
      <t xml:space="preserve"> - Did not meet
</t>
    </r>
    <r>
      <rPr>
        <b/>
        <sz val="10"/>
        <color theme="1"/>
        <rFont val="Calibri"/>
        <family val="2"/>
        <scheme val="minor"/>
      </rPr>
      <t>NoTitleIII</t>
    </r>
    <r>
      <rPr>
        <sz val="10"/>
        <color theme="1"/>
        <rFont val="Calibri"/>
        <family val="2"/>
        <scheme val="minor"/>
      </rPr>
      <t xml:space="preserve"> - No Title III
</t>
    </r>
    <r>
      <rPr>
        <b/>
        <sz val="10"/>
        <color theme="1"/>
        <rFont val="Calibri"/>
        <family val="2"/>
        <scheme val="minor"/>
      </rPr>
      <t>NA</t>
    </r>
    <r>
      <rPr>
        <sz val="10"/>
        <color theme="1"/>
        <rFont val="Calibri"/>
        <family val="2"/>
        <scheme val="minor"/>
      </rPr>
      <t xml:space="preserve"> - Not applicable
</t>
    </r>
  </si>
  <si>
    <t>K12 -&gt; LEA -&gt; Accountability
K12 -&gt; SEA -&gt; Accountability</t>
  </si>
  <si>
    <t>000579</t>
  </si>
  <si>
    <t>AMAO AYP Progress Attainment Status for LEP Students</t>
  </si>
  <si>
    <t>AMAOAYPProgressAttainmentStatusForLEPStudents</t>
  </si>
  <si>
    <t>Annual Measurable Achievement Objective Proficiency Attainment Status for LEP Students</t>
  </si>
  <si>
    <t>An indication whether the state, district or school met the Annual Measurable Achievement Objectives (AMAO) for attaining English proficiency for limited English proficient (LEP) students under Title III of ESEA.</t>
  </si>
  <si>
    <t>000544</t>
  </si>
  <si>
    <t>AMAO Proficiency Attainment Status for LEP Students</t>
  </si>
  <si>
    <t>AMAOProficiencyAttainmentStatusForLEPStudents</t>
  </si>
  <si>
    <t>Annual Measurable Achievement Objective Progress Attainment Status for LEP Students</t>
  </si>
  <si>
    <t>An indication whether the state, district, or school met the Annual Measurable Achievement Objective (AMAO) for making progress in learning English for limited English proficient (LEP) students under Title III of ESEA as amended.</t>
  </si>
  <si>
    <t>000554</t>
  </si>
  <si>
    <t>AMAO Progress Attainment Status for LEP Students</t>
  </si>
  <si>
    <t>AMAOProgressAttainmentStatusForLEPStudents</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</si>
  <si>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</si>
  <si>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</si>
  <si>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</si>
  <si>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</si>
  <si>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</si>
  <si>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</si>
  <si>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</si>
  <si>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</si>
  <si>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</si>
  <si>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</si>
  <si>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</si>
  <si>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The year, month and day on which an individual application is received by the organization.</t>
  </si>
  <si>
    <t>Early Learning -&gt; EL Child -&gt; Enrollment
Early Learning -&gt; EL Child -&gt; Services -&gt; Application</t>
  </si>
  <si>
    <t>000323</t>
  </si>
  <si>
    <t>ApplicationDate</t>
  </si>
  <si>
    <t>Early Learning -&gt; Program Compliance
Early Learning -&gt; Program Entry</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</si>
  <si>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</si>
  <si>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</si>
  <si>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</si>
  <si>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Race Asian</t>
  </si>
  <si>
    <t>Assessment Academic Subject</t>
  </si>
  <si>
    <t>The description of the academic content or subject area (e.g., arts, mathematics, reading, or a foreign language) being evaluated.</t>
  </si>
  <si>
    <r>
      <t>13371</t>
    </r>
    <r>
      <rPr>
        <sz val="10"/>
        <color theme="1"/>
        <rFont val="Calibri"/>
        <family val="2"/>
        <scheme val="minor"/>
      </rPr>
      <t xml:space="preserve"> - Arts
</t>
    </r>
    <r>
      <rPr>
        <b/>
        <sz val="10"/>
        <color theme="1"/>
        <rFont val="Calibri"/>
        <family val="2"/>
        <scheme val="minor"/>
      </rPr>
      <t>73065</t>
    </r>
    <r>
      <rPr>
        <sz val="10"/>
        <color theme="1"/>
        <rFont val="Calibri"/>
        <family val="2"/>
        <scheme val="minor"/>
      </rPr>
      <t xml:space="preserve"> - Career and Technical Education
</t>
    </r>
    <r>
      <rPr>
        <b/>
        <sz val="10"/>
        <color theme="1"/>
        <rFont val="Calibri"/>
        <family val="2"/>
        <scheme val="minor"/>
      </rPr>
      <t>13372</t>
    </r>
    <r>
      <rPr>
        <sz val="10"/>
        <color theme="1"/>
        <rFont val="Calibri"/>
        <family val="2"/>
        <scheme val="minor"/>
      </rPr>
      <t xml:space="preserve"> - English
</t>
    </r>
    <r>
      <rPr>
        <b/>
        <sz val="10"/>
        <color theme="1"/>
        <rFont val="Calibri"/>
        <family val="2"/>
        <scheme val="minor"/>
      </rPr>
      <t>00256</t>
    </r>
    <r>
      <rPr>
        <sz val="10"/>
        <color theme="1"/>
        <rFont val="Calibri"/>
        <family val="2"/>
        <scheme val="minor"/>
      </rPr>
      <t xml:space="preserve"> - English as a second language (ESL)
</t>
    </r>
    <r>
      <rPr>
        <b/>
        <sz val="10"/>
        <color theme="1"/>
        <rFont val="Calibri"/>
        <family val="2"/>
        <scheme val="minor"/>
      </rPr>
      <t>00546</t>
    </r>
    <r>
      <rPr>
        <sz val="10"/>
        <color theme="1"/>
        <rFont val="Calibri"/>
        <family val="2"/>
        <scheme val="minor"/>
      </rPr>
      <t xml:space="preserve"> - Foreign Languages
</t>
    </r>
    <r>
      <rPr>
        <b/>
        <sz val="10"/>
        <color theme="1"/>
        <rFont val="Calibri"/>
        <family val="2"/>
        <scheme val="minor"/>
      </rPr>
      <t>73088</t>
    </r>
    <r>
      <rPr>
        <sz val="10"/>
        <color theme="1"/>
        <rFont val="Calibri"/>
        <family val="2"/>
        <scheme val="minor"/>
      </rPr>
      <t xml:space="preserve"> - History Government - US
</t>
    </r>
    <r>
      <rPr>
        <b/>
        <sz val="10"/>
        <color theme="1"/>
        <rFont val="Calibri"/>
        <family val="2"/>
        <scheme val="minor"/>
      </rPr>
      <t>73089</t>
    </r>
    <r>
      <rPr>
        <sz val="10"/>
        <color theme="1"/>
        <rFont val="Calibri"/>
        <family val="2"/>
        <scheme val="minor"/>
      </rPr>
      <t xml:space="preserve"> - History Government - World
</t>
    </r>
    <r>
      <rPr>
        <b/>
        <sz val="10"/>
        <color theme="1"/>
        <rFont val="Calibri"/>
        <family val="2"/>
        <scheme val="minor"/>
      </rPr>
      <t>00554</t>
    </r>
    <r>
      <rPr>
        <sz val="10"/>
        <color theme="1"/>
        <rFont val="Calibri"/>
        <family val="2"/>
        <scheme val="minor"/>
      </rPr>
      <t xml:space="preserve"> - Language arts
</t>
    </r>
    <r>
      <rPr>
        <b/>
        <sz val="10"/>
        <color theme="1"/>
        <rFont val="Calibri"/>
        <family val="2"/>
        <scheme val="minor"/>
      </rPr>
      <t>01166</t>
    </r>
    <r>
      <rPr>
        <sz val="10"/>
        <color theme="1"/>
        <rFont val="Calibri"/>
        <family val="2"/>
        <scheme val="minor"/>
      </rPr>
      <t xml:space="preserve"> - Mathematics
</t>
    </r>
    <r>
      <rPr>
        <b/>
        <sz val="10"/>
        <color theme="1"/>
        <rFont val="Calibri"/>
        <family val="2"/>
        <scheme val="minor"/>
      </rPr>
      <t>00560</t>
    </r>
    <r>
      <rPr>
        <sz val="10"/>
        <color theme="1"/>
        <rFont val="Calibri"/>
        <family val="2"/>
        <scheme val="minor"/>
      </rPr>
      <t xml:space="preserve"> - Reading
</t>
    </r>
    <r>
      <rPr>
        <b/>
        <sz val="10"/>
        <color theme="1"/>
        <rFont val="Calibri"/>
        <family val="2"/>
        <scheme val="minor"/>
      </rPr>
      <t>13373</t>
    </r>
    <r>
      <rPr>
        <sz val="10"/>
        <color theme="1"/>
        <rFont val="Calibri"/>
        <family val="2"/>
        <scheme val="minor"/>
      </rPr>
      <t xml:space="preserve"> - Reading/Language Arts
</t>
    </r>
    <r>
      <rPr>
        <b/>
        <sz val="10"/>
        <color theme="1"/>
        <rFont val="Calibri"/>
        <family val="2"/>
        <scheme val="minor"/>
      </rPr>
      <t>00562</t>
    </r>
    <r>
      <rPr>
        <sz val="10"/>
        <color theme="1"/>
        <rFont val="Calibri"/>
        <family val="2"/>
        <scheme val="minor"/>
      </rPr>
      <t xml:space="preserve"> - Science
</t>
    </r>
    <r>
      <rPr>
        <b/>
        <sz val="10"/>
        <color theme="1"/>
        <rFont val="Calibri"/>
        <family val="2"/>
        <scheme val="minor"/>
      </rPr>
      <t>73086</t>
    </r>
    <r>
      <rPr>
        <sz val="10"/>
        <color theme="1"/>
        <rFont val="Calibri"/>
        <family val="2"/>
        <scheme val="minor"/>
      </rPr>
      <t xml:space="preserve"> - Science - Life
</t>
    </r>
    <r>
      <rPr>
        <b/>
        <sz val="10"/>
        <color theme="1"/>
        <rFont val="Calibri"/>
        <family val="2"/>
        <scheme val="minor"/>
      </rPr>
      <t>73087</t>
    </r>
    <r>
      <rPr>
        <sz val="10"/>
        <color theme="1"/>
        <rFont val="Calibri"/>
        <family val="2"/>
        <scheme val="minor"/>
      </rPr>
      <t xml:space="preserve"> - Science - Physical
</t>
    </r>
    <r>
      <rPr>
        <b/>
        <sz val="10"/>
        <color theme="1"/>
        <rFont val="Calibri"/>
        <family val="2"/>
        <scheme val="minor"/>
      </rPr>
      <t>13374</t>
    </r>
    <r>
      <rPr>
        <sz val="10"/>
        <color theme="1"/>
        <rFont val="Calibri"/>
        <family val="2"/>
        <scheme val="minor"/>
      </rPr>
      <t xml:space="preserve"> - Social Sciences (History, Geography, Economics, Civics and Government)
</t>
    </r>
    <r>
      <rPr>
        <b/>
        <sz val="10"/>
        <color theme="1"/>
        <rFont val="Calibri"/>
        <family val="2"/>
        <scheme val="minor"/>
      </rPr>
      <t>02043</t>
    </r>
    <r>
      <rPr>
        <sz val="10"/>
        <color theme="1"/>
        <rFont val="Calibri"/>
        <family val="2"/>
        <scheme val="minor"/>
      </rPr>
      <t xml:space="preserve"> - Special education
</t>
    </r>
    <r>
      <rPr>
        <b/>
        <sz val="10"/>
        <color theme="1"/>
        <rFont val="Calibri"/>
        <family val="2"/>
        <scheme val="minor"/>
      </rPr>
      <t>01287</t>
    </r>
    <r>
      <rPr>
        <sz val="10"/>
        <color theme="1"/>
        <rFont val="Calibri"/>
        <family val="2"/>
        <scheme val="minor"/>
      </rPr>
      <t xml:space="preserve"> - Writing
</t>
    </r>
    <r>
      <rPr>
        <b/>
        <sz val="10"/>
        <color theme="1"/>
        <rFont val="Calibri"/>
        <family val="2"/>
        <scheme val="minor"/>
      </rPr>
      <t>09999</t>
    </r>
    <r>
      <rPr>
        <sz val="10"/>
        <color theme="1"/>
        <rFont val="Calibri"/>
        <family val="2"/>
        <scheme val="minor"/>
      </rPr>
      <t xml:space="preserve"> - Other
</t>
    </r>
  </si>
  <si>
    <t>Assessments -&gt; Assessment
Assessments -&gt; Assessment Asset
Assessments -&gt; Assessment Form
Assessments -&gt; Assessment Form -&gt; Assessment Form Section
Assessments -&gt; Assessment Item
Assessments -&gt; Assessment Subtest</t>
  </si>
  <si>
    <t>000021</t>
  </si>
  <si>
    <t>AssessmentAcademicSubject</t>
  </si>
  <si>
    <t>College Readiness
K-12 -&gt; EDFacts
K-12 -&gt; LEA Assessments
K-12 -&gt; SEA Assessments</t>
  </si>
  <si>
    <t>Assessment Accommodation Category</t>
  </si>
  <si>
    <t>A category of accommodations needed for a given assessment.</t>
  </si>
  <si>
    <r>
      <t>Scheduling</t>
    </r>
    <r>
      <rPr>
        <sz val="10"/>
        <color theme="1"/>
        <rFont val="Calibri"/>
        <family val="2"/>
        <scheme val="minor"/>
      </rPr>
      <t xml:space="preserve"> - Scheduling accommodations
</t>
    </r>
    <r>
      <rPr>
        <b/>
        <sz val="10"/>
        <color theme="1"/>
        <rFont val="Calibri"/>
        <family val="2"/>
        <scheme val="minor"/>
      </rPr>
      <t>Setting</t>
    </r>
    <r>
      <rPr>
        <sz val="10"/>
        <color theme="1"/>
        <rFont val="Calibri"/>
        <family val="2"/>
        <scheme val="minor"/>
      </rPr>
      <t xml:space="preserve"> - Settings accommodations
</t>
    </r>
    <r>
      <rPr>
        <b/>
        <sz val="10"/>
        <color theme="1"/>
        <rFont val="Calibri"/>
        <family val="2"/>
        <scheme val="minor"/>
      </rPr>
      <t>EquipmentOrTechnology</t>
    </r>
    <r>
      <rPr>
        <sz val="10"/>
        <color theme="1"/>
        <rFont val="Calibri"/>
        <family val="2"/>
        <scheme val="minor"/>
      </rPr>
      <t xml:space="preserve"> - Student equipment/technology
</t>
    </r>
    <r>
      <rPr>
        <b/>
        <sz val="10"/>
        <color theme="1"/>
        <rFont val="Calibri"/>
        <family val="2"/>
        <scheme val="minor"/>
      </rPr>
      <t>TestAdministration</t>
    </r>
    <r>
      <rPr>
        <sz val="10"/>
        <color theme="1"/>
        <rFont val="Calibri"/>
        <family val="2"/>
        <scheme val="minor"/>
      </rPr>
      <t xml:space="preserve"> - Test administration accommodation
</t>
    </r>
    <r>
      <rPr>
        <b/>
        <sz val="10"/>
        <color theme="1"/>
        <rFont val="Calibri"/>
        <family val="2"/>
        <scheme val="minor"/>
      </rPr>
      <t>TestMaterial</t>
    </r>
    <r>
      <rPr>
        <sz val="10"/>
        <color theme="1"/>
        <rFont val="Calibri"/>
        <family val="2"/>
        <scheme val="minor"/>
      </rPr>
      <t xml:space="preserve"> - Test material accommodations
</t>
    </r>
    <r>
      <rPr>
        <b/>
        <sz val="10"/>
        <color theme="1"/>
        <rFont val="Calibri"/>
        <family val="2"/>
        <scheme val="minor"/>
      </rPr>
      <t>TestResponse</t>
    </r>
    <r>
      <rPr>
        <sz val="10"/>
        <color theme="1"/>
        <rFont val="Calibri"/>
        <family val="2"/>
        <scheme val="minor"/>
      </rPr>
      <t xml:space="preserve"> - Test response accommodation
</t>
    </r>
    <r>
      <rPr>
        <b/>
        <sz val="10"/>
        <color theme="1"/>
        <rFont val="Calibri"/>
        <family val="2"/>
        <scheme val="minor"/>
      </rPr>
      <t>EnglishLearner</t>
    </r>
    <r>
      <rPr>
        <sz val="10"/>
        <color theme="1"/>
        <rFont val="Calibri"/>
        <family val="2"/>
        <scheme val="minor"/>
      </rPr>
      <t xml:space="preserve"> - English learner accommodation
</t>
    </r>
    <r>
      <rPr>
        <b/>
        <sz val="10"/>
        <color theme="1"/>
        <rFont val="Calibri"/>
        <family val="2"/>
        <scheme val="minor"/>
      </rPr>
      <t>504</t>
    </r>
    <r>
      <rPr>
        <sz val="10"/>
        <color theme="1"/>
        <rFont val="Calibri"/>
        <family val="2"/>
        <scheme val="minor"/>
      </rPr>
      <t xml:space="preserve"> - 504 accommodation
</t>
    </r>
    <r>
      <rPr>
        <b/>
        <sz val="10"/>
        <color theme="1"/>
        <rFont val="Calibri"/>
        <family val="2"/>
        <scheme val="minor"/>
      </rPr>
      <t>Other</t>
    </r>
    <r>
      <rPr>
        <sz val="10"/>
        <color theme="1"/>
        <rFont val="Calibri"/>
        <family val="2"/>
        <scheme val="minor"/>
      </rPr>
      <t xml:space="preserve"> - Other
</t>
    </r>
  </si>
  <si>
    <t>Assessments -&gt; Assessment Participant Session
Assessments -&gt; Assessment Registration
K12 -&gt; K12 Student -&gt; Individualized Program -&gt; Assessment
Postsecondary -&gt; PS Student -&gt; Assessment</t>
  </si>
  <si>
    <t>000383</t>
  </si>
  <si>
    <t>AssessmentAccommodationCategory</t>
  </si>
  <si>
    <t>Assessment Administration Assessment Family</t>
  </si>
  <si>
    <t>The title of the assessment family to be administered.</t>
  </si>
  <si>
    <t>Assessments -&gt; Assessment Administration</t>
  </si>
  <si>
    <t>A typical scenario for an assessment administration is a state-wide administration of an accountability test. For example, in Florida "Florida Comprehensive Assessment Test".</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</si>
  <si>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</si>
  <si>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</si>
  <si>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</si>
  <si>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</si>
  <si>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</si>
  <si>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</si>
  <si>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</si>
  <si>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</si>
  <si>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</si>
  <si>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</si>
  <si>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</si>
  <si>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</si>
  <si>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</si>
  <si>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</si>
  <si>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</si>
  <si>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</si>
  <si>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</si>
  <si>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</si>
  <si>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</si>
  <si>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</si>
  <si>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</si>
  <si>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</si>
  <si>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</si>
  <si>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</si>
  <si>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</si>
  <si>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</si>
  <si>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</si>
  <si>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</si>
  <si>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</si>
  <si>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</si>
  <si>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</si>
  <si>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</si>
  <si>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</si>
  <si>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</si>
  <si>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</si>
  <si>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</si>
  <si>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</si>
  <si>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</si>
  <si>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</si>
  <si>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</si>
  <si>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</si>
  <si>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</si>
  <si>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</si>
  <si>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</si>
  <si>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</si>
  <si>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</si>
  <si>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</si>
  <si>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</si>
  <si>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</si>
  <si>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</si>
  <si>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</si>
  <si>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</si>
  <si>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</si>
  <si>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</si>
  <si>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r>
      <t>Client</t>
    </r>
    <r>
      <rPr>
        <sz val="10"/>
        <color theme="1"/>
        <rFont val="Calibri"/>
        <family val="2"/>
        <scheme val="minor"/>
      </rPr>
      <t xml:space="preserve"> - Assigned by the client
</t>
    </r>
    <r>
      <rPr>
        <b/>
        <sz val="10"/>
        <color theme="1"/>
        <rFont val="Calibri"/>
        <family val="2"/>
        <scheme val="minor"/>
      </rPr>
      <t>Publisher</t>
    </r>
    <r>
      <rPr>
        <sz val="10"/>
        <color theme="1"/>
        <rFont val="Calibri"/>
        <family val="2"/>
        <scheme val="minor"/>
      </rPr>
      <t xml:space="preserve"> - Assigned by the asset owner
</t>
    </r>
    <r>
      <rPr>
        <b/>
        <sz val="10"/>
        <color theme="1"/>
        <rFont val="Calibri"/>
        <family val="2"/>
        <scheme val="minor"/>
      </rPr>
      <t>Internal</t>
    </r>
    <r>
      <rPr>
        <sz val="10"/>
        <color theme="1"/>
        <rFont val="Calibri"/>
        <family val="2"/>
        <scheme val="minor"/>
      </rPr>
      <t xml:space="preserve"> - Provided by an internal assessment service
</t>
    </r>
    <r>
      <rPr>
        <b/>
        <sz val="10"/>
        <color theme="1"/>
        <rFont val="Calibri"/>
        <family val="2"/>
        <scheme val="minor"/>
      </rPr>
      <t>Other</t>
    </r>
    <r>
      <rPr>
        <sz val="10"/>
        <color theme="1"/>
        <rFont val="Calibri"/>
        <family val="2"/>
        <scheme val="minor"/>
      </rPr>
      <t xml:space="preserve"> - Custom identifier
</t>
    </r>
  </si>
  <si>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</si>
  <si>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</si>
  <si>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</si>
  <si>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</si>
  <si>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</si>
  <si>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</si>
  <si>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</si>
  <si>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</si>
  <si>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</si>
  <si>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</si>
  <si>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</si>
  <si>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</si>
  <si>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</si>
  <si>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</si>
  <si>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</si>
  <si>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</si>
  <si>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r>
      <t>ReadingPassage</t>
    </r>
    <r>
      <rPr>
        <sz val="10"/>
        <color theme="1"/>
        <rFont val="Calibri"/>
        <family val="2"/>
        <scheme val="minor"/>
      </rPr>
      <t xml:space="preserve"> - Reading passage
</t>
    </r>
    <r>
      <rPr>
        <b/>
        <sz val="10"/>
        <color theme="1"/>
        <rFont val="Calibri"/>
        <family val="2"/>
        <scheme val="minor"/>
      </rPr>
      <t>GraphicArt</t>
    </r>
    <r>
      <rPr>
        <sz val="10"/>
        <color theme="1"/>
        <rFont val="Calibri"/>
        <family val="2"/>
        <scheme val="minor"/>
      </rPr>
      <t xml:space="preserve"> - Graphic art
</t>
    </r>
    <r>
      <rPr>
        <b/>
        <sz val="10"/>
        <color theme="1"/>
        <rFont val="Calibri"/>
        <family val="2"/>
        <scheme val="minor"/>
      </rPr>
      <t>Map</t>
    </r>
    <r>
      <rPr>
        <sz val="10"/>
        <color theme="1"/>
        <rFont val="Calibri"/>
        <family val="2"/>
        <scheme val="minor"/>
      </rPr>
      <t xml:space="preserve"> - Map
</t>
    </r>
    <r>
      <rPr>
        <b/>
        <sz val="10"/>
        <color theme="1"/>
        <rFont val="Calibri"/>
        <family val="2"/>
        <scheme val="minor"/>
      </rPr>
      <t>FormulaSheet</t>
    </r>
    <r>
      <rPr>
        <sz val="10"/>
        <color theme="1"/>
        <rFont val="Calibri"/>
        <family val="2"/>
        <scheme val="minor"/>
      </rPr>
      <t xml:space="preserve"> - Formula sheet
</t>
    </r>
    <r>
      <rPr>
        <b/>
        <sz val="10"/>
        <color theme="1"/>
        <rFont val="Calibri"/>
        <family val="2"/>
        <scheme val="minor"/>
      </rPr>
      <t>Table</t>
    </r>
    <r>
      <rPr>
        <sz val="10"/>
        <color theme="1"/>
        <rFont val="Calibri"/>
        <family val="2"/>
        <scheme val="minor"/>
      </rPr>
      <t xml:space="preserve"> - Table
</t>
    </r>
    <r>
      <rPr>
        <b/>
        <sz val="10"/>
        <color theme="1"/>
        <rFont val="Calibri"/>
        <family val="2"/>
        <scheme val="minor"/>
      </rPr>
      <t>Chart</t>
    </r>
    <r>
      <rPr>
        <sz val="10"/>
        <color theme="1"/>
        <rFont val="Calibri"/>
        <family val="2"/>
        <scheme val="minor"/>
      </rPr>
      <t xml:space="preserve"> - Chart
</t>
    </r>
    <r>
      <rPr>
        <b/>
        <sz val="10"/>
        <color theme="1"/>
        <rFont val="Calibri"/>
        <family val="2"/>
        <scheme val="minor"/>
      </rPr>
      <t>Audio</t>
    </r>
    <r>
      <rPr>
        <sz val="10"/>
        <color theme="1"/>
        <rFont val="Calibri"/>
        <family val="2"/>
        <scheme val="minor"/>
      </rPr>
      <t xml:space="preserve"> - Audio
</t>
    </r>
    <r>
      <rPr>
        <b/>
        <sz val="10"/>
        <color theme="1"/>
        <rFont val="Calibri"/>
        <family val="2"/>
        <scheme val="minor"/>
      </rPr>
      <t>Video</t>
    </r>
    <r>
      <rPr>
        <sz val="10"/>
        <color theme="1"/>
        <rFont val="Calibri"/>
        <family val="2"/>
        <scheme val="minor"/>
      </rPr>
      <t xml:space="preserve"> - Video
</t>
    </r>
    <r>
      <rPr>
        <b/>
        <sz val="10"/>
        <color theme="1"/>
        <rFont val="Calibri"/>
        <family val="2"/>
        <scheme val="minor"/>
      </rPr>
      <t>Scenario</t>
    </r>
    <r>
      <rPr>
        <sz val="10"/>
        <color theme="1"/>
        <rFont val="Calibri"/>
        <family val="2"/>
        <scheme val="minor"/>
      </rPr>
      <t xml:space="preserve"> - Scenario
</t>
    </r>
    <r>
      <rPr>
        <b/>
        <sz val="10"/>
        <color theme="1"/>
        <rFont val="Calibri"/>
        <family val="2"/>
        <scheme val="minor"/>
      </rPr>
      <t>Simulation</t>
    </r>
    <r>
      <rPr>
        <sz val="10"/>
        <color theme="1"/>
        <rFont val="Calibri"/>
        <family val="2"/>
        <scheme val="minor"/>
      </rPr>
      <t xml:space="preserve"> - Simulation
</t>
    </r>
    <r>
      <rPr>
        <b/>
        <sz val="10"/>
        <color theme="1"/>
        <rFont val="Calibri"/>
        <family val="2"/>
        <scheme val="minor"/>
      </rPr>
      <t>StoryBoard</t>
    </r>
    <r>
      <rPr>
        <sz val="10"/>
        <color theme="1"/>
        <rFont val="Calibri"/>
        <family val="2"/>
        <scheme val="minor"/>
      </rPr>
      <t xml:space="preserve"> - Story board
</t>
    </r>
    <r>
      <rPr>
        <b/>
        <sz val="10"/>
        <color theme="1"/>
        <rFont val="Calibri"/>
        <family val="2"/>
        <scheme val="minor"/>
      </rPr>
      <t>LabSet</t>
    </r>
    <r>
      <rPr>
        <sz val="10"/>
        <color theme="1"/>
        <rFont val="Calibri"/>
        <family val="2"/>
        <scheme val="minor"/>
      </rPr>
      <t xml:space="preserve"> - Lab set
</t>
    </r>
    <r>
      <rPr>
        <b/>
        <sz val="10"/>
        <color theme="1"/>
        <rFont val="Calibri"/>
        <family val="2"/>
        <scheme val="minor"/>
      </rPr>
      <t>PeriodicTable</t>
    </r>
    <r>
      <rPr>
        <sz val="10"/>
        <color theme="1"/>
        <rFont val="Calibri"/>
        <family val="2"/>
        <scheme val="minor"/>
      </rPr>
      <t xml:space="preserve"> - Periodic table
</t>
    </r>
    <r>
      <rPr>
        <b/>
        <sz val="10"/>
        <color theme="1"/>
        <rFont val="Calibri"/>
        <family val="2"/>
        <scheme val="minor"/>
      </rPr>
      <t>TranslationDictionary</t>
    </r>
    <r>
      <rPr>
        <sz val="10"/>
        <color theme="1"/>
        <rFont val="Calibri"/>
        <family val="2"/>
        <scheme val="minor"/>
      </rPr>
      <t xml:space="preserve"> - Translation dictionary
</t>
    </r>
    <r>
      <rPr>
        <b/>
        <sz val="10"/>
        <color theme="1"/>
        <rFont val="Calibri"/>
        <family val="2"/>
        <scheme val="minor"/>
      </rPr>
      <t>BasicCalculator</t>
    </r>
    <r>
      <rPr>
        <sz val="10"/>
        <color theme="1"/>
        <rFont val="Calibri"/>
        <family val="2"/>
        <scheme val="minor"/>
      </rPr>
      <t xml:space="preserve"> - Basic calculator
</t>
    </r>
    <r>
      <rPr>
        <b/>
        <sz val="10"/>
        <color theme="1"/>
        <rFont val="Calibri"/>
        <family val="2"/>
        <scheme val="minor"/>
      </rPr>
      <t>StandardCalculator</t>
    </r>
    <r>
      <rPr>
        <sz val="10"/>
        <color theme="1"/>
        <rFont val="Calibri"/>
        <family val="2"/>
        <scheme val="minor"/>
      </rPr>
      <t xml:space="preserve"> - Standard calculator
</t>
    </r>
    <r>
      <rPr>
        <b/>
        <sz val="10"/>
        <color theme="1"/>
        <rFont val="Calibri"/>
        <family val="2"/>
        <scheme val="minor"/>
      </rPr>
      <t>ScientificCalculator</t>
    </r>
    <r>
      <rPr>
        <sz val="10"/>
        <color theme="1"/>
        <rFont val="Calibri"/>
        <family val="2"/>
        <scheme val="minor"/>
      </rPr>
      <t xml:space="preserve"> - Scientific calculator
</t>
    </r>
    <r>
      <rPr>
        <b/>
        <sz val="10"/>
        <color theme="1"/>
        <rFont val="Calibri"/>
        <family val="2"/>
        <scheme val="minor"/>
      </rPr>
      <t>GraphingCalculator</t>
    </r>
    <r>
      <rPr>
        <sz val="10"/>
        <color theme="1"/>
        <rFont val="Calibri"/>
        <family val="2"/>
        <scheme val="minor"/>
      </rPr>
      <t xml:space="preserve"> - Graphing calculator
</t>
    </r>
    <r>
      <rPr>
        <b/>
        <sz val="10"/>
        <color theme="1"/>
        <rFont val="Calibri"/>
        <family val="2"/>
        <scheme val="minor"/>
      </rPr>
      <t>Protractor</t>
    </r>
    <r>
      <rPr>
        <sz val="10"/>
        <color theme="1"/>
        <rFont val="Calibri"/>
        <family val="2"/>
        <scheme val="minor"/>
      </rPr>
      <t xml:space="preserve"> - Protractor
</t>
    </r>
    <r>
      <rPr>
        <b/>
        <sz val="10"/>
        <color theme="1"/>
        <rFont val="Calibri"/>
        <family val="2"/>
        <scheme val="minor"/>
      </rPr>
      <t>MetricRuler</t>
    </r>
    <r>
      <rPr>
        <sz val="10"/>
        <color theme="1"/>
        <rFont val="Calibri"/>
        <family val="2"/>
        <scheme val="minor"/>
      </rPr>
      <t xml:space="preserve"> - Metric ruler
</t>
    </r>
    <r>
      <rPr>
        <b/>
        <sz val="10"/>
        <color theme="1"/>
        <rFont val="Calibri"/>
        <family val="2"/>
        <scheme val="minor"/>
      </rPr>
      <t>EnglishRuler</t>
    </r>
    <r>
      <rPr>
        <sz val="10"/>
        <color theme="1"/>
        <rFont val="Calibri"/>
        <family val="2"/>
        <scheme val="minor"/>
      </rPr>
      <t xml:space="preserve"> - English ruler
</t>
    </r>
    <r>
      <rPr>
        <b/>
        <sz val="10"/>
        <color theme="1"/>
        <rFont val="Calibri"/>
        <family val="2"/>
        <scheme val="minor"/>
      </rPr>
      <t>UnitsRuler</t>
    </r>
    <r>
      <rPr>
        <sz val="10"/>
        <color theme="1"/>
        <rFont val="Calibri"/>
        <family val="2"/>
        <scheme val="minor"/>
      </rPr>
      <t xml:space="preserve"> - Units ruler
</t>
    </r>
    <r>
      <rPr>
        <b/>
        <sz val="10"/>
        <color theme="1"/>
        <rFont val="Calibri"/>
        <family val="2"/>
        <scheme val="minor"/>
      </rPr>
      <t>ReadingLine</t>
    </r>
    <r>
      <rPr>
        <sz val="10"/>
        <color theme="1"/>
        <rFont val="Calibri"/>
        <family val="2"/>
        <scheme val="minor"/>
      </rPr>
      <t xml:space="preserve"> - Reading line
</t>
    </r>
    <r>
      <rPr>
        <b/>
        <sz val="10"/>
        <color theme="1"/>
        <rFont val="Calibri"/>
        <family val="2"/>
        <scheme val="minor"/>
      </rPr>
      <t>LineDraw</t>
    </r>
    <r>
      <rPr>
        <sz val="10"/>
        <color theme="1"/>
        <rFont val="Calibri"/>
        <family val="2"/>
        <scheme val="minor"/>
      </rPr>
      <t xml:space="preserve"> - Line draw
</t>
    </r>
    <r>
      <rPr>
        <b/>
        <sz val="10"/>
        <color theme="1"/>
        <rFont val="Calibri"/>
        <family val="2"/>
        <scheme val="minor"/>
      </rPr>
      <t>Highlighter</t>
    </r>
    <r>
      <rPr>
        <sz val="10"/>
        <color theme="1"/>
        <rFont val="Calibri"/>
        <family val="2"/>
        <scheme val="minor"/>
      </rPr>
      <t xml:space="preserve"> - Highlighter
</t>
    </r>
    <r>
      <rPr>
        <b/>
        <sz val="10"/>
        <color theme="1"/>
        <rFont val="Calibri"/>
        <family val="2"/>
        <scheme val="minor"/>
      </rPr>
      <t>OtherInteractive</t>
    </r>
    <r>
      <rPr>
        <sz val="10"/>
        <color theme="1"/>
        <rFont val="Calibri"/>
        <family val="2"/>
        <scheme val="minor"/>
      </rPr>
      <t xml:space="preserve"> - Other interactive
</t>
    </r>
    <r>
      <rPr>
        <b/>
        <sz val="10"/>
        <color theme="1"/>
        <rFont val="Calibri"/>
        <family val="2"/>
        <scheme val="minor"/>
      </rPr>
      <t>OtherNonInteractive</t>
    </r>
    <r>
      <rPr>
        <sz val="10"/>
        <color theme="1"/>
        <rFont val="Calibri"/>
        <family val="2"/>
        <scheme val="minor"/>
      </rPr>
      <t xml:space="preserve"> - Other non-interactive
</t>
    </r>
    <r>
      <rPr>
        <b/>
        <sz val="10"/>
        <color theme="1"/>
        <rFont val="Calibri"/>
        <family val="2"/>
        <scheme val="minor"/>
      </rPr>
      <t>Other</t>
    </r>
    <r>
      <rPr>
        <sz val="10"/>
        <color theme="1"/>
        <rFont val="Calibri"/>
        <family val="2"/>
        <scheme val="minor"/>
      </rPr>
      <t xml:space="preserve"> - Other
</t>
    </r>
  </si>
  <si>
    <t>The standard option set may be extended based on local and implementation-specific requirements. Commonly used options may be submitted for inclusion in future versions of CEDS.</t>
  </si>
  <si>
    <t>001196</t>
  </si>
  <si>
    <t>AssessmentAssetType</t>
  </si>
  <si>
    <t>Assessment Asset Version</t>
  </si>
  <si>
    <t>A version number or label defined by the publisher.</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</si>
  <si>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</si>
  <si>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001195</t>
  </si>
  <si>
    <t>AssessmentAssetVersion</t>
  </si>
  <si>
    <t>Assessment Content Standard Type</t>
  </si>
  <si>
    <t>An indication as to whether an assessment conforms to a standard.</t>
  </si>
  <si>
    <r>
      <t>AssociationStandard</t>
    </r>
    <r>
      <rPr>
        <sz val="10"/>
        <color theme="1"/>
        <rFont val="Calibri"/>
        <family val="2"/>
        <scheme val="minor"/>
      </rPr>
      <t xml:space="preserve"> - Association standard
</t>
    </r>
    <r>
      <rPr>
        <b/>
        <sz val="10"/>
        <color theme="1"/>
        <rFont val="Calibri"/>
        <family val="2"/>
        <scheme val="minor"/>
      </rPr>
      <t>LocalStandard</t>
    </r>
    <r>
      <rPr>
        <sz val="10"/>
        <color theme="1"/>
        <rFont val="Calibri"/>
        <family val="2"/>
        <scheme val="minor"/>
      </rPr>
      <t xml:space="preserve"> - Local standard
</t>
    </r>
    <r>
      <rPr>
        <b/>
        <sz val="10"/>
        <color theme="1"/>
        <rFont val="Calibri"/>
        <family val="2"/>
        <scheme val="minor"/>
      </rPr>
      <t>None</t>
    </r>
    <r>
      <rPr>
        <sz val="10"/>
        <color theme="1"/>
        <rFont val="Calibri"/>
        <family val="2"/>
        <scheme val="minor"/>
      </rPr>
      <t xml:space="preserve"> - None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OtherStandard</t>
    </r>
    <r>
      <rPr>
        <sz val="10"/>
        <color theme="1"/>
        <rFont val="Calibri"/>
        <family val="2"/>
        <scheme val="minor"/>
      </rPr>
      <t xml:space="preserve"> - Other standard
</t>
    </r>
    <r>
      <rPr>
        <b/>
        <sz val="10"/>
        <color theme="1"/>
        <rFont val="Calibri"/>
        <family val="2"/>
        <scheme val="minor"/>
      </rPr>
      <t>RegionalStandard</t>
    </r>
    <r>
      <rPr>
        <sz val="10"/>
        <color theme="1"/>
        <rFont val="Calibri"/>
        <family val="2"/>
        <scheme val="minor"/>
      </rPr>
      <t xml:space="preserve"> - Regional standard
</t>
    </r>
    <r>
      <rPr>
        <b/>
        <sz val="10"/>
        <color theme="1"/>
        <rFont val="Calibri"/>
        <family val="2"/>
        <scheme val="minor"/>
      </rPr>
      <t>SchoolStandard</t>
    </r>
    <r>
      <rPr>
        <sz val="10"/>
        <color theme="1"/>
        <rFont val="Calibri"/>
        <family val="2"/>
        <scheme val="minor"/>
      </rPr>
      <t xml:space="preserve"> - School standard
</t>
    </r>
    <r>
      <rPr>
        <b/>
        <sz val="10"/>
        <color theme="1"/>
        <rFont val="Calibri"/>
        <family val="2"/>
        <scheme val="minor"/>
      </rPr>
      <t>StatewideStandard</t>
    </r>
    <r>
      <rPr>
        <sz val="10"/>
        <color theme="1"/>
        <rFont val="Calibri"/>
        <family val="2"/>
        <scheme val="minor"/>
      </rPr>
      <t xml:space="preserve"> - Statewide standard
</t>
    </r>
  </si>
  <si>
    <t>Assessments -&gt; Assessment Subtest</t>
  </si>
  <si>
    <t>000605</t>
  </si>
  <si>
    <t>AssessmentContentStandardType</t>
  </si>
  <si>
    <t>College Readiness
K-12 -&gt; LEA Assessments
K-12 -&gt; SEA Assessments
School Readiness</t>
  </si>
  <si>
    <t>Assessment Early Learning Developmental Domain</t>
  </si>
  <si>
    <t>Developmental domains related to early learning and used for assessing a child's kindergarten readiness.</t>
  </si>
  <si>
    <r>
      <t>01</t>
    </r>
    <r>
      <rPr>
        <sz val="10"/>
        <color theme="1"/>
        <rFont val="Calibri"/>
        <family val="2"/>
        <scheme val="minor"/>
      </rPr>
      <t xml:space="preserve"> - Language and Literacy
</t>
    </r>
    <r>
      <rPr>
        <b/>
        <sz val="10"/>
        <color theme="1"/>
        <rFont val="Calibri"/>
        <family val="2"/>
        <scheme val="minor"/>
      </rPr>
      <t>02</t>
    </r>
    <r>
      <rPr>
        <sz val="10"/>
        <color theme="1"/>
        <rFont val="Calibri"/>
        <family val="2"/>
        <scheme val="minor"/>
      </rPr>
      <t xml:space="preserve"> - Cognition and General Knowledge
</t>
    </r>
    <r>
      <rPr>
        <b/>
        <sz val="10"/>
        <color theme="1"/>
        <rFont val="Calibri"/>
        <family val="2"/>
        <scheme val="minor"/>
      </rPr>
      <t>03</t>
    </r>
    <r>
      <rPr>
        <sz val="10"/>
        <color theme="1"/>
        <rFont val="Calibri"/>
        <family val="2"/>
        <scheme val="minor"/>
      </rPr>
      <t xml:space="preserve"> - Approaches Toward Learning
</t>
    </r>
    <r>
      <rPr>
        <b/>
        <sz val="10"/>
        <color theme="1"/>
        <rFont val="Calibri"/>
        <family val="2"/>
        <scheme val="minor"/>
      </rPr>
      <t>04</t>
    </r>
    <r>
      <rPr>
        <sz val="10"/>
        <color theme="1"/>
        <rFont val="Calibri"/>
        <family val="2"/>
        <scheme val="minor"/>
      </rPr>
      <t xml:space="preserve"> - Physical Well-being and Motor
</t>
    </r>
    <r>
      <rPr>
        <b/>
        <sz val="10"/>
        <color theme="1"/>
        <rFont val="Calibri"/>
        <family val="2"/>
        <scheme val="minor"/>
      </rPr>
      <t>05</t>
    </r>
    <r>
      <rPr>
        <sz val="10"/>
        <color theme="1"/>
        <rFont val="Calibri"/>
        <family val="2"/>
        <scheme val="minor"/>
      </rPr>
      <t xml:space="preserve"> - Social and Emotional Development
</t>
    </r>
  </si>
  <si>
    <t>Assessments -&gt; Assessment
Assessments -&gt; Assessment Subtest
Early Learning -&gt; EL Child -&gt; Developmental Assessments</t>
  </si>
  <si>
    <t>Used by states in reporting Kindergarten Entry Assessment (KEA) results as defined for some federal grant programs.</t>
  </si>
  <si>
    <t>001000</t>
  </si>
  <si>
    <t>AssessmentEarlyLearningDevelopmentalDomain</t>
  </si>
  <si>
    <t>K-12 -&gt; EDFacts
School Readiness</t>
  </si>
  <si>
    <t>For each domain used by the state, the state would provide:</t>
  </si>
  <si>
    <t>- The total number of children who participated in the KEA for each domain</t>
  </si>
  <si>
    <t>- The number of children who participated in the KEA for each domain AND was at or above what the state defines as “ready” for kindergarten for that domain.</t>
  </si>
  <si>
    <t>The counts may be calculated using unit-level data defined for Assessment Subtest (scoring method and what is being measured, e.g. the Domain), related Assessment Performance Levels (e.g. "Ready"), related to each student Assessment Result.</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</si>
  <si>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</si>
  <si>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</si>
  <si>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</si>
  <si>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</si>
  <si>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</si>
  <si>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</si>
  <si>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</si>
  <si>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</si>
  <si>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</si>
  <si>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</si>
  <si>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 Form Accommodation List</t>
  </si>
  <si>
    <t>The human readable list of one or more of the specific accommodations available. If no accommodations are provided, then this list will not be present.</t>
  </si>
  <si>
    <t>Assessments -&gt; Assessment Form</t>
  </si>
  <si>
    <t>001185</t>
  </si>
  <si>
    <t>AssessmentFormAccommodationList</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</si>
  <si>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</si>
  <si>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</si>
  <si>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</si>
  <si>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</si>
  <si>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</si>
  <si>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</si>
  <si>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Assessments -&gt; Assessment Form
Assessments -&gt; Assessment Form -&gt; Assessment Form Section</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</si>
  <si>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</si>
  <si>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</si>
  <si>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</si>
  <si>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</si>
  <si>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</si>
  <si>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</si>
  <si>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</si>
  <si>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</si>
  <si>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</si>
  <si>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CEDS "GUID" elements are defined as RFC 4122 compliant 32-character hexadecimal strings (36 characters with dashes). For example, 21EC2020-3AEA-1069-A2DD-08002B30309D.</t>
  </si>
  <si>
    <t>001535</t>
  </si>
  <si>
    <t>AssessmentFormGUID</t>
  </si>
  <si>
    <t>Values MAY be encoded using a hash function such as HMAC-MD5 or HMAC-SHA1, resulting in a string up to 40 characters.</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</si>
  <si>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</si>
  <si>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</si>
  <si>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</si>
  <si>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</si>
  <si>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</si>
  <si>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</si>
  <si>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</si>
  <si>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</si>
  <si>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College Readiness
K-12 -&gt; High School Generated Transcript
K-12 -&gt; LEA Assessments
K-12 -&gt; LEA-to-LEA Student Record Exchange
K-12 -&gt; LEA-to-SEA Student Record Exchange
K-12 -&gt; SEA Assessments
School Readiness</t>
  </si>
  <si>
    <t>Assessment Form Number</t>
  </si>
  <si>
    <t>The number of a given assessment form.</t>
  </si>
  <si>
    <t>Assessments -&gt; Assessment Form
Assessments -&gt; Assessment Registration</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</si>
  <si>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</si>
  <si>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</si>
  <si>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</si>
  <si>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</si>
  <si>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</si>
  <si>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</si>
  <si>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</si>
  <si>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</si>
  <si>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</si>
  <si>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</si>
  <si>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</si>
  <si>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</si>
  <si>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A unique number or alphanumeric code assigned to the Assessment Form Section using the system specified by Identification System for Assessment Form Section.</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</si>
  <si>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</si>
  <si>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</si>
  <si>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</si>
  <si>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</si>
  <si>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</si>
  <si>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</si>
  <si>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</si>
  <si>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</si>
  <si>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</si>
  <si>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</si>
  <si>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</si>
  <si>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</si>
  <si>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</si>
  <si>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</si>
  <si>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</si>
  <si>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</si>
  <si>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</si>
  <si>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</si>
  <si>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</si>
  <si>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</si>
  <si>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</si>
  <si>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</si>
  <si>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</si>
  <si>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</si>
  <si>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</si>
  <si>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</si>
  <si>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</si>
  <si>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</si>
  <si>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</si>
  <si>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</si>
  <si>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</si>
  <si>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</si>
  <si>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</si>
  <si>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</si>
  <si>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</si>
  <si>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</si>
  <si>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</si>
  <si>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</si>
  <si>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</si>
  <si>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</si>
  <si>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</si>
  <si>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</si>
  <si>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</si>
  <si>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</si>
  <si>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</si>
  <si>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In a hierarchy of subtests, this element represents the level of the sub test in the hierarchy. The top tier and default is zero.</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</si>
  <si>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</si>
  <si>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</si>
  <si>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</si>
  <si>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</si>
  <si>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</si>
  <si>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</si>
  <si>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</si>
  <si>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</si>
  <si>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</si>
  <si>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</si>
  <si>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</si>
  <si>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</si>
  <si>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r>
      <t>School</t>
    </r>
    <r>
      <rPr>
        <sz val="10"/>
        <color theme="1"/>
        <rFont val="Calibri"/>
        <family val="2"/>
        <scheme val="minor"/>
      </rPr>
      <t xml:space="preserve"> - School-assigned number
</t>
    </r>
    <r>
      <rPr>
        <b/>
        <sz val="10"/>
        <color theme="1"/>
        <rFont val="Calibri"/>
        <family val="2"/>
        <scheme val="minor"/>
      </rPr>
      <t>District</t>
    </r>
    <r>
      <rPr>
        <sz val="10"/>
        <color theme="1"/>
        <rFont val="Calibri"/>
        <family val="2"/>
        <scheme val="minor"/>
      </rPr>
      <t xml:space="preserve"> - District-assigned number
</t>
    </r>
    <r>
      <rPr>
        <b/>
        <sz val="10"/>
        <color theme="1"/>
        <rFont val="Calibri"/>
        <family val="2"/>
        <scheme val="minor"/>
      </rPr>
      <t>State</t>
    </r>
    <r>
      <rPr>
        <sz val="10"/>
        <color theme="1"/>
        <rFont val="Calibri"/>
        <family val="2"/>
        <scheme val="minor"/>
      </rPr>
      <t xml:space="preserve"> - State-assigned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TestContractor</t>
    </r>
    <r>
      <rPr>
        <sz val="10"/>
        <color theme="1"/>
        <rFont val="Calibri"/>
        <family val="2"/>
        <scheme val="minor"/>
      </rPr>
      <t xml:space="preserve"> - Test contractor assigned assessment number
</t>
    </r>
    <r>
      <rPr>
        <b/>
        <sz val="10"/>
        <color theme="1"/>
        <rFont val="Calibri"/>
        <family val="2"/>
        <scheme val="minor"/>
      </rPr>
      <t>Other</t>
    </r>
    <r>
      <rPr>
        <sz val="10"/>
        <color theme="1"/>
        <rFont val="Calibri"/>
        <family val="2"/>
        <scheme val="minor"/>
      </rPr>
      <t xml:space="preserve"> - Other
</t>
    </r>
  </si>
  <si>
    <t>Assessments -&gt; Assessment
Assessments -&gt; Assessment Administration
Assessments -&gt; Assessment Registration
Credentials -&gt; Credential Award</t>
  </si>
  <si>
    <t>000365</t>
  </si>
  <si>
    <t>AssessmentIdentificationSystem</t>
  </si>
  <si>
    <t>K-12 -&gt; High School Feedback Report
K-12 -&gt; High School Generated Transcript
K-12 -&gt; LEA Assessments
K-12 -&gt; LEA-to-LEA Student Record Exchange
K-12 -&gt; LEA-to-SEA Student Record Exchange
K-12 -&gt; SEA Assessments</t>
  </si>
  <si>
    <t>Assessment Identifier</t>
  </si>
  <si>
    <t>A unique number or alphanumeric code assigned to an assessment by a school, school system, a state, or other agency or entity. This may be the publisher identifier.</t>
  </si>
  <si>
    <t>Assessments -&gt; Assessment
Assessments -&gt; Assessment Administration
Credentials -&gt; Credential Award</t>
  </si>
  <si>
    <t>001067</t>
  </si>
  <si>
    <t>AssessmentIdentifier</t>
  </si>
  <si>
    <t>College Readiness
K-12 -&gt; High School Feedback Report
K-12 -&gt; High School Generated Transcript
K-12 -&gt; LEA Assessments
K-12 -&gt; LEA-to-LEA Student Record Exchange
K-12 -&gt; LEA-to-SEA Student Record Exchange
K-12 -&gt; SEA Assessments
School Readiness</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</si>
  <si>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</si>
  <si>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</si>
  <si>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</si>
  <si>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</si>
  <si>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</si>
  <si>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</si>
  <si>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</si>
  <si>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</si>
  <si>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</si>
  <si>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</si>
  <si>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K-12 -&gt; LEA Assessments
K-12 -&gt; SEA Assessments</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</si>
  <si>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</si>
  <si>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</si>
  <si>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</si>
  <si>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</si>
  <si>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</si>
  <si>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</si>
  <si>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</si>
  <si>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</si>
  <si>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</si>
  <si>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Outcome variables are declared by outcome declarations. Their value is set either from a default given in the declaration itself or by a responseRule during response processing. The XML from the IMS Global APIP Specification would be included.</t>
  </si>
  <si>
    <t>001134</t>
  </si>
  <si>
    <t>AssessmentItemAPIPOutcomeDeclarationXML</t>
  </si>
  <si>
    <t>Assessment Item APIP Response Declaration XML</t>
  </si>
  <si>
    <t>Response declarations state what the response variables include. The response declaration may assign an optional correct response. The XML from the IMS Global APIP Specification would be included.</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</si>
  <si>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</si>
  <si>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</si>
  <si>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</si>
  <si>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</si>
  <si>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</si>
  <si>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</si>
  <si>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</si>
  <si>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</si>
  <si>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</si>
  <si>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</si>
  <si>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</si>
  <si>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</si>
  <si>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</si>
  <si>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</si>
  <si>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</si>
  <si>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</si>
  <si>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</si>
  <si>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</si>
  <si>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</si>
  <si>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</si>
  <si>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</si>
  <si>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</si>
  <si>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</si>
  <si>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</si>
  <si>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</si>
  <si>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</si>
  <si>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</si>
  <si>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</si>
  <si>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</si>
  <si>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</si>
  <si>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</si>
  <si>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</si>
  <si>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</si>
  <si>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</si>
  <si>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</si>
  <si>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The custom interaction provides an opportunity for extensibility of this specification to include support for interactions not currently documented. The XML from the IMS Global APIP Specification would be included.</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</si>
  <si>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</si>
  <si>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</si>
  <si>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</si>
  <si>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</si>
  <si>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</si>
  <si>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</si>
  <si>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</si>
  <si>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</si>
  <si>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</si>
  <si>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</si>
  <si>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</si>
  <si>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</si>
  <si>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</si>
  <si>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</si>
  <si>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</si>
  <si>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</si>
  <si>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</si>
  <si>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</si>
  <si>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</si>
  <si>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</si>
  <si>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</si>
  <si>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</si>
  <si>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</si>
  <si>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</si>
  <si>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</si>
  <si>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</si>
  <si>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</si>
  <si>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</si>
  <si>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</si>
  <si>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</si>
  <si>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</si>
  <si>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</si>
  <si>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</si>
  <si>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</si>
  <si>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</si>
  <si>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</si>
  <si>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</si>
  <si>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</si>
  <si>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</si>
  <si>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</si>
  <si>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</si>
  <si>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</si>
  <si>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</si>
  <si>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</si>
  <si>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</si>
  <si>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</si>
  <si>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</si>
  <si>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</si>
  <si>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</si>
  <si>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</si>
  <si>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</si>
  <si>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</si>
  <si>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</si>
  <si>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</si>
  <si>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</si>
  <si>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</si>
  <si>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</si>
  <si>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</si>
  <si>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</si>
  <si>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</si>
  <si>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</si>
  <si>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</si>
  <si>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</si>
  <si>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</si>
  <si>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</si>
  <si>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</si>
  <si>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</si>
  <si>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</si>
  <si>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</si>
  <si>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</si>
  <si>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</si>
  <si>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</si>
  <si>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</si>
  <si>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</si>
  <si>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</si>
  <si>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</si>
  <si>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</si>
  <si>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</si>
  <si>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</si>
  <si>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</si>
  <si>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</si>
  <si>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r>
      <t>MeanSquareFit</t>
    </r>
    <r>
      <rPr>
        <sz val="10"/>
        <color theme="1"/>
        <rFont val="Calibri"/>
        <family val="2"/>
        <scheme val="minor"/>
      </rPr>
      <t xml:space="preserve"> - Mean Square Fit
</t>
    </r>
    <r>
      <rPr>
        <b/>
        <sz val="10"/>
        <color theme="1"/>
        <rFont val="Calibri"/>
        <family val="2"/>
        <scheme val="minor"/>
      </rPr>
      <t>WeightedMeanSquareFit</t>
    </r>
    <r>
      <rPr>
        <sz val="10"/>
        <color theme="1"/>
        <rFont val="Calibri"/>
        <family val="2"/>
        <scheme val="minor"/>
      </rPr>
      <t xml:space="preserve"> - Weighted Mean Square Fit
</t>
    </r>
    <r>
      <rPr>
        <b/>
        <sz val="10"/>
        <color theme="1"/>
        <rFont val="Calibri"/>
        <family val="2"/>
        <scheme val="minor"/>
      </rPr>
      <t>RevisedMeanSquareFit</t>
    </r>
    <r>
      <rPr>
        <sz val="10"/>
        <color theme="1"/>
        <rFont val="Calibri"/>
        <family val="2"/>
        <scheme val="minor"/>
      </rPr>
      <t xml:space="preserve"> - Revised Mean Square Fit
</t>
    </r>
    <r>
      <rPr>
        <b/>
        <sz val="10"/>
        <color theme="1"/>
        <rFont val="Calibri"/>
        <family val="2"/>
        <scheme val="minor"/>
      </rPr>
      <t>RevisedPointBiserial</t>
    </r>
    <r>
      <rPr>
        <sz val="10"/>
        <color theme="1"/>
        <rFont val="Calibri"/>
        <family val="2"/>
        <scheme val="minor"/>
      </rPr>
      <t xml:space="preserve"> - Revised Point Biserial Measure
</t>
    </r>
    <r>
      <rPr>
        <b/>
        <sz val="10"/>
        <color theme="1"/>
        <rFont val="Calibri"/>
        <family val="2"/>
        <scheme val="minor"/>
      </rPr>
      <t>RaschItemScore</t>
    </r>
    <r>
      <rPr>
        <sz val="10"/>
        <color theme="1"/>
        <rFont val="Calibri"/>
        <family val="2"/>
        <scheme val="minor"/>
      </rPr>
      <t xml:space="preserve"> - Rasch Item Score
</t>
    </r>
    <r>
      <rPr>
        <b/>
        <sz val="10"/>
        <color theme="1"/>
        <rFont val="Calibri"/>
        <family val="2"/>
        <scheme val="minor"/>
      </rPr>
      <t>ResponseCorrelation</t>
    </r>
    <r>
      <rPr>
        <sz val="10"/>
        <color theme="1"/>
        <rFont val="Calibri"/>
        <family val="2"/>
        <scheme val="minor"/>
      </rPr>
      <t xml:space="preserve"> - Response Correlation
</t>
    </r>
    <r>
      <rPr>
        <b/>
        <sz val="10"/>
        <color theme="1"/>
        <rFont val="Calibri"/>
        <family val="2"/>
        <scheme val="minor"/>
      </rPr>
      <t>ResponseCorrelationSquared</t>
    </r>
    <r>
      <rPr>
        <sz val="10"/>
        <color theme="1"/>
        <rFont val="Calibri"/>
        <family val="2"/>
        <scheme val="minor"/>
      </rPr>
      <t xml:space="preserve"> - Response Correlation Squared
</t>
    </r>
    <r>
      <rPr>
        <b/>
        <sz val="10"/>
        <color theme="1"/>
        <rFont val="Calibri"/>
        <family val="2"/>
        <scheme val="minor"/>
      </rPr>
      <t>ZCHISquare</t>
    </r>
    <r>
      <rPr>
        <sz val="10"/>
        <color theme="1"/>
        <rFont val="Calibri"/>
        <family val="2"/>
        <scheme val="minor"/>
      </rPr>
      <t xml:space="preserve"> - Z CHI Square
</t>
    </r>
    <r>
      <rPr>
        <b/>
        <sz val="10"/>
        <color theme="1"/>
        <rFont val="Calibri"/>
        <family val="2"/>
        <scheme val="minor"/>
      </rPr>
      <t>Pval</t>
    </r>
    <r>
      <rPr>
        <sz val="10"/>
        <color theme="1"/>
        <rFont val="Calibri"/>
        <family val="2"/>
        <scheme val="minor"/>
      </rPr>
      <t xml:space="preserve"> - Pval
</t>
    </r>
    <r>
      <rPr>
        <b/>
        <sz val="10"/>
        <color theme="1"/>
        <rFont val="Calibri"/>
        <family val="2"/>
        <scheme val="minor"/>
      </rPr>
      <t>PointBiserial</t>
    </r>
    <r>
      <rPr>
        <sz val="10"/>
        <color theme="1"/>
        <rFont val="Calibri"/>
        <family val="2"/>
        <scheme val="minor"/>
      </rPr>
      <t xml:space="preserve"> - Point Biserial
</t>
    </r>
    <r>
      <rPr>
        <b/>
        <sz val="10"/>
        <color theme="1"/>
        <rFont val="Calibri"/>
        <family val="2"/>
        <scheme val="minor"/>
      </rPr>
      <t>Biserial</t>
    </r>
    <r>
      <rPr>
        <sz val="10"/>
        <color theme="1"/>
        <rFont val="Calibri"/>
        <family val="2"/>
        <scheme val="minor"/>
      </rPr>
      <t xml:space="preserve"> - Biserial
</t>
    </r>
    <r>
      <rPr>
        <b/>
        <sz val="10"/>
        <color theme="1"/>
        <rFont val="Calibri"/>
        <family val="2"/>
        <scheme val="minor"/>
      </rPr>
      <t>DiscriminationIndex</t>
    </r>
    <r>
      <rPr>
        <sz val="10"/>
        <color theme="1"/>
        <rFont val="Calibri"/>
        <family val="2"/>
        <scheme val="minor"/>
      </rPr>
      <t xml:space="preserve"> - Discrimination Index
</t>
    </r>
    <r>
      <rPr>
        <b/>
        <sz val="10"/>
        <color theme="1"/>
        <rFont val="Calibri"/>
        <family val="2"/>
        <scheme val="minor"/>
      </rPr>
      <t>ReliabilityCoefficient</t>
    </r>
    <r>
      <rPr>
        <sz val="10"/>
        <color theme="1"/>
        <rFont val="Calibri"/>
        <family val="2"/>
        <scheme val="minor"/>
      </rPr>
      <t xml:space="preserve"> - Reliability Coefficient
</t>
    </r>
    <r>
      <rPr>
        <b/>
        <sz val="10"/>
        <color theme="1"/>
        <rFont val="Calibri"/>
        <family val="2"/>
        <scheme val="minor"/>
      </rPr>
      <t>CoefficientAlpha</t>
    </r>
    <r>
      <rPr>
        <sz val="10"/>
        <color theme="1"/>
        <rFont val="Calibri"/>
        <family val="2"/>
        <scheme val="minor"/>
      </rPr>
      <t xml:space="preserve"> - Coefficient Alpha
</t>
    </r>
    <r>
      <rPr>
        <b/>
        <sz val="10"/>
        <color theme="1"/>
        <rFont val="Calibri"/>
        <family val="2"/>
        <scheme val="minor"/>
      </rPr>
      <t>ItemTestCorrelation</t>
    </r>
    <r>
      <rPr>
        <sz val="10"/>
        <color theme="1"/>
        <rFont val="Calibri"/>
        <family val="2"/>
        <scheme val="minor"/>
      </rPr>
      <t xml:space="preserve"> - Item Test Correlation
</t>
    </r>
    <r>
      <rPr>
        <b/>
        <sz val="10"/>
        <color theme="1"/>
        <rFont val="Calibri"/>
        <family val="2"/>
        <scheme val="minor"/>
      </rPr>
      <t>ItemVariance</t>
    </r>
    <r>
      <rPr>
        <sz val="10"/>
        <color theme="1"/>
        <rFont val="Calibri"/>
        <family val="2"/>
        <scheme val="minor"/>
      </rPr>
      <t xml:space="preserve"> - Item Variance
</t>
    </r>
    <r>
      <rPr>
        <b/>
        <sz val="10"/>
        <color theme="1"/>
        <rFont val="Calibri"/>
        <family val="2"/>
        <scheme val="minor"/>
      </rPr>
      <t>ScaleValue</t>
    </r>
    <r>
      <rPr>
        <sz val="10"/>
        <color theme="1"/>
        <rFont val="Calibri"/>
        <family val="2"/>
        <scheme val="minor"/>
      </rPr>
      <t xml:space="preserve"> - Scale Value
</t>
    </r>
  </si>
  <si>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</si>
  <si>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</si>
  <si>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</si>
  <si>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</si>
  <si>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</si>
  <si>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</si>
  <si>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</si>
  <si>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</si>
  <si>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</si>
  <si>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Numeric - up to 3 digits before and 2 digits after decimal place</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</si>
  <si>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</si>
  <si>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</si>
  <si>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</si>
  <si>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</si>
  <si>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</si>
  <si>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</si>
  <si>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</si>
  <si>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</si>
  <si>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</si>
  <si>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</si>
  <si>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</si>
  <si>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</si>
  <si>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</si>
  <si>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r>
      <t>CustomInteraction</t>
    </r>
    <r>
      <rPr>
        <sz val="10"/>
        <color theme="1"/>
        <rFont val="Calibri"/>
        <family val="2"/>
        <scheme val="minor"/>
      </rPr>
      <t xml:space="preserve"> - Custom Interaction
</t>
    </r>
    <r>
      <rPr>
        <b/>
        <sz val="10"/>
        <color theme="1"/>
        <rFont val="Calibri"/>
        <family val="2"/>
        <scheme val="minor"/>
      </rPr>
      <t>DrawingInteraction</t>
    </r>
    <r>
      <rPr>
        <sz val="10"/>
        <color theme="1"/>
        <rFont val="Calibri"/>
        <family val="2"/>
        <scheme val="minor"/>
      </rPr>
      <t xml:space="preserve"> - Drawing Interaction
</t>
    </r>
    <r>
      <rPr>
        <b/>
        <sz val="10"/>
        <color theme="1"/>
        <rFont val="Calibri"/>
        <family val="2"/>
        <scheme val="minor"/>
      </rPr>
      <t>GapMatchInteraction</t>
    </r>
    <r>
      <rPr>
        <sz val="10"/>
        <color theme="1"/>
        <rFont val="Calibri"/>
        <family val="2"/>
        <scheme val="minor"/>
      </rPr>
      <t xml:space="preserve"> - Gap Match Interaction
</t>
    </r>
    <r>
      <rPr>
        <b/>
        <sz val="10"/>
        <color theme="1"/>
        <rFont val="Calibri"/>
        <family val="2"/>
        <scheme val="minor"/>
      </rPr>
      <t>MatchInteraction</t>
    </r>
    <r>
      <rPr>
        <sz val="10"/>
        <color theme="1"/>
        <rFont val="Calibri"/>
        <family val="2"/>
        <scheme val="minor"/>
      </rPr>
      <t xml:space="preserve"> - Match Interaction
</t>
    </r>
    <r>
      <rPr>
        <b/>
        <sz val="10"/>
        <color theme="1"/>
        <rFont val="Calibri"/>
        <family val="2"/>
        <scheme val="minor"/>
      </rPr>
      <t>GraphicGapMatchInteraction</t>
    </r>
    <r>
      <rPr>
        <sz val="10"/>
        <color theme="1"/>
        <rFont val="Calibri"/>
        <family val="2"/>
        <scheme val="minor"/>
      </rPr>
      <t xml:space="preserve"> - Graphic Gap Match Interaction
</t>
    </r>
    <r>
      <rPr>
        <b/>
        <sz val="10"/>
        <color theme="1"/>
        <rFont val="Calibri"/>
        <family val="2"/>
        <scheme val="minor"/>
      </rPr>
      <t>HotspotInteraction</t>
    </r>
    <r>
      <rPr>
        <sz val="10"/>
        <color theme="1"/>
        <rFont val="Calibri"/>
        <family val="2"/>
        <scheme val="minor"/>
      </rPr>
      <t xml:space="preserve"> - Hotspot Interaction
</t>
    </r>
    <r>
      <rPr>
        <b/>
        <sz val="10"/>
        <color theme="1"/>
        <rFont val="Calibri"/>
        <family val="2"/>
        <scheme val="minor"/>
      </rPr>
      <t>GraphicOrderInteraction</t>
    </r>
    <r>
      <rPr>
        <sz val="10"/>
        <color theme="1"/>
        <rFont val="Calibri"/>
        <family val="2"/>
        <scheme val="minor"/>
      </rPr>
      <t xml:space="preserve"> - Graphic Order Interaction
</t>
    </r>
    <r>
      <rPr>
        <b/>
        <sz val="10"/>
        <color theme="1"/>
        <rFont val="Calibri"/>
        <family val="2"/>
        <scheme val="minor"/>
      </rPr>
      <t>GraphicAssociateInteraction</t>
    </r>
    <r>
      <rPr>
        <sz val="10"/>
        <color theme="1"/>
        <rFont val="Calibri"/>
        <family val="2"/>
        <scheme val="minor"/>
      </rPr>
      <t xml:space="preserve"> - Graphic Associate Interaction
</t>
    </r>
    <r>
      <rPr>
        <b/>
        <sz val="10"/>
        <color theme="1"/>
        <rFont val="Calibri"/>
        <family val="2"/>
        <scheme val="minor"/>
      </rPr>
      <t>ChoiceInteraction</t>
    </r>
    <r>
      <rPr>
        <sz val="10"/>
        <color theme="1"/>
        <rFont val="Calibri"/>
        <family val="2"/>
        <scheme val="minor"/>
      </rPr>
      <t xml:space="preserve"> - Choice Interaction
</t>
    </r>
    <r>
      <rPr>
        <b/>
        <sz val="10"/>
        <color theme="1"/>
        <rFont val="Calibri"/>
        <family val="2"/>
        <scheme val="minor"/>
      </rPr>
      <t>InlineChoiceInteraction</t>
    </r>
    <r>
      <rPr>
        <sz val="10"/>
        <color theme="1"/>
        <rFont val="Calibri"/>
        <family val="2"/>
        <scheme val="minor"/>
      </rPr>
      <t xml:space="preserve"> - Inline Choice Interaction
</t>
    </r>
    <r>
      <rPr>
        <b/>
        <sz val="10"/>
        <color theme="1"/>
        <rFont val="Calibri"/>
        <family val="2"/>
        <scheme val="minor"/>
      </rPr>
      <t>MediaInteraction</t>
    </r>
    <r>
      <rPr>
        <sz val="10"/>
        <color theme="1"/>
        <rFont val="Calibri"/>
        <family val="2"/>
        <scheme val="minor"/>
      </rPr>
      <t xml:space="preserve"> - Media Interaction
</t>
    </r>
    <r>
      <rPr>
        <b/>
        <sz val="10"/>
        <color theme="1"/>
        <rFont val="Calibri"/>
        <family val="2"/>
        <scheme val="minor"/>
      </rPr>
      <t>HottextInteraction</t>
    </r>
    <r>
      <rPr>
        <sz val="10"/>
        <color theme="1"/>
        <rFont val="Calibri"/>
        <family val="2"/>
        <scheme val="minor"/>
      </rPr>
      <t xml:space="preserve"> - Hottext Interaction
</t>
    </r>
    <r>
      <rPr>
        <b/>
        <sz val="10"/>
        <color theme="1"/>
        <rFont val="Calibri"/>
        <family val="2"/>
        <scheme val="minor"/>
      </rPr>
      <t>OrderInteraction</t>
    </r>
    <r>
      <rPr>
        <sz val="10"/>
        <color theme="1"/>
        <rFont val="Calibri"/>
        <family val="2"/>
        <scheme val="minor"/>
      </rPr>
      <t xml:space="preserve"> - Order Interaction
</t>
    </r>
    <r>
      <rPr>
        <b/>
        <sz val="10"/>
        <color theme="1"/>
        <rFont val="Calibri"/>
        <family val="2"/>
        <scheme val="minor"/>
      </rPr>
      <t>PositionObjectInteraction</t>
    </r>
    <r>
      <rPr>
        <sz val="10"/>
        <color theme="1"/>
        <rFont val="Calibri"/>
        <family val="2"/>
        <scheme val="minor"/>
      </rPr>
      <t xml:space="preserve"> - Position Object Interaction
</t>
    </r>
    <r>
      <rPr>
        <b/>
        <sz val="10"/>
        <color theme="1"/>
        <rFont val="Calibri"/>
        <family val="2"/>
        <scheme val="minor"/>
      </rPr>
      <t>TextEntryInteraction</t>
    </r>
    <r>
      <rPr>
        <sz val="10"/>
        <color theme="1"/>
        <rFont val="Calibri"/>
        <family val="2"/>
        <scheme val="minor"/>
      </rPr>
      <t xml:space="preserve"> - Text Entry Interaction
</t>
    </r>
    <r>
      <rPr>
        <b/>
        <sz val="10"/>
        <color theme="1"/>
        <rFont val="Calibri"/>
        <family val="2"/>
        <scheme val="minor"/>
      </rPr>
      <t>ExtendedTextInteraction</t>
    </r>
    <r>
      <rPr>
        <sz val="10"/>
        <color theme="1"/>
        <rFont val="Calibri"/>
        <family val="2"/>
        <scheme val="minor"/>
      </rPr>
      <t xml:space="preserve"> - Extended Text Interaction
</t>
    </r>
    <r>
      <rPr>
        <b/>
        <sz val="10"/>
        <color theme="1"/>
        <rFont val="Calibri"/>
        <family val="2"/>
        <scheme val="minor"/>
      </rPr>
      <t>EndAttemptInteraction</t>
    </r>
    <r>
      <rPr>
        <sz val="10"/>
        <color theme="1"/>
        <rFont val="Calibri"/>
        <family val="2"/>
        <scheme val="minor"/>
      </rPr>
      <t xml:space="preserve"> - End Attempt Interaction
</t>
    </r>
    <r>
      <rPr>
        <b/>
        <sz val="10"/>
        <color theme="1"/>
        <rFont val="Calibri"/>
        <family val="2"/>
        <scheme val="minor"/>
      </rPr>
      <t>UploadInteraction</t>
    </r>
    <r>
      <rPr>
        <sz val="10"/>
        <color theme="1"/>
        <rFont val="Calibri"/>
        <family val="2"/>
        <scheme val="minor"/>
      </rPr>
      <t xml:space="preserve"> - Upload Interaction
</t>
    </r>
    <r>
      <rPr>
        <b/>
        <sz val="10"/>
        <color theme="1"/>
        <rFont val="Calibri"/>
        <family val="2"/>
        <scheme val="minor"/>
      </rPr>
      <t>AssociateInteraction</t>
    </r>
    <r>
      <rPr>
        <sz val="10"/>
        <color theme="1"/>
        <rFont val="Calibri"/>
        <family val="2"/>
        <scheme val="minor"/>
      </rPr>
      <t xml:space="preserve"> - Associate Interaction
</t>
    </r>
  </si>
  <si>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</si>
  <si>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</si>
  <si>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</si>
  <si>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</si>
  <si>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</si>
  <si>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</si>
  <si>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</si>
  <si>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</si>
  <si>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</si>
  <si>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</si>
  <si>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</si>
  <si>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</si>
  <si>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</si>
  <si>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</si>
  <si>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</si>
  <si>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</si>
  <si>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</si>
  <si>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</si>
  <si>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</si>
  <si>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</si>
  <si>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</si>
  <si>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</si>
  <si>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</si>
  <si>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</si>
  <si>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</si>
  <si>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</si>
  <si>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</si>
  <si>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</si>
  <si>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</si>
  <si>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</si>
  <si>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</si>
  <si>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</si>
  <si>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</si>
  <si>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</si>
  <si>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</si>
  <si>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</si>
  <si>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</si>
  <si>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</si>
  <si>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</si>
  <si>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</si>
  <si>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</si>
  <si>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</si>
  <si>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</si>
  <si>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</si>
  <si>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</si>
  <si>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</si>
  <si>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</si>
  <si>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</si>
  <si>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</si>
  <si>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</si>
  <si>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</si>
  <si>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</si>
  <si>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</si>
  <si>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</si>
  <si>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</si>
  <si>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</si>
  <si>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</si>
  <si>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</si>
  <si>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</si>
  <si>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</si>
  <si>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</si>
  <si>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The total amount of time in seconds or milliseconds that a person spent responding to a given assessment item.</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</si>
  <si>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</si>
  <si>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</si>
  <si>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</si>
  <si>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</si>
  <si>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</si>
  <si>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</si>
  <si>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000957</t>
  </si>
  <si>
    <t>AssessmentItemResponseFirstAttemptDuration</t>
  </si>
  <si>
    <t>Assessment Item Response Hint Count</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</si>
  <si>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</si>
  <si>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000955</t>
  </si>
  <si>
    <t>AssessmentItemResponseHintCount</t>
  </si>
  <si>
    <t>Assessment Item Response Hint Included Answer</t>
  </si>
  <si>
    <t>Indicates that one of the hints presented included the correct answer.</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</si>
  <si>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</si>
  <si>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000956</t>
  </si>
  <si>
    <t>AssessmentItemResponseHintIncludedAnswer</t>
  </si>
  <si>
    <t>Assessment Item Response Scaffolding Item Flag</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</si>
  <si>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</si>
  <si>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000954</t>
  </si>
  <si>
    <t>AssessmentItemResponseScaffoldingItemFlag</t>
  </si>
  <si>
    <t>Assessment Item Response Score Status</t>
  </si>
  <si>
    <t>The status of scoring a person's response to an assessment item.</t>
  </si>
  <si>
    <r>
      <t>NotScored</t>
    </r>
    <r>
      <rPr>
        <sz val="10"/>
        <color theme="1"/>
        <rFont val="Calibri"/>
        <family val="2"/>
        <scheme val="minor"/>
      </rPr>
      <t xml:space="preserve"> - Not Scored
</t>
    </r>
    <r>
      <rPr>
        <b/>
        <sz val="10"/>
        <color theme="1"/>
        <rFont val="Calibri"/>
        <family val="2"/>
        <scheme val="minor"/>
      </rPr>
      <t>Scored</t>
    </r>
    <r>
      <rPr>
        <sz val="10"/>
        <color theme="1"/>
        <rFont val="Calibri"/>
        <family val="2"/>
        <scheme val="minor"/>
      </rPr>
      <t xml:space="preserve"> - Scored
</t>
    </r>
    <r>
      <rPr>
        <b/>
        <sz val="10"/>
        <color theme="1"/>
        <rFont val="Calibri"/>
        <family val="2"/>
        <scheme val="minor"/>
      </rPr>
      <t>ScoringError</t>
    </r>
    <r>
      <rPr>
        <sz val="10"/>
        <color theme="1"/>
        <rFont val="Calibri"/>
        <family val="2"/>
        <scheme val="minor"/>
      </rPr>
      <t xml:space="preserve"> - Scoring error
</t>
    </r>
    <r>
      <rPr>
        <b/>
        <sz val="10"/>
        <color theme="1"/>
        <rFont val="Calibri"/>
        <family val="2"/>
        <scheme val="minor"/>
      </rPr>
      <t>WaitingForMachineScore</t>
    </r>
    <r>
      <rPr>
        <sz val="10"/>
        <color theme="1"/>
        <rFont val="Calibri"/>
        <family val="2"/>
        <scheme val="minor"/>
      </rPr>
      <t xml:space="preserve"> - Waiting For Machine Score
</t>
    </r>
  </si>
  <si>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</si>
  <si>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</si>
  <si>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</si>
  <si>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</si>
  <si>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</si>
  <si>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</si>
  <si>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</si>
  <si>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</si>
  <si>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</si>
  <si>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</si>
  <si>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</si>
  <si>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</si>
  <si>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</si>
  <si>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</si>
  <si>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</si>
  <si>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</si>
  <si>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</si>
  <si>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</si>
  <si>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</si>
  <si>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</si>
  <si>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</si>
  <si>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r>
      <t>Correct</t>
    </r>
    <r>
      <rPr>
        <sz val="10"/>
        <color theme="1"/>
        <rFont val="Calibri"/>
        <family val="2"/>
        <scheme val="minor"/>
      </rPr>
      <t xml:space="preserve"> - Correct
</t>
    </r>
    <r>
      <rPr>
        <b/>
        <sz val="10"/>
        <color theme="1"/>
        <rFont val="Calibri"/>
        <family val="2"/>
        <scheme val="minor"/>
      </rPr>
      <t>Incorrect</t>
    </r>
    <r>
      <rPr>
        <sz val="10"/>
        <color theme="1"/>
        <rFont val="Calibri"/>
        <family val="2"/>
        <scheme val="minor"/>
      </rPr>
      <t xml:space="preserve"> - Incorrect
</t>
    </r>
    <r>
      <rPr>
        <b/>
        <sz val="10"/>
        <color theme="1"/>
        <rFont val="Calibri"/>
        <family val="2"/>
        <scheme val="minor"/>
      </rPr>
      <t>Complete</t>
    </r>
    <r>
      <rPr>
        <sz val="10"/>
        <color theme="1"/>
        <rFont val="Calibri"/>
        <family val="2"/>
        <scheme val="minor"/>
      </rPr>
      <t xml:space="preserve"> - Complete
</t>
    </r>
    <r>
      <rPr>
        <b/>
        <sz val="10"/>
        <color theme="1"/>
        <rFont val="Calibri"/>
        <family val="2"/>
        <scheme val="minor"/>
      </rPr>
      <t>PartialComplete</t>
    </r>
    <r>
      <rPr>
        <sz val="10"/>
        <color theme="1"/>
        <rFont val="Calibri"/>
        <family val="2"/>
        <scheme val="minor"/>
      </rPr>
      <t xml:space="preserve"> - Partial Complete
</t>
    </r>
    <r>
      <rPr>
        <b/>
        <sz val="10"/>
        <color theme="1"/>
        <rFont val="Calibri"/>
        <family val="2"/>
        <scheme val="minor"/>
      </rPr>
      <t>Viewed</t>
    </r>
    <r>
      <rPr>
        <sz val="10"/>
        <color theme="1"/>
        <rFont val="Calibri"/>
        <family val="2"/>
        <scheme val="minor"/>
      </rPr>
      <t xml:space="preserve"> - Viewed
</t>
    </r>
    <r>
      <rPr>
        <b/>
        <sz val="10"/>
        <color theme="1"/>
        <rFont val="Calibri"/>
        <family val="2"/>
        <scheme val="minor"/>
      </rPr>
      <t>NotViewed</t>
    </r>
    <r>
      <rPr>
        <sz val="10"/>
        <color theme="1"/>
        <rFont val="Calibri"/>
        <family val="2"/>
        <scheme val="minor"/>
      </rPr>
      <t xml:space="preserve"> - Not Viewed
</t>
    </r>
    <r>
      <rPr>
        <b/>
        <sz val="10"/>
        <color theme="1"/>
        <rFont val="Calibri"/>
        <family val="2"/>
        <scheme val="minor"/>
      </rPr>
      <t>Attempted</t>
    </r>
    <r>
      <rPr>
        <sz val="10"/>
        <color theme="1"/>
        <rFont val="Calibri"/>
        <family val="2"/>
        <scheme val="minor"/>
      </rPr>
      <t xml:space="preserve"> - Attempted
</t>
    </r>
    <r>
      <rPr>
        <b/>
        <sz val="10"/>
        <color theme="1"/>
        <rFont val="Calibri"/>
        <family val="2"/>
        <scheme val="minor"/>
      </rPr>
      <t>Incomplete</t>
    </r>
    <r>
      <rPr>
        <sz val="10"/>
        <color theme="1"/>
        <rFont val="Calibri"/>
        <family val="2"/>
        <scheme val="minor"/>
      </rPr>
      <t xml:space="preserve"> - Incomplete
</t>
    </r>
    <r>
      <rPr>
        <b/>
        <sz val="10"/>
        <color theme="1"/>
        <rFont val="Calibri"/>
        <family val="2"/>
        <scheme val="minor"/>
      </rPr>
      <t>InProgress</t>
    </r>
    <r>
      <rPr>
        <sz val="10"/>
        <color theme="1"/>
        <rFont val="Calibri"/>
        <family val="2"/>
        <scheme val="minor"/>
      </rPr>
      <t xml:space="preserve"> - In Progress
</t>
    </r>
    <r>
      <rPr>
        <b/>
        <sz val="10"/>
        <color theme="1"/>
        <rFont val="Calibri"/>
        <family val="2"/>
        <scheme val="minor"/>
      </rPr>
      <t>NotProficient</t>
    </r>
    <r>
      <rPr>
        <sz val="10"/>
        <color theme="1"/>
        <rFont val="Calibri"/>
        <family val="2"/>
        <scheme val="minor"/>
      </rPr>
      <t xml:space="preserve"> - Not Yet Proficient
</t>
    </r>
    <r>
      <rPr>
        <b/>
        <sz val="10"/>
        <color theme="1"/>
        <rFont val="Calibri"/>
        <family val="2"/>
        <scheme val="minor"/>
      </rPr>
      <t>Proficient</t>
    </r>
    <r>
      <rPr>
        <sz val="10"/>
        <color theme="1"/>
        <rFont val="Calibri"/>
        <family val="2"/>
        <scheme val="minor"/>
      </rPr>
      <t xml:space="preserve"> - Proficient
</t>
    </r>
  </si>
  <si>
    <t>000405</t>
  </si>
  <si>
    <t>AssessmentItemResponseStatus</t>
  </si>
  <si>
    <t>Assessment Item Response Theory DIF Value</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</si>
  <si>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</si>
  <si>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Assessments -&gt; Assessment Item -&gt; Assessment Item Response Theory</t>
  </si>
  <si>
    <t>001264</t>
  </si>
  <si>
    <t>AssessmentItemResponseTheoryDIFValue</t>
  </si>
  <si>
    <t>Assessment Item Response Theory Kappa Algorithm</t>
  </si>
  <si>
    <t>The algorithm used to derive the Assessment Item Kappa Value</t>
  </si>
  <si>
    <r>
      <t>CohenUnweighted</t>
    </r>
    <r>
      <rPr>
        <sz val="10"/>
        <color theme="1"/>
        <rFont val="Calibri"/>
        <family val="2"/>
        <scheme val="minor"/>
      </rPr>
      <t xml:space="preserve"> - Cohen's unweighted algorithm
</t>
    </r>
    <r>
      <rPr>
        <b/>
        <sz val="10"/>
        <color theme="1"/>
        <rFont val="Calibri"/>
        <family val="2"/>
        <scheme val="minor"/>
      </rPr>
      <t>CohenWeighted</t>
    </r>
    <r>
      <rPr>
        <sz val="10"/>
        <color theme="1"/>
        <rFont val="Calibri"/>
        <family val="2"/>
        <scheme val="minor"/>
      </rPr>
      <t xml:space="preserve"> - Cohen's weighted algorithm
</t>
    </r>
    <r>
      <rPr>
        <b/>
        <sz val="10"/>
        <color theme="1"/>
        <rFont val="Calibri"/>
        <family val="2"/>
        <scheme val="minor"/>
      </rPr>
      <t>FleissAlgorithm</t>
    </r>
    <r>
      <rPr>
        <sz val="10"/>
        <color theme="1"/>
        <rFont val="Calibri"/>
        <family val="2"/>
        <scheme val="minor"/>
      </rPr>
      <t xml:space="preserve"> - Fleiss algorithm
</t>
    </r>
  </si>
  <si>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</si>
  <si>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</si>
  <si>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</si>
  <si>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</si>
  <si>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</si>
  <si>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</si>
  <si>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</si>
  <si>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</si>
  <si>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</si>
  <si>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</si>
  <si>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</si>
  <si>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The Item Response Theory value representing the difficulty of the item. It is the Theta value for the location of the inflection point of the item characteristic curve.</t>
  </si>
  <si>
    <t>001252</t>
  </si>
  <si>
    <t>AssessmentItemResponseTheoryParameterB</t>
  </si>
  <si>
    <t>Assessment Item Response Theory Parameter C</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</si>
  <si>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</si>
  <si>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001254</t>
  </si>
  <si>
    <t>AssessmentItemResponseTheoryParameterC</t>
  </si>
  <si>
    <t>Assessment Item Response Theory Parameter D1</t>
  </si>
  <si>
    <t>For polytomous assessment items with more than two possible responses, this is the item response theory value representing the threshold between the first and second item characteristic functions.</t>
  </si>
  <si>
    <t>001255</t>
  </si>
  <si>
    <t>AssessmentItemResponseTheoryParameterD1</t>
  </si>
  <si>
    <t>Assessment Item Response Theory Parameter D2</t>
  </si>
  <si>
    <t>For polytomous assessment items with more than two possible responses, this is the item response theory value representing the threshold between the second and third item characteristic functions.</t>
  </si>
  <si>
    <t>001256</t>
  </si>
  <si>
    <t>AssessmentItemResponseTheoryParameterD2</t>
  </si>
  <si>
    <t>Assessment Item Response Theory Parameter D3</t>
  </si>
  <si>
    <t>For polytomous assessment items with more than three possible responses, this is the item response theory value representing the threshold between the third and fourth item characteristic functions.</t>
  </si>
  <si>
    <t>001257</t>
  </si>
  <si>
    <t>AssessmentItemResponseTheoryParameterD3</t>
  </si>
  <si>
    <t>Assessment Item Response Theory Parameter D4</t>
  </si>
  <si>
    <t>For polytomous assessment items with more than four possible responses, this is the item response theory value representing the threshold between the fourth and fifth item characteristic functions.</t>
  </si>
  <si>
    <t>001258</t>
  </si>
  <si>
    <t>AssessmentItemResponseTheoryParameterD4</t>
  </si>
  <si>
    <t>Assessment Item Response Theory Parameter D5</t>
  </si>
  <si>
    <t>For polytomous assessment items with more than five possible responses, this is the item response theory value representing the threshold between the fifth and sixth item characteristic functions.</t>
  </si>
  <si>
    <t>001259</t>
  </si>
  <si>
    <t>AssessmentItemResponseTheoryParameterD5</t>
  </si>
  <si>
    <t>Assessment Item Response Theory Parameter D6</t>
  </si>
  <si>
    <t>For polytomous assessment items with more than six possible responses, this is the item response theory value representing the threshold between the sixth and seventh item characteristic functions.</t>
  </si>
  <si>
    <t>001260</t>
  </si>
  <si>
    <t>AssessmentItemResponseTheoryParameterD6</t>
  </si>
  <si>
    <t>Assessment Item Response Theory Parameter Difficulty Category</t>
  </si>
  <si>
    <t>A category for the difficulty of the item based on the Item Response Theory value.</t>
  </si>
  <si>
    <r>
      <t>None</t>
    </r>
    <r>
      <rPr>
        <sz val="10"/>
        <color theme="1"/>
        <rFont val="Calibri"/>
        <family val="2"/>
        <scheme val="minor"/>
      </rPr>
      <t xml:space="preserve"> - None: 0
</t>
    </r>
    <r>
      <rPr>
        <b/>
        <sz val="10"/>
        <color theme="1"/>
        <rFont val="Calibri"/>
        <family val="2"/>
        <scheme val="minor"/>
      </rPr>
      <t>VeryLow</t>
    </r>
    <r>
      <rPr>
        <sz val="10"/>
        <color theme="1"/>
        <rFont val="Calibri"/>
        <family val="2"/>
        <scheme val="minor"/>
      </rPr>
      <t xml:space="preserve"> - Very low: 0.01 - 0.34
</t>
    </r>
    <r>
      <rPr>
        <b/>
        <sz val="10"/>
        <color theme="1"/>
        <rFont val="Calibri"/>
        <family val="2"/>
        <scheme val="minor"/>
      </rPr>
      <t>Low</t>
    </r>
    <r>
      <rPr>
        <sz val="10"/>
        <color theme="1"/>
        <rFont val="Calibri"/>
        <family val="2"/>
        <scheme val="minor"/>
      </rPr>
      <t xml:space="preserve"> - Low: 0.35 - 0.64
</t>
    </r>
    <r>
      <rPr>
        <b/>
        <sz val="10"/>
        <color theme="1"/>
        <rFont val="Calibri"/>
        <family val="2"/>
        <scheme val="minor"/>
      </rPr>
      <t>Moderate</t>
    </r>
    <r>
      <rPr>
        <sz val="10"/>
        <color theme="1"/>
        <rFont val="Calibri"/>
        <family val="2"/>
        <scheme val="minor"/>
      </rPr>
      <t xml:space="preserve"> - Moderate: 0.65 - 1.34
</t>
    </r>
    <r>
      <rPr>
        <b/>
        <sz val="10"/>
        <color theme="1"/>
        <rFont val="Calibri"/>
        <family val="2"/>
        <scheme val="minor"/>
      </rPr>
      <t>High</t>
    </r>
    <r>
      <rPr>
        <sz val="10"/>
        <color theme="1"/>
        <rFont val="Calibri"/>
        <family val="2"/>
        <scheme val="minor"/>
      </rPr>
      <t xml:space="preserve"> - High: 1.35 - 1.69
</t>
    </r>
    <r>
      <rPr>
        <b/>
        <sz val="10"/>
        <color theme="1"/>
        <rFont val="Calibri"/>
        <family val="2"/>
        <scheme val="minor"/>
      </rPr>
      <t>VeryHigh</t>
    </r>
    <r>
      <rPr>
        <sz val="10"/>
        <color theme="1"/>
        <rFont val="Calibri"/>
        <family val="2"/>
        <scheme val="minor"/>
      </rPr>
      <t xml:space="preserve"> - Very high: &gt; 1.70
</t>
    </r>
    <r>
      <rPr>
        <b/>
        <sz val="10"/>
        <color theme="1"/>
        <rFont val="Calibri"/>
        <family val="2"/>
        <scheme val="minor"/>
      </rPr>
      <t>Perfect</t>
    </r>
    <r>
      <rPr>
        <sz val="10"/>
        <color theme="1"/>
        <rFont val="Calibri"/>
        <family val="2"/>
        <scheme val="minor"/>
      </rPr>
      <t xml:space="preserve"> - Perfect: + infinity
</t>
    </r>
  </si>
  <si>
    <t>001253</t>
  </si>
  <si>
    <t>AssessmentItemResponseTheoryParameterDifficultyCategory</t>
  </si>
  <si>
    <t>Assessment Item Response Theory Point Biserial Correlation Value</t>
  </si>
  <si>
    <t>The correlation between correct answers on this item and total correct answers on the test during a previous administration. </t>
  </si>
  <si>
    <t>001262</t>
  </si>
  <si>
    <t>AssessmentItemResponseTheoryPointBiserialCorrelationValue</t>
  </si>
  <si>
    <t>Assessment Item Response Value</t>
  </si>
  <si>
    <t> A specific response to an assessment item by the person being assessed.</t>
  </si>
  <si>
    <t>001063</t>
  </si>
  <si>
    <t>AssessmentItemResponseValue</t>
  </si>
  <si>
    <t>Assessment Item Result XML</t>
  </si>
  <si>
    <t>The assessment item result formatted according to the IMS Global QTI Specification.</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</si>
  <si>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</si>
  <si>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</si>
  <si>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</si>
  <si>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</si>
  <si>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</si>
  <si>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</si>
  <si>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</si>
  <si>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</si>
  <si>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The text, source (e.g., video clip), and/or graphic about which the assessment item is written. The stimulus provides the context of the item/task to which the student must respond.</t>
  </si>
  <si>
    <t>001268</t>
  </si>
  <si>
    <t>AssessmentItemStimulus</t>
  </si>
  <si>
    <t>Assessment Item Text Complexity System</t>
  </si>
  <si>
    <t>The scaling system used to specify the text complexity of an assessment item.</t>
  </si>
  <si>
    <r>
      <t>01</t>
    </r>
    <r>
      <rPr>
        <sz val="10"/>
        <color theme="1"/>
        <rFont val="Calibri"/>
        <family val="2"/>
        <scheme val="minor"/>
      </rPr>
      <t xml:space="preserve"> - Automated Readability Index
</t>
    </r>
    <r>
      <rPr>
        <b/>
        <sz val="10"/>
        <color theme="1"/>
        <rFont val="Calibri"/>
        <family val="2"/>
        <scheme val="minor"/>
      </rPr>
      <t>02</t>
    </r>
    <r>
      <rPr>
        <sz val="10"/>
        <color theme="1"/>
        <rFont val="Calibri"/>
        <family val="2"/>
        <scheme val="minor"/>
      </rPr>
      <t xml:space="preserve"> - Bormuth Index
</t>
    </r>
    <r>
      <rPr>
        <b/>
        <sz val="10"/>
        <color theme="1"/>
        <rFont val="Calibri"/>
        <family val="2"/>
        <scheme val="minor"/>
      </rPr>
      <t>03</t>
    </r>
    <r>
      <rPr>
        <sz val="10"/>
        <color theme="1"/>
        <rFont val="Calibri"/>
        <family val="2"/>
        <scheme val="minor"/>
      </rPr>
      <t xml:space="preserve"> - Coleman Liau Index
</t>
    </r>
    <r>
      <rPr>
        <b/>
        <sz val="10"/>
        <color theme="1"/>
        <rFont val="Calibri"/>
        <family val="2"/>
        <scheme val="minor"/>
      </rPr>
      <t>04</t>
    </r>
    <r>
      <rPr>
        <sz val="10"/>
        <color theme="1"/>
        <rFont val="Calibri"/>
        <family val="2"/>
        <scheme val="minor"/>
      </rPr>
      <t xml:space="preserve"> - Coh-Metrix Readability
</t>
    </r>
    <r>
      <rPr>
        <b/>
        <sz val="10"/>
        <color theme="1"/>
        <rFont val="Calibri"/>
        <family val="2"/>
        <scheme val="minor"/>
      </rPr>
      <t>05</t>
    </r>
    <r>
      <rPr>
        <sz val="10"/>
        <color theme="1"/>
        <rFont val="Calibri"/>
        <family val="2"/>
        <scheme val="minor"/>
      </rPr>
      <t xml:space="preserve"> - Dale-Chall Readability Formula
</t>
    </r>
    <r>
      <rPr>
        <b/>
        <sz val="10"/>
        <color theme="1"/>
        <rFont val="Calibri"/>
        <family val="2"/>
        <scheme val="minor"/>
      </rPr>
      <t>06</t>
    </r>
    <r>
      <rPr>
        <sz val="10"/>
        <color theme="1"/>
        <rFont val="Calibri"/>
        <family val="2"/>
        <scheme val="minor"/>
      </rPr>
      <t xml:space="preserve"> - Flesch-Kincaid Grade Level
</t>
    </r>
    <r>
      <rPr>
        <b/>
        <sz val="10"/>
        <color theme="1"/>
        <rFont val="Calibri"/>
        <family val="2"/>
        <scheme val="minor"/>
      </rPr>
      <t>07</t>
    </r>
    <r>
      <rPr>
        <sz val="10"/>
        <color theme="1"/>
        <rFont val="Calibri"/>
        <family val="2"/>
        <scheme val="minor"/>
      </rPr>
      <t xml:space="preserve"> - Flesch Reading Ease Formula
</t>
    </r>
    <r>
      <rPr>
        <b/>
        <sz val="10"/>
        <color theme="1"/>
        <rFont val="Calibri"/>
        <family val="2"/>
        <scheme val="minor"/>
      </rPr>
      <t>08</t>
    </r>
    <r>
      <rPr>
        <sz val="10"/>
        <color theme="1"/>
        <rFont val="Calibri"/>
        <family val="2"/>
        <scheme val="minor"/>
      </rPr>
      <t xml:space="preserve"> - FORCAST
</t>
    </r>
    <r>
      <rPr>
        <b/>
        <sz val="10"/>
        <color theme="1"/>
        <rFont val="Calibri"/>
        <family val="2"/>
        <scheme val="minor"/>
      </rPr>
      <t>09</t>
    </r>
    <r>
      <rPr>
        <sz val="10"/>
        <color theme="1"/>
        <rFont val="Calibri"/>
        <family val="2"/>
        <scheme val="minor"/>
      </rPr>
      <t xml:space="preserve"> - Fry Readability Formula
</t>
    </r>
    <r>
      <rPr>
        <b/>
        <sz val="10"/>
        <color theme="1"/>
        <rFont val="Calibri"/>
        <family val="2"/>
        <scheme val="minor"/>
      </rPr>
      <t>10</t>
    </r>
    <r>
      <rPr>
        <sz val="10"/>
        <color theme="1"/>
        <rFont val="Calibri"/>
        <family val="2"/>
        <scheme val="minor"/>
      </rPr>
      <t xml:space="preserve"> - Gunning-Fog Scale
</t>
    </r>
    <r>
      <rPr>
        <b/>
        <sz val="10"/>
        <color theme="1"/>
        <rFont val="Calibri"/>
        <family val="2"/>
        <scheme val="minor"/>
      </rPr>
      <t>11</t>
    </r>
    <r>
      <rPr>
        <sz val="10"/>
        <color theme="1"/>
        <rFont val="Calibri"/>
        <family val="2"/>
        <scheme val="minor"/>
      </rPr>
      <t xml:space="preserve"> - Hull Formula
</t>
    </r>
    <r>
      <rPr>
        <b/>
        <sz val="10"/>
        <color theme="1"/>
        <rFont val="Calibri"/>
        <family val="2"/>
        <scheme val="minor"/>
      </rPr>
      <t>12</t>
    </r>
    <r>
      <rPr>
        <sz val="10"/>
        <color theme="1"/>
        <rFont val="Calibri"/>
        <family val="2"/>
        <scheme val="minor"/>
      </rPr>
      <t xml:space="preserve"> - Lexile
</t>
    </r>
    <r>
      <rPr>
        <b/>
        <sz val="10"/>
        <color theme="1"/>
        <rFont val="Calibri"/>
        <family val="2"/>
        <scheme val="minor"/>
      </rPr>
      <t>13</t>
    </r>
    <r>
      <rPr>
        <sz val="10"/>
        <color theme="1"/>
        <rFont val="Calibri"/>
        <family val="2"/>
        <scheme val="minor"/>
      </rPr>
      <t xml:space="preserve"> - Linsear Write Formula
</t>
    </r>
    <r>
      <rPr>
        <b/>
        <sz val="10"/>
        <color theme="1"/>
        <rFont val="Calibri"/>
        <family val="2"/>
        <scheme val="minor"/>
      </rPr>
      <t>14</t>
    </r>
    <r>
      <rPr>
        <sz val="10"/>
        <color theme="1"/>
        <rFont val="Calibri"/>
        <family val="2"/>
        <scheme val="minor"/>
      </rPr>
      <t xml:space="preserve"> - McAlpine EFLAW
</t>
    </r>
    <r>
      <rPr>
        <b/>
        <sz val="10"/>
        <color theme="1"/>
        <rFont val="Calibri"/>
        <family val="2"/>
        <scheme val="minor"/>
      </rPr>
      <t>15</t>
    </r>
    <r>
      <rPr>
        <sz val="10"/>
        <color theme="1"/>
        <rFont val="Calibri"/>
        <family val="2"/>
        <scheme val="minor"/>
      </rPr>
      <t xml:space="preserve"> - Powers-Sumner-Kearl
</t>
    </r>
    <r>
      <rPr>
        <b/>
        <sz val="10"/>
        <color theme="1"/>
        <rFont val="Calibri"/>
        <family val="2"/>
        <scheme val="minor"/>
      </rPr>
      <t>16</t>
    </r>
    <r>
      <rPr>
        <sz val="10"/>
        <color theme="1"/>
        <rFont val="Calibri"/>
        <family val="2"/>
        <scheme val="minor"/>
      </rPr>
      <t xml:space="preserve"> - Raygor Readability Estimate
</t>
    </r>
    <r>
      <rPr>
        <b/>
        <sz val="10"/>
        <color theme="1"/>
        <rFont val="Calibri"/>
        <family val="2"/>
        <scheme val="minor"/>
      </rPr>
      <t>17</t>
    </r>
    <r>
      <rPr>
        <sz val="10"/>
        <color theme="1"/>
        <rFont val="Calibri"/>
        <family val="2"/>
        <scheme val="minor"/>
      </rPr>
      <t xml:space="preserve"> - SMOG Index
</t>
    </r>
    <r>
      <rPr>
        <b/>
        <sz val="10"/>
        <color theme="1"/>
        <rFont val="Calibri"/>
        <family val="2"/>
        <scheme val="minor"/>
      </rPr>
      <t>18</t>
    </r>
    <r>
      <rPr>
        <sz val="10"/>
        <color theme="1"/>
        <rFont val="Calibri"/>
        <family val="2"/>
        <scheme val="minor"/>
      </rPr>
      <t xml:space="preserve"> - Spache Readability Formula
</t>
    </r>
    <r>
      <rPr>
        <b/>
        <sz val="10"/>
        <color theme="1"/>
        <rFont val="Calibri"/>
        <family val="2"/>
        <scheme val="minor"/>
      </rPr>
      <t>19</t>
    </r>
    <r>
      <rPr>
        <sz val="10"/>
        <color theme="1"/>
        <rFont val="Calibri"/>
        <family val="2"/>
        <scheme val="minor"/>
      </rPr>
      <t xml:space="preserve"> - Strain Index
</t>
    </r>
  </si>
  <si>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</si>
  <si>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</si>
  <si>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</si>
  <si>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</si>
  <si>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</si>
  <si>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</si>
  <si>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</si>
  <si>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</si>
  <si>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r>
      <t>MultipleChoice</t>
    </r>
    <r>
      <rPr>
        <sz val="10"/>
        <color theme="1"/>
        <rFont val="Calibri"/>
        <family val="2"/>
        <scheme val="minor"/>
      </rPr>
      <t xml:space="preserve"> - Multiple-choice
</t>
    </r>
    <r>
      <rPr>
        <b/>
        <sz val="10"/>
        <color theme="1"/>
        <rFont val="Calibri"/>
        <family val="2"/>
        <scheme val="minor"/>
      </rPr>
      <t>FillInTheBlank</t>
    </r>
    <r>
      <rPr>
        <sz val="10"/>
        <color theme="1"/>
        <rFont val="Calibri"/>
        <family val="2"/>
        <scheme val="minor"/>
      </rPr>
      <t xml:space="preserve"> - Fill-in-the-blank
</t>
    </r>
    <r>
      <rPr>
        <b/>
        <sz val="10"/>
        <color theme="1"/>
        <rFont val="Calibri"/>
        <family val="2"/>
        <scheme val="minor"/>
      </rPr>
      <t>TrueFalse</t>
    </r>
    <r>
      <rPr>
        <sz val="10"/>
        <color theme="1"/>
        <rFont val="Calibri"/>
        <family val="2"/>
        <scheme val="minor"/>
      </rPr>
      <t xml:space="preserve"> - True/False
</t>
    </r>
    <r>
      <rPr>
        <b/>
        <sz val="10"/>
        <color theme="1"/>
        <rFont val="Calibri"/>
        <family val="2"/>
        <scheme val="minor"/>
      </rPr>
      <t>MultipleResponse</t>
    </r>
    <r>
      <rPr>
        <sz val="10"/>
        <color theme="1"/>
        <rFont val="Calibri"/>
        <family val="2"/>
        <scheme val="minor"/>
      </rPr>
      <t xml:space="preserve"> - Multiple Response
</t>
    </r>
    <r>
      <rPr>
        <b/>
        <sz val="10"/>
        <color theme="1"/>
        <rFont val="Calibri"/>
        <family val="2"/>
        <scheme val="minor"/>
      </rPr>
      <t>Matching</t>
    </r>
    <r>
      <rPr>
        <sz val="10"/>
        <color theme="1"/>
        <rFont val="Calibri"/>
        <family val="2"/>
        <scheme val="minor"/>
      </rPr>
      <t xml:space="preserve"> - Matching
</t>
    </r>
    <r>
      <rPr>
        <b/>
        <sz val="10"/>
        <color theme="1"/>
        <rFont val="Calibri"/>
        <family val="2"/>
        <scheme val="minor"/>
      </rPr>
      <t>ShortAnswer</t>
    </r>
    <r>
      <rPr>
        <sz val="10"/>
        <color theme="1"/>
        <rFont val="Calibri"/>
        <family val="2"/>
        <scheme val="minor"/>
      </rPr>
      <t xml:space="preserve"> - Short answer
</t>
    </r>
    <r>
      <rPr>
        <b/>
        <sz val="10"/>
        <color theme="1"/>
        <rFont val="Calibri"/>
        <family val="2"/>
        <scheme val="minor"/>
      </rPr>
      <t>Labeling</t>
    </r>
    <r>
      <rPr>
        <sz val="10"/>
        <color theme="1"/>
        <rFont val="Calibri"/>
        <family val="2"/>
        <scheme val="minor"/>
      </rPr>
      <t xml:space="preserve"> - Labeling
</t>
    </r>
    <r>
      <rPr>
        <b/>
        <sz val="10"/>
        <color theme="1"/>
        <rFont val="Calibri"/>
        <family val="2"/>
        <scheme val="minor"/>
      </rPr>
      <t>VisualRepresentation</t>
    </r>
    <r>
      <rPr>
        <sz val="10"/>
        <color theme="1"/>
        <rFont val="Calibri"/>
        <family val="2"/>
        <scheme val="minor"/>
      </rPr>
      <t xml:space="preserve"> - Visual representation
</t>
    </r>
    <r>
      <rPr>
        <b/>
        <sz val="10"/>
        <color theme="1"/>
        <rFont val="Calibri"/>
        <family val="2"/>
        <scheme val="minor"/>
      </rPr>
      <t>ShowYourWork</t>
    </r>
    <r>
      <rPr>
        <sz val="10"/>
        <color theme="1"/>
        <rFont val="Calibri"/>
        <family val="2"/>
        <scheme val="minor"/>
      </rPr>
      <t xml:space="preserve"> - Show your work
</t>
    </r>
    <r>
      <rPr>
        <b/>
        <sz val="10"/>
        <color theme="1"/>
        <rFont val="Calibri"/>
        <family val="2"/>
        <scheme val="minor"/>
      </rPr>
      <t>OtherConstructedResponse</t>
    </r>
    <r>
      <rPr>
        <sz val="10"/>
        <color theme="1"/>
        <rFont val="Calibri"/>
        <family val="2"/>
        <scheme val="minor"/>
      </rPr>
      <t xml:space="preserve"> - Other constructed response
</t>
    </r>
    <r>
      <rPr>
        <b/>
        <sz val="10"/>
        <color theme="1"/>
        <rFont val="Calibri"/>
        <family val="2"/>
        <scheme val="minor"/>
      </rPr>
      <t>PerformanceTask</t>
    </r>
    <r>
      <rPr>
        <sz val="10"/>
        <color theme="1"/>
        <rFont val="Calibri"/>
        <family val="2"/>
        <scheme val="minor"/>
      </rPr>
      <t xml:space="preserve"> - Performance task
</t>
    </r>
    <r>
      <rPr>
        <b/>
        <sz val="10"/>
        <color theme="1"/>
        <rFont val="Calibri"/>
        <family val="2"/>
        <scheme val="minor"/>
      </rPr>
      <t>ExtendedResponse</t>
    </r>
    <r>
      <rPr>
        <sz val="10"/>
        <color theme="1"/>
        <rFont val="Calibri"/>
        <family val="2"/>
        <scheme val="minor"/>
      </rPr>
      <t xml:space="preserve"> - Extended Response (Essay)
</t>
    </r>
    <r>
      <rPr>
        <b/>
        <sz val="10"/>
        <color theme="1"/>
        <rFont val="Calibri"/>
        <family val="2"/>
        <scheme val="minor"/>
      </rPr>
      <t>TechnologyEnhancedInteractive</t>
    </r>
    <r>
      <rPr>
        <sz val="10"/>
        <color theme="1"/>
        <rFont val="Calibri"/>
        <family val="2"/>
        <scheme val="minor"/>
      </rPr>
      <t xml:space="preserve"> - Technology Enhanced / Interactive
</t>
    </r>
    <r>
      <rPr>
        <b/>
        <sz val="10"/>
        <color theme="1"/>
        <rFont val="Calibri"/>
        <family val="2"/>
        <scheme val="minor"/>
      </rPr>
      <t>Reordering</t>
    </r>
    <r>
      <rPr>
        <sz val="10"/>
        <color theme="1"/>
        <rFont val="Calibri"/>
        <family val="2"/>
        <scheme val="minor"/>
      </rPr>
      <t xml:space="preserve"> - Reordering
</t>
    </r>
    <r>
      <rPr>
        <b/>
        <sz val="10"/>
        <color theme="1"/>
        <rFont val="Calibri"/>
        <family val="2"/>
        <scheme val="minor"/>
      </rPr>
      <t>Substitution</t>
    </r>
    <r>
      <rPr>
        <sz val="10"/>
        <color theme="1"/>
        <rFont val="Calibri"/>
        <family val="2"/>
        <scheme val="minor"/>
      </rPr>
      <t xml:space="preserve"> - Substitution
</t>
    </r>
    <r>
      <rPr>
        <b/>
        <sz val="10"/>
        <color theme="1"/>
        <rFont val="Calibri"/>
        <family val="2"/>
        <scheme val="minor"/>
      </rPr>
      <t>Other</t>
    </r>
    <r>
      <rPr>
        <sz val="10"/>
        <color theme="1"/>
        <rFont val="Calibri"/>
        <family val="2"/>
        <scheme val="minor"/>
      </rPr>
      <t xml:space="preserve"> - Other
</t>
    </r>
  </si>
  <si>
    <t>000390</t>
  </si>
  <si>
    <t>AssessmentItemType</t>
  </si>
  <si>
    <t>Assessment Language</t>
  </si>
  <si>
    <t>The language in which the assessment form is designed to be delivered.</t>
  </si>
  <si>
    <t>Updated to reflect the latest version of the ISO 639-2 standard.</t>
  </si>
  <si>
    <t>The CEDS ISO 639-2 Language Code option set comes from the ISO 639-2 standard, the character encoding in ISO 8859-1 download. Discontinued codes from the ISO standard are not included in the CEDS list.</t>
  </si>
  <si>
    <t>001089</t>
  </si>
  <si>
    <t>AssessmentLanguage</t>
  </si>
  <si>
    <t>Assessment Level for Which Designed</t>
  </si>
  <si>
    <t>The typical grade or combination of grade-levels, developmental levels, or age-levels for which an assessment is designed.</t>
  </si>
  <si>
    <r>
      <t>Birth</t>
    </r>
    <r>
      <rPr>
        <sz val="10"/>
        <color theme="1"/>
        <rFont val="Calibri"/>
        <family val="2"/>
        <scheme val="minor"/>
      </rPr>
      <t xml:space="preserve"> - Birth
</t>
    </r>
    <r>
      <rPr>
        <b/>
        <sz val="10"/>
        <color theme="1"/>
        <rFont val="Calibri"/>
        <family val="2"/>
        <scheme val="minor"/>
      </rPr>
      <t>Prenatal</t>
    </r>
    <r>
      <rPr>
        <sz val="10"/>
        <color theme="1"/>
        <rFont val="Calibri"/>
        <family val="2"/>
        <scheme val="minor"/>
      </rPr>
      <t xml:space="preserve"> - Prenatal
</t>
    </r>
    <r>
      <rPr>
        <b/>
        <sz val="10"/>
        <color theme="1"/>
        <rFont val="Calibri"/>
        <family val="2"/>
        <scheme val="minor"/>
      </rPr>
      <t>IT</t>
    </r>
    <r>
      <rPr>
        <sz val="10"/>
        <color theme="1"/>
        <rFont val="Calibri"/>
        <family val="2"/>
        <scheme val="minor"/>
      </rPr>
      <t xml:space="preserve"> - Infant/toddler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PS</t>
    </r>
    <r>
      <rPr>
        <sz val="10"/>
        <color theme="1"/>
        <rFont val="Calibri"/>
        <family val="2"/>
        <scheme val="minor"/>
      </rPr>
      <t xml:space="preserve"> - Postsecondary
</t>
    </r>
    <r>
      <rPr>
        <b/>
        <sz val="10"/>
        <color theme="1"/>
        <rFont val="Calibri"/>
        <family val="2"/>
        <scheme val="minor"/>
      </rPr>
      <t>UG</t>
    </r>
    <r>
      <rPr>
        <sz val="10"/>
        <color theme="1"/>
        <rFont val="Calibri"/>
        <family val="2"/>
        <scheme val="minor"/>
      </rPr>
      <t xml:space="preserve"> - Ungraded
</t>
    </r>
    <r>
      <rPr>
        <b/>
        <sz val="10"/>
        <color theme="1"/>
        <rFont val="Calibri"/>
        <family val="2"/>
        <scheme val="minor"/>
      </rPr>
      <t>Other</t>
    </r>
    <r>
      <rPr>
        <sz val="10"/>
        <color theme="1"/>
        <rFont val="Calibri"/>
        <family val="2"/>
        <scheme val="minor"/>
      </rPr>
      <t xml:space="preserve"> - Other
</t>
    </r>
  </si>
  <si>
    <t>Assessments -&gt; Assessment
Assessments -&gt; Assessment Asset
Assessments -&gt; Assessment Form
Assessments -&gt; Assessment Item
Assessments -&gt; Assessment Subtest
Early Learning -&gt; EL Child -&gt; Developmental Assessments</t>
  </si>
  <si>
    <t>000177</t>
  </si>
  <si>
    <t>AssessmentLevelForWhichDesigned</t>
  </si>
  <si>
    <t>K-12 -&gt; High School Generated Transcript
K-12 -&gt; LEA Assessments
K-12 -&gt; LEA-to-LEA Student Record Exchange
K-12 -&gt; LEA-to-SEA Student Record Exchange
K-12 -&gt; SEA Assessments
School Readiness</t>
  </si>
  <si>
    <t>Assessment Need Alternative Representation Type</t>
  </si>
  <si>
    <t>Defines as part of an Assessment Personal Needs Profile the default presentation mode of the associated Alternative Representations accessibility.</t>
  </si>
  <si>
    <r>
      <t>Audio</t>
    </r>
    <r>
      <rPr>
        <sz val="10"/>
        <color theme="1"/>
        <rFont val="Calibri"/>
        <family val="2"/>
        <scheme val="minor"/>
      </rPr>
      <t xml:space="preserve"> - Audio
</t>
    </r>
    <r>
      <rPr>
        <b/>
        <sz val="10"/>
        <color theme="1"/>
        <rFont val="Calibri"/>
        <family val="2"/>
        <scheme val="minor"/>
      </rPr>
      <t>Video</t>
    </r>
    <r>
      <rPr>
        <sz val="10"/>
        <color theme="1"/>
        <rFont val="Calibri"/>
        <family val="2"/>
        <scheme val="minor"/>
      </rPr>
      <t xml:space="preserve"> - Video
</t>
    </r>
    <r>
      <rPr>
        <b/>
        <sz val="10"/>
        <color theme="1"/>
        <rFont val="Calibri"/>
        <family val="2"/>
        <scheme val="minor"/>
      </rPr>
      <t>Graphic</t>
    </r>
    <r>
      <rPr>
        <sz val="10"/>
        <color theme="1"/>
        <rFont val="Calibri"/>
        <family val="2"/>
        <scheme val="minor"/>
      </rPr>
      <t xml:space="preserve"> - Graphic
</t>
    </r>
    <r>
      <rPr>
        <b/>
        <sz val="10"/>
        <color theme="1"/>
        <rFont val="Calibri"/>
        <family val="2"/>
        <scheme val="minor"/>
      </rPr>
      <t>Text</t>
    </r>
    <r>
      <rPr>
        <sz val="10"/>
        <color theme="1"/>
        <rFont val="Calibri"/>
        <family val="2"/>
        <scheme val="minor"/>
      </rPr>
      <t xml:space="preserve"> - Text
</t>
    </r>
    <r>
      <rPr>
        <b/>
        <sz val="10"/>
        <color theme="1"/>
        <rFont val="Calibri"/>
        <family val="2"/>
        <scheme val="minor"/>
      </rPr>
      <t>Interactive</t>
    </r>
    <r>
      <rPr>
        <sz val="10"/>
        <color theme="1"/>
        <rFont val="Calibri"/>
        <family val="2"/>
        <scheme val="minor"/>
      </rPr>
      <t xml:space="preserve"> - Interactive
</t>
    </r>
  </si>
  <si>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</si>
  <si>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</si>
  <si>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</si>
  <si>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</si>
  <si>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</si>
  <si>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</si>
  <si>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</si>
  <si>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</si>
  <si>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</si>
  <si>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</si>
  <si>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</si>
  <si>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</si>
  <si>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Numeric - up to 4 digits after decimal place</t>
  </si>
  <si>
    <t>001036</t>
  </si>
  <si>
    <t>AssessmentNeedBrailleDotPressure</t>
  </si>
  <si>
    <t>Assessment Need Braille Grade Type</t>
  </si>
  <si>
    <t>Defines as part of an Assessment Personal Needs Profile the grade of Braille to use when using a Braille display.</t>
  </si>
  <si>
    <r>
      <t>Contracted</t>
    </r>
    <r>
      <rPr>
        <sz val="10"/>
        <color theme="1"/>
        <rFont val="Calibri"/>
        <family val="2"/>
        <scheme val="minor"/>
      </rPr>
      <t xml:space="preserve"> - Contracted
</t>
    </r>
    <r>
      <rPr>
        <b/>
        <sz val="10"/>
        <color theme="1"/>
        <rFont val="Calibri"/>
        <family val="2"/>
        <scheme val="minor"/>
      </rPr>
      <t>Uncontracted</t>
    </r>
    <r>
      <rPr>
        <sz val="10"/>
        <color theme="1"/>
        <rFont val="Calibri"/>
        <family val="2"/>
        <scheme val="minor"/>
      </rPr>
      <t xml:space="preserve"> - Uncontracted
</t>
    </r>
  </si>
  <si>
    <t>001032</t>
  </si>
  <si>
    <t>AssessmentNeedBrailleGradeType</t>
  </si>
  <si>
    <t>Assessment Need Braille Mark Type</t>
  </si>
  <si>
    <t>Defines as part of an Assessment Personal Needs Profile what textual properties to mark when using a Braille display.</t>
  </si>
  <si>
    <r>
      <t>Highlight</t>
    </r>
    <r>
      <rPr>
        <sz val="10"/>
        <color theme="1"/>
        <rFont val="Calibri"/>
        <family val="2"/>
        <scheme val="minor"/>
      </rPr>
      <t xml:space="preserve"> - Highlight
</t>
    </r>
    <r>
      <rPr>
        <b/>
        <sz val="10"/>
        <color theme="1"/>
        <rFont val="Calibri"/>
        <family val="2"/>
        <scheme val="minor"/>
      </rPr>
      <t>Bold</t>
    </r>
    <r>
      <rPr>
        <sz val="10"/>
        <color theme="1"/>
        <rFont val="Calibri"/>
        <family val="2"/>
        <scheme val="minor"/>
      </rPr>
      <t xml:space="preserve"> - Bold
</t>
    </r>
    <r>
      <rPr>
        <b/>
        <sz val="10"/>
        <color theme="1"/>
        <rFont val="Calibri"/>
        <family val="2"/>
        <scheme val="minor"/>
      </rPr>
      <t>Underline</t>
    </r>
    <r>
      <rPr>
        <sz val="10"/>
        <color theme="1"/>
        <rFont val="Calibri"/>
        <family val="2"/>
        <scheme val="minor"/>
      </rPr>
      <t xml:space="preserve"> - Underline
</t>
    </r>
    <r>
      <rPr>
        <b/>
        <sz val="10"/>
        <color theme="1"/>
        <rFont val="Calibri"/>
        <family val="2"/>
        <scheme val="minor"/>
      </rPr>
      <t>Italic</t>
    </r>
    <r>
      <rPr>
        <sz val="10"/>
        <color theme="1"/>
        <rFont val="Calibri"/>
        <family val="2"/>
        <scheme val="minor"/>
      </rPr>
      <t xml:space="preserve"> - Italic
</t>
    </r>
    <r>
      <rPr>
        <b/>
        <sz val="10"/>
        <color theme="1"/>
        <rFont val="Calibri"/>
        <family val="2"/>
        <scheme val="minor"/>
      </rPr>
      <t>Strikeout</t>
    </r>
    <r>
      <rPr>
        <sz val="10"/>
        <color theme="1"/>
        <rFont val="Calibri"/>
        <family val="2"/>
        <scheme val="minor"/>
      </rPr>
      <t xml:space="preserve"> - Strikeout
</t>
    </r>
    <r>
      <rPr>
        <b/>
        <sz val="10"/>
        <color theme="1"/>
        <rFont val="Calibri"/>
        <family val="2"/>
        <scheme val="minor"/>
      </rPr>
      <t>Color</t>
    </r>
    <r>
      <rPr>
        <sz val="10"/>
        <color theme="1"/>
        <rFont val="Calibri"/>
        <family val="2"/>
        <scheme val="minor"/>
      </rPr>
      <t xml:space="preserve"> - Color
</t>
    </r>
  </si>
  <si>
    <t>001035</t>
  </si>
  <si>
    <t>AssessmentNeedBrailleMarkType</t>
  </si>
  <si>
    <t>Assessment Need Braille Status Cell Type</t>
  </si>
  <si>
    <t>Defines as part of an Assessment Personal Needs Profile the preferred presence or location of a Braille display status cell.</t>
  </si>
  <si>
    <r>
      <t>Off</t>
    </r>
    <r>
      <rPr>
        <sz val="10"/>
        <color theme="1"/>
        <rFont val="Calibri"/>
        <family val="2"/>
        <scheme val="minor"/>
      </rPr>
      <t xml:space="preserve"> - Off
</t>
    </r>
    <r>
      <rPr>
        <b/>
        <sz val="10"/>
        <color theme="1"/>
        <rFont val="Calibri"/>
        <family val="2"/>
        <scheme val="minor"/>
      </rPr>
      <t>Left</t>
    </r>
    <r>
      <rPr>
        <sz val="10"/>
        <color theme="1"/>
        <rFont val="Calibri"/>
        <family val="2"/>
        <scheme val="minor"/>
      </rPr>
      <t xml:space="preserve"> - Left
</t>
    </r>
    <r>
      <rPr>
        <b/>
        <sz val="10"/>
        <color theme="1"/>
        <rFont val="Calibri"/>
        <family val="2"/>
        <scheme val="minor"/>
      </rPr>
      <t>Right</t>
    </r>
    <r>
      <rPr>
        <sz val="10"/>
        <color theme="1"/>
        <rFont val="Calibri"/>
        <family val="2"/>
        <scheme val="minor"/>
      </rPr>
      <t xml:space="preserve"> - Right
</t>
    </r>
  </si>
  <si>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</si>
  <si>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</si>
  <si>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</si>
  <si>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</si>
  <si>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</si>
  <si>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</si>
  <si>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</si>
  <si>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</si>
  <si>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</si>
  <si>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</si>
  <si>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</si>
  <si>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</si>
  <si>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r>
      <t>Flashing</t>
    </r>
    <r>
      <rPr>
        <sz val="10"/>
        <color theme="1"/>
        <rFont val="Calibri"/>
        <family val="2"/>
        <scheme val="minor"/>
      </rPr>
      <t xml:space="preserve"> - Flashing
</t>
    </r>
    <r>
      <rPr>
        <b/>
        <sz val="10"/>
        <color theme="1"/>
        <rFont val="Calibri"/>
        <family val="2"/>
        <scheme val="minor"/>
      </rPr>
      <t>Sound</t>
    </r>
    <r>
      <rPr>
        <sz val="10"/>
        <color theme="1"/>
        <rFont val="Calibri"/>
        <family val="2"/>
        <scheme val="minor"/>
      </rPr>
      <t xml:space="preserve"> - Sound
</t>
    </r>
    <r>
      <rPr>
        <b/>
        <sz val="10"/>
        <color theme="1"/>
        <rFont val="Calibri"/>
        <family val="2"/>
        <scheme val="minor"/>
      </rPr>
      <t>Olfactory</t>
    </r>
    <r>
      <rPr>
        <sz val="10"/>
        <color theme="1"/>
        <rFont val="Calibri"/>
        <family val="2"/>
        <scheme val="minor"/>
      </rPr>
      <t xml:space="preserve"> - Olfactory
</t>
    </r>
    <r>
      <rPr>
        <b/>
        <sz val="10"/>
        <color theme="1"/>
        <rFont val="Calibri"/>
        <family val="2"/>
        <scheme val="minor"/>
      </rPr>
      <t>MotionSimulation</t>
    </r>
    <r>
      <rPr>
        <sz val="10"/>
        <color theme="1"/>
        <rFont val="Calibri"/>
        <family val="2"/>
        <scheme val="minor"/>
      </rPr>
      <t xml:space="preserve"> - Motion simulation
</t>
    </r>
  </si>
  <si>
    <t>001024</t>
  </si>
  <si>
    <t>AssessmentNeedHazardType</t>
  </si>
  <si>
    <t>Assessment Need Increased Whitespacing Type</t>
  </si>
  <si>
    <t>Defines the user preferences for white spacing in lines, words and characters as part of an Assessment Personal Needs Profile.</t>
  </si>
  <si>
    <r>
      <t>Line</t>
    </r>
    <r>
      <rPr>
        <sz val="10"/>
        <color theme="1"/>
        <rFont val="Calibri"/>
        <family val="2"/>
        <scheme val="minor"/>
      </rPr>
      <t xml:space="preserve"> - Line
</t>
    </r>
    <r>
      <rPr>
        <b/>
        <sz val="10"/>
        <color theme="1"/>
        <rFont val="Calibri"/>
        <family val="2"/>
        <scheme val="minor"/>
      </rPr>
      <t>Word</t>
    </r>
    <r>
      <rPr>
        <sz val="10"/>
        <color theme="1"/>
        <rFont val="Calibri"/>
        <family val="2"/>
        <scheme val="minor"/>
      </rPr>
      <t xml:space="preserve"> - Word
</t>
    </r>
    <r>
      <rPr>
        <b/>
        <sz val="10"/>
        <color theme="1"/>
        <rFont val="Calibri"/>
        <family val="2"/>
        <scheme val="minor"/>
      </rPr>
      <t>Character</t>
    </r>
    <r>
      <rPr>
        <sz val="10"/>
        <color theme="1"/>
        <rFont val="Calibri"/>
        <family val="2"/>
        <scheme val="minor"/>
      </rPr>
      <t xml:space="preserve"> - Character
</t>
    </r>
  </si>
  <si>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</si>
  <si>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</si>
  <si>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</si>
  <si>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</si>
  <si>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</si>
  <si>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</si>
  <si>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</si>
  <si>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</si>
  <si>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</si>
  <si>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</si>
  <si>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</si>
  <si>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</si>
  <si>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</si>
  <si>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</si>
  <si>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</si>
  <si>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</si>
  <si>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</si>
  <si>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</si>
  <si>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</si>
  <si>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</si>
  <si>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</si>
  <si>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</si>
  <si>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</si>
  <si>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</si>
  <si>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</si>
  <si>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r>
      <t>SpeakLink</t>
    </r>
    <r>
      <rPr>
        <sz val="10"/>
        <color theme="1"/>
        <rFont val="Calibri"/>
        <family val="2"/>
        <scheme val="minor"/>
      </rPr>
      <t xml:space="preserve"> - Speak link
</t>
    </r>
    <r>
      <rPr>
        <b/>
        <sz val="10"/>
        <color theme="1"/>
        <rFont val="Calibri"/>
        <family val="2"/>
        <scheme val="minor"/>
      </rPr>
      <t>DifferentVoice</t>
    </r>
    <r>
      <rPr>
        <sz val="10"/>
        <color theme="1"/>
        <rFont val="Calibri"/>
        <family val="2"/>
        <scheme val="minor"/>
      </rPr>
      <t xml:space="preserve"> - Different voice
</t>
    </r>
    <r>
      <rPr>
        <b/>
        <sz val="10"/>
        <color theme="1"/>
        <rFont val="Calibri"/>
        <family val="2"/>
        <scheme val="minor"/>
      </rPr>
      <t>SoundEffect</t>
    </r>
    <r>
      <rPr>
        <sz val="10"/>
        <color theme="1"/>
        <rFont val="Calibri"/>
        <family val="2"/>
        <scheme val="minor"/>
      </rPr>
      <t xml:space="preserve"> - Sound effect
</t>
    </r>
    <r>
      <rPr>
        <b/>
        <sz val="10"/>
        <color theme="1"/>
        <rFont val="Calibri"/>
        <family val="2"/>
        <scheme val="minor"/>
      </rPr>
      <t>None</t>
    </r>
    <r>
      <rPr>
        <sz val="10"/>
        <color theme="1"/>
        <rFont val="Calibri"/>
        <family val="2"/>
        <scheme val="minor"/>
      </rPr>
      <t xml:space="preserve"> - None
</t>
    </r>
  </si>
  <si>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</si>
  <si>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</si>
  <si>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</si>
  <si>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</si>
  <si>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</si>
  <si>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</si>
  <si>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</si>
  <si>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Specifies as part of an Assessment Personal Needs Profile the type of masks the user is able to create to cover portions of the question until needed.</t>
  </si>
  <si>
    <r>
      <t>CustomMask</t>
    </r>
    <r>
      <rPr>
        <sz val="10"/>
        <color theme="1"/>
        <rFont val="Calibri"/>
        <family val="2"/>
        <scheme val="minor"/>
      </rPr>
      <t xml:space="preserve"> - Custom mask
</t>
    </r>
    <r>
      <rPr>
        <b/>
        <sz val="10"/>
        <color theme="1"/>
        <rFont val="Calibri"/>
        <family val="2"/>
        <scheme val="minor"/>
      </rPr>
      <t>AnswerMask</t>
    </r>
    <r>
      <rPr>
        <sz val="10"/>
        <color theme="1"/>
        <rFont val="Calibri"/>
        <family val="2"/>
        <scheme val="minor"/>
      </rPr>
      <t xml:space="preserve"> - Answer mask
</t>
    </r>
  </si>
  <si>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</si>
  <si>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</si>
  <si>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</si>
  <si>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</si>
  <si>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</si>
  <si>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</si>
  <si>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</si>
  <si>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</si>
  <si>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r>
      <t>6</t>
    </r>
    <r>
      <rPr>
        <sz val="10"/>
        <color theme="1"/>
        <rFont val="Calibri"/>
        <family val="2"/>
        <scheme val="minor"/>
      </rPr>
      <t xml:space="preserve"> - Six Braille Dots
</t>
    </r>
    <r>
      <rPr>
        <b/>
        <sz val="10"/>
        <color theme="1"/>
        <rFont val="Calibri"/>
        <family val="2"/>
        <scheme val="minor"/>
      </rPr>
      <t>8</t>
    </r>
    <r>
      <rPr>
        <sz val="10"/>
        <color theme="1"/>
        <rFont val="Calibri"/>
        <family val="2"/>
        <scheme val="minor"/>
      </rPr>
      <t xml:space="preserve"> - Eight Braille Dots
</t>
    </r>
  </si>
  <si>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</si>
  <si>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</si>
  <si>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</si>
  <si>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</si>
  <si>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</si>
  <si>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</si>
  <si>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</si>
  <si>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</si>
  <si>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</si>
  <si>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</si>
  <si>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Assessment Need Read at Start Preference</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</si>
  <si>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</si>
  <si>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</si>
  <si>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</si>
  <si>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</si>
  <si>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</si>
  <si>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r>
      <t>ASL</t>
    </r>
    <r>
      <rPr>
        <sz val="10"/>
        <color theme="1"/>
        <rFont val="Calibri"/>
        <family val="2"/>
        <scheme val="minor"/>
      </rPr>
      <t xml:space="preserve"> - American Sign Language
</t>
    </r>
    <r>
      <rPr>
        <b/>
        <sz val="10"/>
        <color theme="1"/>
        <rFont val="Calibri"/>
        <family val="2"/>
        <scheme val="minor"/>
      </rPr>
      <t>SignedEnglish</t>
    </r>
    <r>
      <rPr>
        <sz val="10"/>
        <color theme="1"/>
        <rFont val="Calibri"/>
        <family val="2"/>
        <scheme val="minor"/>
      </rPr>
      <t xml:space="preserve"> - Signed English
</t>
    </r>
  </si>
  <si>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</si>
  <si>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</si>
  <si>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</si>
  <si>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</si>
  <si>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</si>
  <si>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</si>
  <si>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</si>
  <si>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</si>
  <si>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</si>
  <si>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</si>
  <si>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</si>
  <si>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</si>
  <si>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r>
      <t>Human</t>
    </r>
    <r>
      <rPr>
        <sz val="10"/>
        <color theme="1"/>
        <rFont val="Calibri"/>
        <family val="2"/>
        <scheme val="minor"/>
      </rPr>
      <t xml:space="preserve"> - Human
</t>
    </r>
    <r>
      <rPr>
        <b/>
        <sz val="10"/>
        <color theme="1"/>
        <rFont val="Calibri"/>
        <family val="2"/>
        <scheme val="minor"/>
      </rPr>
      <t>Synthetic</t>
    </r>
    <r>
      <rPr>
        <sz val="10"/>
        <color theme="1"/>
        <rFont val="Calibri"/>
        <family val="2"/>
        <scheme val="minor"/>
      </rPr>
      <t xml:space="preserve"> - Synthetic
</t>
    </r>
  </si>
  <si>
    <t>001042</t>
  </si>
  <si>
    <t>AssessmentNeedSpokenSourcePreferenceType</t>
  </si>
  <si>
    <t>Assessment Need Support Tool Type</t>
  </si>
  <si>
    <t>Defines as part of an Assessment Personal Needs Profile the electronic tool associated with a resource.</t>
  </si>
  <si>
    <r>
      <t>Dictionary</t>
    </r>
    <r>
      <rPr>
        <sz val="10"/>
        <color theme="1"/>
        <rFont val="Calibri"/>
        <family val="2"/>
        <scheme val="minor"/>
      </rPr>
      <t xml:space="preserve"> - Dictionary
</t>
    </r>
    <r>
      <rPr>
        <b/>
        <sz val="10"/>
        <color theme="1"/>
        <rFont val="Calibri"/>
        <family val="2"/>
        <scheme val="minor"/>
      </rPr>
      <t>Calculator</t>
    </r>
    <r>
      <rPr>
        <sz val="10"/>
        <color theme="1"/>
        <rFont val="Calibri"/>
        <family val="2"/>
        <scheme val="minor"/>
      </rPr>
      <t xml:space="preserve"> - Calculator
</t>
    </r>
    <r>
      <rPr>
        <b/>
        <sz val="10"/>
        <color theme="1"/>
        <rFont val="Calibri"/>
        <family val="2"/>
        <scheme val="minor"/>
      </rPr>
      <t>NoteTaking</t>
    </r>
    <r>
      <rPr>
        <sz val="10"/>
        <color theme="1"/>
        <rFont val="Calibri"/>
        <family val="2"/>
        <scheme val="minor"/>
      </rPr>
      <t xml:space="preserve"> - Note taking
</t>
    </r>
    <r>
      <rPr>
        <b/>
        <sz val="10"/>
        <color theme="1"/>
        <rFont val="Calibri"/>
        <family val="2"/>
        <scheme val="minor"/>
      </rPr>
      <t>PeerInteraction</t>
    </r>
    <r>
      <rPr>
        <sz val="10"/>
        <color theme="1"/>
        <rFont val="Calibri"/>
        <family val="2"/>
        <scheme val="minor"/>
      </rPr>
      <t xml:space="preserve"> - Peer interaction
</t>
    </r>
    <r>
      <rPr>
        <b/>
        <sz val="10"/>
        <color theme="1"/>
        <rFont val="Calibri"/>
        <family val="2"/>
        <scheme val="minor"/>
      </rPr>
      <t>Thesaurus</t>
    </r>
    <r>
      <rPr>
        <sz val="10"/>
        <color theme="1"/>
        <rFont val="Calibri"/>
        <family val="2"/>
        <scheme val="minor"/>
      </rPr>
      <t xml:space="preserve"> - Thesaurus
</t>
    </r>
    <r>
      <rPr>
        <b/>
        <sz val="10"/>
        <color theme="1"/>
        <rFont val="Calibri"/>
        <family val="2"/>
        <scheme val="minor"/>
      </rPr>
      <t>Abacus</t>
    </r>
    <r>
      <rPr>
        <sz val="10"/>
        <color theme="1"/>
        <rFont val="Calibri"/>
        <family val="2"/>
        <scheme val="minor"/>
      </rPr>
      <t xml:space="preserve"> - Abacus
</t>
    </r>
    <r>
      <rPr>
        <b/>
        <sz val="10"/>
        <color theme="1"/>
        <rFont val="Calibri"/>
        <family val="2"/>
        <scheme val="minor"/>
      </rPr>
      <t>SpellChecker</t>
    </r>
    <r>
      <rPr>
        <sz val="10"/>
        <color theme="1"/>
        <rFont val="Calibri"/>
        <family val="2"/>
        <scheme val="minor"/>
      </rPr>
      <t xml:space="preserve"> - Spell checker
</t>
    </r>
    <r>
      <rPr>
        <b/>
        <sz val="10"/>
        <color theme="1"/>
        <rFont val="Calibri"/>
        <family val="2"/>
        <scheme val="minor"/>
      </rPr>
      <t>Homophone</t>
    </r>
    <r>
      <rPr>
        <sz val="10"/>
        <color theme="1"/>
        <rFont val="Calibri"/>
        <family val="2"/>
        <scheme val="minor"/>
      </rPr>
      <t xml:space="preserve"> - Homophone checker
</t>
    </r>
    <r>
      <rPr>
        <b/>
        <sz val="10"/>
        <color theme="1"/>
        <rFont val="Calibri"/>
        <family val="2"/>
        <scheme val="minor"/>
      </rPr>
      <t>MindMapping</t>
    </r>
    <r>
      <rPr>
        <sz val="10"/>
        <color theme="1"/>
        <rFont val="Calibri"/>
        <family val="2"/>
        <scheme val="minor"/>
      </rPr>
      <t xml:space="preserve"> - Mind mapping software
</t>
    </r>
    <r>
      <rPr>
        <b/>
        <sz val="10"/>
        <color theme="1"/>
        <rFont val="Calibri"/>
        <family val="2"/>
        <scheme val="minor"/>
      </rPr>
      <t>OutlineTool</t>
    </r>
    <r>
      <rPr>
        <sz val="10"/>
        <color theme="1"/>
        <rFont val="Calibri"/>
        <family val="2"/>
        <scheme val="minor"/>
      </rPr>
      <t xml:space="preserve"> - Outline tool
</t>
    </r>
  </si>
  <si>
    <t>001025</t>
  </si>
  <si>
    <t>AssessmentNeedSupportToolType</t>
  </si>
  <si>
    <t>Assessment Need Text Messaging String</t>
  </si>
  <si>
    <t>The text string that is to be displayed to the user as an expression of encouragement when Masking is specified as part of an Assessment Personal Needs Profile. It is left to the system to determine when to display this string.</t>
  </si>
  <si>
    <t>001047</t>
  </si>
  <si>
    <t>AssessmentNeedTextMessagingString</t>
  </si>
  <si>
    <t>Assessment Need Time Multiplier</t>
  </si>
  <si>
    <t>Defines the multiplier to be applied to the time limit to determine the total testing time allowed when Additional Testing Time is specified as part of an Assessment Personal Needs Profile. If the value is ‘unlimited’ then there is no time limit for the test.</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</si>
  <si>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</si>
  <si>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</si>
  <si>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</si>
  <si>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</si>
  <si>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</si>
  <si>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</si>
  <si>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</si>
  <si>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</si>
  <si>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</si>
  <si>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</si>
  <si>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r>
      <t>Required</t>
    </r>
    <r>
      <rPr>
        <sz val="10"/>
        <color theme="1"/>
        <rFont val="Calibri"/>
        <family val="2"/>
        <scheme val="minor"/>
      </rPr>
      <t xml:space="preserve"> - Required
</t>
    </r>
    <r>
      <rPr>
        <b/>
        <sz val="10"/>
        <color theme="1"/>
        <rFont val="Calibri"/>
        <family val="2"/>
        <scheme val="minor"/>
      </rPr>
      <t>Preferred</t>
    </r>
    <r>
      <rPr>
        <sz val="10"/>
        <color theme="1"/>
        <rFont val="Calibri"/>
        <family val="2"/>
        <scheme val="minor"/>
      </rPr>
      <t xml:space="preserve"> - Preferred
</t>
    </r>
    <r>
      <rPr>
        <b/>
        <sz val="10"/>
        <color theme="1"/>
        <rFont val="Calibri"/>
        <family val="2"/>
        <scheme val="minor"/>
      </rPr>
      <t>OptionallyUse</t>
    </r>
    <r>
      <rPr>
        <sz val="10"/>
        <color theme="1"/>
        <rFont val="Calibri"/>
        <family val="2"/>
        <scheme val="minor"/>
      </rPr>
      <t xml:space="preserve"> - Optionally use
</t>
    </r>
    <r>
      <rPr>
        <b/>
        <sz val="10"/>
        <color theme="1"/>
        <rFont val="Calibri"/>
        <family val="2"/>
        <scheme val="minor"/>
      </rPr>
      <t>Prohibited</t>
    </r>
    <r>
      <rPr>
        <sz val="10"/>
        <color theme="1"/>
        <rFont val="Calibri"/>
        <family val="2"/>
        <scheme val="minor"/>
      </rPr>
      <t xml:space="preserve"> - Prohibited
</t>
    </r>
  </si>
  <si>
    <t>001026</t>
  </si>
  <si>
    <t>AssessmentNeedUsageType</t>
  </si>
  <si>
    <t>Assessment Need User Spoken Preference Type</t>
  </si>
  <si>
    <t>Used as part of an Assessment Personal Needs Profile to define the type of material that should be rendered using the read aloud alternative content.</t>
  </si>
  <si>
    <r>
      <t>TextOnly</t>
    </r>
    <r>
      <rPr>
        <sz val="10"/>
        <color theme="1"/>
        <rFont val="Calibri"/>
        <family val="2"/>
        <scheme val="minor"/>
      </rPr>
      <t xml:space="preserve"> - Text only
</t>
    </r>
    <r>
      <rPr>
        <b/>
        <sz val="10"/>
        <color theme="1"/>
        <rFont val="Calibri"/>
        <family val="2"/>
        <scheme val="minor"/>
      </rPr>
      <t>TextGraphics</t>
    </r>
    <r>
      <rPr>
        <sz val="10"/>
        <color theme="1"/>
        <rFont val="Calibri"/>
        <family val="2"/>
        <scheme val="minor"/>
      </rPr>
      <t xml:space="preserve"> - Text and graphics
</t>
    </r>
    <r>
      <rPr>
        <b/>
        <sz val="10"/>
        <color theme="1"/>
        <rFont val="Calibri"/>
        <family val="2"/>
        <scheme val="minor"/>
      </rPr>
      <t>GraphicsOnly</t>
    </r>
    <r>
      <rPr>
        <sz val="10"/>
        <color theme="1"/>
        <rFont val="Calibri"/>
        <family val="2"/>
        <scheme val="minor"/>
      </rPr>
      <t xml:space="preserve"> - Graphics only
</t>
    </r>
    <r>
      <rPr>
        <b/>
        <sz val="10"/>
        <color theme="1"/>
        <rFont val="Calibri"/>
        <family val="2"/>
        <scheme val="minor"/>
      </rPr>
      <t>NonVisual</t>
    </r>
    <r>
      <rPr>
        <sz val="10"/>
        <color theme="1"/>
        <rFont val="Calibri"/>
        <family val="2"/>
        <scheme val="minor"/>
      </rPr>
      <t xml:space="preserve"> - Non-visual
</t>
    </r>
  </si>
  <si>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</si>
  <si>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</si>
  <si>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</si>
  <si>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</si>
  <si>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</si>
  <si>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</si>
  <si>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</si>
  <si>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</si>
  <si>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</si>
  <si>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</si>
  <si>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</si>
  <si>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</si>
  <si>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Assessments -&gt; Assessment Participant Session</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</si>
  <si>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</si>
  <si>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</si>
  <si>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</si>
  <si>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</si>
  <si>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</si>
  <si>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</si>
  <si>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</si>
  <si>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</si>
  <si>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</si>
  <si>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</si>
  <si>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</si>
  <si>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</si>
  <si>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</si>
  <si>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</si>
  <si>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</si>
  <si>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</si>
  <si>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</si>
  <si>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r>
      <t>Paper</t>
    </r>
    <r>
      <rPr>
        <sz val="10"/>
        <color theme="1"/>
        <rFont val="Calibri"/>
        <family val="2"/>
        <scheme val="minor"/>
      </rPr>
      <t xml:space="preserve"> - Paper
</t>
    </r>
    <r>
      <rPr>
        <b/>
        <sz val="10"/>
        <color theme="1"/>
        <rFont val="Calibri"/>
        <family val="2"/>
        <scheme val="minor"/>
      </rPr>
      <t>Computer</t>
    </r>
    <r>
      <rPr>
        <sz val="10"/>
        <color theme="1"/>
        <rFont val="Calibri"/>
        <family val="2"/>
        <scheme val="minor"/>
      </rPr>
      <t xml:space="preserve"> - Computer
</t>
    </r>
    <r>
      <rPr>
        <b/>
        <sz val="10"/>
        <color theme="1"/>
        <rFont val="Calibri"/>
        <family val="2"/>
        <scheme val="minor"/>
      </rPr>
      <t>Mobile</t>
    </r>
    <r>
      <rPr>
        <sz val="10"/>
        <color theme="1"/>
        <rFont val="Calibri"/>
        <family val="2"/>
        <scheme val="minor"/>
      </rPr>
      <t xml:space="preserve"> - Mobile
</t>
    </r>
    <r>
      <rPr>
        <b/>
        <sz val="10"/>
        <color theme="1"/>
        <rFont val="Calibri"/>
        <family val="2"/>
        <scheme val="minor"/>
      </rPr>
      <t>Clicker</t>
    </r>
    <r>
      <rPr>
        <sz val="10"/>
        <color theme="1"/>
        <rFont val="Calibri"/>
        <family val="2"/>
        <scheme val="minor"/>
      </rPr>
      <t xml:space="preserve"> - Clicker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Handheld</t>
    </r>
    <r>
      <rPr>
        <sz val="10"/>
        <color theme="1"/>
        <rFont val="Calibri"/>
        <family val="2"/>
        <scheme val="minor"/>
      </rPr>
      <t xml:space="preserve"> - Handheld
</t>
    </r>
    <r>
      <rPr>
        <b/>
        <sz val="10"/>
        <color theme="1"/>
        <rFont val="Calibri"/>
        <family val="2"/>
        <scheme val="minor"/>
      </rPr>
      <t>Tablet</t>
    </r>
    <r>
      <rPr>
        <sz val="10"/>
        <color theme="1"/>
        <rFont val="Calibri"/>
        <family val="2"/>
        <scheme val="minor"/>
      </rPr>
      <t xml:space="preserve"> - Tablet
</t>
    </r>
  </si>
  <si>
    <t>Assessments -&gt; Assessment Participant Session
Assessments -&gt; Assessment Registration</t>
  </si>
  <si>
    <t>000386</t>
  </si>
  <si>
    <t>AssessmentParticipantSessionPlatformType</t>
  </si>
  <si>
    <t>Assessment Participant Session Platform User Agent</t>
  </si>
  <si>
    <t>A list of product tokens (keywords) with optional comments that identifies the client hardware and software with which the assessment was delivered to the student during the assessment session.</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</si>
  <si>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</si>
  <si>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</si>
  <si>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</si>
  <si>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</si>
  <si>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</si>
  <si>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</si>
  <si>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</si>
  <si>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</si>
  <si>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The overall time a learner actually spent during the assessment session.</t>
  </si>
  <si>
    <t>000407</t>
  </si>
  <si>
    <t>AssessmentParticipantSessionTimeAssessed</t>
  </si>
  <si>
    <t>Assessment Performance Level Descriptive Feedback</t>
  </si>
  <si>
    <t>A feedback message designed to be reported with the assessment performance level.</t>
  </si>
  <si>
    <t>Assessments -&gt; Assessment Performance Level
Assessments -&gt; Assessment Result -&gt; Assessment Performance Level
Assessments -&gt; Assessment Subtest -&gt;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</si>
  <si>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</si>
  <si>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</si>
  <si>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</si>
  <si>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</si>
  <si>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</si>
  <si>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</si>
  <si>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</si>
  <si>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</si>
  <si>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</si>
  <si>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</si>
  <si>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</si>
  <si>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</si>
  <si>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</si>
  <si>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</si>
  <si>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</si>
  <si>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</si>
  <si>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</si>
  <si>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r>
      <t>00512</t>
    </r>
    <r>
      <rPr>
        <sz val="10"/>
        <color theme="1"/>
        <rFont val="Calibri"/>
        <family val="2"/>
        <scheme val="minor"/>
      </rPr>
      <t xml:space="preserve"> - Achievement/proficiency level
</t>
    </r>
    <r>
      <rPr>
        <b/>
        <sz val="10"/>
        <color theme="1"/>
        <rFont val="Calibri"/>
        <family val="2"/>
        <scheme val="minor"/>
      </rPr>
      <t>00494</t>
    </r>
    <r>
      <rPr>
        <sz val="10"/>
        <color theme="1"/>
        <rFont val="Calibri"/>
        <family val="2"/>
        <scheme val="minor"/>
      </rPr>
      <t xml:space="preserve"> - ACT score
</t>
    </r>
    <r>
      <rPr>
        <b/>
        <sz val="10"/>
        <color theme="1"/>
        <rFont val="Calibri"/>
        <family val="2"/>
        <scheme val="minor"/>
      </rPr>
      <t>00490</t>
    </r>
    <r>
      <rPr>
        <sz val="10"/>
        <color theme="1"/>
        <rFont val="Calibri"/>
        <family val="2"/>
        <scheme val="minor"/>
      </rPr>
      <t xml:space="preserve"> - Age score
</t>
    </r>
    <r>
      <rPr>
        <b/>
        <sz val="10"/>
        <color theme="1"/>
        <rFont val="Calibri"/>
        <family val="2"/>
        <scheme val="minor"/>
      </rPr>
      <t>00491</t>
    </r>
    <r>
      <rPr>
        <sz val="10"/>
        <color theme="1"/>
        <rFont val="Calibri"/>
        <family val="2"/>
        <scheme val="minor"/>
      </rPr>
      <t xml:space="preserve"> - C-scaled scores
</t>
    </r>
    <r>
      <rPr>
        <b/>
        <sz val="10"/>
        <color theme="1"/>
        <rFont val="Calibri"/>
        <family val="2"/>
        <scheme val="minor"/>
      </rPr>
      <t>00492</t>
    </r>
    <r>
      <rPr>
        <sz val="10"/>
        <color theme="1"/>
        <rFont val="Calibri"/>
        <family val="2"/>
        <scheme val="minor"/>
      </rPr>
      <t xml:space="preserve"> - College Board examination scores
</t>
    </r>
    <r>
      <rPr>
        <b/>
        <sz val="10"/>
        <color theme="1"/>
        <rFont val="Calibri"/>
        <family val="2"/>
        <scheme val="minor"/>
      </rPr>
      <t>00493</t>
    </r>
    <r>
      <rPr>
        <sz val="10"/>
        <color theme="1"/>
        <rFont val="Calibri"/>
        <family val="2"/>
        <scheme val="minor"/>
      </rPr>
      <t xml:space="preserve"> - Grade equivalent or grade-level indicator
</t>
    </r>
    <r>
      <rPr>
        <b/>
        <sz val="10"/>
        <color theme="1"/>
        <rFont val="Calibri"/>
        <family val="2"/>
        <scheme val="minor"/>
      </rPr>
      <t>03473</t>
    </r>
    <r>
      <rPr>
        <sz val="10"/>
        <color theme="1"/>
        <rFont val="Calibri"/>
        <family val="2"/>
        <scheme val="minor"/>
      </rPr>
      <t xml:space="preserve"> - Graduation score
</t>
    </r>
    <r>
      <rPr>
        <b/>
        <sz val="10"/>
        <color theme="1"/>
        <rFont val="Calibri"/>
        <family val="2"/>
        <scheme val="minor"/>
      </rPr>
      <t>03474</t>
    </r>
    <r>
      <rPr>
        <sz val="10"/>
        <color theme="1"/>
        <rFont val="Calibri"/>
        <family val="2"/>
        <scheme val="minor"/>
      </rPr>
      <t xml:space="preserve"> - Growth/value-added/indexing
</t>
    </r>
    <r>
      <rPr>
        <b/>
        <sz val="10"/>
        <color theme="1"/>
        <rFont val="Calibri"/>
        <family val="2"/>
        <scheme val="minor"/>
      </rPr>
      <t>03475</t>
    </r>
    <r>
      <rPr>
        <sz val="10"/>
        <color theme="1"/>
        <rFont val="Calibri"/>
        <family val="2"/>
        <scheme val="minor"/>
      </rPr>
      <t xml:space="preserve"> - International Baccalaureate score
</t>
    </r>
    <r>
      <rPr>
        <b/>
        <sz val="10"/>
        <color theme="1"/>
        <rFont val="Calibri"/>
        <family val="2"/>
        <scheme val="minor"/>
      </rPr>
      <t>00144</t>
    </r>
    <r>
      <rPr>
        <sz val="10"/>
        <color theme="1"/>
        <rFont val="Calibri"/>
        <family val="2"/>
        <scheme val="minor"/>
      </rPr>
      <t xml:space="preserve"> - Letter grade/mark
</t>
    </r>
    <r>
      <rPr>
        <b/>
        <sz val="10"/>
        <color theme="1"/>
        <rFont val="Calibri"/>
        <family val="2"/>
        <scheme val="minor"/>
      </rPr>
      <t>00513</t>
    </r>
    <r>
      <rPr>
        <sz val="10"/>
        <color theme="1"/>
        <rFont val="Calibri"/>
        <family val="2"/>
        <scheme val="minor"/>
      </rPr>
      <t xml:space="preserve"> - Mastery level
</t>
    </r>
    <r>
      <rPr>
        <b/>
        <sz val="10"/>
        <color theme="1"/>
        <rFont val="Calibri"/>
        <family val="2"/>
        <scheme val="minor"/>
      </rPr>
      <t>00497</t>
    </r>
    <r>
      <rPr>
        <sz val="10"/>
        <color theme="1"/>
        <rFont val="Calibri"/>
        <family val="2"/>
        <scheme val="minor"/>
      </rPr>
      <t xml:space="preserve"> - Normal curve equivalent
</t>
    </r>
    <r>
      <rPr>
        <b/>
        <sz val="10"/>
        <color theme="1"/>
        <rFont val="Calibri"/>
        <family val="2"/>
        <scheme val="minor"/>
      </rPr>
      <t>00498</t>
    </r>
    <r>
      <rPr>
        <sz val="10"/>
        <color theme="1"/>
        <rFont val="Calibri"/>
        <family val="2"/>
        <scheme val="minor"/>
      </rPr>
      <t xml:space="preserve"> - Normalized standard score
</t>
    </r>
    <r>
      <rPr>
        <b/>
        <sz val="10"/>
        <color theme="1"/>
        <rFont val="Calibri"/>
        <family val="2"/>
        <scheme val="minor"/>
      </rPr>
      <t>00499</t>
    </r>
    <r>
      <rPr>
        <sz val="10"/>
        <color theme="1"/>
        <rFont val="Calibri"/>
        <family val="2"/>
        <scheme val="minor"/>
      </rPr>
      <t xml:space="preserve"> - Number score
</t>
    </r>
    <r>
      <rPr>
        <b/>
        <sz val="10"/>
        <color theme="1"/>
        <rFont val="Calibri"/>
        <family val="2"/>
        <scheme val="minor"/>
      </rPr>
      <t>00500</t>
    </r>
    <r>
      <rPr>
        <sz val="10"/>
        <color theme="1"/>
        <rFont val="Calibri"/>
        <family val="2"/>
        <scheme val="minor"/>
      </rPr>
      <t xml:space="preserve"> - Pass-fail
</t>
    </r>
    <r>
      <rPr>
        <b/>
        <sz val="10"/>
        <color theme="1"/>
        <rFont val="Calibri"/>
        <family val="2"/>
        <scheme val="minor"/>
      </rPr>
      <t>03476</t>
    </r>
    <r>
      <rPr>
        <sz val="10"/>
        <color theme="1"/>
        <rFont val="Calibri"/>
        <family val="2"/>
        <scheme val="minor"/>
      </rPr>
      <t xml:space="preserve"> - Percentile
</t>
    </r>
    <r>
      <rPr>
        <b/>
        <sz val="10"/>
        <color theme="1"/>
        <rFont val="Calibri"/>
        <family val="2"/>
        <scheme val="minor"/>
      </rPr>
      <t>00502</t>
    </r>
    <r>
      <rPr>
        <sz val="10"/>
        <color theme="1"/>
        <rFont val="Calibri"/>
        <family val="2"/>
        <scheme val="minor"/>
      </rPr>
      <t xml:space="preserve"> - Percentile rank
</t>
    </r>
    <r>
      <rPr>
        <b/>
        <sz val="10"/>
        <color theme="1"/>
        <rFont val="Calibri"/>
        <family val="2"/>
        <scheme val="minor"/>
      </rPr>
      <t>00503</t>
    </r>
    <r>
      <rPr>
        <sz val="10"/>
        <color theme="1"/>
        <rFont val="Calibri"/>
        <family val="2"/>
        <scheme val="minor"/>
      </rPr>
      <t xml:space="preserve"> - Proficiency level
</t>
    </r>
    <r>
      <rPr>
        <b/>
        <sz val="10"/>
        <color theme="1"/>
        <rFont val="Calibri"/>
        <family val="2"/>
        <scheme val="minor"/>
      </rPr>
      <t>03477</t>
    </r>
    <r>
      <rPr>
        <sz val="10"/>
        <color theme="1"/>
        <rFont val="Calibri"/>
        <family val="2"/>
        <scheme val="minor"/>
      </rPr>
      <t xml:space="preserve"> - Promotion score
</t>
    </r>
    <r>
      <rPr>
        <b/>
        <sz val="10"/>
        <color theme="1"/>
        <rFont val="Calibri"/>
        <family val="2"/>
        <scheme val="minor"/>
      </rPr>
      <t>00504</t>
    </r>
    <r>
      <rPr>
        <sz val="10"/>
        <color theme="1"/>
        <rFont val="Calibri"/>
        <family val="2"/>
        <scheme val="minor"/>
      </rPr>
      <t xml:space="preserve"> - Ranking
</t>
    </r>
    <r>
      <rPr>
        <b/>
        <sz val="10"/>
        <color theme="1"/>
        <rFont val="Calibri"/>
        <family val="2"/>
        <scheme val="minor"/>
      </rPr>
      <t>00505</t>
    </r>
    <r>
      <rPr>
        <sz val="10"/>
        <color theme="1"/>
        <rFont val="Calibri"/>
        <family val="2"/>
        <scheme val="minor"/>
      </rPr>
      <t xml:space="preserve"> - Ratio IQ's
</t>
    </r>
    <r>
      <rPr>
        <b/>
        <sz val="10"/>
        <color theme="1"/>
        <rFont val="Calibri"/>
        <family val="2"/>
        <scheme val="minor"/>
      </rPr>
      <t>03478</t>
    </r>
    <r>
      <rPr>
        <sz val="10"/>
        <color theme="1"/>
        <rFont val="Calibri"/>
        <family val="2"/>
        <scheme val="minor"/>
      </rPr>
      <t xml:space="preserve"> - Raw score
</t>
    </r>
    <r>
      <rPr>
        <b/>
        <sz val="10"/>
        <color theme="1"/>
        <rFont val="Calibri"/>
        <family val="2"/>
        <scheme val="minor"/>
      </rPr>
      <t>03479</t>
    </r>
    <r>
      <rPr>
        <sz val="10"/>
        <color theme="1"/>
        <rFont val="Calibri"/>
        <family val="2"/>
        <scheme val="minor"/>
      </rPr>
      <t xml:space="preserve"> - Scale score
</t>
    </r>
    <r>
      <rPr>
        <b/>
        <sz val="10"/>
        <color theme="1"/>
        <rFont val="Calibri"/>
        <family val="2"/>
        <scheme val="minor"/>
      </rPr>
      <t>00506</t>
    </r>
    <r>
      <rPr>
        <sz val="10"/>
        <color theme="1"/>
        <rFont val="Calibri"/>
        <family val="2"/>
        <scheme val="minor"/>
      </rPr>
      <t xml:space="preserve"> - Standard age score
</t>
    </r>
    <r>
      <rPr>
        <b/>
        <sz val="10"/>
        <color theme="1"/>
        <rFont val="Calibri"/>
        <family val="2"/>
        <scheme val="minor"/>
      </rPr>
      <t>00508</t>
    </r>
    <r>
      <rPr>
        <sz val="10"/>
        <color theme="1"/>
        <rFont val="Calibri"/>
        <family val="2"/>
        <scheme val="minor"/>
      </rPr>
      <t xml:space="preserve"> - Stanine score
</t>
    </r>
    <r>
      <rPr>
        <b/>
        <sz val="10"/>
        <color theme="1"/>
        <rFont val="Calibri"/>
        <family val="2"/>
        <scheme val="minor"/>
      </rPr>
      <t>00509</t>
    </r>
    <r>
      <rPr>
        <sz val="10"/>
        <color theme="1"/>
        <rFont val="Calibri"/>
        <family val="2"/>
        <scheme val="minor"/>
      </rPr>
      <t xml:space="preserve"> - Sten score
</t>
    </r>
    <r>
      <rPr>
        <b/>
        <sz val="10"/>
        <color theme="1"/>
        <rFont val="Calibri"/>
        <family val="2"/>
        <scheme val="minor"/>
      </rPr>
      <t>00510</t>
    </r>
    <r>
      <rPr>
        <sz val="10"/>
        <color theme="1"/>
        <rFont val="Calibri"/>
        <family val="2"/>
        <scheme val="minor"/>
      </rPr>
      <t xml:space="preserve"> - T-score
</t>
    </r>
    <r>
      <rPr>
        <b/>
        <sz val="10"/>
        <color theme="1"/>
        <rFont val="Calibri"/>
        <family val="2"/>
        <scheme val="minor"/>
      </rPr>
      <t>03480</t>
    </r>
    <r>
      <rPr>
        <sz val="10"/>
        <color theme="1"/>
        <rFont val="Calibri"/>
        <family val="2"/>
        <scheme val="minor"/>
      </rPr>
      <t xml:space="preserve"> - Workplace readiness score
</t>
    </r>
    <r>
      <rPr>
        <b/>
        <sz val="10"/>
        <color theme="1"/>
        <rFont val="Calibri"/>
        <family val="2"/>
        <scheme val="minor"/>
      </rPr>
      <t>00511</t>
    </r>
    <r>
      <rPr>
        <sz val="10"/>
        <color theme="1"/>
        <rFont val="Calibri"/>
        <family val="2"/>
        <scheme val="minor"/>
      </rPr>
      <t xml:space="preserve"> - Z-score
</t>
    </r>
    <r>
      <rPr>
        <b/>
        <sz val="10"/>
        <color theme="1"/>
        <rFont val="Calibri"/>
        <family val="2"/>
        <scheme val="minor"/>
      </rPr>
      <t>09999</t>
    </r>
    <r>
      <rPr>
        <sz val="10"/>
        <color theme="1"/>
        <rFont val="Calibri"/>
        <family val="2"/>
        <scheme val="minor"/>
      </rPr>
      <t xml:space="preserve"> - Other
</t>
    </r>
  </si>
  <si>
    <t>000417</t>
  </si>
  <si>
    <t>AssessmentPerformanceLevelScoreMetric</t>
  </si>
  <si>
    <t>Assessment Performance Level Upper Cut Score</t>
  </si>
  <si>
    <t>Highest possible score for the performance level.</t>
  </si>
  <si>
    <t>000419</t>
  </si>
  <si>
    <t>AssessmentPerformanceLevelUpperCutScore</t>
  </si>
  <si>
    <t>Assessment Personal Needs Profile Activate by Default</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</si>
  <si>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</si>
  <si>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</si>
  <si>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</si>
  <si>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</si>
  <si>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</si>
  <si>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</si>
  <si>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</si>
  <si>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</si>
  <si>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</si>
  <si>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</si>
  <si>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</si>
  <si>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</si>
  <si>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</si>
  <si>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</si>
  <si>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</si>
  <si>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r>
      <t>00050</t>
    </r>
    <r>
      <rPr>
        <sz val="10"/>
        <color theme="1"/>
        <rFont val="Calibri"/>
        <family val="2"/>
        <scheme val="minor"/>
      </rPr>
      <t xml:space="preserve"> - Admission
</t>
    </r>
    <r>
      <rPr>
        <b/>
        <sz val="10"/>
        <color theme="1"/>
        <rFont val="Calibri"/>
        <family val="2"/>
        <scheme val="minor"/>
      </rPr>
      <t>00051</t>
    </r>
    <r>
      <rPr>
        <sz val="10"/>
        <color theme="1"/>
        <rFont val="Calibri"/>
        <family val="2"/>
        <scheme val="minor"/>
      </rPr>
      <t xml:space="preserve"> - Assessment of student's progress
</t>
    </r>
    <r>
      <rPr>
        <b/>
        <sz val="10"/>
        <color theme="1"/>
        <rFont val="Calibri"/>
        <family val="2"/>
        <scheme val="minor"/>
      </rPr>
      <t>73055</t>
    </r>
    <r>
      <rPr>
        <sz val="10"/>
        <color theme="1"/>
        <rFont val="Calibri"/>
        <family val="2"/>
        <scheme val="minor"/>
      </rPr>
      <t xml:space="preserve"> - College Readiness
</t>
    </r>
    <r>
      <rPr>
        <b/>
        <sz val="10"/>
        <color theme="1"/>
        <rFont val="Calibri"/>
        <family val="2"/>
        <scheme val="minor"/>
      </rPr>
      <t>00063</t>
    </r>
    <r>
      <rPr>
        <sz val="10"/>
        <color theme="1"/>
        <rFont val="Calibri"/>
        <family val="2"/>
        <scheme val="minor"/>
      </rPr>
      <t xml:space="preserve"> - Course credit
</t>
    </r>
    <r>
      <rPr>
        <b/>
        <sz val="10"/>
        <color theme="1"/>
        <rFont val="Calibri"/>
        <family val="2"/>
        <scheme val="minor"/>
      </rPr>
      <t>00064</t>
    </r>
    <r>
      <rPr>
        <sz val="10"/>
        <color theme="1"/>
        <rFont val="Calibri"/>
        <family val="2"/>
        <scheme val="minor"/>
      </rPr>
      <t xml:space="preserve"> - Course requirement
</t>
    </r>
    <r>
      <rPr>
        <b/>
        <sz val="10"/>
        <color theme="1"/>
        <rFont val="Calibri"/>
        <family val="2"/>
        <scheme val="minor"/>
      </rPr>
      <t>73069</t>
    </r>
    <r>
      <rPr>
        <sz val="10"/>
        <color theme="1"/>
        <rFont val="Calibri"/>
        <family val="2"/>
        <scheme val="minor"/>
      </rPr>
      <t xml:space="preserve"> - Diagnosis
</t>
    </r>
    <r>
      <rPr>
        <b/>
        <sz val="10"/>
        <color theme="1"/>
        <rFont val="Calibri"/>
        <family val="2"/>
        <scheme val="minor"/>
      </rPr>
      <t>03459</t>
    </r>
    <r>
      <rPr>
        <sz val="10"/>
        <color theme="1"/>
        <rFont val="Calibri"/>
        <family val="2"/>
        <scheme val="minor"/>
      </rPr>
      <t xml:space="preserve"> - Federal accountability
</t>
    </r>
    <r>
      <rPr>
        <b/>
        <sz val="10"/>
        <color theme="1"/>
        <rFont val="Calibri"/>
        <family val="2"/>
        <scheme val="minor"/>
      </rPr>
      <t>73068</t>
    </r>
    <r>
      <rPr>
        <sz val="10"/>
        <color theme="1"/>
        <rFont val="Calibri"/>
        <family val="2"/>
        <scheme val="minor"/>
      </rPr>
      <t xml:space="preserve"> - Inform local or state policy
</t>
    </r>
    <r>
      <rPr>
        <b/>
        <sz val="10"/>
        <color theme="1"/>
        <rFont val="Calibri"/>
        <family val="2"/>
        <scheme val="minor"/>
      </rPr>
      <t>00055</t>
    </r>
    <r>
      <rPr>
        <sz val="10"/>
        <color theme="1"/>
        <rFont val="Calibri"/>
        <family val="2"/>
        <scheme val="minor"/>
      </rPr>
      <t xml:space="preserve"> - Instructional decision
</t>
    </r>
    <r>
      <rPr>
        <b/>
        <sz val="10"/>
        <color theme="1"/>
        <rFont val="Calibri"/>
        <family val="2"/>
        <scheme val="minor"/>
      </rPr>
      <t>03457</t>
    </r>
    <r>
      <rPr>
        <sz val="10"/>
        <color theme="1"/>
        <rFont val="Calibri"/>
        <family val="2"/>
        <scheme val="minor"/>
      </rPr>
      <t xml:space="preserve"> - Local accountability
</t>
    </r>
    <r>
      <rPr>
        <b/>
        <sz val="10"/>
        <color theme="1"/>
        <rFont val="Calibri"/>
        <family val="2"/>
        <scheme val="minor"/>
      </rPr>
      <t>02404</t>
    </r>
    <r>
      <rPr>
        <sz val="10"/>
        <color theme="1"/>
        <rFont val="Calibri"/>
        <family val="2"/>
        <scheme val="minor"/>
      </rPr>
      <t xml:space="preserve"> - Local graduation requirement
</t>
    </r>
    <r>
      <rPr>
        <b/>
        <sz val="10"/>
        <color theme="1"/>
        <rFont val="Calibri"/>
        <family val="2"/>
        <scheme val="minor"/>
      </rPr>
      <t>73042</t>
    </r>
    <r>
      <rPr>
        <sz val="10"/>
        <color theme="1"/>
        <rFont val="Calibri"/>
        <family val="2"/>
        <scheme val="minor"/>
      </rPr>
      <t xml:space="preserve"> - Obtain a state- or industry-recognized certificate or license
</t>
    </r>
    <r>
      <rPr>
        <b/>
        <sz val="10"/>
        <color theme="1"/>
        <rFont val="Calibri"/>
        <family val="2"/>
        <scheme val="minor"/>
      </rPr>
      <t>73043</t>
    </r>
    <r>
      <rPr>
        <sz val="10"/>
        <color theme="1"/>
        <rFont val="Calibri"/>
        <family val="2"/>
        <scheme val="minor"/>
      </rPr>
      <t xml:space="preserve"> - Obtain postsecondary credit for the course
</t>
    </r>
    <r>
      <rPr>
        <b/>
        <sz val="10"/>
        <color theme="1"/>
        <rFont val="Calibri"/>
        <family val="2"/>
        <scheme val="minor"/>
      </rPr>
      <t>73067</t>
    </r>
    <r>
      <rPr>
        <sz val="10"/>
        <color theme="1"/>
        <rFont val="Calibri"/>
        <family val="2"/>
        <scheme val="minor"/>
      </rPr>
      <t xml:space="preserve"> - Program eligibility
</t>
    </r>
    <r>
      <rPr>
        <b/>
        <sz val="10"/>
        <color theme="1"/>
        <rFont val="Calibri"/>
        <family val="2"/>
        <scheme val="minor"/>
      </rPr>
      <t>00057</t>
    </r>
    <r>
      <rPr>
        <sz val="10"/>
        <color theme="1"/>
        <rFont val="Calibri"/>
        <family val="2"/>
        <scheme val="minor"/>
      </rPr>
      <t xml:space="preserve"> - Program evaluation
</t>
    </r>
    <r>
      <rPr>
        <b/>
        <sz val="10"/>
        <color theme="1"/>
        <rFont val="Calibri"/>
        <family val="2"/>
        <scheme val="minor"/>
      </rPr>
      <t>00058</t>
    </r>
    <r>
      <rPr>
        <sz val="10"/>
        <color theme="1"/>
        <rFont val="Calibri"/>
        <family val="2"/>
        <scheme val="minor"/>
      </rPr>
      <t xml:space="preserve"> - Program placement
</t>
    </r>
    <r>
      <rPr>
        <b/>
        <sz val="10"/>
        <color theme="1"/>
        <rFont val="Calibri"/>
        <family val="2"/>
        <scheme val="minor"/>
      </rPr>
      <t>00062</t>
    </r>
    <r>
      <rPr>
        <sz val="10"/>
        <color theme="1"/>
        <rFont val="Calibri"/>
        <family val="2"/>
        <scheme val="minor"/>
      </rPr>
      <t xml:space="preserve"> - Promotion to or retention in a grade or program
</t>
    </r>
    <r>
      <rPr>
        <b/>
        <sz val="10"/>
        <color theme="1"/>
        <rFont val="Calibri"/>
        <family val="2"/>
        <scheme val="minor"/>
      </rPr>
      <t>00061</t>
    </r>
    <r>
      <rPr>
        <sz val="10"/>
        <color theme="1"/>
        <rFont val="Calibri"/>
        <family val="2"/>
        <scheme val="minor"/>
      </rPr>
      <t xml:space="preserve"> - Screening
</t>
    </r>
    <r>
      <rPr>
        <b/>
        <sz val="10"/>
        <color theme="1"/>
        <rFont val="Calibri"/>
        <family val="2"/>
        <scheme val="minor"/>
      </rPr>
      <t>03458</t>
    </r>
    <r>
      <rPr>
        <sz val="10"/>
        <color theme="1"/>
        <rFont val="Calibri"/>
        <family val="2"/>
        <scheme val="minor"/>
      </rPr>
      <t xml:space="preserve"> - State accountability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00054</t>
    </r>
    <r>
      <rPr>
        <sz val="10"/>
        <color theme="1"/>
        <rFont val="Calibri"/>
        <family val="2"/>
        <scheme val="minor"/>
      </rPr>
      <t xml:space="preserve"> - State graduation requirement
</t>
    </r>
  </si>
  <si>
    <t>Assessments -&gt; Assessment
Assessments -&gt; Assessment Subtest</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</si>
  <si>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</si>
  <si>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</si>
  <si>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</si>
  <si>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</si>
  <si>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</si>
  <si>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</si>
  <si>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For example, the unique identifier of a classroom teacher or school principal.</t>
  </si>
  <si>
    <t>000889</t>
  </si>
  <si>
    <t>AssessmentRegistrationAssignorIdentifier</t>
  </si>
  <si>
    <t>Assessment Registration Completion Status</t>
  </si>
  <si>
    <t>The completion and scoring status for an instance of a person taking an assessment.</t>
  </si>
  <si>
    <r>
      <t>Appeal</t>
    </r>
    <r>
      <rPr>
        <sz val="10"/>
        <color theme="1"/>
        <rFont val="Calibri"/>
        <family val="2"/>
        <scheme val="minor"/>
      </rPr>
      <t xml:space="preserve"> - Appeal
</t>
    </r>
    <r>
      <rPr>
        <b/>
        <sz val="10"/>
        <color theme="1"/>
        <rFont val="Calibri"/>
        <family val="2"/>
        <scheme val="minor"/>
      </rPr>
      <t>Completed</t>
    </r>
    <r>
      <rPr>
        <sz val="10"/>
        <color theme="1"/>
        <rFont val="Calibri"/>
        <family val="2"/>
        <scheme val="minor"/>
      </rPr>
      <t xml:space="preserve"> - Completed
</t>
    </r>
    <r>
      <rPr>
        <b/>
        <sz val="10"/>
        <color theme="1"/>
        <rFont val="Calibri"/>
        <family val="2"/>
        <scheme val="minor"/>
      </rPr>
      <t>Expired</t>
    </r>
    <r>
      <rPr>
        <sz val="10"/>
        <color theme="1"/>
        <rFont val="Calibri"/>
        <family val="2"/>
        <scheme val="minor"/>
      </rPr>
      <t xml:space="preserve"> - Expired
</t>
    </r>
    <r>
      <rPr>
        <b/>
        <sz val="10"/>
        <color theme="1"/>
        <rFont val="Calibri"/>
        <family val="2"/>
        <scheme val="minor"/>
      </rPr>
      <t>Handscoring</t>
    </r>
    <r>
      <rPr>
        <sz val="10"/>
        <color theme="1"/>
        <rFont val="Calibri"/>
        <family val="2"/>
        <scheme val="minor"/>
      </rPr>
      <t xml:space="preserve"> - Handscoring
</t>
    </r>
    <r>
      <rPr>
        <b/>
        <sz val="10"/>
        <color theme="1"/>
        <rFont val="Calibri"/>
        <family val="2"/>
        <scheme val="minor"/>
      </rPr>
      <t>Invalidated</t>
    </r>
    <r>
      <rPr>
        <sz val="10"/>
        <color theme="1"/>
        <rFont val="Calibri"/>
        <family val="2"/>
        <scheme val="minor"/>
      </rPr>
      <t xml:space="preserve"> - Invalidated
</t>
    </r>
    <r>
      <rPr>
        <b/>
        <sz val="10"/>
        <color theme="1"/>
        <rFont val="Calibri"/>
        <family val="2"/>
        <scheme val="minor"/>
      </rPr>
      <t>Paused</t>
    </r>
    <r>
      <rPr>
        <sz val="10"/>
        <color theme="1"/>
        <rFont val="Calibri"/>
        <family val="2"/>
        <scheme val="minor"/>
      </rPr>
      <t xml:space="preserve"> - Paused
</t>
    </r>
    <r>
      <rPr>
        <b/>
        <sz val="10"/>
        <color theme="1"/>
        <rFont val="Calibri"/>
        <family val="2"/>
        <scheme val="minor"/>
      </rPr>
      <t>Reported</t>
    </r>
    <r>
      <rPr>
        <sz val="10"/>
        <color theme="1"/>
        <rFont val="Calibri"/>
        <family val="2"/>
        <scheme val="minor"/>
      </rPr>
      <t xml:space="preserve"> - Reported
</t>
    </r>
    <r>
      <rPr>
        <b/>
        <sz val="10"/>
        <color theme="1"/>
        <rFont val="Calibri"/>
        <family val="2"/>
        <scheme val="minor"/>
      </rPr>
      <t>Reset</t>
    </r>
    <r>
      <rPr>
        <sz val="10"/>
        <color theme="1"/>
        <rFont val="Calibri"/>
        <family val="2"/>
        <scheme val="minor"/>
      </rPr>
      <t xml:space="preserve"> - Reset
</t>
    </r>
    <r>
      <rPr>
        <b/>
        <sz val="10"/>
        <color theme="1"/>
        <rFont val="Calibri"/>
        <family val="2"/>
        <scheme val="minor"/>
      </rPr>
      <t>Scored</t>
    </r>
    <r>
      <rPr>
        <sz val="10"/>
        <color theme="1"/>
        <rFont val="Calibri"/>
        <family val="2"/>
        <scheme val="minor"/>
      </rPr>
      <t xml:space="preserve"> - Scored
</t>
    </r>
    <r>
      <rPr>
        <b/>
        <sz val="10"/>
        <color theme="1"/>
        <rFont val="Calibri"/>
        <family val="2"/>
        <scheme val="minor"/>
      </rPr>
      <t>Submitted</t>
    </r>
    <r>
      <rPr>
        <sz val="10"/>
        <color theme="1"/>
        <rFont val="Calibri"/>
        <family val="2"/>
        <scheme val="minor"/>
      </rPr>
      <t xml:space="preserve"> - Submitted
</t>
    </r>
  </si>
  <si>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</si>
  <si>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</si>
  <si>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</si>
  <si>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</si>
  <si>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</si>
  <si>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</si>
  <si>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</si>
  <si>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</si>
  <si>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</si>
  <si>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</si>
  <si>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</si>
  <si>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</si>
  <si>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</si>
  <si>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</si>
  <si>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Assessment Registration Grade Level to Be Assessed</t>
  </si>
  <si>
    <t>The grade or level at which the learner is to be assessed.</t>
  </si>
  <si>
    <r>
      <t>01043</t>
    </r>
    <r>
      <rPr>
        <sz val="10"/>
        <color theme="1"/>
        <rFont val="Calibri"/>
        <family val="2"/>
        <scheme val="minor"/>
      </rPr>
      <t xml:space="preserve"> - No school completed 
</t>
    </r>
    <r>
      <rPr>
        <b/>
        <sz val="10"/>
        <color theme="1"/>
        <rFont val="Calibri"/>
        <family val="2"/>
        <scheme val="minor"/>
      </rPr>
      <t>00788</t>
    </r>
    <r>
      <rPr>
        <sz val="10"/>
        <color theme="1"/>
        <rFont val="Calibri"/>
        <family val="2"/>
        <scheme val="minor"/>
      </rPr>
      <t xml:space="preserve"> - Preschool 
</t>
    </r>
    <r>
      <rPr>
        <b/>
        <sz val="10"/>
        <color theme="1"/>
        <rFont val="Calibri"/>
        <family val="2"/>
        <scheme val="minor"/>
      </rPr>
      <t>00805</t>
    </r>
    <r>
      <rPr>
        <sz val="10"/>
        <color theme="1"/>
        <rFont val="Calibri"/>
        <family val="2"/>
        <scheme val="minor"/>
      </rPr>
      <t xml:space="preserve"> - Kindergarten 
</t>
    </r>
    <r>
      <rPr>
        <b/>
        <sz val="10"/>
        <color theme="1"/>
        <rFont val="Calibri"/>
        <family val="2"/>
        <scheme val="minor"/>
      </rPr>
      <t>00790</t>
    </r>
    <r>
      <rPr>
        <sz val="10"/>
        <color theme="1"/>
        <rFont val="Calibri"/>
        <family val="2"/>
        <scheme val="minor"/>
      </rPr>
      <t xml:space="preserve"> - First grade 
</t>
    </r>
    <r>
      <rPr>
        <b/>
        <sz val="10"/>
        <color theme="1"/>
        <rFont val="Calibri"/>
        <family val="2"/>
        <scheme val="minor"/>
      </rPr>
      <t>00791</t>
    </r>
    <r>
      <rPr>
        <sz val="10"/>
        <color theme="1"/>
        <rFont val="Calibri"/>
        <family val="2"/>
        <scheme val="minor"/>
      </rPr>
      <t xml:space="preserve"> - Second grade 
</t>
    </r>
    <r>
      <rPr>
        <b/>
        <sz val="10"/>
        <color theme="1"/>
        <rFont val="Calibri"/>
        <family val="2"/>
        <scheme val="minor"/>
      </rPr>
      <t>00792</t>
    </r>
    <r>
      <rPr>
        <sz val="10"/>
        <color theme="1"/>
        <rFont val="Calibri"/>
        <family val="2"/>
        <scheme val="minor"/>
      </rPr>
      <t xml:space="preserve"> - Third grade 
</t>
    </r>
    <r>
      <rPr>
        <b/>
        <sz val="10"/>
        <color theme="1"/>
        <rFont val="Calibri"/>
        <family val="2"/>
        <scheme val="minor"/>
      </rPr>
      <t>00793</t>
    </r>
    <r>
      <rPr>
        <sz val="10"/>
        <color theme="1"/>
        <rFont val="Calibri"/>
        <family val="2"/>
        <scheme val="minor"/>
      </rPr>
      <t xml:space="preserve"> - Fourth grade 
</t>
    </r>
    <r>
      <rPr>
        <b/>
        <sz val="10"/>
        <color theme="1"/>
        <rFont val="Calibri"/>
        <family val="2"/>
        <scheme val="minor"/>
      </rPr>
      <t>00794</t>
    </r>
    <r>
      <rPr>
        <sz val="10"/>
        <color theme="1"/>
        <rFont val="Calibri"/>
        <family val="2"/>
        <scheme val="minor"/>
      </rPr>
      <t xml:space="preserve"> - Fifth grade 
</t>
    </r>
    <r>
      <rPr>
        <b/>
        <sz val="10"/>
        <color theme="1"/>
        <rFont val="Calibri"/>
        <family val="2"/>
        <scheme val="minor"/>
      </rPr>
      <t>00795</t>
    </r>
    <r>
      <rPr>
        <sz val="10"/>
        <color theme="1"/>
        <rFont val="Calibri"/>
        <family val="2"/>
        <scheme val="minor"/>
      </rPr>
      <t xml:space="preserve"> - Sixth grade 
</t>
    </r>
    <r>
      <rPr>
        <b/>
        <sz val="10"/>
        <color theme="1"/>
        <rFont val="Calibri"/>
        <family val="2"/>
        <scheme val="minor"/>
      </rPr>
      <t>00796</t>
    </r>
    <r>
      <rPr>
        <sz val="10"/>
        <color theme="1"/>
        <rFont val="Calibri"/>
        <family val="2"/>
        <scheme val="minor"/>
      </rPr>
      <t xml:space="preserve"> - Seventh grade 
</t>
    </r>
    <r>
      <rPr>
        <b/>
        <sz val="10"/>
        <color theme="1"/>
        <rFont val="Calibri"/>
        <family val="2"/>
        <scheme val="minor"/>
      </rPr>
      <t>00798</t>
    </r>
    <r>
      <rPr>
        <sz val="10"/>
        <color theme="1"/>
        <rFont val="Calibri"/>
        <family val="2"/>
        <scheme val="minor"/>
      </rPr>
      <t xml:space="preserve"> - Eighth grade 
</t>
    </r>
    <r>
      <rPr>
        <b/>
        <sz val="10"/>
        <color theme="1"/>
        <rFont val="Calibri"/>
        <family val="2"/>
        <scheme val="minor"/>
      </rPr>
      <t>00799</t>
    </r>
    <r>
      <rPr>
        <sz val="10"/>
        <color theme="1"/>
        <rFont val="Calibri"/>
        <family val="2"/>
        <scheme val="minor"/>
      </rPr>
      <t xml:space="preserve"> - Ninth grade 
</t>
    </r>
    <r>
      <rPr>
        <b/>
        <sz val="10"/>
        <color theme="1"/>
        <rFont val="Calibri"/>
        <family val="2"/>
        <scheme val="minor"/>
      </rPr>
      <t>00800</t>
    </r>
    <r>
      <rPr>
        <sz val="10"/>
        <color theme="1"/>
        <rFont val="Calibri"/>
        <family val="2"/>
        <scheme val="minor"/>
      </rPr>
      <t xml:space="preserve"> - Tenth grade 
</t>
    </r>
    <r>
      <rPr>
        <b/>
        <sz val="10"/>
        <color theme="1"/>
        <rFont val="Calibri"/>
        <family val="2"/>
        <scheme val="minor"/>
      </rPr>
      <t>00801</t>
    </r>
    <r>
      <rPr>
        <sz val="10"/>
        <color theme="1"/>
        <rFont val="Calibri"/>
        <family val="2"/>
        <scheme val="minor"/>
      </rPr>
      <t xml:space="preserve"> - Eleventh Grade 
</t>
    </r>
    <r>
      <rPr>
        <b/>
        <sz val="10"/>
        <color theme="1"/>
        <rFont val="Calibri"/>
        <family val="2"/>
        <scheme val="minor"/>
      </rPr>
      <t>01809</t>
    </r>
    <r>
      <rPr>
        <sz val="10"/>
        <color theme="1"/>
        <rFont val="Calibri"/>
        <family val="2"/>
        <scheme val="minor"/>
      </rPr>
      <t xml:space="preserve"> - 12th grade, no diploma 
</t>
    </r>
    <r>
      <rPr>
        <b/>
        <sz val="10"/>
        <color theme="1"/>
        <rFont val="Calibri"/>
        <family val="2"/>
        <scheme val="minor"/>
      </rPr>
      <t>01044</t>
    </r>
    <r>
      <rPr>
        <sz val="10"/>
        <color theme="1"/>
        <rFont val="Calibri"/>
        <family val="2"/>
        <scheme val="minor"/>
      </rPr>
      <t xml:space="preserve"> - High school diploma 
</t>
    </r>
    <r>
      <rPr>
        <b/>
        <sz val="10"/>
        <color theme="1"/>
        <rFont val="Calibri"/>
        <family val="2"/>
        <scheme val="minor"/>
      </rPr>
      <t>02408</t>
    </r>
    <r>
      <rPr>
        <sz val="10"/>
        <color theme="1"/>
        <rFont val="Calibri"/>
        <family val="2"/>
        <scheme val="minor"/>
      </rPr>
      <t xml:space="preserve"> - High school completers (e.g., certificate of attendance) 
</t>
    </r>
    <r>
      <rPr>
        <b/>
        <sz val="10"/>
        <color theme="1"/>
        <rFont val="Calibri"/>
        <family val="2"/>
        <scheme val="minor"/>
      </rPr>
      <t>02409</t>
    </r>
    <r>
      <rPr>
        <sz val="10"/>
        <color theme="1"/>
        <rFont val="Calibri"/>
        <family val="2"/>
        <scheme val="minor"/>
      </rPr>
      <t xml:space="preserve"> - High school equivalency (e.g., GED) 
</t>
    </r>
    <r>
      <rPr>
        <b/>
        <sz val="10"/>
        <color theme="1"/>
        <rFont val="Calibri"/>
        <family val="2"/>
        <scheme val="minor"/>
      </rPr>
      <t>00803</t>
    </r>
    <r>
      <rPr>
        <sz val="10"/>
        <color theme="1"/>
        <rFont val="Calibri"/>
        <family val="2"/>
        <scheme val="minor"/>
      </rPr>
      <t xml:space="preserve"> - Grade 13
</t>
    </r>
    <r>
      <rPr>
        <b/>
        <sz val="10"/>
        <color theme="1"/>
        <rFont val="Calibri"/>
        <family val="2"/>
        <scheme val="minor"/>
      </rPr>
      <t>00819</t>
    </r>
    <r>
      <rPr>
        <sz val="10"/>
        <color theme="1"/>
        <rFont val="Calibri"/>
        <family val="2"/>
        <scheme val="minor"/>
      </rPr>
      <t xml:space="preserve"> - Career and Technical Education certificate
</t>
    </r>
    <r>
      <rPr>
        <b/>
        <sz val="10"/>
        <color theme="1"/>
        <rFont val="Calibri"/>
        <family val="2"/>
        <scheme val="minor"/>
      </rPr>
      <t>01049</t>
    </r>
    <r>
      <rPr>
        <sz val="10"/>
        <color theme="1"/>
        <rFont val="Calibri"/>
        <family val="2"/>
        <scheme val="minor"/>
      </rPr>
      <t xml:space="preserve"> - Some college but no degree 
</t>
    </r>
    <r>
      <rPr>
        <b/>
        <sz val="10"/>
        <color theme="1"/>
        <rFont val="Calibri"/>
        <family val="2"/>
        <scheme val="minor"/>
      </rPr>
      <t>01047</t>
    </r>
    <r>
      <rPr>
        <sz val="10"/>
        <color theme="1"/>
        <rFont val="Calibri"/>
        <family val="2"/>
        <scheme val="minor"/>
      </rPr>
      <t xml:space="preserve"> - Formal award, certificate or diploma (less than one year) 
</t>
    </r>
    <r>
      <rPr>
        <b/>
        <sz val="10"/>
        <color theme="1"/>
        <rFont val="Calibri"/>
        <family val="2"/>
        <scheme val="minor"/>
      </rPr>
      <t>01048</t>
    </r>
    <r>
      <rPr>
        <sz val="10"/>
        <color theme="1"/>
        <rFont val="Calibri"/>
        <family val="2"/>
        <scheme val="minor"/>
      </rPr>
      <t xml:space="preserve"> - Formal award, certificate or diploma (more than or equal to one year) 
</t>
    </r>
    <r>
      <rPr>
        <b/>
        <sz val="10"/>
        <color theme="1"/>
        <rFont val="Calibri"/>
        <family val="2"/>
        <scheme val="minor"/>
      </rPr>
      <t>73063</t>
    </r>
    <r>
      <rPr>
        <sz val="10"/>
        <color theme="1"/>
        <rFont val="Calibri"/>
        <family val="2"/>
        <scheme val="minor"/>
      </rPr>
      <t xml:space="preserve"> - Adult education certification, endorsement, or degree
</t>
    </r>
    <r>
      <rPr>
        <b/>
        <sz val="10"/>
        <color theme="1"/>
        <rFont val="Calibri"/>
        <family val="2"/>
        <scheme val="minor"/>
      </rPr>
      <t>01050</t>
    </r>
    <r>
      <rPr>
        <sz val="10"/>
        <color theme="1"/>
        <rFont val="Calibri"/>
        <family val="2"/>
        <scheme val="minor"/>
      </rPr>
      <t xml:space="preserve"> - Associate's degree (two years or more) 
</t>
    </r>
    <r>
      <rPr>
        <b/>
        <sz val="10"/>
        <color theme="1"/>
        <rFont val="Calibri"/>
        <family val="2"/>
        <scheme val="minor"/>
      </rPr>
      <t>01051</t>
    </r>
    <r>
      <rPr>
        <sz val="10"/>
        <color theme="1"/>
        <rFont val="Calibri"/>
        <family val="2"/>
        <scheme val="minor"/>
      </rPr>
      <t xml:space="preserve"> - Bachelor's (Baccalaureate) degree 
</t>
    </r>
    <r>
      <rPr>
        <b/>
        <sz val="10"/>
        <color theme="1"/>
        <rFont val="Calibri"/>
        <family val="2"/>
        <scheme val="minor"/>
      </rPr>
      <t>01054</t>
    </r>
    <r>
      <rPr>
        <sz val="10"/>
        <color theme="1"/>
        <rFont val="Calibri"/>
        <family val="2"/>
        <scheme val="minor"/>
      </rPr>
      <t xml:space="preserve"> - Master's degree (e.g., M.A., M.S., M. Eng., M.Ed., M.S.W., M.B.A., M.L.S.) 
</t>
    </r>
    <r>
      <rPr>
        <b/>
        <sz val="10"/>
        <color theme="1"/>
        <rFont val="Calibri"/>
        <family val="2"/>
        <scheme val="minor"/>
      </rPr>
      <t>01055</t>
    </r>
    <r>
      <rPr>
        <sz val="10"/>
        <color theme="1"/>
        <rFont val="Calibri"/>
        <family val="2"/>
        <scheme val="minor"/>
      </rPr>
      <t xml:space="preserve"> - Specialist's degree (e.g., Ed.S.) 
</t>
    </r>
    <r>
      <rPr>
        <b/>
        <sz val="10"/>
        <color theme="1"/>
        <rFont val="Calibri"/>
        <family val="2"/>
        <scheme val="minor"/>
      </rPr>
      <t>73081</t>
    </r>
    <r>
      <rPr>
        <sz val="10"/>
        <color theme="1"/>
        <rFont val="Calibri"/>
        <family val="2"/>
        <scheme val="minor"/>
      </rPr>
      <t xml:space="preserve"> - Post-master’s certificate
</t>
    </r>
    <r>
      <rPr>
        <b/>
        <sz val="10"/>
        <color theme="1"/>
        <rFont val="Calibri"/>
        <family val="2"/>
        <scheme val="minor"/>
      </rPr>
      <t>01052</t>
    </r>
    <r>
      <rPr>
        <sz val="10"/>
        <color theme="1"/>
        <rFont val="Calibri"/>
        <family val="2"/>
        <scheme val="minor"/>
      </rPr>
      <t xml:space="preserve"> - Graduate certificate 
</t>
    </r>
    <r>
      <rPr>
        <b/>
        <sz val="10"/>
        <color theme="1"/>
        <rFont val="Calibri"/>
        <family val="2"/>
        <scheme val="minor"/>
      </rPr>
      <t>01057</t>
    </r>
    <r>
      <rPr>
        <sz val="10"/>
        <color theme="1"/>
        <rFont val="Calibri"/>
        <family val="2"/>
        <scheme val="minor"/>
      </rPr>
      <t xml:space="preserve"> - Doctoral (Doctor's) degree 
</t>
    </r>
    <r>
      <rPr>
        <b/>
        <sz val="10"/>
        <color theme="1"/>
        <rFont val="Calibri"/>
        <family val="2"/>
        <scheme val="minor"/>
      </rPr>
      <t>01053</t>
    </r>
    <r>
      <rPr>
        <sz val="10"/>
        <color theme="1"/>
        <rFont val="Calibri"/>
        <family val="2"/>
        <scheme val="minor"/>
      </rPr>
      <t xml:space="preserve"> - First-professional degree 
</t>
    </r>
    <r>
      <rPr>
        <b/>
        <sz val="10"/>
        <color theme="1"/>
        <rFont val="Calibri"/>
        <family val="2"/>
        <scheme val="minor"/>
      </rPr>
      <t>01056</t>
    </r>
    <r>
      <rPr>
        <sz val="10"/>
        <color theme="1"/>
        <rFont val="Calibri"/>
        <family val="2"/>
        <scheme val="minor"/>
      </rPr>
      <t xml:space="preserve"> - Post-professional degree 
</t>
    </r>
    <r>
      <rPr>
        <b/>
        <sz val="10"/>
        <color theme="1"/>
        <rFont val="Calibri"/>
        <family val="2"/>
        <scheme val="minor"/>
      </rPr>
      <t>73083</t>
    </r>
    <r>
      <rPr>
        <sz val="10"/>
        <color theme="1"/>
        <rFont val="Calibri"/>
        <family val="2"/>
        <scheme val="minor"/>
      </rPr>
      <t xml:space="preserve"> - Doctor’s degree-professional practice
</t>
    </r>
    <r>
      <rPr>
        <b/>
        <sz val="10"/>
        <color theme="1"/>
        <rFont val="Calibri"/>
        <family val="2"/>
        <scheme val="minor"/>
      </rPr>
      <t>73084</t>
    </r>
    <r>
      <rPr>
        <sz val="10"/>
        <color theme="1"/>
        <rFont val="Calibri"/>
        <family val="2"/>
        <scheme val="minor"/>
      </rPr>
      <t xml:space="preserve"> - Doctor’s degree-other
</t>
    </r>
    <r>
      <rPr>
        <b/>
        <sz val="10"/>
        <color theme="1"/>
        <rFont val="Calibri"/>
        <family val="2"/>
        <scheme val="minor"/>
      </rPr>
      <t>73085</t>
    </r>
    <r>
      <rPr>
        <sz val="10"/>
        <color theme="1"/>
        <rFont val="Calibri"/>
        <family val="2"/>
        <scheme val="minor"/>
      </rPr>
      <t xml:space="preserve"> - Doctor’s degree-research/scholarship
</t>
    </r>
    <r>
      <rPr>
        <b/>
        <sz val="10"/>
        <color theme="1"/>
        <rFont val="Calibri"/>
        <family val="2"/>
        <scheme val="minor"/>
      </rPr>
      <t>09999</t>
    </r>
    <r>
      <rPr>
        <sz val="10"/>
        <color theme="1"/>
        <rFont val="Calibri"/>
        <family val="2"/>
        <scheme val="minor"/>
      </rPr>
      <t xml:space="preserve"> - Other
</t>
    </r>
  </si>
  <si>
    <t>Corrected typo in Grade 13 description.</t>
  </si>
  <si>
    <t>Informs selection of the assessment form appropriate for the grade level to be tested.</t>
  </si>
  <si>
    <t>001057</t>
  </si>
  <si>
    <t>AssessmentRegistrationGradeLevelToBeAssessed</t>
  </si>
  <si>
    <t>Assessment Registration Participation Indicator</t>
  </si>
  <si>
    <t>An indication of whether a student participated in an assessment.</t>
  </si>
  <si>
    <r>
      <t>Participated</t>
    </r>
    <r>
      <rPr>
        <sz val="10"/>
        <color theme="1"/>
        <rFont val="Calibri"/>
        <family val="2"/>
        <scheme val="minor"/>
      </rPr>
      <t xml:space="preserve"> - Participated
</t>
    </r>
    <r>
      <rPr>
        <b/>
        <sz val="10"/>
        <color theme="1"/>
        <rFont val="Calibri"/>
        <family val="2"/>
        <scheme val="minor"/>
      </rPr>
      <t>DidNotParticipate</t>
    </r>
    <r>
      <rPr>
        <sz val="10"/>
        <color theme="1"/>
        <rFont val="Calibri"/>
        <family val="2"/>
        <scheme val="minor"/>
      </rPr>
      <t xml:space="preserve"> - Did Not Participate
</t>
    </r>
  </si>
  <si>
    <t>000025</t>
  </si>
  <si>
    <t>AssessmentRegistrationParticipationIndicator</t>
  </si>
  <si>
    <t>Assessment Registration Reason Not Completing</t>
  </si>
  <si>
    <t>The primary reason a participant did not complete an assessment.</t>
  </si>
  <si>
    <r>
      <t>ParentsOptOut</t>
    </r>
    <r>
      <rPr>
        <sz val="10"/>
        <color theme="1"/>
        <rFont val="Calibri"/>
        <family val="2"/>
        <scheme val="minor"/>
      </rPr>
      <t xml:space="preserve"> - Parents opt out
</t>
    </r>
    <r>
      <rPr>
        <b/>
        <sz val="10"/>
        <color theme="1"/>
        <rFont val="Calibri"/>
        <family val="2"/>
        <scheme val="minor"/>
      </rPr>
      <t>Absent</t>
    </r>
    <r>
      <rPr>
        <sz val="10"/>
        <color theme="1"/>
        <rFont val="Calibri"/>
        <family val="2"/>
        <scheme val="minor"/>
      </rPr>
      <t xml:space="preserve"> - Absent during
</t>
    </r>
    <r>
      <rPr>
        <b/>
        <sz val="10"/>
        <color theme="1"/>
        <rFont val="Calibri"/>
        <family val="2"/>
        <scheme val="minor"/>
      </rPr>
      <t>Other</t>
    </r>
    <r>
      <rPr>
        <sz val="10"/>
        <color theme="1"/>
        <rFont val="Calibri"/>
        <family val="2"/>
        <scheme val="minor"/>
      </rPr>
      <t xml:space="preserve"> - Did not participate for other reason
</t>
    </r>
    <r>
      <rPr>
        <b/>
        <sz val="10"/>
        <color theme="1"/>
        <rFont val="Calibri"/>
        <family val="2"/>
        <scheme val="minor"/>
      </rPr>
      <t>OutOfLevelTest</t>
    </r>
    <r>
      <rPr>
        <sz val="10"/>
        <color theme="1"/>
        <rFont val="Calibri"/>
        <family val="2"/>
        <scheme val="minor"/>
      </rPr>
      <t xml:space="preserve"> - Participated in an out of level test
</t>
    </r>
    <r>
      <rPr>
        <b/>
        <sz val="10"/>
        <color theme="1"/>
        <rFont val="Calibri"/>
        <family val="2"/>
        <scheme val="minor"/>
      </rPr>
      <t>NoValidScore</t>
    </r>
    <r>
      <rPr>
        <sz val="10"/>
        <color theme="1"/>
        <rFont val="Calibri"/>
        <family val="2"/>
        <scheme val="minor"/>
      </rPr>
      <t xml:space="preserve"> - No valid score
</t>
    </r>
    <r>
      <rPr>
        <b/>
        <sz val="10"/>
        <color theme="1"/>
        <rFont val="Calibri"/>
        <family val="2"/>
        <scheme val="minor"/>
      </rPr>
      <t>Medical</t>
    </r>
    <r>
      <rPr>
        <sz val="10"/>
        <color theme="1"/>
        <rFont val="Calibri"/>
        <family val="2"/>
        <scheme val="minor"/>
      </rPr>
      <t xml:space="preserve"> - Medical emergency
</t>
    </r>
    <r>
      <rPr>
        <b/>
        <sz val="10"/>
        <color theme="1"/>
        <rFont val="Calibri"/>
        <family val="2"/>
        <scheme val="minor"/>
      </rPr>
      <t>Moved</t>
    </r>
    <r>
      <rPr>
        <sz val="10"/>
        <color theme="1"/>
        <rFont val="Calibri"/>
        <family val="2"/>
        <scheme val="minor"/>
      </rPr>
      <t xml:space="preserve"> - Moved
</t>
    </r>
    <r>
      <rPr>
        <b/>
        <sz val="10"/>
        <color theme="1"/>
        <rFont val="Calibri"/>
        <family val="2"/>
        <scheme val="minor"/>
      </rPr>
      <t>LeftProgram</t>
    </r>
    <r>
      <rPr>
        <sz val="10"/>
        <color theme="1"/>
        <rFont val="Calibri"/>
        <family val="2"/>
        <scheme val="minor"/>
      </rPr>
      <t xml:space="preserve"> - Person left program - unable to locate
</t>
    </r>
  </si>
  <si>
    <t>This may apply to any learner, but is used particularly for reporting based on children with disabilities (IDEA).</t>
  </si>
  <si>
    <t>000540</t>
  </si>
  <si>
    <t>AssessmentRegistrationReasonNotCompleting</t>
  </si>
  <si>
    <t>K-12 -&gt; EDFacts
K-12 -&gt; LEA Assessments
K-12 -&gt; SEA Assessments
School Readiness</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</si>
  <si>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</si>
  <si>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</si>
  <si>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</si>
  <si>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</si>
  <si>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</si>
  <si>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</si>
  <si>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001056</t>
  </si>
  <si>
    <t>AssessmentRegistrationScorePublishDate</t>
  </si>
  <si>
    <t>Assessment Registration Test Attempt Identifier</t>
  </si>
  <si>
    <t>A unique identifier for the test attempt assigned by the delivery system.</t>
  </si>
  <si>
    <t>For paper-based tests this is typically a batch/stack/serial number and for online tests it is likely a unique internal identifier. Used to locate the original attempt.</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</si>
  <si>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</si>
  <si>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</si>
  <si>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</si>
  <si>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</si>
  <si>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For example, "do not score", "do not report".</t>
  </si>
  <si>
    <t>001055</t>
  </si>
  <si>
    <t>AssessmentRegistrationTestingIndicator</t>
  </si>
  <si>
    <t>Assessment Result Data Type</t>
  </si>
  <si>
    <t>The data type of the assessment result score value.</t>
  </si>
  <si>
    <r>
      <t>Integer</t>
    </r>
    <r>
      <rPr>
        <sz val="10"/>
        <color theme="1"/>
        <rFont val="Calibri"/>
        <family val="2"/>
        <scheme val="minor"/>
      </rPr>
      <t xml:space="preserve"> - Integer
</t>
    </r>
    <r>
      <rPr>
        <b/>
        <sz val="10"/>
        <color theme="1"/>
        <rFont val="Calibri"/>
        <family val="2"/>
        <scheme val="minor"/>
      </rPr>
      <t>Decimal</t>
    </r>
    <r>
      <rPr>
        <sz val="10"/>
        <color theme="1"/>
        <rFont val="Calibri"/>
        <family val="2"/>
        <scheme val="minor"/>
      </rPr>
      <t xml:space="preserve"> - Decimal
</t>
    </r>
    <r>
      <rPr>
        <b/>
        <sz val="10"/>
        <color theme="1"/>
        <rFont val="Calibri"/>
        <family val="2"/>
        <scheme val="minor"/>
      </rPr>
      <t>Percentile</t>
    </r>
    <r>
      <rPr>
        <sz val="10"/>
        <color theme="1"/>
        <rFont val="Calibri"/>
        <family val="2"/>
        <scheme val="minor"/>
      </rPr>
      <t xml:space="preserve"> - Percentile
</t>
    </r>
    <r>
      <rPr>
        <b/>
        <sz val="10"/>
        <color theme="1"/>
        <rFont val="Calibri"/>
        <family val="2"/>
        <scheme val="minor"/>
      </rPr>
      <t>String</t>
    </r>
    <r>
      <rPr>
        <sz val="10"/>
        <color theme="1"/>
        <rFont val="Calibri"/>
        <family val="2"/>
        <scheme val="minor"/>
      </rPr>
      <t xml:space="preserve"> - String
</t>
    </r>
  </si>
  <si>
    <t>Assessments -&gt; Assessment Result</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</si>
  <si>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</si>
  <si>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001543</t>
  </si>
  <si>
    <t>AssessmentResultDataType</t>
  </si>
  <si>
    <t>Assessment Result Date Created</t>
  </si>
  <si>
    <t>The date on which the assessment result was generated.</t>
  </si>
  <si>
    <t>000971</t>
  </si>
  <si>
    <t>AssessmentResultDateCreated</t>
  </si>
  <si>
    <t>Assessment Result Date Updated</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</si>
  <si>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</si>
  <si>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</si>
  <si>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</si>
  <si>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</si>
  <si>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</si>
  <si>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</si>
  <si>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</si>
  <si>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</si>
  <si>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</si>
  <si>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</si>
  <si>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Assessments -&gt; Assessment Item -&gt; Assessment Item Response
Assessments -&gt; Assessment Result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</si>
  <si>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</si>
  <si>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</si>
  <si>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</si>
  <si>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</si>
  <si>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</si>
  <si>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</si>
  <si>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</si>
  <si>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A statement intended for use by education professionals, using professional terminology, to interpret learner needs based on the scored/evaluated portion of an assessment. This statement may inform Descriptive Feedback given to the learner.</t>
  </si>
  <si>
    <t>001219</t>
  </si>
  <si>
    <t>AssessmentResultDiagnosticStatement</t>
  </si>
  <si>
    <t>Assessment Result Included in Adequate Yearly Progress Calculation</t>
  </si>
  <si>
    <t>An indication of whether a proficiency score on the state assessment was included in the state’s calculation of adequate yearly progress (AYP).</t>
  </si>
  <si>
    <t>000576</t>
  </si>
  <si>
    <t>Assessment Result Included in AYP Calculation</t>
  </si>
  <si>
    <t>AssessmentResultIncludeIinAYPCalculation</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</si>
  <si>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</si>
  <si>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</si>
  <si>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</si>
  <si>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</si>
  <si>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</si>
  <si>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If this score is preliminary, then this attribute value should be set. Preliminary scores may be provided for early use by the assessment program or user while final scoring is occurring.</t>
  </si>
  <si>
    <t>001007</t>
  </si>
  <si>
    <t>AssessmentResultPreliminaryIndicator</t>
  </si>
  <si>
    <t>Assessment Result Pretest Outcome</t>
  </si>
  <si>
    <t>The results of a pre-test in academic subjects.</t>
  </si>
  <si>
    <r>
      <t>GradeLevel</t>
    </r>
    <r>
      <rPr>
        <sz val="10"/>
        <color theme="1"/>
        <rFont val="Calibri"/>
        <family val="2"/>
        <scheme val="minor"/>
      </rPr>
      <t xml:space="preserve"> - At or above Grade Level
</t>
    </r>
    <r>
      <rPr>
        <b/>
        <sz val="10"/>
        <color theme="1"/>
        <rFont val="Calibri"/>
        <family val="2"/>
        <scheme val="minor"/>
      </rPr>
      <t>BelowGradeLevel</t>
    </r>
    <r>
      <rPr>
        <sz val="10"/>
        <color theme="1"/>
        <rFont val="Calibri"/>
        <family val="2"/>
        <scheme val="minor"/>
      </rPr>
      <t xml:space="preserve"> - Below Grade Level
</t>
    </r>
    <r>
      <rPr>
        <b/>
        <sz val="10"/>
        <color theme="1"/>
        <rFont val="Calibri"/>
        <family val="2"/>
        <scheme val="minor"/>
      </rPr>
      <t>NA</t>
    </r>
    <r>
      <rPr>
        <sz val="10"/>
        <color theme="1"/>
        <rFont val="Calibri"/>
        <family val="2"/>
        <scheme val="minor"/>
      </rPr>
      <t xml:space="preserve"> - Not applicable
</t>
    </r>
  </si>
  <si>
    <t>000572</t>
  </si>
  <si>
    <t>AssessmentResultPretestOutcome</t>
  </si>
  <si>
    <t>K-12 -&gt; EDFacts
K-12 -&gt; LEA Assessments
K-12 -&gt; SEA Assessments</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</si>
  <si>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</si>
  <si>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</si>
  <si>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</si>
  <si>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</si>
  <si>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</si>
  <si>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</si>
  <si>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</si>
  <si>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r>
      <t>Initial</t>
    </r>
    <r>
      <rPr>
        <sz val="10"/>
        <color theme="1"/>
        <rFont val="Calibri"/>
        <family val="2"/>
        <scheme val="minor"/>
      </rPr>
      <t xml:space="preserve"> - An initial assessment score instance.
</t>
    </r>
    <r>
      <rPr>
        <b/>
        <sz val="10"/>
        <color theme="1"/>
        <rFont val="Calibri"/>
        <family val="2"/>
        <scheme val="minor"/>
      </rPr>
      <t>Reliability</t>
    </r>
    <r>
      <rPr>
        <sz val="10"/>
        <color theme="1"/>
        <rFont val="Calibri"/>
        <family val="2"/>
        <scheme val="minor"/>
      </rPr>
      <t xml:space="preserve"> - An assessment score instance recorded as a measure of reliability
</t>
    </r>
    <r>
      <rPr>
        <b/>
        <sz val="10"/>
        <color theme="1"/>
        <rFont val="Calibri"/>
        <family val="2"/>
        <scheme val="minor"/>
      </rPr>
      <t>Resolution</t>
    </r>
    <r>
      <rPr>
        <sz val="10"/>
        <color theme="1"/>
        <rFont val="Calibri"/>
        <family val="2"/>
        <scheme val="minor"/>
      </rPr>
      <t xml:space="preserve"> - An assessment score instance recorded after resolution of scoring or data issues.
</t>
    </r>
    <r>
      <rPr>
        <b/>
        <sz val="10"/>
        <color theme="1"/>
        <rFont val="Calibri"/>
        <family val="2"/>
        <scheme val="minor"/>
      </rPr>
      <t>Backread</t>
    </r>
    <r>
      <rPr>
        <sz val="10"/>
        <color theme="1"/>
        <rFont val="Calibri"/>
        <family val="2"/>
        <scheme val="minor"/>
      </rPr>
      <t xml:space="preserve"> - An assessment score recorded to determine whether or not each individual scorer is correctly applying the scoring guide to student responses.
</t>
    </r>
    <r>
      <rPr>
        <b/>
        <sz val="10"/>
        <color theme="1"/>
        <rFont val="Calibri"/>
        <family val="2"/>
        <scheme val="minor"/>
      </rPr>
      <t>Final</t>
    </r>
    <r>
      <rPr>
        <sz val="10"/>
        <color theme="1"/>
        <rFont val="Calibri"/>
        <family val="2"/>
        <scheme val="minor"/>
      </rPr>
      <t xml:space="preserve"> - The final assessment score instance.
</t>
    </r>
  </si>
  <si>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</si>
  <si>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</si>
  <si>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</si>
  <si>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</si>
  <si>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</si>
  <si>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</si>
  <si>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000245</t>
  </si>
  <si>
    <t>AssessmentResultScoreValue</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</si>
  <si>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</si>
  <si>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</si>
  <si>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</si>
  <si>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</si>
  <si>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</si>
  <si>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</si>
  <si>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</si>
  <si>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Assessments -&gt; Assessment
Assessments -&gt; Assessment Result
Assessments -&gt; Assessment Subtest</t>
  </si>
  <si>
    <t>000369</t>
  </si>
  <si>
    <t>AssessmentScoreMetricType</t>
  </si>
  <si>
    <t>College Readiness
K-12 -&gt; SEA Assessments
School Readiness</t>
  </si>
  <si>
    <t>Assessment Secure Indicator</t>
  </si>
  <si>
    <t>Indicates whether or not the assessment is a secure assessment.</t>
  </si>
  <si>
    <t>Assessments -&gt; Assessment Administration
Assessments -&gt; Assessment Form</t>
  </si>
  <si>
    <t>000384</t>
  </si>
  <si>
    <t>AssessmentSecureIndicator</t>
  </si>
  <si>
    <t>Assessment Session Actual End Date Time</t>
  </si>
  <si>
    <t>Date and time the assessment actually ended.</t>
  </si>
  <si>
    <t>Assessments -&gt; Assessment Participant Session
Assessments -&gt; Assessment Session</t>
  </si>
  <si>
    <t>When associated to an assessment session this is the actual end date and time. When associated to an individual taking an assessment, this is the actual date and time when the individual finished.</t>
  </si>
  <si>
    <t>001022</t>
  </si>
  <si>
    <t>AssessmentSessionActualEndDateTime</t>
  </si>
  <si>
    <t>Assessment Session Actual Start Date Time</t>
  </si>
  <si>
    <t>Date and time the assessment actually began.</t>
  </si>
  <si>
    <t>When associated to an assessment session this is the actual start date and time. When associated to an individual taking an assessment, this is the actual date and time when the individual started.</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</si>
  <si>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</si>
  <si>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</si>
  <si>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</si>
  <si>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</si>
  <si>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</si>
  <si>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</si>
  <si>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</si>
  <si>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</si>
  <si>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</si>
  <si>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</si>
  <si>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</si>
  <si>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</si>
  <si>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The description of the place where an assessment is administered.</t>
  </si>
  <si>
    <t>Alphanumeric - 45 characters maximum</t>
  </si>
  <si>
    <t>000597</t>
  </si>
  <si>
    <t>AssessmentSessionLocation</t>
  </si>
  <si>
    <t>Assessment Session Proctor Identifier</t>
  </si>
  <si>
    <t>The unique identifier of the person overseeing the assessment session in the setting.</t>
  </si>
  <si>
    <t>This could be the identifier for a teacher, a paraprofessional or individual at a testing site.</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</si>
  <si>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</si>
  <si>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</si>
  <si>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</si>
  <si>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</si>
  <si>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</si>
  <si>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</si>
  <si>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</si>
  <si>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</si>
  <si>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</si>
  <si>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</si>
  <si>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</si>
  <si>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</si>
  <si>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</si>
  <si>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</si>
  <si>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</si>
  <si>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</si>
  <si>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r>
      <t>13807</t>
    </r>
    <r>
      <rPr>
        <sz val="10"/>
        <color theme="1"/>
        <rFont val="Calibri"/>
        <family val="2"/>
        <scheme val="minor"/>
      </rPr>
      <t xml:space="preserve"> - Long-term suspension - non-special education
</t>
    </r>
    <r>
      <rPr>
        <b/>
        <sz val="10"/>
        <color theme="1"/>
        <rFont val="Calibri"/>
        <family val="2"/>
        <scheme val="minor"/>
      </rPr>
      <t>13808</t>
    </r>
    <r>
      <rPr>
        <sz val="10"/>
        <color theme="1"/>
        <rFont val="Calibri"/>
        <family val="2"/>
        <scheme val="minor"/>
      </rPr>
      <t xml:space="preserve"> - Short-term suspension - non-special education
</t>
    </r>
    <r>
      <rPr>
        <b/>
        <sz val="10"/>
        <color theme="1"/>
        <rFont val="Calibri"/>
        <family val="2"/>
        <scheme val="minor"/>
      </rPr>
      <t>13809</t>
    </r>
    <r>
      <rPr>
        <sz val="10"/>
        <color theme="1"/>
        <rFont val="Calibri"/>
        <family val="2"/>
        <scheme val="minor"/>
      </rPr>
      <t xml:space="preserve"> - Suspension - special education
</t>
    </r>
    <r>
      <rPr>
        <b/>
        <sz val="10"/>
        <color theme="1"/>
        <rFont val="Calibri"/>
        <family val="2"/>
        <scheme val="minor"/>
      </rPr>
      <t>13810</t>
    </r>
    <r>
      <rPr>
        <sz val="10"/>
        <color theme="1"/>
        <rFont val="Calibri"/>
        <family val="2"/>
        <scheme val="minor"/>
      </rPr>
      <t xml:space="preserve"> - Truancy - paperwork filed
</t>
    </r>
    <r>
      <rPr>
        <b/>
        <sz val="10"/>
        <color theme="1"/>
        <rFont val="Calibri"/>
        <family val="2"/>
        <scheme val="minor"/>
      </rPr>
      <t>13811</t>
    </r>
    <r>
      <rPr>
        <sz val="10"/>
        <color theme="1"/>
        <rFont val="Calibri"/>
        <family val="2"/>
        <scheme val="minor"/>
      </rPr>
      <t xml:space="preserve"> - Truancy - no paperwork filed
</t>
    </r>
    <r>
      <rPr>
        <b/>
        <sz val="10"/>
        <color theme="1"/>
        <rFont val="Calibri"/>
        <family val="2"/>
        <scheme val="minor"/>
      </rPr>
      <t>13812</t>
    </r>
    <r>
      <rPr>
        <sz val="10"/>
        <color theme="1"/>
        <rFont val="Calibri"/>
        <family val="2"/>
        <scheme val="minor"/>
      </rPr>
      <t xml:space="preserve"> - Earlier truancy
</t>
    </r>
    <r>
      <rPr>
        <b/>
        <sz val="10"/>
        <color theme="1"/>
        <rFont val="Calibri"/>
        <family val="2"/>
        <scheme val="minor"/>
      </rPr>
      <t>13813</t>
    </r>
    <r>
      <rPr>
        <sz val="10"/>
        <color theme="1"/>
        <rFont val="Calibri"/>
        <family val="2"/>
        <scheme val="minor"/>
      </rPr>
      <t xml:space="preserve"> - Chronic absences
</t>
    </r>
    <r>
      <rPr>
        <b/>
        <sz val="10"/>
        <color theme="1"/>
        <rFont val="Calibri"/>
        <family val="2"/>
        <scheme val="minor"/>
      </rPr>
      <t>13814</t>
    </r>
    <r>
      <rPr>
        <sz val="10"/>
        <color theme="1"/>
        <rFont val="Calibri"/>
        <family val="2"/>
        <scheme val="minor"/>
      </rPr>
      <t xml:space="preserve"> - Catastrophic illness or accident
</t>
    </r>
    <r>
      <rPr>
        <b/>
        <sz val="10"/>
        <color theme="1"/>
        <rFont val="Calibri"/>
        <family val="2"/>
        <scheme val="minor"/>
      </rPr>
      <t>13815</t>
    </r>
    <r>
      <rPr>
        <sz val="10"/>
        <color theme="1"/>
        <rFont val="Calibri"/>
        <family val="2"/>
        <scheme val="minor"/>
      </rPr>
      <t xml:space="preserve"> - Home schooled for assessed subjects
</t>
    </r>
    <r>
      <rPr>
        <b/>
        <sz val="10"/>
        <color theme="1"/>
        <rFont val="Calibri"/>
        <family val="2"/>
        <scheme val="minor"/>
      </rPr>
      <t>13816</t>
    </r>
    <r>
      <rPr>
        <sz val="10"/>
        <color theme="1"/>
        <rFont val="Calibri"/>
        <family val="2"/>
        <scheme val="minor"/>
      </rPr>
      <t xml:space="preserve"> - Student took this grade level assessment last year
</t>
    </r>
    <r>
      <rPr>
        <b/>
        <sz val="10"/>
        <color theme="1"/>
        <rFont val="Calibri"/>
        <family val="2"/>
        <scheme val="minor"/>
      </rPr>
      <t>13817</t>
    </r>
    <r>
      <rPr>
        <sz val="10"/>
        <color theme="1"/>
        <rFont val="Calibri"/>
        <family val="2"/>
        <scheme val="minor"/>
      </rPr>
      <t xml:space="preserve"> - Incarcerated at adult facility
</t>
    </r>
    <r>
      <rPr>
        <b/>
        <sz val="10"/>
        <color theme="1"/>
        <rFont val="Calibri"/>
        <family val="2"/>
        <scheme val="minor"/>
      </rPr>
      <t>13818</t>
    </r>
    <r>
      <rPr>
        <sz val="10"/>
        <color theme="1"/>
        <rFont val="Calibri"/>
        <family val="2"/>
        <scheme val="minor"/>
      </rPr>
      <t xml:space="preserve"> - Special treatment center
</t>
    </r>
    <r>
      <rPr>
        <b/>
        <sz val="10"/>
        <color theme="1"/>
        <rFont val="Calibri"/>
        <family val="2"/>
        <scheme val="minor"/>
      </rPr>
      <t>13819</t>
    </r>
    <r>
      <rPr>
        <sz val="10"/>
        <color theme="1"/>
        <rFont val="Calibri"/>
        <family val="2"/>
        <scheme val="minor"/>
      </rPr>
      <t xml:space="preserve"> - Special detention center
</t>
    </r>
    <r>
      <rPr>
        <b/>
        <sz val="10"/>
        <color theme="1"/>
        <rFont val="Calibri"/>
        <family val="2"/>
        <scheme val="minor"/>
      </rPr>
      <t>13820</t>
    </r>
    <r>
      <rPr>
        <sz val="10"/>
        <color theme="1"/>
        <rFont val="Calibri"/>
        <family val="2"/>
        <scheme val="minor"/>
      </rPr>
      <t xml:space="preserve"> - Parent refusal
</t>
    </r>
    <r>
      <rPr>
        <b/>
        <sz val="10"/>
        <color theme="1"/>
        <rFont val="Calibri"/>
        <family val="2"/>
        <scheme val="minor"/>
      </rPr>
      <t>13821</t>
    </r>
    <r>
      <rPr>
        <sz val="10"/>
        <color theme="1"/>
        <rFont val="Calibri"/>
        <family val="2"/>
        <scheme val="minor"/>
      </rPr>
      <t xml:space="preserve"> - Cheating
</t>
    </r>
    <r>
      <rPr>
        <b/>
        <sz val="10"/>
        <color theme="1"/>
        <rFont val="Calibri"/>
        <family val="2"/>
        <scheme val="minor"/>
      </rPr>
      <t>13822</t>
    </r>
    <r>
      <rPr>
        <sz val="10"/>
        <color theme="1"/>
        <rFont val="Calibri"/>
        <family val="2"/>
        <scheme val="minor"/>
      </rPr>
      <t xml:space="preserve"> - Psychological factors of emotional trauma
</t>
    </r>
    <r>
      <rPr>
        <b/>
        <sz val="10"/>
        <color theme="1"/>
        <rFont val="Calibri"/>
        <family val="2"/>
        <scheme val="minor"/>
      </rPr>
      <t>13823</t>
    </r>
    <r>
      <rPr>
        <sz val="10"/>
        <color theme="1"/>
        <rFont val="Calibri"/>
        <family val="2"/>
        <scheme val="minor"/>
      </rPr>
      <t xml:space="preserve"> - Student not showing adequate effort
</t>
    </r>
    <r>
      <rPr>
        <b/>
        <sz val="10"/>
        <color theme="1"/>
        <rFont val="Calibri"/>
        <family val="2"/>
        <scheme val="minor"/>
      </rPr>
      <t>13824</t>
    </r>
    <r>
      <rPr>
        <sz val="10"/>
        <color theme="1"/>
        <rFont val="Calibri"/>
        <family val="2"/>
        <scheme val="minor"/>
      </rPr>
      <t xml:space="preserve"> - Homebound
</t>
    </r>
    <r>
      <rPr>
        <b/>
        <sz val="10"/>
        <color theme="1"/>
        <rFont val="Calibri"/>
        <family val="2"/>
        <scheme val="minor"/>
      </rPr>
      <t>13825</t>
    </r>
    <r>
      <rPr>
        <sz val="10"/>
        <color theme="1"/>
        <rFont val="Calibri"/>
        <family val="2"/>
        <scheme val="minor"/>
      </rPr>
      <t xml:space="preserve"> - Foreign exchange student
</t>
    </r>
    <r>
      <rPr>
        <b/>
        <sz val="10"/>
        <color theme="1"/>
        <rFont val="Calibri"/>
        <family val="2"/>
        <scheme val="minor"/>
      </rPr>
      <t>13826</t>
    </r>
    <r>
      <rPr>
        <sz val="10"/>
        <color theme="1"/>
        <rFont val="Calibri"/>
        <family val="2"/>
        <scheme val="minor"/>
      </rPr>
      <t xml:space="preserve"> - Student refusal
</t>
    </r>
    <r>
      <rPr>
        <b/>
        <sz val="10"/>
        <color theme="1"/>
        <rFont val="Calibri"/>
        <family val="2"/>
        <scheme val="minor"/>
      </rPr>
      <t>13827</t>
    </r>
    <r>
      <rPr>
        <sz val="10"/>
        <color theme="1"/>
        <rFont val="Calibri"/>
        <family val="2"/>
        <scheme val="minor"/>
      </rPr>
      <t xml:space="preserve"> - Reading passage read to student (IEP)
</t>
    </r>
    <r>
      <rPr>
        <b/>
        <sz val="10"/>
        <color theme="1"/>
        <rFont val="Calibri"/>
        <family val="2"/>
        <scheme val="minor"/>
      </rPr>
      <t>13828</t>
    </r>
    <r>
      <rPr>
        <sz val="10"/>
        <color theme="1"/>
        <rFont val="Calibri"/>
        <family val="2"/>
        <scheme val="minor"/>
      </rPr>
      <t xml:space="preserve"> - Non-special education student used calculator on non-calculator items
</t>
    </r>
    <r>
      <rPr>
        <b/>
        <sz val="10"/>
        <color theme="1"/>
        <rFont val="Calibri"/>
        <family val="2"/>
        <scheme val="minor"/>
      </rPr>
      <t>13829</t>
    </r>
    <r>
      <rPr>
        <sz val="10"/>
        <color theme="1"/>
        <rFont val="Calibri"/>
        <family val="2"/>
        <scheme val="minor"/>
      </rPr>
      <t xml:space="preserve"> - Student used math journal (non-IEP)
</t>
    </r>
    <r>
      <rPr>
        <b/>
        <sz val="10"/>
        <color theme="1"/>
        <rFont val="Calibri"/>
        <family val="2"/>
        <scheme val="minor"/>
      </rPr>
      <t>13830</t>
    </r>
    <r>
      <rPr>
        <sz val="10"/>
        <color theme="1"/>
        <rFont val="Calibri"/>
        <family val="2"/>
        <scheme val="minor"/>
      </rPr>
      <t xml:space="preserve"> - Other reason for ineligibility
</t>
    </r>
    <r>
      <rPr>
        <b/>
        <sz val="10"/>
        <color theme="1"/>
        <rFont val="Calibri"/>
        <family val="2"/>
        <scheme val="minor"/>
      </rPr>
      <t>13831</t>
    </r>
    <r>
      <rPr>
        <sz val="10"/>
        <color theme="1"/>
        <rFont val="Calibri"/>
        <family val="2"/>
        <scheme val="minor"/>
      </rPr>
      <t xml:space="preserve"> - Other reason for nonparticipation
</t>
    </r>
    <r>
      <rPr>
        <b/>
        <sz val="10"/>
        <color theme="1"/>
        <rFont val="Calibri"/>
        <family val="2"/>
        <scheme val="minor"/>
      </rPr>
      <t>13832</t>
    </r>
    <r>
      <rPr>
        <sz val="10"/>
        <color theme="1"/>
        <rFont val="Calibri"/>
        <family val="2"/>
        <scheme val="minor"/>
      </rPr>
      <t xml:space="preserve"> - Left testing
</t>
    </r>
    <r>
      <rPr>
        <b/>
        <sz val="10"/>
        <color theme="1"/>
        <rFont val="Calibri"/>
        <family val="2"/>
        <scheme val="minor"/>
      </rPr>
      <t>13833</t>
    </r>
    <r>
      <rPr>
        <sz val="10"/>
        <color theme="1"/>
        <rFont val="Calibri"/>
        <family val="2"/>
        <scheme val="minor"/>
      </rPr>
      <t xml:space="preserve"> - Cross-enrolled
</t>
    </r>
    <r>
      <rPr>
        <b/>
        <sz val="10"/>
        <color theme="1"/>
        <rFont val="Calibri"/>
        <family val="2"/>
        <scheme val="minor"/>
      </rPr>
      <t>13834</t>
    </r>
    <r>
      <rPr>
        <sz val="10"/>
        <color theme="1"/>
        <rFont val="Calibri"/>
        <family val="2"/>
        <scheme val="minor"/>
      </rPr>
      <t xml:space="preserve"> - Only for writing
</t>
    </r>
    <r>
      <rPr>
        <b/>
        <sz val="10"/>
        <color theme="1"/>
        <rFont val="Calibri"/>
        <family val="2"/>
        <scheme val="minor"/>
      </rPr>
      <t>13835</t>
    </r>
    <r>
      <rPr>
        <sz val="10"/>
        <color theme="1"/>
        <rFont val="Calibri"/>
        <family val="2"/>
        <scheme val="minor"/>
      </rPr>
      <t xml:space="preserve"> - Administration or system failure
</t>
    </r>
    <r>
      <rPr>
        <b/>
        <sz val="10"/>
        <color theme="1"/>
        <rFont val="Calibri"/>
        <family val="2"/>
        <scheme val="minor"/>
      </rPr>
      <t>13836</t>
    </r>
    <r>
      <rPr>
        <sz val="10"/>
        <color theme="1"/>
        <rFont val="Calibri"/>
        <family val="2"/>
        <scheme val="minor"/>
      </rPr>
      <t xml:space="preserve"> - Teacher cheating or mis-admin
</t>
    </r>
    <r>
      <rPr>
        <b/>
        <sz val="10"/>
        <color theme="1"/>
        <rFont val="Calibri"/>
        <family val="2"/>
        <scheme val="minor"/>
      </rPr>
      <t>13837</t>
    </r>
    <r>
      <rPr>
        <sz val="10"/>
        <color theme="1"/>
        <rFont val="Calibri"/>
        <family val="2"/>
        <scheme val="minor"/>
      </rPr>
      <t xml:space="preserve"> - Fire alarm
</t>
    </r>
    <r>
      <rPr>
        <b/>
        <sz val="10"/>
        <color theme="1"/>
        <rFont val="Calibri"/>
        <family val="2"/>
        <scheme val="minor"/>
      </rPr>
      <t>09999</t>
    </r>
    <r>
      <rPr>
        <sz val="10"/>
        <color theme="1"/>
        <rFont val="Calibri"/>
        <family val="2"/>
        <scheme val="minor"/>
      </rPr>
      <t xml:space="preserve"> - Other
</t>
    </r>
  </si>
  <si>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</si>
  <si>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</si>
  <si>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</si>
  <si>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</si>
  <si>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</si>
  <si>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</si>
  <si>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</si>
  <si>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</si>
  <si>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r>
      <t>Teacher</t>
    </r>
    <r>
      <rPr>
        <sz val="10"/>
        <color theme="1"/>
        <rFont val="Calibri"/>
        <family val="2"/>
        <scheme val="minor"/>
      </rPr>
      <t xml:space="preserve"> - Teacher
</t>
    </r>
    <r>
      <rPr>
        <b/>
        <sz val="10"/>
        <color theme="1"/>
        <rFont val="Calibri"/>
        <family val="2"/>
        <scheme val="minor"/>
      </rPr>
      <t>Principal</t>
    </r>
    <r>
      <rPr>
        <sz val="10"/>
        <color theme="1"/>
        <rFont val="Calibri"/>
        <family val="2"/>
        <scheme val="minor"/>
      </rPr>
      <t xml:space="preserve"> - Principal
</t>
    </r>
    <r>
      <rPr>
        <b/>
        <sz val="10"/>
        <color theme="1"/>
        <rFont val="Calibri"/>
        <family val="2"/>
        <scheme val="minor"/>
      </rPr>
      <t>Administrator</t>
    </r>
    <r>
      <rPr>
        <sz val="10"/>
        <color theme="1"/>
        <rFont val="Calibri"/>
        <family val="2"/>
        <scheme val="minor"/>
      </rPr>
      <t xml:space="preserve"> - Administrator
</t>
    </r>
    <r>
      <rPr>
        <b/>
        <sz val="10"/>
        <color theme="1"/>
        <rFont val="Calibri"/>
        <family val="2"/>
        <scheme val="minor"/>
      </rPr>
      <t>Proctor</t>
    </r>
    <r>
      <rPr>
        <sz val="10"/>
        <color theme="1"/>
        <rFont val="Calibri"/>
        <family val="2"/>
        <scheme val="minor"/>
      </rPr>
      <t xml:space="preserve"> - Proctor
</t>
    </r>
    <r>
      <rPr>
        <b/>
        <sz val="10"/>
        <color theme="1"/>
        <rFont val="Calibri"/>
        <family val="2"/>
        <scheme val="minor"/>
      </rPr>
      <t>Observer</t>
    </r>
    <r>
      <rPr>
        <sz val="10"/>
        <color theme="1"/>
        <rFont val="Calibri"/>
        <family val="2"/>
        <scheme val="minor"/>
      </rPr>
      <t xml:space="preserve"> - Observer
</t>
    </r>
    <r>
      <rPr>
        <b/>
        <sz val="10"/>
        <color theme="1"/>
        <rFont val="Calibri"/>
        <family val="2"/>
        <scheme val="minor"/>
      </rPr>
      <t>Scorer</t>
    </r>
    <r>
      <rPr>
        <sz val="10"/>
        <color theme="1"/>
        <rFont val="Calibri"/>
        <family val="2"/>
        <scheme val="minor"/>
      </rPr>
      <t xml:space="preserve"> - Scorer
</t>
    </r>
    <r>
      <rPr>
        <b/>
        <sz val="10"/>
        <color theme="1"/>
        <rFont val="Calibri"/>
        <family val="2"/>
        <scheme val="minor"/>
      </rPr>
      <t>Registrar</t>
    </r>
    <r>
      <rPr>
        <sz val="10"/>
        <color theme="1"/>
        <rFont val="Calibri"/>
        <family val="2"/>
        <scheme val="minor"/>
      </rPr>
      <t xml:space="preserve"> - Registrar
</t>
    </r>
  </si>
  <si>
    <t>001212</t>
  </si>
  <si>
    <t>AssessmentSessionStaffRoleType</t>
  </si>
  <si>
    <t>Assessment Session Type</t>
  </si>
  <si>
    <t>The type of session that is scheduled.</t>
  </si>
  <si>
    <r>
      <t>Standard</t>
    </r>
    <r>
      <rPr>
        <sz val="10"/>
        <color theme="1"/>
        <rFont val="Calibri"/>
        <family val="2"/>
        <scheme val="minor"/>
      </rPr>
      <t xml:space="preserve"> - Standard
</t>
    </r>
    <r>
      <rPr>
        <b/>
        <sz val="10"/>
        <color theme="1"/>
        <rFont val="Calibri"/>
        <family val="2"/>
        <scheme val="minor"/>
      </rPr>
      <t>Accommodation</t>
    </r>
    <r>
      <rPr>
        <sz val="10"/>
        <color theme="1"/>
        <rFont val="Calibri"/>
        <family val="2"/>
        <scheme val="minor"/>
      </rPr>
      <t xml:space="preserve"> - Accommodation
</t>
    </r>
  </si>
  <si>
    <t>001018</t>
  </si>
  <si>
    <t>AssessmentSessionType</t>
  </si>
  <si>
    <t>Assessment Shared with Parents</t>
  </si>
  <si>
    <t>An indication of whether assessment results are shared with parents.</t>
  </si>
  <si>
    <t>Early Learning -&gt; EL Organization -&gt; Parental/Family Involvement</t>
  </si>
  <si>
    <t>000858</t>
  </si>
  <si>
    <t>AssessmentSharedWithParents</t>
  </si>
  <si>
    <t>Assessment Short Name</t>
  </si>
  <si>
    <t>An abbreviated title for an assessment.</t>
  </si>
  <si>
    <t>000931</t>
  </si>
  <si>
    <t>AssessmentShortName</t>
  </si>
  <si>
    <t>Assessment Subtest Abbreviation</t>
  </si>
  <si>
    <t>The shortened name identifying the assessment for use in reference and/or reports.</t>
  </si>
  <si>
    <t>000368</t>
  </si>
  <si>
    <t>AssessmentSubtestAbbreviation</t>
  </si>
  <si>
    <t>College Readiness
K-12 -&gt; SEA Assessments</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</si>
  <si>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</si>
  <si>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</si>
  <si>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</si>
  <si>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</si>
  <si>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</si>
  <si>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</si>
  <si>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</si>
  <si>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</si>
  <si>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</si>
  <si>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</si>
  <si>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r>
      <t>Client</t>
    </r>
    <r>
      <rPr>
        <sz val="10"/>
        <color theme="1"/>
        <rFont val="Calibri"/>
        <family val="2"/>
        <scheme val="minor"/>
      </rPr>
      <t xml:space="preserve"> - Client
</t>
    </r>
    <r>
      <rPr>
        <b/>
        <sz val="10"/>
        <color theme="1"/>
        <rFont val="Calibri"/>
        <family val="2"/>
        <scheme val="minor"/>
      </rPr>
      <t>Publisher</t>
    </r>
    <r>
      <rPr>
        <sz val="10"/>
        <color theme="1"/>
        <rFont val="Calibri"/>
        <family val="2"/>
        <scheme val="minor"/>
      </rPr>
      <t xml:space="preserve"> - Publisher
</t>
    </r>
    <r>
      <rPr>
        <b/>
        <sz val="10"/>
        <color theme="1"/>
        <rFont val="Calibri"/>
        <family val="2"/>
        <scheme val="minor"/>
      </rPr>
      <t>Internal</t>
    </r>
    <r>
      <rPr>
        <sz val="10"/>
        <color theme="1"/>
        <rFont val="Calibri"/>
        <family val="2"/>
        <scheme val="minor"/>
      </rPr>
      <t xml:space="preserve"> - Internal
</t>
    </r>
    <r>
      <rPr>
        <b/>
        <sz val="10"/>
        <color theme="1"/>
        <rFont val="Calibri"/>
        <family val="2"/>
        <scheme val="minor"/>
      </rPr>
      <t>Other</t>
    </r>
    <r>
      <rPr>
        <sz val="10"/>
        <color theme="1"/>
        <rFont val="Calibri"/>
        <family val="2"/>
        <scheme val="minor"/>
      </rPr>
      <t xml:space="preserve"> - Other
</t>
    </r>
  </si>
  <si>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</si>
  <si>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</si>
  <si>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</si>
  <si>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</si>
  <si>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</si>
  <si>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</si>
  <si>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</si>
  <si>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</si>
  <si>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</si>
  <si>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</si>
  <si>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</si>
  <si>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</si>
  <si>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</si>
  <si>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</si>
  <si>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</si>
  <si>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</si>
  <si>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</si>
  <si>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</si>
  <si>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</si>
  <si>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</si>
  <si>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</si>
  <si>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</si>
  <si>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</si>
  <si>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</si>
  <si>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</si>
  <si>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</si>
  <si>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</si>
  <si>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College Readiness
K-12 -&gt; High School Generated Transcript
K-12 -&gt; LEA Assessments
K-12 -&gt; LEA-to-LEA Student Record Exchange
K-12 -&gt; LEA-to-SEA Student Record Exchange
K-12 -&gt; SEA Assessments
Postsecondary Education -&gt; Transition
School Readiness</t>
  </si>
  <si>
    <t>Assessment Subtest Version</t>
  </si>
  <si>
    <t>The version of the subtest that is included for the assessment.</t>
  </si>
  <si>
    <t>000388</t>
  </si>
  <si>
    <t>AssessmentSubtestVersion</t>
  </si>
  <si>
    <t>Assessment Title</t>
  </si>
  <si>
    <t>The title or name of the assessment.</t>
  </si>
  <si>
    <t>Assessments -&gt; Assessment
K12 -&gt; K12 Student -&gt; Individualized Program -&gt; Assessment</t>
  </si>
  <si>
    <t>000028</t>
  </si>
  <si>
    <t>AssessmentTitle</t>
  </si>
  <si>
    <t>Assessment Type</t>
  </si>
  <si>
    <t>The category of an assessment based on format and content.</t>
  </si>
  <si>
    <r>
      <t>AchievementTest</t>
    </r>
    <r>
      <rPr>
        <sz val="10"/>
        <color theme="1"/>
        <rFont val="Calibri"/>
        <family val="2"/>
        <scheme val="minor"/>
      </rPr>
      <t xml:space="preserve"> - Achievement test
</t>
    </r>
    <r>
      <rPr>
        <b/>
        <sz val="10"/>
        <color theme="1"/>
        <rFont val="Calibri"/>
        <family val="2"/>
        <scheme val="minor"/>
      </rPr>
      <t>AdvancedPlacementTest</t>
    </r>
    <r>
      <rPr>
        <sz val="10"/>
        <color theme="1"/>
        <rFont val="Calibri"/>
        <family val="2"/>
        <scheme val="minor"/>
      </rPr>
      <t xml:space="preserve"> - Advanced placement test
</t>
    </r>
    <r>
      <rPr>
        <b/>
        <sz val="10"/>
        <color theme="1"/>
        <rFont val="Calibri"/>
        <family val="2"/>
        <scheme val="minor"/>
      </rPr>
      <t>AlternateAssessmentELL</t>
    </r>
    <r>
      <rPr>
        <sz val="10"/>
        <color theme="1"/>
        <rFont val="Calibri"/>
        <family val="2"/>
        <scheme val="minor"/>
      </rPr>
      <t xml:space="preserve"> - Alternate assessment/ELL
</t>
    </r>
    <r>
      <rPr>
        <b/>
        <sz val="10"/>
        <color theme="1"/>
        <rFont val="Calibri"/>
        <family val="2"/>
        <scheme val="minor"/>
      </rPr>
      <t>AlternateAssessmentGradeLevelStandards</t>
    </r>
    <r>
      <rPr>
        <sz val="10"/>
        <color theme="1"/>
        <rFont val="Calibri"/>
        <family val="2"/>
        <scheme val="minor"/>
      </rPr>
      <t xml:space="preserve"> - Alternate assessment/grade-level standards
</t>
    </r>
    <r>
      <rPr>
        <b/>
        <sz val="10"/>
        <color theme="1"/>
        <rFont val="Calibri"/>
        <family val="2"/>
        <scheme val="minor"/>
      </rPr>
      <t>AlternativeAssessmentModifiedStandards</t>
    </r>
    <r>
      <rPr>
        <sz val="10"/>
        <color theme="1"/>
        <rFont val="Calibri"/>
        <family val="2"/>
        <scheme val="minor"/>
      </rPr>
      <t xml:space="preserve"> - Alternative assessment/modified standards
</t>
    </r>
    <r>
      <rPr>
        <b/>
        <sz val="10"/>
        <color theme="1"/>
        <rFont val="Calibri"/>
        <family val="2"/>
        <scheme val="minor"/>
      </rPr>
      <t>AptitudeTest</t>
    </r>
    <r>
      <rPr>
        <sz val="10"/>
        <color theme="1"/>
        <rFont val="Calibri"/>
        <family val="2"/>
        <scheme val="minor"/>
      </rPr>
      <t xml:space="preserve"> - Aptitude Test
</t>
    </r>
    <r>
      <rPr>
        <b/>
        <sz val="10"/>
        <color theme="1"/>
        <rFont val="Calibri"/>
        <family val="2"/>
        <scheme val="minor"/>
      </rPr>
      <t>Benchmark</t>
    </r>
    <r>
      <rPr>
        <sz val="10"/>
        <color theme="1"/>
        <rFont val="Calibri"/>
        <family val="2"/>
        <scheme val="minor"/>
      </rPr>
      <t xml:space="preserve"> - Benchmark
</t>
    </r>
    <r>
      <rPr>
        <b/>
        <sz val="10"/>
        <color theme="1"/>
        <rFont val="Calibri"/>
        <family val="2"/>
        <scheme val="minor"/>
      </rPr>
      <t>CognitiveAndPerceptualSkills</t>
    </r>
    <r>
      <rPr>
        <sz val="10"/>
        <color theme="1"/>
        <rFont val="Calibri"/>
        <family val="2"/>
        <scheme val="minor"/>
      </rPr>
      <t xml:space="preserve"> - Cognitive and perceptual skills test
</t>
    </r>
    <r>
      <rPr>
        <b/>
        <sz val="10"/>
        <color theme="1"/>
        <rFont val="Calibri"/>
        <family val="2"/>
        <scheme val="minor"/>
      </rPr>
      <t>ComputerAdaptiveTest</t>
    </r>
    <r>
      <rPr>
        <sz val="10"/>
        <color theme="1"/>
        <rFont val="Calibri"/>
        <family val="2"/>
        <scheme val="minor"/>
      </rPr>
      <t xml:space="preserve"> - Computer Adaptive Test
</t>
    </r>
    <r>
      <rPr>
        <b/>
        <sz val="10"/>
        <color theme="1"/>
        <rFont val="Calibri"/>
        <family val="2"/>
        <scheme val="minor"/>
      </rPr>
      <t>DevelopmentalObservation</t>
    </r>
    <r>
      <rPr>
        <sz val="10"/>
        <color theme="1"/>
        <rFont val="Calibri"/>
        <family val="2"/>
        <scheme val="minor"/>
      </rPr>
      <t xml:space="preserve"> - Developmental observation
</t>
    </r>
    <r>
      <rPr>
        <b/>
        <sz val="10"/>
        <color theme="1"/>
        <rFont val="Calibri"/>
        <family val="2"/>
        <scheme val="minor"/>
      </rPr>
      <t>Diagnostic</t>
    </r>
    <r>
      <rPr>
        <sz val="10"/>
        <color theme="1"/>
        <rFont val="Calibri"/>
        <family val="2"/>
        <scheme val="minor"/>
      </rPr>
      <t xml:space="preserve"> - Diagnostic
</t>
    </r>
    <r>
      <rPr>
        <b/>
        <sz val="10"/>
        <color theme="1"/>
        <rFont val="Calibri"/>
        <family val="2"/>
        <scheme val="minor"/>
      </rPr>
      <t>DirectAssessment</t>
    </r>
    <r>
      <rPr>
        <sz val="10"/>
        <color theme="1"/>
        <rFont val="Calibri"/>
        <family val="2"/>
        <scheme val="minor"/>
      </rPr>
      <t xml:space="preserve"> - Direct Assessment
</t>
    </r>
    <r>
      <rPr>
        <b/>
        <sz val="10"/>
        <color theme="1"/>
        <rFont val="Calibri"/>
        <family val="2"/>
        <scheme val="minor"/>
      </rPr>
      <t>Formative</t>
    </r>
    <r>
      <rPr>
        <sz val="10"/>
        <color theme="1"/>
        <rFont val="Calibri"/>
        <family val="2"/>
        <scheme val="minor"/>
      </rPr>
      <t xml:space="preserve"> - Formative
</t>
    </r>
    <r>
      <rPr>
        <b/>
        <sz val="10"/>
        <color theme="1"/>
        <rFont val="Calibri"/>
        <family val="2"/>
        <scheme val="minor"/>
      </rPr>
      <t>GrowthMeasure</t>
    </r>
    <r>
      <rPr>
        <sz val="10"/>
        <color theme="1"/>
        <rFont val="Calibri"/>
        <family val="2"/>
        <scheme val="minor"/>
      </rPr>
      <t xml:space="preserve"> - Growth Measure
</t>
    </r>
    <r>
      <rPr>
        <b/>
        <sz val="10"/>
        <color theme="1"/>
        <rFont val="Calibri"/>
        <family val="2"/>
        <scheme val="minor"/>
      </rPr>
      <t>Interim</t>
    </r>
    <r>
      <rPr>
        <sz val="10"/>
        <color theme="1"/>
        <rFont val="Calibri"/>
        <family val="2"/>
        <scheme val="minor"/>
      </rPr>
      <t xml:space="preserve"> - Interim
</t>
    </r>
    <r>
      <rPr>
        <b/>
        <sz val="10"/>
        <color theme="1"/>
        <rFont val="Calibri"/>
        <family val="2"/>
        <scheme val="minor"/>
      </rPr>
      <t>KindergartenReadiness</t>
    </r>
    <r>
      <rPr>
        <sz val="10"/>
        <color theme="1"/>
        <rFont val="Calibri"/>
        <family val="2"/>
        <scheme val="minor"/>
      </rPr>
      <t xml:space="preserve"> - Kindergarten Readiness
</t>
    </r>
    <r>
      <rPr>
        <b/>
        <sz val="10"/>
        <color theme="1"/>
        <rFont val="Calibri"/>
        <family val="2"/>
        <scheme val="minor"/>
      </rPr>
      <t>LanguageProficiency</t>
    </r>
    <r>
      <rPr>
        <sz val="10"/>
        <color theme="1"/>
        <rFont val="Calibri"/>
        <family val="2"/>
        <scheme val="minor"/>
      </rPr>
      <t xml:space="preserve"> - Language proficiency test
</t>
    </r>
    <r>
      <rPr>
        <b/>
        <sz val="10"/>
        <color theme="1"/>
        <rFont val="Calibri"/>
        <family val="2"/>
        <scheme val="minor"/>
      </rPr>
      <t>MentalAbility</t>
    </r>
    <r>
      <rPr>
        <sz val="10"/>
        <color theme="1"/>
        <rFont val="Calibri"/>
        <family val="2"/>
        <scheme val="minor"/>
      </rPr>
      <t xml:space="preserve"> - Mental ability (intelligence) test
</t>
    </r>
    <r>
      <rPr>
        <b/>
        <sz val="10"/>
        <color theme="1"/>
        <rFont val="Calibri"/>
        <family val="2"/>
        <scheme val="minor"/>
      </rPr>
      <t>Observation</t>
    </r>
    <r>
      <rPr>
        <sz val="10"/>
        <color theme="1"/>
        <rFont val="Calibri"/>
        <family val="2"/>
        <scheme val="minor"/>
      </rPr>
      <t xml:space="preserve"> - Observation
</t>
    </r>
    <r>
      <rPr>
        <b/>
        <sz val="10"/>
        <color theme="1"/>
        <rFont val="Calibri"/>
        <family val="2"/>
        <scheme val="minor"/>
      </rPr>
      <t>ParentReport</t>
    </r>
    <r>
      <rPr>
        <sz val="10"/>
        <color theme="1"/>
        <rFont val="Calibri"/>
        <family val="2"/>
        <scheme val="minor"/>
      </rPr>
      <t xml:space="preserve"> - Parent Report
</t>
    </r>
    <r>
      <rPr>
        <b/>
        <sz val="10"/>
        <color theme="1"/>
        <rFont val="Calibri"/>
        <family val="2"/>
        <scheme val="minor"/>
      </rPr>
      <t>PerformanceAssessment</t>
    </r>
    <r>
      <rPr>
        <sz val="10"/>
        <color theme="1"/>
        <rFont val="Calibri"/>
        <family val="2"/>
        <scheme val="minor"/>
      </rPr>
      <t xml:space="preserve"> - Performance assessment
</t>
    </r>
    <r>
      <rPr>
        <b/>
        <sz val="10"/>
        <color theme="1"/>
        <rFont val="Calibri"/>
        <family val="2"/>
        <scheme val="minor"/>
      </rPr>
      <t>PortfolioAssessment</t>
    </r>
    <r>
      <rPr>
        <sz val="10"/>
        <color theme="1"/>
        <rFont val="Calibri"/>
        <family val="2"/>
        <scheme val="minor"/>
      </rPr>
      <t xml:space="preserve"> - Portfolio assessment
</t>
    </r>
    <r>
      <rPr>
        <b/>
        <sz val="10"/>
        <color theme="1"/>
        <rFont val="Calibri"/>
        <family val="2"/>
        <scheme val="minor"/>
      </rPr>
      <t>PrekindergartenReadiness</t>
    </r>
    <r>
      <rPr>
        <sz val="10"/>
        <color theme="1"/>
        <rFont val="Calibri"/>
        <family val="2"/>
        <scheme val="minor"/>
      </rPr>
      <t xml:space="preserve"> - Prekindergarten Readiness
</t>
    </r>
    <r>
      <rPr>
        <b/>
        <sz val="10"/>
        <color theme="1"/>
        <rFont val="Calibri"/>
        <family val="2"/>
        <scheme val="minor"/>
      </rPr>
      <t>ReadingReadiness</t>
    </r>
    <r>
      <rPr>
        <sz val="10"/>
        <color theme="1"/>
        <rFont val="Calibri"/>
        <family val="2"/>
        <scheme val="minor"/>
      </rPr>
      <t xml:space="preserve"> - Reading readiness test
</t>
    </r>
    <r>
      <rPr>
        <b/>
        <sz val="10"/>
        <color theme="1"/>
        <rFont val="Calibri"/>
        <family val="2"/>
        <scheme val="minor"/>
      </rPr>
      <t>Screening</t>
    </r>
    <r>
      <rPr>
        <sz val="10"/>
        <color theme="1"/>
        <rFont val="Calibri"/>
        <family val="2"/>
        <scheme val="minor"/>
      </rPr>
      <t xml:space="preserve"> - Screening
</t>
    </r>
    <r>
      <rPr>
        <b/>
        <sz val="10"/>
        <color theme="1"/>
        <rFont val="Calibri"/>
        <family val="2"/>
        <scheme val="minor"/>
      </rPr>
      <t>TeacherReport</t>
    </r>
    <r>
      <rPr>
        <sz val="10"/>
        <color theme="1"/>
        <rFont val="Calibri"/>
        <family val="2"/>
        <scheme val="minor"/>
      </rPr>
      <t xml:space="preserve"> - Teacher Report
</t>
    </r>
    <r>
      <rPr>
        <b/>
        <sz val="10"/>
        <color theme="1"/>
        <rFont val="Calibri"/>
        <family val="2"/>
        <scheme val="minor"/>
      </rPr>
      <t>Other</t>
    </r>
    <r>
      <rPr>
        <sz val="10"/>
        <color theme="1"/>
        <rFont val="Calibri"/>
        <family val="2"/>
        <scheme val="minor"/>
      </rPr>
      <t xml:space="preserve"> - Other
</t>
    </r>
  </si>
  <si>
    <t>000029</t>
  </si>
  <si>
    <t>AssessmentType</t>
  </si>
  <si>
    <t>Assessment Type Administered to Children with Disabilities</t>
  </si>
  <si>
    <t>The types of assessments administered to children with disabilities.</t>
  </si>
  <si>
    <r>
      <t>REGASSWOACC</t>
    </r>
    <r>
      <rPr>
        <sz val="10"/>
        <color theme="1"/>
        <rFont val="Calibri"/>
        <family val="2"/>
        <scheme val="minor"/>
      </rPr>
      <t xml:space="preserve"> - Regular assessments based on grade-level achievement standards without accommodations
</t>
    </r>
    <r>
      <rPr>
        <b/>
        <sz val="10"/>
        <color theme="1"/>
        <rFont val="Calibri"/>
        <family val="2"/>
        <scheme val="minor"/>
      </rPr>
      <t>REGASSWACC</t>
    </r>
    <r>
      <rPr>
        <sz val="10"/>
        <color theme="1"/>
        <rFont val="Calibri"/>
        <family val="2"/>
        <scheme val="minor"/>
      </rPr>
      <t xml:space="preserve"> - Regular assessments based on grade-level achievement standards with accommodations
</t>
    </r>
    <r>
      <rPr>
        <b/>
        <sz val="10"/>
        <color theme="1"/>
        <rFont val="Calibri"/>
        <family val="2"/>
        <scheme val="minor"/>
      </rPr>
      <t>ALTASSGRADELVL</t>
    </r>
    <r>
      <rPr>
        <sz val="10"/>
        <color theme="1"/>
        <rFont val="Calibri"/>
        <family val="2"/>
        <scheme val="minor"/>
      </rPr>
      <t xml:space="preserve"> - Alternate assessments based on grade-level achievement standards
</t>
    </r>
    <r>
      <rPr>
        <b/>
        <sz val="10"/>
        <color theme="1"/>
        <rFont val="Calibri"/>
        <family val="2"/>
        <scheme val="minor"/>
      </rPr>
      <t>ALTASSMODACH</t>
    </r>
    <r>
      <rPr>
        <sz val="10"/>
        <color theme="1"/>
        <rFont val="Calibri"/>
        <family val="2"/>
        <scheme val="minor"/>
      </rPr>
      <t xml:space="preserve"> - Alternate assessments based on modified achievement standards
</t>
    </r>
    <r>
      <rPr>
        <b/>
        <sz val="10"/>
        <color theme="1"/>
        <rFont val="Calibri"/>
        <family val="2"/>
        <scheme val="minor"/>
      </rPr>
      <t>ALTASSALTACH</t>
    </r>
    <r>
      <rPr>
        <sz val="10"/>
        <color theme="1"/>
        <rFont val="Calibri"/>
        <family val="2"/>
        <scheme val="minor"/>
      </rPr>
      <t xml:space="preserve"> - Alternate assessments based on alternate achievement standards
</t>
    </r>
    <r>
      <rPr>
        <b/>
        <sz val="10"/>
        <color theme="1"/>
        <rFont val="Calibri"/>
        <family val="2"/>
        <scheme val="minor"/>
      </rPr>
      <t>AgeLevelWithoutAccommodations</t>
    </r>
    <r>
      <rPr>
        <sz val="10"/>
        <color theme="1"/>
        <rFont val="Calibri"/>
        <family val="2"/>
        <scheme val="minor"/>
      </rPr>
      <t xml:space="preserve"> - Assessment based on age level standards without accommodations
</t>
    </r>
    <r>
      <rPr>
        <b/>
        <sz val="10"/>
        <color theme="1"/>
        <rFont val="Calibri"/>
        <family val="2"/>
        <scheme val="minor"/>
      </rPr>
      <t>AgeLevelWithAccommodations</t>
    </r>
    <r>
      <rPr>
        <sz val="10"/>
        <color theme="1"/>
        <rFont val="Calibri"/>
        <family val="2"/>
        <scheme val="minor"/>
      </rPr>
      <t xml:space="preserve"> - Assessment based on age level standards with accommodations
</t>
    </r>
    <r>
      <rPr>
        <b/>
        <sz val="10"/>
        <color theme="1"/>
        <rFont val="Calibri"/>
        <family val="2"/>
        <scheme val="minor"/>
      </rPr>
      <t>BelowAgeLevelWithoutAccommodations</t>
    </r>
    <r>
      <rPr>
        <sz val="10"/>
        <color theme="1"/>
        <rFont val="Calibri"/>
        <family val="2"/>
        <scheme val="minor"/>
      </rPr>
      <t xml:space="preserve"> - Assessment based on standards below age level without accommodations
</t>
    </r>
    <r>
      <rPr>
        <b/>
        <sz val="10"/>
        <color theme="1"/>
        <rFont val="Calibri"/>
        <family val="2"/>
        <scheme val="minor"/>
      </rPr>
      <t>BelowAgeLevelWithAccommodations</t>
    </r>
    <r>
      <rPr>
        <sz val="10"/>
        <color theme="1"/>
        <rFont val="Calibri"/>
        <family val="2"/>
        <scheme val="minor"/>
      </rPr>
      <t xml:space="preserve"> - Assessment based on standards below age level with accommodations
</t>
    </r>
  </si>
  <si>
    <t>000415</t>
  </si>
  <si>
    <t>AssessmentTypeAdministeredToChildrenWithDisabilities</t>
  </si>
  <si>
    <t>Assignment End Date</t>
  </si>
  <si>
    <t>The last year, month and day on which the assignment is valid.</t>
  </si>
  <si>
    <t>Adult Education -&gt; Course Section -&gt; Staff
Career and Technical -&gt; Course Section -&gt; Staff
K12 -&gt; Course Section -&gt; Staff
K12 -&gt; K12 Staff -&gt; Assignment
Postsecondary -&gt; Course Section -&gt; Staff</t>
  </si>
  <si>
    <t>000527</t>
  </si>
  <si>
    <t>AssignmentEndDate</t>
  </si>
  <si>
    <t>Assignment Start Date</t>
  </si>
  <si>
    <t>The year, month and day from which the assignment is valid.</t>
  </si>
  <si>
    <t>000526</t>
  </si>
  <si>
    <t>AssignmentStartDate</t>
  </si>
  <si>
    <t>Attendance Event Date</t>
  </si>
  <si>
    <t>The date on which an attendance event takes place.</t>
  </si>
  <si>
    <t>Adult Education -&gt; Course Section -&gt; Attendance
Career and Technical -&gt; Course Section -&gt; Attendance
K12 -&gt; Course Section -&gt; Attendance
K12 -&gt; K12 Staff -&gt; Attendance
K12 -&gt; K12 Student -&gt; Attendance</t>
  </si>
  <si>
    <t>001649</t>
  </si>
  <si>
    <t>AttendanceEventDate</t>
  </si>
  <si>
    <t>Attendance Event Type</t>
  </si>
  <si>
    <t>The type of attendance event.</t>
  </si>
  <si>
    <r>
      <t>DailyAttendance</t>
    </r>
    <r>
      <rPr>
        <sz val="10"/>
        <color theme="1"/>
        <rFont val="Calibri"/>
        <family val="2"/>
        <scheme val="minor"/>
      </rPr>
      <t xml:space="preserve"> - Daily attendance
</t>
    </r>
    <r>
      <rPr>
        <b/>
        <sz val="10"/>
        <color theme="1"/>
        <rFont val="Calibri"/>
        <family val="2"/>
        <scheme val="minor"/>
      </rPr>
      <t>ClassSectionAttendance</t>
    </r>
    <r>
      <rPr>
        <sz val="10"/>
        <color theme="1"/>
        <rFont val="Calibri"/>
        <family val="2"/>
        <scheme val="minor"/>
      </rPr>
      <t xml:space="preserve"> - Class/section attendance
</t>
    </r>
    <r>
      <rPr>
        <b/>
        <sz val="10"/>
        <color theme="1"/>
        <rFont val="Calibri"/>
        <family val="2"/>
        <scheme val="minor"/>
      </rPr>
      <t>ProgramAttendance</t>
    </r>
    <r>
      <rPr>
        <sz val="10"/>
        <color theme="1"/>
        <rFont val="Calibri"/>
        <family val="2"/>
        <scheme val="minor"/>
      </rPr>
      <t xml:space="preserve"> - Program attendance
</t>
    </r>
    <r>
      <rPr>
        <b/>
        <sz val="10"/>
        <color theme="1"/>
        <rFont val="Calibri"/>
        <family val="2"/>
        <scheme val="minor"/>
      </rPr>
      <t>ExtracurricularAttendance</t>
    </r>
    <r>
      <rPr>
        <sz val="10"/>
        <color theme="1"/>
        <rFont val="Calibri"/>
        <family val="2"/>
        <scheme val="minor"/>
      </rPr>
      <t xml:space="preserve"> - Extracurricular attendance
</t>
    </r>
  </si>
  <si>
    <t>Adult Education -&gt; Course Section -&gt; Attendance
Career and Technical -&gt; Course Section -&gt; Attendance
K12 -&gt; Course Section -&gt; Attendance
K12 -&gt; K12 Student -&gt; Attendance</t>
  </si>
  <si>
    <t>000601</t>
  </si>
  <si>
    <t>AttendanceEventType</t>
  </si>
  <si>
    <t>Attendance Status</t>
  </si>
  <si>
    <t>The status of a person's attendance associated with an Attendance Event Type and Attendance Event Date in an organization-person-role context.</t>
  </si>
  <si>
    <r>
      <t>Present</t>
    </r>
    <r>
      <rPr>
        <sz val="10"/>
        <color theme="1"/>
        <rFont val="Calibri"/>
        <family val="2"/>
        <scheme val="minor"/>
      </rPr>
      <t xml:space="preserve"> - Present
</t>
    </r>
    <r>
      <rPr>
        <b/>
        <sz val="10"/>
        <color theme="1"/>
        <rFont val="Calibri"/>
        <family val="2"/>
        <scheme val="minor"/>
      </rPr>
      <t>ExcusedAbsence</t>
    </r>
    <r>
      <rPr>
        <sz val="10"/>
        <color theme="1"/>
        <rFont val="Calibri"/>
        <family val="2"/>
        <scheme val="minor"/>
      </rPr>
      <t xml:space="preserve"> - Excused Absence
</t>
    </r>
    <r>
      <rPr>
        <b/>
        <sz val="10"/>
        <color theme="1"/>
        <rFont val="Calibri"/>
        <family val="2"/>
        <scheme val="minor"/>
      </rPr>
      <t>UnexcusedAbsence</t>
    </r>
    <r>
      <rPr>
        <sz val="10"/>
        <color theme="1"/>
        <rFont val="Calibri"/>
        <family val="2"/>
        <scheme val="minor"/>
      </rPr>
      <t xml:space="preserve"> - Unexcused Absence
</t>
    </r>
    <r>
      <rPr>
        <b/>
        <sz val="10"/>
        <color theme="1"/>
        <rFont val="Calibri"/>
        <family val="2"/>
        <scheme val="minor"/>
      </rPr>
      <t>Tardy</t>
    </r>
    <r>
      <rPr>
        <sz val="10"/>
        <color theme="1"/>
        <rFont val="Calibri"/>
        <family val="2"/>
        <scheme val="minor"/>
      </rPr>
      <t xml:space="preserve"> - Tardy
</t>
    </r>
    <r>
      <rPr>
        <b/>
        <sz val="10"/>
        <color theme="1"/>
        <rFont val="Calibri"/>
        <family val="2"/>
        <scheme val="minor"/>
      </rPr>
      <t>EarlyDeparture</t>
    </r>
    <r>
      <rPr>
        <sz val="10"/>
        <color theme="1"/>
        <rFont val="Calibri"/>
        <family val="2"/>
        <scheme val="minor"/>
      </rPr>
      <t xml:space="preserve"> - Early Departure
</t>
    </r>
  </si>
  <si>
    <t>000076</t>
  </si>
  <si>
    <t>AttendanceStatus</t>
  </si>
  <si>
    <t>Authentication Identity Provider End Date</t>
  </si>
  <si>
    <t>The date after which the an associated person is no longer allowed to use the specified Authentication Identity Provider to authenticate identity.</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</si>
  <si>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</si>
  <si>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</si>
  <si>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</si>
  <si>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</si>
  <si>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</si>
  <si>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</si>
  <si>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</si>
  <si>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</si>
  <si>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</si>
  <si>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</si>
  <si>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</si>
  <si>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</si>
  <si>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The date on which the an associated person may begin to use the specified Authentication Identity Provider to authenticate identity.</t>
  </si>
  <si>
    <t>001171</t>
  </si>
  <si>
    <t>AuthenticationIdentityProviderStartDate</t>
  </si>
  <si>
    <t>Authentication Identity Provider URI</t>
  </si>
  <si>
    <t>The Uniform Resource Identifier (URI) of the Authentication Identity Provider.</t>
  </si>
  <si>
    <t>001169</t>
  </si>
  <si>
    <t>AuthenticationIdentityProviderURI</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</si>
  <si>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</si>
  <si>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</si>
  <si>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</si>
  <si>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</si>
  <si>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</si>
  <si>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</si>
  <si>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</si>
  <si>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</si>
  <si>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</si>
  <si>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</si>
  <si>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</si>
  <si>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</si>
  <si>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</si>
  <si>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</si>
  <si>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</si>
  <si>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</si>
  <si>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</si>
  <si>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</si>
  <si>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</si>
  <si>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</si>
  <si>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</si>
  <si>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</si>
  <si>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</si>
  <si>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</si>
  <si>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</si>
  <si>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</si>
  <si>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</si>
  <si>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Authorization End Date</t>
  </si>
  <si>
    <t>The date after which the an associated person is no longer allowed to use the application with the specified role.</t>
  </si>
  <si>
    <t>001177</t>
  </si>
  <si>
    <t>AuthorizationEndDate</t>
  </si>
  <si>
    <t>Authorization Start Date</t>
  </si>
  <si>
    <t>The date on which the an associated person is authorized to start using the application with the specified role.</t>
  </si>
  <si>
    <t>001176</t>
  </si>
  <si>
    <t>AuthorizationStartDate</t>
  </si>
  <si>
    <t>Authorizer Type</t>
  </si>
  <si>
    <t>Type of person who authorized the decision or document.</t>
  </si>
  <si>
    <r>
      <t>Staff</t>
    </r>
    <r>
      <rPr>
        <sz val="10"/>
        <color theme="1"/>
        <rFont val="Calibri"/>
        <family val="2"/>
        <scheme val="minor"/>
      </rPr>
      <t xml:space="preserve"> - Staff
</t>
    </r>
    <r>
      <rPr>
        <b/>
        <sz val="10"/>
        <color theme="1"/>
        <rFont val="Calibri"/>
        <family val="2"/>
        <scheme val="minor"/>
      </rPr>
      <t>Student</t>
    </r>
    <r>
      <rPr>
        <sz val="10"/>
        <color theme="1"/>
        <rFont val="Calibri"/>
        <family val="2"/>
        <scheme val="minor"/>
      </rPr>
      <t xml:space="preserve"> - Student
</t>
    </r>
    <r>
      <rPr>
        <b/>
        <sz val="10"/>
        <color theme="1"/>
        <rFont val="Calibri"/>
        <family val="2"/>
        <scheme val="minor"/>
      </rPr>
      <t>Parent/Guardian</t>
    </r>
    <r>
      <rPr>
        <sz val="10"/>
        <color theme="1"/>
        <rFont val="Calibri"/>
        <family val="2"/>
        <scheme val="minor"/>
      </rPr>
      <t xml:space="preserve"> - Parent/Guardian
</t>
    </r>
    <r>
      <rPr>
        <b/>
        <sz val="10"/>
        <color theme="1"/>
        <rFont val="Calibri"/>
        <family val="2"/>
        <scheme val="minor"/>
      </rPr>
      <t>LEARepresentative</t>
    </r>
    <r>
      <rPr>
        <sz val="10"/>
        <color theme="1"/>
        <rFont val="Calibri"/>
        <family val="2"/>
        <scheme val="minor"/>
      </rPr>
      <t xml:space="preserve"> - LEA Representative
</t>
    </r>
    <r>
      <rPr>
        <b/>
        <sz val="10"/>
        <color theme="1"/>
        <rFont val="Calibri"/>
        <family val="2"/>
        <scheme val="minor"/>
      </rPr>
      <t>OutsideAgencySupportRepresentative</t>
    </r>
    <r>
      <rPr>
        <sz val="10"/>
        <color theme="1"/>
        <rFont val="Calibri"/>
        <family val="2"/>
        <scheme val="minor"/>
      </rPr>
      <t xml:space="preserve"> - Outside Agency Support Representative
</t>
    </r>
  </si>
  <si>
    <t>001720</t>
  </si>
  <si>
    <t>AuthorizerType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</si>
  <si>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</si>
  <si>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</si>
  <si>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Adult Education -&gt; Course Section -&gt; Course
Career and Technical -&gt; Course
Career and Technical -&gt; Course Section -&gt; Course
K12 -&gt; Course Section -&gt; Course
K12 -&gt; K12 Course</t>
  </si>
  <si>
    <t>Numeric - up to 2 digits after decimal place</t>
  </si>
  <si>
    <t>000030</t>
  </si>
  <si>
    <t>AvailableCarnegieUnitCredit</t>
  </si>
  <si>
    <t>K-12 -&gt; High School Generated Transcript
K-12 -&gt; LEA-to-LEA Student Record Exchange
K-12 -&gt; LEA-to-SEA Student Record Exchange
K-12 -&gt; Teacher-Student Data Link -&gt; Class Section</t>
  </si>
  <si>
    <t>Available Utilized Instructional Space</t>
  </si>
  <si>
    <t>An indication that the instruction space in a school is used in the calculation of student capacity.</t>
  </si>
  <si>
    <t>Facilities -&gt; Facility -&gt; Utilization</t>
  </si>
  <si>
    <t>001902</t>
  </si>
  <si>
    <t>AvailableUtilizedInstructionalSpace</t>
  </si>
  <si>
    <t>Awaiting Foster Care Status</t>
  </si>
  <si>
    <t>An indication of whether this child is awaiting foster care.</t>
  </si>
  <si>
    <t>Added element to support stakeholder request.</t>
  </si>
  <si>
    <t>001929</t>
  </si>
  <si>
    <t>AwaitingFosterCareStatus</t>
  </si>
  <si>
    <t>Awaiting Initial IDEA Evaluation Status</t>
  </si>
  <si>
    <t>Awaiting initial evaluation for special education programs and related services under the Individuals with Disabilities Education Act (IDEA).</t>
  </si>
  <si>
    <t>Career and Technical -&gt; CTE Student -&gt; Disability
Early Learning -&gt; EL Child -&gt; Disability
K12 -&gt; K12 Student -&gt; Disability</t>
  </si>
  <si>
    <t>000031</t>
  </si>
  <si>
    <t>AwaitingInitialIDEAEvaluationStatus</t>
  </si>
  <si>
    <t>Barrier to Educating Homeless</t>
  </si>
  <si>
    <t>Barriers to the enrollment and success of homeless children and youths.</t>
  </si>
  <si>
    <r>
      <t>Eligibility</t>
    </r>
    <r>
      <rPr>
        <sz val="10"/>
        <color theme="1"/>
        <rFont val="Calibri"/>
        <family val="2"/>
        <scheme val="minor"/>
      </rPr>
      <t xml:space="preserve"> - Eligibility for homeless services
</t>
    </r>
    <r>
      <rPr>
        <b/>
        <sz val="10"/>
        <color theme="1"/>
        <rFont val="Calibri"/>
        <family val="2"/>
        <scheme val="minor"/>
      </rPr>
      <t>SchoolSelection</t>
    </r>
    <r>
      <rPr>
        <sz val="10"/>
        <color theme="1"/>
        <rFont val="Calibri"/>
        <family val="2"/>
        <scheme val="minor"/>
      </rPr>
      <t xml:space="preserve"> - School selection
</t>
    </r>
    <r>
      <rPr>
        <b/>
        <sz val="10"/>
        <color theme="1"/>
        <rFont val="Calibri"/>
        <family val="2"/>
        <scheme val="minor"/>
      </rPr>
      <t>Transportation</t>
    </r>
    <r>
      <rPr>
        <sz val="10"/>
        <color theme="1"/>
        <rFont val="Calibri"/>
        <family val="2"/>
        <scheme val="minor"/>
      </rPr>
      <t xml:space="preserve"> - Transportation
</t>
    </r>
    <r>
      <rPr>
        <b/>
        <sz val="10"/>
        <color theme="1"/>
        <rFont val="Calibri"/>
        <family val="2"/>
        <scheme val="minor"/>
      </rPr>
      <t>SchoolRecords</t>
    </r>
    <r>
      <rPr>
        <sz val="10"/>
        <color theme="1"/>
        <rFont val="Calibri"/>
        <family val="2"/>
        <scheme val="minor"/>
      </rPr>
      <t xml:space="preserve"> - School records
</t>
    </r>
    <r>
      <rPr>
        <b/>
        <sz val="10"/>
        <color theme="1"/>
        <rFont val="Calibri"/>
        <family val="2"/>
        <scheme val="minor"/>
      </rPr>
      <t>Immunizations</t>
    </r>
    <r>
      <rPr>
        <sz val="10"/>
        <color theme="1"/>
        <rFont val="Calibri"/>
        <family val="2"/>
        <scheme val="minor"/>
      </rPr>
      <t xml:space="preserve"> - Immunizations
</t>
    </r>
    <r>
      <rPr>
        <b/>
        <sz val="10"/>
        <color theme="1"/>
        <rFont val="Calibri"/>
        <family val="2"/>
        <scheme val="minor"/>
      </rPr>
      <t>OtherMedicalRecords</t>
    </r>
    <r>
      <rPr>
        <sz val="10"/>
        <color theme="1"/>
        <rFont val="Calibri"/>
        <family val="2"/>
        <scheme val="minor"/>
      </rPr>
      <t xml:space="preserve"> - Other medical records
</t>
    </r>
    <r>
      <rPr>
        <b/>
        <sz val="10"/>
        <color theme="1"/>
        <rFont val="Calibri"/>
        <family val="2"/>
        <scheme val="minor"/>
      </rPr>
      <t>OtherBarriers</t>
    </r>
    <r>
      <rPr>
        <sz val="10"/>
        <color theme="1"/>
        <rFont val="Calibri"/>
        <family val="2"/>
        <scheme val="minor"/>
      </rPr>
      <t xml:space="preserve"> - Other barriers
</t>
    </r>
  </si>
  <si>
    <t>K12 -&gt; LEA -&gt; Program Specific Federal Reporting</t>
  </si>
  <si>
    <t>000449</t>
  </si>
  <si>
    <t>BarrierToEducatingHomeless</t>
  </si>
  <si>
    <t>Billable Basis Type</t>
  </si>
  <si>
    <t>The event/action that results in a billable action.</t>
  </si>
  <si>
    <r>
      <t>FaceToFaceContact</t>
    </r>
    <r>
      <rPr>
        <sz val="10"/>
        <color theme="1"/>
        <rFont val="Calibri"/>
        <family val="2"/>
        <scheme val="minor"/>
      </rPr>
      <t xml:space="preserve"> - Face-to-Face Contact
</t>
    </r>
    <r>
      <rPr>
        <b/>
        <sz val="10"/>
        <color theme="1"/>
        <rFont val="Calibri"/>
        <family val="2"/>
        <scheme val="minor"/>
      </rPr>
      <t>EventBased</t>
    </r>
    <r>
      <rPr>
        <sz val="10"/>
        <color theme="1"/>
        <rFont val="Calibri"/>
        <family val="2"/>
        <scheme val="minor"/>
      </rPr>
      <t xml:space="preserve"> - Event-based
</t>
    </r>
    <r>
      <rPr>
        <b/>
        <sz val="10"/>
        <color theme="1"/>
        <rFont val="Calibri"/>
        <family val="2"/>
        <scheme val="minor"/>
      </rPr>
      <t>TimeBased</t>
    </r>
    <r>
      <rPr>
        <sz val="10"/>
        <color theme="1"/>
        <rFont val="Calibri"/>
        <family val="2"/>
        <scheme val="minor"/>
      </rPr>
      <t xml:space="preserve"> - Time-based
</t>
    </r>
  </si>
  <si>
    <t>Early Learning -&gt; Early Learning Program</t>
  </si>
  <si>
    <t>001582</t>
  </si>
  <si>
    <t>BillableBasisType</t>
  </si>
  <si>
    <t>Birthdate</t>
  </si>
  <si>
    <t>The year, month and day on which a person was born.</t>
  </si>
  <si>
    <t>Adult Education -&gt; AE Student -&gt; Demographic
Career and Technical -&gt; CTE Student -&gt; Demographic
Early Learning -&gt; EL Child -&gt; Demographic
Early Learning -&gt; EL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</si>
  <si>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000033</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</si>
  <si>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</si>
  <si>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Birthdate Verification</t>
  </si>
  <si>
    <t>The evidence by which a child's date of birth is confirmed.</t>
  </si>
  <si>
    <t>K12 -&gt; K12 Student -&gt; Demographic
K12 -&gt; K12 Student -&gt; Migrant</t>
  </si>
  <si>
    <t>000428</t>
  </si>
  <si>
    <t>BirthdateVerification</t>
  </si>
  <si>
    <t>K-12 -&gt; Migrant Student Data Exchange</t>
  </si>
  <si>
    <t>Black or African American</t>
  </si>
  <si>
    <t>A person having origins in any of the black racial groups of Africa.</t>
  </si>
  <si>
    <t>000034</t>
  </si>
  <si>
    <t>Race Black or African American</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</si>
  <si>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</si>
  <si>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</si>
  <si>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</si>
  <si>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r>
      <t>Rotation</t>
    </r>
    <r>
      <rPr>
        <sz val="10"/>
        <color theme="1"/>
        <rFont val="Calibri"/>
        <family val="2"/>
        <scheme val="minor"/>
      </rPr>
      <t xml:space="preserve"> - Rotation model
</t>
    </r>
    <r>
      <rPr>
        <b/>
        <sz val="10"/>
        <color theme="1"/>
        <rFont val="Calibri"/>
        <family val="2"/>
        <scheme val="minor"/>
      </rPr>
      <t>FlexModel</t>
    </r>
    <r>
      <rPr>
        <sz val="10"/>
        <color theme="1"/>
        <rFont val="Calibri"/>
        <family val="2"/>
        <scheme val="minor"/>
      </rPr>
      <t xml:space="preserve"> - Flex model
</t>
    </r>
    <r>
      <rPr>
        <b/>
        <sz val="10"/>
        <color theme="1"/>
        <rFont val="Calibri"/>
        <family val="2"/>
        <scheme val="minor"/>
      </rPr>
      <t>ALaCarte</t>
    </r>
    <r>
      <rPr>
        <sz val="10"/>
        <color theme="1"/>
        <rFont val="Calibri"/>
        <family val="2"/>
        <scheme val="minor"/>
      </rPr>
      <t xml:space="preserve"> - A La Carte model
</t>
    </r>
    <r>
      <rPr>
        <b/>
        <sz val="10"/>
        <color theme="1"/>
        <rFont val="Calibri"/>
        <family val="2"/>
        <scheme val="minor"/>
      </rPr>
      <t>EnrichedVirtual</t>
    </r>
    <r>
      <rPr>
        <sz val="10"/>
        <color theme="1"/>
        <rFont val="Calibri"/>
        <family val="2"/>
        <scheme val="minor"/>
      </rPr>
      <t xml:space="preserve"> - Enriched Virtual model
</t>
    </r>
    <r>
      <rPr>
        <b/>
        <sz val="10"/>
        <color theme="1"/>
        <rFont val="Calibri"/>
        <family val="2"/>
        <scheme val="minor"/>
      </rPr>
      <t>Other</t>
    </r>
    <r>
      <rPr>
        <sz val="10"/>
        <color theme="1"/>
        <rFont val="Calibri"/>
        <family val="2"/>
        <scheme val="minor"/>
      </rPr>
      <t xml:space="preserve"> - Other
</t>
    </r>
  </si>
  <si>
    <t>Adult Education -&gt; Course Section
Career and Technical -&gt; Course Section
K12 -&gt; Course Section
K12 -&gt; K12 Course
K12 -&gt; K12 School -&gt; Directory</t>
  </si>
  <si>
    <t>Added the option of Other to support stakeholder request.</t>
  </si>
  <si>
    <t>This may be an attribute of a Course (as designed) or a Class Section (as delivered). It also may be attributed to a school, institution, or program for "whole-school" blended models.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</si>
  <si>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</si>
  <si>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</si>
  <si>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</si>
  <si>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</si>
  <si>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</si>
  <si>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</si>
  <si>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</si>
  <si>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</si>
  <si>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</si>
  <si>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</si>
  <si>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</si>
  <si>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Addition Code</t>
  </si>
  <si>
    <t>A unique number or alphanumeric code assigned to a building addition by a school, school system, state, or other agency or entity.</t>
  </si>
  <si>
    <t>Facilities -&gt; Facility -&gt; Identification</t>
  </si>
  <si>
    <t>001776</t>
  </si>
  <si>
    <t>BuildingAdditionCode</t>
  </si>
  <si>
    <t>Building Addition Description</t>
  </si>
  <si>
    <t>A description of the permanent structure added to the original building.</t>
  </si>
  <si>
    <t>001775</t>
  </si>
  <si>
    <t>BuildingAdditionDescription</t>
  </si>
  <si>
    <t>Building Administrative Space Type</t>
  </si>
  <si>
    <t>The space designed primarily for conducting administrative and business functions.</t>
  </si>
  <si>
    <r>
      <t>02986</t>
    </r>
    <r>
      <rPr>
        <sz val="10"/>
        <color theme="1"/>
        <rFont val="Calibri"/>
        <family val="2"/>
        <scheme val="minor"/>
      </rPr>
      <t xml:space="preserve"> - Administrative office/room
</t>
    </r>
    <r>
      <rPr>
        <b/>
        <sz val="10"/>
        <color theme="1"/>
        <rFont val="Calibri"/>
        <family val="2"/>
        <scheme val="minor"/>
      </rPr>
      <t>02747</t>
    </r>
    <r>
      <rPr>
        <sz val="10"/>
        <color theme="1"/>
        <rFont val="Calibri"/>
        <family val="2"/>
        <scheme val="minor"/>
      </rPr>
      <t xml:space="preserve"> - Attendance reception
</t>
    </r>
    <r>
      <rPr>
        <b/>
        <sz val="10"/>
        <color theme="1"/>
        <rFont val="Calibri"/>
        <family val="2"/>
        <scheme val="minor"/>
      </rPr>
      <t>02744</t>
    </r>
    <r>
      <rPr>
        <sz val="10"/>
        <color theme="1"/>
        <rFont val="Calibri"/>
        <family val="2"/>
        <scheme val="minor"/>
      </rPr>
      <t xml:space="preserve"> - Clerical areas
</t>
    </r>
    <r>
      <rPr>
        <b/>
        <sz val="10"/>
        <color theme="1"/>
        <rFont val="Calibri"/>
        <family val="2"/>
        <scheme val="minor"/>
      </rPr>
      <t>02746</t>
    </r>
    <r>
      <rPr>
        <sz val="10"/>
        <color theme="1"/>
        <rFont val="Calibri"/>
        <family val="2"/>
        <scheme val="minor"/>
      </rPr>
      <t xml:space="preserve"> - Conference room
</t>
    </r>
    <r>
      <rPr>
        <b/>
        <sz val="10"/>
        <color theme="1"/>
        <rFont val="Calibri"/>
        <family val="2"/>
        <scheme val="minor"/>
      </rPr>
      <t>02748</t>
    </r>
    <r>
      <rPr>
        <sz val="10"/>
        <color theme="1"/>
        <rFont val="Calibri"/>
        <family val="2"/>
        <scheme val="minor"/>
      </rPr>
      <t xml:space="preserve"> - General reception
</t>
    </r>
    <r>
      <rPr>
        <b/>
        <sz val="10"/>
        <color theme="1"/>
        <rFont val="Calibri"/>
        <family val="2"/>
        <scheme val="minor"/>
      </rPr>
      <t>75032</t>
    </r>
    <r>
      <rPr>
        <sz val="10"/>
        <color theme="1"/>
        <rFont val="Calibri"/>
        <family val="2"/>
        <scheme val="minor"/>
      </rPr>
      <t xml:space="preserve"> - IT center
</t>
    </r>
    <r>
      <rPr>
        <b/>
        <sz val="10"/>
        <color theme="1"/>
        <rFont val="Calibri"/>
        <family val="2"/>
        <scheme val="minor"/>
      </rPr>
      <t>02745</t>
    </r>
    <r>
      <rPr>
        <sz val="10"/>
        <color theme="1"/>
        <rFont val="Calibri"/>
        <family val="2"/>
        <scheme val="minor"/>
      </rPr>
      <t xml:space="preserve"> - Mail room
</t>
    </r>
    <r>
      <rPr>
        <b/>
        <sz val="10"/>
        <color theme="1"/>
        <rFont val="Calibri"/>
        <family val="2"/>
        <scheme val="minor"/>
      </rPr>
      <t>02742</t>
    </r>
    <r>
      <rPr>
        <sz val="10"/>
        <color theme="1"/>
        <rFont val="Calibri"/>
        <family val="2"/>
        <scheme val="minor"/>
      </rPr>
      <t xml:space="preserve"> - Principal's office
</t>
    </r>
    <r>
      <rPr>
        <b/>
        <sz val="10"/>
        <color theme="1"/>
        <rFont val="Calibri"/>
        <family val="2"/>
        <scheme val="minor"/>
      </rPr>
      <t>02754</t>
    </r>
    <r>
      <rPr>
        <sz val="10"/>
        <color theme="1"/>
        <rFont val="Calibri"/>
        <family val="2"/>
        <scheme val="minor"/>
      </rPr>
      <t xml:space="preserve"> - PTO/PTA spaces
</t>
    </r>
    <r>
      <rPr>
        <b/>
        <sz val="10"/>
        <color theme="1"/>
        <rFont val="Calibri"/>
        <family val="2"/>
        <scheme val="minor"/>
      </rPr>
      <t>02756</t>
    </r>
    <r>
      <rPr>
        <sz val="10"/>
        <color theme="1"/>
        <rFont val="Calibri"/>
        <family val="2"/>
        <scheme val="minor"/>
      </rPr>
      <t xml:space="preserve"> - Records room/vault
</t>
    </r>
    <r>
      <rPr>
        <b/>
        <sz val="10"/>
        <color theme="1"/>
        <rFont val="Calibri"/>
        <family val="2"/>
        <scheme val="minor"/>
      </rPr>
      <t>02753</t>
    </r>
    <r>
      <rPr>
        <sz val="10"/>
        <color theme="1"/>
        <rFont val="Calibri"/>
        <family val="2"/>
        <scheme val="minor"/>
      </rPr>
      <t xml:space="preserve"> - School bank
</t>
    </r>
    <r>
      <rPr>
        <b/>
        <sz val="10"/>
        <color theme="1"/>
        <rFont val="Calibri"/>
        <family val="2"/>
        <scheme val="minor"/>
      </rPr>
      <t>02752</t>
    </r>
    <r>
      <rPr>
        <sz val="10"/>
        <color theme="1"/>
        <rFont val="Calibri"/>
        <family val="2"/>
        <scheme val="minor"/>
      </rPr>
      <t xml:space="preserve"> - School store
</t>
    </r>
    <r>
      <rPr>
        <b/>
        <sz val="10"/>
        <color theme="1"/>
        <rFont val="Calibri"/>
        <family val="2"/>
        <scheme val="minor"/>
      </rPr>
      <t>02749</t>
    </r>
    <r>
      <rPr>
        <sz val="10"/>
        <color theme="1"/>
        <rFont val="Calibri"/>
        <family val="2"/>
        <scheme val="minor"/>
      </rPr>
      <t xml:space="preserve"> - Security/police/probation office
</t>
    </r>
    <r>
      <rPr>
        <b/>
        <sz val="10"/>
        <color theme="1"/>
        <rFont val="Calibri"/>
        <family val="2"/>
        <scheme val="minor"/>
      </rPr>
      <t>02755</t>
    </r>
    <r>
      <rPr>
        <sz val="10"/>
        <color theme="1"/>
        <rFont val="Calibri"/>
        <family val="2"/>
        <scheme val="minor"/>
      </rPr>
      <t xml:space="preserve"> - Site-based council office
</t>
    </r>
    <r>
      <rPr>
        <b/>
        <sz val="10"/>
        <color theme="1"/>
        <rFont val="Calibri"/>
        <family val="2"/>
        <scheme val="minor"/>
      </rPr>
      <t>02750</t>
    </r>
    <r>
      <rPr>
        <sz val="10"/>
        <color theme="1"/>
        <rFont val="Calibri"/>
        <family val="2"/>
        <scheme val="minor"/>
      </rPr>
      <t xml:space="preserve"> - Staff lounge
</t>
    </r>
    <r>
      <rPr>
        <b/>
        <sz val="10"/>
        <color theme="1"/>
        <rFont val="Calibri"/>
        <family val="2"/>
        <scheme val="minor"/>
      </rPr>
      <t>02751</t>
    </r>
    <r>
      <rPr>
        <sz val="10"/>
        <color theme="1"/>
        <rFont val="Calibri"/>
        <family val="2"/>
        <scheme val="minor"/>
      </rPr>
      <t xml:space="preserve"> - Staff work room
</t>
    </r>
    <r>
      <rPr>
        <b/>
        <sz val="10"/>
        <color theme="1"/>
        <rFont val="Calibri"/>
        <family val="2"/>
        <scheme val="minor"/>
      </rPr>
      <t>02759</t>
    </r>
    <r>
      <rPr>
        <sz val="10"/>
        <color theme="1"/>
        <rFont val="Calibri"/>
        <family val="2"/>
        <scheme val="minor"/>
      </rPr>
      <t xml:space="preserve"> - Storage - instructional equipment
</t>
    </r>
    <r>
      <rPr>
        <b/>
        <sz val="10"/>
        <color theme="1"/>
        <rFont val="Calibri"/>
        <family val="2"/>
        <scheme val="minor"/>
      </rPr>
      <t>02758</t>
    </r>
    <r>
      <rPr>
        <sz val="10"/>
        <color theme="1"/>
        <rFont val="Calibri"/>
        <family val="2"/>
        <scheme val="minor"/>
      </rPr>
      <t xml:space="preserve"> - Storage - resource materials
</t>
    </r>
    <r>
      <rPr>
        <b/>
        <sz val="10"/>
        <color theme="1"/>
        <rFont val="Calibri"/>
        <family val="2"/>
        <scheme val="minor"/>
      </rPr>
      <t>02757</t>
    </r>
    <r>
      <rPr>
        <sz val="10"/>
        <color theme="1"/>
        <rFont val="Calibri"/>
        <family val="2"/>
        <scheme val="minor"/>
      </rPr>
      <t xml:space="preserve"> - Storage - textbook
</t>
    </r>
    <r>
      <rPr>
        <b/>
        <sz val="10"/>
        <color theme="1"/>
        <rFont val="Calibri"/>
        <family val="2"/>
        <scheme val="minor"/>
      </rPr>
      <t>02743</t>
    </r>
    <r>
      <rPr>
        <sz val="10"/>
        <color theme="1"/>
        <rFont val="Calibri"/>
        <family val="2"/>
        <scheme val="minor"/>
      </rPr>
      <t xml:space="preserve"> - Vice-principal/assistant principal's office
</t>
    </r>
    <r>
      <rPr>
        <b/>
        <sz val="10"/>
        <color theme="1"/>
        <rFont val="Calibri"/>
        <family val="2"/>
        <scheme val="minor"/>
      </rPr>
      <t>09999</t>
    </r>
    <r>
      <rPr>
        <sz val="10"/>
        <color theme="1"/>
        <rFont val="Calibri"/>
        <family val="2"/>
        <scheme val="minor"/>
      </rPr>
      <t xml:space="preserve"> - Other
</t>
    </r>
  </si>
  <si>
    <t>Facilities -&gt; Facility -&gt; Design</t>
  </si>
  <si>
    <t>001813</t>
  </si>
  <si>
    <t>BuildingAdministrativeSpaceType</t>
  </si>
  <si>
    <t>Building Air Distribution System Type</t>
  </si>
  <si>
    <t>The primary means by which air is circulated, freshened, and exhausted.</t>
  </si>
  <si>
    <r>
      <t>02497</t>
    </r>
    <r>
      <rPr>
        <sz val="10"/>
        <color theme="1"/>
        <rFont val="Calibri"/>
        <family val="2"/>
        <scheme val="minor"/>
      </rPr>
      <t xml:space="preserve"> - Air handler units
</t>
    </r>
    <r>
      <rPr>
        <b/>
        <sz val="10"/>
        <color theme="1"/>
        <rFont val="Calibri"/>
        <family val="2"/>
        <scheme val="minor"/>
      </rPr>
      <t>02496</t>
    </r>
    <r>
      <rPr>
        <sz val="10"/>
        <color theme="1"/>
        <rFont val="Calibri"/>
        <family val="2"/>
        <scheme val="minor"/>
      </rPr>
      <t xml:space="preserve"> - Both mechanical exhaust and supply units
</t>
    </r>
    <r>
      <rPr>
        <b/>
        <sz val="10"/>
        <color theme="1"/>
        <rFont val="Calibri"/>
        <family val="2"/>
        <scheme val="minor"/>
      </rPr>
      <t>02493</t>
    </r>
    <r>
      <rPr>
        <sz val="10"/>
        <color theme="1"/>
        <rFont val="Calibri"/>
        <family val="2"/>
        <scheme val="minor"/>
      </rPr>
      <t xml:space="preserve"> - Gravity ventilation units
</t>
    </r>
    <r>
      <rPr>
        <b/>
        <sz val="10"/>
        <color theme="1"/>
        <rFont val="Calibri"/>
        <family val="2"/>
        <scheme val="minor"/>
      </rPr>
      <t>02494</t>
    </r>
    <r>
      <rPr>
        <sz val="10"/>
        <color theme="1"/>
        <rFont val="Calibri"/>
        <family val="2"/>
        <scheme val="minor"/>
      </rPr>
      <t xml:space="preserve"> - Mechanical exhaust units
</t>
    </r>
    <r>
      <rPr>
        <b/>
        <sz val="10"/>
        <color theme="1"/>
        <rFont val="Calibri"/>
        <family val="2"/>
        <scheme val="minor"/>
      </rPr>
      <t>02495</t>
    </r>
    <r>
      <rPr>
        <sz val="10"/>
        <color theme="1"/>
        <rFont val="Calibri"/>
        <family val="2"/>
        <scheme val="minor"/>
      </rPr>
      <t xml:space="preserve"> - Mechanical supply units
</t>
    </r>
    <r>
      <rPr>
        <b/>
        <sz val="10"/>
        <color theme="1"/>
        <rFont val="Calibri"/>
        <family val="2"/>
        <scheme val="minor"/>
      </rPr>
      <t>09999</t>
    </r>
    <r>
      <rPr>
        <sz val="10"/>
        <color theme="1"/>
        <rFont val="Calibri"/>
        <family val="2"/>
        <scheme val="minor"/>
      </rPr>
      <t xml:space="preserve"> - Other units
</t>
    </r>
    <r>
      <rPr>
        <b/>
        <sz val="10"/>
        <color theme="1"/>
        <rFont val="Calibri"/>
        <family val="2"/>
        <scheme val="minor"/>
      </rPr>
      <t>02492</t>
    </r>
    <r>
      <rPr>
        <sz val="10"/>
        <color theme="1"/>
        <rFont val="Calibri"/>
        <family val="2"/>
        <scheme val="minor"/>
      </rPr>
      <t xml:space="preserve"> - Window ventilation units
</t>
    </r>
  </si>
  <si>
    <t>Facilities -&gt; Facility -&gt; Condition</t>
  </si>
  <si>
    <t>001790</t>
  </si>
  <si>
    <t>BuildingAirDistributionSystemType</t>
  </si>
  <si>
    <t>Building Architect Name</t>
  </si>
  <si>
    <t>The name of the architect of record for the building.</t>
  </si>
  <si>
    <t>001834</t>
  </si>
  <si>
    <t>BuildingArchitectName</t>
  </si>
  <si>
    <t>Building Architectural Firm Name</t>
  </si>
  <si>
    <t>The name of the architectural firm responsible for the building design.</t>
  </si>
  <si>
    <t>001835</t>
  </si>
  <si>
    <t>BuildingArchitecturalFirmName</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</si>
  <si>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</si>
  <si>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</si>
  <si>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001764</t>
  </si>
  <si>
    <t>BuildingArea</t>
  </si>
  <si>
    <t>Building Art Specialty Space Type</t>
  </si>
  <si>
    <t>The space designed to support the teaching and learning of 2 dimensional or 3 dimensional visual arts.</t>
  </si>
  <si>
    <r>
      <t>02644</t>
    </r>
    <r>
      <rPr>
        <sz val="10"/>
        <color theme="1"/>
        <rFont val="Calibri"/>
        <family val="2"/>
        <scheme val="minor"/>
      </rPr>
      <t xml:space="preserve"> - 2-dimensional art classroom
</t>
    </r>
    <r>
      <rPr>
        <b/>
        <sz val="10"/>
        <color theme="1"/>
        <rFont val="Calibri"/>
        <family val="2"/>
        <scheme val="minor"/>
      </rPr>
      <t>02645</t>
    </r>
    <r>
      <rPr>
        <sz val="10"/>
        <color theme="1"/>
        <rFont val="Calibri"/>
        <family val="2"/>
        <scheme val="minor"/>
      </rPr>
      <t xml:space="preserve"> - 3-dimensional art classroom
</t>
    </r>
    <r>
      <rPr>
        <b/>
        <sz val="10"/>
        <color theme="1"/>
        <rFont val="Calibri"/>
        <family val="2"/>
        <scheme val="minor"/>
      </rPr>
      <t>02647</t>
    </r>
    <r>
      <rPr>
        <sz val="10"/>
        <color theme="1"/>
        <rFont val="Calibri"/>
        <family val="2"/>
        <scheme val="minor"/>
      </rPr>
      <t xml:space="preserve"> - Ceramic studio
</t>
    </r>
    <r>
      <rPr>
        <b/>
        <sz val="10"/>
        <color theme="1"/>
        <rFont val="Calibri"/>
        <family val="2"/>
        <scheme val="minor"/>
      </rPr>
      <t>02646</t>
    </r>
    <r>
      <rPr>
        <sz val="10"/>
        <color theme="1"/>
        <rFont val="Calibri"/>
        <family val="2"/>
        <scheme val="minor"/>
      </rPr>
      <t xml:space="preserve"> - Darkroom
</t>
    </r>
    <r>
      <rPr>
        <b/>
        <sz val="10"/>
        <color theme="1"/>
        <rFont val="Calibri"/>
        <family val="2"/>
        <scheme val="minor"/>
      </rPr>
      <t>02649</t>
    </r>
    <r>
      <rPr>
        <sz val="10"/>
        <color theme="1"/>
        <rFont val="Calibri"/>
        <family val="2"/>
        <scheme val="minor"/>
      </rPr>
      <t xml:space="preserve"> - Kiln room
</t>
    </r>
    <r>
      <rPr>
        <b/>
        <sz val="10"/>
        <color theme="1"/>
        <rFont val="Calibri"/>
        <family val="2"/>
        <scheme val="minor"/>
      </rPr>
      <t>02648</t>
    </r>
    <r>
      <rPr>
        <sz val="10"/>
        <color theme="1"/>
        <rFont val="Calibri"/>
        <family val="2"/>
        <scheme val="minor"/>
      </rPr>
      <t xml:space="preserve"> - Photography studio/graphic arts
</t>
    </r>
    <r>
      <rPr>
        <b/>
        <sz val="10"/>
        <color theme="1"/>
        <rFont val="Calibri"/>
        <family val="2"/>
        <scheme val="minor"/>
      </rPr>
      <t>09999</t>
    </r>
    <r>
      <rPr>
        <sz val="10"/>
        <color theme="1"/>
        <rFont val="Calibri"/>
        <family val="2"/>
        <scheme val="minor"/>
      </rPr>
      <t xml:space="preserve"> - Other
</t>
    </r>
  </si>
  <si>
    <t>001814</t>
  </si>
  <si>
    <t>BuildingArtSpecialtySpaceType</t>
  </si>
  <si>
    <t>Building Assembly Space Type</t>
  </si>
  <si>
    <t>An area designed primarily for theater productions, assemblies, and other large gatherings.</t>
  </si>
  <si>
    <r>
      <t>02768</t>
    </r>
    <r>
      <rPr>
        <sz val="10"/>
        <color theme="1"/>
        <rFont val="Calibri"/>
        <family val="2"/>
        <scheme val="minor"/>
      </rPr>
      <t xml:space="preserve"> - Auditorium (fixed seats)
</t>
    </r>
    <r>
      <rPr>
        <b/>
        <sz val="10"/>
        <color theme="1"/>
        <rFont val="Calibri"/>
        <family val="2"/>
        <scheme val="minor"/>
      </rPr>
      <t>02772</t>
    </r>
    <r>
      <rPr>
        <sz val="10"/>
        <color theme="1"/>
        <rFont val="Calibri"/>
        <family val="2"/>
        <scheme val="minor"/>
      </rPr>
      <t xml:space="preserve"> - Backstage room/green room
</t>
    </r>
    <r>
      <rPr>
        <b/>
        <sz val="10"/>
        <color theme="1"/>
        <rFont val="Calibri"/>
        <family val="2"/>
        <scheme val="minor"/>
      </rPr>
      <t>02769</t>
    </r>
    <r>
      <rPr>
        <sz val="10"/>
        <color theme="1"/>
        <rFont val="Calibri"/>
        <family val="2"/>
        <scheme val="minor"/>
      </rPr>
      <t xml:space="preserve"> - Control room
</t>
    </r>
    <r>
      <rPr>
        <b/>
        <sz val="10"/>
        <color theme="1"/>
        <rFont val="Calibri"/>
        <family val="2"/>
        <scheme val="minor"/>
      </rPr>
      <t>02770</t>
    </r>
    <r>
      <rPr>
        <sz val="10"/>
        <color theme="1"/>
        <rFont val="Calibri"/>
        <family val="2"/>
        <scheme val="minor"/>
      </rPr>
      <t xml:space="preserve"> - Costume storage area
</t>
    </r>
    <r>
      <rPr>
        <b/>
        <sz val="10"/>
        <color theme="1"/>
        <rFont val="Calibri"/>
        <family val="2"/>
        <scheme val="minor"/>
      </rPr>
      <t>03108</t>
    </r>
    <r>
      <rPr>
        <sz val="10"/>
        <color theme="1"/>
        <rFont val="Calibri"/>
        <family val="2"/>
        <scheme val="minor"/>
      </rPr>
      <t xml:space="preserve"> - Disaster shelter area
</t>
    </r>
    <r>
      <rPr>
        <b/>
        <sz val="10"/>
        <color theme="1"/>
        <rFont val="Calibri"/>
        <family val="2"/>
        <scheme val="minor"/>
      </rPr>
      <t>02773</t>
    </r>
    <r>
      <rPr>
        <sz val="10"/>
        <color theme="1"/>
        <rFont val="Calibri"/>
        <family val="2"/>
        <scheme val="minor"/>
      </rPr>
      <t xml:space="preserve"> - Multi-purpose Room
</t>
    </r>
    <r>
      <rPr>
        <b/>
        <sz val="10"/>
        <color theme="1"/>
        <rFont val="Calibri"/>
        <family val="2"/>
        <scheme val="minor"/>
      </rPr>
      <t>02771</t>
    </r>
    <r>
      <rPr>
        <sz val="10"/>
        <color theme="1"/>
        <rFont val="Calibri"/>
        <family val="2"/>
        <scheme val="minor"/>
      </rPr>
      <t xml:space="preserve"> - Set storage area
</t>
    </r>
    <r>
      <rPr>
        <b/>
        <sz val="10"/>
        <color theme="1"/>
        <rFont val="Calibri"/>
        <family val="2"/>
        <scheme val="minor"/>
      </rPr>
      <t>09999</t>
    </r>
    <r>
      <rPr>
        <sz val="10"/>
        <color theme="1"/>
        <rFont val="Calibri"/>
        <family val="2"/>
        <scheme val="minor"/>
      </rPr>
      <t xml:space="preserve"> - Other
</t>
    </r>
  </si>
  <si>
    <t>001836</t>
  </si>
  <si>
    <t>BuildingAssemblySpaceType</t>
  </si>
  <si>
    <t>Building Basic Classroom Design Type</t>
  </si>
  <si>
    <t>A classroom designed for instruction of a particular age group, but not a specific subject.</t>
  </si>
  <si>
    <r>
      <t>01304</t>
    </r>
    <r>
      <rPr>
        <sz val="10"/>
        <color theme="1"/>
        <rFont val="Calibri"/>
        <family val="2"/>
        <scheme val="minor"/>
      </rPr>
      <t xml:space="preserve"> - Elementary
</t>
    </r>
    <r>
      <rPr>
        <b/>
        <sz val="10"/>
        <color theme="1"/>
        <rFont val="Calibri"/>
        <family val="2"/>
        <scheme val="minor"/>
      </rPr>
      <t>01981</t>
    </r>
    <r>
      <rPr>
        <sz val="10"/>
        <color theme="1"/>
        <rFont val="Calibri"/>
        <family val="2"/>
        <scheme val="minor"/>
      </rPr>
      <t xml:space="preserve"> - Preschool/early childhood
</t>
    </r>
    <r>
      <rPr>
        <b/>
        <sz val="10"/>
        <color theme="1"/>
        <rFont val="Calibri"/>
        <family val="2"/>
        <scheme val="minor"/>
      </rPr>
      <t>03495</t>
    </r>
    <r>
      <rPr>
        <sz val="10"/>
        <color theme="1"/>
        <rFont val="Calibri"/>
        <family val="2"/>
        <scheme val="minor"/>
      </rPr>
      <t xml:space="preserve"> - Resource
</t>
    </r>
    <r>
      <rPr>
        <b/>
        <sz val="10"/>
        <color theme="1"/>
        <rFont val="Calibri"/>
        <family val="2"/>
        <scheme val="minor"/>
      </rPr>
      <t>02403</t>
    </r>
    <r>
      <rPr>
        <sz val="10"/>
        <color theme="1"/>
        <rFont val="Calibri"/>
        <family val="2"/>
        <scheme val="minor"/>
      </rPr>
      <t xml:space="preserve"> - Secondary
</t>
    </r>
    <r>
      <rPr>
        <b/>
        <sz val="10"/>
        <color theme="1"/>
        <rFont val="Calibri"/>
        <family val="2"/>
        <scheme val="minor"/>
      </rPr>
      <t>14906</t>
    </r>
    <r>
      <rPr>
        <sz val="10"/>
        <color theme="1"/>
        <rFont val="Calibri"/>
        <family val="2"/>
        <scheme val="minor"/>
      </rPr>
      <t xml:space="preserve"> - Skills center
</t>
    </r>
    <r>
      <rPr>
        <b/>
        <sz val="10"/>
        <color theme="1"/>
        <rFont val="Calibri"/>
        <family val="2"/>
        <scheme val="minor"/>
      </rPr>
      <t>09999</t>
    </r>
    <r>
      <rPr>
        <sz val="10"/>
        <color theme="1"/>
        <rFont val="Calibri"/>
        <family val="2"/>
        <scheme val="minor"/>
      </rPr>
      <t xml:space="preserve"> - Other
</t>
    </r>
  </si>
  <si>
    <t>001815</t>
  </si>
  <si>
    <t>BuildingBasicClassroomDesignType</t>
  </si>
  <si>
    <t>Building Capacity Factor Indicator</t>
  </si>
  <si>
    <t>A designation as to whether the space is included in the calculation of school building capacity under state or local guidelines.</t>
  </si>
  <si>
    <t>001903</t>
  </si>
  <si>
    <t>BuildingCapacityFactorIndicator</t>
  </si>
  <si>
    <t>Building Career-Technical Education Space Type</t>
  </si>
  <si>
    <t>The classroom, laboratory, or shop specially located, designed, furnished, and equipped to support instruction of technical and technology related curriculum, usually tied to particular industry, for example, bio-tech, construction, or agriculture.</t>
  </si>
  <si>
    <r>
      <t>02691</t>
    </r>
    <r>
      <rPr>
        <sz val="10"/>
        <color theme="1"/>
        <rFont val="Calibri"/>
        <family val="2"/>
        <scheme val="minor"/>
      </rPr>
      <t xml:space="preserve"> - Aeronautical technology classroom
</t>
    </r>
    <r>
      <rPr>
        <b/>
        <sz val="10"/>
        <color theme="1"/>
        <rFont val="Calibri"/>
        <family val="2"/>
        <scheme val="minor"/>
      </rPr>
      <t>02685</t>
    </r>
    <r>
      <rPr>
        <sz val="10"/>
        <color theme="1"/>
        <rFont val="Calibri"/>
        <family val="2"/>
        <scheme val="minor"/>
      </rPr>
      <t xml:space="preserve"> - Agricultural/natural resources shop
</t>
    </r>
    <r>
      <rPr>
        <b/>
        <sz val="10"/>
        <color theme="1"/>
        <rFont val="Calibri"/>
        <family val="2"/>
        <scheme val="minor"/>
      </rPr>
      <t>02682</t>
    </r>
    <r>
      <rPr>
        <sz val="10"/>
        <color theme="1"/>
        <rFont val="Calibri"/>
        <family val="2"/>
        <scheme val="minor"/>
      </rPr>
      <t xml:space="preserve"> - Automotive/avionics technology shop
</t>
    </r>
    <r>
      <rPr>
        <b/>
        <sz val="10"/>
        <color theme="1"/>
        <rFont val="Calibri"/>
        <family val="2"/>
        <scheme val="minor"/>
      </rPr>
      <t>02687</t>
    </r>
    <r>
      <rPr>
        <sz val="10"/>
        <color theme="1"/>
        <rFont val="Calibri"/>
        <family val="2"/>
        <scheme val="minor"/>
      </rPr>
      <t xml:space="preserve"> - Barbering and cosmetology shop
</t>
    </r>
    <r>
      <rPr>
        <b/>
        <sz val="10"/>
        <color theme="1"/>
        <rFont val="Calibri"/>
        <family val="2"/>
        <scheme val="minor"/>
      </rPr>
      <t>02702</t>
    </r>
    <r>
      <rPr>
        <sz val="10"/>
        <color theme="1"/>
        <rFont val="Calibri"/>
        <family val="2"/>
        <scheme val="minor"/>
      </rPr>
      <t xml:space="preserve"> - Biotechnology laboratory
</t>
    </r>
    <r>
      <rPr>
        <b/>
        <sz val="10"/>
        <color theme="1"/>
        <rFont val="Calibri"/>
        <family val="2"/>
        <scheme val="minor"/>
      </rPr>
      <t>02692</t>
    </r>
    <r>
      <rPr>
        <sz val="10"/>
        <color theme="1"/>
        <rFont val="Calibri"/>
        <family val="2"/>
        <scheme val="minor"/>
      </rPr>
      <t xml:space="preserve"> - Building construction technology shop
</t>
    </r>
    <r>
      <rPr>
        <b/>
        <sz val="10"/>
        <color theme="1"/>
        <rFont val="Calibri"/>
        <family val="2"/>
        <scheme val="minor"/>
      </rPr>
      <t>02697</t>
    </r>
    <r>
      <rPr>
        <sz val="10"/>
        <color theme="1"/>
        <rFont val="Calibri"/>
        <family val="2"/>
        <scheme val="minor"/>
      </rPr>
      <t xml:space="preserve"> - Business and administrative services/office management laboratory
</t>
    </r>
    <r>
      <rPr>
        <b/>
        <sz val="10"/>
        <color theme="1"/>
        <rFont val="Calibri"/>
        <family val="2"/>
        <scheme val="minor"/>
      </rPr>
      <t>02678</t>
    </r>
    <r>
      <rPr>
        <sz val="10"/>
        <color theme="1"/>
        <rFont val="Calibri"/>
        <family val="2"/>
        <scheme val="minor"/>
      </rPr>
      <t xml:space="preserve"> - Computer/information technology laboratory
</t>
    </r>
    <r>
      <rPr>
        <b/>
        <sz val="10"/>
        <color theme="1"/>
        <rFont val="Calibri"/>
        <family val="2"/>
        <scheme val="minor"/>
      </rPr>
      <t>02680</t>
    </r>
    <r>
      <rPr>
        <sz val="10"/>
        <color theme="1"/>
        <rFont val="Calibri"/>
        <family val="2"/>
        <scheme val="minor"/>
      </rPr>
      <t xml:space="preserve"> - Consumer science - clothing classroom
</t>
    </r>
    <r>
      <rPr>
        <b/>
        <sz val="10"/>
        <color theme="1"/>
        <rFont val="Calibri"/>
        <family val="2"/>
        <scheme val="minor"/>
      </rPr>
      <t>02679</t>
    </r>
    <r>
      <rPr>
        <sz val="10"/>
        <color theme="1"/>
        <rFont val="Calibri"/>
        <family val="2"/>
        <scheme val="minor"/>
      </rPr>
      <t xml:space="preserve"> - Consumer science - food classroom
</t>
    </r>
    <r>
      <rPr>
        <b/>
        <sz val="10"/>
        <color theme="1"/>
        <rFont val="Calibri"/>
        <family val="2"/>
        <scheme val="minor"/>
      </rPr>
      <t>02690</t>
    </r>
    <r>
      <rPr>
        <sz val="10"/>
        <color theme="1"/>
        <rFont val="Calibri"/>
        <family val="2"/>
        <scheme val="minor"/>
      </rPr>
      <t xml:space="preserve"> - Dental science classroom
</t>
    </r>
    <r>
      <rPr>
        <b/>
        <sz val="10"/>
        <color theme="1"/>
        <rFont val="Calibri"/>
        <family val="2"/>
        <scheme val="minor"/>
      </rPr>
      <t>02684</t>
    </r>
    <r>
      <rPr>
        <sz val="10"/>
        <color theme="1"/>
        <rFont val="Calibri"/>
        <family val="2"/>
        <scheme val="minor"/>
      </rPr>
      <t xml:space="preserve"> - Drafting room/CAD/CAM
</t>
    </r>
    <r>
      <rPr>
        <b/>
        <sz val="10"/>
        <color theme="1"/>
        <rFont val="Calibri"/>
        <family val="2"/>
        <scheme val="minor"/>
      </rPr>
      <t>02699</t>
    </r>
    <r>
      <rPr>
        <sz val="10"/>
        <color theme="1"/>
        <rFont val="Calibri"/>
        <family val="2"/>
        <scheme val="minor"/>
      </rPr>
      <t xml:space="preserve"> - Early childhood laboratory/child care center
</t>
    </r>
    <r>
      <rPr>
        <b/>
        <sz val="10"/>
        <color theme="1"/>
        <rFont val="Calibri"/>
        <family val="2"/>
        <scheme val="minor"/>
      </rPr>
      <t>02683</t>
    </r>
    <r>
      <rPr>
        <sz val="10"/>
        <color theme="1"/>
        <rFont val="Calibri"/>
        <family val="2"/>
        <scheme val="minor"/>
      </rPr>
      <t xml:space="preserve"> - Electronics/engineering technology laboratory
</t>
    </r>
    <r>
      <rPr>
        <b/>
        <sz val="10"/>
        <color theme="1"/>
        <rFont val="Calibri"/>
        <family val="2"/>
        <scheme val="minor"/>
      </rPr>
      <t>02681</t>
    </r>
    <r>
      <rPr>
        <sz val="10"/>
        <color theme="1"/>
        <rFont val="Calibri"/>
        <family val="2"/>
        <scheme val="minor"/>
      </rPr>
      <t xml:space="preserve"> - Family and consumer science
</t>
    </r>
    <r>
      <rPr>
        <b/>
        <sz val="10"/>
        <color theme="1"/>
        <rFont val="Calibri"/>
        <family val="2"/>
        <scheme val="minor"/>
      </rPr>
      <t>02695</t>
    </r>
    <r>
      <rPr>
        <sz val="10"/>
        <color theme="1"/>
        <rFont val="Calibri"/>
        <family val="2"/>
        <scheme val="minor"/>
      </rPr>
      <t xml:space="preserve"> - Financial services center/bank
</t>
    </r>
    <r>
      <rPr>
        <b/>
        <sz val="10"/>
        <color theme="1"/>
        <rFont val="Calibri"/>
        <family val="2"/>
        <scheme val="minor"/>
      </rPr>
      <t>02696</t>
    </r>
    <r>
      <rPr>
        <sz val="10"/>
        <color theme="1"/>
        <rFont val="Calibri"/>
        <family val="2"/>
        <scheme val="minor"/>
      </rPr>
      <t xml:space="preserve"> - Food services/hospitality laboratory
</t>
    </r>
    <r>
      <rPr>
        <b/>
        <sz val="10"/>
        <color theme="1"/>
        <rFont val="Calibri"/>
        <family val="2"/>
        <scheme val="minor"/>
      </rPr>
      <t>02700</t>
    </r>
    <r>
      <rPr>
        <sz val="10"/>
        <color theme="1"/>
        <rFont val="Calibri"/>
        <family val="2"/>
        <scheme val="minor"/>
      </rPr>
      <t xml:space="preserve"> - Graphic/digital arts and design studio
</t>
    </r>
    <r>
      <rPr>
        <b/>
        <sz val="10"/>
        <color theme="1"/>
        <rFont val="Calibri"/>
        <family val="2"/>
        <scheme val="minor"/>
      </rPr>
      <t>02686</t>
    </r>
    <r>
      <rPr>
        <sz val="10"/>
        <color theme="1"/>
        <rFont val="Calibri"/>
        <family val="2"/>
        <scheme val="minor"/>
      </rPr>
      <t xml:space="preserve"> - Greenhouse
</t>
    </r>
    <r>
      <rPr>
        <b/>
        <sz val="10"/>
        <color theme="1"/>
        <rFont val="Calibri"/>
        <family val="2"/>
        <scheme val="minor"/>
      </rPr>
      <t>02698</t>
    </r>
    <r>
      <rPr>
        <sz val="10"/>
        <color theme="1"/>
        <rFont val="Calibri"/>
        <family val="2"/>
        <scheme val="minor"/>
      </rPr>
      <t xml:space="preserve"> - Health occupations laboratory
</t>
    </r>
    <r>
      <rPr>
        <b/>
        <sz val="10"/>
        <color theme="1"/>
        <rFont val="Calibri"/>
        <family val="2"/>
        <scheme val="minor"/>
      </rPr>
      <t>02701</t>
    </r>
    <r>
      <rPr>
        <sz val="10"/>
        <color theme="1"/>
        <rFont val="Calibri"/>
        <family val="2"/>
        <scheme val="minor"/>
      </rPr>
      <t xml:space="preserve"> - Law enforcement/fire technology/protective services laboratory
</t>
    </r>
    <r>
      <rPr>
        <b/>
        <sz val="10"/>
        <color theme="1"/>
        <rFont val="Calibri"/>
        <family val="2"/>
        <scheme val="minor"/>
      </rPr>
      <t>02688</t>
    </r>
    <r>
      <rPr>
        <sz val="10"/>
        <color theme="1"/>
        <rFont val="Calibri"/>
        <family val="2"/>
        <scheme val="minor"/>
      </rPr>
      <t xml:space="preserve"> - Multimedia production studio/communications
</t>
    </r>
    <r>
      <rPr>
        <b/>
        <sz val="10"/>
        <color theme="1"/>
        <rFont val="Calibri"/>
        <family val="2"/>
        <scheme val="minor"/>
      </rPr>
      <t>02693</t>
    </r>
    <r>
      <rPr>
        <sz val="10"/>
        <color theme="1"/>
        <rFont val="Calibri"/>
        <family val="2"/>
        <scheme val="minor"/>
      </rPr>
      <t xml:space="preserve"> - Precision manufacturing laboratory/metalworking shop
</t>
    </r>
    <r>
      <rPr>
        <b/>
        <sz val="10"/>
        <color theme="1"/>
        <rFont val="Calibri"/>
        <family val="2"/>
        <scheme val="minor"/>
      </rPr>
      <t>02694</t>
    </r>
    <r>
      <rPr>
        <sz val="10"/>
        <color theme="1"/>
        <rFont val="Calibri"/>
        <family val="2"/>
        <scheme val="minor"/>
      </rPr>
      <t xml:space="preserve"> - Retail store/entrepreneurship laboratory
</t>
    </r>
    <r>
      <rPr>
        <b/>
        <sz val="10"/>
        <color theme="1"/>
        <rFont val="Calibri"/>
        <family val="2"/>
        <scheme val="minor"/>
      </rPr>
      <t>02689</t>
    </r>
    <r>
      <rPr>
        <sz val="10"/>
        <color theme="1"/>
        <rFont val="Calibri"/>
        <family val="2"/>
        <scheme val="minor"/>
      </rPr>
      <t xml:space="preserve"> - Wood shop
</t>
    </r>
    <r>
      <rPr>
        <b/>
        <sz val="10"/>
        <color theme="1"/>
        <rFont val="Calibri"/>
        <family val="2"/>
        <scheme val="minor"/>
      </rPr>
      <t>09999</t>
    </r>
    <r>
      <rPr>
        <sz val="10"/>
        <color theme="1"/>
        <rFont val="Calibri"/>
        <family val="2"/>
        <scheme val="minor"/>
      </rPr>
      <t xml:space="preserve"> - Other
</t>
    </r>
  </si>
  <si>
    <t>001817</t>
  </si>
  <si>
    <t>BuildingCareer-TechnicalEducationSpaceType</t>
  </si>
  <si>
    <t>Building Charter School Realty Access Type</t>
  </si>
  <si>
    <t>The type of real estate vehicle through which a public charter school has access and control of its building space.</t>
  </si>
  <si>
    <r>
      <t>13691</t>
    </r>
    <r>
      <rPr>
        <sz val="10"/>
        <color theme="1"/>
        <rFont val="Calibri"/>
        <family val="2"/>
        <scheme val="minor"/>
      </rPr>
      <t xml:space="preserve"> - Leasehold
</t>
    </r>
    <r>
      <rPr>
        <b/>
        <sz val="10"/>
        <color theme="1"/>
        <rFont val="Calibri"/>
        <family val="2"/>
        <scheme val="minor"/>
      </rPr>
      <t>13692</t>
    </r>
    <r>
      <rPr>
        <sz val="10"/>
        <color theme="1"/>
        <rFont val="Calibri"/>
        <family val="2"/>
        <scheme val="minor"/>
      </rPr>
      <t xml:space="preserve"> - Ownership by Charter Non-Profit Corporation
</t>
    </r>
    <r>
      <rPr>
        <b/>
        <sz val="10"/>
        <color theme="1"/>
        <rFont val="Calibri"/>
        <family val="2"/>
        <scheme val="minor"/>
      </rPr>
      <t>13693</t>
    </r>
    <r>
      <rPr>
        <sz val="10"/>
        <color theme="1"/>
        <rFont val="Calibri"/>
        <family val="2"/>
        <scheme val="minor"/>
      </rPr>
      <t xml:space="preserve"> - Third Party Non-Profit Ownership
</t>
    </r>
    <r>
      <rPr>
        <b/>
        <sz val="10"/>
        <color theme="1"/>
        <rFont val="Calibri"/>
        <family val="2"/>
        <scheme val="minor"/>
      </rPr>
      <t>14907</t>
    </r>
    <r>
      <rPr>
        <sz val="10"/>
        <color theme="1"/>
        <rFont val="Calibri"/>
        <family val="2"/>
        <scheme val="minor"/>
      </rPr>
      <t xml:space="preserve"> - Third-party public sector ownership
</t>
    </r>
  </si>
  <si>
    <t>Facilities -&gt; Facility -&gt; Management</t>
  </si>
  <si>
    <t>001865</t>
  </si>
  <si>
    <t>BuildingCharterSchoolRealtyAccessType</t>
  </si>
  <si>
    <t>Building Circulation Space Type</t>
  </si>
  <si>
    <t>A space designed to enable people to move within the building.</t>
  </si>
  <si>
    <r>
      <t>02516</t>
    </r>
    <r>
      <rPr>
        <sz val="10"/>
        <color theme="1"/>
        <rFont val="Calibri"/>
        <family val="2"/>
        <scheme val="minor"/>
      </rPr>
      <t xml:space="preserve"> - Elevator
</t>
    </r>
    <r>
      <rPr>
        <b/>
        <sz val="10"/>
        <color theme="1"/>
        <rFont val="Calibri"/>
        <family val="2"/>
        <scheme val="minor"/>
      </rPr>
      <t>02517</t>
    </r>
    <r>
      <rPr>
        <sz val="10"/>
        <color theme="1"/>
        <rFont val="Calibri"/>
        <family val="2"/>
        <scheme val="minor"/>
      </rPr>
      <t xml:space="preserve"> - Escalator
</t>
    </r>
    <r>
      <rPr>
        <b/>
        <sz val="10"/>
        <color theme="1"/>
        <rFont val="Calibri"/>
        <family val="2"/>
        <scheme val="minor"/>
      </rPr>
      <t>02774</t>
    </r>
    <r>
      <rPr>
        <sz val="10"/>
        <color theme="1"/>
        <rFont val="Calibri"/>
        <family val="2"/>
        <scheme val="minor"/>
      </rPr>
      <t xml:space="preserve"> - Hallway
</t>
    </r>
    <r>
      <rPr>
        <b/>
        <sz val="10"/>
        <color theme="1"/>
        <rFont val="Calibri"/>
        <family val="2"/>
        <scheme val="minor"/>
      </rPr>
      <t>13619</t>
    </r>
    <r>
      <rPr>
        <sz val="10"/>
        <color theme="1"/>
        <rFont val="Calibri"/>
        <family val="2"/>
        <scheme val="minor"/>
      </rPr>
      <t xml:space="preserve"> - Handicap Access Ramp
</t>
    </r>
    <r>
      <rPr>
        <b/>
        <sz val="10"/>
        <color theme="1"/>
        <rFont val="Calibri"/>
        <family val="2"/>
        <scheme val="minor"/>
      </rPr>
      <t>13593</t>
    </r>
    <r>
      <rPr>
        <sz val="10"/>
        <color theme="1"/>
        <rFont val="Calibri"/>
        <family val="2"/>
        <scheme val="minor"/>
      </rPr>
      <t xml:space="preserve"> - Lift
</t>
    </r>
    <r>
      <rPr>
        <b/>
        <sz val="10"/>
        <color theme="1"/>
        <rFont val="Calibri"/>
        <family val="2"/>
        <scheme val="minor"/>
      </rPr>
      <t>02776</t>
    </r>
    <r>
      <rPr>
        <sz val="10"/>
        <color theme="1"/>
        <rFont val="Calibri"/>
        <family val="2"/>
        <scheme val="minor"/>
      </rPr>
      <t xml:space="preserve"> - Lobby
</t>
    </r>
    <r>
      <rPr>
        <b/>
        <sz val="10"/>
        <color theme="1"/>
        <rFont val="Calibri"/>
        <family val="2"/>
        <scheme val="minor"/>
      </rPr>
      <t>13594</t>
    </r>
    <r>
      <rPr>
        <sz val="10"/>
        <color theme="1"/>
        <rFont val="Calibri"/>
        <family val="2"/>
        <scheme val="minor"/>
      </rPr>
      <t xml:space="preserve"> - Moving Walk
</t>
    </r>
    <r>
      <rPr>
        <b/>
        <sz val="10"/>
        <color theme="1"/>
        <rFont val="Calibri"/>
        <family val="2"/>
        <scheme val="minor"/>
      </rPr>
      <t>02775</t>
    </r>
    <r>
      <rPr>
        <sz val="10"/>
        <color theme="1"/>
        <rFont val="Calibri"/>
        <family val="2"/>
        <scheme val="minor"/>
      </rPr>
      <t xml:space="preserve"> - Stairway
</t>
    </r>
    <r>
      <rPr>
        <b/>
        <sz val="10"/>
        <color theme="1"/>
        <rFont val="Calibri"/>
        <family val="2"/>
        <scheme val="minor"/>
      </rPr>
      <t>09999</t>
    </r>
    <r>
      <rPr>
        <sz val="10"/>
        <color theme="1"/>
        <rFont val="Calibri"/>
        <family val="2"/>
        <scheme val="minor"/>
      </rPr>
      <t xml:space="preserve"> - Other
</t>
    </r>
  </si>
  <si>
    <t>001818</t>
  </si>
  <si>
    <t>BuildingCirculationSpaceType</t>
  </si>
  <si>
    <t>Building Cleaning Standard Type</t>
  </si>
  <si>
    <t>The standard for cleanliness, and benchmarks for how much space can be assigned to one properly supplied custodian to meet these standards.</t>
  </si>
  <si>
    <r>
      <t>02831</t>
    </r>
    <r>
      <rPr>
        <sz val="10"/>
        <color theme="1"/>
        <rFont val="Calibri"/>
        <family val="2"/>
        <scheme val="minor"/>
      </rPr>
      <t xml:space="preserve"> - Level 1 cleaning
</t>
    </r>
    <r>
      <rPr>
        <b/>
        <sz val="10"/>
        <color theme="1"/>
        <rFont val="Calibri"/>
        <family val="2"/>
        <scheme val="minor"/>
      </rPr>
      <t>02832</t>
    </r>
    <r>
      <rPr>
        <sz val="10"/>
        <color theme="1"/>
        <rFont val="Calibri"/>
        <family val="2"/>
        <scheme val="minor"/>
      </rPr>
      <t xml:space="preserve"> - Level 2 cleaning
</t>
    </r>
    <r>
      <rPr>
        <b/>
        <sz val="10"/>
        <color theme="1"/>
        <rFont val="Calibri"/>
        <family val="2"/>
        <scheme val="minor"/>
      </rPr>
      <t>02833</t>
    </r>
    <r>
      <rPr>
        <sz val="10"/>
        <color theme="1"/>
        <rFont val="Calibri"/>
        <family val="2"/>
        <scheme val="minor"/>
      </rPr>
      <t xml:space="preserve"> - Level 3 cleaning
</t>
    </r>
    <r>
      <rPr>
        <b/>
        <sz val="10"/>
        <color theme="1"/>
        <rFont val="Calibri"/>
        <family val="2"/>
        <scheme val="minor"/>
      </rPr>
      <t>02834</t>
    </r>
    <r>
      <rPr>
        <sz val="10"/>
        <color theme="1"/>
        <rFont val="Calibri"/>
        <family val="2"/>
        <scheme val="minor"/>
      </rPr>
      <t xml:space="preserve"> - Level 4 cleaning
</t>
    </r>
    <r>
      <rPr>
        <b/>
        <sz val="10"/>
        <color theme="1"/>
        <rFont val="Calibri"/>
        <family val="2"/>
        <scheme val="minor"/>
      </rPr>
      <t>02835</t>
    </r>
    <r>
      <rPr>
        <sz val="10"/>
        <color theme="1"/>
        <rFont val="Calibri"/>
        <family val="2"/>
        <scheme val="minor"/>
      </rPr>
      <t xml:space="preserve"> - Level 5 cleaning
</t>
    </r>
  </si>
  <si>
    <t>001866</t>
  </si>
  <si>
    <t>BuildingCleaningStandardType</t>
  </si>
  <si>
    <t>Building Communications Management Component System Type</t>
  </si>
  <si>
    <t>The type of system, interface, and management components for carrying voice, video, and data throughout a building.</t>
  </si>
  <si>
    <r>
      <t>02500</t>
    </r>
    <r>
      <rPr>
        <sz val="10"/>
        <color theme="1"/>
        <rFont val="Calibri"/>
        <family val="2"/>
        <scheme val="minor"/>
      </rPr>
      <t xml:space="preserve"> - Data
</t>
    </r>
    <r>
      <rPr>
        <b/>
        <sz val="10"/>
        <color theme="1"/>
        <rFont val="Calibri"/>
        <family val="2"/>
        <scheme val="minor"/>
      </rPr>
      <t>14905</t>
    </r>
    <r>
      <rPr>
        <sz val="10"/>
        <color theme="1"/>
        <rFont val="Calibri"/>
        <family val="2"/>
        <scheme val="minor"/>
      </rPr>
      <t xml:space="preserve"> - Integrated (voice, data, video, etc.)
</t>
    </r>
    <r>
      <rPr>
        <b/>
        <sz val="10"/>
        <color theme="1"/>
        <rFont val="Calibri"/>
        <family val="2"/>
        <scheme val="minor"/>
      </rPr>
      <t>02501</t>
    </r>
    <r>
      <rPr>
        <sz val="10"/>
        <color theme="1"/>
        <rFont val="Calibri"/>
        <family val="2"/>
        <scheme val="minor"/>
      </rPr>
      <t xml:space="preserve"> - Public address system
</t>
    </r>
    <r>
      <rPr>
        <b/>
        <sz val="10"/>
        <color theme="1"/>
        <rFont val="Calibri"/>
        <family val="2"/>
        <scheme val="minor"/>
      </rPr>
      <t>02499</t>
    </r>
    <r>
      <rPr>
        <sz val="10"/>
        <color theme="1"/>
        <rFont val="Calibri"/>
        <family val="2"/>
        <scheme val="minor"/>
      </rPr>
      <t xml:space="preserve"> - Video
</t>
    </r>
    <r>
      <rPr>
        <b/>
        <sz val="10"/>
        <color theme="1"/>
        <rFont val="Calibri"/>
        <family val="2"/>
        <scheme val="minor"/>
      </rPr>
      <t>02498</t>
    </r>
    <r>
      <rPr>
        <sz val="10"/>
        <color theme="1"/>
        <rFont val="Calibri"/>
        <family val="2"/>
        <scheme val="minor"/>
      </rPr>
      <t xml:space="preserve"> - Voice
</t>
    </r>
    <r>
      <rPr>
        <b/>
        <sz val="10"/>
        <color theme="1"/>
        <rFont val="Calibri"/>
        <family val="2"/>
        <scheme val="minor"/>
      </rPr>
      <t>09999</t>
    </r>
    <r>
      <rPr>
        <sz val="10"/>
        <color theme="1"/>
        <rFont val="Calibri"/>
        <family val="2"/>
        <scheme val="minor"/>
      </rPr>
      <t xml:space="preserve"> - Other
</t>
    </r>
  </si>
  <si>
    <t>001791</t>
  </si>
  <si>
    <t>BuildingCommunicationsManagementComponentSystemType</t>
  </si>
  <si>
    <t>Building Community Use Space Type</t>
  </si>
  <si>
    <t>The space designed primarily for community or shared use.</t>
  </si>
  <si>
    <r>
      <t>02764</t>
    </r>
    <r>
      <rPr>
        <sz val="10"/>
        <color theme="1"/>
        <rFont val="Calibri"/>
        <family val="2"/>
        <scheme val="minor"/>
      </rPr>
      <t xml:space="preserve"> - Before- and after-school care
</t>
    </r>
    <r>
      <rPr>
        <b/>
        <sz val="10"/>
        <color theme="1"/>
        <rFont val="Calibri"/>
        <family val="2"/>
        <scheme val="minor"/>
      </rPr>
      <t>02760</t>
    </r>
    <r>
      <rPr>
        <sz val="10"/>
        <color theme="1"/>
        <rFont val="Calibri"/>
        <family val="2"/>
        <scheme val="minor"/>
      </rPr>
      <t xml:space="preserve"> - Before- and after-school office
</t>
    </r>
    <r>
      <rPr>
        <b/>
        <sz val="10"/>
        <color theme="1"/>
        <rFont val="Calibri"/>
        <family val="2"/>
        <scheme val="minor"/>
      </rPr>
      <t>02761</t>
    </r>
    <r>
      <rPr>
        <sz val="10"/>
        <color theme="1"/>
        <rFont val="Calibri"/>
        <family val="2"/>
        <scheme val="minor"/>
      </rPr>
      <t xml:space="preserve"> - Child care and development space
</t>
    </r>
    <r>
      <rPr>
        <b/>
        <sz val="10"/>
        <color theme="1"/>
        <rFont val="Calibri"/>
        <family val="2"/>
        <scheme val="minor"/>
      </rPr>
      <t>02765</t>
    </r>
    <r>
      <rPr>
        <sz val="10"/>
        <color theme="1"/>
        <rFont val="Calibri"/>
        <family val="2"/>
        <scheme val="minor"/>
      </rPr>
      <t xml:space="preserve"> - Community room
</t>
    </r>
    <r>
      <rPr>
        <b/>
        <sz val="10"/>
        <color theme="1"/>
        <rFont val="Calibri"/>
        <family val="2"/>
        <scheme val="minor"/>
      </rPr>
      <t>02767</t>
    </r>
    <r>
      <rPr>
        <sz val="10"/>
        <color theme="1"/>
        <rFont val="Calibri"/>
        <family val="2"/>
        <scheme val="minor"/>
      </rPr>
      <t xml:space="preserve"> - Family resource center
</t>
    </r>
    <r>
      <rPr>
        <b/>
        <sz val="10"/>
        <color theme="1"/>
        <rFont val="Calibri"/>
        <family val="2"/>
        <scheme val="minor"/>
      </rPr>
      <t>02766</t>
    </r>
    <r>
      <rPr>
        <sz val="10"/>
        <color theme="1"/>
        <rFont val="Calibri"/>
        <family val="2"/>
        <scheme val="minor"/>
      </rPr>
      <t xml:space="preserve"> - Full-service health clinic
</t>
    </r>
    <r>
      <rPr>
        <b/>
        <sz val="10"/>
        <color theme="1"/>
        <rFont val="Calibri"/>
        <family val="2"/>
        <scheme val="minor"/>
      </rPr>
      <t>02987</t>
    </r>
    <r>
      <rPr>
        <sz val="10"/>
        <color theme="1"/>
        <rFont val="Calibri"/>
        <family val="2"/>
        <scheme val="minor"/>
      </rPr>
      <t xml:space="preserve"> - Head Start space
</t>
    </r>
    <r>
      <rPr>
        <b/>
        <sz val="10"/>
        <color theme="1"/>
        <rFont val="Calibri"/>
        <family val="2"/>
        <scheme val="minor"/>
      </rPr>
      <t>02762</t>
    </r>
    <r>
      <rPr>
        <sz val="10"/>
        <color theme="1"/>
        <rFont val="Calibri"/>
        <family val="2"/>
        <scheme val="minor"/>
      </rPr>
      <t xml:space="preserve"> - Health clinic
</t>
    </r>
    <r>
      <rPr>
        <b/>
        <sz val="10"/>
        <color theme="1"/>
        <rFont val="Calibri"/>
        <family val="2"/>
        <scheme val="minor"/>
      </rPr>
      <t>02763</t>
    </r>
    <r>
      <rPr>
        <sz val="10"/>
        <color theme="1"/>
        <rFont val="Calibri"/>
        <family val="2"/>
        <scheme val="minor"/>
      </rPr>
      <t xml:space="preserve"> - Parent room
</t>
    </r>
    <r>
      <rPr>
        <b/>
        <sz val="10"/>
        <color theme="1"/>
        <rFont val="Calibri"/>
        <family val="2"/>
        <scheme val="minor"/>
      </rPr>
      <t>09999</t>
    </r>
    <r>
      <rPr>
        <sz val="10"/>
        <color theme="1"/>
        <rFont val="Calibri"/>
        <family val="2"/>
        <scheme val="minor"/>
      </rPr>
      <t xml:space="preserve"> - Other
</t>
    </r>
  </si>
  <si>
    <t>001855</t>
  </si>
  <si>
    <t>BuildingCommunityUseSpaceType</t>
  </si>
  <si>
    <t>Building Cooling Generation System Type</t>
  </si>
  <si>
    <t>The type of mechanical systems and building designs used for cooling.</t>
  </si>
  <si>
    <r>
      <t>02490</t>
    </r>
    <r>
      <rPr>
        <sz val="10"/>
        <color theme="1"/>
        <rFont val="Calibri"/>
        <family val="2"/>
        <scheme val="minor"/>
      </rPr>
      <t xml:space="preserve"> - Ceiling fans or ventilation fans
</t>
    </r>
    <r>
      <rPr>
        <b/>
        <sz val="10"/>
        <color theme="1"/>
        <rFont val="Calibri"/>
        <family val="2"/>
        <scheme val="minor"/>
      </rPr>
      <t>02486</t>
    </r>
    <r>
      <rPr>
        <sz val="10"/>
        <color theme="1"/>
        <rFont val="Calibri"/>
        <family val="2"/>
        <scheme val="minor"/>
      </rPr>
      <t xml:space="preserve"> - Central cooling system
</t>
    </r>
    <r>
      <rPr>
        <b/>
        <sz val="10"/>
        <color theme="1"/>
        <rFont val="Calibri"/>
        <family val="2"/>
        <scheme val="minor"/>
      </rPr>
      <t>02489</t>
    </r>
    <r>
      <rPr>
        <sz val="10"/>
        <color theme="1"/>
        <rFont val="Calibri"/>
        <family val="2"/>
        <scheme val="minor"/>
      </rPr>
      <t xml:space="preserve"> - Combination cooling systems
</t>
    </r>
    <r>
      <rPr>
        <b/>
        <sz val="10"/>
        <color theme="1"/>
        <rFont val="Calibri"/>
        <family val="2"/>
        <scheme val="minor"/>
      </rPr>
      <t>02488</t>
    </r>
    <r>
      <rPr>
        <sz val="10"/>
        <color theme="1"/>
        <rFont val="Calibri"/>
        <family val="2"/>
        <scheme val="minor"/>
      </rPr>
      <t xml:space="preserve"> - Individual (room) unit cooling system
</t>
    </r>
    <r>
      <rPr>
        <b/>
        <sz val="10"/>
        <color theme="1"/>
        <rFont val="Calibri"/>
        <family val="2"/>
        <scheme val="minor"/>
      </rPr>
      <t>02487</t>
    </r>
    <r>
      <rPr>
        <sz val="10"/>
        <color theme="1"/>
        <rFont val="Calibri"/>
        <family val="2"/>
        <scheme val="minor"/>
      </rPr>
      <t xml:space="preserve"> - Local zone cooling system
</t>
    </r>
    <r>
      <rPr>
        <b/>
        <sz val="10"/>
        <color theme="1"/>
        <rFont val="Calibri"/>
        <family val="2"/>
        <scheme val="minor"/>
      </rPr>
      <t>02491</t>
    </r>
    <r>
      <rPr>
        <sz val="10"/>
        <color theme="1"/>
        <rFont val="Calibri"/>
        <family val="2"/>
        <scheme val="minor"/>
      </rPr>
      <t xml:space="preserve"> - Natural systems
</t>
    </r>
    <r>
      <rPr>
        <b/>
        <sz val="10"/>
        <color theme="1"/>
        <rFont val="Calibri"/>
        <family val="2"/>
        <scheme val="minor"/>
      </rPr>
      <t>09998</t>
    </r>
    <r>
      <rPr>
        <sz val="10"/>
        <color theme="1"/>
        <rFont val="Calibri"/>
        <family val="2"/>
        <scheme val="minor"/>
      </rPr>
      <t xml:space="preserve"> - None
</t>
    </r>
    <r>
      <rPr>
        <b/>
        <sz val="10"/>
        <color theme="1"/>
        <rFont val="Calibri"/>
        <family val="2"/>
        <scheme val="minor"/>
      </rPr>
      <t>09999</t>
    </r>
    <r>
      <rPr>
        <sz val="10"/>
        <color theme="1"/>
        <rFont val="Calibri"/>
        <family val="2"/>
        <scheme val="minor"/>
      </rPr>
      <t xml:space="preserve"> - Other
</t>
    </r>
  </si>
  <si>
    <t>001794</t>
  </si>
  <si>
    <t>BuildingCoolingGenerationSystemType</t>
  </si>
  <si>
    <t>Building Date of Certificate of Occupancy</t>
  </si>
  <si>
    <t>The month, day and year in which a certificate of occupancy was granted by the appropriate local authority.</t>
  </si>
  <si>
    <t>001880</t>
  </si>
  <si>
    <t>BuildingDateOfCertificateOfOccupancy</t>
  </si>
  <si>
    <t>Building Design Type</t>
  </si>
  <si>
    <t>The primary design or purpose of a building, as determined by its physical layout and built-in systems and equipment, regardless of its current use.</t>
  </si>
  <si>
    <r>
      <t>02621</t>
    </r>
    <r>
      <rPr>
        <sz val="10"/>
        <color theme="1"/>
        <rFont val="Calibri"/>
        <family val="2"/>
        <scheme val="minor"/>
      </rPr>
      <t xml:space="preserve"> - Assembly building
</t>
    </r>
    <r>
      <rPr>
        <b/>
        <sz val="10"/>
        <color theme="1"/>
        <rFont val="Calibri"/>
        <family val="2"/>
        <scheme val="minor"/>
      </rPr>
      <t>02614</t>
    </r>
    <r>
      <rPr>
        <sz val="10"/>
        <color theme="1"/>
        <rFont val="Calibri"/>
        <family val="2"/>
        <scheme val="minor"/>
      </rPr>
      <t xml:space="preserve"> - Central kitchen building
</t>
    </r>
    <r>
      <rPr>
        <b/>
        <sz val="10"/>
        <color theme="1"/>
        <rFont val="Calibri"/>
        <family val="2"/>
        <scheme val="minor"/>
      </rPr>
      <t>02619</t>
    </r>
    <r>
      <rPr>
        <sz val="10"/>
        <color theme="1"/>
        <rFont val="Calibri"/>
        <family val="2"/>
        <scheme val="minor"/>
      </rPr>
      <t xml:space="preserve"> - Dormitory building
</t>
    </r>
    <r>
      <rPr>
        <b/>
        <sz val="10"/>
        <color theme="1"/>
        <rFont val="Calibri"/>
        <family val="2"/>
        <scheme val="minor"/>
      </rPr>
      <t>02616</t>
    </r>
    <r>
      <rPr>
        <sz val="10"/>
        <color theme="1"/>
        <rFont val="Calibri"/>
        <family val="2"/>
        <scheme val="minor"/>
      </rPr>
      <t xml:space="preserve"> - Field house building
</t>
    </r>
    <r>
      <rPr>
        <b/>
        <sz val="10"/>
        <color theme="1"/>
        <rFont val="Calibri"/>
        <family val="2"/>
        <scheme val="minor"/>
      </rPr>
      <t>02613</t>
    </r>
    <r>
      <rPr>
        <sz val="10"/>
        <color theme="1"/>
        <rFont val="Calibri"/>
        <family val="2"/>
        <scheme val="minor"/>
      </rPr>
      <t xml:space="preserve"> - Garage building
</t>
    </r>
    <r>
      <rPr>
        <b/>
        <sz val="10"/>
        <color theme="1"/>
        <rFont val="Calibri"/>
        <family val="2"/>
        <scheme val="minor"/>
      </rPr>
      <t>02620</t>
    </r>
    <r>
      <rPr>
        <sz val="10"/>
        <color theme="1"/>
        <rFont val="Calibri"/>
        <family val="2"/>
        <scheme val="minor"/>
      </rPr>
      <t xml:space="preserve"> - Gymnasium building
</t>
    </r>
    <r>
      <rPr>
        <b/>
        <sz val="10"/>
        <color theme="1"/>
        <rFont val="Calibri"/>
        <family val="2"/>
        <scheme val="minor"/>
      </rPr>
      <t>02617</t>
    </r>
    <r>
      <rPr>
        <sz val="10"/>
        <color theme="1"/>
        <rFont val="Calibri"/>
        <family val="2"/>
        <scheme val="minor"/>
      </rPr>
      <t xml:space="preserve"> - Media production center building
</t>
    </r>
    <r>
      <rPr>
        <b/>
        <sz val="10"/>
        <color theme="1"/>
        <rFont val="Calibri"/>
        <family val="2"/>
        <scheme val="minor"/>
      </rPr>
      <t>02618</t>
    </r>
    <r>
      <rPr>
        <sz val="10"/>
        <color theme="1"/>
        <rFont val="Calibri"/>
        <family val="2"/>
        <scheme val="minor"/>
      </rPr>
      <t xml:space="preserve"> - Natatorium
</t>
    </r>
    <r>
      <rPr>
        <b/>
        <sz val="10"/>
        <color theme="1"/>
        <rFont val="Calibri"/>
        <family val="2"/>
        <scheme val="minor"/>
      </rPr>
      <t>02611</t>
    </r>
    <r>
      <rPr>
        <sz val="10"/>
        <color theme="1"/>
        <rFont val="Calibri"/>
        <family val="2"/>
        <scheme val="minor"/>
      </rPr>
      <t xml:space="preserve"> - Office building
</t>
    </r>
    <r>
      <rPr>
        <b/>
        <sz val="10"/>
        <color theme="1"/>
        <rFont val="Calibri"/>
        <family val="2"/>
        <scheme val="minor"/>
      </rPr>
      <t>03106</t>
    </r>
    <r>
      <rPr>
        <sz val="10"/>
        <color theme="1"/>
        <rFont val="Calibri"/>
        <family val="2"/>
        <scheme val="minor"/>
      </rPr>
      <t xml:space="preserve"> - School building
</t>
    </r>
    <r>
      <rPr>
        <b/>
        <sz val="10"/>
        <color theme="1"/>
        <rFont val="Calibri"/>
        <family val="2"/>
        <scheme val="minor"/>
      </rPr>
      <t>02610</t>
    </r>
    <r>
      <rPr>
        <sz val="10"/>
        <color theme="1"/>
        <rFont val="Calibri"/>
        <family val="2"/>
        <scheme val="minor"/>
      </rPr>
      <t xml:space="preserve"> - Service center building
</t>
    </r>
    <r>
      <rPr>
        <b/>
        <sz val="10"/>
        <color theme="1"/>
        <rFont val="Calibri"/>
        <family val="2"/>
        <scheme val="minor"/>
      </rPr>
      <t>02615</t>
    </r>
    <r>
      <rPr>
        <sz val="10"/>
        <color theme="1"/>
        <rFont val="Calibri"/>
        <family val="2"/>
        <scheme val="minor"/>
      </rPr>
      <t xml:space="preserve"> - Stadium building
</t>
    </r>
    <r>
      <rPr>
        <b/>
        <sz val="10"/>
        <color theme="1"/>
        <rFont val="Calibri"/>
        <family val="2"/>
        <scheme val="minor"/>
      </rPr>
      <t>02612</t>
    </r>
    <r>
      <rPr>
        <sz val="10"/>
        <color theme="1"/>
        <rFont val="Calibri"/>
        <family val="2"/>
        <scheme val="minor"/>
      </rPr>
      <t xml:space="preserve"> - Warehouse building
</t>
    </r>
    <r>
      <rPr>
        <b/>
        <sz val="10"/>
        <color theme="1"/>
        <rFont val="Calibri"/>
        <family val="2"/>
        <scheme val="minor"/>
      </rPr>
      <t>09999</t>
    </r>
    <r>
      <rPr>
        <sz val="10"/>
        <color theme="1"/>
        <rFont val="Calibri"/>
        <family val="2"/>
        <scheme val="minor"/>
      </rPr>
      <t xml:space="preserve"> - Other
</t>
    </r>
  </si>
  <si>
    <t>001816</t>
  </si>
  <si>
    <t>BuildingDesignType</t>
  </si>
  <si>
    <t>Building Electrical System Type</t>
  </si>
  <si>
    <t>The components and system required to distribute electricity throughout the building or site.</t>
  </si>
  <si>
    <r>
      <t>02476</t>
    </r>
    <r>
      <rPr>
        <sz val="10"/>
        <color theme="1"/>
        <rFont val="Calibri"/>
        <family val="2"/>
        <scheme val="minor"/>
      </rPr>
      <t xml:space="preserve"> - Circuit breakers
</t>
    </r>
    <r>
      <rPr>
        <b/>
        <sz val="10"/>
        <color theme="1"/>
        <rFont val="Calibri"/>
        <family val="2"/>
        <scheme val="minor"/>
      </rPr>
      <t>13570</t>
    </r>
    <r>
      <rPr>
        <sz val="10"/>
        <color theme="1"/>
        <rFont val="Calibri"/>
        <family val="2"/>
        <scheme val="minor"/>
      </rPr>
      <t xml:space="preserve"> - Communications and security
</t>
    </r>
    <r>
      <rPr>
        <b/>
        <sz val="10"/>
        <color theme="1"/>
        <rFont val="Calibri"/>
        <family val="2"/>
        <scheme val="minor"/>
      </rPr>
      <t>02473</t>
    </r>
    <r>
      <rPr>
        <sz val="10"/>
        <color theme="1"/>
        <rFont val="Calibri"/>
        <family val="2"/>
        <scheme val="minor"/>
      </rPr>
      <t xml:space="preserve"> - Electrical distribution
</t>
    </r>
    <r>
      <rPr>
        <b/>
        <sz val="10"/>
        <color theme="1"/>
        <rFont val="Calibri"/>
        <family val="2"/>
        <scheme val="minor"/>
      </rPr>
      <t>02475</t>
    </r>
    <r>
      <rPr>
        <sz val="10"/>
        <color theme="1"/>
        <rFont val="Calibri"/>
        <family val="2"/>
        <scheme val="minor"/>
      </rPr>
      <t xml:space="preserve"> - Electrical interface
</t>
    </r>
    <r>
      <rPr>
        <b/>
        <sz val="10"/>
        <color theme="1"/>
        <rFont val="Calibri"/>
        <family val="2"/>
        <scheme val="minor"/>
      </rPr>
      <t>13571</t>
    </r>
    <r>
      <rPr>
        <sz val="10"/>
        <color theme="1"/>
        <rFont val="Calibri"/>
        <family val="2"/>
        <scheme val="minor"/>
      </rPr>
      <t xml:space="preserve"> - Electrical service and distribution
</t>
    </r>
    <r>
      <rPr>
        <b/>
        <sz val="10"/>
        <color theme="1"/>
        <rFont val="Calibri"/>
        <family val="2"/>
        <scheme val="minor"/>
      </rPr>
      <t>02472</t>
    </r>
    <r>
      <rPr>
        <sz val="10"/>
        <color theme="1"/>
        <rFont val="Calibri"/>
        <family val="2"/>
        <scheme val="minor"/>
      </rPr>
      <t xml:space="preserve"> - Electrical supply
</t>
    </r>
    <r>
      <rPr>
        <b/>
        <sz val="10"/>
        <color theme="1"/>
        <rFont val="Calibri"/>
        <family val="2"/>
        <scheme val="minor"/>
      </rPr>
      <t>02474</t>
    </r>
    <r>
      <rPr>
        <sz val="10"/>
        <color theme="1"/>
        <rFont val="Calibri"/>
        <family val="2"/>
        <scheme val="minor"/>
      </rPr>
      <t xml:space="preserve"> - Emergency generator
</t>
    </r>
    <r>
      <rPr>
        <b/>
        <sz val="10"/>
        <color theme="1"/>
        <rFont val="Calibri"/>
        <family val="2"/>
        <scheme val="minor"/>
      </rPr>
      <t>13572</t>
    </r>
    <r>
      <rPr>
        <sz val="10"/>
        <color theme="1"/>
        <rFont val="Calibri"/>
        <family val="2"/>
        <scheme val="minor"/>
      </rPr>
      <t xml:space="preserve"> - Lighting and branch wiring
</t>
    </r>
    <r>
      <rPr>
        <b/>
        <sz val="10"/>
        <color theme="1"/>
        <rFont val="Calibri"/>
        <family val="2"/>
        <scheme val="minor"/>
      </rPr>
      <t>09999</t>
    </r>
    <r>
      <rPr>
        <sz val="10"/>
        <color theme="1"/>
        <rFont val="Calibri"/>
        <family val="2"/>
        <scheme val="minor"/>
      </rPr>
      <t xml:space="preserve"> - Other
</t>
    </r>
  </si>
  <si>
    <t>001795</t>
  </si>
  <si>
    <t>BuildingElectricalSystemType</t>
  </si>
  <si>
    <t>Building Energy Conservation Measure Type</t>
  </si>
  <si>
    <t>The type of modification to, or replacement of, a piece of equipment or building shell/system that increases energy efficiency.</t>
  </si>
  <si>
    <r>
      <t>13653</t>
    </r>
    <r>
      <rPr>
        <sz val="10"/>
        <color theme="1"/>
        <rFont val="Calibri"/>
        <family val="2"/>
        <scheme val="minor"/>
      </rPr>
      <t xml:space="preserve"> - Daylighting
</t>
    </r>
    <r>
      <rPr>
        <b/>
        <sz val="10"/>
        <color theme="1"/>
        <rFont val="Calibri"/>
        <family val="2"/>
        <scheme val="minor"/>
      </rPr>
      <t>13654</t>
    </r>
    <r>
      <rPr>
        <sz val="10"/>
        <color theme="1"/>
        <rFont val="Calibri"/>
        <family val="2"/>
        <scheme val="minor"/>
      </rPr>
      <t xml:space="preserve"> - Delamping
</t>
    </r>
    <r>
      <rPr>
        <b/>
        <sz val="10"/>
        <color theme="1"/>
        <rFont val="Calibri"/>
        <family val="2"/>
        <scheme val="minor"/>
      </rPr>
      <t>02848</t>
    </r>
    <r>
      <rPr>
        <sz val="10"/>
        <color theme="1"/>
        <rFont val="Calibri"/>
        <family val="2"/>
        <scheme val="minor"/>
      </rPr>
      <t xml:space="preserve"> - HVAC replacement
</t>
    </r>
    <r>
      <rPr>
        <b/>
        <sz val="10"/>
        <color theme="1"/>
        <rFont val="Calibri"/>
        <family val="2"/>
        <scheme val="minor"/>
      </rPr>
      <t>02847</t>
    </r>
    <r>
      <rPr>
        <sz val="10"/>
        <color theme="1"/>
        <rFont val="Calibri"/>
        <family val="2"/>
        <scheme val="minor"/>
      </rPr>
      <t xml:space="preserve"> - Installation of energy controls
</t>
    </r>
    <r>
      <rPr>
        <b/>
        <sz val="10"/>
        <color theme="1"/>
        <rFont val="Calibri"/>
        <family val="2"/>
        <scheme val="minor"/>
      </rPr>
      <t>14904</t>
    </r>
    <r>
      <rPr>
        <sz val="10"/>
        <color theme="1"/>
        <rFont val="Calibri"/>
        <family val="2"/>
        <scheme val="minor"/>
      </rPr>
      <t xml:space="preserve"> - Installation of solar equipment
</t>
    </r>
    <r>
      <rPr>
        <b/>
        <sz val="10"/>
        <color theme="1"/>
        <rFont val="Calibri"/>
        <family val="2"/>
        <scheme val="minor"/>
      </rPr>
      <t>02850</t>
    </r>
    <r>
      <rPr>
        <sz val="10"/>
        <color theme="1"/>
        <rFont val="Calibri"/>
        <family val="2"/>
        <scheme val="minor"/>
      </rPr>
      <t xml:space="preserve"> - Insulation improvements
</t>
    </r>
    <r>
      <rPr>
        <b/>
        <sz val="10"/>
        <color theme="1"/>
        <rFont val="Calibri"/>
        <family val="2"/>
        <scheme val="minor"/>
      </rPr>
      <t>02849</t>
    </r>
    <r>
      <rPr>
        <sz val="10"/>
        <color theme="1"/>
        <rFont val="Calibri"/>
        <family val="2"/>
        <scheme val="minor"/>
      </rPr>
      <t xml:space="preserve"> - Lighting replacement
</t>
    </r>
    <r>
      <rPr>
        <b/>
        <sz val="10"/>
        <color theme="1"/>
        <rFont val="Calibri"/>
        <family val="2"/>
        <scheme val="minor"/>
      </rPr>
      <t>14903</t>
    </r>
    <r>
      <rPr>
        <sz val="10"/>
        <color theme="1"/>
        <rFont val="Calibri"/>
        <family val="2"/>
        <scheme val="minor"/>
      </rPr>
      <t xml:space="preserve"> - Relamping
</t>
    </r>
    <r>
      <rPr>
        <b/>
        <sz val="10"/>
        <color theme="1"/>
        <rFont val="Calibri"/>
        <family val="2"/>
        <scheme val="minor"/>
      </rPr>
      <t>02846</t>
    </r>
    <r>
      <rPr>
        <sz val="10"/>
        <color theme="1"/>
        <rFont val="Calibri"/>
        <family val="2"/>
        <scheme val="minor"/>
      </rPr>
      <t xml:space="preserve"> - Window replacement
</t>
    </r>
    <r>
      <rPr>
        <b/>
        <sz val="10"/>
        <color theme="1"/>
        <rFont val="Calibri"/>
        <family val="2"/>
        <scheme val="minor"/>
      </rPr>
      <t>09999</t>
    </r>
    <r>
      <rPr>
        <sz val="10"/>
        <color theme="1"/>
        <rFont val="Calibri"/>
        <family val="2"/>
        <scheme val="minor"/>
      </rPr>
      <t xml:space="preserve"> - Other
</t>
    </r>
  </si>
  <si>
    <t>001868</t>
  </si>
  <si>
    <t>BuildingEnergyConservationMeasureType</t>
  </si>
  <si>
    <t>Building Energy Service Company Name</t>
  </si>
  <si>
    <t>The name of the company that designs, procures, finances, installs, maintains, and guarantees the performance of energy conservation measures in an owner's facility or facilities.</t>
  </si>
  <si>
    <t>001869</t>
  </si>
  <si>
    <t>BuildingEnergyServiceCompanyName</t>
  </si>
  <si>
    <t>Building Energy Source Type</t>
  </si>
  <si>
    <t>The source of energy that directly powers a school district facility or building system.</t>
  </si>
  <si>
    <r>
      <t>13655</t>
    </r>
    <r>
      <rPr>
        <sz val="10"/>
        <color theme="1"/>
        <rFont val="Calibri"/>
        <family val="2"/>
        <scheme val="minor"/>
      </rPr>
      <t xml:space="preserve"> - Biomass
</t>
    </r>
    <r>
      <rPr>
        <b/>
        <sz val="10"/>
        <color theme="1"/>
        <rFont val="Calibri"/>
        <family val="2"/>
        <scheme val="minor"/>
      </rPr>
      <t>02858</t>
    </r>
    <r>
      <rPr>
        <sz val="10"/>
        <color theme="1"/>
        <rFont val="Calibri"/>
        <family val="2"/>
        <scheme val="minor"/>
      </rPr>
      <t xml:space="preserve"> - Coal
</t>
    </r>
    <r>
      <rPr>
        <b/>
        <sz val="10"/>
        <color theme="1"/>
        <rFont val="Calibri"/>
        <family val="2"/>
        <scheme val="minor"/>
      </rPr>
      <t>02854</t>
    </r>
    <r>
      <rPr>
        <sz val="10"/>
        <color theme="1"/>
        <rFont val="Calibri"/>
        <family val="2"/>
        <scheme val="minor"/>
      </rPr>
      <t xml:space="preserve"> - Electric
</t>
    </r>
    <r>
      <rPr>
        <b/>
        <sz val="10"/>
        <color theme="1"/>
        <rFont val="Calibri"/>
        <family val="2"/>
        <scheme val="minor"/>
      </rPr>
      <t>02853</t>
    </r>
    <r>
      <rPr>
        <sz val="10"/>
        <color theme="1"/>
        <rFont val="Calibri"/>
        <family val="2"/>
        <scheme val="minor"/>
      </rPr>
      <t xml:space="preserve"> - Gas
</t>
    </r>
    <r>
      <rPr>
        <b/>
        <sz val="10"/>
        <color theme="1"/>
        <rFont val="Calibri"/>
        <family val="2"/>
        <scheme val="minor"/>
      </rPr>
      <t>02857</t>
    </r>
    <r>
      <rPr>
        <sz val="10"/>
        <color theme="1"/>
        <rFont val="Calibri"/>
        <family val="2"/>
        <scheme val="minor"/>
      </rPr>
      <t xml:space="preserve"> - Geothermal
</t>
    </r>
    <r>
      <rPr>
        <b/>
        <sz val="10"/>
        <color theme="1"/>
        <rFont val="Calibri"/>
        <family val="2"/>
        <scheme val="minor"/>
      </rPr>
      <t>02859</t>
    </r>
    <r>
      <rPr>
        <sz val="10"/>
        <color theme="1"/>
        <rFont val="Calibri"/>
        <family val="2"/>
        <scheme val="minor"/>
      </rPr>
      <t xml:space="preserve"> - Nuclear
</t>
    </r>
    <r>
      <rPr>
        <b/>
        <sz val="10"/>
        <color theme="1"/>
        <rFont val="Calibri"/>
        <family val="2"/>
        <scheme val="minor"/>
      </rPr>
      <t>02842</t>
    </r>
    <r>
      <rPr>
        <sz val="10"/>
        <color theme="1"/>
        <rFont val="Calibri"/>
        <family val="2"/>
        <scheme val="minor"/>
      </rPr>
      <t xml:space="preserve"> - Oil
</t>
    </r>
    <r>
      <rPr>
        <b/>
        <sz val="10"/>
        <color theme="1"/>
        <rFont val="Calibri"/>
        <family val="2"/>
        <scheme val="minor"/>
      </rPr>
      <t>02855</t>
    </r>
    <r>
      <rPr>
        <sz val="10"/>
        <color theme="1"/>
        <rFont val="Calibri"/>
        <family val="2"/>
        <scheme val="minor"/>
      </rPr>
      <t xml:space="preserve"> - Solar
</t>
    </r>
    <r>
      <rPr>
        <b/>
        <sz val="10"/>
        <color theme="1"/>
        <rFont val="Calibri"/>
        <family val="2"/>
        <scheme val="minor"/>
      </rPr>
      <t>02843</t>
    </r>
    <r>
      <rPr>
        <sz val="10"/>
        <color theme="1"/>
        <rFont val="Calibri"/>
        <family val="2"/>
        <scheme val="minor"/>
      </rPr>
      <t xml:space="preserve"> - Water
</t>
    </r>
    <r>
      <rPr>
        <b/>
        <sz val="10"/>
        <color theme="1"/>
        <rFont val="Calibri"/>
        <family val="2"/>
        <scheme val="minor"/>
      </rPr>
      <t>02856</t>
    </r>
    <r>
      <rPr>
        <sz val="10"/>
        <color theme="1"/>
        <rFont val="Calibri"/>
        <family val="2"/>
        <scheme val="minor"/>
      </rPr>
      <t xml:space="preserve"> - Wind
</t>
    </r>
    <r>
      <rPr>
        <b/>
        <sz val="10"/>
        <color theme="1"/>
        <rFont val="Calibri"/>
        <family val="2"/>
        <scheme val="minor"/>
      </rPr>
      <t>09999</t>
    </r>
    <r>
      <rPr>
        <sz val="10"/>
        <color theme="1"/>
        <rFont val="Calibri"/>
        <family val="2"/>
        <scheme val="minor"/>
      </rPr>
      <t xml:space="preserve"> - Other
</t>
    </r>
  </si>
  <si>
    <t>001870</t>
  </si>
  <si>
    <t>BuildingEnergySourceType</t>
  </si>
  <si>
    <t>Building Environmental or Energy Performance Rating Category</t>
  </si>
  <si>
    <t>The primary groupings that rating organizations use to evaluate environmental sustainability and energy use.</t>
  </si>
  <si>
    <r>
      <t>13620</t>
    </r>
    <r>
      <rPr>
        <sz val="10"/>
        <color theme="1"/>
        <rFont val="Calibri"/>
        <family val="2"/>
        <scheme val="minor"/>
      </rPr>
      <t xml:space="preserve"> - Climate/Emissions
</t>
    </r>
    <r>
      <rPr>
        <b/>
        <sz val="10"/>
        <color theme="1"/>
        <rFont val="Calibri"/>
        <family val="2"/>
        <scheme val="minor"/>
      </rPr>
      <t>13621</t>
    </r>
    <r>
      <rPr>
        <sz val="10"/>
        <color theme="1"/>
        <rFont val="Calibri"/>
        <family val="2"/>
        <scheme val="minor"/>
      </rPr>
      <t xml:space="preserve"> - Energy
</t>
    </r>
    <r>
      <rPr>
        <b/>
        <sz val="10"/>
        <color theme="1"/>
        <rFont val="Calibri"/>
        <family val="2"/>
        <scheme val="minor"/>
      </rPr>
      <t>13622</t>
    </r>
    <r>
      <rPr>
        <sz val="10"/>
        <color theme="1"/>
        <rFont val="Calibri"/>
        <family val="2"/>
        <scheme val="minor"/>
      </rPr>
      <t xml:space="preserve"> - Indoor Environmental Quality
</t>
    </r>
    <r>
      <rPr>
        <b/>
        <sz val="10"/>
        <color theme="1"/>
        <rFont val="Calibri"/>
        <family val="2"/>
        <scheme val="minor"/>
      </rPr>
      <t>13623</t>
    </r>
    <r>
      <rPr>
        <sz val="10"/>
        <color theme="1"/>
        <rFont val="Calibri"/>
        <family val="2"/>
        <scheme val="minor"/>
      </rPr>
      <t xml:space="preserve"> - Innovations in Operations/ Project/ Environmental Management
</t>
    </r>
    <r>
      <rPr>
        <b/>
        <sz val="10"/>
        <color theme="1"/>
        <rFont val="Calibri"/>
        <family val="2"/>
        <scheme val="minor"/>
      </rPr>
      <t>13624</t>
    </r>
    <r>
      <rPr>
        <sz val="10"/>
        <color theme="1"/>
        <rFont val="Calibri"/>
        <family val="2"/>
        <scheme val="minor"/>
      </rPr>
      <t xml:space="preserve"> - Leadership, Education and Innovation
</t>
    </r>
    <r>
      <rPr>
        <b/>
        <sz val="10"/>
        <color theme="1"/>
        <rFont val="Calibri"/>
        <family val="2"/>
        <scheme val="minor"/>
      </rPr>
      <t>13625</t>
    </r>
    <r>
      <rPr>
        <sz val="10"/>
        <color theme="1"/>
        <rFont val="Calibri"/>
        <family val="2"/>
        <scheme val="minor"/>
      </rPr>
      <t xml:space="preserve"> - Materials and Resources
</t>
    </r>
    <r>
      <rPr>
        <b/>
        <sz val="10"/>
        <color theme="1"/>
        <rFont val="Calibri"/>
        <family val="2"/>
        <scheme val="minor"/>
      </rPr>
      <t>13626</t>
    </r>
    <r>
      <rPr>
        <sz val="10"/>
        <color theme="1"/>
        <rFont val="Calibri"/>
        <family val="2"/>
        <scheme val="minor"/>
      </rPr>
      <t xml:space="preserve"> - Regional Priority
</t>
    </r>
    <r>
      <rPr>
        <b/>
        <sz val="10"/>
        <color theme="1"/>
        <rFont val="Calibri"/>
        <family val="2"/>
        <scheme val="minor"/>
      </rPr>
      <t>13627</t>
    </r>
    <r>
      <rPr>
        <sz val="10"/>
        <color theme="1"/>
        <rFont val="Calibri"/>
        <family val="2"/>
        <scheme val="minor"/>
      </rPr>
      <t xml:space="preserve"> - Sustainable Sites
</t>
    </r>
  </si>
  <si>
    <t>001819</t>
  </si>
  <si>
    <t>BuildingEnvironmentalOrEnergyPerformanceRatingCategory</t>
  </si>
  <si>
    <t>Building Fire Protection System Type</t>
  </si>
  <si>
    <t>The type of system that protects the facility against fire.</t>
  </si>
  <si>
    <r>
      <t>02513</t>
    </r>
    <r>
      <rPr>
        <sz val="10"/>
        <color theme="1"/>
        <rFont val="Calibri"/>
        <family val="2"/>
        <scheme val="minor"/>
      </rPr>
      <t xml:space="preserve"> - Alarms
</t>
    </r>
    <r>
      <rPr>
        <b/>
        <sz val="10"/>
        <color theme="1"/>
        <rFont val="Calibri"/>
        <family val="2"/>
        <scheme val="minor"/>
      </rPr>
      <t>02511</t>
    </r>
    <r>
      <rPr>
        <sz val="10"/>
        <color theme="1"/>
        <rFont val="Calibri"/>
        <family val="2"/>
        <scheme val="minor"/>
      </rPr>
      <t xml:space="preserve"> - Automatic sprinkler
</t>
    </r>
    <r>
      <rPr>
        <b/>
        <sz val="10"/>
        <color theme="1"/>
        <rFont val="Calibri"/>
        <family val="2"/>
        <scheme val="minor"/>
      </rPr>
      <t>13579</t>
    </r>
    <r>
      <rPr>
        <sz val="10"/>
        <color theme="1"/>
        <rFont val="Calibri"/>
        <family val="2"/>
        <scheme val="minor"/>
      </rPr>
      <t xml:space="preserve"> - Fire protection specialists
</t>
    </r>
    <r>
      <rPr>
        <b/>
        <sz val="10"/>
        <color theme="1"/>
        <rFont val="Calibri"/>
        <family val="2"/>
        <scheme val="minor"/>
      </rPr>
      <t>02512</t>
    </r>
    <r>
      <rPr>
        <sz val="10"/>
        <color theme="1"/>
        <rFont val="Calibri"/>
        <family val="2"/>
        <scheme val="minor"/>
      </rPr>
      <t xml:space="preserve"> - Fire pump/extinguishers
</t>
    </r>
    <r>
      <rPr>
        <b/>
        <sz val="10"/>
        <color theme="1"/>
        <rFont val="Calibri"/>
        <family val="2"/>
        <scheme val="minor"/>
      </rPr>
      <t>02514</t>
    </r>
    <r>
      <rPr>
        <sz val="10"/>
        <color theme="1"/>
        <rFont val="Calibri"/>
        <family val="2"/>
        <scheme val="minor"/>
      </rPr>
      <t xml:space="preserve"> - Kitchen fire suppressor system
</t>
    </r>
    <r>
      <rPr>
        <b/>
        <sz val="10"/>
        <color theme="1"/>
        <rFont val="Calibri"/>
        <family val="2"/>
        <scheme val="minor"/>
      </rPr>
      <t>13580</t>
    </r>
    <r>
      <rPr>
        <sz val="10"/>
        <color theme="1"/>
        <rFont val="Calibri"/>
        <family val="2"/>
        <scheme val="minor"/>
      </rPr>
      <t xml:space="preserve"> - Other fire protection systems
</t>
    </r>
    <r>
      <rPr>
        <b/>
        <sz val="10"/>
        <color theme="1"/>
        <rFont val="Calibri"/>
        <family val="2"/>
        <scheme val="minor"/>
      </rPr>
      <t>13581</t>
    </r>
    <r>
      <rPr>
        <sz val="10"/>
        <color theme="1"/>
        <rFont val="Calibri"/>
        <family val="2"/>
        <scheme val="minor"/>
      </rPr>
      <t xml:space="preserve"> - Standpipes
</t>
    </r>
    <r>
      <rPr>
        <b/>
        <sz val="10"/>
        <color theme="1"/>
        <rFont val="Calibri"/>
        <family val="2"/>
        <scheme val="minor"/>
      </rPr>
      <t>09999</t>
    </r>
    <r>
      <rPr>
        <sz val="10"/>
        <color theme="1"/>
        <rFont val="Calibri"/>
        <family val="2"/>
        <scheme val="minor"/>
      </rPr>
      <t xml:space="preserve"> - Other
</t>
    </r>
  </si>
  <si>
    <t>001798</t>
  </si>
  <si>
    <t>BuildingFireProtectionSystemType</t>
  </si>
  <si>
    <t>Building Food Service Space Type</t>
  </si>
  <si>
    <t>The space located, designed, furnished and equipped to support meal programs.</t>
  </si>
  <si>
    <r>
      <t>02792</t>
    </r>
    <r>
      <rPr>
        <sz val="10"/>
        <color theme="1"/>
        <rFont val="Calibri"/>
        <family val="2"/>
        <scheme val="minor"/>
      </rPr>
      <t xml:space="preserve"> - Cafeteria
</t>
    </r>
    <r>
      <rPr>
        <b/>
        <sz val="10"/>
        <color theme="1"/>
        <rFont val="Calibri"/>
        <family val="2"/>
        <scheme val="minor"/>
      </rPr>
      <t>02793</t>
    </r>
    <r>
      <rPr>
        <sz val="10"/>
        <color theme="1"/>
        <rFont val="Calibri"/>
        <family val="2"/>
        <scheme val="minor"/>
      </rPr>
      <t xml:space="preserve"> - Cafetorium
</t>
    </r>
    <r>
      <rPr>
        <b/>
        <sz val="10"/>
        <color theme="1"/>
        <rFont val="Calibri"/>
        <family val="2"/>
        <scheme val="minor"/>
      </rPr>
      <t>02797</t>
    </r>
    <r>
      <rPr>
        <sz val="10"/>
        <color theme="1"/>
        <rFont val="Calibri"/>
        <family val="2"/>
        <scheme val="minor"/>
      </rPr>
      <t xml:space="preserve"> - Convenience kitchen
</t>
    </r>
    <r>
      <rPr>
        <b/>
        <sz val="10"/>
        <color theme="1"/>
        <rFont val="Calibri"/>
        <family val="2"/>
        <scheme val="minor"/>
      </rPr>
      <t>03251</t>
    </r>
    <r>
      <rPr>
        <sz val="10"/>
        <color theme="1"/>
        <rFont val="Calibri"/>
        <family val="2"/>
        <scheme val="minor"/>
      </rPr>
      <t xml:space="preserve"> - Dish return area
</t>
    </r>
    <r>
      <rPr>
        <b/>
        <sz val="10"/>
        <color theme="1"/>
        <rFont val="Calibri"/>
        <family val="2"/>
        <scheme val="minor"/>
      </rPr>
      <t>02799</t>
    </r>
    <r>
      <rPr>
        <sz val="10"/>
        <color theme="1"/>
        <rFont val="Calibri"/>
        <family val="2"/>
        <scheme val="minor"/>
      </rPr>
      <t xml:space="preserve"> - Dry food/non-hazardous supplies storage area
</t>
    </r>
    <r>
      <rPr>
        <b/>
        <sz val="10"/>
        <color theme="1"/>
        <rFont val="Calibri"/>
        <family val="2"/>
        <scheme val="minor"/>
      </rPr>
      <t>02794</t>
    </r>
    <r>
      <rPr>
        <sz val="10"/>
        <color theme="1"/>
        <rFont val="Calibri"/>
        <family val="2"/>
        <scheme val="minor"/>
      </rPr>
      <t xml:space="preserve"> - Faculty dining room
</t>
    </r>
    <r>
      <rPr>
        <b/>
        <sz val="10"/>
        <color theme="1"/>
        <rFont val="Calibri"/>
        <family val="2"/>
        <scheme val="minor"/>
      </rPr>
      <t>02798</t>
    </r>
    <r>
      <rPr>
        <sz val="10"/>
        <color theme="1"/>
        <rFont val="Calibri"/>
        <family val="2"/>
        <scheme val="minor"/>
      </rPr>
      <t xml:space="preserve"> - Finishing/satellite kitchen
</t>
    </r>
    <r>
      <rPr>
        <b/>
        <sz val="10"/>
        <color theme="1"/>
        <rFont val="Calibri"/>
        <family val="2"/>
        <scheme val="minor"/>
      </rPr>
      <t>03254</t>
    </r>
    <r>
      <rPr>
        <sz val="10"/>
        <color theme="1"/>
        <rFont val="Calibri"/>
        <family val="2"/>
        <scheme val="minor"/>
      </rPr>
      <t xml:space="preserve"> - Food receiving area
</t>
    </r>
    <r>
      <rPr>
        <b/>
        <sz val="10"/>
        <color theme="1"/>
        <rFont val="Calibri"/>
        <family val="2"/>
        <scheme val="minor"/>
      </rPr>
      <t>02800</t>
    </r>
    <r>
      <rPr>
        <sz val="10"/>
        <color theme="1"/>
        <rFont val="Calibri"/>
        <family val="2"/>
        <scheme val="minor"/>
      </rPr>
      <t xml:space="preserve"> - Food serving area
</t>
    </r>
    <r>
      <rPr>
        <b/>
        <sz val="10"/>
        <color theme="1"/>
        <rFont val="Calibri"/>
        <family val="2"/>
        <scheme val="minor"/>
      </rPr>
      <t>02796</t>
    </r>
    <r>
      <rPr>
        <sz val="10"/>
        <color theme="1"/>
        <rFont val="Calibri"/>
        <family val="2"/>
        <scheme val="minor"/>
      </rPr>
      <t xml:space="preserve"> - Full-service kitchen
</t>
    </r>
    <r>
      <rPr>
        <b/>
        <sz val="10"/>
        <color theme="1"/>
        <rFont val="Calibri"/>
        <family val="2"/>
        <scheme val="minor"/>
      </rPr>
      <t>13629</t>
    </r>
    <r>
      <rPr>
        <sz val="10"/>
        <color theme="1"/>
        <rFont val="Calibri"/>
        <family val="2"/>
        <scheme val="minor"/>
      </rPr>
      <t xml:space="preserve"> - Kitchen garden
</t>
    </r>
    <r>
      <rPr>
        <b/>
        <sz val="10"/>
        <color theme="1"/>
        <rFont val="Calibri"/>
        <family val="2"/>
        <scheme val="minor"/>
      </rPr>
      <t>02988</t>
    </r>
    <r>
      <rPr>
        <sz val="10"/>
        <color theme="1"/>
        <rFont val="Calibri"/>
        <family val="2"/>
        <scheme val="minor"/>
      </rPr>
      <t xml:space="preserve"> - Multipurpose room
</t>
    </r>
    <r>
      <rPr>
        <b/>
        <sz val="10"/>
        <color theme="1"/>
        <rFont val="Calibri"/>
        <family val="2"/>
        <scheme val="minor"/>
      </rPr>
      <t>03253</t>
    </r>
    <r>
      <rPr>
        <sz val="10"/>
        <color theme="1"/>
        <rFont val="Calibri"/>
        <family val="2"/>
        <scheme val="minor"/>
      </rPr>
      <t xml:space="preserve"> - Recyclable materials area
</t>
    </r>
    <r>
      <rPr>
        <b/>
        <sz val="10"/>
        <color theme="1"/>
        <rFont val="Calibri"/>
        <family val="2"/>
        <scheme val="minor"/>
      </rPr>
      <t>03109</t>
    </r>
    <r>
      <rPr>
        <sz val="10"/>
        <color theme="1"/>
        <rFont val="Calibri"/>
        <family val="2"/>
        <scheme val="minor"/>
      </rPr>
      <t xml:space="preserve"> - Refrigerated/freezer storage area
</t>
    </r>
    <r>
      <rPr>
        <b/>
        <sz val="10"/>
        <color theme="1"/>
        <rFont val="Calibri"/>
        <family val="2"/>
        <scheme val="minor"/>
      </rPr>
      <t>02801</t>
    </r>
    <r>
      <rPr>
        <sz val="10"/>
        <color theme="1"/>
        <rFont val="Calibri"/>
        <family val="2"/>
        <scheme val="minor"/>
      </rPr>
      <t xml:space="preserve"> - Storage of tables and chairs
</t>
    </r>
    <r>
      <rPr>
        <b/>
        <sz val="10"/>
        <color theme="1"/>
        <rFont val="Calibri"/>
        <family val="2"/>
        <scheme val="minor"/>
      </rPr>
      <t>02795</t>
    </r>
    <r>
      <rPr>
        <sz val="10"/>
        <color theme="1"/>
        <rFont val="Calibri"/>
        <family val="2"/>
        <scheme val="minor"/>
      </rPr>
      <t xml:space="preserve"> - Student dining room
</t>
    </r>
    <r>
      <rPr>
        <b/>
        <sz val="10"/>
        <color theme="1"/>
        <rFont val="Calibri"/>
        <family val="2"/>
        <scheme val="minor"/>
      </rPr>
      <t>03252</t>
    </r>
    <r>
      <rPr>
        <sz val="10"/>
        <color theme="1"/>
        <rFont val="Calibri"/>
        <family val="2"/>
        <scheme val="minor"/>
      </rPr>
      <t xml:space="preserve"> - Trash disposal area
</t>
    </r>
    <r>
      <rPr>
        <b/>
        <sz val="10"/>
        <color theme="1"/>
        <rFont val="Calibri"/>
        <family val="2"/>
        <scheme val="minor"/>
      </rPr>
      <t>09999</t>
    </r>
    <r>
      <rPr>
        <sz val="10"/>
        <color theme="1"/>
        <rFont val="Calibri"/>
        <family val="2"/>
        <scheme val="minor"/>
      </rPr>
      <t xml:space="preserve"> - Other
</t>
    </r>
  </si>
  <si>
    <t>001821</t>
  </si>
  <si>
    <t>BuildingFoodServiceSpaceType</t>
  </si>
  <si>
    <t>Building Full Service Kitchen Type</t>
  </si>
  <si>
    <t>The type of kitchen housed in the facility as defined by whether it prepares food to be served onsite and/or at additional locations.</t>
  </si>
  <si>
    <r>
      <t>03247</t>
    </r>
    <r>
      <rPr>
        <sz val="10"/>
        <color theme="1"/>
        <rFont val="Calibri"/>
        <family val="2"/>
        <scheme val="minor"/>
      </rPr>
      <t xml:space="preserve"> - Central kitchen
</t>
    </r>
    <r>
      <rPr>
        <b/>
        <sz val="10"/>
        <color theme="1"/>
        <rFont val="Calibri"/>
        <family val="2"/>
        <scheme val="minor"/>
      </rPr>
      <t>03250</t>
    </r>
    <r>
      <rPr>
        <sz val="10"/>
        <color theme="1"/>
        <rFont val="Calibri"/>
        <family val="2"/>
        <scheme val="minor"/>
      </rPr>
      <t xml:space="preserve"> - Non-production kitchen
</t>
    </r>
    <r>
      <rPr>
        <b/>
        <sz val="10"/>
        <color theme="1"/>
        <rFont val="Calibri"/>
        <family val="2"/>
        <scheme val="minor"/>
      </rPr>
      <t>03248</t>
    </r>
    <r>
      <rPr>
        <sz val="10"/>
        <color theme="1"/>
        <rFont val="Calibri"/>
        <family val="2"/>
        <scheme val="minor"/>
      </rPr>
      <t xml:space="preserve"> - Production kitchen
</t>
    </r>
    <r>
      <rPr>
        <b/>
        <sz val="10"/>
        <color theme="1"/>
        <rFont val="Calibri"/>
        <family val="2"/>
        <scheme val="minor"/>
      </rPr>
      <t>03249</t>
    </r>
    <r>
      <rPr>
        <sz val="10"/>
        <color theme="1"/>
        <rFont val="Calibri"/>
        <family val="2"/>
        <scheme val="minor"/>
      </rPr>
      <t xml:space="preserve"> - Self-contained kitchen
</t>
    </r>
  </si>
  <si>
    <t>001843</t>
  </si>
  <si>
    <t>BuildingFullServiceKitchenType</t>
  </si>
  <si>
    <t>Building Heating Generation System Type</t>
  </si>
  <si>
    <t>The method by which the heat is distributed and delivered throughout the room(s) or building.</t>
  </si>
  <si>
    <r>
      <t>02482</t>
    </r>
    <r>
      <rPr>
        <sz val="10"/>
        <color theme="1"/>
        <rFont val="Calibri"/>
        <family val="2"/>
        <scheme val="minor"/>
      </rPr>
      <t xml:space="preserve"> - Central duct system
</t>
    </r>
    <r>
      <rPr>
        <b/>
        <sz val="10"/>
        <color theme="1"/>
        <rFont val="Calibri"/>
        <family val="2"/>
        <scheme val="minor"/>
      </rPr>
      <t>02485</t>
    </r>
    <r>
      <rPr>
        <sz val="10"/>
        <color theme="1"/>
        <rFont val="Calibri"/>
        <family val="2"/>
        <scheme val="minor"/>
      </rPr>
      <t xml:space="preserve"> - Displacement ventilation
</t>
    </r>
    <r>
      <rPr>
        <b/>
        <sz val="10"/>
        <color theme="1"/>
        <rFont val="Calibri"/>
        <family val="2"/>
        <scheme val="minor"/>
      </rPr>
      <t>02484</t>
    </r>
    <r>
      <rPr>
        <sz val="10"/>
        <color theme="1"/>
        <rFont val="Calibri"/>
        <family val="2"/>
        <scheme val="minor"/>
      </rPr>
      <t xml:space="preserve"> - Forced air
</t>
    </r>
    <r>
      <rPr>
        <b/>
        <sz val="10"/>
        <color theme="1"/>
        <rFont val="Calibri"/>
        <family val="2"/>
        <scheme val="minor"/>
      </rPr>
      <t>02479</t>
    </r>
    <r>
      <rPr>
        <sz val="10"/>
        <color theme="1"/>
        <rFont val="Calibri"/>
        <family val="2"/>
        <scheme val="minor"/>
      </rPr>
      <t xml:space="preserve"> - Heat pump
</t>
    </r>
    <r>
      <rPr>
        <b/>
        <sz val="10"/>
        <color theme="1"/>
        <rFont val="Calibri"/>
        <family val="2"/>
        <scheme val="minor"/>
      </rPr>
      <t>02478</t>
    </r>
    <r>
      <rPr>
        <sz val="10"/>
        <color theme="1"/>
        <rFont val="Calibri"/>
        <family val="2"/>
        <scheme val="minor"/>
      </rPr>
      <t xml:space="preserve"> - Hot water radiator
</t>
    </r>
    <r>
      <rPr>
        <b/>
        <sz val="10"/>
        <color theme="1"/>
        <rFont val="Calibri"/>
        <family val="2"/>
        <scheme val="minor"/>
      </rPr>
      <t>02483</t>
    </r>
    <r>
      <rPr>
        <sz val="10"/>
        <color theme="1"/>
        <rFont val="Calibri"/>
        <family val="2"/>
        <scheme val="minor"/>
      </rPr>
      <t xml:space="preserve"> - Open plenum system
</t>
    </r>
    <r>
      <rPr>
        <b/>
        <sz val="10"/>
        <color theme="1"/>
        <rFont val="Calibri"/>
        <family val="2"/>
        <scheme val="minor"/>
      </rPr>
      <t>02477</t>
    </r>
    <r>
      <rPr>
        <sz val="10"/>
        <color theme="1"/>
        <rFont val="Calibri"/>
        <family val="2"/>
        <scheme val="minor"/>
      </rPr>
      <t xml:space="preserve"> - Steam radiator
</t>
    </r>
    <r>
      <rPr>
        <b/>
        <sz val="10"/>
        <color theme="1"/>
        <rFont val="Calibri"/>
        <family val="2"/>
        <scheme val="minor"/>
      </rPr>
      <t>02481</t>
    </r>
    <r>
      <rPr>
        <sz val="10"/>
        <color theme="1"/>
        <rFont val="Calibri"/>
        <family val="2"/>
        <scheme val="minor"/>
      </rPr>
      <t xml:space="preserve"> - Unit heaters/baseboard heaters
</t>
    </r>
    <r>
      <rPr>
        <b/>
        <sz val="10"/>
        <color theme="1"/>
        <rFont val="Calibri"/>
        <family val="2"/>
        <scheme val="minor"/>
      </rPr>
      <t>02480</t>
    </r>
    <r>
      <rPr>
        <sz val="10"/>
        <color theme="1"/>
        <rFont val="Calibri"/>
        <family val="2"/>
        <scheme val="minor"/>
      </rPr>
      <t xml:space="preserve"> - Unit ventilators
</t>
    </r>
    <r>
      <rPr>
        <b/>
        <sz val="10"/>
        <color theme="1"/>
        <rFont val="Calibri"/>
        <family val="2"/>
        <scheme val="minor"/>
      </rPr>
      <t>09999</t>
    </r>
    <r>
      <rPr>
        <sz val="10"/>
        <color theme="1"/>
        <rFont val="Calibri"/>
        <family val="2"/>
        <scheme val="minor"/>
      </rPr>
      <t xml:space="preserve"> - Other
</t>
    </r>
  </si>
  <si>
    <t>001799</t>
  </si>
  <si>
    <t>BuildingHeatingGenerationSystemType</t>
  </si>
  <si>
    <t>Building Historic Status</t>
  </si>
  <si>
    <t>An indication of whether or not a building is eligible to be or has been declared a landmark or historic building.</t>
  </si>
  <si>
    <r>
      <t>02415</t>
    </r>
    <r>
      <rPr>
        <sz val="10"/>
        <color theme="1"/>
        <rFont val="Calibri"/>
        <family val="2"/>
        <scheme val="minor"/>
      </rPr>
      <t xml:space="preserve"> - Ineligible
</t>
    </r>
    <r>
      <rPr>
        <b/>
        <sz val="10"/>
        <color theme="1"/>
        <rFont val="Calibri"/>
        <family val="2"/>
        <scheme val="minor"/>
      </rPr>
      <t>02417</t>
    </r>
    <r>
      <rPr>
        <sz val="10"/>
        <color theme="1"/>
        <rFont val="Calibri"/>
        <family val="2"/>
        <scheme val="minor"/>
      </rPr>
      <t xml:space="preserve"> - Locally designated
</t>
    </r>
    <r>
      <rPr>
        <b/>
        <sz val="10"/>
        <color theme="1"/>
        <rFont val="Calibri"/>
        <family val="2"/>
        <scheme val="minor"/>
      </rPr>
      <t>02412</t>
    </r>
    <r>
      <rPr>
        <sz val="10"/>
        <color theme="1"/>
        <rFont val="Calibri"/>
        <family val="2"/>
        <scheme val="minor"/>
      </rPr>
      <t xml:space="preserve"> - Locally eligible, not yet designated
</t>
    </r>
    <r>
      <rPr>
        <b/>
        <sz val="10"/>
        <color theme="1"/>
        <rFont val="Calibri"/>
        <family val="2"/>
        <scheme val="minor"/>
      </rPr>
      <t>75020</t>
    </r>
    <r>
      <rPr>
        <sz val="10"/>
        <color theme="1"/>
        <rFont val="Calibri"/>
        <family val="2"/>
        <scheme val="minor"/>
      </rPr>
      <t xml:space="preserve"> - Located in historic district
</t>
    </r>
    <r>
      <rPr>
        <b/>
        <sz val="10"/>
        <color theme="1"/>
        <rFont val="Calibri"/>
        <family val="2"/>
        <scheme val="minor"/>
      </rPr>
      <t>02419</t>
    </r>
    <r>
      <rPr>
        <sz val="10"/>
        <color theme="1"/>
        <rFont val="Calibri"/>
        <family val="2"/>
        <scheme val="minor"/>
      </rPr>
      <t xml:space="preserve"> - Nationally designated
</t>
    </r>
    <r>
      <rPr>
        <b/>
        <sz val="10"/>
        <color theme="1"/>
        <rFont val="Calibri"/>
        <family val="2"/>
        <scheme val="minor"/>
      </rPr>
      <t>02414</t>
    </r>
    <r>
      <rPr>
        <sz val="10"/>
        <color theme="1"/>
        <rFont val="Calibri"/>
        <family val="2"/>
        <scheme val="minor"/>
      </rPr>
      <t xml:space="preserve"> - Nationally eligible, not yet designated
</t>
    </r>
    <r>
      <rPr>
        <b/>
        <sz val="10"/>
        <color theme="1"/>
        <rFont val="Calibri"/>
        <family val="2"/>
        <scheme val="minor"/>
      </rPr>
      <t>02416</t>
    </r>
    <r>
      <rPr>
        <sz val="10"/>
        <color theme="1"/>
        <rFont val="Calibri"/>
        <family val="2"/>
        <scheme val="minor"/>
      </rPr>
      <t xml:space="preserve"> - Not evaluated
</t>
    </r>
    <r>
      <rPr>
        <b/>
        <sz val="10"/>
        <color theme="1"/>
        <rFont val="Calibri"/>
        <family val="2"/>
        <scheme val="minor"/>
      </rPr>
      <t>02418</t>
    </r>
    <r>
      <rPr>
        <sz val="10"/>
        <color theme="1"/>
        <rFont val="Calibri"/>
        <family val="2"/>
        <scheme val="minor"/>
      </rPr>
      <t xml:space="preserve"> - State designated
</t>
    </r>
    <r>
      <rPr>
        <b/>
        <sz val="10"/>
        <color theme="1"/>
        <rFont val="Calibri"/>
        <family val="2"/>
        <scheme val="minor"/>
      </rPr>
      <t>02413</t>
    </r>
    <r>
      <rPr>
        <sz val="10"/>
        <color theme="1"/>
        <rFont val="Calibri"/>
        <family val="2"/>
        <scheme val="minor"/>
      </rPr>
      <t xml:space="preserve"> - State eligible, not yet designated
</t>
    </r>
  </si>
  <si>
    <t>001772</t>
  </si>
  <si>
    <t>BuildingHistoricStatus</t>
  </si>
  <si>
    <t>Building Hours of Public Use Per Week</t>
  </si>
  <si>
    <t>The number of hours that all or part of a building is used for purposes other than general education by the community or other organizations.</t>
  </si>
  <si>
    <t>Integer</t>
  </si>
  <si>
    <t>001856</t>
  </si>
  <si>
    <t>BuildingHoursOfPublicUsePerWeek</t>
  </si>
  <si>
    <t>Building HVAC System Type</t>
  </si>
  <si>
    <t>The building service system that provides for heating, ventilation and air-conditioning.</t>
  </si>
  <si>
    <r>
      <t>13585</t>
    </r>
    <r>
      <rPr>
        <sz val="10"/>
        <color theme="1"/>
        <rFont val="Calibri"/>
        <family val="2"/>
        <scheme val="minor"/>
      </rPr>
      <t xml:space="preserve"> - Air distribution system
</t>
    </r>
    <r>
      <rPr>
        <b/>
        <sz val="10"/>
        <color theme="1"/>
        <rFont val="Calibri"/>
        <family val="2"/>
        <scheme val="minor"/>
      </rPr>
      <t>13586</t>
    </r>
    <r>
      <rPr>
        <sz val="10"/>
        <color theme="1"/>
        <rFont val="Calibri"/>
        <family val="2"/>
        <scheme val="minor"/>
      </rPr>
      <t xml:space="preserve"> - Controls and instrumentation
</t>
    </r>
    <r>
      <rPr>
        <b/>
        <sz val="10"/>
        <color theme="1"/>
        <rFont val="Calibri"/>
        <family val="2"/>
        <scheme val="minor"/>
      </rPr>
      <t>13587</t>
    </r>
    <r>
      <rPr>
        <sz val="10"/>
        <color theme="1"/>
        <rFont val="Calibri"/>
        <family val="2"/>
        <scheme val="minor"/>
      </rPr>
      <t xml:space="preserve"> - Cooling generation systems
</t>
    </r>
    <r>
      <rPr>
        <b/>
        <sz val="10"/>
        <color theme="1"/>
        <rFont val="Calibri"/>
        <family val="2"/>
        <scheme val="minor"/>
      </rPr>
      <t>13588</t>
    </r>
    <r>
      <rPr>
        <sz val="10"/>
        <color theme="1"/>
        <rFont val="Calibri"/>
        <family val="2"/>
        <scheme val="minor"/>
      </rPr>
      <t xml:space="preserve"> - Energy supply
</t>
    </r>
    <r>
      <rPr>
        <b/>
        <sz val="10"/>
        <color theme="1"/>
        <rFont val="Calibri"/>
        <family val="2"/>
        <scheme val="minor"/>
      </rPr>
      <t>13589</t>
    </r>
    <r>
      <rPr>
        <sz val="10"/>
        <color theme="1"/>
        <rFont val="Calibri"/>
        <family val="2"/>
        <scheme val="minor"/>
      </rPr>
      <t xml:space="preserve"> - Heat generating system
</t>
    </r>
    <r>
      <rPr>
        <b/>
        <sz val="10"/>
        <color theme="1"/>
        <rFont val="Calibri"/>
        <family val="2"/>
        <scheme val="minor"/>
      </rPr>
      <t>13590</t>
    </r>
    <r>
      <rPr>
        <sz val="10"/>
        <color theme="1"/>
        <rFont val="Calibri"/>
        <family val="2"/>
        <scheme val="minor"/>
      </rPr>
      <t xml:space="preserve"> - Other HVAC systems and equipment
</t>
    </r>
    <r>
      <rPr>
        <b/>
        <sz val="10"/>
        <color theme="1"/>
        <rFont val="Calibri"/>
        <family val="2"/>
        <scheme val="minor"/>
      </rPr>
      <t>13591</t>
    </r>
    <r>
      <rPr>
        <sz val="10"/>
        <color theme="1"/>
        <rFont val="Calibri"/>
        <family val="2"/>
        <scheme val="minor"/>
      </rPr>
      <t xml:space="preserve"> - Systems testing and balancing
</t>
    </r>
    <r>
      <rPr>
        <b/>
        <sz val="10"/>
        <color theme="1"/>
        <rFont val="Calibri"/>
        <family val="2"/>
        <scheme val="minor"/>
      </rPr>
      <t>13592</t>
    </r>
    <r>
      <rPr>
        <sz val="10"/>
        <color theme="1"/>
        <rFont val="Calibri"/>
        <family val="2"/>
        <scheme val="minor"/>
      </rPr>
      <t xml:space="preserve"> - Terminal and package units
</t>
    </r>
  </si>
  <si>
    <t>001800</t>
  </si>
  <si>
    <t>BuildingHVACSystemType</t>
  </si>
  <si>
    <t>Building Indoor Athletic or Physical Education Space Type</t>
  </si>
  <si>
    <t>The indoor space designed, located, furnished, and equipped for instruction and support of a physical education curriculum and athletic program.</t>
  </si>
  <si>
    <r>
      <t>02709</t>
    </r>
    <r>
      <rPr>
        <sz val="10"/>
        <color theme="1"/>
        <rFont val="Calibri"/>
        <family val="2"/>
        <scheme val="minor"/>
      </rPr>
      <t xml:space="preserve"> - Auxiliary gymnasium
</t>
    </r>
    <r>
      <rPr>
        <b/>
        <sz val="10"/>
        <color theme="1"/>
        <rFont val="Calibri"/>
        <family val="2"/>
        <scheme val="minor"/>
      </rPr>
      <t>02712</t>
    </r>
    <r>
      <rPr>
        <sz val="10"/>
        <color theme="1"/>
        <rFont val="Calibri"/>
        <family val="2"/>
        <scheme val="minor"/>
      </rPr>
      <t xml:space="preserve"> - Dance studio
</t>
    </r>
    <r>
      <rPr>
        <b/>
        <sz val="10"/>
        <color theme="1"/>
        <rFont val="Calibri"/>
        <family val="2"/>
        <scheme val="minor"/>
      </rPr>
      <t>02716</t>
    </r>
    <r>
      <rPr>
        <sz val="10"/>
        <color theme="1"/>
        <rFont val="Calibri"/>
        <family val="2"/>
        <scheme val="minor"/>
      </rPr>
      <t xml:space="preserve"> - Equipment storage
</t>
    </r>
    <r>
      <rPr>
        <b/>
        <sz val="10"/>
        <color theme="1"/>
        <rFont val="Calibri"/>
        <family val="2"/>
        <scheme val="minor"/>
      </rPr>
      <t>02984</t>
    </r>
    <r>
      <rPr>
        <sz val="10"/>
        <color theme="1"/>
        <rFont val="Calibri"/>
        <family val="2"/>
        <scheme val="minor"/>
      </rPr>
      <t xml:space="preserve"> - Gymnasium
</t>
    </r>
    <r>
      <rPr>
        <b/>
        <sz val="10"/>
        <color theme="1"/>
        <rFont val="Calibri"/>
        <family val="2"/>
        <scheme val="minor"/>
      </rPr>
      <t>02719</t>
    </r>
    <r>
      <rPr>
        <sz val="10"/>
        <color theme="1"/>
        <rFont val="Calibri"/>
        <family val="2"/>
        <scheme val="minor"/>
      </rPr>
      <t xml:space="preserve"> - Health classroom
</t>
    </r>
    <r>
      <rPr>
        <b/>
        <sz val="10"/>
        <color theme="1"/>
        <rFont val="Calibri"/>
        <family val="2"/>
        <scheme val="minor"/>
      </rPr>
      <t>02715</t>
    </r>
    <r>
      <rPr>
        <sz val="10"/>
        <color theme="1"/>
        <rFont val="Calibri"/>
        <family val="2"/>
        <scheme val="minor"/>
      </rPr>
      <t xml:space="preserve"> - Locker room
</t>
    </r>
    <r>
      <rPr>
        <b/>
        <sz val="10"/>
        <color theme="1"/>
        <rFont val="Calibri"/>
        <family val="2"/>
        <scheme val="minor"/>
      </rPr>
      <t>02718</t>
    </r>
    <r>
      <rPr>
        <sz val="10"/>
        <color theme="1"/>
        <rFont val="Calibri"/>
        <family val="2"/>
        <scheme val="minor"/>
      </rPr>
      <t xml:space="preserve"> - Multipurpose space
</t>
    </r>
    <r>
      <rPr>
        <b/>
        <sz val="10"/>
        <color theme="1"/>
        <rFont val="Calibri"/>
        <family val="2"/>
        <scheme val="minor"/>
      </rPr>
      <t>02720</t>
    </r>
    <r>
      <rPr>
        <sz val="10"/>
        <color theme="1"/>
        <rFont val="Calibri"/>
        <family val="2"/>
        <scheme val="minor"/>
      </rPr>
      <t xml:space="preserve"> - Playtorium (auditorium/gymnasium)
</t>
    </r>
    <r>
      <rPr>
        <b/>
        <sz val="10"/>
        <color theme="1"/>
        <rFont val="Calibri"/>
        <family val="2"/>
        <scheme val="minor"/>
      </rPr>
      <t>02714</t>
    </r>
    <r>
      <rPr>
        <sz val="10"/>
        <color theme="1"/>
        <rFont val="Calibri"/>
        <family val="2"/>
        <scheme val="minor"/>
      </rPr>
      <t xml:space="preserve"> - Pool/natatorium
</t>
    </r>
    <r>
      <rPr>
        <b/>
        <sz val="10"/>
        <color theme="1"/>
        <rFont val="Calibri"/>
        <family val="2"/>
        <scheme val="minor"/>
      </rPr>
      <t>02717</t>
    </r>
    <r>
      <rPr>
        <sz val="10"/>
        <color theme="1"/>
        <rFont val="Calibri"/>
        <family val="2"/>
        <scheme val="minor"/>
      </rPr>
      <t xml:space="preserve"> - Press box
</t>
    </r>
    <r>
      <rPr>
        <b/>
        <sz val="10"/>
        <color theme="1"/>
        <rFont val="Calibri"/>
        <family val="2"/>
        <scheme val="minor"/>
      </rPr>
      <t>02713</t>
    </r>
    <r>
      <rPr>
        <sz val="10"/>
        <color theme="1"/>
        <rFont val="Calibri"/>
        <family val="2"/>
        <scheme val="minor"/>
      </rPr>
      <t xml:space="preserve"> - Team room
</t>
    </r>
    <r>
      <rPr>
        <b/>
        <sz val="10"/>
        <color theme="1"/>
        <rFont val="Calibri"/>
        <family val="2"/>
        <scheme val="minor"/>
      </rPr>
      <t>02710</t>
    </r>
    <r>
      <rPr>
        <sz val="10"/>
        <color theme="1"/>
        <rFont val="Calibri"/>
        <family val="2"/>
        <scheme val="minor"/>
      </rPr>
      <t xml:space="preserve"> - Weight training room
</t>
    </r>
    <r>
      <rPr>
        <b/>
        <sz val="10"/>
        <color theme="1"/>
        <rFont val="Calibri"/>
        <family val="2"/>
        <scheme val="minor"/>
      </rPr>
      <t>02711</t>
    </r>
    <r>
      <rPr>
        <sz val="10"/>
        <color theme="1"/>
        <rFont val="Calibri"/>
        <family val="2"/>
        <scheme val="minor"/>
      </rPr>
      <t xml:space="preserve"> - Wrestling room
</t>
    </r>
    <r>
      <rPr>
        <b/>
        <sz val="10"/>
        <color theme="1"/>
        <rFont val="Calibri"/>
        <family val="2"/>
        <scheme val="minor"/>
      </rPr>
      <t>09999</t>
    </r>
    <r>
      <rPr>
        <sz val="10"/>
        <color theme="1"/>
        <rFont val="Calibri"/>
        <family val="2"/>
        <scheme val="minor"/>
      </rPr>
      <t xml:space="preserve"> - Other
</t>
    </r>
  </si>
  <si>
    <t>001822</t>
  </si>
  <si>
    <t>BuildingIndoorAthleticOrPhysicalEducationSpaceType</t>
  </si>
  <si>
    <t>Building Institutional Equipment Description</t>
  </si>
  <si>
    <t>Equipment that is installed for use in support of instructional program such as kilns for art, planetarium equipment for astronomy, fitness equipment for physical education.</t>
  </si>
  <si>
    <t>001801</t>
  </si>
  <si>
    <t>BuildingInstitutionalEquipmentDescription</t>
  </si>
  <si>
    <t>Building Instructional Space Factor Type</t>
  </si>
  <si>
    <t>A designation as to whether the space is considered an instructional space under state or local guidelines.</t>
  </si>
  <si>
    <r>
      <t>02811</t>
    </r>
    <r>
      <rPr>
        <sz val="10"/>
        <color theme="1"/>
        <rFont val="Calibri"/>
        <family val="2"/>
        <scheme val="minor"/>
      </rPr>
      <t xml:space="preserve"> - Instructional space
</t>
    </r>
    <r>
      <rPr>
        <b/>
        <sz val="10"/>
        <color theme="1"/>
        <rFont val="Calibri"/>
        <family val="2"/>
        <scheme val="minor"/>
      </rPr>
      <t>02812</t>
    </r>
    <r>
      <rPr>
        <sz val="10"/>
        <color theme="1"/>
        <rFont val="Calibri"/>
        <family val="2"/>
        <scheme val="minor"/>
      </rPr>
      <t xml:space="preserve"> - Noninstructional space
</t>
    </r>
  </si>
  <si>
    <t>001851</t>
  </si>
  <si>
    <t>BuildingInstructionalSpaceFactorType</t>
  </si>
  <si>
    <t>Building Joint Use Rationale Type</t>
  </si>
  <si>
    <t>The reasons for permitting and participating in joint-use.</t>
  </si>
  <si>
    <r>
      <t>13710</t>
    </r>
    <r>
      <rPr>
        <sz val="10"/>
        <color theme="1"/>
        <rFont val="Calibri"/>
        <family val="2"/>
        <scheme val="minor"/>
      </rPr>
      <t xml:space="preserve"> - Increase programs and services for students
</t>
    </r>
    <r>
      <rPr>
        <b/>
        <sz val="10"/>
        <color theme="1"/>
        <rFont val="Calibri"/>
        <family val="2"/>
        <scheme val="minor"/>
      </rPr>
      <t>13711</t>
    </r>
    <r>
      <rPr>
        <sz val="10"/>
        <color theme="1"/>
        <rFont val="Calibri"/>
        <family val="2"/>
        <scheme val="minor"/>
      </rPr>
      <t xml:space="preserve"> - Increase programs and services for the community
</t>
    </r>
    <r>
      <rPr>
        <b/>
        <sz val="10"/>
        <color theme="1"/>
        <rFont val="Calibri"/>
        <family val="2"/>
        <scheme val="minor"/>
      </rPr>
      <t>13712</t>
    </r>
    <r>
      <rPr>
        <sz val="10"/>
        <color theme="1"/>
        <rFont val="Calibri"/>
        <family val="2"/>
        <scheme val="minor"/>
      </rPr>
      <t xml:space="preserve"> - Increase utilization of under used space
</t>
    </r>
    <r>
      <rPr>
        <b/>
        <sz val="10"/>
        <color theme="1"/>
        <rFont val="Calibri"/>
        <family val="2"/>
        <scheme val="minor"/>
      </rPr>
      <t>13709</t>
    </r>
    <r>
      <rPr>
        <sz val="10"/>
        <color theme="1"/>
        <rFont val="Calibri"/>
        <family val="2"/>
        <scheme val="minor"/>
      </rPr>
      <t xml:space="preserve"> - Raise revenue
</t>
    </r>
  </si>
  <si>
    <t>001852</t>
  </si>
  <si>
    <t>BuildingJointUseRationaleType</t>
  </si>
  <si>
    <t>Building Joint Use Scheduling Type</t>
  </si>
  <si>
    <t>The type of designation of non school district users by the amount of time they have access to public school for joint use.</t>
  </si>
  <si>
    <r>
      <t>13694</t>
    </r>
    <r>
      <rPr>
        <sz val="10"/>
        <color theme="1"/>
        <rFont val="Calibri"/>
        <family val="2"/>
        <scheme val="minor"/>
      </rPr>
      <t xml:space="preserve"> - Drop-in use
</t>
    </r>
    <r>
      <rPr>
        <b/>
        <sz val="10"/>
        <color theme="1"/>
        <rFont val="Calibri"/>
        <family val="2"/>
        <scheme val="minor"/>
      </rPr>
      <t>13697</t>
    </r>
    <r>
      <rPr>
        <sz val="10"/>
        <color theme="1"/>
        <rFont val="Calibri"/>
        <family val="2"/>
        <scheme val="minor"/>
      </rPr>
      <t xml:space="preserve"> - Long term lease
</t>
    </r>
    <r>
      <rPr>
        <b/>
        <sz val="10"/>
        <color theme="1"/>
        <rFont val="Calibri"/>
        <family val="2"/>
        <scheme val="minor"/>
      </rPr>
      <t>13695</t>
    </r>
    <r>
      <rPr>
        <sz val="10"/>
        <color theme="1"/>
        <rFont val="Calibri"/>
        <family val="2"/>
        <scheme val="minor"/>
      </rPr>
      <t xml:space="preserve"> - One-time event use
</t>
    </r>
    <r>
      <rPr>
        <b/>
        <sz val="10"/>
        <color theme="1"/>
        <rFont val="Calibri"/>
        <family val="2"/>
        <scheme val="minor"/>
      </rPr>
      <t>13696</t>
    </r>
    <r>
      <rPr>
        <sz val="10"/>
        <color theme="1"/>
        <rFont val="Calibri"/>
        <family val="2"/>
        <scheme val="minor"/>
      </rPr>
      <t xml:space="preserve"> - Short-term lease
</t>
    </r>
  </si>
  <si>
    <t>001853</t>
  </si>
  <si>
    <t>BuildingJointUseSchedulingType</t>
  </si>
  <si>
    <t>Building Joint User Type</t>
  </si>
  <si>
    <t>The types of users sharing school district controlled, owned, or utilized facilities.</t>
  </si>
  <si>
    <r>
      <t>13705</t>
    </r>
    <r>
      <rPr>
        <sz val="10"/>
        <color theme="1"/>
        <rFont val="Calibri"/>
        <family val="2"/>
        <scheme val="minor"/>
      </rPr>
      <t xml:space="preserve"> - Civic groups
</t>
    </r>
    <r>
      <rPr>
        <b/>
        <sz val="10"/>
        <color theme="1"/>
        <rFont val="Calibri"/>
        <family val="2"/>
        <scheme val="minor"/>
      </rPr>
      <t>13704</t>
    </r>
    <r>
      <rPr>
        <sz val="10"/>
        <color theme="1"/>
        <rFont val="Calibri"/>
        <family val="2"/>
        <scheme val="minor"/>
      </rPr>
      <t xml:space="preserve"> - Individuals
</t>
    </r>
    <r>
      <rPr>
        <b/>
        <sz val="10"/>
        <color theme="1"/>
        <rFont val="Calibri"/>
        <family val="2"/>
        <scheme val="minor"/>
      </rPr>
      <t>13706</t>
    </r>
    <r>
      <rPr>
        <sz val="10"/>
        <color theme="1"/>
        <rFont val="Calibri"/>
        <family val="2"/>
        <scheme val="minor"/>
      </rPr>
      <t xml:space="preserve"> - Other public agencies
</t>
    </r>
    <r>
      <rPr>
        <b/>
        <sz val="10"/>
        <color theme="1"/>
        <rFont val="Calibri"/>
        <family val="2"/>
        <scheme val="minor"/>
      </rPr>
      <t>13708</t>
    </r>
    <r>
      <rPr>
        <sz val="10"/>
        <color theme="1"/>
        <rFont val="Calibri"/>
        <family val="2"/>
        <scheme val="minor"/>
      </rPr>
      <t xml:space="preserve"> - Private for-profit corporations
</t>
    </r>
    <r>
      <rPr>
        <b/>
        <sz val="10"/>
        <color theme="1"/>
        <rFont val="Calibri"/>
        <family val="2"/>
        <scheme val="minor"/>
      </rPr>
      <t>13707</t>
    </r>
    <r>
      <rPr>
        <sz val="10"/>
        <color theme="1"/>
        <rFont val="Calibri"/>
        <family val="2"/>
        <scheme val="minor"/>
      </rPr>
      <t xml:space="preserve"> - Private non-profit organizations
</t>
    </r>
  </si>
  <si>
    <t>001854</t>
  </si>
  <si>
    <t>BuildingJointUserType</t>
  </si>
  <si>
    <t>Building Library or Media Center Specialty Space Type</t>
  </si>
  <si>
    <t>The primary and auxiliary space designed to provide and support student and staff access to books, periodicals, software, videos, and the Internet.</t>
  </si>
  <si>
    <r>
      <t>02703</t>
    </r>
    <r>
      <rPr>
        <sz val="10"/>
        <color theme="1"/>
        <rFont val="Calibri"/>
        <family val="2"/>
        <scheme val="minor"/>
      </rPr>
      <t xml:space="preserve"> - Collections room
</t>
    </r>
    <r>
      <rPr>
        <b/>
        <sz val="10"/>
        <color theme="1"/>
        <rFont val="Calibri"/>
        <family val="2"/>
        <scheme val="minor"/>
      </rPr>
      <t>02706</t>
    </r>
    <r>
      <rPr>
        <sz val="10"/>
        <color theme="1"/>
        <rFont val="Calibri"/>
        <family val="2"/>
        <scheme val="minor"/>
      </rPr>
      <t xml:space="preserve"> - Copy center
</t>
    </r>
    <r>
      <rPr>
        <b/>
        <sz val="10"/>
        <color theme="1"/>
        <rFont val="Calibri"/>
        <family val="2"/>
        <scheme val="minor"/>
      </rPr>
      <t>02705</t>
    </r>
    <r>
      <rPr>
        <sz val="10"/>
        <color theme="1"/>
        <rFont val="Calibri"/>
        <family val="2"/>
        <scheme val="minor"/>
      </rPr>
      <t xml:space="preserve"> - Distance learning lab
</t>
    </r>
    <r>
      <rPr>
        <b/>
        <sz val="10"/>
        <color theme="1"/>
        <rFont val="Calibri"/>
        <family val="2"/>
        <scheme val="minor"/>
      </rPr>
      <t>02704</t>
    </r>
    <r>
      <rPr>
        <sz val="10"/>
        <color theme="1"/>
        <rFont val="Calibri"/>
        <family val="2"/>
        <scheme val="minor"/>
      </rPr>
      <t xml:space="preserve"> - Reading room
</t>
    </r>
    <r>
      <rPr>
        <b/>
        <sz val="10"/>
        <color theme="1"/>
        <rFont val="Calibri"/>
        <family val="2"/>
        <scheme val="minor"/>
      </rPr>
      <t>13632</t>
    </r>
    <r>
      <rPr>
        <sz val="10"/>
        <color theme="1"/>
        <rFont val="Calibri"/>
        <family val="2"/>
        <scheme val="minor"/>
      </rPr>
      <t xml:space="preserve"> - Reception/checkout desk
</t>
    </r>
    <r>
      <rPr>
        <b/>
        <sz val="10"/>
        <color theme="1"/>
        <rFont val="Calibri"/>
        <family val="2"/>
        <scheme val="minor"/>
      </rPr>
      <t>02707</t>
    </r>
    <r>
      <rPr>
        <sz val="10"/>
        <color theme="1"/>
        <rFont val="Calibri"/>
        <family val="2"/>
        <scheme val="minor"/>
      </rPr>
      <t xml:space="preserve"> - Study room
</t>
    </r>
    <r>
      <rPr>
        <b/>
        <sz val="10"/>
        <color theme="1"/>
        <rFont val="Calibri"/>
        <family val="2"/>
        <scheme val="minor"/>
      </rPr>
      <t>02708</t>
    </r>
    <r>
      <rPr>
        <sz val="10"/>
        <color theme="1"/>
        <rFont val="Calibri"/>
        <family val="2"/>
        <scheme val="minor"/>
      </rPr>
      <t xml:space="preserve"> - Workroom
</t>
    </r>
    <r>
      <rPr>
        <b/>
        <sz val="10"/>
        <color theme="1"/>
        <rFont val="Calibri"/>
        <family val="2"/>
        <scheme val="minor"/>
      </rPr>
      <t>09999</t>
    </r>
    <r>
      <rPr>
        <sz val="10"/>
        <color theme="1"/>
        <rFont val="Calibri"/>
        <family val="2"/>
        <scheme val="minor"/>
      </rPr>
      <t xml:space="preserve"> - Other
</t>
    </r>
  </si>
  <si>
    <t>001823</t>
  </si>
  <si>
    <t>BuildingLibraryOrMediaCenterSpecialtySpaceType</t>
  </si>
  <si>
    <t>Building Mechanical Conveying System Type</t>
  </si>
  <si>
    <t>Mechanical means for moving people and equipment within buildings.</t>
  </si>
  <si>
    <r>
      <t>02516</t>
    </r>
    <r>
      <rPr>
        <sz val="10"/>
        <color theme="1"/>
        <rFont val="Calibri"/>
        <family val="2"/>
        <scheme val="minor"/>
      </rPr>
      <t xml:space="preserve"> - Elevator
</t>
    </r>
    <r>
      <rPr>
        <b/>
        <sz val="10"/>
        <color theme="1"/>
        <rFont val="Calibri"/>
        <family val="2"/>
        <scheme val="minor"/>
      </rPr>
      <t>02517</t>
    </r>
    <r>
      <rPr>
        <sz val="10"/>
        <color theme="1"/>
        <rFont val="Calibri"/>
        <family val="2"/>
        <scheme val="minor"/>
      </rPr>
      <t xml:space="preserve"> - Escalator
</t>
    </r>
    <r>
      <rPr>
        <b/>
        <sz val="10"/>
        <color theme="1"/>
        <rFont val="Calibri"/>
        <family val="2"/>
        <scheme val="minor"/>
      </rPr>
      <t>13593</t>
    </r>
    <r>
      <rPr>
        <sz val="10"/>
        <color theme="1"/>
        <rFont val="Calibri"/>
        <family val="2"/>
        <scheme val="minor"/>
      </rPr>
      <t xml:space="preserve"> - Lift
</t>
    </r>
    <r>
      <rPr>
        <b/>
        <sz val="10"/>
        <color theme="1"/>
        <rFont val="Calibri"/>
        <family val="2"/>
        <scheme val="minor"/>
      </rPr>
      <t>13594</t>
    </r>
    <r>
      <rPr>
        <sz val="10"/>
        <color theme="1"/>
        <rFont val="Calibri"/>
        <family val="2"/>
        <scheme val="minor"/>
      </rPr>
      <t xml:space="preserve"> - Moving Walk
</t>
    </r>
    <r>
      <rPr>
        <b/>
        <sz val="10"/>
        <color theme="1"/>
        <rFont val="Calibri"/>
        <family val="2"/>
        <scheme val="minor"/>
      </rPr>
      <t>13595</t>
    </r>
    <r>
      <rPr>
        <sz val="10"/>
        <color theme="1"/>
        <rFont val="Calibri"/>
        <family val="2"/>
        <scheme val="minor"/>
      </rPr>
      <t xml:space="preserve"> - Other conveying system
</t>
    </r>
  </si>
  <si>
    <t>001802</t>
  </si>
  <si>
    <t>BuildingMechanicalConveyingSystemType</t>
  </si>
  <si>
    <t>Building Mechanical System Type</t>
  </si>
  <si>
    <t>The major manufactured systems required to operate a building.</t>
  </si>
  <si>
    <r>
      <t>02455</t>
    </r>
    <r>
      <rPr>
        <sz val="10"/>
        <color theme="1"/>
        <rFont val="Calibri"/>
        <family val="2"/>
        <scheme val="minor"/>
      </rPr>
      <t xml:space="preserve"> - Air distribution system
</t>
    </r>
    <r>
      <rPr>
        <b/>
        <sz val="10"/>
        <color theme="1"/>
        <rFont val="Calibri"/>
        <family val="2"/>
        <scheme val="minor"/>
      </rPr>
      <t>02454</t>
    </r>
    <r>
      <rPr>
        <sz val="10"/>
        <color theme="1"/>
        <rFont val="Calibri"/>
        <family val="2"/>
        <scheme val="minor"/>
      </rPr>
      <t xml:space="preserve"> - Cooling generation system
</t>
    </r>
    <r>
      <rPr>
        <b/>
        <sz val="10"/>
        <color theme="1"/>
        <rFont val="Calibri"/>
        <family val="2"/>
        <scheme val="minor"/>
      </rPr>
      <t>02453</t>
    </r>
    <r>
      <rPr>
        <sz val="10"/>
        <color theme="1"/>
        <rFont val="Calibri"/>
        <family val="2"/>
        <scheme val="minor"/>
      </rPr>
      <t xml:space="preserve"> - Heating generation system
</t>
    </r>
    <r>
      <rPr>
        <b/>
        <sz val="10"/>
        <color theme="1"/>
        <rFont val="Calibri"/>
        <family val="2"/>
        <scheme val="minor"/>
      </rPr>
      <t>09999</t>
    </r>
    <r>
      <rPr>
        <sz val="10"/>
        <color theme="1"/>
        <rFont val="Calibri"/>
        <family val="2"/>
        <scheme val="minor"/>
      </rPr>
      <t xml:space="preserve"> - Other
</t>
    </r>
  </si>
  <si>
    <t>001809</t>
  </si>
  <si>
    <t>BuildingMechanicalSystemType</t>
  </si>
  <si>
    <t>Building Net Area of Instructional Space</t>
  </si>
  <si>
    <t>The area of space directly used for instruction excluding circulation, administration, student services, and building support.</t>
  </si>
  <si>
    <t>001857</t>
  </si>
  <si>
    <t>BuildingNetAreaOfInstructionalSpace</t>
  </si>
  <si>
    <t>Building Number of Stories</t>
  </si>
  <si>
    <t>The number of stories in a building, excluding the basement if its ceiling is less than three feet above ground level.</t>
  </si>
  <si>
    <t>001785</t>
  </si>
  <si>
    <t>BuildingNumberOfStories</t>
  </si>
  <si>
    <t>Building Number of Teaching Stations</t>
  </si>
  <si>
    <t>The number of teaching stations, as defined by how many spaces have, or could have, a teacher assigned to them for classroom instruction.</t>
  </si>
  <si>
    <t>001858</t>
  </si>
  <si>
    <t>BuildingNumberOfTeachingStations</t>
  </si>
  <si>
    <t>Building Operations or Maintenance Space Type</t>
  </si>
  <si>
    <t>The area designed primarily for conducting activities concerned with maintaining the grounds, buildings, and equipment.</t>
  </si>
  <si>
    <r>
      <t>02780</t>
    </r>
    <r>
      <rPr>
        <sz val="10"/>
        <color theme="1"/>
        <rFont val="Calibri"/>
        <family val="2"/>
        <scheme val="minor"/>
      </rPr>
      <t xml:space="preserve"> - Boiler room
</t>
    </r>
    <r>
      <rPr>
        <b/>
        <sz val="10"/>
        <color theme="1"/>
        <rFont val="Calibri"/>
        <family val="2"/>
        <scheme val="minor"/>
      </rPr>
      <t>02784</t>
    </r>
    <r>
      <rPr>
        <sz val="10"/>
        <color theme="1"/>
        <rFont val="Calibri"/>
        <family val="2"/>
        <scheme val="minor"/>
      </rPr>
      <t xml:space="preserve"> - Communications closet
</t>
    </r>
    <r>
      <rPr>
        <b/>
        <sz val="10"/>
        <color theme="1"/>
        <rFont val="Calibri"/>
        <family val="2"/>
        <scheme val="minor"/>
      </rPr>
      <t>02778</t>
    </r>
    <r>
      <rPr>
        <sz val="10"/>
        <color theme="1"/>
        <rFont val="Calibri"/>
        <family val="2"/>
        <scheme val="minor"/>
      </rPr>
      <t xml:space="preserve"> - Custodial closet
</t>
    </r>
    <r>
      <rPr>
        <b/>
        <sz val="10"/>
        <color theme="1"/>
        <rFont val="Calibri"/>
        <family val="2"/>
        <scheme val="minor"/>
      </rPr>
      <t>02777</t>
    </r>
    <r>
      <rPr>
        <sz val="10"/>
        <color theme="1"/>
        <rFont val="Calibri"/>
        <family val="2"/>
        <scheme val="minor"/>
      </rPr>
      <t xml:space="preserve"> - Custodian office
</t>
    </r>
    <r>
      <rPr>
        <b/>
        <sz val="10"/>
        <color theme="1"/>
        <rFont val="Calibri"/>
        <family val="2"/>
        <scheme val="minor"/>
      </rPr>
      <t>02783</t>
    </r>
    <r>
      <rPr>
        <sz val="10"/>
        <color theme="1"/>
        <rFont val="Calibri"/>
        <family val="2"/>
        <scheme val="minor"/>
      </rPr>
      <t xml:space="preserve"> - Electrical closet
</t>
    </r>
    <r>
      <rPr>
        <b/>
        <sz val="10"/>
        <color theme="1"/>
        <rFont val="Calibri"/>
        <family val="2"/>
        <scheme val="minor"/>
      </rPr>
      <t>02781</t>
    </r>
    <r>
      <rPr>
        <sz val="10"/>
        <color theme="1"/>
        <rFont val="Calibri"/>
        <family val="2"/>
        <scheme val="minor"/>
      </rPr>
      <t xml:space="preserve"> - Fan room
</t>
    </r>
    <r>
      <rPr>
        <b/>
        <sz val="10"/>
        <color theme="1"/>
        <rFont val="Calibri"/>
        <family val="2"/>
        <scheme val="minor"/>
      </rPr>
      <t>02779</t>
    </r>
    <r>
      <rPr>
        <sz val="10"/>
        <color theme="1"/>
        <rFont val="Calibri"/>
        <family val="2"/>
        <scheme val="minor"/>
      </rPr>
      <t xml:space="preserve"> - Mechanical room
</t>
    </r>
    <r>
      <rPr>
        <b/>
        <sz val="10"/>
        <color theme="1"/>
        <rFont val="Calibri"/>
        <family val="2"/>
        <scheme val="minor"/>
      </rPr>
      <t>02790</t>
    </r>
    <r>
      <rPr>
        <sz val="10"/>
        <color theme="1"/>
        <rFont val="Calibri"/>
        <family val="2"/>
        <scheme val="minor"/>
      </rPr>
      <t xml:space="preserve"> - Public toilet
</t>
    </r>
    <r>
      <rPr>
        <b/>
        <sz val="10"/>
        <color theme="1"/>
        <rFont val="Calibri"/>
        <family val="2"/>
        <scheme val="minor"/>
      </rPr>
      <t>02785</t>
    </r>
    <r>
      <rPr>
        <sz val="10"/>
        <color theme="1"/>
        <rFont val="Calibri"/>
        <family val="2"/>
        <scheme val="minor"/>
      </rPr>
      <t xml:space="preserve"> - Server room
</t>
    </r>
    <r>
      <rPr>
        <b/>
        <sz val="10"/>
        <color theme="1"/>
        <rFont val="Calibri"/>
        <family val="2"/>
        <scheme val="minor"/>
      </rPr>
      <t>02791</t>
    </r>
    <r>
      <rPr>
        <sz val="10"/>
        <color theme="1"/>
        <rFont val="Calibri"/>
        <family val="2"/>
        <scheme val="minor"/>
      </rPr>
      <t xml:space="preserve"> - Staff toilet
</t>
    </r>
    <r>
      <rPr>
        <b/>
        <sz val="10"/>
        <color theme="1"/>
        <rFont val="Calibri"/>
        <family val="2"/>
        <scheme val="minor"/>
      </rPr>
      <t>02786</t>
    </r>
    <r>
      <rPr>
        <sz val="10"/>
        <color theme="1"/>
        <rFont val="Calibri"/>
        <family val="2"/>
        <scheme val="minor"/>
      </rPr>
      <t xml:space="preserve"> - Storage - flammable materials
</t>
    </r>
    <r>
      <rPr>
        <b/>
        <sz val="10"/>
        <color theme="1"/>
        <rFont val="Calibri"/>
        <family val="2"/>
        <scheme val="minor"/>
      </rPr>
      <t>02788</t>
    </r>
    <r>
      <rPr>
        <sz val="10"/>
        <color theme="1"/>
        <rFont val="Calibri"/>
        <family val="2"/>
        <scheme val="minor"/>
      </rPr>
      <t xml:space="preserve"> - Storage - hazardous materials
</t>
    </r>
    <r>
      <rPr>
        <b/>
        <sz val="10"/>
        <color theme="1"/>
        <rFont val="Calibri"/>
        <family val="2"/>
        <scheme val="minor"/>
      </rPr>
      <t>02787</t>
    </r>
    <r>
      <rPr>
        <sz val="10"/>
        <color theme="1"/>
        <rFont val="Calibri"/>
        <family val="2"/>
        <scheme val="minor"/>
      </rPr>
      <t xml:space="preserve"> - Storage - maintenance equipment
</t>
    </r>
    <r>
      <rPr>
        <b/>
        <sz val="10"/>
        <color theme="1"/>
        <rFont val="Calibri"/>
        <family val="2"/>
        <scheme val="minor"/>
      </rPr>
      <t>02789</t>
    </r>
    <r>
      <rPr>
        <sz val="10"/>
        <color theme="1"/>
        <rFont val="Calibri"/>
        <family val="2"/>
        <scheme val="minor"/>
      </rPr>
      <t xml:space="preserve"> - Student toilet
</t>
    </r>
    <r>
      <rPr>
        <b/>
        <sz val="10"/>
        <color theme="1"/>
        <rFont val="Calibri"/>
        <family val="2"/>
        <scheme val="minor"/>
      </rPr>
      <t>02782</t>
    </r>
    <r>
      <rPr>
        <sz val="10"/>
        <color theme="1"/>
        <rFont val="Calibri"/>
        <family val="2"/>
        <scheme val="minor"/>
      </rPr>
      <t xml:space="preserve"> - Systems control room
</t>
    </r>
    <r>
      <rPr>
        <b/>
        <sz val="10"/>
        <color theme="1"/>
        <rFont val="Calibri"/>
        <family val="2"/>
        <scheme val="minor"/>
      </rPr>
      <t>09999</t>
    </r>
    <r>
      <rPr>
        <sz val="10"/>
        <color theme="1"/>
        <rFont val="Calibri"/>
        <family val="2"/>
        <scheme val="minor"/>
      </rPr>
      <t xml:space="preserve"> - Other
</t>
    </r>
  </si>
  <si>
    <t>001824</t>
  </si>
  <si>
    <t>BuildingOperationsOrMaintenanceSpaceType</t>
  </si>
  <si>
    <t>Building Outdoor Athletic or Physical Education Space Type</t>
  </si>
  <si>
    <t>The outdoor space designed, located, furnished, and equipped for instruction and support of a physical education curriculum and athletic program.</t>
  </si>
  <si>
    <r>
      <t>02728</t>
    </r>
    <r>
      <rPr>
        <sz val="10"/>
        <color theme="1"/>
        <rFont val="Calibri"/>
        <family val="2"/>
        <scheme val="minor"/>
      </rPr>
      <t xml:space="preserve"> - Baseball field
</t>
    </r>
    <r>
      <rPr>
        <b/>
        <sz val="10"/>
        <color theme="1"/>
        <rFont val="Calibri"/>
        <family val="2"/>
        <scheme val="minor"/>
      </rPr>
      <t>02724</t>
    </r>
    <r>
      <rPr>
        <sz val="10"/>
        <color theme="1"/>
        <rFont val="Calibri"/>
        <family val="2"/>
        <scheme val="minor"/>
      </rPr>
      <t xml:space="preserve"> - Bleacher seating
</t>
    </r>
    <r>
      <rPr>
        <b/>
        <sz val="10"/>
        <color theme="1"/>
        <rFont val="Calibri"/>
        <family val="2"/>
        <scheme val="minor"/>
      </rPr>
      <t>02722</t>
    </r>
    <r>
      <rPr>
        <sz val="10"/>
        <color theme="1"/>
        <rFont val="Calibri"/>
        <family val="2"/>
        <scheme val="minor"/>
      </rPr>
      <t xml:space="preserve"> - Concessions/restrooms
</t>
    </r>
    <r>
      <rPr>
        <b/>
        <sz val="10"/>
        <color theme="1"/>
        <rFont val="Calibri"/>
        <family val="2"/>
        <scheme val="minor"/>
      </rPr>
      <t>02985</t>
    </r>
    <r>
      <rPr>
        <sz val="10"/>
        <color theme="1"/>
        <rFont val="Calibri"/>
        <family val="2"/>
        <scheme val="minor"/>
      </rPr>
      <t xml:space="preserve"> - Field house
</t>
    </r>
    <r>
      <rPr>
        <b/>
        <sz val="10"/>
        <color theme="1"/>
        <rFont val="Calibri"/>
        <family val="2"/>
        <scheme val="minor"/>
      </rPr>
      <t>02727</t>
    </r>
    <r>
      <rPr>
        <sz val="10"/>
        <color theme="1"/>
        <rFont val="Calibri"/>
        <family val="2"/>
        <scheme val="minor"/>
      </rPr>
      <t xml:space="preserve"> - Fitness trail
</t>
    </r>
    <r>
      <rPr>
        <b/>
        <sz val="10"/>
        <color theme="1"/>
        <rFont val="Calibri"/>
        <family val="2"/>
        <scheme val="minor"/>
      </rPr>
      <t>02730</t>
    </r>
    <r>
      <rPr>
        <sz val="10"/>
        <color theme="1"/>
        <rFont val="Calibri"/>
        <family val="2"/>
        <scheme val="minor"/>
      </rPr>
      <t xml:space="preserve"> - Football field
</t>
    </r>
    <r>
      <rPr>
        <b/>
        <sz val="10"/>
        <color theme="1"/>
        <rFont val="Calibri"/>
        <family val="2"/>
        <scheme val="minor"/>
      </rPr>
      <t>02721</t>
    </r>
    <r>
      <rPr>
        <sz val="10"/>
        <color theme="1"/>
        <rFont val="Calibri"/>
        <family val="2"/>
        <scheme val="minor"/>
      </rPr>
      <t xml:space="preserve"> - Multipurpose grassy play field
</t>
    </r>
    <r>
      <rPr>
        <b/>
        <sz val="10"/>
        <color theme="1"/>
        <rFont val="Calibri"/>
        <family val="2"/>
        <scheme val="minor"/>
      </rPr>
      <t>02732</t>
    </r>
    <r>
      <rPr>
        <sz val="10"/>
        <color theme="1"/>
        <rFont val="Calibri"/>
        <family val="2"/>
        <scheme val="minor"/>
      </rPr>
      <t xml:space="preserve"> - Other sports field
</t>
    </r>
    <r>
      <rPr>
        <b/>
        <sz val="10"/>
        <color theme="1"/>
        <rFont val="Calibri"/>
        <family val="2"/>
        <scheme val="minor"/>
      </rPr>
      <t>02726</t>
    </r>
    <r>
      <rPr>
        <sz val="10"/>
        <color theme="1"/>
        <rFont val="Calibri"/>
        <family val="2"/>
        <scheme val="minor"/>
      </rPr>
      <t xml:space="preserve"> - Paved outdoor basketball courts
</t>
    </r>
    <r>
      <rPr>
        <b/>
        <sz val="10"/>
        <color theme="1"/>
        <rFont val="Calibri"/>
        <family val="2"/>
        <scheme val="minor"/>
      </rPr>
      <t>02731</t>
    </r>
    <r>
      <rPr>
        <sz val="10"/>
        <color theme="1"/>
        <rFont val="Calibri"/>
        <family val="2"/>
        <scheme val="minor"/>
      </rPr>
      <t xml:space="preserve"> - Soccer field
</t>
    </r>
    <r>
      <rPr>
        <b/>
        <sz val="10"/>
        <color theme="1"/>
        <rFont val="Calibri"/>
        <family val="2"/>
        <scheme val="minor"/>
      </rPr>
      <t>02729</t>
    </r>
    <r>
      <rPr>
        <sz val="10"/>
        <color theme="1"/>
        <rFont val="Calibri"/>
        <family val="2"/>
        <scheme val="minor"/>
      </rPr>
      <t xml:space="preserve"> - Softball field
</t>
    </r>
    <r>
      <rPr>
        <b/>
        <sz val="10"/>
        <color theme="1"/>
        <rFont val="Calibri"/>
        <family val="2"/>
        <scheme val="minor"/>
      </rPr>
      <t>02725</t>
    </r>
    <r>
      <rPr>
        <sz val="10"/>
        <color theme="1"/>
        <rFont val="Calibri"/>
        <family val="2"/>
        <scheme val="minor"/>
      </rPr>
      <t xml:space="preserve"> - Tennis courts
</t>
    </r>
    <r>
      <rPr>
        <b/>
        <sz val="10"/>
        <color theme="1"/>
        <rFont val="Calibri"/>
        <family val="2"/>
        <scheme val="minor"/>
      </rPr>
      <t>02723</t>
    </r>
    <r>
      <rPr>
        <sz val="10"/>
        <color theme="1"/>
        <rFont val="Calibri"/>
        <family val="2"/>
        <scheme val="minor"/>
      </rPr>
      <t xml:space="preserve"> - Track/fields
</t>
    </r>
    <r>
      <rPr>
        <b/>
        <sz val="10"/>
        <color theme="1"/>
        <rFont val="Calibri"/>
        <family val="2"/>
        <scheme val="minor"/>
      </rPr>
      <t>09999</t>
    </r>
    <r>
      <rPr>
        <sz val="10"/>
        <color theme="1"/>
        <rFont val="Calibri"/>
        <family val="2"/>
        <scheme val="minor"/>
      </rPr>
      <t xml:space="preserve"> - Other
</t>
    </r>
  </si>
  <si>
    <t>001825</t>
  </si>
  <si>
    <t>BuildingOutdoorAthleticOrPhysicalEducationSpaceType</t>
  </si>
  <si>
    <t>Building Outdoor or Non-athletic Space Type</t>
  </si>
  <si>
    <t>The outdoor space located, designed, furnished, and equipped primarily for recreation, play and outdoor environmental education.</t>
  </si>
  <si>
    <r>
      <t>13629</t>
    </r>
    <r>
      <rPr>
        <sz val="10"/>
        <color theme="1"/>
        <rFont val="Calibri"/>
        <family val="2"/>
        <scheme val="minor"/>
      </rPr>
      <t xml:space="preserve"> - Kitchen garden
</t>
    </r>
    <r>
      <rPr>
        <b/>
        <sz val="10"/>
        <color theme="1"/>
        <rFont val="Calibri"/>
        <family val="2"/>
        <scheme val="minor"/>
      </rPr>
      <t>13635</t>
    </r>
    <r>
      <rPr>
        <sz val="10"/>
        <color theme="1"/>
        <rFont val="Calibri"/>
        <family val="2"/>
        <scheme val="minor"/>
      </rPr>
      <t xml:space="preserve"> - Natural habitat area
</t>
    </r>
    <r>
      <rPr>
        <b/>
        <sz val="10"/>
        <color theme="1"/>
        <rFont val="Calibri"/>
        <family val="2"/>
        <scheme val="minor"/>
      </rPr>
      <t>13633</t>
    </r>
    <r>
      <rPr>
        <sz val="10"/>
        <color theme="1"/>
        <rFont val="Calibri"/>
        <family val="2"/>
        <scheme val="minor"/>
      </rPr>
      <t xml:space="preserve"> - Outdoor classroom
</t>
    </r>
    <r>
      <rPr>
        <b/>
        <sz val="10"/>
        <color theme="1"/>
        <rFont val="Calibri"/>
        <family val="2"/>
        <scheme val="minor"/>
      </rPr>
      <t>13634</t>
    </r>
    <r>
      <rPr>
        <sz val="10"/>
        <color theme="1"/>
        <rFont val="Calibri"/>
        <family val="2"/>
        <scheme val="minor"/>
      </rPr>
      <t xml:space="preserve"> - Outdoor seating
</t>
    </r>
    <r>
      <rPr>
        <b/>
        <sz val="10"/>
        <color theme="1"/>
        <rFont val="Calibri"/>
        <family val="2"/>
        <scheme val="minor"/>
      </rPr>
      <t>02433</t>
    </r>
    <r>
      <rPr>
        <sz val="10"/>
        <color theme="1"/>
        <rFont val="Calibri"/>
        <family val="2"/>
        <scheme val="minor"/>
      </rPr>
      <t xml:space="preserve"> - Playground
</t>
    </r>
    <r>
      <rPr>
        <b/>
        <sz val="10"/>
        <color theme="1"/>
        <rFont val="Calibri"/>
        <family val="2"/>
        <scheme val="minor"/>
      </rPr>
      <t>03409</t>
    </r>
    <r>
      <rPr>
        <sz val="10"/>
        <color theme="1"/>
        <rFont val="Calibri"/>
        <family val="2"/>
        <scheme val="minor"/>
      </rPr>
      <t xml:space="preserve"> - Sandbox
</t>
    </r>
    <r>
      <rPr>
        <b/>
        <sz val="10"/>
        <color theme="1"/>
        <rFont val="Calibri"/>
        <family val="2"/>
        <scheme val="minor"/>
      </rPr>
      <t>03407</t>
    </r>
    <r>
      <rPr>
        <sz val="10"/>
        <color theme="1"/>
        <rFont val="Calibri"/>
        <family val="2"/>
        <scheme val="minor"/>
      </rPr>
      <t xml:space="preserve"> - Schoolyard Garden
</t>
    </r>
    <r>
      <rPr>
        <b/>
        <sz val="10"/>
        <color theme="1"/>
        <rFont val="Calibri"/>
        <family val="2"/>
        <scheme val="minor"/>
      </rPr>
      <t>13636</t>
    </r>
    <r>
      <rPr>
        <sz val="10"/>
        <color theme="1"/>
        <rFont val="Calibri"/>
        <family val="2"/>
        <scheme val="minor"/>
      </rPr>
      <t xml:space="preserve"> - Splash play area
</t>
    </r>
  </si>
  <si>
    <t>001826</t>
  </si>
  <si>
    <t>BuildingOutdoorOrNon-athleticSpaceType</t>
  </si>
  <si>
    <t>Building Performing Arts Specialty Space Type</t>
  </si>
  <si>
    <t>The space designed, located, furnished, and equipped for instruction and support of music and drama curricula and productions.</t>
  </si>
  <si>
    <r>
      <t>02768</t>
    </r>
    <r>
      <rPr>
        <sz val="10"/>
        <color theme="1"/>
        <rFont val="Calibri"/>
        <family val="2"/>
        <scheme val="minor"/>
      </rPr>
      <t xml:space="preserve"> - Auditorium (fixed seats)
</t>
    </r>
    <r>
      <rPr>
        <b/>
        <sz val="10"/>
        <color theme="1"/>
        <rFont val="Calibri"/>
        <family val="2"/>
        <scheme val="minor"/>
      </rPr>
      <t>02772</t>
    </r>
    <r>
      <rPr>
        <sz val="10"/>
        <color theme="1"/>
        <rFont val="Calibri"/>
        <family val="2"/>
        <scheme val="minor"/>
      </rPr>
      <t xml:space="preserve"> - Backstage room/green room
</t>
    </r>
    <r>
      <rPr>
        <b/>
        <sz val="10"/>
        <color theme="1"/>
        <rFont val="Calibri"/>
        <family val="2"/>
        <scheme val="minor"/>
      </rPr>
      <t>13637</t>
    </r>
    <r>
      <rPr>
        <sz val="10"/>
        <color theme="1"/>
        <rFont val="Calibri"/>
        <family val="2"/>
        <scheme val="minor"/>
      </rPr>
      <t xml:space="preserve"> - Balcony
</t>
    </r>
    <r>
      <rPr>
        <b/>
        <sz val="10"/>
        <color theme="1"/>
        <rFont val="Calibri"/>
        <family val="2"/>
        <scheme val="minor"/>
      </rPr>
      <t>02650</t>
    </r>
    <r>
      <rPr>
        <sz val="10"/>
        <color theme="1"/>
        <rFont val="Calibri"/>
        <family val="2"/>
        <scheme val="minor"/>
      </rPr>
      <t xml:space="preserve"> - Band room
</t>
    </r>
    <r>
      <rPr>
        <b/>
        <sz val="10"/>
        <color theme="1"/>
        <rFont val="Calibri"/>
        <family val="2"/>
        <scheme val="minor"/>
      </rPr>
      <t>02654</t>
    </r>
    <r>
      <rPr>
        <sz val="10"/>
        <color theme="1"/>
        <rFont val="Calibri"/>
        <family val="2"/>
        <scheme val="minor"/>
      </rPr>
      <t xml:space="preserve"> - Blackbox theater
</t>
    </r>
    <r>
      <rPr>
        <b/>
        <sz val="10"/>
        <color theme="1"/>
        <rFont val="Calibri"/>
        <family val="2"/>
        <scheme val="minor"/>
      </rPr>
      <t>02652</t>
    </r>
    <r>
      <rPr>
        <sz val="10"/>
        <color theme="1"/>
        <rFont val="Calibri"/>
        <family val="2"/>
        <scheme val="minor"/>
      </rPr>
      <t xml:space="preserve"> - Choral room
</t>
    </r>
    <r>
      <rPr>
        <b/>
        <sz val="10"/>
        <color theme="1"/>
        <rFont val="Calibri"/>
        <family val="2"/>
        <scheme val="minor"/>
      </rPr>
      <t>02769</t>
    </r>
    <r>
      <rPr>
        <sz val="10"/>
        <color theme="1"/>
        <rFont val="Calibri"/>
        <family val="2"/>
        <scheme val="minor"/>
      </rPr>
      <t xml:space="preserve"> - Control room
</t>
    </r>
    <r>
      <rPr>
        <b/>
        <sz val="10"/>
        <color theme="1"/>
        <rFont val="Calibri"/>
        <family val="2"/>
        <scheme val="minor"/>
      </rPr>
      <t>02770</t>
    </r>
    <r>
      <rPr>
        <sz val="10"/>
        <color theme="1"/>
        <rFont val="Calibri"/>
        <family val="2"/>
        <scheme val="minor"/>
      </rPr>
      <t xml:space="preserve"> - Costume storage area
</t>
    </r>
    <r>
      <rPr>
        <b/>
        <sz val="10"/>
        <color theme="1"/>
        <rFont val="Calibri"/>
        <family val="2"/>
        <scheme val="minor"/>
      </rPr>
      <t>02653</t>
    </r>
    <r>
      <rPr>
        <sz val="10"/>
        <color theme="1"/>
        <rFont val="Calibri"/>
        <family val="2"/>
        <scheme val="minor"/>
      </rPr>
      <t xml:space="preserve"> - Drama classroom
</t>
    </r>
    <r>
      <rPr>
        <b/>
        <sz val="10"/>
        <color theme="1"/>
        <rFont val="Calibri"/>
        <family val="2"/>
        <scheme val="minor"/>
      </rPr>
      <t>02655</t>
    </r>
    <r>
      <rPr>
        <sz val="10"/>
        <color theme="1"/>
        <rFont val="Calibri"/>
        <family val="2"/>
        <scheme val="minor"/>
      </rPr>
      <t xml:space="preserve"> - Instrument storage
</t>
    </r>
    <r>
      <rPr>
        <b/>
        <sz val="10"/>
        <color theme="1"/>
        <rFont val="Calibri"/>
        <family val="2"/>
        <scheme val="minor"/>
      </rPr>
      <t>02656</t>
    </r>
    <r>
      <rPr>
        <sz val="10"/>
        <color theme="1"/>
        <rFont val="Calibri"/>
        <family val="2"/>
        <scheme val="minor"/>
      </rPr>
      <t xml:space="preserve"> - Keyboard laboratory
</t>
    </r>
    <r>
      <rPr>
        <b/>
        <sz val="10"/>
        <color theme="1"/>
        <rFont val="Calibri"/>
        <family val="2"/>
        <scheme val="minor"/>
      </rPr>
      <t>02659</t>
    </r>
    <r>
      <rPr>
        <sz val="10"/>
        <color theme="1"/>
        <rFont val="Calibri"/>
        <family val="2"/>
        <scheme val="minor"/>
      </rPr>
      <t xml:space="preserve"> - Multimedia production center
</t>
    </r>
    <r>
      <rPr>
        <b/>
        <sz val="10"/>
        <color theme="1"/>
        <rFont val="Calibri"/>
        <family val="2"/>
        <scheme val="minor"/>
      </rPr>
      <t>02658</t>
    </r>
    <r>
      <rPr>
        <sz val="10"/>
        <color theme="1"/>
        <rFont val="Calibri"/>
        <family val="2"/>
        <scheme val="minor"/>
      </rPr>
      <t xml:space="preserve"> - Multipurpose music room
</t>
    </r>
    <r>
      <rPr>
        <b/>
        <sz val="10"/>
        <color theme="1"/>
        <rFont val="Calibri"/>
        <family val="2"/>
        <scheme val="minor"/>
      </rPr>
      <t>02651</t>
    </r>
    <r>
      <rPr>
        <sz val="10"/>
        <color theme="1"/>
        <rFont val="Calibri"/>
        <family val="2"/>
        <scheme val="minor"/>
      </rPr>
      <t xml:space="preserve"> - Practice room
</t>
    </r>
    <r>
      <rPr>
        <b/>
        <sz val="10"/>
        <color theme="1"/>
        <rFont val="Calibri"/>
        <family val="2"/>
        <scheme val="minor"/>
      </rPr>
      <t>02660</t>
    </r>
    <r>
      <rPr>
        <sz val="10"/>
        <color theme="1"/>
        <rFont val="Calibri"/>
        <family val="2"/>
        <scheme val="minor"/>
      </rPr>
      <t xml:space="preserve"> - Radio/television broadcast studios
</t>
    </r>
    <r>
      <rPr>
        <b/>
        <sz val="10"/>
        <color theme="1"/>
        <rFont val="Calibri"/>
        <family val="2"/>
        <scheme val="minor"/>
      </rPr>
      <t>02771</t>
    </r>
    <r>
      <rPr>
        <sz val="10"/>
        <color theme="1"/>
        <rFont val="Calibri"/>
        <family val="2"/>
        <scheme val="minor"/>
      </rPr>
      <t xml:space="preserve"> - Set storage area
</t>
    </r>
    <r>
      <rPr>
        <b/>
        <sz val="10"/>
        <color theme="1"/>
        <rFont val="Calibri"/>
        <family val="2"/>
        <scheme val="minor"/>
      </rPr>
      <t>02657</t>
    </r>
    <r>
      <rPr>
        <sz val="10"/>
        <color theme="1"/>
        <rFont val="Calibri"/>
        <family val="2"/>
        <scheme val="minor"/>
      </rPr>
      <t xml:space="preserve"> - Television studio
</t>
    </r>
    <r>
      <rPr>
        <b/>
        <sz val="10"/>
        <color theme="1"/>
        <rFont val="Calibri"/>
        <family val="2"/>
        <scheme val="minor"/>
      </rPr>
      <t>09999</t>
    </r>
    <r>
      <rPr>
        <sz val="10"/>
        <color theme="1"/>
        <rFont val="Calibri"/>
        <family val="2"/>
        <scheme val="minor"/>
      </rPr>
      <t xml:space="preserve"> - Other
</t>
    </r>
  </si>
  <si>
    <t>001827</t>
  </si>
  <si>
    <t>BuildingPerformingArtsSpecialtySpaceType</t>
  </si>
  <si>
    <t>Building Plumbing System Type</t>
  </si>
  <si>
    <t>The component of an on-site system for supplying, eliminating, and treating water.</t>
  </si>
  <si>
    <r>
      <t>02470</t>
    </r>
    <r>
      <rPr>
        <sz val="10"/>
        <color theme="1"/>
        <rFont val="Calibri"/>
        <family val="2"/>
        <scheme val="minor"/>
      </rPr>
      <t xml:space="preserve"> - Detention ponds
</t>
    </r>
    <r>
      <rPr>
        <b/>
        <sz val="10"/>
        <color theme="1"/>
        <rFont val="Calibri"/>
        <family val="2"/>
        <scheme val="minor"/>
      </rPr>
      <t>13596</t>
    </r>
    <r>
      <rPr>
        <sz val="10"/>
        <color theme="1"/>
        <rFont val="Calibri"/>
        <family val="2"/>
        <scheme val="minor"/>
      </rPr>
      <t xml:space="preserve"> - Domestic water distribution
</t>
    </r>
    <r>
      <rPr>
        <b/>
        <sz val="10"/>
        <color theme="1"/>
        <rFont val="Calibri"/>
        <family val="2"/>
        <scheme val="minor"/>
      </rPr>
      <t>02463</t>
    </r>
    <r>
      <rPr>
        <sz val="10"/>
        <color theme="1"/>
        <rFont val="Calibri"/>
        <family val="2"/>
        <scheme val="minor"/>
      </rPr>
      <t xml:space="preserve"> - Drains
</t>
    </r>
    <r>
      <rPr>
        <b/>
        <sz val="10"/>
        <color theme="1"/>
        <rFont val="Calibri"/>
        <family val="2"/>
        <scheme val="minor"/>
      </rPr>
      <t>02471</t>
    </r>
    <r>
      <rPr>
        <sz val="10"/>
        <color theme="1"/>
        <rFont val="Calibri"/>
        <family val="2"/>
        <scheme val="minor"/>
      </rPr>
      <t xml:space="preserve"> - Filtration system
</t>
    </r>
    <r>
      <rPr>
        <b/>
        <sz val="10"/>
        <color theme="1"/>
        <rFont val="Calibri"/>
        <family val="2"/>
        <scheme val="minor"/>
      </rPr>
      <t>02467</t>
    </r>
    <r>
      <rPr>
        <sz val="10"/>
        <color theme="1"/>
        <rFont val="Calibri"/>
        <family val="2"/>
        <scheme val="minor"/>
      </rPr>
      <t xml:space="preserve"> - Parcel drainage
</t>
    </r>
    <r>
      <rPr>
        <b/>
        <sz val="10"/>
        <color theme="1"/>
        <rFont val="Calibri"/>
        <family val="2"/>
        <scheme val="minor"/>
      </rPr>
      <t>02468</t>
    </r>
    <r>
      <rPr>
        <sz val="10"/>
        <color theme="1"/>
        <rFont val="Calibri"/>
        <family val="2"/>
        <scheme val="minor"/>
      </rPr>
      <t xml:space="preserve"> - Piping
</t>
    </r>
    <r>
      <rPr>
        <b/>
        <sz val="10"/>
        <color theme="1"/>
        <rFont val="Calibri"/>
        <family val="2"/>
        <scheme val="minor"/>
      </rPr>
      <t>13597</t>
    </r>
    <r>
      <rPr>
        <sz val="10"/>
        <color theme="1"/>
        <rFont val="Calibri"/>
        <family val="2"/>
        <scheme val="minor"/>
      </rPr>
      <t xml:space="preserve"> - Plumbing fixtures
</t>
    </r>
    <r>
      <rPr>
        <b/>
        <sz val="10"/>
        <color theme="1"/>
        <rFont val="Calibri"/>
        <family val="2"/>
        <scheme val="minor"/>
      </rPr>
      <t>13598</t>
    </r>
    <r>
      <rPr>
        <sz val="10"/>
        <color theme="1"/>
        <rFont val="Calibri"/>
        <family val="2"/>
        <scheme val="minor"/>
      </rPr>
      <t xml:space="preserve"> - Rain water drainage
</t>
    </r>
    <r>
      <rPr>
        <b/>
        <sz val="10"/>
        <color theme="1"/>
        <rFont val="Calibri"/>
        <family val="2"/>
        <scheme val="minor"/>
      </rPr>
      <t>13599</t>
    </r>
    <r>
      <rPr>
        <sz val="10"/>
        <color theme="1"/>
        <rFont val="Calibri"/>
        <family val="2"/>
        <scheme val="minor"/>
      </rPr>
      <t xml:space="preserve"> - Sanitary waste
</t>
    </r>
    <r>
      <rPr>
        <b/>
        <sz val="10"/>
        <color theme="1"/>
        <rFont val="Calibri"/>
        <family val="2"/>
        <scheme val="minor"/>
      </rPr>
      <t>02465</t>
    </r>
    <r>
      <rPr>
        <sz val="10"/>
        <color theme="1"/>
        <rFont val="Calibri"/>
        <family val="2"/>
        <scheme val="minor"/>
      </rPr>
      <t xml:space="preserve"> - Sewage treatment
</t>
    </r>
    <r>
      <rPr>
        <b/>
        <sz val="10"/>
        <color theme="1"/>
        <rFont val="Calibri"/>
        <family val="2"/>
        <scheme val="minor"/>
      </rPr>
      <t>02464</t>
    </r>
    <r>
      <rPr>
        <sz val="10"/>
        <color theme="1"/>
        <rFont val="Calibri"/>
        <family val="2"/>
        <scheme val="minor"/>
      </rPr>
      <t xml:space="preserve"> - Vents
</t>
    </r>
    <r>
      <rPr>
        <b/>
        <sz val="10"/>
        <color theme="1"/>
        <rFont val="Calibri"/>
        <family val="2"/>
        <scheme val="minor"/>
      </rPr>
      <t>02469</t>
    </r>
    <r>
      <rPr>
        <sz val="10"/>
        <color theme="1"/>
        <rFont val="Calibri"/>
        <family val="2"/>
        <scheme val="minor"/>
      </rPr>
      <t xml:space="preserve"> - Water softeners
</t>
    </r>
    <r>
      <rPr>
        <b/>
        <sz val="10"/>
        <color theme="1"/>
        <rFont val="Calibri"/>
        <family val="2"/>
        <scheme val="minor"/>
      </rPr>
      <t>02466</t>
    </r>
    <r>
      <rPr>
        <sz val="10"/>
        <color theme="1"/>
        <rFont val="Calibri"/>
        <family val="2"/>
        <scheme val="minor"/>
      </rPr>
      <t xml:space="preserve"> - Water source
</t>
    </r>
    <r>
      <rPr>
        <b/>
        <sz val="10"/>
        <color theme="1"/>
        <rFont val="Calibri"/>
        <family val="2"/>
        <scheme val="minor"/>
      </rPr>
      <t>02462</t>
    </r>
    <r>
      <rPr>
        <sz val="10"/>
        <color theme="1"/>
        <rFont val="Calibri"/>
        <family val="2"/>
        <scheme val="minor"/>
      </rPr>
      <t xml:space="preserve"> - Water supply
</t>
    </r>
    <r>
      <rPr>
        <b/>
        <sz val="10"/>
        <color theme="1"/>
        <rFont val="Calibri"/>
        <family val="2"/>
        <scheme val="minor"/>
      </rPr>
      <t>09999</t>
    </r>
    <r>
      <rPr>
        <sz val="10"/>
        <color theme="1"/>
        <rFont val="Calibri"/>
        <family val="2"/>
        <scheme val="minor"/>
      </rPr>
      <t xml:space="preserve"> - Other
</t>
    </r>
  </si>
  <si>
    <t>001803</t>
  </si>
  <si>
    <t>BuildingPlumbingSystemType</t>
  </si>
  <si>
    <t>Building Primary Use Type</t>
  </si>
  <si>
    <t>The primary use type of the building in which a school is located.</t>
  </si>
  <si>
    <r>
      <t>13561</t>
    </r>
    <r>
      <rPr>
        <sz val="10"/>
        <color theme="1"/>
        <rFont val="Calibri"/>
        <family val="2"/>
        <scheme val="minor"/>
      </rPr>
      <t xml:space="preserve"> - Church
</t>
    </r>
    <r>
      <rPr>
        <b/>
        <sz val="10"/>
        <color theme="1"/>
        <rFont val="Calibri"/>
        <family val="2"/>
        <scheme val="minor"/>
      </rPr>
      <t>13562</t>
    </r>
    <r>
      <rPr>
        <sz val="10"/>
        <color theme="1"/>
        <rFont val="Calibri"/>
        <family val="2"/>
        <scheme val="minor"/>
      </rPr>
      <t xml:space="preserve"> - Commercial office building
</t>
    </r>
    <r>
      <rPr>
        <b/>
        <sz val="10"/>
        <color theme="1"/>
        <rFont val="Calibri"/>
        <family val="2"/>
        <scheme val="minor"/>
      </rPr>
      <t>13563</t>
    </r>
    <r>
      <rPr>
        <sz val="10"/>
        <color theme="1"/>
        <rFont val="Calibri"/>
        <family val="2"/>
        <scheme val="minor"/>
      </rPr>
      <t xml:space="preserve"> - Commercial warehouse
</t>
    </r>
    <r>
      <rPr>
        <b/>
        <sz val="10"/>
        <color theme="1"/>
        <rFont val="Calibri"/>
        <family val="2"/>
        <scheme val="minor"/>
      </rPr>
      <t>13564</t>
    </r>
    <r>
      <rPr>
        <sz val="10"/>
        <color theme="1"/>
        <rFont val="Calibri"/>
        <family val="2"/>
        <scheme val="minor"/>
      </rPr>
      <t xml:space="preserve"> - Community center
</t>
    </r>
    <r>
      <rPr>
        <b/>
        <sz val="10"/>
        <color theme="1"/>
        <rFont val="Calibri"/>
        <family val="2"/>
        <scheme val="minor"/>
      </rPr>
      <t>13565</t>
    </r>
    <r>
      <rPr>
        <sz val="10"/>
        <color theme="1"/>
        <rFont val="Calibri"/>
        <family val="2"/>
        <scheme val="minor"/>
      </rPr>
      <t xml:space="preserve"> - Public school building
</t>
    </r>
  </si>
  <si>
    <t>001777</t>
  </si>
  <si>
    <t>BuildingPrimaryUseType</t>
  </si>
  <si>
    <t>Building Public Use Policy Description</t>
  </si>
  <si>
    <t>A description of the policy that enables the community or other organizations to use all or part of a building for purposes other than general education.</t>
  </si>
  <si>
    <t>001859</t>
  </si>
  <si>
    <t>BuildingPublicUsePolicyDescription</t>
  </si>
  <si>
    <t>Building School Design Type</t>
  </si>
  <si>
    <t>The physical layout and character of a school facility, as determined by age groups served and educational programs provided.</t>
  </si>
  <si>
    <r>
      <t>02608</t>
    </r>
    <r>
      <rPr>
        <sz val="10"/>
        <color theme="1"/>
        <rFont val="Calibri"/>
        <family val="2"/>
        <scheme val="minor"/>
      </rPr>
      <t xml:space="preserve"> - 6-12 school
</t>
    </r>
    <r>
      <rPr>
        <b/>
        <sz val="10"/>
        <color theme="1"/>
        <rFont val="Calibri"/>
        <family val="2"/>
        <scheme val="minor"/>
      </rPr>
      <t>02605</t>
    </r>
    <r>
      <rPr>
        <sz val="10"/>
        <color theme="1"/>
        <rFont val="Calibri"/>
        <family val="2"/>
        <scheme val="minor"/>
      </rPr>
      <t xml:space="preserve"> - Adult education school
</t>
    </r>
    <r>
      <rPr>
        <b/>
        <sz val="10"/>
        <color theme="1"/>
        <rFont val="Calibri"/>
        <family val="2"/>
        <scheme val="minor"/>
      </rPr>
      <t>02609</t>
    </r>
    <r>
      <rPr>
        <sz val="10"/>
        <color theme="1"/>
        <rFont val="Calibri"/>
        <family val="2"/>
        <scheme val="minor"/>
      </rPr>
      <t xml:space="preserve"> - Alternative school
</t>
    </r>
    <r>
      <rPr>
        <b/>
        <sz val="10"/>
        <color theme="1"/>
        <rFont val="Calibri"/>
        <family val="2"/>
        <scheme val="minor"/>
      </rPr>
      <t>02604</t>
    </r>
    <r>
      <rPr>
        <sz val="10"/>
        <color theme="1"/>
        <rFont val="Calibri"/>
        <family val="2"/>
        <scheme val="minor"/>
      </rPr>
      <t xml:space="preserve"> - Career-technology education center
</t>
    </r>
    <r>
      <rPr>
        <b/>
        <sz val="10"/>
        <color theme="1"/>
        <rFont val="Calibri"/>
        <family val="2"/>
        <scheme val="minor"/>
      </rPr>
      <t>02599</t>
    </r>
    <r>
      <rPr>
        <sz val="10"/>
        <color theme="1"/>
        <rFont val="Calibri"/>
        <family val="2"/>
        <scheme val="minor"/>
      </rPr>
      <t xml:space="preserve"> - Early childhood center
</t>
    </r>
    <r>
      <rPr>
        <b/>
        <sz val="10"/>
        <color theme="1"/>
        <rFont val="Calibri"/>
        <family val="2"/>
        <scheme val="minor"/>
      </rPr>
      <t>02600</t>
    </r>
    <r>
      <rPr>
        <sz val="10"/>
        <color theme="1"/>
        <rFont val="Calibri"/>
        <family val="2"/>
        <scheme val="minor"/>
      </rPr>
      <t xml:space="preserve"> - Elementary school
</t>
    </r>
    <r>
      <rPr>
        <b/>
        <sz val="10"/>
        <color theme="1"/>
        <rFont val="Calibri"/>
        <family val="2"/>
        <scheme val="minor"/>
      </rPr>
      <t>02602</t>
    </r>
    <r>
      <rPr>
        <sz val="10"/>
        <color theme="1"/>
        <rFont val="Calibri"/>
        <family val="2"/>
        <scheme val="minor"/>
      </rPr>
      <t xml:space="preserve"> - Junior high school
</t>
    </r>
    <r>
      <rPr>
        <b/>
        <sz val="10"/>
        <color theme="1"/>
        <rFont val="Calibri"/>
        <family val="2"/>
        <scheme val="minor"/>
      </rPr>
      <t>02607</t>
    </r>
    <r>
      <rPr>
        <sz val="10"/>
        <color theme="1"/>
        <rFont val="Calibri"/>
        <family val="2"/>
        <scheme val="minor"/>
      </rPr>
      <t xml:space="preserve"> - K-8 school
</t>
    </r>
    <r>
      <rPr>
        <b/>
        <sz val="10"/>
        <color theme="1"/>
        <rFont val="Calibri"/>
        <family val="2"/>
        <scheme val="minor"/>
      </rPr>
      <t>02601</t>
    </r>
    <r>
      <rPr>
        <sz val="10"/>
        <color theme="1"/>
        <rFont val="Calibri"/>
        <family val="2"/>
        <scheme val="minor"/>
      </rPr>
      <t xml:space="preserve"> - Middle school
</t>
    </r>
    <r>
      <rPr>
        <b/>
        <sz val="10"/>
        <color theme="1"/>
        <rFont val="Calibri"/>
        <family val="2"/>
        <scheme val="minor"/>
      </rPr>
      <t>13638</t>
    </r>
    <r>
      <rPr>
        <sz val="10"/>
        <color theme="1"/>
        <rFont val="Calibri"/>
        <family val="2"/>
        <scheme val="minor"/>
      </rPr>
      <t xml:space="preserve"> - Performing arts school
</t>
    </r>
    <r>
      <rPr>
        <b/>
        <sz val="10"/>
        <color theme="1"/>
        <rFont val="Calibri"/>
        <family val="2"/>
        <scheme val="minor"/>
      </rPr>
      <t>13639</t>
    </r>
    <r>
      <rPr>
        <sz val="10"/>
        <color theme="1"/>
        <rFont val="Calibri"/>
        <family val="2"/>
        <scheme val="minor"/>
      </rPr>
      <t xml:space="preserve"> - Science, technology, engineering and math (STEM) school
</t>
    </r>
    <r>
      <rPr>
        <b/>
        <sz val="10"/>
        <color theme="1"/>
        <rFont val="Calibri"/>
        <family val="2"/>
        <scheme val="minor"/>
      </rPr>
      <t>02603</t>
    </r>
    <r>
      <rPr>
        <sz val="10"/>
        <color theme="1"/>
        <rFont val="Calibri"/>
        <family val="2"/>
        <scheme val="minor"/>
      </rPr>
      <t xml:space="preserve"> - Senior high school
</t>
    </r>
    <r>
      <rPr>
        <b/>
        <sz val="10"/>
        <color theme="1"/>
        <rFont val="Calibri"/>
        <family val="2"/>
        <scheme val="minor"/>
      </rPr>
      <t>02606</t>
    </r>
    <r>
      <rPr>
        <sz val="10"/>
        <color theme="1"/>
        <rFont val="Calibri"/>
        <family val="2"/>
        <scheme val="minor"/>
      </rPr>
      <t xml:space="preserve"> - Special education school
</t>
    </r>
    <r>
      <rPr>
        <b/>
        <sz val="10"/>
        <color theme="1"/>
        <rFont val="Calibri"/>
        <family val="2"/>
        <scheme val="minor"/>
      </rPr>
      <t>09999</t>
    </r>
    <r>
      <rPr>
        <sz val="10"/>
        <color theme="1"/>
        <rFont val="Calibri"/>
        <family val="2"/>
        <scheme val="minor"/>
      </rPr>
      <t xml:space="preserve"> - Other
</t>
    </r>
  </si>
  <si>
    <t>001828</t>
  </si>
  <si>
    <t>BuildingSchoolDesignType</t>
  </si>
  <si>
    <t>Building Science Specialty Space Type</t>
  </si>
  <si>
    <t>The space designed, located, furnished, and equipped for instruction and experimentation in science.</t>
  </si>
  <si>
    <r>
      <t>02661</t>
    </r>
    <r>
      <rPr>
        <sz val="10"/>
        <color theme="1"/>
        <rFont val="Calibri"/>
        <family val="2"/>
        <scheme val="minor"/>
      </rPr>
      <t xml:space="preserve"> - Biology laboratory
</t>
    </r>
    <r>
      <rPr>
        <b/>
        <sz val="10"/>
        <color theme="1"/>
        <rFont val="Calibri"/>
        <family val="2"/>
        <scheme val="minor"/>
      </rPr>
      <t>02668</t>
    </r>
    <r>
      <rPr>
        <sz val="10"/>
        <color theme="1"/>
        <rFont val="Calibri"/>
        <family val="2"/>
        <scheme val="minor"/>
      </rPr>
      <t xml:space="preserve"> - Chemical storage room
</t>
    </r>
    <r>
      <rPr>
        <b/>
        <sz val="10"/>
        <color theme="1"/>
        <rFont val="Calibri"/>
        <family val="2"/>
        <scheme val="minor"/>
      </rPr>
      <t>02662</t>
    </r>
    <r>
      <rPr>
        <sz val="10"/>
        <color theme="1"/>
        <rFont val="Calibri"/>
        <family val="2"/>
        <scheme val="minor"/>
      </rPr>
      <t xml:space="preserve"> - Chemistry laboratory
</t>
    </r>
    <r>
      <rPr>
        <b/>
        <sz val="10"/>
        <color theme="1"/>
        <rFont val="Calibri"/>
        <family val="2"/>
        <scheme val="minor"/>
      </rPr>
      <t>02663</t>
    </r>
    <r>
      <rPr>
        <sz val="10"/>
        <color theme="1"/>
        <rFont val="Calibri"/>
        <family val="2"/>
        <scheme val="minor"/>
      </rPr>
      <t xml:space="preserve"> - Environmental science laboratory
</t>
    </r>
    <r>
      <rPr>
        <b/>
        <sz val="10"/>
        <color theme="1"/>
        <rFont val="Calibri"/>
        <family val="2"/>
        <scheme val="minor"/>
      </rPr>
      <t>02670</t>
    </r>
    <r>
      <rPr>
        <sz val="10"/>
        <color theme="1"/>
        <rFont val="Calibri"/>
        <family val="2"/>
        <scheme val="minor"/>
      </rPr>
      <t xml:space="preserve"> - General science laboratory
</t>
    </r>
    <r>
      <rPr>
        <b/>
        <sz val="10"/>
        <color theme="1"/>
        <rFont val="Calibri"/>
        <family val="2"/>
        <scheme val="minor"/>
      </rPr>
      <t>02669</t>
    </r>
    <r>
      <rPr>
        <sz val="10"/>
        <color theme="1"/>
        <rFont val="Calibri"/>
        <family val="2"/>
        <scheme val="minor"/>
      </rPr>
      <t xml:space="preserve"> - Miscellaneous storage room
</t>
    </r>
    <r>
      <rPr>
        <b/>
        <sz val="10"/>
        <color theme="1"/>
        <rFont val="Calibri"/>
        <family val="2"/>
        <scheme val="minor"/>
      </rPr>
      <t>02435</t>
    </r>
    <r>
      <rPr>
        <sz val="10"/>
        <color theme="1"/>
        <rFont val="Calibri"/>
        <family val="2"/>
        <scheme val="minor"/>
      </rPr>
      <t xml:space="preserve"> - Outdoor classroom
</t>
    </r>
    <r>
      <rPr>
        <b/>
        <sz val="10"/>
        <color theme="1"/>
        <rFont val="Calibri"/>
        <family val="2"/>
        <scheme val="minor"/>
      </rPr>
      <t>02664</t>
    </r>
    <r>
      <rPr>
        <sz val="10"/>
        <color theme="1"/>
        <rFont val="Calibri"/>
        <family val="2"/>
        <scheme val="minor"/>
      </rPr>
      <t xml:space="preserve"> - Physics laboratory
</t>
    </r>
    <r>
      <rPr>
        <b/>
        <sz val="10"/>
        <color theme="1"/>
        <rFont val="Calibri"/>
        <family val="2"/>
        <scheme val="minor"/>
      </rPr>
      <t>02665</t>
    </r>
    <r>
      <rPr>
        <sz val="10"/>
        <color theme="1"/>
        <rFont val="Calibri"/>
        <family val="2"/>
        <scheme val="minor"/>
      </rPr>
      <t xml:space="preserve"> - Planetarium
</t>
    </r>
    <r>
      <rPr>
        <b/>
        <sz val="10"/>
        <color theme="1"/>
        <rFont val="Calibri"/>
        <family val="2"/>
        <scheme val="minor"/>
      </rPr>
      <t>02666</t>
    </r>
    <r>
      <rPr>
        <sz val="10"/>
        <color theme="1"/>
        <rFont val="Calibri"/>
        <family val="2"/>
        <scheme val="minor"/>
      </rPr>
      <t xml:space="preserve"> - Prep room
</t>
    </r>
    <r>
      <rPr>
        <b/>
        <sz val="10"/>
        <color theme="1"/>
        <rFont val="Calibri"/>
        <family val="2"/>
        <scheme val="minor"/>
      </rPr>
      <t>02667</t>
    </r>
    <r>
      <rPr>
        <sz val="10"/>
        <color theme="1"/>
        <rFont val="Calibri"/>
        <family val="2"/>
        <scheme val="minor"/>
      </rPr>
      <t xml:space="preserve"> - Science lecture room
</t>
    </r>
    <r>
      <rPr>
        <b/>
        <sz val="10"/>
        <color theme="1"/>
        <rFont val="Calibri"/>
        <family val="2"/>
        <scheme val="minor"/>
      </rPr>
      <t>09999</t>
    </r>
    <r>
      <rPr>
        <sz val="10"/>
        <color theme="1"/>
        <rFont val="Calibri"/>
        <family val="2"/>
        <scheme val="minor"/>
      </rPr>
      <t xml:space="preserve"> - Other
</t>
    </r>
  </si>
  <si>
    <t>001829</t>
  </si>
  <si>
    <t>BuildingScienceSpecialtySpaceType</t>
  </si>
  <si>
    <t>Building Security System Type</t>
  </si>
  <si>
    <t>The type of system that protects the facility from intrusion.</t>
  </si>
  <si>
    <r>
      <t>02508</t>
    </r>
    <r>
      <rPr>
        <sz val="10"/>
        <color theme="1"/>
        <rFont val="Calibri"/>
        <family val="2"/>
        <scheme val="minor"/>
      </rPr>
      <t xml:space="preserve"> - Card access control system
</t>
    </r>
    <r>
      <rPr>
        <b/>
        <sz val="10"/>
        <color theme="1"/>
        <rFont val="Calibri"/>
        <family val="2"/>
        <scheme val="minor"/>
      </rPr>
      <t>02507</t>
    </r>
    <r>
      <rPr>
        <sz val="10"/>
        <color theme="1"/>
        <rFont val="Calibri"/>
        <family val="2"/>
        <scheme val="minor"/>
      </rPr>
      <t xml:space="preserve"> - Intrusion detection system
</t>
    </r>
    <r>
      <rPr>
        <b/>
        <sz val="10"/>
        <color theme="1"/>
        <rFont val="Calibri"/>
        <family val="2"/>
        <scheme val="minor"/>
      </rPr>
      <t>02509</t>
    </r>
    <r>
      <rPr>
        <sz val="10"/>
        <color theme="1"/>
        <rFont val="Calibri"/>
        <family val="2"/>
        <scheme val="minor"/>
      </rPr>
      <t xml:space="preserve"> - Keypad access control system
</t>
    </r>
    <r>
      <rPr>
        <b/>
        <sz val="10"/>
        <color theme="1"/>
        <rFont val="Calibri"/>
        <family val="2"/>
        <scheme val="minor"/>
      </rPr>
      <t>02510</t>
    </r>
    <r>
      <rPr>
        <sz val="10"/>
        <color theme="1"/>
        <rFont val="Calibri"/>
        <family val="2"/>
        <scheme val="minor"/>
      </rPr>
      <t xml:space="preserve"> - Metal detector
</t>
    </r>
    <r>
      <rPr>
        <b/>
        <sz val="10"/>
        <color theme="1"/>
        <rFont val="Calibri"/>
        <family val="2"/>
        <scheme val="minor"/>
      </rPr>
      <t>02499</t>
    </r>
    <r>
      <rPr>
        <sz val="10"/>
        <color theme="1"/>
        <rFont val="Calibri"/>
        <family val="2"/>
        <scheme val="minor"/>
      </rPr>
      <t xml:space="preserve"> - Video
</t>
    </r>
    <r>
      <rPr>
        <b/>
        <sz val="10"/>
        <color theme="1"/>
        <rFont val="Calibri"/>
        <family val="2"/>
        <scheme val="minor"/>
      </rPr>
      <t>09999</t>
    </r>
    <r>
      <rPr>
        <sz val="10"/>
        <color theme="1"/>
        <rFont val="Calibri"/>
        <family val="2"/>
        <scheme val="minor"/>
      </rPr>
      <t xml:space="preserve"> - Other
</t>
    </r>
  </si>
  <si>
    <t>001804</t>
  </si>
  <si>
    <t>BuildingSecuritySystemType</t>
  </si>
  <si>
    <t>Building Site Improvement Description</t>
  </si>
  <si>
    <t>A description of the designed and constructed improvements made to a site.</t>
  </si>
  <si>
    <t>001850</t>
  </si>
  <si>
    <t>BuildingSiteImprovementDescription</t>
  </si>
  <si>
    <t>Building Site Number</t>
  </si>
  <si>
    <t>The number of the building on the site, if more than one building shares the same address.</t>
  </si>
  <si>
    <t>Early Learning -&gt; EL Organization -&gt; Address
Facilities -&gt; Facility -&gt; Address
K12 -&gt; K12 School -&gt; Address
K12 -&gt; LEA -&gt; Address
K12 -&gt; Organization -&gt; Address
K12 -&gt; SEA -&gt; Address
Postsecondary -&gt; Organization -&gt; Address</t>
  </si>
  <si>
    <t>000602</t>
  </si>
  <si>
    <t>BuildingSiteNumber</t>
  </si>
  <si>
    <t>Building Site Use Restrictions Type</t>
  </si>
  <si>
    <t>A characterization of a site that would define restrictions or opportunities.</t>
  </si>
  <si>
    <r>
      <t>02446</t>
    </r>
    <r>
      <rPr>
        <sz val="10"/>
        <color theme="1"/>
        <rFont val="Calibri"/>
        <family val="2"/>
        <scheme val="minor"/>
      </rPr>
      <t xml:space="preserve"> - Enterprise zone
</t>
    </r>
    <r>
      <rPr>
        <b/>
        <sz val="10"/>
        <color theme="1"/>
        <rFont val="Calibri"/>
        <family val="2"/>
        <scheme val="minor"/>
      </rPr>
      <t>02449</t>
    </r>
    <r>
      <rPr>
        <sz val="10"/>
        <color theme="1"/>
        <rFont val="Calibri"/>
        <family val="2"/>
        <scheme val="minor"/>
      </rPr>
      <t xml:space="preserve"> - Environmental contamination
</t>
    </r>
    <r>
      <rPr>
        <b/>
        <sz val="10"/>
        <color theme="1"/>
        <rFont val="Calibri"/>
        <family val="2"/>
        <scheme val="minor"/>
      </rPr>
      <t>02448</t>
    </r>
    <r>
      <rPr>
        <sz val="10"/>
        <color theme="1"/>
        <rFont val="Calibri"/>
        <family val="2"/>
        <scheme val="minor"/>
      </rPr>
      <t xml:space="preserve"> - Environmental protection
</t>
    </r>
    <r>
      <rPr>
        <b/>
        <sz val="10"/>
        <color theme="1"/>
        <rFont val="Calibri"/>
        <family val="2"/>
        <scheme val="minor"/>
      </rPr>
      <t>02447</t>
    </r>
    <r>
      <rPr>
        <sz val="10"/>
        <color theme="1"/>
        <rFont val="Calibri"/>
        <family val="2"/>
        <scheme val="minor"/>
      </rPr>
      <t xml:space="preserve"> - Historic district
</t>
    </r>
    <r>
      <rPr>
        <b/>
        <sz val="10"/>
        <color theme="1"/>
        <rFont val="Calibri"/>
        <family val="2"/>
        <scheme val="minor"/>
      </rPr>
      <t>02445</t>
    </r>
    <r>
      <rPr>
        <sz val="10"/>
        <color theme="1"/>
        <rFont val="Calibri"/>
        <family val="2"/>
        <scheme val="minor"/>
      </rPr>
      <t xml:space="preserve"> - Land use
</t>
    </r>
    <r>
      <rPr>
        <b/>
        <sz val="10"/>
        <color theme="1"/>
        <rFont val="Calibri"/>
        <family val="2"/>
        <scheme val="minor"/>
      </rPr>
      <t>02450</t>
    </r>
    <r>
      <rPr>
        <sz val="10"/>
        <color theme="1"/>
        <rFont val="Calibri"/>
        <family val="2"/>
        <scheme val="minor"/>
      </rPr>
      <t xml:space="preserve"> - Site easements
</t>
    </r>
    <r>
      <rPr>
        <b/>
        <sz val="10"/>
        <color theme="1"/>
        <rFont val="Calibri"/>
        <family val="2"/>
        <scheme val="minor"/>
      </rPr>
      <t>09999</t>
    </r>
    <r>
      <rPr>
        <sz val="10"/>
        <color theme="1"/>
        <rFont val="Calibri"/>
        <family val="2"/>
        <scheme val="minor"/>
      </rPr>
      <t xml:space="preserve"> - Other
</t>
    </r>
  </si>
  <si>
    <t>001860</t>
  </si>
  <si>
    <t>BuildingSiteUseRestrictionsType</t>
  </si>
  <si>
    <t>Building Space Design Type</t>
  </si>
  <si>
    <t>The primary design or purpose of a space, as determined by its physical layout and built-in systems and equipment, regardless of its current use.</t>
  </si>
  <si>
    <r>
      <t>02633</t>
    </r>
    <r>
      <rPr>
        <sz val="10"/>
        <color theme="1"/>
        <rFont val="Calibri"/>
        <family val="2"/>
        <scheme val="minor"/>
      </rPr>
      <t xml:space="preserve"> - Administration
</t>
    </r>
    <r>
      <rPr>
        <b/>
        <sz val="10"/>
        <color theme="1"/>
        <rFont val="Calibri"/>
        <family val="2"/>
        <scheme val="minor"/>
      </rPr>
      <t>02634</t>
    </r>
    <r>
      <rPr>
        <sz val="10"/>
        <color theme="1"/>
        <rFont val="Calibri"/>
        <family val="2"/>
        <scheme val="minor"/>
      </rPr>
      <t xml:space="preserve"> - Assembly
</t>
    </r>
    <r>
      <rPr>
        <b/>
        <sz val="10"/>
        <color theme="1"/>
        <rFont val="Calibri"/>
        <family val="2"/>
        <scheme val="minor"/>
      </rPr>
      <t>02631</t>
    </r>
    <r>
      <rPr>
        <sz val="10"/>
        <color theme="1"/>
        <rFont val="Calibri"/>
        <family val="2"/>
        <scheme val="minor"/>
      </rPr>
      <t xml:space="preserve"> - Athletic
</t>
    </r>
    <r>
      <rPr>
        <b/>
        <sz val="10"/>
        <color theme="1"/>
        <rFont val="Calibri"/>
        <family val="2"/>
        <scheme val="minor"/>
      </rPr>
      <t>02628</t>
    </r>
    <r>
      <rPr>
        <sz val="10"/>
        <color theme="1"/>
        <rFont val="Calibri"/>
        <family val="2"/>
        <scheme val="minor"/>
      </rPr>
      <t xml:space="preserve"> - Basic classroom
</t>
    </r>
    <r>
      <rPr>
        <b/>
        <sz val="10"/>
        <color theme="1"/>
        <rFont val="Calibri"/>
        <family val="2"/>
        <scheme val="minor"/>
      </rPr>
      <t>02635</t>
    </r>
    <r>
      <rPr>
        <sz val="10"/>
        <color theme="1"/>
        <rFont val="Calibri"/>
        <family val="2"/>
        <scheme val="minor"/>
      </rPr>
      <t xml:space="preserve"> - Corridors
</t>
    </r>
    <r>
      <rPr>
        <b/>
        <sz val="10"/>
        <color theme="1"/>
        <rFont val="Calibri"/>
        <family val="2"/>
        <scheme val="minor"/>
      </rPr>
      <t>02639</t>
    </r>
    <r>
      <rPr>
        <sz val="10"/>
        <color theme="1"/>
        <rFont val="Calibri"/>
        <family val="2"/>
        <scheme val="minor"/>
      </rPr>
      <t xml:space="preserve"> - Dormitory room
</t>
    </r>
    <r>
      <rPr>
        <b/>
        <sz val="10"/>
        <color theme="1"/>
        <rFont val="Calibri"/>
        <family val="2"/>
        <scheme val="minor"/>
      </rPr>
      <t>02638</t>
    </r>
    <r>
      <rPr>
        <sz val="10"/>
        <color theme="1"/>
        <rFont val="Calibri"/>
        <family val="2"/>
        <scheme val="minor"/>
      </rPr>
      <t xml:space="preserve"> - Food service
</t>
    </r>
    <r>
      <rPr>
        <b/>
        <sz val="10"/>
        <color theme="1"/>
        <rFont val="Calibri"/>
        <family val="2"/>
        <scheme val="minor"/>
      </rPr>
      <t>02630</t>
    </r>
    <r>
      <rPr>
        <sz val="10"/>
        <color theme="1"/>
        <rFont val="Calibri"/>
        <family val="2"/>
        <scheme val="minor"/>
      </rPr>
      <t xml:space="preserve"> - Library/media
</t>
    </r>
    <r>
      <rPr>
        <b/>
        <sz val="10"/>
        <color theme="1"/>
        <rFont val="Calibri"/>
        <family val="2"/>
        <scheme val="minor"/>
      </rPr>
      <t>02773</t>
    </r>
    <r>
      <rPr>
        <sz val="10"/>
        <color theme="1"/>
        <rFont val="Calibri"/>
        <family val="2"/>
        <scheme val="minor"/>
      </rPr>
      <t xml:space="preserve"> - Multi-purpose Room
</t>
    </r>
    <r>
      <rPr>
        <b/>
        <sz val="10"/>
        <color theme="1"/>
        <rFont val="Calibri"/>
        <family val="2"/>
        <scheme val="minor"/>
      </rPr>
      <t>02636</t>
    </r>
    <r>
      <rPr>
        <sz val="10"/>
        <color theme="1"/>
        <rFont val="Calibri"/>
        <family val="2"/>
        <scheme val="minor"/>
      </rPr>
      <t xml:space="preserve"> - Operational support
</t>
    </r>
    <r>
      <rPr>
        <b/>
        <sz val="10"/>
        <color theme="1"/>
        <rFont val="Calibri"/>
        <family val="2"/>
        <scheme val="minor"/>
      </rPr>
      <t>03017</t>
    </r>
    <r>
      <rPr>
        <sz val="10"/>
        <color theme="1"/>
        <rFont val="Calibri"/>
        <family val="2"/>
        <scheme val="minor"/>
      </rPr>
      <t xml:space="preserve"> - Restroom
</t>
    </r>
    <r>
      <rPr>
        <b/>
        <sz val="10"/>
        <color theme="1"/>
        <rFont val="Calibri"/>
        <family val="2"/>
        <scheme val="minor"/>
      </rPr>
      <t>02629</t>
    </r>
    <r>
      <rPr>
        <sz val="10"/>
        <color theme="1"/>
        <rFont val="Calibri"/>
        <family val="2"/>
        <scheme val="minor"/>
      </rPr>
      <t xml:space="preserve"> - Specialty classroom
</t>
    </r>
    <r>
      <rPr>
        <b/>
        <sz val="10"/>
        <color theme="1"/>
        <rFont val="Calibri"/>
        <family val="2"/>
        <scheme val="minor"/>
      </rPr>
      <t>02637</t>
    </r>
    <r>
      <rPr>
        <sz val="10"/>
        <color theme="1"/>
        <rFont val="Calibri"/>
        <family val="2"/>
        <scheme val="minor"/>
      </rPr>
      <t xml:space="preserve"> - Storage
</t>
    </r>
    <r>
      <rPr>
        <b/>
        <sz val="10"/>
        <color theme="1"/>
        <rFont val="Calibri"/>
        <family val="2"/>
        <scheme val="minor"/>
      </rPr>
      <t>02788</t>
    </r>
    <r>
      <rPr>
        <sz val="10"/>
        <color theme="1"/>
        <rFont val="Calibri"/>
        <family val="2"/>
        <scheme val="minor"/>
      </rPr>
      <t xml:space="preserve"> - Storage - hazardous materials
</t>
    </r>
    <r>
      <rPr>
        <b/>
        <sz val="10"/>
        <color theme="1"/>
        <rFont val="Calibri"/>
        <family val="2"/>
        <scheme val="minor"/>
      </rPr>
      <t>02632</t>
    </r>
    <r>
      <rPr>
        <sz val="10"/>
        <color theme="1"/>
        <rFont val="Calibri"/>
        <family val="2"/>
        <scheme val="minor"/>
      </rPr>
      <t xml:space="preserve"> - Student support
</t>
    </r>
    <r>
      <rPr>
        <b/>
        <sz val="10"/>
        <color theme="1"/>
        <rFont val="Calibri"/>
        <family val="2"/>
        <scheme val="minor"/>
      </rPr>
      <t>09999</t>
    </r>
    <r>
      <rPr>
        <sz val="10"/>
        <color theme="1"/>
        <rFont val="Calibri"/>
        <family val="2"/>
        <scheme val="minor"/>
      </rPr>
      <t xml:space="preserve"> - Other
</t>
    </r>
  </si>
  <si>
    <t>001831</t>
  </si>
  <si>
    <t>BuildingSpaceDesignType</t>
  </si>
  <si>
    <t>Building Space Utilization Area</t>
  </si>
  <si>
    <t>The area in square feet measured between the principal wall that faces at or near floor level, including alcove spaces, and the outer limits of space designed to serve the activity. Structural space is excluded.</t>
  </si>
  <si>
    <t>001861</t>
  </si>
  <si>
    <t>BuildingSpaceUtilizationArea</t>
  </si>
  <si>
    <t>Building Special Education Specialty Space Type</t>
  </si>
  <si>
    <t>The space designed, located, furnished, and equipped to support instruction of children with special physical, emotional, and/or educational needs.</t>
  </si>
  <si>
    <r>
      <t>02674</t>
    </r>
    <r>
      <rPr>
        <sz val="10"/>
        <color theme="1"/>
        <rFont val="Calibri"/>
        <family val="2"/>
        <scheme val="minor"/>
      </rPr>
      <t xml:space="preserve"> - IEP conference room
</t>
    </r>
    <r>
      <rPr>
        <b/>
        <sz val="10"/>
        <color theme="1"/>
        <rFont val="Calibri"/>
        <family val="2"/>
        <scheme val="minor"/>
      </rPr>
      <t>02675</t>
    </r>
    <r>
      <rPr>
        <sz val="10"/>
        <color theme="1"/>
        <rFont val="Calibri"/>
        <family val="2"/>
        <scheme val="minor"/>
      </rPr>
      <t xml:space="preserve"> - Itinerant staff room
</t>
    </r>
    <r>
      <rPr>
        <b/>
        <sz val="10"/>
        <color theme="1"/>
        <rFont val="Calibri"/>
        <family val="2"/>
        <scheme val="minor"/>
      </rPr>
      <t>02671</t>
    </r>
    <r>
      <rPr>
        <sz val="10"/>
        <color theme="1"/>
        <rFont val="Calibri"/>
        <family val="2"/>
        <scheme val="minor"/>
      </rPr>
      <t xml:space="preserve"> - Occupational therapy room
</t>
    </r>
    <r>
      <rPr>
        <b/>
        <sz val="10"/>
        <color theme="1"/>
        <rFont val="Calibri"/>
        <family val="2"/>
        <scheme val="minor"/>
      </rPr>
      <t>02673</t>
    </r>
    <r>
      <rPr>
        <sz val="10"/>
        <color theme="1"/>
        <rFont val="Calibri"/>
        <family val="2"/>
        <scheme val="minor"/>
      </rPr>
      <t xml:space="preserve"> - Physical therapy room
</t>
    </r>
    <r>
      <rPr>
        <b/>
        <sz val="10"/>
        <color theme="1"/>
        <rFont val="Calibri"/>
        <family val="2"/>
        <scheme val="minor"/>
      </rPr>
      <t>03107</t>
    </r>
    <r>
      <rPr>
        <sz val="10"/>
        <color theme="1"/>
        <rFont val="Calibri"/>
        <family val="2"/>
        <scheme val="minor"/>
      </rPr>
      <t xml:space="preserve"> - Resource room
</t>
    </r>
    <r>
      <rPr>
        <b/>
        <sz val="10"/>
        <color theme="1"/>
        <rFont val="Calibri"/>
        <family val="2"/>
        <scheme val="minor"/>
      </rPr>
      <t>02676</t>
    </r>
    <r>
      <rPr>
        <sz val="10"/>
        <color theme="1"/>
        <rFont val="Calibri"/>
        <family val="2"/>
        <scheme val="minor"/>
      </rPr>
      <t xml:space="preserve"> - Self-contained classroom
</t>
    </r>
    <r>
      <rPr>
        <b/>
        <sz val="10"/>
        <color theme="1"/>
        <rFont val="Calibri"/>
        <family val="2"/>
        <scheme val="minor"/>
      </rPr>
      <t>02672</t>
    </r>
    <r>
      <rPr>
        <sz val="10"/>
        <color theme="1"/>
        <rFont val="Calibri"/>
        <family val="2"/>
        <scheme val="minor"/>
      </rPr>
      <t xml:space="preserve"> - Speech and hearing room
</t>
    </r>
    <r>
      <rPr>
        <b/>
        <sz val="10"/>
        <color theme="1"/>
        <rFont val="Calibri"/>
        <family val="2"/>
        <scheme val="minor"/>
      </rPr>
      <t>09999</t>
    </r>
    <r>
      <rPr>
        <sz val="10"/>
        <color theme="1"/>
        <rFont val="Calibri"/>
        <family val="2"/>
        <scheme val="minor"/>
      </rPr>
      <t xml:space="preserve"> - Other
</t>
    </r>
  </si>
  <si>
    <t>001832</t>
  </si>
  <si>
    <t>BuildingSpecialEducationSpecialtySpaceType</t>
  </si>
  <si>
    <t>Building Student Support Space Type</t>
  </si>
  <si>
    <t>The space designed to provide student support services such as administrative, technical (e.g., guidance and health), and logistical support to facilitate and enhance instruction.</t>
  </si>
  <si>
    <r>
      <t>02738</t>
    </r>
    <r>
      <rPr>
        <sz val="10"/>
        <color theme="1"/>
        <rFont val="Calibri"/>
        <family val="2"/>
        <scheme val="minor"/>
      </rPr>
      <t xml:space="preserve"> - Career center
</t>
    </r>
    <r>
      <rPr>
        <b/>
        <sz val="10"/>
        <color theme="1"/>
        <rFont val="Calibri"/>
        <family val="2"/>
        <scheme val="minor"/>
      </rPr>
      <t>02739</t>
    </r>
    <r>
      <rPr>
        <sz val="10"/>
        <color theme="1"/>
        <rFont val="Calibri"/>
        <family val="2"/>
        <scheme val="minor"/>
      </rPr>
      <t xml:space="preserve"> - College center
</t>
    </r>
    <r>
      <rPr>
        <b/>
        <sz val="10"/>
        <color theme="1"/>
        <rFont val="Calibri"/>
        <family val="2"/>
        <scheme val="minor"/>
      </rPr>
      <t>02737</t>
    </r>
    <r>
      <rPr>
        <sz val="10"/>
        <color theme="1"/>
        <rFont val="Calibri"/>
        <family val="2"/>
        <scheme val="minor"/>
      </rPr>
      <t xml:space="preserve"> - Guidance/counseling room
</t>
    </r>
    <r>
      <rPr>
        <b/>
        <sz val="10"/>
        <color theme="1"/>
        <rFont val="Calibri"/>
        <family val="2"/>
        <scheme val="minor"/>
      </rPr>
      <t>02736</t>
    </r>
    <r>
      <rPr>
        <sz val="10"/>
        <color theme="1"/>
        <rFont val="Calibri"/>
        <family val="2"/>
        <scheme val="minor"/>
      </rPr>
      <t xml:space="preserve"> - Health room lavatory
</t>
    </r>
    <r>
      <rPr>
        <b/>
        <sz val="10"/>
        <color theme="1"/>
        <rFont val="Calibri"/>
        <family val="2"/>
        <scheme val="minor"/>
      </rPr>
      <t>02735</t>
    </r>
    <r>
      <rPr>
        <sz val="10"/>
        <color theme="1"/>
        <rFont val="Calibri"/>
        <family val="2"/>
        <scheme val="minor"/>
      </rPr>
      <t xml:space="preserve"> - Health suite
</t>
    </r>
    <r>
      <rPr>
        <b/>
        <sz val="10"/>
        <color theme="1"/>
        <rFont val="Calibri"/>
        <family val="2"/>
        <scheme val="minor"/>
      </rPr>
      <t>02733</t>
    </r>
    <r>
      <rPr>
        <sz val="10"/>
        <color theme="1"/>
        <rFont val="Calibri"/>
        <family val="2"/>
        <scheme val="minor"/>
      </rPr>
      <t xml:space="preserve"> - In-school suspension room
</t>
    </r>
    <r>
      <rPr>
        <b/>
        <sz val="10"/>
        <color theme="1"/>
        <rFont val="Calibri"/>
        <family val="2"/>
        <scheme val="minor"/>
      </rPr>
      <t>02740</t>
    </r>
    <r>
      <rPr>
        <sz val="10"/>
        <color theme="1"/>
        <rFont val="Calibri"/>
        <family val="2"/>
        <scheme val="minor"/>
      </rPr>
      <t xml:space="preserve"> - Internship center
</t>
    </r>
    <r>
      <rPr>
        <b/>
        <sz val="10"/>
        <color theme="1"/>
        <rFont val="Calibri"/>
        <family val="2"/>
        <scheme val="minor"/>
      </rPr>
      <t>02734</t>
    </r>
    <r>
      <rPr>
        <sz val="10"/>
        <color theme="1"/>
        <rFont val="Calibri"/>
        <family val="2"/>
        <scheme val="minor"/>
      </rPr>
      <t xml:space="preserve"> - Nurse's station
</t>
    </r>
    <r>
      <rPr>
        <b/>
        <sz val="10"/>
        <color theme="1"/>
        <rFont val="Calibri"/>
        <family val="2"/>
        <scheme val="minor"/>
      </rPr>
      <t>02741</t>
    </r>
    <r>
      <rPr>
        <sz val="10"/>
        <color theme="1"/>
        <rFont val="Calibri"/>
        <family val="2"/>
        <scheme val="minor"/>
      </rPr>
      <t xml:space="preserve"> - Student club space
</t>
    </r>
    <r>
      <rPr>
        <b/>
        <sz val="10"/>
        <color theme="1"/>
        <rFont val="Calibri"/>
        <family val="2"/>
        <scheme val="minor"/>
      </rPr>
      <t>09999</t>
    </r>
    <r>
      <rPr>
        <sz val="10"/>
        <color theme="1"/>
        <rFont val="Calibri"/>
        <family val="2"/>
        <scheme val="minor"/>
      </rPr>
      <t xml:space="preserve"> - Other
</t>
    </r>
  </si>
  <si>
    <t>001833</t>
  </si>
  <si>
    <t>BuildingStudentSupportSpaceType</t>
  </si>
  <si>
    <t>Building System Type</t>
  </si>
  <si>
    <t>The type of system that is installed in the building or site.</t>
  </si>
  <si>
    <r>
      <t>02455</t>
    </r>
    <r>
      <rPr>
        <sz val="10"/>
        <color theme="1"/>
        <rFont val="Calibri"/>
        <family val="2"/>
        <scheme val="minor"/>
      </rPr>
      <t xml:space="preserve"> - Air distribution system
</t>
    </r>
    <r>
      <rPr>
        <b/>
        <sz val="10"/>
        <color theme="1"/>
        <rFont val="Calibri"/>
        <family val="2"/>
        <scheme val="minor"/>
      </rPr>
      <t>02456</t>
    </r>
    <r>
      <rPr>
        <sz val="10"/>
        <color theme="1"/>
        <rFont val="Calibri"/>
        <family val="2"/>
        <scheme val="minor"/>
      </rPr>
      <t xml:space="preserve"> - Communications system
</t>
    </r>
    <r>
      <rPr>
        <b/>
        <sz val="10"/>
        <color theme="1"/>
        <rFont val="Calibri"/>
        <family val="2"/>
        <scheme val="minor"/>
      </rPr>
      <t>02454</t>
    </r>
    <r>
      <rPr>
        <sz val="10"/>
        <color theme="1"/>
        <rFont val="Calibri"/>
        <family val="2"/>
        <scheme val="minor"/>
      </rPr>
      <t xml:space="preserve"> - Cooling generation system
</t>
    </r>
    <r>
      <rPr>
        <b/>
        <sz val="10"/>
        <color theme="1"/>
        <rFont val="Calibri"/>
        <family val="2"/>
        <scheme val="minor"/>
      </rPr>
      <t>02452</t>
    </r>
    <r>
      <rPr>
        <sz val="10"/>
        <color theme="1"/>
        <rFont val="Calibri"/>
        <family val="2"/>
        <scheme val="minor"/>
      </rPr>
      <t xml:space="preserve"> - Electrical system
</t>
    </r>
    <r>
      <rPr>
        <b/>
        <sz val="10"/>
        <color theme="1"/>
        <rFont val="Calibri"/>
        <family val="2"/>
        <scheme val="minor"/>
      </rPr>
      <t>02459</t>
    </r>
    <r>
      <rPr>
        <sz val="10"/>
        <color theme="1"/>
        <rFont val="Calibri"/>
        <family val="2"/>
        <scheme val="minor"/>
      </rPr>
      <t xml:space="preserve"> - Fire protection system
</t>
    </r>
    <r>
      <rPr>
        <b/>
        <sz val="10"/>
        <color theme="1"/>
        <rFont val="Calibri"/>
        <family val="2"/>
        <scheme val="minor"/>
      </rPr>
      <t>02453</t>
    </r>
    <r>
      <rPr>
        <sz val="10"/>
        <color theme="1"/>
        <rFont val="Calibri"/>
        <family val="2"/>
        <scheme val="minor"/>
      </rPr>
      <t xml:space="preserve"> - Heating generation system
</t>
    </r>
    <r>
      <rPr>
        <b/>
        <sz val="10"/>
        <color theme="1"/>
        <rFont val="Calibri"/>
        <family val="2"/>
        <scheme val="minor"/>
      </rPr>
      <t>02460</t>
    </r>
    <r>
      <rPr>
        <sz val="10"/>
        <color theme="1"/>
        <rFont val="Calibri"/>
        <family val="2"/>
        <scheme val="minor"/>
      </rPr>
      <t xml:space="preserve"> - Mechanical system
</t>
    </r>
    <r>
      <rPr>
        <b/>
        <sz val="10"/>
        <color theme="1"/>
        <rFont val="Calibri"/>
        <family val="2"/>
        <scheme val="minor"/>
      </rPr>
      <t>02451</t>
    </r>
    <r>
      <rPr>
        <sz val="10"/>
        <color theme="1"/>
        <rFont val="Calibri"/>
        <family val="2"/>
        <scheme val="minor"/>
      </rPr>
      <t xml:space="preserve"> - Plumbing system
</t>
    </r>
    <r>
      <rPr>
        <b/>
        <sz val="10"/>
        <color theme="1"/>
        <rFont val="Calibri"/>
        <family val="2"/>
        <scheme val="minor"/>
      </rPr>
      <t>02458</t>
    </r>
    <r>
      <rPr>
        <sz val="10"/>
        <color theme="1"/>
        <rFont val="Calibri"/>
        <family val="2"/>
        <scheme val="minor"/>
      </rPr>
      <t xml:space="preserve"> - Security system
</t>
    </r>
    <r>
      <rPr>
        <b/>
        <sz val="10"/>
        <color theme="1"/>
        <rFont val="Calibri"/>
        <family val="2"/>
        <scheme val="minor"/>
      </rPr>
      <t>02457</t>
    </r>
    <r>
      <rPr>
        <sz val="10"/>
        <color theme="1"/>
        <rFont val="Calibri"/>
        <family val="2"/>
        <scheme val="minor"/>
      </rPr>
      <t xml:space="preserve"> - Technology wiring
</t>
    </r>
    <r>
      <rPr>
        <b/>
        <sz val="10"/>
        <color theme="1"/>
        <rFont val="Calibri"/>
        <family val="2"/>
        <scheme val="minor"/>
      </rPr>
      <t>02461</t>
    </r>
    <r>
      <rPr>
        <sz val="10"/>
        <color theme="1"/>
        <rFont val="Calibri"/>
        <family val="2"/>
        <scheme val="minor"/>
      </rPr>
      <t xml:space="preserve"> - Vertical transportation
</t>
    </r>
  </si>
  <si>
    <t>001811</t>
  </si>
  <si>
    <t>BuildingSystemType</t>
  </si>
  <si>
    <t>Building Technology Wiring System Type</t>
  </si>
  <si>
    <t>The means through which voice, video, audio, and data information are conveyed.</t>
  </si>
  <si>
    <r>
      <t>02504</t>
    </r>
    <r>
      <rPr>
        <sz val="10"/>
        <color theme="1"/>
        <rFont val="Calibri"/>
        <family val="2"/>
        <scheme val="minor"/>
      </rPr>
      <t xml:space="preserve"> - Coaxial cable
</t>
    </r>
    <r>
      <rPr>
        <b/>
        <sz val="10"/>
        <color theme="1"/>
        <rFont val="Calibri"/>
        <family val="2"/>
        <scheme val="minor"/>
      </rPr>
      <t>02503</t>
    </r>
    <r>
      <rPr>
        <sz val="10"/>
        <color theme="1"/>
        <rFont val="Calibri"/>
        <family val="2"/>
        <scheme val="minor"/>
      </rPr>
      <t xml:space="preserve"> - Fiber optic cable
</t>
    </r>
    <r>
      <rPr>
        <b/>
        <sz val="10"/>
        <color theme="1"/>
        <rFont val="Calibri"/>
        <family val="2"/>
        <scheme val="minor"/>
      </rPr>
      <t>02506</t>
    </r>
    <r>
      <rPr>
        <sz val="10"/>
        <color theme="1"/>
        <rFont val="Calibri"/>
        <family val="2"/>
        <scheme val="minor"/>
      </rPr>
      <t xml:space="preserve"> - Twisted pair
</t>
    </r>
    <r>
      <rPr>
        <b/>
        <sz val="10"/>
        <color theme="1"/>
        <rFont val="Calibri"/>
        <family val="2"/>
        <scheme val="minor"/>
      </rPr>
      <t>02502</t>
    </r>
    <r>
      <rPr>
        <sz val="10"/>
        <color theme="1"/>
        <rFont val="Calibri"/>
        <family val="2"/>
        <scheme val="minor"/>
      </rPr>
      <t xml:space="preserve"> - Wire cable
</t>
    </r>
    <r>
      <rPr>
        <b/>
        <sz val="10"/>
        <color theme="1"/>
        <rFont val="Calibri"/>
        <family val="2"/>
        <scheme val="minor"/>
      </rPr>
      <t>02505</t>
    </r>
    <r>
      <rPr>
        <sz val="10"/>
        <color theme="1"/>
        <rFont val="Calibri"/>
        <family val="2"/>
        <scheme val="minor"/>
      </rPr>
      <t xml:space="preserve"> - Wireless
</t>
    </r>
    <r>
      <rPr>
        <b/>
        <sz val="10"/>
        <color theme="1"/>
        <rFont val="Calibri"/>
        <family val="2"/>
        <scheme val="minor"/>
      </rPr>
      <t>09999</t>
    </r>
    <r>
      <rPr>
        <sz val="10"/>
        <color theme="1"/>
        <rFont val="Calibri"/>
        <family val="2"/>
        <scheme val="minor"/>
      </rPr>
      <t xml:space="preserve"> - Other
</t>
    </r>
  </si>
  <si>
    <t>001807</t>
  </si>
  <si>
    <t>BuildingTechnologyWiringSystemType</t>
  </si>
  <si>
    <t>Building Unassigned Space Indicator</t>
  </si>
  <si>
    <t>An indication that the space in a school, including circulation, administration offices, support spaces, and common areas, is not part of the calculation for capacity.</t>
  </si>
  <si>
    <t>001863</t>
  </si>
  <si>
    <t>BuildingUnassignedSpaceIndicator</t>
  </si>
  <si>
    <t>Building Use Type</t>
  </si>
  <si>
    <t>How a building is principally used, regardless of its original design.</t>
  </si>
  <si>
    <r>
      <t>13700</t>
    </r>
    <r>
      <rPr>
        <sz val="10"/>
        <color theme="1"/>
        <rFont val="Calibri"/>
        <family val="2"/>
        <scheme val="minor"/>
      </rPr>
      <t xml:space="preserve"> - Administration building
</t>
    </r>
    <r>
      <rPr>
        <b/>
        <sz val="10"/>
        <color theme="1"/>
        <rFont val="Calibri"/>
        <family val="2"/>
        <scheme val="minor"/>
      </rPr>
      <t>13699</t>
    </r>
    <r>
      <rPr>
        <sz val="10"/>
        <color theme="1"/>
        <rFont val="Calibri"/>
        <family val="2"/>
        <scheme val="minor"/>
      </rPr>
      <t xml:space="preserve"> - Alternative school
</t>
    </r>
    <r>
      <rPr>
        <b/>
        <sz val="10"/>
        <color theme="1"/>
        <rFont val="Calibri"/>
        <family val="2"/>
        <scheme val="minor"/>
      </rPr>
      <t>02621</t>
    </r>
    <r>
      <rPr>
        <sz val="10"/>
        <color theme="1"/>
        <rFont val="Calibri"/>
        <family val="2"/>
        <scheme val="minor"/>
      </rPr>
      <t xml:space="preserve"> - Assembly building
</t>
    </r>
    <r>
      <rPr>
        <b/>
        <sz val="10"/>
        <color theme="1"/>
        <rFont val="Calibri"/>
        <family val="2"/>
        <scheme val="minor"/>
      </rPr>
      <t>02614</t>
    </r>
    <r>
      <rPr>
        <sz val="10"/>
        <color theme="1"/>
        <rFont val="Calibri"/>
        <family val="2"/>
        <scheme val="minor"/>
      </rPr>
      <t xml:space="preserve"> - Central kitchen building
</t>
    </r>
    <r>
      <rPr>
        <b/>
        <sz val="10"/>
        <color theme="1"/>
        <rFont val="Calibri"/>
        <family val="2"/>
        <scheme val="minor"/>
      </rPr>
      <t>02803</t>
    </r>
    <r>
      <rPr>
        <sz val="10"/>
        <color theme="1"/>
        <rFont val="Calibri"/>
        <family val="2"/>
        <scheme val="minor"/>
      </rPr>
      <t xml:space="preserve"> - Chapel building
</t>
    </r>
    <r>
      <rPr>
        <b/>
        <sz val="10"/>
        <color theme="1"/>
        <rFont val="Calibri"/>
        <family val="2"/>
        <scheme val="minor"/>
      </rPr>
      <t>02619</t>
    </r>
    <r>
      <rPr>
        <sz val="10"/>
        <color theme="1"/>
        <rFont val="Calibri"/>
        <family val="2"/>
        <scheme val="minor"/>
      </rPr>
      <t xml:space="preserve"> - Dormitory building
</t>
    </r>
    <r>
      <rPr>
        <b/>
        <sz val="10"/>
        <color theme="1"/>
        <rFont val="Calibri"/>
        <family val="2"/>
        <scheme val="minor"/>
      </rPr>
      <t>02616</t>
    </r>
    <r>
      <rPr>
        <sz val="10"/>
        <color theme="1"/>
        <rFont val="Calibri"/>
        <family val="2"/>
        <scheme val="minor"/>
      </rPr>
      <t xml:space="preserve"> - Field house building
</t>
    </r>
    <r>
      <rPr>
        <b/>
        <sz val="10"/>
        <color theme="1"/>
        <rFont val="Calibri"/>
        <family val="2"/>
        <scheme val="minor"/>
      </rPr>
      <t>02613</t>
    </r>
    <r>
      <rPr>
        <sz val="10"/>
        <color theme="1"/>
        <rFont val="Calibri"/>
        <family val="2"/>
        <scheme val="minor"/>
      </rPr>
      <t xml:space="preserve"> - Garage building
</t>
    </r>
    <r>
      <rPr>
        <b/>
        <sz val="10"/>
        <color theme="1"/>
        <rFont val="Calibri"/>
        <family val="2"/>
        <scheme val="minor"/>
      </rPr>
      <t>13698</t>
    </r>
    <r>
      <rPr>
        <sz val="10"/>
        <color theme="1"/>
        <rFont val="Calibri"/>
        <family val="2"/>
        <scheme val="minor"/>
      </rPr>
      <t xml:space="preserve"> - Grade level school
</t>
    </r>
    <r>
      <rPr>
        <b/>
        <sz val="10"/>
        <color theme="1"/>
        <rFont val="Calibri"/>
        <family val="2"/>
        <scheme val="minor"/>
      </rPr>
      <t>02620</t>
    </r>
    <r>
      <rPr>
        <sz val="10"/>
        <color theme="1"/>
        <rFont val="Calibri"/>
        <family val="2"/>
        <scheme val="minor"/>
      </rPr>
      <t xml:space="preserve"> - Gymnasium building
</t>
    </r>
    <r>
      <rPr>
        <b/>
        <sz val="10"/>
        <color theme="1"/>
        <rFont val="Calibri"/>
        <family val="2"/>
        <scheme val="minor"/>
      </rPr>
      <t>02806</t>
    </r>
    <r>
      <rPr>
        <sz val="10"/>
        <color theme="1"/>
        <rFont val="Calibri"/>
        <family val="2"/>
        <scheme val="minor"/>
      </rPr>
      <t xml:space="preserve"> - Holding school
</t>
    </r>
    <r>
      <rPr>
        <b/>
        <sz val="10"/>
        <color theme="1"/>
        <rFont val="Calibri"/>
        <family val="2"/>
        <scheme val="minor"/>
      </rPr>
      <t>02804</t>
    </r>
    <r>
      <rPr>
        <sz val="10"/>
        <color theme="1"/>
        <rFont val="Calibri"/>
        <family val="2"/>
        <scheme val="minor"/>
      </rPr>
      <t xml:space="preserve"> - Investment
</t>
    </r>
    <r>
      <rPr>
        <b/>
        <sz val="10"/>
        <color theme="1"/>
        <rFont val="Calibri"/>
        <family val="2"/>
        <scheme val="minor"/>
      </rPr>
      <t>02617</t>
    </r>
    <r>
      <rPr>
        <sz val="10"/>
        <color theme="1"/>
        <rFont val="Calibri"/>
        <family val="2"/>
        <scheme val="minor"/>
      </rPr>
      <t xml:space="preserve"> - Media production center building
</t>
    </r>
    <r>
      <rPr>
        <b/>
        <sz val="10"/>
        <color theme="1"/>
        <rFont val="Calibri"/>
        <family val="2"/>
        <scheme val="minor"/>
      </rPr>
      <t>02618</t>
    </r>
    <r>
      <rPr>
        <sz val="10"/>
        <color theme="1"/>
        <rFont val="Calibri"/>
        <family val="2"/>
        <scheme val="minor"/>
      </rPr>
      <t xml:space="preserve"> - Natatorium
</t>
    </r>
    <r>
      <rPr>
        <b/>
        <sz val="10"/>
        <color theme="1"/>
        <rFont val="Calibri"/>
        <family val="2"/>
        <scheme val="minor"/>
      </rPr>
      <t>02805</t>
    </r>
    <r>
      <rPr>
        <sz val="10"/>
        <color theme="1"/>
        <rFont val="Calibri"/>
        <family val="2"/>
        <scheme val="minor"/>
      </rPr>
      <t xml:space="preserve"> - Not in use
</t>
    </r>
    <r>
      <rPr>
        <b/>
        <sz val="10"/>
        <color theme="1"/>
        <rFont val="Calibri"/>
        <family val="2"/>
        <scheme val="minor"/>
      </rPr>
      <t>02611</t>
    </r>
    <r>
      <rPr>
        <sz val="10"/>
        <color theme="1"/>
        <rFont val="Calibri"/>
        <family val="2"/>
        <scheme val="minor"/>
      </rPr>
      <t xml:space="preserve"> - Office building
</t>
    </r>
    <r>
      <rPr>
        <b/>
        <sz val="10"/>
        <color theme="1"/>
        <rFont val="Calibri"/>
        <family val="2"/>
        <scheme val="minor"/>
      </rPr>
      <t>02802</t>
    </r>
    <r>
      <rPr>
        <sz val="10"/>
        <color theme="1"/>
        <rFont val="Calibri"/>
        <family val="2"/>
        <scheme val="minor"/>
      </rPr>
      <t xml:space="preserve"> - Operations building
</t>
    </r>
    <r>
      <rPr>
        <b/>
        <sz val="10"/>
        <color theme="1"/>
        <rFont val="Calibri"/>
        <family val="2"/>
        <scheme val="minor"/>
      </rPr>
      <t>03106</t>
    </r>
    <r>
      <rPr>
        <sz val="10"/>
        <color theme="1"/>
        <rFont val="Calibri"/>
        <family val="2"/>
        <scheme val="minor"/>
      </rPr>
      <t xml:space="preserve"> - School building
</t>
    </r>
    <r>
      <rPr>
        <b/>
        <sz val="10"/>
        <color theme="1"/>
        <rFont val="Calibri"/>
        <family val="2"/>
        <scheme val="minor"/>
      </rPr>
      <t>02610</t>
    </r>
    <r>
      <rPr>
        <sz val="10"/>
        <color theme="1"/>
        <rFont val="Calibri"/>
        <family val="2"/>
        <scheme val="minor"/>
      </rPr>
      <t xml:space="preserve"> - Service center building
</t>
    </r>
    <r>
      <rPr>
        <b/>
        <sz val="10"/>
        <color theme="1"/>
        <rFont val="Calibri"/>
        <family val="2"/>
        <scheme val="minor"/>
      </rPr>
      <t>02615</t>
    </r>
    <r>
      <rPr>
        <sz val="10"/>
        <color theme="1"/>
        <rFont val="Calibri"/>
        <family val="2"/>
        <scheme val="minor"/>
      </rPr>
      <t xml:space="preserve"> - Stadium building
</t>
    </r>
    <r>
      <rPr>
        <b/>
        <sz val="10"/>
        <color theme="1"/>
        <rFont val="Calibri"/>
        <family val="2"/>
        <scheme val="minor"/>
      </rPr>
      <t>02612</t>
    </r>
    <r>
      <rPr>
        <sz val="10"/>
        <color theme="1"/>
        <rFont val="Calibri"/>
        <family val="2"/>
        <scheme val="minor"/>
      </rPr>
      <t xml:space="preserve"> - Warehouse building
</t>
    </r>
    <r>
      <rPr>
        <b/>
        <sz val="10"/>
        <color theme="1"/>
        <rFont val="Calibri"/>
        <family val="2"/>
        <scheme val="minor"/>
      </rPr>
      <t>09999</t>
    </r>
    <r>
      <rPr>
        <sz val="10"/>
        <color theme="1"/>
        <rFont val="Calibri"/>
        <family val="2"/>
        <scheme val="minor"/>
      </rPr>
      <t xml:space="preserve"> - Other
</t>
    </r>
  </si>
  <si>
    <t>001206</t>
  </si>
  <si>
    <t>BuildingUseType</t>
  </si>
  <si>
    <t>Building Vertical Transportation System Type</t>
  </si>
  <si>
    <t>The type of system used to convey persons or freight between floors.</t>
  </si>
  <si>
    <r>
      <t>02516</t>
    </r>
    <r>
      <rPr>
        <sz val="10"/>
        <color theme="1"/>
        <rFont val="Calibri"/>
        <family val="2"/>
        <scheme val="minor"/>
      </rPr>
      <t xml:space="preserve"> - Elevator
</t>
    </r>
    <r>
      <rPr>
        <b/>
        <sz val="10"/>
        <color theme="1"/>
        <rFont val="Calibri"/>
        <family val="2"/>
        <scheme val="minor"/>
      </rPr>
      <t>02517</t>
    </r>
    <r>
      <rPr>
        <sz val="10"/>
        <color theme="1"/>
        <rFont val="Calibri"/>
        <family val="2"/>
        <scheme val="minor"/>
      </rPr>
      <t xml:space="preserve"> - Escalator
</t>
    </r>
    <r>
      <rPr>
        <b/>
        <sz val="10"/>
        <color theme="1"/>
        <rFont val="Calibri"/>
        <family val="2"/>
        <scheme val="minor"/>
      </rPr>
      <t>02515</t>
    </r>
    <r>
      <rPr>
        <sz val="10"/>
        <color theme="1"/>
        <rFont val="Calibri"/>
        <family val="2"/>
        <scheme val="minor"/>
      </rPr>
      <t xml:space="preserve"> - Stairs
</t>
    </r>
    <r>
      <rPr>
        <b/>
        <sz val="10"/>
        <color theme="1"/>
        <rFont val="Calibri"/>
        <family val="2"/>
        <scheme val="minor"/>
      </rPr>
      <t>09999</t>
    </r>
    <r>
      <rPr>
        <sz val="10"/>
        <color theme="1"/>
        <rFont val="Calibri"/>
        <family val="2"/>
        <scheme val="minor"/>
      </rPr>
      <t xml:space="preserve"> - Other
</t>
    </r>
  </si>
  <si>
    <t>001812</t>
  </si>
  <si>
    <t>BuildingVerticalTransportationSystemType</t>
  </si>
  <si>
    <t>Building Year Built</t>
  </si>
  <si>
    <t>The year a building was constructed, as indicated by cornerstone or official government records.</t>
  </si>
  <si>
    <t>YYYY</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</si>
  <si>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</si>
  <si>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</si>
  <si>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</si>
  <si>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</si>
  <si>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</si>
  <si>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BuildingYearOfLastModernization</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</si>
  <si>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</si>
  <si>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</si>
  <si>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</si>
  <si>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</si>
  <si>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</si>
  <si>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</si>
  <si>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</si>
  <si>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</si>
  <si>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</si>
  <si>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</si>
  <si>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</si>
  <si>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</si>
  <si>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</si>
  <si>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</si>
  <si>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</si>
  <si>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</si>
  <si>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</si>
  <si>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</si>
  <si>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A type of scheduled or unscheduled calendar event.</t>
  </si>
  <si>
    <r>
      <t>EmergencyDay</t>
    </r>
    <r>
      <rPr>
        <sz val="10"/>
        <color theme="1"/>
        <rFont val="Calibri"/>
        <family val="2"/>
        <scheme val="minor"/>
      </rPr>
      <t xml:space="preserve"> - Emergency day
</t>
    </r>
    <r>
      <rPr>
        <b/>
        <sz val="10"/>
        <color theme="1"/>
        <rFont val="Calibri"/>
        <family val="2"/>
        <scheme val="minor"/>
      </rPr>
      <t>Holiday</t>
    </r>
    <r>
      <rPr>
        <sz val="10"/>
        <color theme="1"/>
        <rFont val="Calibri"/>
        <family val="2"/>
        <scheme val="minor"/>
      </rPr>
      <t xml:space="preserve"> - Holiday
</t>
    </r>
    <r>
      <rPr>
        <b/>
        <sz val="10"/>
        <color theme="1"/>
        <rFont val="Calibri"/>
        <family val="2"/>
        <scheme val="minor"/>
      </rPr>
      <t>InstructionalDay</t>
    </r>
    <r>
      <rPr>
        <sz val="10"/>
        <color theme="1"/>
        <rFont val="Calibri"/>
        <family val="2"/>
        <scheme val="minor"/>
      </rPr>
      <t xml:space="preserve"> - Instructional day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Strike</t>
    </r>
    <r>
      <rPr>
        <sz val="10"/>
        <color theme="1"/>
        <rFont val="Calibri"/>
        <family val="2"/>
        <scheme val="minor"/>
      </rPr>
      <t xml:space="preserve"> - Strike
</t>
    </r>
    <r>
      <rPr>
        <b/>
        <sz val="10"/>
        <color theme="1"/>
        <rFont val="Calibri"/>
        <family val="2"/>
        <scheme val="minor"/>
      </rPr>
      <t>LateArrivalEarlyDismissal</t>
    </r>
    <r>
      <rPr>
        <sz val="10"/>
        <color theme="1"/>
        <rFont val="Calibri"/>
        <family val="2"/>
        <scheme val="minor"/>
      </rPr>
      <t xml:space="preserve"> - Student late arrival/early dismissal
</t>
    </r>
    <r>
      <rPr>
        <b/>
        <sz val="10"/>
        <color theme="1"/>
        <rFont val="Calibri"/>
        <family val="2"/>
        <scheme val="minor"/>
      </rPr>
      <t>TeacherOnlyDay</t>
    </r>
    <r>
      <rPr>
        <sz val="10"/>
        <color theme="1"/>
        <rFont val="Calibri"/>
        <family val="2"/>
        <scheme val="minor"/>
      </rPr>
      <t xml:space="preserve"> - Teacher only day
</t>
    </r>
  </si>
  <si>
    <t>000603</t>
  </si>
  <si>
    <t>CalendarEventType</t>
  </si>
  <si>
    <t>Campus Residency Type</t>
  </si>
  <si>
    <t>A person's residency arrangement as defined in the Free Application for Federal Student Aid (FAFSA).</t>
  </si>
  <si>
    <r>
      <t>OnCampus</t>
    </r>
    <r>
      <rPr>
        <sz val="10"/>
        <color theme="1"/>
        <rFont val="Calibri"/>
        <family val="2"/>
        <scheme val="minor"/>
      </rPr>
      <t xml:space="preserve"> - On campus
</t>
    </r>
    <r>
      <rPr>
        <b/>
        <sz val="10"/>
        <color theme="1"/>
        <rFont val="Calibri"/>
        <family val="2"/>
        <scheme val="minor"/>
      </rPr>
      <t>OffCampusWFamily</t>
    </r>
    <r>
      <rPr>
        <sz val="10"/>
        <color theme="1"/>
        <rFont val="Calibri"/>
        <family val="2"/>
        <scheme val="minor"/>
      </rPr>
      <t xml:space="preserve"> - Off campus, with family
</t>
    </r>
    <r>
      <rPr>
        <b/>
        <sz val="10"/>
        <color theme="1"/>
        <rFont val="Calibri"/>
        <family val="2"/>
        <scheme val="minor"/>
      </rPr>
      <t>OffCampusWOFamily</t>
    </r>
    <r>
      <rPr>
        <sz val="10"/>
        <color theme="1"/>
        <rFont val="Calibri"/>
        <family val="2"/>
        <scheme val="minor"/>
      </rPr>
      <t xml:space="preserve"> - Off campus, without family
</t>
    </r>
    <r>
      <rPr>
        <b/>
        <sz val="10"/>
        <color theme="1"/>
        <rFont val="Calibri"/>
        <family val="2"/>
        <scheme val="minor"/>
      </rPr>
      <t>Unknown</t>
    </r>
    <r>
      <rPr>
        <sz val="10"/>
        <color theme="1"/>
        <rFont val="Calibri"/>
        <family val="2"/>
        <scheme val="minor"/>
      </rPr>
      <t xml:space="preserve"> - Unknown
</t>
    </r>
  </si>
  <si>
    <t>Postsecondary -&gt; PS Student -&gt; Demographic</t>
  </si>
  <si>
    <t>000035</t>
  </si>
  <si>
    <t>CampusResidencyType</t>
  </si>
  <si>
    <t>Campus Status</t>
  </si>
  <si>
    <t>The generalized use or control of a campus, independent of program type.</t>
  </si>
  <si>
    <r>
      <t>75021</t>
    </r>
    <r>
      <rPr>
        <sz val="10"/>
        <color theme="1"/>
        <rFont val="Calibri"/>
        <family val="2"/>
        <scheme val="minor"/>
      </rPr>
      <t xml:space="preserve"> - In district use
</t>
    </r>
    <r>
      <rPr>
        <b/>
        <sz val="10"/>
        <color theme="1"/>
        <rFont val="Calibri"/>
        <family val="2"/>
        <scheme val="minor"/>
      </rPr>
      <t>75022</t>
    </r>
    <r>
      <rPr>
        <sz val="10"/>
        <color theme="1"/>
        <rFont val="Calibri"/>
        <family val="2"/>
        <scheme val="minor"/>
      </rPr>
      <t xml:space="preserve"> - Leased
</t>
    </r>
    <r>
      <rPr>
        <b/>
        <sz val="10"/>
        <color theme="1"/>
        <rFont val="Calibri"/>
        <family val="2"/>
        <scheme val="minor"/>
      </rPr>
      <t>75023</t>
    </r>
    <r>
      <rPr>
        <sz val="10"/>
        <color theme="1"/>
        <rFont val="Calibri"/>
        <family val="2"/>
        <scheme val="minor"/>
      </rPr>
      <t xml:space="preserve"> - Inactive
</t>
    </r>
    <r>
      <rPr>
        <b/>
        <sz val="10"/>
        <color theme="1"/>
        <rFont val="Calibri"/>
        <family val="2"/>
        <scheme val="minor"/>
      </rPr>
      <t>75024</t>
    </r>
    <r>
      <rPr>
        <sz val="10"/>
        <color theme="1"/>
        <rFont val="Calibri"/>
        <family val="2"/>
        <scheme val="minor"/>
      </rPr>
      <t xml:space="preserve"> - Decommissioned
</t>
    </r>
    <r>
      <rPr>
        <b/>
        <sz val="10"/>
        <color theme="1"/>
        <rFont val="Calibri"/>
        <family val="2"/>
        <scheme val="minor"/>
      </rPr>
      <t>75025</t>
    </r>
    <r>
      <rPr>
        <sz val="10"/>
        <color theme="1"/>
        <rFont val="Calibri"/>
        <family val="2"/>
        <scheme val="minor"/>
      </rPr>
      <t xml:space="preserve"> - Sold
</t>
    </r>
  </si>
  <si>
    <t>001778</t>
  </si>
  <si>
    <t>CampusStatus</t>
  </si>
  <si>
    <t>Campus Type</t>
  </si>
  <si>
    <t>The primary purpose for which a campus is designed and/or used.</t>
  </si>
  <si>
    <r>
      <t>Administration</t>
    </r>
    <r>
      <rPr>
        <sz val="10"/>
        <color theme="1"/>
        <rFont val="Calibri"/>
        <family val="2"/>
        <scheme val="minor"/>
      </rPr>
      <t xml:space="preserve"> - Administration
</t>
    </r>
    <r>
      <rPr>
        <b/>
        <sz val="10"/>
        <color theme="1"/>
        <rFont val="Calibri"/>
        <family val="2"/>
        <scheme val="minor"/>
      </rPr>
      <t>Education</t>
    </r>
    <r>
      <rPr>
        <sz val="10"/>
        <color theme="1"/>
        <rFont val="Calibri"/>
        <family val="2"/>
        <scheme val="minor"/>
      </rPr>
      <t xml:space="preserve"> - Education
</t>
    </r>
    <r>
      <rPr>
        <b/>
        <sz val="10"/>
        <color theme="1"/>
        <rFont val="Calibri"/>
        <family val="2"/>
        <scheme val="minor"/>
      </rPr>
      <t>Operations</t>
    </r>
    <r>
      <rPr>
        <sz val="10"/>
        <color theme="1"/>
        <rFont val="Calibri"/>
        <family val="2"/>
        <scheme val="minor"/>
      </rPr>
      <t xml:space="preserve"> - Operations
</t>
    </r>
    <r>
      <rPr>
        <b/>
        <sz val="10"/>
        <color theme="1"/>
        <rFont val="Calibri"/>
        <family val="2"/>
        <scheme val="minor"/>
      </rPr>
      <t>Residential</t>
    </r>
    <r>
      <rPr>
        <sz val="10"/>
        <color theme="1"/>
        <rFont val="Calibri"/>
        <family val="2"/>
        <scheme val="minor"/>
      </rPr>
      <t xml:space="preserve"> - Residential
</t>
    </r>
    <r>
      <rPr>
        <b/>
        <sz val="10"/>
        <color theme="1"/>
        <rFont val="Calibri"/>
        <family val="2"/>
        <scheme val="minor"/>
      </rPr>
      <t>Other</t>
    </r>
    <r>
      <rPr>
        <sz val="10"/>
        <color theme="1"/>
        <rFont val="Calibri"/>
        <family val="2"/>
        <scheme val="minor"/>
      </rPr>
      <t xml:space="preserve"> - Other
</t>
    </r>
  </si>
  <si>
    <t>001897</t>
  </si>
  <si>
    <t>CampusType</t>
  </si>
  <si>
    <t>Cardiopulmonary Resuscitation Certification Expiration Date</t>
  </si>
  <si>
    <t>The date an individual's cardiopulmonary resuscitation (CPR) training certification expires.</t>
  </si>
  <si>
    <t>Early Learning -&gt; EL Staff -&gt; Professional Development</t>
  </si>
  <si>
    <t>001059</t>
  </si>
  <si>
    <t>CPR Certification Expiration Date</t>
  </si>
  <si>
    <t>CPRCertificationExpirationDate</t>
  </si>
  <si>
    <t>Career and Technical Education Completer</t>
  </si>
  <si>
    <t>An indication of a student who reached a state-defined threshold of a career and technical education program/pathway.</t>
  </si>
  <si>
    <t>Career and Technical -&gt; CTE Student -&gt; Academic Record
K12 -&gt; K12 Student -&gt; Academic Record</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</si>
  <si>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</si>
  <si>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</si>
  <si>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</si>
  <si>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</si>
  <si>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</si>
  <si>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Career and Technical -&gt; CTE Student -&gt; Program Participation
Postsecondary -&gt; PS Student -&gt; CTE</t>
  </si>
  <si>
    <t>000037</t>
  </si>
  <si>
    <t>CTE Concentrator</t>
  </si>
  <si>
    <t>CTEConcentrator</t>
  </si>
  <si>
    <t>K-12 -&gt; EDFacts
K-12 -&gt; High School Generated Transcript
K-12 -&gt; LEA-to-LEA Student Record Exchange
K-12 -&gt; LEA-to-SEA Student Record Exchange</t>
  </si>
  <si>
    <t>Career and Technical Education Graduation Rate Inclusion</t>
  </si>
  <si>
    <t>An indication of how CTE concentrators are included in the state's computation of its graduation rate.</t>
  </si>
  <si>
    <r>
      <t>IncludedAsGraduated</t>
    </r>
    <r>
      <rPr>
        <sz val="10"/>
        <color theme="1"/>
        <rFont val="Calibri"/>
        <family val="2"/>
        <scheme val="minor"/>
      </rPr>
      <t xml:space="preserve"> - Included in computation as graduated 
</t>
    </r>
    <r>
      <rPr>
        <b/>
        <sz val="10"/>
        <color theme="1"/>
        <rFont val="Calibri"/>
        <family val="2"/>
        <scheme val="minor"/>
      </rPr>
      <t>NotIncludedAsGraduated</t>
    </r>
    <r>
      <rPr>
        <sz val="10"/>
        <color theme="1"/>
        <rFont val="Calibri"/>
        <family val="2"/>
        <scheme val="minor"/>
      </rPr>
      <t xml:space="preserve"> - Included in computation as not graduated.
</t>
    </r>
  </si>
  <si>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</si>
  <si>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</si>
  <si>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</si>
  <si>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</si>
  <si>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</si>
  <si>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</si>
  <si>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Career and Technical -&gt; CTE Staff -&gt; Credential or License
K12 -&gt; K12 Staff -&gt; Credential or License
Postsecondary -&gt; PS Staff -&gt; Credential or License</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</si>
  <si>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</si>
  <si>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</si>
  <si>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</si>
  <si>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</si>
  <si>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</si>
  <si>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Career and Technical -&gt; CTE Student -&gt; Academic Record
Postsecondary -&gt; PS Student -&gt; CTE</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</si>
  <si>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</si>
  <si>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</si>
  <si>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</si>
  <si>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</si>
  <si>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</si>
  <si>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</si>
  <si>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</si>
  <si>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</si>
  <si>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</si>
  <si>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</si>
  <si>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r>
      <t>01</t>
    </r>
    <r>
      <rPr>
        <sz val="10"/>
        <color theme="1"/>
        <rFont val="Calibri"/>
        <family val="2"/>
        <scheme val="minor"/>
      </rPr>
      <t xml:space="preserve"> - Agriculture, Food &amp; Natural Resources
</t>
    </r>
    <r>
      <rPr>
        <b/>
        <sz val="10"/>
        <color theme="1"/>
        <rFont val="Calibri"/>
        <family val="2"/>
        <scheme val="minor"/>
      </rPr>
      <t>02</t>
    </r>
    <r>
      <rPr>
        <sz val="10"/>
        <color theme="1"/>
        <rFont val="Calibri"/>
        <family val="2"/>
        <scheme val="minor"/>
      </rPr>
      <t xml:space="preserve"> - Architecture &amp; Construction
</t>
    </r>
    <r>
      <rPr>
        <b/>
        <sz val="10"/>
        <color theme="1"/>
        <rFont val="Calibri"/>
        <family val="2"/>
        <scheme val="minor"/>
      </rPr>
      <t>03</t>
    </r>
    <r>
      <rPr>
        <sz val="10"/>
        <color theme="1"/>
        <rFont val="Calibri"/>
        <family val="2"/>
        <scheme val="minor"/>
      </rPr>
      <t xml:space="preserve"> - Arts, A/V Technology &amp; Communications
</t>
    </r>
    <r>
      <rPr>
        <b/>
        <sz val="10"/>
        <color theme="1"/>
        <rFont val="Calibri"/>
        <family val="2"/>
        <scheme val="minor"/>
      </rPr>
      <t>04</t>
    </r>
    <r>
      <rPr>
        <sz val="10"/>
        <color theme="1"/>
        <rFont val="Calibri"/>
        <family val="2"/>
        <scheme val="minor"/>
      </rPr>
      <t xml:space="preserve"> - Business Management &amp; Administration
</t>
    </r>
    <r>
      <rPr>
        <b/>
        <sz val="10"/>
        <color theme="1"/>
        <rFont val="Calibri"/>
        <family val="2"/>
        <scheme val="minor"/>
      </rPr>
      <t>05</t>
    </r>
    <r>
      <rPr>
        <sz val="10"/>
        <color theme="1"/>
        <rFont val="Calibri"/>
        <family val="2"/>
        <scheme val="minor"/>
      </rPr>
      <t xml:space="preserve"> - Education &amp; Training
</t>
    </r>
    <r>
      <rPr>
        <b/>
        <sz val="10"/>
        <color theme="1"/>
        <rFont val="Calibri"/>
        <family val="2"/>
        <scheme val="minor"/>
      </rPr>
      <t>06</t>
    </r>
    <r>
      <rPr>
        <sz val="10"/>
        <color theme="1"/>
        <rFont val="Calibri"/>
        <family val="2"/>
        <scheme val="minor"/>
      </rPr>
      <t xml:space="preserve"> - Finance
</t>
    </r>
    <r>
      <rPr>
        <b/>
        <sz val="10"/>
        <color theme="1"/>
        <rFont val="Calibri"/>
        <family val="2"/>
        <scheme val="minor"/>
      </rPr>
      <t>07</t>
    </r>
    <r>
      <rPr>
        <sz val="10"/>
        <color theme="1"/>
        <rFont val="Calibri"/>
        <family val="2"/>
        <scheme val="minor"/>
      </rPr>
      <t xml:space="preserve"> - Government &amp; Public Administration
</t>
    </r>
    <r>
      <rPr>
        <b/>
        <sz val="10"/>
        <color theme="1"/>
        <rFont val="Calibri"/>
        <family val="2"/>
        <scheme val="minor"/>
      </rPr>
      <t>08</t>
    </r>
    <r>
      <rPr>
        <sz val="10"/>
        <color theme="1"/>
        <rFont val="Calibri"/>
        <family val="2"/>
        <scheme val="minor"/>
      </rPr>
      <t xml:space="preserve"> - Health Science
</t>
    </r>
    <r>
      <rPr>
        <b/>
        <sz val="10"/>
        <color theme="1"/>
        <rFont val="Calibri"/>
        <family val="2"/>
        <scheme val="minor"/>
      </rPr>
      <t>09</t>
    </r>
    <r>
      <rPr>
        <sz val="10"/>
        <color theme="1"/>
        <rFont val="Calibri"/>
        <family val="2"/>
        <scheme val="minor"/>
      </rPr>
      <t xml:space="preserve"> - Hospitality &amp; Tourism
</t>
    </r>
    <r>
      <rPr>
        <b/>
        <sz val="10"/>
        <color theme="1"/>
        <rFont val="Calibri"/>
        <family val="2"/>
        <scheme val="minor"/>
      </rPr>
      <t>10</t>
    </r>
    <r>
      <rPr>
        <sz val="10"/>
        <color theme="1"/>
        <rFont val="Calibri"/>
        <family val="2"/>
        <scheme val="minor"/>
      </rPr>
      <t xml:space="preserve"> - Human Services
</t>
    </r>
    <r>
      <rPr>
        <b/>
        <sz val="10"/>
        <color theme="1"/>
        <rFont val="Calibri"/>
        <family val="2"/>
        <scheme val="minor"/>
      </rPr>
      <t>11</t>
    </r>
    <r>
      <rPr>
        <sz val="10"/>
        <color theme="1"/>
        <rFont val="Calibri"/>
        <family val="2"/>
        <scheme val="minor"/>
      </rPr>
      <t xml:space="preserve"> - Information Technology
</t>
    </r>
    <r>
      <rPr>
        <b/>
        <sz val="10"/>
        <color theme="1"/>
        <rFont val="Calibri"/>
        <family val="2"/>
        <scheme val="minor"/>
      </rPr>
      <t>12</t>
    </r>
    <r>
      <rPr>
        <sz val="10"/>
        <color theme="1"/>
        <rFont val="Calibri"/>
        <family val="2"/>
        <scheme val="minor"/>
      </rPr>
      <t xml:space="preserve"> - Law, Public Safety, Corrections &amp; Security
</t>
    </r>
    <r>
      <rPr>
        <b/>
        <sz val="10"/>
        <color theme="1"/>
        <rFont val="Calibri"/>
        <family val="2"/>
        <scheme val="minor"/>
      </rPr>
      <t>13</t>
    </r>
    <r>
      <rPr>
        <sz val="10"/>
        <color theme="1"/>
        <rFont val="Calibri"/>
        <family val="2"/>
        <scheme val="minor"/>
      </rPr>
      <t xml:space="preserve"> - Manufacturing
</t>
    </r>
    <r>
      <rPr>
        <b/>
        <sz val="10"/>
        <color theme="1"/>
        <rFont val="Calibri"/>
        <family val="2"/>
        <scheme val="minor"/>
      </rPr>
      <t>14</t>
    </r>
    <r>
      <rPr>
        <sz val="10"/>
        <color theme="1"/>
        <rFont val="Calibri"/>
        <family val="2"/>
        <scheme val="minor"/>
      </rPr>
      <t xml:space="preserve"> - Marketing
</t>
    </r>
    <r>
      <rPr>
        <b/>
        <sz val="10"/>
        <color theme="1"/>
        <rFont val="Calibri"/>
        <family val="2"/>
        <scheme val="minor"/>
      </rPr>
      <t>15</t>
    </r>
    <r>
      <rPr>
        <sz val="10"/>
        <color theme="1"/>
        <rFont val="Calibri"/>
        <family val="2"/>
        <scheme val="minor"/>
      </rPr>
      <t xml:space="preserve"> - Science, Technology, Engineering &amp; Mathematics
</t>
    </r>
    <r>
      <rPr>
        <b/>
        <sz val="10"/>
        <color theme="1"/>
        <rFont val="Calibri"/>
        <family val="2"/>
        <scheme val="minor"/>
      </rPr>
      <t>16</t>
    </r>
    <r>
      <rPr>
        <sz val="10"/>
        <color theme="1"/>
        <rFont val="Calibri"/>
        <family val="2"/>
        <scheme val="minor"/>
      </rPr>
      <t xml:space="preserve"> - Transportation, Distribution &amp; Logistics
</t>
    </r>
  </si>
  <si>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K12 -&gt; Course Section
K12 -&gt; K12 Course
Learning Resources -&gt; Learning Resource</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</si>
  <si>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</si>
  <si>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001288</t>
  </si>
  <si>
    <t>CareerCluster</t>
  </si>
  <si>
    <t>Career Education Plan Date</t>
  </si>
  <si>
    <t>The date on which an individual's professional development career plan was last updated.</t>
  </si>
  <si>
    <t>Career and Technical -&gt; CTE Student -&gt; Career Education Plan
Early Learning -&gt; EL Child -&gt; Individualized Program
Early Learning -&gt; EL Staff -&gt; Professional Development
K12 -&gt; K12 Staff -&gt; Professional Development
K12 -&gt; K12 Student -&gt; Academic Record
K12 -&gt; K12 Student -&gt; Individualized Program</t>
  </si>
  <si>
    <t>001289</t>
  </si>
  <si>
    <t>CareerEducationPlanDate</t>
  </si>
  <si>
    <t>Career Education Plan Type</t>
  </si>
  <si>
    <t>An indication of whether an individual completed an individualized guidance and counseling plan</t>
  </si>
  <si>
    <r>
      <t>Education</t>
    </r>
    <r>
      <rPr>
        <sz val="10"/>
        <color theme="1"/>
        <rFont val="Calibri"/>
        <family val="2"/>
        <scheme val="minor"/>
      </rPr>
      <t xml:space="preserve"> - Education plan
</t>
    </r>
    <r>
      <rPr>
        <b/>
        <sz val="10"/>
        <color theme="1"/>
        <rFont val="Calibri"/>
        <family val="2"/>
        <scheme val="minor"/>
      </rPr>
      <t>Career</t>
    </r>
    <r>
      <rPr>
        <sz val="10"/>
        <color theme="1"/>
        <rFont val="Calibri"/>
        <family val="2"/>
        <scheme val="minor"/>
      </rPr>
      <t xml:space="preserve"> - Career plan
</t>
    </r>
    <r>
      <rPr>
        <b/>
        <sz val="10"/>
        <color theme="1"/>
        <rFont val="Calibri"/>
        <family val="2"/>
        <scheme val="minor"/>
      </rPr>
      <t>Both</t>
    </r>
    <r>
      <rPr>
        <sz val="10"/>
        <color theme="1"/>
        <rFont val="Calibri"/>
        <family val="2"/>
        <scheme val="minor"/>
      </rPr>
      <t xml:space="preserve"> - Both education and career plan
</t>
    </r>
    <r>
      <rPr>
        <b/>
        <sz val="10"/>
        <color theme="1"/>
        <rFont val="Calibri"/>
        <family val="2"/>
        <scheme val="minor"/>
      </rPr>
      <t>Other</t>
    </r>
    <r>
      <rPr>
        <sz val="10"/>
        <color theme="1"/>
        <rFont val="Calibri"/>
        <family val="2"/>
        <scheme val="minor"/>
      </rPr>
      <t xml:space="preserve"> - Other
</t>
    </r>
  </si>
  <si>
    <t>Changed the definition from "student" to "individual" to reflect the broader use of the element.</t>
  </si>
  <si>
    <t>001290</t>
  </si>
  <si>
    <t>CareerEducationPlanType</t>
  </si>
  <si>
    <t>Career Pathways Program Participation Exit Date</t>
  </si>
  <si>
    <t>The year, month and day on which the person ceased to participate in a program.</t>
  </si>
  <si>
    <t>Adult Education -&gt; AE Student -&gt; Program Participation
Career and Technical -&gt; CTE Student -&gt; Program Participation
Postsecondary -&gt; PS Student -&gt; CTE
Workforce -&gt; Workforce Program Participant -&gt; Program Participation</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</si>
  <si>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</si>
  <si>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</si>
  <si>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</si>
  <si>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</si>
  <si>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</si>
  <si>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</si>
  <si>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</si>
  <si>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</si>
  <si>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</si>
  <si>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</si>
  <si>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</si>
  <si>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</si>
  <si>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r>
      <t>Underrepresented</t>
    </r>
    <r>
      <rPr>
        <sz val="10"/>
        <color theme="1"/>
        <rFont val="Calibri"/>
        <family val="2"/>
        <scheme val="minor"/>
      </rPr>
      <t xml:space="preserve"> - Members of an underrepresented gender group
</t>
    </r>
    <r>
      <rPr>
        <b/>
        <sz val="10"/>
        <color theme="1"/>
        <rFont val="Calibri"/>
        <family val="2"/>
        <scheme val="minor"/>
      </rPr>
      <t>NotUnderrepresented</t>
    </r>
    <r>
      <rPr>
        <sz val="10"/>
        <color theme="1"/>
        <rFont val="Calibri"/>
        <family val="2"/>
        <scheme val="minor"/>
      </rPr>
      <t xml:space="preserve"> - Not members of an underrepresented gender group
</t>
    </r>
  </si>
  <si>
    <t>Postsecondary -&gt; PS Student -&gt; CTE</t>
  </si>
  <si>
    <t>000588</t>
  </si>
  <si>
    <t>CTE Nontraditional Gender Status</t>
  </si>
  <si>
    <t>CTENontraditionalGenderStatus</t>
  </si>
  <si>
    <t>Career-Technical-Adult Education Displaced Homemaker Indicator</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</si>
  <si>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</si>
  <si>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Adult Education -&gt; AE Student -&gt; Status
Career and Technical -&gt; CTE Student -&gt; Program Participation
Postsecondary -&gt; PS Student -&gt; CTE</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</si>
  <si>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</si>
  <si>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</si>
  <si>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</si>
  <si>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</si>
  <si>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</si>
  <si>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r>
      <t>Assoc/Pub-R-S</t>
    </r>
    <r>
      <rPr>
        <sz val="10"/>
        <color theme="1"/>
        <rFont val="Calibri"/>
        <family val="2"/>
        <scheme val="minor"/>
      </rPr>
      <t xml:space="preserve"> - Associate's--Public Rural-serving Small
</t>
    </r>
    <r>
      <rPr>
        <b/>
        <sz val="10"/>
        <color theme="1"/>
        <rFont val="Calibri"/>
        <family val="2"/>
        <scheme val="minor"/>
      </rPr>
      <t>Assoc/Pub-R-M</t>
    </r>
    <r>
      <rPr>
        <sz val="10"/>
        <color theme="1"/>
        <rFont val="Calibri"/>
        <family val="2"/>
        <scheme val="minor"/>
      </rPr>
      <t xml:space="preserve"> - Associate's--Public Rural-serving Medium
</t>
    </r>
    <r>
      <rPr>
        <b/>
        <sz val="10"/>
        <color theme="1"/>
        <rFont val="Calibri"/>
        <family val="2"/>
        <scheme val="minor"/>
      </rPr>
      <t>Assoc/Pub-R-L</t>
    </r>
    <r>
      <rPr>
        <sz val="10"/>
        <color theme="1"/>
        <rFont val="Calibri"/>
        <family val="2"/>
        <scheme val="minor"/>
      </rPr>
      <t xml:space="preserve"> - Associate's--Public Rural-serving Large
</t>
    </r>
    <r>
      <rPr>
        <b/>
        <sz val="10"/>
        <color theme="1"/>
        <rFont val="Calibri"/>
        <family val="2"/>
        <scheme val="minor"/>
      </rPr>
      <t>Assoc/Pub-S-SC</t>
    </r>
    <r>
      <rPr>
        <sz val="10"/>
        <color theme="1"/>
        <rFont val="Calibri"/>
        <family val="2"/>
        <scheme val="minor"/>
      </rPr>
      <t xml:space="preserve"> - Associate's--Public Suburban-serving Single Campus
</t>
    </r>
    <r>
      <rPr>
        <b/>
        <sz val="10"/>
        <color theme="1"/>
        <rFont val="Calibri"/>
        <family val="2"/>
        <scheme val="minor"/>
      </rPr>
      <t>Assoc/Pub-S-MC</t>
    </r>
    <r>
      <rPr>
        <sz val="10"/>
        <color theme="1"/>
        <rFont val="Calibri"/>
        <family val="2"/>
        <scheme val="minor"/>
      </rPr>
      <t xml:space="preserve"> - Associate's--Public Suburban-serving Multicampus
</t>
    </r>
    <r>
      <rPr>
        <b/>
        <sz val="10"/>
        <color theme="1"/>
        <rFont val="Calibri"/>
        <family val="2"/>
        <scheme val="minor"/>
      </rPr>
      <t>Assoc/Pub-U-SC</t>
    </r>
    <r>
      <rPr>
        <sz val="10"/>
        <color theme="1"/>
        <rFont val="Calibri"/>
        <family val="2"/>
        <scheme val="minor"/>
      </rPr>
      <t xml:space="preserve"> - Associate's--Public Urban-serving Single Campus
</t>
    </r>
    <r>
      <rPr>
        <b/>
        <sz val="10"/>
        <color theme="1"/>
        <rFont val="Calibri"/>
        <family val="2"/>
        <scheme val="minor"/>
      </rPr>
      <t>Assoc/Pub-U-MC</t>
    </r>
    <r>
      <rPr>
        <sz val="10"/>
        <color theme="1"/>
        <rFont val="Calibri"/>
        <family val="2"/>
        <scheme val="minor"/>
      </rPr>
      <t xml:space="preserve"> - Associate's--Public Urban-serving Multicampus
</t>
    </r>
    <r>
      <rPr>
        <b/>
        <sz val="10"/>
        <color theme="1"/>
        <rFont val="Calibri"/>
        <family val="2"/>
        <scheme val="minor"/>
      </rPr>
      <t>Assoc/Pub-Spec</t>
    </r>
    <r>
      <rPr>
        <sz val="10"/>
        <color theme="1"/>
        <rFont val="Calibri"/>
        <family val="2"/>
        <scheme val="minor"/>
      </rPr>
      <t xml:space="preserve"> - Associate's--Public Special Use
</t>
    </r>
    <r>
      <rPr>
        <b/>
        <sz val="10"/>
        <color theme="1"/>
        <rFont val="Calibri"/>
        <family val="2"/>
        <scheme val="minor"/>
      </rPr>
      <t>Assoc/PrivNFP</t>
    </r>
    <r>
      <rPr>
        <sz val="10"/>
        <color theme="1"/>
        <rFont val="Calibri"/>
        <family val="2"/>
        <scheme val="minor"/>
      </rPr>
      <t xml:space="preserve"> - Associate's--Private Not-for-profit
</t>
    </r>
    <r>
      <rPr>
        <b/>
        <sz val="10"/>
        <color theme="1"/>
        <rFont val="Calibri"/>
        <family val="2"/>
        <scheme val="minor"/>
      </rPr>
      <t>Assoc/PrivFP</t>
    </r>
    <r>
      <rPr>
        <sz val="10"/>
        <color theme="1"/>
        <rFont val="Calibri"/>
        <family val="2"/>
        <scheme val="minor"/>
      </rPr>
      <t xml:space="preserve"> - Associate's--Private For-profit
</t>
    </r>
    <r>
      <rPr>
        <b/>
        <sz val="10"/>
        <color theme="1"/>
        <rFont val="Calibri"/>
        <family val="2"/>
        <scheme val="minor"/>
      </rPr>
      <t>Assoc/Pub2in4</t>
    </r>
    <r>
      <rPr>
        <sz val="10"/>
        <color theme="1"/>
        <rFont val="Calibri"/>
        <family val="2"/>
        <scheme val="minor"/>
      </rPr>
      <t xml:space="preserve"> - Associate's--Public 2-year Colleges under 4-year Universities
</t>
    </r>
    <r>
      <rPr>
        <b/>
        <sz val="10"/>
        <color theme="1"/>
        <rFont val="Calibri"/>
        <family val="2"/>
        <scheme val="minor"/>
      </rPr>
      <t>Assoc/Pub4</t>
    </r>
    <r>
      <rPr>
        <sz val="10"/>
        <color theme="1"/>
        <rFont val="Calibri"/>
        <family val="2"/>
        <scheme val="minor"/>
      </rPr>
      <t xml:space="preserve"> - Associate's--Public 4-year Primarily Associate's
</t>
    </r>
    <r>
      <rPr>
        <b/>
        <sz val="10"/>
        <color theme="1"/>
        <rFont val="Calibri"/>
        <family val="2"/>
        <scheme val="minor"/>
      </rPr>
      <t>Assoc/PrivNFP4</t>
    </r>
    <r>
      <rPr>
        <sz val="10"/>
        <color theme="1"/>
        <rFont val="Calibri"/>
        <family val="2"/>
        <scheme val="minor"/>
      </rPr>
      <t xml:space="preserve"> - Associate's--Private Not-for-profit 4-year Primarily Associate's
</t>
    </r>
    <r>
      <rPr>
        <b/>
        <sz val="10"/>
        <color theme="1"/>
        <rFont val="Calibri"/>
        <family val="2"/>
        <scheme val="minor"/>
      </rPr>
      <t>Assoc/PrivFP4</t>
    </r>
    <r>
      <rPr>
        <sz val="10"/>
        <color theme="1"/>
        <rFont val="Calibri"/>
        <family val="2"/>
        <scheme val="minor"/>
      </rPr>
      <t xml:space="preserve"> - Associate's--Private For-profit 4-year Primarily Associate's
</t>
    </r>
    <r>
      <rPr>
        <b/>
        <sz val="10"/>
        <color theme="1"/>
        <rFont val="Calibri"/>
        <family val="2"/>
        <scheme val="minor"/>
      </rPr>
      <t>RU/VH</t>
    </r>
    <r>
      <rPr>
        <sz val="10"/>
        <color theme="1"/>
        <rFont val="Calibri"/>
        <family val="2"/>
        <scheme val="minor"/>
      </rPr>
      <t xml:space="preserve"> - Research Universities (very high research activity)
</t>
    </r>
    <r>
      <rPr>
        <b/>
        <sz val="10"/>
        <color theme="1"/>
        <rFont val="Calibri"/>
        <family val="2"/>
        <scheme val="minor"/>
      </rPr>
      <t>RU/H</t>
    </r>
    <r>
      <rPr>
        <sz val="10"/>
        <color theme="1"/>
        <rFont val="Calibri"/>
        <family val="2"/>
        <scheme val="minor"/>
      </rPr>
      <t xml:space="preserve"> - Research Universities (high research activity)
</t>
    </r>
    <r>
      <rPr>
        <b/>
        <sz val="10"/>
        <color theme="1"/>
        <rFont val="Calibri"/>
        <family val="2"/>
        <scheme val="minor"/>
      </rPr>
      <t>DRU</t>
    </r>
    <r>
      <rPr>
        <sz val="10"/>
        <color theme="1"/>
        <rFont val="Calibri"/>
        <family val="2"/>
        <scheme val="minor"/>
      </rPr>
      <t xml:space="preserve"> - Doctoral/Research Universities
</t>
    </r>
    <r>
      <rPr>
        <b/>
        <sz val="10"/>
        <color theme="1"/>
        <rFont val="Calibri"/>
        <family val="2"/>
        <scheme val="minor"/>
      </rPr>
      <t>Masters/L</t>
    </r>
    <r>
      <rPr>
        <sz val="10"/>
        <color theme="1"/>
        <rFont val="Calibri"/>
        <family val="2"/>
        <scheme val="minor"/>
      </rPr>
      <t xml:space="preserve"> - Master's Colleges and Universities (larger programs)
</t>
    </r>
    <r>
      <rPr>
        <b/>
        <sz val="10"/>
        <color theme="1"/>
        <rFont val="Calibri"/>
        <family val="2"/>
        <scheme val="minor"/>
      </rPr>
      <t>Masters/M</t>
    </r>
    <r>
      <rPr>
        <sz val="10"/>
        <color theme="1"/>
        <rFont val="Calibri"/>
        <family val="2"/>
        <scheme val="minor"/>
      </rPr>
      <t xml:space="preserve"> - Master's Colleges and Universities (medium programs)
</t>
    </r>
    <r>
      <rPr>
        <b/>
        <sz val="10"/>
        <color theme="1"/>
        <rFont val="Calibri"/>
        <family val="2"/>
        <scheme val="minor"/>
      </rPr>
      <t>Masters/S</t>
    </r>
    <r>
      <rPr>
        <sz val="10"/>
        <color theme="1"/>
        <rFont val="Calibri"/>
        <family val="2"/>
        <scheme val="minor"/>
      </rPr>
      <t xml:space="preserve"> - Master's Colleges and Universities (smaller programs)
</t>
    </r>
    <r>
      <rPr>
        <b/>
        <sz val="10"/>
        <color theme="1"/>
        <rFont val="Calibri"/>
        <family val="2"/>
        <scheme val="minor"/>
      </rPr>
      <t>Bac/A&amp;S</t>
    </r>
    <r>
      <rPr>
        <sz val="10"/>
        <color theme="1"/>
        <rFont val="Calibri"/>
        <family val="2"/>
        <scheme val="minor"/>
      </rPr>
      <t xml:space="preserve"> - Baccalaureate Colleges--Arts &amp; Sciences
</t>
    </r>
    <r>
      <rPr>
        <b/>
        <sz val="10"/>
        <color theme="1"/>
        <rFont val="Calibri"/>
        <family val="2"/>
        <scheme val="minor"/>
      </rPr>
      <t>Bac/Diverse</t>
    </r>
    <r>
      <rPr>
        <sz val="10"/>
        <color theme="1"/>
        <rFont val="Calibri"/>
        <family val="2"/>
        <scheme val="minor"/>
      </rPr>
      <t xml:space="preserve"> - Baccalaureate Colleges--Diverse Fields
</t>
    </r>
    <r>
      <rPr>
        <b/>
        <sz val="10"/>
        <color theme="1"/>
        <rFont val="Calibri"/>
        <family val="2"/>
        <scheme val="minor"/>
      </rPr>
      <t>Bac/Assoc</t>
    </r>
    <r>
      <rPr>
        <sz val="10"/>
        <color theme="1"/>
        <rFont val="Calibri"/>
        <family val="2"/>
        <scheme val="minor"/>
      </rPr>
      <t xml:space="preserve"> - Baccalaureate/Associate's Colleges
</t>
    </r>
    <r>
      <rPr>
        <b/>
        <sz val="10"/>
        <color theme="1"/>
        <rFont val="Calibri"/>
        <family val="2"/>
        <scheme val="minor"/>
      </rPr>
      <t>Spec/Faith</t>
    </r>
    <r>
      <rPr>
        <sz val="10"/>
        <color theme="1"/>
        <rFont val="Calibri"/>
        <family val="2"/>
        <scheme val="minor"/>
      </rPr>
      <t xml:space="preserve"> - Special Focus Institutions--Theological seminaries, Bible colleges, other faith-related institutions
</t>
    </r>
    <r>
      <rPr>
        <b/>
        <sz val="10"/>
        <color theme="1"/>
        <rFont val="Calibri"/>
        <family val="2"/>
        <scheme val="minor"/>
      </rPr>
      <t>Spec/Med</t>
    </r>
    <r>
      <rPr>
        <sz val="10"/>
        <color theme="1"/>
        <rFont val="Calibri"/>
        <family val="2"/>
        <scheme val="minor"/>
      </rPr>
      <t xml:space="preserve"> - Special Focus Institutions--Medical schools and medical centers
</t>
    </r>
    <r>
      <rPr>
        <b/>
        <sz val="10"/>
        <color theme="1"/>
        <rFont val="Calibri"/>
        <family val="2"/>
        <scheme val="minor"/>
      </rPr>
      <t>Spec/Health</t>
    </r>
    <r>
      <rPr>
        <sz val="10"/>
        <color theme="1"/>
        <rFont val="Calibri"/>
        <family val="2"/>
        <scheme val="minor"/>
      </rPr>
      <t xml:space="preserve"> - Special Focus Institutions--Other health professions schools
</t>
    </r>
    <r>
      <rPr>
        <b/>
        <sz val="10"/>
        <color theme="1"/>
        <rFont val="Calibri"/>
        <family val="2"/>
        <scheme val="minor"/>
      </rPr>
      <t>Spec/Engg</t>
    </r>
    <r>
      <rPr>
        <sz val="10"/>
        <color theme="1"/>
        <rFont val="Calibri"/>
        <family val="2"/>
        <scheme val="minor"/>
      </rPr>
      <t xml:space="preserve"> - Special Focus Institutions--Schools of engineering
</t>
    </r>
    <r>
      <rPr>
        <b/>
        <sz val="10"/>
        <color theme="1"/>
        <rFont val="Calibri"/>
        <family val="2"/>
        <scheme val="minor"/>
      </rPr>
      <t>Spec/Tech</t>
    </r>
    <r>
      <rPr>
        <sz val="10"/>
        <color theme="1"/>
        <rFont val="Calibri"/>
        <family val="2"/>
        <scheme val="minor"/>
      </rPr>
      <t xml:space="preserve"> - Special Focus Institutions--Other technology-related schools
</t>
    </r>
    <r>
      <rPr>
        <b/>
        <sz val="10"/>
        <color theme="1"/>
        <rFont val="Calibri"/>
        <family val="2"/>
        <scheme val="minor"/>
      </rPr>
      <t>Spec/Bus</t>
    </r>
    <r>
      <rPr>
        <sz val="10"/>
        <color theme="1"/>
        <rFont val="Calibri"/>
        <family val="2"/>
        <scheme val="minor"/>
      </rPr>
      <t xml:space="preserve"> - Special Focus Institutions--Schools of business and management
</t>
    </r>
    <r>
      <rPr>
        <b/>
        <sz val="10"/>
        <color theme="1"/>
        <rFont val="Calibri"/>
        <family val="2"/>
        <scheme val="minor"/>
      </rPr>
      <t>Spec/Arts</t>
    </r>
    <r>
      <rPr>
        <sz val="10"/>
        <color theme="1"/>
        <rFont val="Calibri"/>
        <family val="2"/>
        <scheme val="minor"/>
      </rPr>
      <t xml:space="preserve"> - Special Focus Institutions--Schools of art, music, and design
</t>
    </r>
    <r>
      <rPr>
        <b/>
        <sz val="10"/>
        <color theme="1"/>
        <rFont val="Calibri"/>
        <family val="2"/>
        <scheme val="minor"/>
      </rPr>
      <t>Spec/Law</t>
    </r>
    <r>
      <rPr>
        <sz val="10"/>
        <color theme="1"/>
        <rFont val="Calibri"/>
        <family val="2"/>
        <scheme val="minor"/>
      </rPr>
      <t xml:space="preserve"> - Special Focus Institutions--Schools of law
</t>
    </r>
    <r>
      <rPr>
        <b/>
        <sz val="10"/>
        <color theme="1"/>
        <rFont val="Calibri"/>
        <family val="2"/>
        <scheme val="minor"/>
      </rPr>
      <t>Spec/Other</t>
    </r>
    <r>
      <rPr>
        <sz val="10"/>
        <color theme="1"/>
        <rFont val="Calibri"/>
        <family val="2"/>
        <scheme val="minor"/>
      </rPr>
      <t xml:space="preserve"> - Special Focus Institutions-Other special-focus institutions
</t>
    </r>
    <r>
      <rPr>
        <b/>
        <sz val="10"/>
        <color theme="1"/>
        <rFont val="Calibri"/>
        <family val="2"/>
        <scheme val="minor"/>
      </rPr>
      <t>Tribal</t>
    </r>
    <r>
      <rPr>
        <sz val="10"/>
        <color theme="1"/>
        <rFont val="Calibri"/>
        <family val="2"/>
        <scheme val="minor"/>
      </rPr>
      <t xml:space="preserve"> - Tribal Colleges
</t>
    </r>
  </si>
  <si>
    <t>Postsecondary -&gt; PS Institution -&gt; Directory</t>
  </si>
  <si>
    <t>000038</t>
  </si>
  <si>
    <t>CarnegieBasicClassification</t>
  </si>
  <si>
    <t>K-12 -&gt; High School Feedback Report
Postsecondary Education -&gt; Transition</t>
  </si>
  <si>
    <t>Charter School Approval Year</t>
  </si>
  <si>
    <t>The school year in which a charter school was initially approved.</t>
  </si>
  <si>
    <t>001293</t>
  </si>
  <si>
    <t>CharterSchoolApprovalYear</t>
  </si>
  <si>
    <t>Charter School Authorizer Type</t>
  </si>
  <si>
    <t>The type of agency that authorized the establishment or continuation of a charter school.</t>
  </si>
  <si>
    <r>
      <t>SBE</t>
    </r>
    <r>
      <rPr>
        <sz val="10"/>
        <color theme="1"/>
        <rFont val="Calibri"/>
        <family val="2"/>
        <scheme val="minor"/>
      </rPr>
      <t xml:space="preserve"> - State board of education
</t>
    </r>
    <r>
      <rPr>
        <b/>
        <sz val="10"/>
        <color theme="1"/>
        <rFont val="Calibri"/>
        <family val="2"/>
        <scheme val="minor"/>
      </rPr>
      <t>PCSB</t>
    </r>
    <r>
      <rPr>
        <sz val="10"/>
        <color theme="1"/>
        <rFont val="Calibri"/>
        <family val="2"/>
        <scheme val="minor"/>
      </rPr>
      <t xml:space="preserve"> - Public charter school board
</t>
    </r>
    <r>
      <rPr>
        <b/>
        <sz val="10"/>
        <color theme="1"/>
        <rFont val="Calibri"/>
        <family val="2"/>
        <scheme val="minor"/>
      </rPr>
      <t>UNI</t>
    </r>
    <r>
      <rPr>
        <sz val="10"/>
        <color theme="1"/>
        <rFont val="Calibri"/>
        <family val="2"/>
        <scheme val="minor"/>
      </rPr>
      <t xml:space="preserve"> - University
</t>
    </r>
    <r>
      <rPr>
        <b/>
        <sz val="10"/>
        <color theme="1"/>
        <rFont val="Calibri"/>
        <family val="2"/>
        <scheme val="minor"/>
      </rPr>
      <t>CC</t>
    </r>
    <r>
      <rPr>
        <sz val="10"/>
        <color theme="1"/>
        <rFont val="Calibri"/>
        <family val="2"/>
        <scheme val="minor"/>
      </rPr>
      <t xml:space="preserve"> - Community college
</t>
    </r>
    <r>
      <rPr>
        <b/>
        <sz val="10"/>
        <color theme="1"/>
        <rFont val="Calibri"/>
        <family val="2"/>
        <scheme val="minor"/>
      </rPr>
      <t>LEA</t>
    </r>
    <r>
      <rPr>
        <sz val="10"/>
        <color theme="1"/>
        <rFont val="Calibri"/>
        <family val="2"/>
        <scheme val="minor"/>
      </rPr>
      <t xml:space="preserve"> - Local education agency
</t>
    </r>
    <r>
      <rPr>
        <b/>
        <sz val="10"/>
        <color theme="1"/>
        <rFont val="Calibri"/>
        <family val="2"/>
        <scheme val="minor"/>
      </rPr>
      <t>OTH</t>
    </r>
    <r>
      <rPr>
        <sz val="10"/>
        <color theme="1"/>
        <rFont val="Calibri"/>
        <family val="2"/>
        <scheme val="minor"/>
      </rPr>
      <t xml:space="preserve"> - Other
</t>
    </r>
    <r>
      <rPr>
        <b/>
        <sz val="10"/>
        <color theme="1"/>
        <rFont val="Calibri"/>
        <family val="2"/>
        <scheme val="minor"/>
      </rPr>
      <t>GOVTENT</t>
    </r>
    <r>
      <rPr>
        <sz val="10"/>
        <color theme="1"/>
        <rFont val="Calibri"/>
        <family val="2"/>
        <scheme val="minor"/>
      </rPr>
      <t xml:space="preserve"> - Non educational government entities
</t>
    </r>
    <r>
      <rPr>
        <b/>
        <sz val="10"/>
        <color theme="1"/>
        <rFont val="Calibri"/>
        <family val="2"/>
        <scheme val="minor"/>
      </rPr>
      <t>NONPROFIT</t>
    </r>
    <r>
      <rPr>
        <sz val="10"/>
        <color theme="1"/>
        <rFont val="Calibri"/>
        <family val="2"/>
        <scheme val="minor"/>
      </rPr>
      <t xml:space="preserve"> - Not for profit organization
</t>
    </r>
    <r>
      <rPr>
        <b/>
        <sz val="10"/>
        <color theme="1"/>
        <rFont val="Calibri"/>
        <family val="2"/>
        <scheme val="minor"/>
      </rPr>
      <t>SEA</t>
    </r>
    <r>
      <rPr>
        <sz val="10"/>
        <color theme="1"/>
        <rFont val="Calibri"/>
        <family val="2"/>
        <scheme val="minor"/>
      </rPr>
      <t xml:space="preserve"> - State department of education
</t>
    </r>
  </si>
  <si>
    <t>K12 -&gt; K12 School -&gt; Directory -&gt; Charter School Authorizer</t>
  </si>
  <si>
    <t>Updated to support EDFacts.</t>
  </si>
  <si>
    <t>001292</t>
  </si>
  <si>
    <t>CharterSchoolAuthorizerType</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</si>
  <si>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</si>
  <si>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</si>
  <si>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</si>
  <si>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</si>
  <si>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</si>
  <si>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</si>
  <si>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</si>
  <si>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</si>
  <si>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</si>
  <si>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</si>
  <si>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</si>
  <si>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</si>
  <si>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</si>
  <si>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</si>
  <si>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K12 -&gt; K12 School -&gt; Directory
K12 -&gt; LEA -&gt; Directory</t>
  </si>
  <si>
    <t>When the element is used for an LEA, it means the LEA is a Charter District meaning any and all schools under the authority of the LEA are charter schools. Don't flag an LEA as a charter district if it has a mix of charter schools and non-charter schools.</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</si>
  <si>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</si>
  <si>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</si>
  <si>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</si>
  <si>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</si>
  <si>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r>
      <t>CMO</t>
    </r>
    <r>
      <rPr>
        <sz val="10"/>
        <color theme="1"/>
        <rFont val="Calibri"/>
        <family val="2"/>
        <scheme val="minor"/>
      </rPr>
      <t xml:space="preserve"> - Charter Management Organization
</t>
    </r>
    <r>
      <rPr>
        <b/>
        <sz val="10"/>
        <color theme="1"/>
        <rFont val="Calibri"/>
        <family val="2"/>
        <scheme val="minor"/>
      </rPr>
      <t>EMO</t>
    </r>
    <r>
      <rPr>
        <sz val="10"/>
        <color theme="1"/>
        <rFont val="Calibri"/>
        <family val="2"/>
        <scheme val="minor"/>
      </rPr>
      <t xml:space="preserve"> - Education Management Organization
</t>
    </r>
    <r>
      <rPr>
        <b/>
        <sz val="10"/>
        <color theme="1"/>
        <rFont val="Calibri"/>
        <family val="2"/>
        <scheme val="minor"/>
      </rPr>
      <t>SMFP</t>
    </r>
    <r>
      <rPr>
        <sz val="10"/>
        <color theme="1"/>
        <rFont val="Calibri"/>
        <family val="2"/>
        <scheme val="minor"/>
      </rPr>
      <t xml:space="preserve"> - Single Management (for-profit)
</t>
    </r>
    <r>
      <rPr>
        <b/>
        <sz val="10"/>
        <color theme="1"/>
        <rFont val="Calibri"/>
        <family val="2"/>
        <scheme val="minor"/>
      </rPr>
      <t>SMNP</t>
    </r>
    <r>
      <rPr>
        <sz val="10"/>
        <color theme="1"/>
        <rFont val="Calibri"/>
        <family val="2"/>
        <scheme val="minor"/>
      </rPr>
      <t xml:space="preserve"> - Single Management (non-profit)
</t>
    </r>
  </si>
  <si>
    <t>K12 -&gt; K12 School -&gt; Directory -&gt; Charter School Management Organization
K12 -&gt; Organization -&gt; Identification</t>
  </si>
  <si>
    <t>Updated option set to support EDFacts.</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</si>
  <si>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</si>
  <si>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</si>
  <si>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</si>
  <si>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</si>
  <si>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</si>
  <si>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</si>
  <si>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</si>
  <si>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</si>
  <si>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r>
      <t>School</t>
    </r>
    <r>
      <rPr>
        <sz val="10"/>
        <color theme="1"/>
        <rFont val="Calibri"/>
        <family val="2"/>
        <scheme val="minor"/>
      </rPr>
      <t xml:space="preserve"> - School Charter
</t>
    </r>
    <r>
      <rPr>
        <b/>
        <sz val="10"/>
        <color theme="1"/>
        <rFont val="Calibri"/>
        <family val="2"/>
        <scheme val="minor"/>
      </rPr>
      <t>CollegeUniversity</t>
    </r>
    <r>
      <rPr>
        <sz val="10"/>
        <color theme="1"/>
        <rFont val="Calibri"/>
        <family val="2"/>
        <scheme val="minor"/>
      </rPr>
      <t xml:space="preserve"> - College/University Charter
</t>
    </r>
    <r>
      <rPr>
        <b/>
        <sz val="10"/>
        <color theme="1"/>
        <rFont val="Calibri"/>
        <family val="2"/>
        <scheme val="minor"/>
      </rPr>
      <t>NA</t>
    </r>
    <r>
      <rPr>
        <sz val="10"/>
        <color theme="1"/>
        <rFont val="Calibri"/>
        <family val="2"/>
        <scheme val="minor"/>
      </rPr>
      <t xml:space="preserve"> - Not a Charter School
</t>
    </r>
  </si>
  <si>
    <t>000710</t>
  </si>
  <si>
    <t>CharterSchoolType</t>
  </si>
  <si>
    <t>Child Development Associate Type</t>
  </si>
  <si>
    <t>Type of Child Development Associate credential as defined by options.</t>
  </si>
  <si>
    <r>
      <t>01</t>
    </r>
    <r>
      <rPr>
        <sz val="10"/>
        <color theme="1"/>
        <rFont val="Calibri"/>
        <family val="2"/>
        <scheme val="minor"/>
      </rPr>
      <t xml:space="preserve"> - Infant/toddler
</t>
    </r>
    <r>
      <rPr>
        <b/>
        <sz val="10"/>
        <color theme="1"/>
        <rFont val="Calibri"/>
        <family val="2"/>
        <scheme val="minor"/>
      </rPr>
      <t>02</t>
    </r>
    <r>
      <rPr>
        <sz val="10"/>
        <color theme="1"/>
        <rFont val="Calibri"/>
        <family val="2"/>
        <scheme val="minor"/>
      </rPr>
      <t xml:space="preserve"> - Preschool
</t>
    </r>
    <r>
      <rPr>
        <b/>
        <sz val="10"/>
        <color theme="1"/>
        <rFont val="Calibri"/>
        <family val="2"/>
        <scheme val="minor"/>
      </rPr>
      <t>03</t>
    </r>
    <r>
      <rPr>
        <sz val="10"/>
        <color theme="1"/>
        <rFont val="Calibri"/>
        <family val="2"/>
        <scheme val="minor"/>
      </rPr>
      <t xml:space="preserve"> - Family child care home
</t>
    </r>
    <r>
      <rPr>
        <b/>
        <sz val="10"/>
        <color theme="1"/>
        <rFont val="Calibri"/>
        <family val="2"/>
        <scheme val="minor"/>
      </rPr>
      <t>04</t>
    </r>
    <r>
      <rPr>
        <sz val="10"/>
        <color theme="1"/>
        <rFont val="Calibri"/>
        <family val="2"/>
        <scheme val="minor"/>
      </rPr>
      <t xml:space="preserve"> - Home visitor
</t>
    </r>
    <r>
      <rPr>
        <b/>
        <sz val="10"/>
        <color theme="1"/>
        <rFont val="Calibri"/>
        <family val="2"/>
        <scheme val="minor"/>
      </rPr>
      <t>06</t>
    </r>
    <r>
      <rPr>
        <sz val="10"/>
        <color theme="1"/>
        <rFont val="Calibri"/>
        <family val="2"/>
        <scheme val="minor"/>
      </rPr>
      <t xml:space="preserve"> - Other
</t>
    </r>
    <r>
      <rPr>
        <b/>
        <sz val="10"/>
        <color theme="1"/>
        <rFont val="Calibri"/>
        <family val="2"/>
        <scheme val="minor"/>
      </rPr>
      <t>07</t>
    </r>
    <r>
      <rPr>
        <sz val="10"/>
        <color theme="1"/>
        <rFont val="Calibri"/>
        <family val="2"/>
        <scheme val="minor"/>
      </rPr>
      <t xml:space="preserve"> - Bilingual
</t>
    </r>
    <r>
      <rPr>
        <b/>
        <sz val="10"/>
        <color theme="1"/>
        <rFont val="Calibri"/>
        <family val="2"/>
        <scheme val="minor"/>
      </rPr>
      <t>99</t>
    </r>
    <r>
      <rPr>
        <sz val="10"/>
        <color theme="1"/>
        <rFont val="Calibri"/>
        <family val="2"/>
        <scheme val="minor"/>
      </rPr>
      <t xml:space="preserve"> - No current CDA indicated
</t>
    </r>
  </si>
  <si>
    <t>Early Learning -&gt; EL Staff -&gt; Credential or License</t>
  </si>
  <si>
    <t>000806</t>
  </si>
  <si>
    <t>CDA Type</t>
  </si>
  <si>
    <t>ChildDevelopmentAssociateType</t>
  </si>
  <si>
    <t>Child Developmental Screening Status</t>
  </si>
  <si>
    <t>The result of a brief standardized screening tool aiding in the identification of children at risk of a developmental delay/disorder.</t>
  </si>
  <si>
    <r>
      <t>FurtherEvaluationNeeded</t>
    </r>
    <r>
      <rPr>
        <sz val="10"/>
        <color theme="1"/>
        <rFont val="Calibri"/>
        <family val="2"/>
        <scheme val="minor"/>
      </rPr>
      <t xml:space="preserve"> - Further evaluation needed
</t>
    </r>
    <r>
      <rPr>
        <b/>
        <sz val="10"/>
        <color theme="1"/>
        <rFont val="Calibri"/>
        <family val="2"/>
        <scheme val="minor"/>
      </rPr>
      <t>NoFurtherEvaluationNeeded</t>
    </r>
    <r>
      <rPr>
        <sz val="10"/>
        <color theme="1"/>
        <rFont val="Calibri"/>
        <family val="2"/>
        <scheme val="minor"/>
      </rPr>
      <t xml:space="preserve"> - No further evaluation needed
</t>
    </r>
    <r>
      <rPr>
        <b/>
        <sz val="10"/>
        <color theme="1"/>
        <rFont val="Calibri"/>
        <family val="2"/>
        <scheme val="minor"/>
      </rPr>
      <t>NoScreeningPerformed</t>
    </r>
    <r>
      <rPr>
        <sz val="10"/>
        <color theme="1"/>
        <rFont val="Calibri"/>
        <family val="2"/>
        <scheme val="minor"/>
      </rPr>
      <t xml:space="preserve"> - No Screening Performed
</t>
    </r>
    <r>
      <rPr>
        <b/>
        <sz val="10"/>
        <color theme="1"/>
        <rFont val="Calibri"/>
        <family val="2"/>
        <scheme val="minor"/>
      </rPr>
      <t>AssessmentToolUnavailable</t>
    </r>
    <r>
      <rPr>
        <sz val="10"/>
        <color theme="1"/>
        <rFont val="Calibri"/>
        <family val="2"/>
        <scheme val="minor"/>
      </rPr>
      <t xml:space="preserve"> - Appropriate Assessment Tool Unavailable
</t>
    </r>
    <r>
      <rPr>
        <b/>
        <sz val="10"/>
        <color theme="1"/>
        <rFont val="Calibri"/>
        <family val="2"/>
        <scheme val="minor"/>
      </rPr>
      <t>PersonnelUnavailable</t>
    </r>
    <r>
      <rPr>
        <sz val="10"/>
        <color theme="1"/>
        <rFont val="Calibri"/>
        <family val="2"/>
        <scheme val="minor"/>
      </rPr>
      <t xml:space="preserve"> - Personnel Unavailable
</t>
    </r>
  </si>
  <si>
    <t>Early Learning -&gt; EL Child -&gt; Developmental Assessments</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</si>
  <si>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</si>
  <si>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</si>
  <si>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</si>
  <si>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</si>
  <si>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</si>
  <si>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r>
      <t>CanadianSIN</t>
    </r>
    <r>
      <rPr>
        <sz val="10"/>
        <color theme="1"/>
        <rFont val="Calibri"/>
        <family val="2"/>
        <scheme val="minor"/>
      </rPr>
      <t xml:space="preserve"> - Canadian Social Insurance Number
</t>
    </r>
    <r>
      <rPr>
        <b/>
        <sz val="10"/>
        <color theme="1"/>
        <rFont val="Calibri"/>
        <family val="2"/>
        <scheme val="minor"/>
      </rPr>
      <t>District</t>
    </r>
    <r>
      <rPr>
        <sz val="10"/>
        <color theme="1"/>
        <rFont val="Calibri"/>
        <family val="2"/>
        <scheme val="minor"/>
      </rPr>
      <t xml:space="preserve"> - District-assigned number
</t>
    </r>
    <r>
      <rPr>
        <b/>
        <sz val="10"/>
        <color theme="1"/>
        <rFont val="Calibri"/>
        <family val="2"/>
        <scheme val="minor"/>
      </rPr>
      <t>Family</t>
    </r>
    <r>
      <rPr>
        <sz val="10"/>
        <color theme="1"/>
        <rFont val="Calibri"/>
        <family val="2"/>
        <scheme val="minor"/>
      </rPr>
      <t xml:space="preserve"> - Family unit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NationalMigrant</t>
    </r>
    <r>
      <rPr>
        <sz val="10"/>
        <color theme="1"/>
        <rFont val="Calibri"/>
        <family val="2"/>
        <scheme val="minor"/>
      </rPr>
      <t xml:space="preserve"> - National migrant number
</t>
    </r>
    <r>
      <rPr>
        <b/>
        <sz val="10"/>
        <color theme="1"/>
        <rFont val="Calibri"/>
        <family val="2"/>
        <scheme val="minor"/>
      </rPr>
      <t>School</t>
    </r>
    <r>
      <rPr>
        <sz val="10"/>
        <color theme="1"/>
        <rFont val="Calibri"/>
        <family val="2"/>
        <scheme val="minor"/>
      </rPr>
      <t xml:space="preserve"> - School-assigned number
</t>
    </r>
    <r>
      <rPr>
        <b/>
        <sz val="10"/>
        <color theme="1"/>
        <rFont val="Calibri"/>
        <family val="2"/>
        <scheme val="minor"/>
      </rPr>
      <t>SSN</t>
    </r>
    <r>
      <rPr>
        <sz val="10"/>
        <color theme="1"/>
        <rFont val="Calibri"/>
        <family val="2"/>
        <scheme val="minor"/>
      </rPr>
      <t xml:space="preserve"> - Social Security Administration number
</t>
    </r>
    <r>
      <rPr>
        <b/>
        <sz val="10"/>
        <color theme="1"/>
        <rFont val="Calibri"/>
        <family val="2"/>
        <scheme val="minor"/>
      </rPr>
      <t>State</t>
    </r>
    <r>
      <rPr>
        <sz val="10"/>
        <color theme="1"/>
        <rFont val="Calibri"/>
        <family val="2"/>
        <scheme val="minor"/>
      </rPr>
      <t xml:space="preserve"> - State-assigned number
</t>
    </r>
    <r>
      <rPr>
        <b/>
        <sz val="10"/>
        <color theme="1"/>
        <rFont val="Calibri"/>
        <family val="2"/>
        <scheme val="minor"/>
      </rPr>
      <t>StateMigrant</t>
    </r>
    <r>
      <rPr>
        <sz val="10"/>
        <color theme="1"/>
        <rFont val="Calibri"/>
        <family val="2"/>
        <scheme val="minor"/>
      </rPr>
      <t xml:space="preserve"> - State migrant number
</t>
    </r>
    <r>
      <rPr>
        <b/>
        <sz val="10"/>
        <color theme="1"/>
        <rFont val="Calibri"/>
        <family val="2"/>
        <scheme val="minor"/>
      </rPr>
      <t>Program</t>
    </r>
    <r>
      <rPr>
        <sz val="10"/>
        <color theme="1"/>
        <rFont val="Calibri"/>
        <family val="2"/>
        <scheme val="minor"/>
      </rPr>
      <t xml:space="preserve"> - Program-assigned number
</t>
    </r>
  </si>
  <si>
    <t>Early Learning -&gt; EL Child -&gt; Identity -&gt; Identification
Early Learning -&gt; Parent/Guardian -&gt; Relationship</t>
  </si>
  <si>
    <t>000785</t>
  </si>
  <si>
    <t>ChildIdentificationSystem</t>
  </si>
  <si>
    <t>Early Learning -&gt; Access to Services
Early Learning -&gt; Program Quality
Early Learning -&gt; Staff Quality
School Readiness</t>
  </si>
  <si>
    <t>Child Identifier</t>
  </si>
  <si>
    <t>A unique number or alphanumeric code assigned to a child by a school, school system, a state, or other agency or entity.</t>
  </si>
  <si>
    <t>Early Learning -&gt; EL Child -&gt; Identity -&gt; Identification
K12 -&gt; Parent/Guardian -&gt; Relationship</t>
  </si>
  <si>
    <t>001080</t>
  </si>
  <si>
    <t>ChildIdentifier</t>
  </si>
  <si>
    <t>Child Outcomes Summary Progress A Indicator</t>
  </si>
  <si>
    <t>Indicates that the child demonstrates progress in positive social-emotional skills, including social relationships.</t>
  </si>
  <si>
    <t>Early Learning -&gt; EL Child -&gt; Child Outcome Summary</t>
  </si>
  <si>
    <t>001504</t>
  </si>
  <si>
    <t>COS Progress A Indicator</t>
  </si>
  <si>
    <t>COSProgressAIndicator</t>
  </si>
  <si>
    <t>Child Outcomes Summary Progress B Indicator</t>
  </si>
  <si>
    <t>Indicates that the child demonstrates progress in acquisition and use of knowledge and skills, including early language/communication.</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</si>
  <si>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</si>
  <si>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</si>
  <si>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</si>
  <si>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</si>
  <si>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</si>
  <si>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</si>
  <si>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</si>
  <si>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</si>
  <si>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</si>
  <si>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</si>
  <si>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r>
      <t>01</t>
    </r>
    <r>
      <rPr>
        <sz val="10"/>
        <color theme="1"/>
        <rFont val="Calibri"/>
        <family val="2"/>
        <scheme val="minor"/>
      </rPr>
      <t xml:space="preserve"> - Does not show functioning expected at age - does not include immediate foundational skills
</t>
    </r>
    <r>
      <rPr>
        <b/>
        <sz val="10"/>
        <color theme="1"/>
        <rFont val="Calibri"/>
        <family val="2"/>
        <scheme val="minor"/>
      </rPr>
      <t>02</t>
    </r>
    <r>
      <rPr>
        <sz val="10"/>
        <color theme="1"/>
        <rFont val="Calibri"/>
        <family val="2"/>
        <scheme val="minor"/>
      </rPr>
      <t xml:space="preserve"> - Occasionally uses immediate foundational skills across settings and situations
</t>
    </r>
    <r>
      <rPr>
        <b/>
        <sz val="10"/>
        <color theme="1"/>
        <rFont val="Calibri"/>
        <family val="2"/>
        <scheme val="minor"/>
      </rPr>
      <t>03</t>
    </r>
    <r>
      <rPr>
        <sz val="10"/>
        <color theme="1"/>
        <rFont val="Calibri"/>
        <family val="2"/>
        <scheme val="minor"/>
      </rPr>
      <t xml:space="preserve"> - Does not show functioning expected at age - uses immediate foundational skills
</t>
    </r>
    <r>
      <rPr>
        <b/>
        <sz val="10"/>
        <color theme="1"/>
        <rFont val="Calibri"/>
        <family val="2"/>
        <scheme val="minor"/>
      </rPr>
      <t>04</t>
    </r>
    <r>
      <rPr>
        <sz val="10"/>
        <color theme="1"/>
        <rFont val="Calibri"/>
        <family val="2"/>
        <scheme val="minor"/>
      </rPr>
      <t xml:space="preserve"> - Shows occasional age-appropriate functioning across settings and situations
</t>
    </r>
    <r>
      <rPr>
        <b/>
        <sz val="10"/>
        <color theme="1"/>
        <rFont val="Calibri"/>
        <family val="2"/>
        <scheme val="minor"/>
      </rPr>
      <t>05</t>
    </r>
    <r>
      <rPr>
        <sz val="10"/>
        <color theme="1"/>
        <rFont val="Calibri"/>
        <family val="2"/>
        <scheme val="minor"/>
      </rPr>
      <t xml:space="preserve"> - Shows functioning expected at age some of the time and/or in some settings and situations
</t>
    </r>
    <r>
      <rPr>
        <b/>
        <sz val="10"/>
        <color theme="1"/>
        <rFont val="Calibri"/>
        <family val="2"/>
        <scheme val="minor"/>
      </rPr>
      <t>06</t>
    </r>
    <r>
      <rPr>
        <sz val="10"/>
        <color theme="1"/>
        <rFont val="Calibri"/>
        <family val="2"/>
        <scheme val="minor"/>
      </rPr>
      <t xml:space="preserve"> - Functioning generally is considered appropriate for age but there are some significant concerns
</t>
    </r>
    <r>
      <rPr>
        <b/>
        <sz val="10"/>
        <color theme="1"/>
        <rFont val="Calibri"/>
        <family val="2"/>
        <scheme val="minor"/>
      </rPr>
      <t>07</t>
    </r>
    <r>
      <rPr>
        <sz val="10"/>
        <color theme="1"/>
        <rFont val="Calibri"/>
        <family val="2"/>
        <scheme val="minor"/>
      </rPr>
      <t xml:space="preserve"> - Shows functioning expected for age in all or almost all everyday situations
</t>
    </r>
  </si>
  <si>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</si>
  <si>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</si>
  <si>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</si>
  <si>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</si>
  <si>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</si>
  <si>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</si>
  <si>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</si>
  <si>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</si>
  <si>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</si>
  <si>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</si>
  <si>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</si>
  <si>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</si>
  <si>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</si>
  <si>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</si>
  <si>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The name of the city in which a person was born.</t>
  </si>
  <si>
    <t>K12 -&gt; K12 Student -&gt; Demographic</t>
  </si>
  <si>
    <t>000426</t>
  </si>
  <si>
    <t>CityOfBirth</t>
  </si>
  <si>
    <t>Class Beginning Time</t>
  </si>
  <si>
    <t>An indication of the time of day the class begins.</t>
  </si>
  <si>
    <t>Adult Education -&gt; Course Section
Career and Technical -&gt; Course Section
Early Learning -&gt; EL Class/Group
K12 -&gt; Course Section</t>
  </si>
  <si>
    <t>000519</t>
  </si>
  <si>
    <t>ClassBeginningTime</t>
  </si>
  <si>
    <t>Early Learning -&gt; Access to Services
Early Learning -&gt; Program Quality</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</si>
  <si>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</si>
  <si>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</si>
  <si>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</si>
  <si>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</si>
  <si>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</si>
  <si>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</si>
  <si>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Adult Education -&gt; Course Section
Career and Technical -&gt; Course Section
K12 -&gt; Course Section</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</si>
  <si>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</si>
  <si>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</si>
  <si>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</si>
  <si>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</si>
  <si>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</si>
  <si>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</si>
  <si>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</si>
  <si>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</si>
  <si>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</si>
  <si>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</si>
  <si>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</si>
  <si>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</si>
  <si>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</si>
  <si>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</si>
  <si>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000043</t>
  </si>
  <si>
    <t>CIP Code</t>
  </si>
  <si>
    <t>CIPCode</t>
  </si>
  <si>
    <t>Classification of Instructional Program Use</t>
  </si>
  <si>
    <t>An indicator of whether the CIP Code is referencing an enrollment program or an award program.</t>
  </si>
  <si>
    <r>
      <t>PrimaryEnrollment</t>
    </r>
    <r>
      <rPr>
        <sz val="10"/>
        <color theme="1"/>
        <rFont val="Calibri"/>
        <family val="2"/>
        <scheme val="minor"/>
      </rPr>
      <t xml:space="preserve"> - Primary enrollment
</t>
    </r>
    <r>
      <rPr>
        <b/>
        <sz val="10"/>
        <color theme="1"/>
        <rFont val="Calibri"/>
        <family val="2"/>
        <scheme val="minor"/>
      </rPr>
      <t>AdditionalEnrollment</t>
    </r>
    <r>
      <rPr>
        <sz val="10"/>
        <color theme="1"/>
        <rFont val="Calibri"/>
        <family val="2"/>
        <scheme val="minor"/>
      </rPr>
      <t xml:space="preserve"> - Additional enrollment
</t>
    </r>
    <r>
      <rPr>
        <b/>
        <sz val="10"/>
        <color theme="1"/>
        <rFont val="Calibri"/>
        <family val="2"/>
        <scheme val="minor"/>
      </rPr>
      <t>PrimaryCompletion</t>
    </r>
    <r>
      <rPr>
        <sz val="10"/>
        <color theme="1"/>
        <rFont val="Calibri"/>
        <family val="2"/>
        <scheme val="minor"/>
      </rPr>
      <t xml:space="preserve"> - Primary completion
</t>
    </r>
    <r>
      <rPr>
        <b/>
        <sz val="10"/>
        <color theme="1"/>
        <rFont val="Calibri"/>
        <family val="2"/>
        <scheme val="minor"/>
      </rPr>
      <t>AdditionalCompletion</t>
    </r>
    <r>
      <rPr>
        <sz val="10"/>
        <color theme="1"/>
        <rFont val="Calibri"/>
        <family val="2"/>
        <scheme val="minor"/>
      </rPr>
      <t xml:space="preserve"> - Additional completion
</t>
    </r>
  </si>
  <si>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</si>
  <si>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000044</t>
  </si>
  <si>
    <t>CIP Use</t>
  </si>
  <si>
    <t>CIPUse</t>
  </si>
  <si>
    <t>Classification of Instructional Program Version</t>
  </si>
  <si>
    <t>The version of CIP being reported.</t>
  </si>
  <si>
    <r>
      <t>CIP1980</t>
    </r>
    <r>
      <rPr>
        <sz val="10"/>
        <color theme="1"/>
        <rFont val="Calibri"/>
        <family val="2"/>
        <scheme val="minor"/>
      </rPr>
      <t xml:space="preserve"> - CIP 1980
</t>
    </r>
    <r>
      <rPr>
        <b/>
        <sz val="10"/>
        <color theme="1"/>
        <rFont val="Calibri"/>
        <family val="2"/>
        <scheme val="minor"/>
      </rPr>
      <t>CIP1985</t>
    </r>
    <r>
      <rPr>
        <sz val="10"/>
        <color theme="1"/>
        <rFont val="Calibri"/>
        <family val="2"/>
        <scheme val="minor"/>
      </rPr>
      <t xml:space="preserve"> - CIP 1985
</t>
    </r>
    <r>
      <rPr>
        <b/>
        <sz val="10"/>
        <color theme="1"/>
        <rFont val="Calibri"/>
        <family val="2"/>
        <scheme val="minor"/>
      </rPr>
      <t>CIP1990</t>
    </r>
    <r>
      <rPr>
        <sz val="10"/>
        <color theme="1"/>
        <rFont val="Calibri"/>
        <family val="2"/>
        <scheme val="minor"/>
      </rPr>
      <t xml:space="preserve"> - CIP 1990
</t>
    </r>
    <r>
      <rPr>
        <b/>
        <sz val="10"/>
        <color theme="1"/>
        <rFont val="Calibri"/>
        <family val="2"/>
        <scheme val="minor"/>
      </rPr>
      <t>CIP2000</t>
    </r>
    <r>
      <rPr>
        <sz val="10"/>
        <color theme="1"/>
        <rFont val="Calibri"/>
        <family val="2"/>
        <scheme val="minor"/>
      </rPr>
      <t xml:space="preserve"> - CIP 2000
</t>
    </r>
    <r>
      <rPr>
        <b/>
        <sz val="10"/>
        <color theme="1"/>
        <rFont val="Calibri"/>
        <family val="2"/>
        <scheme val="minor"/>
      </rPr>
      <t>CIP2010</t>
    </r>
    <r>
      <rPr>
        <sz val="10"/>
        <color theme="1"/>
        <rFont val="Calibri"/>
        <family val="2"/>
        <scheme val="minor"/>
      </rPr>
      <t xml:space="preserve"> - CIP 2010
</t>
    </r>
  </si>
  <si>
    <t>Adult Education -&gt; AE Student -&gt; Academic Record -&gt; Academic Award
Adult Education -&gt; Course Section -&gt; Course
Career and Technical -&gt; Course Section -&gt; Course
Career and Technical -&gt; CTE Student -&gt; Academic Record -&gt; Academic Award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</si>
  <si>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</si>
  <si>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</si>
  <si>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</si>
  <si>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</si>
  <si>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</si>
  <si>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</si>
  <si>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</si>
  <si>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</si>
  <si>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</si>
  <si>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r>
      <t>03187</t>
    </r>
    <r>
      <rPr>
        <sz val="10"/>
        <color theme="1"/>
        <rFont val="Calibri"/>
        <family val="2"/>
        <scheme val="minor"/>
      </rPr>
      <t xml:space="preserve"> - Administrative staff
</t>
    </r>
    <r>
      <rPr>
        <b/>
        <sz val="10"/>
        <color theme="1"/>
        <rFont val="Calibri"/>
        <family val="2"/>
        <scheme val="minor"/>
      </rPr>
      <t>73071</t>
    </r>
    <r>
      <rPr>
        <sz val="10"/>
        <color theme="1"/>
        <rFont val="Calibri"/>
        <family val="2"/>
        <scheme val="minor"/>
      </rPr>
      <t xml:space="preserve"> - Co-teacher
</t>
    </r>
    <r>
      <rPr>
        <b/>
        <sz val="10"/>
        <color theme="1"/>
        <rFont val="Calibri"/>
        <family val="2"/>
        <scheme val="minor"/>
      </rPr>
      <t>04725</t>
    </r>
    <r>
      <rPr>
        <sz val="10"/>
        <color theme="1"/>
        <rFont val="Calibri"/>
        <family val="2"/>
        <scheme val="minor"/>
      </rPr>
      <t xml:space="preserve"> - Counselor
</t>
    </r>
    <r>
      <rPr>
        <b/>
        <sz val="10"/>
        <color theme="1"/>
        <rFont val="Calibri"/>
        <family val="2"/>
        <scheme val="minor"/>
      </rPr>
      <t>73073</t>
    </r>
    <r>
      <rPr>
        <sz val="10"/>
        <color theme="1"/>
        <rFont val="Calibri"/>
        <family val="2"/>
        <scheme val="minor"/>
      </rPr>
      <t xml:space="preserve"> - Course Proctor
</t>
    </r>
    <r>
      <rPr>
        <b/>
        <sz val="10"/>
        <color theme="1"/>
        <rFont val="Calibri"/>
        <family val="2"/>
        <scheme val="minor"/>
      </rPr>
      <t>05973</t>
    </r>
    <r>
      <rPr>
        <sz val="10"/>
        <color theme="1"/>
        <rFont val="Calibri"/>
        <family val="2"/>
        <scheme val="minor"/>
      </rPr>
      <t xml:space="preserve"> - Instructor of record
</t>
    </r>
    <r>
      <rPr>
        <b/>
        <sz val="10"/>
        <color theme="1"/>
        <rFont val="Calibri"/>
        <family val="2"/>
        <scheme val="minor"/>
      </rPr>
      <t>01234</t>
    </r>
    <r>
      <rPr>
        <sz val="10"/>
        <color theme="1"/>
        <rFont val="Calibri"/>
        <family val="2"/>
        <scheme val="minor"/>
      </rPr>
      <t xml:space="preserve"> - Intern
</t>
    </r>
    <r>
      <rPr>
        <b/>
        <sz val="10"/>
        <color theme="1"/>
        <rFont val="Calibri"/>
        <family val="2"/>
        <scheme val="minor"/>
      </rPr>
      <t>73072</t>
    </r>
    <r>
      <rPr>
        <sz val="10"/>
        <color theme="1"/>
        <rFont val="Calibri"/>
        <family val="2"/>
        <scheme val="minor"/>
      </rPr>
      <t xml:space="preserve"> - Lead Team Teacher
</t>
    </r>
    <r>
      <rPr>
        <b/>
        <sz val="10"/>
        <color theme="1"/>
        <rFont val="Calibri"/>
        <family val="2"/>
        <scheme val="minor"/>
      </rPr>
      <t>00069</t>
    </r>
    <r>
      <rPr>
        <sz val="10"/>
        <color theme="1"/>
        <rFont val="Calibri"/>
        <family val="2"/>
        <scheme val="minor"/>
      </rPr>
      <t xml:space="preserve"> - Non-instructional staff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00059</t>
    </r>
    <r>
      <rPr>
        <sz val="10"/>
        <color theme="1"/>
        <rFont val="Calibri"/>
        <family val="2"/>
        <scheme val="minor"/>
      </rPr>
      <t xml:space="preserve"> - Paraprofessionals/teacher aides
</t>
    </r>
    <r>
      <rPr>
        <b/>
        <sz val="10"/>
        <color theme="1"/>
        <rFont val="Calibri"/>
        <family val="2"/>
        <scheme val="minor"/>
      </rPr>
      <t>05971</t>
    </r>
    <r>
      <rPr>
        <sz val="10"/>
        <color theme="1"/>
        <rFont val="Calibri"/>
        <family val="2"/>
        <scheme val="minor"/>
      </rPr>
      <t xml:space="preserve"> - Primary instructor
</t>
    </r>
    <r>
      <rPr>
        <b/>
        <sz val="10"/>
        <color theme="1"/>
        <rFont val="Calibri"/>
        <family val="2"/>
        <scheme val="minor"/>
      </rPr>
      <t>04735</t>
    </r>
    <r>
      <rPr>
        <sz val="10"/>
        <color theme="1"/>
        <rFont val="Calibri"/>
        <family val="2"/>
        <scheme val="minor"/>
      </rPr>
      <t xml:space="preserve"> - Resource teacher
</t>
    </r>
    <r>
      <rPr>
        <b/>
        <sz val="10"/>
        <color theme="1"/>
        <rFont val="Calibri"/>
        <family val="2"/>
        <scheme val="minor"/>
      </rPr>
      <t>05972</t>
    </r>
    <r>
      <rPr>
        <sz val="10"/>
        <color theme="1"/>
        <rFont val="Calibri"/>
        <family val="2"/>
        <scheme val="minor"/>
      </rPr>
      <t xml:space="preserve"> - Secondary instructor
</t>
    </r>
    <r>
      <rPr>
        <b/>
        <sz val="10"/>
        <color theme="1"/>
        <rFont val="Calibri"/>
        <family val="2"/>
        <scheme val="minor"/>
      </rPr>
      <t>73074</t>
    </r>
    <r>
      <rPr>
        <sz val="10"/>
        <color theme="1"/>
        <rFont val="Calibri"/>
        <family val="2"/>
        <scheme val="minor"/>
      </rPr>
      <t xml:space="preserve"> - Special Education Consultant
</t>
    </r>
    <r>
      <rPr>
        <b/>
        <sz val="10"/>
        <color theme="1"/>
        <rFont val="Calibri"/>
        <family val="2"/>
        <scheme val="minor"/>
      </rPr>
      <t>00080</t>
    </r>
    <r>
      <rPr>
        <sz val="10"/>
        <color theme="1"/>
        <rFont val="Calibri"/>
        <family val="2"/>
        <scheme val="minor"/>
      </rPr>
      <t xml:space="preserve"> - Student teachers
</t>
    </r>
    <r>
      <rPr>
        <b/>
        <sz val="10"/>
        <color theme="1"/>
        <rFont val="Calibri"/>
        <family val="2"/>
        <scheme val="minor"/>
      </rPr>
      <t>01382</t>
    </r>
    <r>
      <rPr>
        <sz val="10"/>
        <color theme="1"/>
        <rFont val="Calibri"/>
        <family val="2"/>
        <scheme val="minor"/>
      </rPr>
      <t xml:space="preserve"> - Volunteer/no contract
</t>
    </r>
  </si>
  <si>
    <t>Adult Education -&gt; Course Section
Adult Education -&gt; Course Section -&gt; Staff
Career and Technical -&gt; Course Section
Career and Technical -&gt; Course Section -&gt; Staff
K12 -&gt; Course Section
K12 -&gt; Course Section -&gt; Staff
K12 -&gt; K12 Staff -&gt; Assignment</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</si>
  <si>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</si>
  <si>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</si>
  <si>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</si>
  <si>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</si>
  <si>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</si>
  <si>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</si>
  <si>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</si>
  <si>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</si>
  <si>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r>
      <t>01</t>
    </r>
    <r>
      <rPr>
        <sz val="10"/>
        <color theme="1"/>
        <rFont val="Calibri"/>
        <family val="2"/>
        <scheme val="minor"/>
      </rPr>
      <t xml:space="preserve"> - Death
</t>
    </r>
    <r>
      <rPr>
        <b/>
        <sz val="10"/>
        <color theme="1"/>
        <rFont val="Calibri"/>
        <family val="2"/>
        <scheme val="minor"/>
      </rPr>
      <t>02</t>
    </r>
    <r>
      <rPr>
        <sz val="10"/>
        <color theme="1"/>
        <rFont val="Calibri"/>
        <family val="2"/>
        <scheme val="minor"/>
      </rPr>
      <t xml:space="preserve"> - Total and permanent disability
</t>
    </r>
    <r>
      <rPr>
        <b/>
        <sz val="10"/>
        <color theme="1"/>
        <rFont val="Calibri"/>
        <family val="2"/>
        <scheme val="minor"/>
      </rPr>
      <t>03</t>
    </r>
    <r>
      <rPr>
        <sz val="10"/>
        <color theme="1"/>
        <rFont val="Calibri"/>
        <family val="2"/>
        <scheme val="minor"/>
      </rPr>
      <t xml:space="preserve"> - Service in the armed forces
</t>
    </r>
    <r>
      <rPr>
        <b/>
        <sz val="10"/>
        <color theme="1"/>
        <rFont val="Calibri"/>
        <family val="2"/>
        <scheme val="minor"/>
      </rPr>
      <t>04</t>
    </r>
    <r>
      <rPr>
        <sz val="10"/>
        <color theme="1"/>
        <rFont val="Calibri"/>
        <family val="2"/>
        <scheme val="minor"/>
      </rPr>
      <t xml:space="preserve"> - Service with a foreign aid service of the federal government
</t>
    </r>
    <r>
      <rPr>
        <b/>
        <sz val="10"/>
        <color theme="1"/>
        <rFont val="Calibri"/>
        <family val="2"/>
        <scheme val="minor"/>
      </rPr>
      <t>05</t>
    </r>
    <r>
      <rPr>
        <sz val="10"/>
        <color theme="1"/>
        <rFont val="Calibri"/>
        <family val="2"/>
        <scheme val="minor"/>
      </rPr>
      <t xml:space="preserve"> - Service on official church missions
</t>
    </r>
  </si>
  <si>
    <t>Postsecondary -&gt; PS Student -&gt; Institution Enrollment</t>
  </si>
  <si>
    <t>000106</t>
  </si>
  <si>
    <t>CohortExclusion</t>
  </si>
  <si>
    <t>Cohort Graduation Year</t>
  </si>
  <si>
    <t>The year the cohort graduated with a regular high school diploma.</t>
  </si>
  <si>
    <t>K12 -&gt; K12 Student -&gt; Enrollment
Postsecondary -&gt; PS Student -&gt; Demographic</t>
  </si>
  <si>
    <t>000584</t>
  </si>
  <si>
    <t>CohortGraduationYear</t>
  </si>
  <si>
    <t>K-12 -&gt; EDFacts
Persistence and Attainment of Nontraditional Students</t>
  </si>
  <si>
    <t>Cohort Year</t>
  </si>
  <si>
    <t>The school year in which the student entered the baseline group used for computing completion rates (e.g., high school, program).</t>
  </si>
  <si>
    <t>K12 -&gt; K12 Student -&gt; Enrollment
Postsecondary -&gt; PS Student -&gt; K12 Transcript</t>
  </si>
  <si>
    <t>000046</t>
  </si>
  <si>
    <t>CohortYear</t>
  </si>
  <si>
    <t>Community-based Type</t>
  </si>
  <si>
    <t>Non domestic residence in which the early learning setting is located.</t>
  </si>
  <si>
    <r>
      <t>Library</t>
    </r>
    <r>
      <rPr>
        <sz val="10"/>
        <color theme="1"/>
        <rFont val="Calibri"/>
        <family val="2"/>
        <scheme val="minor"/>
      </rPr>
      <t xml:space="preserve"> - Library
</t>
    </r>
    <r>
      <rPr>
        <b/>
        <sz val="10"/>
        <color theme="1"/>
        <rFont val="Calibri"/>
        <family val="2"/>
        <scheme val="minor"/>
      </rPr>
      <t>School</t>
    </r>
    <r>
      <rPr>
        <sz val="10"/>
        <color theme="1"/>
        <rFont val="Calibri"/>
        <family val="2"/>
        <scheme val="minor"/>
      </rPr>
      <t xml:space="preserve"> - School
</t>
    </r>
    <r>
      <rPr>
        <b/>
        <sz val="10"/>
        <color theme="1"/>
        <rFont val="Calibri"/>
        <family val="2"/>
        <scheme val="minor"/>
      </rPr>
      <t>ChildDevelopmentCenter</t>
    </r>
    <r>
      <rPr>
        <sz val="10"/>
        <color theme="1"/>
        <rFont val="Calibri"/>
        <family val="2"/>
        <scheme val="minor"/>
      </rPr>
      <t xml:space="preserve"> - Child development center
</t>
    </r>
    <r>
      <rPr>
        <b/>
        <sz val="10"/>
        <color theme="1"/>
        <rFont val="Calibri"/>
        <family val="2"/>
        <scheme val="minor"/>
      </rPr>
      <t>Hospital</t>
    </r>
    <r>
      <rPr>
        <sz val="10"/>
        <color theme="1"/>
        <rFont val="Calibri"/>
        <family val="2"/>
        <scheme val="minor"/>
      </rPr>
      <t xml:space="preserve"> - Hospital
</t>
    </r>
    <r>
      <rPr>
        <b/>
        <sz val="10"/>
        <color theme="1"/>
        <rFont val="Calibri"/>
        <family val="2"/>
        <scheme val="minor"/>
      </rPr>
      <t>PublicK12School</t>
    </r>
    <r>
      <rPr>
        <sz val="10"/>
        <color theme="1"/>
        <rFont val="Calibri"/>
        <family val="2"/>
        <scheme val="minor"/>
      </rPr>
      <t xml:space="preserve"> - Public K12 School
</t>
    </r>
    <r>
      <rPr>
        <b/>
        <sz val="10"/>
        <color theme="1"/>
        <rFont val="Calibri"/>
        <family val="2"/>
        <scheme val="minor"/>
      </rPr>
      <t>University</t>
    </r>
    <r>
      <rPr>
        <sz val="10"/>
        <color theme="1"/>
        <rFont val="Calibri"/>
        <family val="2"/>
        <scheme val="minor"/>
      </rPr>
      <t xml:space="preserve"> - University
</t>
    </r>
    <r>
      <rPr>
        <b/>
        <sz val="10"/>
        <color theme="1"/>
        <rFont val="Calibri"/>
        <family val="2"/>
        <scheme val="minor"/>
      </rPr>
      <t>Other</t>
    </r>
    <r>
      <rPr>
        <sz val="10"/>
        <color theme="1"/>
        <rFont val="Calibri"/>
        <family val="2"/>
        <scheme val="minor"/>
      </rPr>
      <t xml:space="preserve"> - Other
</t>
    </r>
  </si>
  <si>
    <t>Early Learning -&gt; EL Child -&gt; Program
Early Learning -&gt; EL Organization -&gt; Organization Information</t>
  </si>
  <si>
    <t>001633</t>
  </si>
  <si>
    <t>CommunityBasedType</t>
  </si>
  <si>
    <t>Competency Association Connection Citation</t>
  </si>
  <si>
    <t>Any citation appropriate to evidence the connection between nodes</t>
  </si>
  <si>
    <t>Competencies -&gt; Competency Definition -&gt; Competency Association</t>
  </si>
  <si>
    <t>001402</t>
  </si>
  <si>
    <t>Learning Standard Item Association Connection Citation</t>
  </si>
  <si>
    <t>CompetencyAssociationConnectionCitation</t>
  </si>
  <si>
    <t>Competency Association Destination Node Name</t>
  </si>
  <si>
    <t>Name of the destination node when the Competency Association is used as a connector in a learning map.</t>
  </si>
  <si>
    <t>001403</t>
  </si>
  <si>
    <t>Learning Standard Item Association Destination Node Name</t>
  </si>
  <si>
    <t>CompetencyAssociationDestinationNodeName</t>
  </si>
  <si>
    <t>Competency Association Destination Node URI</t>
  </si>
  <si>
    <t>URI of the destination node when the Competency Association is used as a connector in a learning map.</t>
  </si>
  <si>
    <t>001404</t>
  </si>
  <si>
    <t>Learning Standard Item Association Destination Node URI</t>
  </si>
  <si>
    <t>CompetencyAssociationDestinationNodeURI</t>
  </si>
  <si>
    <t>Competency Association Identifier URI</t>
  </si>
  <si>
    <t>A URI that establishes uniqueness of an association between a competency definition and another competency item or other objects such as learning resources.</t>
  </si>
  <si>
    <t>Competencies -&gt; Competency Definition -&gt; Competency Association
Learning Resources -&gt; Learning Resource</t>
  </si>
  <si>
    <t>000871</t>
  </si>
  <si>
    <t>Learning Standard Item Association Identifier URI</t>
  </si>
  <si>
    <t>CompetencyAssociationIdentifierURI</t>
  </si>
  <si>
    <t>Competency Association Origin Node Name</t>
  </si>
  <si>
    <t>Name of the origin node when the Competency Association is used as a connector in a learning map.</t>
  </si>
  <si>
    <t>001405</t>
  </si>
  <si>
    <t>Learning Standard Item Association Origin Node Name</t>
  </si>
  <si>
    <t>CompetencyAssociationOriginNodeName</t>
  </si>
  <si>
    <t>Competency Association Origin Node URI</t>
  </si>
  <si>
    <t>URI of the origin node when the Competency Association is used as a connector in a learning map.</t>
  </si>
  <si>
    <t>001406</t>
  </si>
  <si>
    <t>Learning Standard Item Association Origin Node URI</t>
  </si>
  <si>
    <t>CompetencyAssociationOriginNodeURI</t>
  </si>
  <si>
    <t>Competency Association Type</t>
  </si>
  <si>
    <t>Defines the nature of the association between a Competency Definition and an associated data object such as a Learning Resource, an Assessment Item, or even another Competency Definition.</t>
  </si>
  <si>
    <r>
      <t>Prerequisite</t>
    </r>
    <r>
      <rPr>
        <sz val="10"/>
        <color theme="1"/>
        <rFont val="Calibri"/>
        <family val="2"/>
        <scheme val="minor"/>
      </rPr>
      <t xml:space="preserve"> - Prerequisite
</t>
    </r>
    <r>
      <rPr>
        <b/>
        <sz val="10"/>
        <color theme="1"/>
        <rFont val="Calibri"/>
        <family val="2"/>
        <scheme val="minor"/>
      </rPr>
      <t>ConformsTo</t>
    </r>
    <r>
      <rPr>
        <sz val="10"/>
        <color theme="1"/>
        <rFont val="Calibri"/>
        <family val="2"/>
        <scheme val="minor"/>
      </rPr>
      <t xml:space="preserve"> - Conforms To
</t>
    </r>
    <r>
      <rPr>
        <b/>
        <sz val="10"/>
        <color theme="1"/>
        <rFont val="Calibri"/>
        <family val="2"/>
        <scheme val="minor"/>
      </rPr>
      <t>Defines</t>
    </r>
    <r>
      <rPr>
        <sz val="10"/>
        <color theme="1"/>
        <rFont val="Calibri"/>
        <family val="2"/>
        <scheme val="minor"/>
      </rPr>
      <t xml:space="preserve"> - Defines
</t>
    </r>
    <r>
      <rPr>
        <b/>
        <sz val="10"/>
        <color theme="1"/>
        <rFont val="Calibri"/>
        <family val="2"/>
        <scheme val="minor"/>
      </rPr>
      <t>HasFormat</t>
    </r>
    <r>
      <rPr>
        <sz val="10"/>
        <color theme="1"/>
        <rFont val="Calibri"/>
        <family val="2"/>
        <scheme val="minor"/>
      </rPr>
      <t xml:space="preserve"> - Has Format
</t>
    </r>
    <r>
      <rPr>
        <b/>
        <sz val="10"/>
        <color theme="1"/>
        <rFont val="Calibri"/>
        <family val="2"/>
        <scheme val="minor"/>
      </rPr>
      <t>HasPart</t>
    </r>
    <r>
      <rPr>
        <sz val="10"/>
        <color theme="1"/>
        <rFont val="Calibri"/>
        <family val="2"/>
        <scheme val="minor"/>
      </rPr>
      <t xml:space="preserve"> - Has Part
</t>
    </r>
    <r>
      <rPr>
        <b/>
        <sz val="10"/>
        <color theme="1"/>
        <rFont val="Calibri"/>
        <family val="2"/>
        <scheme val="minor"/>
      </rPr>
      <t>HasVersion</t>
    </r>
    <r>
      <rPr>
        <sz val="10"/>
        <color theme="1"/>
        <rFont val="Calibri"/>
        <family val="2"/>
        <scheme val="minor"/>
      </rPr>
      <t xml:space="preserve"> - Has Version
</t>
    </r>
    <r>
      <rPr>
        <b/>
        <sz val="10"/>
        <color theme="1"/>
        <rFont val="Calibri"/>
        <family val="2"/>
        <scheme val="minor"/>
      </rPr>
      <t>IsAssessedBy</t>
    </r>
    <r>
      <rPr>
        <sz val="10"/>
        <color theme="1"/>
        <rFont val="Calibri"/>
        <family val="2"/>
        <scheme val="minor"/>
      </rPr>
      <t xml:space="preserve"> - Is Assessed By
</t>
    </r>
    <r>
      <rPr>
        <b/>
        <sz val="10"/>
        <color theme="1"/>
        <rFont val="Calibri"/>
        <family val="2"/>
        <scheme val="minor"/>
      </rPr>
      <t>IsConformedTo</t>
    </r>
    <r>
      <rPr>
        <sz val="10"/>
        <color theme="1"/>
        <rFont val="Calibri"/>
        <family val="2"/>
        <scheme val="minor"/>
      </rPr>
      <t xml:space="preserve"> - Is Conformed To
</t>
    </r>
    <r>
      <rPr>
        <b/>
        <sz val="10"/>
        <color theme="1"/>
        <rFont val="Calibri"/>
        <family val="2"/>
        <scheme val="minor"/>
      </rPr>
      <t>IsDefinedBy</t>
    </r>
    <r>
      <rPr>
        <sz val="10"/>
        <color theme="1"/>
        <rFont val="Calibri"/>
        <family val="2"/>
        <scheme val="minor"/>
      </rPr>
      <t xml:space="preserve"> - Is Defined By
</t>
    </r>
    <r>
      <rPr>
        <b/>
        <sz val="10"/>
        <color theme="1"/>
        <rFont val="Calibri"/>
        <family val="2"/>
        <scheme val="minor"/>
      </rPr>
      <t>FormatOf</t>
    </r>
    <r>
      <rPr>
        <sz val="10"/>
        <color theme="1"/>
        <rFont val="Calibri"/>
        <family val="2"/>
        <scheme val="minor"/>
      </rPr>
      <t xml:space="preserve"> - Is Format of
</t>
    </r>
    <r>
      <rPr>
        <b/>
        <sz val="10"/>
        <color theme="1"/>
        <rFont val="Calibri"/>
        <family val="2"/>
        <scheme val="minor"/>
      </rPr>
      <t>IsPartOf</t>
    </r>
    <r>
      <rPr>
        <sz val="10"/>
        <color theme="1"/>
        <rFont val="Calibri"/>
        <family val="2"/>
        <scheme val="minor"/>
      </rPr>
      <t xml:space="preserve"> - Is Part Of
</t>
    </r>
    <r>
      <rPr>
        <b/>
        <sz val="10"/>
        <color theme="1"/>
        <rFont val="Calibri"/>
        <family val="2"/>
        <scheme val="minor"/>
      </rPr>
      <t>IsPrerequisiteTo</t>
    </r>
    <r>
      <rPr>
        <sz val="10"/>
        <color theme="1"/>
        <rFont val="Calibri"/>
        <family val="2"/>
        <scheme val="minor"/>
      </rPr>
      <t xml:space="preserve"> - Is Prerequisite To
</t>
    </r>
    <r>
      <rPr>
        <b/>
        <sz val="10"/>
        <color theme="1"/>
        <rFont val="Calibri"/>
        <family val="2"/>
        <scheme val="minor"/>
      </rPr>
      <t>ReferencedBy</t>
    </r>
    <r>
      <rPr>
        <sz val="10"/>
        <color theme="1"/>
        <rFont val="Calibri"/>
        <family val="2"/>
        <scheme val="minor"/>
      </rPr>
      <t xml:space="preserve"> - Is Referenced By
</t>
    </r>
    <r>
      <rPr>
        <b/>
        <sz val="10"/>
        <color theme="1"/>
        <rFont val="Calibri"/>
        <family val="2"/>
        <scheme val="minor"/>
      </rPr>
      <t>ReplacedBy</t>
    </r>
    <r>
      <rPr>
        <sz val="10"/>
        <color theme="1"/>
        <rFont val="Calibri"/>
        <family val="2"/>
        <scheme val="minor"/>
      </rPr>
      <t xml:space="preserve"> - Is Replaced By
</t>
    </r>
    <r>
      <rPr>
        <b/>
        <sz val="10"/>
        <color theme="1"/>
        <rFont val="Calibri"/>
        <family val="2"/>
        <scheme val="minor"/>
      </rPr>
      <t>RequiredBy</t>
    </r>
    <r>
      <rPr>
        <sz val="10"/>
        <color theme="1"/>
        <rFont val="Calibri"/>
        <family val="2"/>
        <scheme val="minor"/>
      </rPr>
      <t xml:space="preserve"> - Is Required By
</t>
    </r>
    <r>
      <rPr>
        <b/>
        <sz val="10"/>
        <color theme="1"/>
        <rFont val="Calibri"/>
        <family val="2"/>
        <scheme val="minor"/>
      </rPr>
      <t>IsTaughtBy</t>
    </r>
    <r>
      <rPr>
        <sz val="10"/>
        <color theme="1"/>
        <rFont val="Calibri"/>
        <family val="2"/>
        <scheme val="minor"/>
      </rPr>
      <t xml:space="preserve"> - Is Taught By
</t>
    </r>
    <r>
      <rPr>
        <b/>
        <sz val="10"/>
        <color theme="1"/>
        <rFont val="Calibri"/>
        <family val="2"/>
        <scheme val="minor"/>
      </rPr>
      <t>VersionOf</t>
    </r>
    <r>
      <rPr>
        <sz val="10"/>
        <color theme="1"/>
        <rFont val="Calibri"/>
        <family val="2"/>
        <scheme val="minor"/>
      </rPr>
      <t xml:space="preserve"> - Is Version Of
</t>
    </r>
    <r>
      <rPr>
        <b/>
        <sz val="10"/>
        <color theme="1"/>
        <rFont val="Calibri"/>
        <family val="2"/>
        <scheme val="minor"/>
      </rPr>
      <t>Referenced</t>
    </r>
    <r>
      <rPr>
        <sz val="10"/>
        <color theme="1"/>
        <rFont val="Calibri"/>
        <family val="2"/>
        <scheme val="minor"/>
      </rPr>
      <t xml:space="preserve"> - Referenced
</t>
    </r>
    <r>
      <rPr>
        <b/>
        <sz val="10"/>
        <color theme="1"/>
        <rFont val="Calibri"/>
        <family val="2"/>
        <scheme val="minor"/>
      </rPr>
      <t>Assesses</t>
    </r>
    <r>
      <rPr>
        <sz val="10"/>
        <color theme="1"/>
        <rFont val="Calibri"/>
        <family val="2"/>
        <scheme val="minor"/>
      </rPr>
      <t xml:space="preserve"> - Assesses
</t>
    </r>
    <r>
      <rPr>
        <b/>
        <sz val="10"/>
        <color theme="1"/>
        <rFont val="Calibri"/>
        <family val="2"/>
        <scheme val="minor"/>
      </rPr>
      <t>Teaches</t>
    </r>
    <r>
      <rPr>
        <sz val="10"/>
        <color theme="1"/>
        <rFont val="Calibri"/>
        <family val="2"/>
        <scheme val="minor"/>
      </rPr>
      <t xml:space="preserve"> - Teaches
</t>
    </r>
    <r>
      <rPr>
        <b/>
        <sz val="10"/>
        <color theme="1"/>
        <rFont val="Calibri"/>
        <family val="2"/>
        <scheme val="minor"/>
      </rPr>
      <t>Requires</t>
    </r>
    <r>
      <rPr>
        <sz val="10"/>
        <color theme="1"/>
        <rFont val="Calibri"/>
        <family val="2"/>
        <scheme val="minor"/>
      </rPr>
      <t xml:space="preserve"> - Requires
</t>
    </r>
    <r>
      <rPr>
        <b/>
        <sz val="10"/>
        <color theme="1"/>
        <rFont val="Calibri"/>
        <family val="2"/>
        <scheme val="minor"/>
      </rPr>
      <t>ComplexityLevel</t>
    </r>
    <r>
      <rPr>
        <sz val="10"/>
        <color theme="1"/>
        <rFont val="Calibri"/>
        <family val="2"/>
        <scheme val="minor"/>
      </rPr>
      <t xml:space="preserve"> - Complexity Level
</t>
    </r>
    <r>
      <rPr>
        <b/>
        <sz val="10"/>
        <color theme="1"/>
        <rFont val="Calibri"/>
        <family val="2"/>
        <scheme val="minor"/>
      </rPr>
      <t>ReadingLevel</t>
    </r>
    <r>
      <rPr>
        <sz val="10"/>
        <color theme="1"/>
        <rFont val="Calibri"/>
        <family val="2"/>
        <scheme val="minor"/>
      </rPr>
      <t xml:space="preserve"> - Reading Level
</t>
    </r>
    <r>
      <rPr>
        <b/>
        <sz val="10"/>
        <color theme="1"/>
        <rFont val="Calibri"/>
        <family val="2"/>
        <scheme val="minor"/>
      </rPr>
      <t>EducationalSubject</t>
    </r>
    <r>
      <rPr>
        <sz val="10"/>
        <color theme="1"/>
        <rFont val="Calibri"/>
        <family val="2"/>
        <scheme val="minor"/>
      </rPr>
      <t xml:space="preserve"> - Educational Subject
</t>
    </r>
    <r>
      <rPr>
        <b/>
        <sz val="10"/>
        <color theme="1"/>
        <rFont val="Calibri"/>
        <family val="2"/>
        <scheme val="minor"/>
      </rPr>
      <t>EducationLevel</t>
    </r>
    <r>
      <rPr>
        <sz val="10"/>
        <color theme="1"/>
        <rFont val="Calibri"/>
        <family val="2"/>
        <scheme val="minor"/>
      </rPr>
      <t xml:space="preserve"> - Education Level
</t>
    </r>
    <r>
      <rPr>
        <b/>
        <sz val="10"/>
        <color theme="1"/>
        <rFont val="Calibri"/>
        <family val="2"/>
        <scheme val="minor"/>
      </rPr>
      <t>Precedes</t>
    </r>
    <r>
      <rPr>
        <sz val="10"/>
        <color theme="1"/>
        <rFont val="Calibri"/>
        <family val="2"/>
        <scheme val="minor"/>
      </rPr>
      <t xml:space="preserve"> - Precedes
</t>
    </r>
    <r>
      <rPr>
        <b/>
        <sz val="10"/>
        <color theme="1"/>
        <rFont val="Calibri"/>
        <family val="2"/>
        <scheme val="minor"/>
      </rPr>
      <t>Follows</t>
    </r>
    <r>
      <rPr>
        <sz val="10"/>
        <color theme="1"/>
        <rFont val="Calibri"/>
        <family val="2"/>
        <scheme val="minor"/>
      </rPr>
      <t xml:space="preserve"> - Follows
</t>
    </r>
    <r>
      <rPr>
        <b/>
        <sz val="10"/>
        <color theme="1"/>
        <rFont val="Calibri"/>
        <family val="2"/>
        <scheme val="minor"/>
      </rPr>
      <t>IsConcurrentTo</t>
    </r>
    <r>
      <rPr>
        <sz val="10"/>
        <color theme="1"/>
        <rFont val="Calibri"/>
        <family val="2"/>
        <scheme val="minor"/>
      </rPr>
      <t xml:space="preserve"> - Is Concurrent To
</t>
    </r>
  </si>
  <si>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t>
  </si>
  <si>
    <t>000869</t>
  </si>
  <si>
    <t>Learning Standard Item Association Type</t>
  </si>
  <si>
    <t>CompetencyAssociationType</t>
  </si>
  <si>
    <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</si>
  <si>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Competency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</si>
  <si>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</si>
  <si>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</si>
  <si>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</si>
  <si>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</si>
  <si>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Association Weight</t>
  </si>
  <si>
    <t>CompetencyAssociationWeight</t>
  </si>
  <si>
    <t>Competency Definition Blooms Taxonomy Domain</t>
  </si>
  <si>
    <t>Classification of the Competency Definition using Bloom's Taxonomy Domains. </t>
  </si>
  <si>
    <r>
      <t>Cognitive</t>
    </r>
    <r>
      <rPr>
        <sz val="10"/>
        <color theme="1"/>
        <rFont val="Calibri"/>
        <family val="2"/>
        <scheme val="minor"/>
      </rPr>
      <t xml:space="preserve"> - Cognitive
</t>
    </r>
    <r>
      <rPr>
        <b/>
        <sz val="10"/>
        <color theme="1"/>
        <rFont val="Calibri"/>
        <family val="2"/>
        <scheme val="minor"/>
      </rPr>
      <t>Affective</t>
    </r>
    <r>
      <rPr>
        <sz val="10"/>
        <color theme="1"/>
        <rFont val="Calibri"/>
        <family val="2"/>
        <scheme val="minor"/>
      </rPr>
      <t xml:space="preserve"> - Affective
</t>
    </r>
    <r>
      <rPr>
        <b/>
        <sz val="10"/>
        <color theme="1"/>
        <rFont val="Calibri"/>
        <family val="2"/>
        <scheme val="minor"/>
      </rPr>
      <t>Psychomotor</t>
    </r>
    <r>
      <rPr>
        <sz val="10"/>
        <color theme="1"/>
        <rFont val="Calibri"/>
        <family val="2"/>
        <scheme val="minor"/>
      </rPr>
      <t xml:space="preserve"> - Psychomotor
</t>
    </r>
  </si>
  <si>
    <t>Competencies -&gt; Competency Definition</t>
  </si>
  <si>
    <t>000875</t>
  </si>
  <si>
    <t>Learning Standard Item Blooms Taxonomy Domain, Competency Item Blooms Taxonomy Domain</t>
  </si>
  <si>
    <t>CompetencyDefinitionBloomsTaxonomyDomain</t>
  </si>
  <si>
    <t>Competency Definition Code</t>
  </si>
  <si>
    <t>A human-referenceable code designated by the publisher to identify the item in the hierarchy of competency definitions.</t>
  </si>
  <si>
    <t>Competencies -&gt; Competency Definition
K12 -&gt; K12 Student -&gt; Individualized Program -&gt; Goal
K12 -&gt; K12 Student -&gt; Individualized Program -&gt; Progress Report -&gt; Goal</t>
  </si>
  <si>
    <t>For example: "M.1.N.3" The code is usually not globally unique and usually has embedded meaning such as a number that represents a grade/level and letters that represent content strands.</t>
  </si>
  <si>
    <t>000692</t>
  </si>
  <si>
    <t>Learning Standard Item Code, Competency Item Code</t>
  </si>
  <si>
    <t>CompetencyDefinitionCode</t>
  </si>
  <si>
    <t>Competency Definition Concept Keyword</t>
  </si>
  <si>
    <t>The significant topicality of the competency definition using free-text keywords and phrases.</t>
  </si>
  <si>
    <t>000887</t>
  </si>
  <si>
    <t>Learning Standard Item Concept Keyword, Competency Item Concept Keyword</t>
  </si>
  <si>
    <t>CompetencyDefinitionConceptKeyword</t>
  </si>
  <si>
    <t>Competency Definition Concept Term</t>
  </si>
  <si>
    <t>The topicality of the competency definition, e.g. "Pythagorean Theorem," "Trigonometric functions," "Forces and energy," "Scientific method," "Oral history," etc.</t>
  </si>
  <si>
    <t>000888</t>
  </si>
  <si>
    <t>Learning Standard Item Concept Term, Competency Item Concept Term</t>
  </si>
  <si>
    <t>CompetencyDefinitionConceptTerm</t>
  </si>
  <si>
    <t>Competency Definition Current Version Indicator</t>
  </si>
  <si>
    <t>Indicates that this is the most current version of the Competency Definition.</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</si>
  <si>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t>
  </si>
  <si>
    <t>001525</t>
  </si>
  <si>
    <t>Learning Standard Item Current Version Indicator, Competency Item Current Version Indicator</t>
  </si>
  <si>
    <t>CompetencyDefinitionCurrentVersionIndicator</t>
  </si>
  <si>
    <t>Competency Definition Education Level</t>
  </si>
  <si>
    <t>The education level, grade level or primary instructional level at which a Competency Definition is intended.</t>
  </si>
  <si>
    <r>
      <t>01043</t>
    </r>
    <r>
      <rPr>
        <sz val="10"/>
        <color theme="1"/>
        <rFont val="Calibri"/>
        <family val="2"/>
        <scheme val="minor"/>
      </rPr>
      <t xml:space="preserve"> - No school completed 
</t>
    </r>
    <r>
      <rPr>
        <b/>
        <sz val="10"/>
        <color theme="1"/>
        <rFont val="Calibri"/>
        <family val="2"/>
        <scheme val="minor"/>
      </rPr>
      <t>00788</t>
    </r>
    <r>
      <rPr>
        <sz val="10"/>
        <color theme="1"/>
        <rFont val="Calibri"/>
        <family val="2"/>
        <scheme val="minor"/>
      </rPr>
      <t xml:space="preserve"> - Preschool 
</t>
    </r>
    <r>
      <rPr>
        <b/>
        <sz val="10"/>
        <color theme="1"/>
        <rFont val="Calibri"/>
        <family val="2"/>
        <scheme val="minor"/>
      </rPr>
      <t>00805</t>
    </r>
    <r>
      <rPr>
        <sz val="10"/>
        <color theme="1"/>
        <rFont val="Calibri"/>
        <family val="2"/>
        <scheme val="minor"/>
      </rPr>
      <t xml:space="preserve"> - Kindergarten 
</t>
    </r>
    <r>
      <rPr>
        <b/>
        <sz val="10"/>
        <color theme="1"/>
        <rFont val="Calibri"/>
        <family val="2"/>
        <scheme val="minor"/>
      </rPr>
      <t>00790</t>
    </r>
    <r>
      <rPr>
        <sz val="10"/>
        <color theme="1"/>
        <rFont val="Calibri"/>
        <family val="2"/>
        <scheme val="minor"/>
      </rPr>
      <t xml:space="preserve"> - First grade 
</t>
    </r>
    <r>
      <rPr>
        <b/>
        <sz val="10"/>
        <color theme="1"/>
        <rFont val="Calibri"/>
        <family val="2"/>
        <scheme val="minor"/>
      </rPr>
      <t>00791</t>
    </r>
    <r>
      <rPr>
        <sz val="10"/>
        <color theme="1"/>
        <rFont val="Calibri"/>
        <family val="2"/>
        <scheme val="minor"/>
      </rPr>
      <t xml:space="preserve"> - Second grade 
</t>
    </r>
    <r>
      <rPr>
        <b/>
        <sz val="10"/>
        <color theme="1"/>
        <rFont val="Calibri"/>
        <family val="2"/>
        <scheme val="minor"/>
      </rPr>
      <t>00792</t>
    </r>
    <r>
      <rPr>
        <sz val="10"/>
        <color theme="1"/>
        <rFont val="Calibri"/>
        <family val="2"/>
        <scheme val="minor"/>
      </rPr>
      <t xml:space="preserve"> - Third grade 
</t>
    </r>
    <r>
      <rPr>
        <b/>
        <sz val="10"/>
        <color theme="1"/>
        <rFont val="Calibri"/>
        <family val="2"/>
        <scheme val="minor"/>
      </rPr>
      <t>00793</t>
    </r>
    <r>
      <rPr>
        <sz val="10"/>
        <color theme="1"/>
        <rFont val="Calibri"/>
        <family val="2"/>
        <scheme val="minor"/>
      </rPr>
      <t xml:space="preserve"> - Fourth grade 
</t>
    </r>
    <r>
      <rPr>
        <b/>
        <sz val="10"/>
        <color theme="1"/>
        <rFont val="Calibri"/>
        <family val="2"/>
        <scheme val="minor"/>
      </rPr>
      <t>00794</t>
    </r>
    <r>
      <rPr>
        <sz val="10"/>
        <color theme="1"/>
        <rFont val="Calibri"/>
        <family val="2"/>
        <scheme val="minor"/>
      </rPr>
      <t xml:space="preserve"> - Fifth grade 
</t>
    </r>
    <r>
      <rPr>
        <b/>
        <sz val="10"/>
        <color theme="1"/>
        <rFont val="Calibri"/>
        <family val="2"/>
        <scheme val="minor"/>
      </rPr>
      <t>00795</t>
    </r>
    <r>
      <rPr>
        <sz val="10"/>
        <color theme="1"/>
        <rFont val="Calibri"/>
        <family val="2"/>
        <scheme val="minor"/>
      </rPr>
      <t xml:space="preserve"> - Sixth grade 
</t>
    </r>
    <r>
      <rPr>
        <b/>
        <sz val="10"/>
        <color theme="1"/>
        <rFont val="Calibri"/>
        <family val="2"/>
        <scheme val="minor"/>
      </rPr>
      <t>00796</t>
    </r>
    <r>
      <rPr>
        <sz val="10"/>
        <color theme="1"/>
        <rFont val="Calibri"/>
        <family val="2"/>
        <scheme val="minor"/>
      </rPr>
      <t xml:space="preserve"> - Seventh grade 
</t>
    </r>
    <r>
      <rPr>
        <b/>
        <sz val="10"/>
        <color theme="1"/>
        <rFont val="Calibri"/>
        <family val="2"/>
        <scheme val="minor"/>
      </rPr>
      <t>00798</t>
    </r>
    <r>
      <rPr>
        <sz val="10"/>
        <color theme="1"/>
        <rFont val="Calibri"/>
        <family val="2"/>
        <scheme val="minor"/>
      </rPr>
      <t xml:space="preserve"> - Eighth grade 
</t>
    </r>
    <r>
      <rPr>
        <b/>
        <sz val="10"/>
        <color theme="1"/>
        <rFont val="Calibri"/>
        <family val="2"/>
        <scheme val="minor"/>
      </rPr>
      <t>00799</t>
    </r>
    <r>
      <rPr>
        <sz val="10"/>
        <color theme="1"/>
        <rFont val="Calibri"/>
        <family val="2"/>
        <scheme val="minor"/>
      </rPr>
      <t xml:space="preserve"> - Ninth grade 
</t>
    </r>
    <r>
      <rPr>
        <b/>
        <sz val="10"/>
        <color theme="1"/>
        <rFont val="Calibri"/>
        <family val="2"/>
        <scheme val="minor"/>
      </rPr>
      <t>00800</t>
    </r>
    <r>
      <rPr>
        <sz val="10"/>
        <color theme="1"/>
        <rFont val="Calibri"/>
        <family val="2"/>
        <scheme val="minor"/>
      </rPr>
      <t xml:space="preserve"> - Tenth grade 
</t>
    </r>
    <r>
      <rPr>
        <b/>
        <sz val="10"/>
        <color theme="1"/>
        <rFont val="Calibri"/>
        <family val="2"/>
        <scheme val="minor"/>
      </rPr>
      <t>00801</t>
    </r>
    <r>
      <rPr>
        <sz val="10"/>
        <color theme="1"/>
        <rFont val="Calibri"/>
        <family val="2"/>
        <scheme val="minor"/>
      </rPr>
      <t xml:space="preserve"> - Eleventh Grade 
</t>
    </r>
    <r>
      <rPr>
        <b/>
        <sz val="10"/>
        <color theme="1"/>
        <rFont val="Calibri"/>
        <family val="2"/>
        <scheme val="minor"/>
      </rPr>
      <t>01809</t>
    </r>
    <r>
      <rPr>
        <sz val="10"/>
        <color theme="1"/>
        <rFont val="Calibri"/>
        <family val="2"/>
        <scheme val="minor"/>
      </rPr>
      <t xml:space="preserve"> - 12th grade, no diploma 
</t>
    </r>
    <r>
      <rPr>
        <b/>
        <sz val="10"/>
        <color theme="1"/>
        <rFont val="Calibri"/>
        <family val="2"/>
        <scheme val="minor"/>
      </rPr>
      <t>01044</t>
    </r>
    <r>
      <rPr>
        <sz val="10"/>
        <color theme="1"/>
        <rFont val="Calibri"/>
        <family val="2"/>
        <scheme val="minor"/>
      </rPr>
      <t xml:space="preserve"> - High school diploma 
</t>
    </r>
    <r>
      <rPr>
        <b/>
        <sz val="10"/>
        <color theme="1"/>
        <rFont val="Calibri"/>
        <family val="2"/>
        <scheme val="minor"/>
      </rPr>
      <t>02408</t>
    </r>
    <r>
      <rPr>
        <sz val="10"/>
        <color theme="1"/>
        <rFont val="Calibri"/>
        <family val="2"/>
        <scheme val="minor"/>
      </rPr>
      <t xml:space="preserve"> - High school completers (e.g., certificate of attendance) 
</t>
    </r>
    <r>
      <rPr>
        <b/>
        <sz val="10"/>
        <color theme="1"/>
        <rFont val="Calibri"/>
        <family val="2"/>
        <scheme val="minor"/>
      </rPr>
      <t>02409</t>
    </r>
    <r>
      <rPr>
        <sz val="10"/>
        <color theme="1"/>
        <rFont val="Calibri"/>
        <family val="2"/>
        <scheme val="minor"/>
      </rPr>
      <t xml:space="preserve"> - High school equivalency (e.g., GED) 
</t>
    </r>
    <r>
      <rPr>
        <b/>
        <sz val="10"/>
        <color theme="1"/>
        <rFont val="Calibri"/>
        <family val="2"/>
        <scheme val="minor"/>
      </rPr>
      <t>00819</t>
    </r>
    <r>
      <rPr>
        <sz val="10"/>
        <color theme="1"/>
        <rFont val="Calibri"/>
        <family val="2"/>
        <scheme val="minor"/>
      </rPr>
      <t xml:space="preserve"> - Career and Technical Education certificate
</t>
    </r>
    <r>
      <rPr>
        <b/>
        <sz val="10"/>
        <color theme="1"/>
        <rFont val="Calibri"/>
        <family val="2"/>
        <scheme val="minor"/>
      </rPr>
      <t>00803</t>
    </r>
    <r>
      <rPr>
        <sz val="10"/>
        <color theme="1"/>
        <rFont val="Calibri"/>
        <family val="2"/>
        <scheme val="minor"/>
      </rPr>
      <t xml:space="preserve"> - Grade 13
</t>
    </r>
    <r>
      <rPr>
        <b/>
        <sz val="10"/>
        <color theme="1"/>
        <rFont val="Calibri"/>
        <family val="2"/>
        <scheme val="minor"/>
      </rPr>
      <t>01049</t>
    </r>
    <r>
      <rPr>
        <sz val="10"/>
        <color theme="1"/>
        <rFont val="Calibri"/>
        <family val="2"/>
        <scheme val="minor"/>
      </rPr>
      <t xml:space="preserve"> - Some college but no degree 
</t>
    </r>
    <r>
      <rPr>
        <b/>
        <sz val="10"/>
        <color theme="1"/>
        <rFont val="Calibri"/>
        <family val="2"/>
        <scheme val="minor"/>
      </rPr>
      <t>01047</t>
    </r>
    <r>
      <rPr>
        <sz val="10"/>
        <color theme="1"/>
        <rFont val="Calibri"/>
        <family val="2"/>
        <scheme val="minor"/>
      </rPr>
      <t xml:space="preserve"> - Formal award, certificate or diploma (less than one year) 
</t>
    </r>
    <r>
      <rPr>
        <b/>
        <sz val="10"/>
        <color theme="1"/>
        <rFont val="Calibri"/>
        <family val="2"/>
        <scheme val="minor"/>
      </rPr>
      <t>01048</t>
    </r>
    <r>
      <rPr>
        <sz val="10"/>
        <color theme="1"/>
        <rFont val="Calibri"/>
        <family val="2"/>
        <scheme val="minor"/>
      </rPr>
      <t xml:space="preserve"> - Formal award, certificate or diploma (more than or equal to one year) 
</t>
    </r>
    <r>
      <rPr>
        <b/>
        <sz val="10"/>
        <color theme="1"/>
        <rFont val="Calibri"/>
        <family val="2"/>
        <scheme val="minor"/>
      </rPr>
      <t>01050</t>
    </r>
    <r>
      <rPr>
        <sz val="10"/>
        <color theme="1"/>
        <rFont val="Calibri"/>
        <family val="2"/>
        <scheme val="minor"/>
      </rPr>
      <t xml:space="preserve"> - Associate's degree (two years or more) 
</t>
    </r>
    <r>
      <rPr>
        <b/>
        <sz val="10"/>
        <color theme="1"/>
        <rFont val="Calibri"/>
        <family val="2"/>
        <scheme val="minor"/>
      </rPr>
      <t>73063</t>
    </r>
    <r>
      <rPr>
        <sz val="10"/>
        <color theme="1"/>
        <rFont val="Calibri"/>
        <family val="2"/>
        <scheme val="minor"/>
      </rPr>
      <t xml:space="preserve"> - Adult education certification, endorsement, or degree
</t>
    </r>
    <r>
      <rPr>
        <b/>
        <sz val="10"/>
        <color theme="1"/>
        <rFont val="Calibri"/>
        <family val="2"/>
        <scheme val="minor"/>
      </rPr>
      <t>01051</t>
    </r>
    <r>
      <rPr>
        <sz val="10"/>
        <color theme="1"/>
        <rFont val="Calibri"/>
        <family val="2"/>
        <scheme val="minor"/>
      </rPr>
      <t xml:space="preserve"> - Bachelor's (Baccalaureate) degree 
</t>
    </r>
    <r>
      <rPr>
        <b/>
        <sz val="10"/>
        <color theme="1"/>
        <rFont val="Calibri"/>
        <family val="2"/>
        <scheme val="minor"/>
      </rPr>
      <t>01054</t>
    </r>
    <r>
      <rPr>
        <sz val="10"/>
        <color theme="1"/>
        <rFont val="Calibri"/>
        <family val="2"/>
        <scheme val="minor"/>
      </rPr>
      <t xml:space="preserve"> - Master's degree (e.g., M.A., M.S., M. Eng., M.Ed., M.S.W., M.B.A., M.L.S.) 
</t>
    </r>
    <r>
      <rPr>
        <b/>
        <sz val="10"/>
        <color theme="1"/>
        <rFont val="Calibri"/>
        <family val="2"/>
        <scheme val="minor"/>
      </rPr>
      <t>01055</t>
    </r>
    <r>
      <rPr>
        <sz val="10"/>
        <color theme="1"/>
        <rFont val="Calibri"/>
        <family val="2"/>
        <scheme val="minor"/>
      </rPr>
      <t xml:space="preserve"> - Specialist's degree (e.g., Ed.S.) 
</t>
    </r>
    <r>
      <rPr>
        <b/>
        <sz val="10"/>
        <color theme="1"/>
        <rFont val="Calibri"/>
        <family val="2"/>
        <scheme val="minor"/>
      </rPr>
      <t>73081</t>
    </r>
    <r>
      <rPr>
        <sz val="10"/>
        <color theme="1"/>
        <rFont val="Calibri"/>
        <family val="2"/>
        <scheme val="minor"/>
      </rPr>
      <t xml:space="preserve"> - Post-master’s certificate
</t>
    </r>
    <r>
      <rPr>
        <b/>
        <sz val="10"/>
        <color theme="1"/>
        <rFont val="Calibri"/>
        <family val="2"/>
        <scheme val="minor"/>
      </rPr>
      <t>01052</t>
    </r>
    <r>
      <rPr>
        <sz val="10"/>
        <color theme="1"/>
        <rFont val="Calibri"/>
        <family val="2"/>
        <scheme val="minor"/>
      </rPr>
      <t xml:space="preserve"> - Graduate certificate 
</t>
    </r>
    <r>
      <rPr>
        <b/>
        <sz val="10"/>
        <color theme="1"/>
        <rFont val="Calibri"/>
        <family val="2"/>
        <scheme val="minor"/>
      </rPr>
      <t>01057</t>
    </r>
    <r>
      <rPr>
        <sz val="10"/>
        <color theme="1"/>
        <rFont val="Calibri"/>
        <family val="2"/>
        <scheme val="minor"/>
      </rPr>
      <t xml:space="preserve"> - Doctoral (Doctor's) degree 
</t>
    </r>
    <r>
      <rPr>
        <b/>
        <sz val="10"/>
        <color theme="1"/>
        <rFont val="Calibri"/>
        <family val="2"/>
        <scheme val="minor"/>
      </rPr>
      <t>01053</t>
    </r>
    <r>
      <rPr>
        <sz val="10"/>
        <color theme="1"/>
        <rFont val="Calibri"/>
        <family val="2"/>
        <scheme val="minor"/>
      </rPr>
      <t xml:space="preserve"> - First-professional degree 
</t>
    </r>
    <r>
      <rPr>
        <b/>
        <sz val="10"/>
        <color theme="1"/>
        <rFont val="Calibri"/>
        <family val="2"/>
        <scheme val="minor"/>
      </rPr>
      <t>01056</t>
    </r>
    <r>
      <rPr>
        <sz val="10"/>
        <color theme="1"/>
        <rFont val="Calibri"/>
        <family val="2"/>
        <scheme val="minor"/>
      </rPr>
      <t xml:space="preserve"> - Post-professional degree 
</t>
    </r>
    <r>
      <rPr>
        <b/>
        <sz val="10"/>
        <color theme="1"/>
        <rFont val="Calibri"/>
        <family val="2"/>
        <scheme val="minor"/>
      </rPr>
      <t>73082</t>
    </r>
    <r>
      <rPr>
        <sz val="10"/>
        <color theme="1"/>
        <rFont val="Calibri"/>
        <family val="2"/>
        <scheme val="minor"/>
      </rPr>
      <t xml:space="preserve"> - Doctor’s degree-research/scholarship
</t>
    </r>
    <r>
      <rPr>
        <b/>
        <sz val="10"/>
        <color theme="1"/>
        <rFont val="Calibri"/>
        <family val="2"/>
        <scheme val="minor"/>
      </rPr>
      <t>73083</t>
    </r>
    <r>
      <rPr>
        <sz val="10"/>
        <color theme="1"/>
        <rFont val="Calibri"/>
        <family val="2"/>
        <scheme val="minor"/>
      </rPr>
      <t xml:space="preserve"> - Doctor’s degree-professional practice
</t>
    </r>
    <r>
      <rPr>
        <b/>
        <sz val="10"/>
        <color theme="1"/>
        <rFont val="Calibri"/>
        <family val="2"/>
        <scheme val="minor"/>
      </rPr>
      <t>73084</t>
    </r>
    <r>
      <rPr>
        <sz val="10"/>
        <color theme="1"/>
        <rFont val="Calibri"/>
        <family val="2"/>
        <scheme val="minor"/>
      </rPr>
      <t xml:space="preserve"> - Doctor’s degree-other
</t>
    </r>
    <r>
      <rPr>
        <b/>
        <sz val="10"/>
        <color theme="1"/>
        <rFont val="Calibri"/>
        <family val="2"/>
        <scheme val="minor"/>
      </rPr>
      <t>73085</t>
    </r>
    <r>
      <rPr>
        <sz val="10"/>
        <color theme="1"/>
        <rFont val="Calibri"/>
        <family val="2"/>
        <scheme val="minor"/>
      </rPr>
      <t xml:space="preserve"> - Doctor’s degree-research/scholarship
</t>
    </r>
    <r>
      <rPr>
        <b/>
        <sz val="10"/>
        <color theme="1"/>
        <rFont val="Calibri"/>
        <family val="2"/>
        <scheme val="minor"/>
      </rPr>
      <t>09999</t>
    </r>
    <r>
      <rPr>
        <sz val="10"/>
        <color theme="1"/>
        <rFont val="Calibri"/>
        <family val="2"/>
        <scheme val="minor"/>
      </rPr>
      <t xml:space="preserve"> - Other
</t>
    </r>
  </si>
  <si>
    <t>More than one Learning Standard Grade Level may be associated with one Learning Standard Item.</t>
  </si>
  <si>
    <t>000725</t>
  </si>
  <si>
    <t>Learning Standard Item Education Level, Competency Item Education Level</t>
  </si>
  <si>
    <t>CompetencyDefinitionEducationLevel</t>
  </si>
  <si>
    <t>Competency Definition Identifier</t>
  </si>
  <si>
    <t>The globally unique identifier (GUID) issued by the publisher of the competency framework that uniquely identifies the definition in the hierarchy of competency definitions using a RFC 4122 compliant 32-character hexadecimal string, such as 21EC2020-3AEA-1069-A2DD-08002B30309D.</t>
  </si>
  <si>
    <t>000689</t>
  </si>
  <si>
    <t>Learning Standard Item Identifier, Competency Item Identifier</t>
  </si>
  <si>
    <t>CompetencyDefinitionIdentifier</t>
  </si>
  <si>
    <t>Competency Definition Language</t>
  </si>
  <si>
    <t>The default language of the text used for the content in the competency definition statement.</t>
  </si>
  <si>
    <t>000881</t>
  </si>
  <si>
    <t>Learning Standard Item Language, Competency Item Language</t>
  </si>
  <si>
    <t>CompetencyDefinitionLanguage</t>
  </si>
  <si>
    <t>Competency Definition License</t>
  </si>
  <si>
    <t>The full text or URL reference to a legal document giving official permission to do something with the competency definition statement.</t>
  </si>
  <si>
    <t>000883</t>
  </si>
  <si>
    <t>Learning Standard Item License, Competency Item License</t>
  </si>
  <si>
    <t>CompetencyDefinitionLicense</t>
  </si>
  <si>
    <t>Competency Definition Multiple Intelligence</t>
  </si>
  <si>
    <t>Classification of the Competency Definition using intelligences defined for Howard Earl Gardner's Theory of Multiple Intelligences.</t>
  </si>
  <si>
    <r>
      <t>Linguistic</t>
    </r>
    <r>
      <rPr>
        <sz val="10"/>
        <color theme="1"/>
        <rFont val="Calibri"/>
        <family val="2"/>
        <scheme val="minor"/>
      </rPr>
      <t xml:space="preserve"> - Linguistic
</t>
    </r>
    <r>
      <rPr>
        <b/>
        <sz val="10"/>
        <color theme="1"/>
        <rFont val="Calibri"/>
        <family val="2"/>
        <scheme val="minor"/>
      </rPr>
      <t>Logic-mathematical</t>
    </r>
    <r>
      <rPr>
        <sz val="10"/>
        <color theme="1"/>
        <rFont val="Calibri"/>
        <family val="2"/>
        <scheme val="minor"/>
      </rPr>
      <t xml:space="preserve"> - Logic-mathematical
</t>
    </r>
    <r>
      <rPr>
        <b/>
        <sz val="10"/>
        <color theme="1"/>
        <rFont val="Calibri"/>
        <family val="2"/>
        <scheme val="minor"/>
      </rPr>
      <t>Musical</t>
    </r>
    <r>
      <rPr>
        <sz val="10"/>
        <color theme="1"/>
        <rFont val="Calibri"/>
        <family val="2"/>
        <scheme val="minor"/>
      </rPr>
      <t xml:space="preserve"> - Musical
</t>
    </r>
    <r>
      <rPr>
        <b/>
        <sz val="10"/>
        <color theme="1"/>
        <rFont val="Calibri"/>
        <family val="2"/>
        <scheme val="minor"/>
      </rPr>
      <t>Spatial</t>
    </r>
    <r>
      <rPr>
        <sz val="10"/>
        <color theme="1"/>
        <rFont val="Calibri"/>
        <family val="2"/>
        <scheme val="minor"/>
      </rPr>
      <t xml:space="preserve"> - Spatial
</t>
    </r>
    <r>
      <rPr>
        <b/>
        <sz val="10"/>
        <color theme="1"/>
        <rFont val="Calibri"/>
        <family val="2"/>
        <scheme val="minor"/>
      </rPr>
      <t>BodilyKinesthetic</t>
    </r>
    <r>
      <rPr>
        <sz val="10"/>
        <color theme="1"/>
        <rFont val="Calibri"/>
        <family val="2"/>
        <scheme val="minor"/>
      </rPr>
      <t xml:space="preserve"> - Bodily/kinesthetic
</t>
    </r>
    <r>
      <rPr>
        <b/>
        <sz val="10"/>
        <color theme="1"/>
        <rFont val="Calibri"/>
        <family val="2"/>
        <scheme val="minor"/>
      </rPr>
      <t>Interpersonal</t>
    </r>
    <r>
      <rPr>
        <sz val="10"/>
        <color theme="1"/>
        <rFont val="Calibri"/>
        <family val="2"/>
        <scheme val="minor"/>
      </rPr>
      <t xml:space="preserve"> - Interpersonal
</t>
    </r>
    <r>
      <rPr>
        <b/>
        <sz val="10"/>
        <color theme="1"/>
        <rFont val="Calibri"/>
        <family val="2"/>
        <scheme val="minor"/>
      </rPr>
      <t>Intrapersonal</t>
    </r>
    <r>
      <rPr>
        <sz val="10"/>
        <color theme="1"/>
        <rFont val="Calibri"/>
        <family val="2"/>
        <scheme val="minor"/>
      </rPr>
      <t xml:space="preserve"> - Intrapersonal
</t>
    </r>
    <r>
      <rPr>
        <b/>
        <sz val="10"/>
        <color theme="1"/>
        <rFont val="Calibri"/>
        <family val="2"/>
        <scheme val="minor"/>
      </rPr>
      <t>Naturalistic</t>
    </r>
    <r>
      <rPr>
        <sz val="10"/>
        <color theme="1"/>
        <rFont val="Calibri"/>
        <family val="2"/>
        <scheme val="minor"/>
      </rPr>
      <t xml:space="preserve"> - Naturalistic
</t>
    </r>
  </si>
  <si>
    <t>000876</t>
  </si>
  <si>
    <t>Learning Standard Item Multiple Intelligence, Competency Item Multiple Intelligence</t>
  </si>
  <si>
    <t>CompetencyDefinitionMultipleIntelligence</t>
  </si>
  <si>
    <t>Competency Definition Node Accessibility Profile</t>
  </si>
  <si>
    <t>When the Competency Definition is used as a node in a learning map, this element supports alternative pathways based on a learner's accessibility profile. The type selected indicates which accessibility profile the node is designed to address.</t>
  </si>
  <si>
    <r>
      <t>Vision</t>
    </r>
    <r>
      <rPr>
        <sz val="10"/>
        <color theme="1"/>
        <rFont val="Calibri"/>
        <family val="2"/>
        <scheme val="minor"/>
      </rPr>
      <t xml:space="preserve"> - Vision
</t>
    </r>
    <r>
      <rPr>
        <b/>
        <sz val="10"/>
        <color theme="1"/>
        <rFont val="Calibri"/>
        <family val="2"/>
        <scheme val="minor"/>
      </rPr>
      <t>Hearing</t>
    </r>
    <r>
      <rPr>
        <sz val="10"/>
        <color theme="1"/>
        <rFont val="Calibri"/>
        <family val="2"/>
        <scheme val="minor"/>
      </rPr>
      <t xml:space="preserve"> - Hearing
</t>
    </r>
    <r>
      <rPr>
        <b/>
        <sz val="10"/>
        <color theme="1"/>
        <rFont val="Calibri"/>
        <family val="2"/>
        <scheme val="minor"/>
      </rPr>
      <t>Communication</t>
    </r>
    <r>
      <rPr>
        <sz val="10"/>
        <color theme="1"/>
        <rFont val="Calibri"/>
        <family val="2"/>
        <scheme val="minor"/>
      </rPr>
      <t xml:space="preserve"> - Communication
</t>
    </r>
    <r>
      <rPr>
        <b/>
        <sz val="10"/>
        <color theme="1"/>
        <rFont val="Calibri"/>
        <family val="2"/>
        <scheme val="minor"/>
      </rPr>
      <t>Mobility</t>
    </r>
    <r>
      <rPr>
        <sz val="10"/>
        <color theme="1"/>
        <rFont val="Calibri"/>
        <family val="2"/>
        <scheme val="minor"/>
      </rPr>
      <t xml:space="preserve"> - Mobility
</t>
    </r>
    <r>
      <rPr>
        <b/>
        <sz val="10"/>
        <color theme="1"/>
        <rFont val="Calibri"/>
        <family val="2"/>
        <scheme val="minor"/>
      </rPr>
      <t>General</t>
    </r>
    <r>
      <rPr>
        <sz val="10"/>
        <color theme="1"/>
        <rFont val="Calibri"/>
        <family val="2"/>
        <scheme val="minor"/>
      </rPr>
      <t xml:space="preserve"> - General
</t>
    </r>
  </si>
  <si>
    <t>001408</t>
  </si>
  <si>
    <t>Learning Standard Item Node Accessibility Profile, Competency Item Node Accessibility Profile</t>
  </si>
  <si>
    <t>CompetencyDefinitionNodeAccessibilityProfile</t>
  </si>
  <si>
    <t>Competency Definition Notes</t>
  </si>
  <si>
    <t>Information about the derivation of a Competency Definition Statement.</t>
  </si>
  <si>
    <t>001249</t>
  </si>
  <si>
    <t>Learning Standard Item Notes, Competency Item Notes</t>
  </si>
  <si>
    <t>CompetencyDefinitionNotes</t>
  </si>
  <si>
    <t>Competency Definition Parent Code</t>
  </si>
  <si>
    <t>A human-referenceable code designated by the publisher to identify the parent item in the hierarchy of competency definitions.</t>
  </si>
  <si>
    <t>000873</t>
  </si>
  <si>
    <t>Learning Standard Item Parent Code, Competency Item Parent Code</t>
  </si>
  <si>
    <t>CompetencyDefinitionParentCode</t>
  </si>
  <si>
    <t>Competency Definition Parent Identifier</t>
  </si>
  <si>
    <t>The globally unique identifier (GUID) issued by the publisher of the competency framework that uniquely identifies the parent item in the hierarchy of competency definitions using a RFC 4122 compliant 32-character hexadecimal string, such as 21EC2020-3AEA-1069-A2DD-08002B30309D.</t>
  </si>
  <si>
    <t>000872</t>
  </si>
  <si>
    <t>Learning Standard Item Parent Identifier, Competency Item Parent Identifier</t>
  </si>
  <si>
    <t>CompetencyDefinitionParentIdentifier</t>
  </si>
  <si>
    <t>Competency Definition Parent URL</t>
  </si>
  <si>
    <t>A network-resolvable Uniform Resource Locator (URL) pointing to the authoritative reference for the hierarchal parent of the competency definition.</t>
  </si>
  <si>
    <t>001094</t>
  </si>
  <si>
    <t>Learning Standard Item Parent URL, Competency Item Parent URL</t>
  </si>
  <si>
    <t>CompetencyDefinitionParentURL</t>
  </si>
  <si>
    <t>Competency Definition Prerequisite Identifier</t>
  </si>
  <si>
    <t>The unique identifier of an immediate prerequisite Competency Definition, a competency needed prior to learning this one. (Some items may have no prerequisites while others may have one or more prerequisites. This should only be used to represent the immediate predecessors in a competency-based pathway, i.e. not prerequisites of prerequisites.)</t>
  </si>
  <si>
    <t>The recommended approach is to use the entity Learning Standard Item Association instead of this data element. Learning Standard Item Association also supports associating other entities, such as Learning Resources, to learning standard items. 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</si>
  <si>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000715</t>
  </si>
  <si>
    <t>Learning Standard Item Prerequisite Identifier, Competency Item Prerequisite Identifier</t>
  </si>
  <si>
    <t>CompetencyDefinitionPrerequisiteIdentifier</t>
  </si>
  <si>
    <t>Competency Definition Previous Version Identifier</t>
  </si>
  <si>
    <t>The unique identifier of the previous version of the Competency Definition if the statement was modified.</t>
  </si>
  <si>
    <t>001524</t>
  </si>
  <si>
    <t>Learning Standard Item Previous Version Identifier, Competency Item Previous Version Identifier</t>
  </si>
  <si>
    <t>CompetencyDefinitionPreviousVersionIdentifier</t>
  </si>
  <si>
    <t>Competency Definition Sequence</t>
  </si>
  <si>
    <t>A set of one or more alphanumeric characters and/or symbols denoting the positioning of the statement being described in a sequential listing of statements.</t>
  </si>
  <si>
    <t>Based on ASN's ListID. (add reference URL)</t>
  </si>
  <si>
    <t>001570</t>
  </si>
  <si>
    <t>Learning Standard Item Sequence, Competency Item Sequence</t>
  </si>
  <si>
    <t>CompetencyDefinitionSequence</t>
  </si>
  <si>
    <t>Competency Definition Short Name</t>
  </si>
  <si>
    <t>The short name or label for the competency definition or its node in a competency framework.</t>
  </si>
  <si>
    <t>Updated the element name and definition to reflect a broader use of the element by stakeholders.</t>
  </si>
  <si>
    <t>001409</t>
  </si>
  <si>
    <t>Learning Standard Item Node Name, Competency Item Node Name</t>
  </si>
  <si>
    <t>CompetencyDefinitionShortName</t>
  </si>
  <si>
    <t>Competency Definition Statement</t>
  </si>
  <si>
    <t>The text of the statement. The textual content that either describes a specific competency or describes a less granular group of competencies within the taxonomy of the competency framework.</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</si>
  <si>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</si>
  <si>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000690</t>
  </si>
  <si>
    <t>Learning Standard Item Statement, Competency Item Statement</t>
  </si>
  <si>
    <t>CompetencyDefinitionStatement</t>
  </si>
  <si>
    <t>Competency Definition Testability Type</t>
  </si>
  <si>
    <t>Indicates if the competency described in the Competency Definition Statement can be tested using one or more assessment items.</t>
  </si>
  <si>
    <r>
      <t>SingleIndicator</t>
    </r>
    <r>
      <rPr>
        <sz val="10"/>
        <color theme="1"/>
        <rFont val="Calibri"/>
        <family val="2"/>
        <scheme val="minor"/>
      </rPr>
      <t xml:space="preserve"> - Single Indicator
</t>
    </r>
    <r>
      <rPr>
        <b/>
        <sz val="10"/>
        <color theme="1"/>
        <rFont val="Calibri"/>
        <family val="2"/>
        <scheme val="minor"/>
      </rPr>
      <t>MultipleIndicator</t>
    </r>
    <r>
      <rPr>
        <sz val="10"/>
        <color theme="1"/>
        <rFont val="Calibri"/>
        <family val="2"/>
        <scheme val="minor"/>
      </rPr>
      <t xml:space="preserve"> - Multiple Indicator
</t>
    </r>
    <r>
      <rPr>
        <b/>
        <sz val="10"/>
        <color theme="1"/>
        <rFont val="Calibri"/>
        <family val="2"/>
        <scheme val="minor"/>
      </rPr>
      <t>MultipleCompetency</t>
    </r>
    <r>
      <rPr>
        <sz val="10"/>
        <color theme="1"/>
        <rFont val="Calibri"/>
        <family val="2"/>
        <scheme val="minor"/>
      </rPr>
      <t xml:space="preserve"> - Multiple Competency
</t>
    </r>
    <r>
      <rPr>
        <b/>
        <sz val="10"/>
        <color theme="1"/>
        <rFont val="Calibri"/>
        <family val="2"/>
        <scheme val="minor"/>
      </rPr>
      <t>CannotBeAssessed</t>
    </r>
    <r>
      <rPr>
        <sz val="10"/>
        <color theme="1"/>
        <rFont val="Calibri"/>
        <family val="2"/>
        <scheme val="minor"/>
      </rPr>
      <t xml:space="preserve"> - Cannot be assessed
</t>
    </r>
  </si>
  <si>
    <t>001411</t>
  </si>
  <si>
    <t>Learning Standard Item Testability Type, Competency Item Testability Type</t>
  </si>
  <si>
    <t>CompetencyDefinitionTestabilityType</t>
  </si>
  <si>
    <t>Competency Definition Text Complexity Maximum Value</t>
  </si>
  <si>
    <t>The maximum value in the range of text complexity applicable to a language competency definition using the scaling system defined by Text Complexity System, e.g. Lexile(tm).</t>
  </si>
  <si>
    <t>001155</t>
  </si>
  <si>
    <t>Learning Standard Item Text Complexity Maximum Value, Competency Item Text Complexity Maximum Value</t>
  </si>
  <si>
    <t>CompetencyDefinitionTextComplexityMaximumValue</t>
  </si>
  <si>
    <t>Competency Definition Text Complexity Minimum Value</t>
  </si>
  <si>
    <t>The minimum value in the range of text complexity applicable to a language competency definition using the scaling system defined by Text Complexity System, e.g. Lexile(tm).</t>
  </si>
  <si>
    <t>001154</t>
  </si>
  <si>
    <t>Learning Standard Item Text Complexity Minimum Value, Competency Item Text Complexity Minimum Value</t>
  </si>
  <si>
    <t>CompetencyDefinitionTextComplexityMinimumValue</t>
  </si>
  <si>
    <t>Competency Definition Text Complexity System</t>
  </si>
  <si>
    <t>The scaling system used to specify the text complexity of a competency item.</t>
  </si>
  <si>
    <t>000910</t>
  </si>
  <si>
    <t>Learning Standard Item Text Complexity System, Competency Item Text Complexity System</t>
  </si>
  <si>
    <t>CompetencyDefinitionTextComplexitySystem</t>
  </si>
  <si>
    <t>Competency Definition Type</t>
  </si>
  <si>
    <t>The class of statement in the structure of statements in the Competency Framework according to a controlled vocabulary, specified as a textual label.</t>
  </si>
  <si>
    <t>This property points to a class, not to instances of that class. For example, where two competencies in a competency framework have been identified respectively as \"Strand: Renaissance\" and \"Strand: Social history\", the competencyCategory for both these competencies is \"Strand\"."</t>
  </si>
  <si>
    <t>000691</t>
  </si>
  <si>
    <t>Learning Standard Item Type, Competency Item Type</t>
  </si>
  <si>
    <t>CompetencyDefinitionType</t>
  </si>
  <si>
    <t>Competency Definition Type URL</t>
  </si>
  <si>
    <t>The class of statement in the structure of statements in the Competency Framework according to a controlled vocabulary, specified as a URI referencing a controlled vocabulary.</t>
  </si>
  <si>
    <t>This property points to a class, not to instances of that class. For example, where two competencies in a competency framework have been identified respectively as \"Strand: Renaissance\" and \"Strand: Social history\", the competency category for both these competencies is \"Strand\"."</t>
  </si>
  <si>
    <t>001757</t>
  </si>
  <si>
    <t>Competency Item Type URL</t>
  </si>
  <si>
    <t>CompetencyDefinitionTypeURL</t>
  </si>
  <si>
    <t>Competency Definition Typical Age Range Maximum</t>
  </si>
  <si>
    <t>The typical maximum age at which a person learns the defined competency.</t>
  </si>
  <si>
    <t>Use this element with "Competency Definition Typical Age Range Minimum" instead of "Competency Item Typical Age Range"</t>
  </si>
  <si>
    <t>001909</t>
  </si>
  <si>
    <t>CompetencyDefinitionTypicalAgeRangeMaximum</t>
  </si>
  <si>
    <t>Competency Definition Typical Age Range Minimum</t>
  </si>
  <si>
    <t>The typical minimum age at which a person learns the defined competency.</t>
  </si>
  <si>
    <t>Use this element with "Competency Definition Typical Age Range Maximum" instead of "Competency Item Typical Age Range"</t>
  </si>
  <si>
    <t>001908</t>
  </si>
  <si>
    <t>CompetencyDefinitionTypicalAgeRangeMinimum</t>
  </si>
  <si>
    <t>Competency Definition URL</t>
  </si>
  <si>
    <t>A network-resolvable Uniform Resource Locator (URL) pointing to the authoritative reference for the competency definition.</t>
  </si>
  <si>
    <t>Competencies -&gt; Competency Definition
Credentials -&gt; Credential Definition
K12 -&gt; K12 Student -&gt; Individualized Program -&gt; Goal
K12 -&gt; K12 Student -&gt; Individualized Program -&gt; Progress Report -&gt; Goal</t>
  </si>
  <si>
    <t>000874</t>
  </si>
  <si>
    <t>Learning Standard Item URL, Competency Item URL</t>
  </si>
  <si>
    <t>CompetencyDefinitionURL</t>
  </si>
  <si>
    <t>Competency Definition Valid End Date</t>
  </si>
  <si>
    <t>The year, month and day the competency definition was deprecated/replaced by the jurisdiction in which it was intended to apply.</t>
  </si>
  <si>
    <t>When not specified, the entity is assumed to contain the most current version of the specified competency definition. All CEDS Exit and End Dates represent the last day of the date range specified, in this case the last day the competency definition was valid.</t>
  </si>
  <si>
    <t>001511</t>
  </si>
  <si>
    <t>Learning Standard Item Valid End Date, Competency Item Valid End Date</t>
  </si>
  <si>
    <t>CompetencyDefinitionValidEndDate</t>
  </si>
  <si>
    <t>Competency Definition Valid Start Date</t>
  </si>
  <si>
    <t>The year, month and day the competency definition was adopted by the jurisdiction in which it was intended to apply.</t>
  </si>
  <si>
    <t>001512</t>
  </si>
  <si>
    <t>Learning Standard Item Valid Start Date, Competency Item Valid Start Date</t>
  </si>
  <si>
    <t>CompetencyDefinitionValidStartDate</t>
  </si>
  <si>
    <t>Competency Definition Version</t>
  </si>
  <si>
    <t>A label assigned by the publisher indicating the version of the competency framework statement.</t>
  </si>
  <si>
    <t>001250</t>
  </si>
  <si>
    <t>Learning Standard Item Version, Competency Item Version</t>
  </si>
  <si>
    <t>CompetencyDefinitionVersion</t>
  </si>
  <si>
    <t>Competency Framework Creator</t>
  </si>
  <si>
    <t>The person or organization chiefly responsible for the intellectual content of the competency framework.</t>
  </si>
  <si>
    <t>Competencies -&gt; Competency Framework</t>
  </si>
  <si>
    <t>Implementations may choose to model this element as a repeatable field to support the case of multiple authors. Others may just use a comma delimited string for multiple authors.</t>
  </si>
  <si>
    <t>000696</t>
  </si>
  <si>
    <t>Learning Standard Document Creator</t>
  </si>
  <si>
    <t>CompetencyFrameworkCreator</t>
  </si>
  <si>
    <t>Competency Framework Description</t>
  </si>
  <si>
    <t>A textual description of the scope and contents of the competency framework.</t>
  </si>
  <si>
    <t>000697</t>
  </si>
  <si>
    <t>Learning Standard Document Description</t>
  </si>
  <si>
    <t>CompetencyFrameworkDescription</t>
  </si>
  <si>
    <t>Competency Framework Identifier URI</t>
  </si>
  <si>
    <t>An unambiguous reference to the competency framework using a network-resolvable URI.</t>
  </si>
  <si>
    <t>Competencies -&gt; Competency Definition
Competencies -&gt; Competency Framework</t>
  </si>
  <si>
    <t>000693</t>
  </si>
  <si>
    <t>Learning Standard Document Identifier URI</t>
  </si>
  <si>
    <t>CompetencyFrameworkIdentifierURI</t>
  </si>
  <si>
    <t>Competency Framework Jurisdiction</t>
  </si>
  <si>
    <t>A legal, quasi-legal, organizational or institutional domain of the entity mandating the use of the statement--e.g., California.</t>
  </si>
  <si>
    <t>000699</t>
  </si>
  <si>
    <t>Learning Standard Document Jurisdiction</t>
  </si>
  <si>
    <t>CompetencyFrameworkJurisdiction</t>
  </si>
  <si>
    <t>Competency Framework Language</t>
  </si>
  <si>
    <t>The default language of the text used for the content in the competency framework.</t>
  </si>
  <si>
    <t>000880</t>
  </si>
  <si>
    <t>Learning Standard Document Language</t>
  </si>
  <si>
    <t>CompetencyFrameworkLanguage</t>
  </si>
  <si>
    <t>Competency Framework License</t>
  </si>
  <si>
    <t>A legal document giving official permission to do something with the competency framework.</t>
  </si>
  <si>
    <t>000882</t>
  </si>
  <si>
    <t>Learning Standard Document License</t>
  </si>
  <si>
    <t>CompetencyFrameworkLicense</t>
  </si>
  <si>
    <t>Competency Framework Publication Date</t>
  </si>
  <si>
    <t>The date on which this content was first published.</t>
  </si>
  <si>
    <t>This may or may not be different from the Learning Standard Document Valid Start Date.</t>
  </si>
  <si>
    <t>001569</t>
  </si>
  <si>
    <t>Learning Standard Document Publication Date</t>
  </si>
  <si>
    <t>CompetencyFrameworkPublicationDate</t>
  </si>
  <si>
    <t>Competency Framework Publication Status</t>
  </si>
  <si>
    <t>The publication status of the competency framework.</t>
  </si>
  <si>
    <r>
      <t>Adopted</t>
    </r>
    <r>
      <rPr>
        <sz val="10"/>
        <color theme="1"/>
        <rFont val="Calibri"/>
        <family val="2"/>
        <scheme val="minor"/>
      </rPr>
      <t xml:space="preserve"> - Adopted
</t>
    </r>
    <r>
      <rPr>
        <b/>
        <sz val="10"/>
        <color theme="1"/>
        <rFont val="Calibri"/>
        <family val="2"/>
        <scheme val="minor"/>
      </rPr>
      <t>Draft</t>
    </r>
    <r>
      <rPr>
        <sz val="10"/>
        <color theme="1"/>
        <rFont val="Calibri"/>
        <family val="2"/>
        <scheme val="minor"/>
      </rPr>
      <t xml:space="preserve"> - Draft
</t>
    </r>
    <r>
      <rPr>
        <b/>
        <sz val="10"/>
        <color theme="1"/>
        <rFont val="Calibri"/>
        <family val="2"/>
        <scheme val="minor"/>
      </rPr>
      <t>Published</t>
    </r>
    <r>
      <rPr>
        <sz val="10"/>
        <color theme="1"/>
        <rFont val="Calibri"/>
        <family val="2"/>
        <scheme val="minor"/>
      </rPr>
      <t xml:space="preserve"> - Published
</t>
    </r>
    <r>
      <rPr>
        <b/>
        <sz val="10"/>
        <color theme="1"/>
        <rFont val="Calibri"/>
        <family val="2"/>
        <scheme val="minor"/>
      </rPr>
      <t>Deprecated</t>
    </r>
    <r>
      <rPr>
        <sz val="10"/>
        <color theme="1"/>
        <rFont val="Calibri"/>
        <family val="2"/>
        <scheme val="minor"/>
      </rPr>
      <t xml:space="preserve"> - Deprecated
</t>
    </r>
    <r>
      <rPr>
        <b/>
        <sz val="10"/>
        <color theme="1"/>
        <rFont val="Calibri"/>
        <family val="2"/>
        <scheme val="minor"/>
      </rPr>
      <t>Unknown</t>
    </r>
    <r>
      <rPr>
        <sz val="10"/>
        <color theme="1"/>
        <rFont val="Calibri"/>
        <family val="2"/>
        <scheme val="minor"/>
      </rPr>
      <t xml:space="preserve"> - Unknown
</t>
    </r>
  </si>
  <si>
    <t>000698</t>
  </si>
  <si>
    <t>Learning Standard Document Publication Status</t>
  </si>
  <si>
    <t>CompetencyFrameworkPublicationStatus</t>
  </si>
  <si>
    <t>Competency Framework Publisher</t>
  </si>
  <si>
    <t>The entity responsible for making the competency framework available.</t>
  </si>
  <si>
    <t>000884</t>
  </si>
  <si>
    <t>Learning Standard Document Publisher</t>
  </si>
  <si>
    <t>CompetencyFrameworkPublisher</t>
  </si>
  <si>
    <t>Competency Framework Rights</t>
  </si>
  <si>
    <t>The information about rights held in and over the resource.</t>
  </si>
  <si>
    <t>000885</t>
  </si>
  <si>
    <t>Learning Standard Document Rights</t>
  </si>
  <si>
    <t>CompetencyFrameworkRights</t>
  </si>
  <si>
    <t>Competency Framework Rights Holder</t>
  </si>
  <si>
    <t>The person or organization owning or managing rights over the competency framework.</t>
  </si>
  <si>
    <t>000886</t>
  </si>
  <si>
    <t>Learning Standard Document Rights Holder</t>
  </si>
  <si>
    <t>CompetencyFrameworkRightsHolder</t>
  </si>
  <si>
    <t>Competency Framework Source URL</t>
  </si>
  <si>
    <t>A URL that resolves to the original or authoritative competency framework document.</t>
  </si>
  <si>
    <t>This is the URL of a human-readable artifact. Often this document is published in html and/or pdf and is used by the standard setting entity as part of its approval process.</t>
  </si>
  <si>
    <t>001907</t>
  </si>
  <si>
    <t>CompetencyFrameworkSourceURL</t>
  </si>
  <si>
    <t>Competency Framework Subject</t>
  </si>
  <si>
    <t>The topic or academic subject of the competency framework.</t>
  </si>
  <si>
    <t>000702</t>
  </si>
  <si>
    <t>Learning Standard Document Subject</t>
  </si>
  <si>
    <t>CompetencyFrameworkSubject</t>
  </si>
  <si>
    <t>Competency Framework Title</t>
  </si>
  <si>
    <t>The name of the competency framework.</t>
  </si>
  <si>
    <t>000694</t>
  </si>
  <si>
    <t>Learning Standard Document Title</t>
  </si>
  <si>
    <t>CompetencyFrameworkTitle</t>
  </si>
  <si>
    <t>Competency Framework Valid End Date</t>
  </si>
  <si>
    <t>The year, month and day the competency framework was deprecated/replaced by the jurisdiction in which it was intended to apply.</t>
  </si>
  <si>
    <t>000701</t>
  </si>
  <si>
    <t>Learning Standard Document Valid End Date</t>
  </si>
  <si>
    <t>CompetencyFrameworkValidEndDate</t>
  </si>
  <si>
    <t>Competency Framework Valid Start Date</t>
  </si>
  <si>
    <t>The year, month and day the competency framework was adopted by the jurisdiction in which it was intended to apply.</t>
  </si>
  <si>
    <t>000700</t>
  </si>
  <si>
    <t>Learning Standard Document Valid Start Date</t>
  </si>
  <si>
    <t>CompetencyFrameworkValidStartDate</t>
  </si>
  <si>
    <t>Competency Framework Version</t>
  </si>
  <si>
    <t>Defines the revision of the competency framework as a version number or date.</t>
  </si>
  <si>
    <t>000695</t>
  </si>
  <si>
    <t>Learning Standard Document Version</t>
  </si>
  <si>
    <t>CompetencyFrameworkVersion</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</si>
  <si>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</si>
  <si>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</si>
  <si>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r>
      <t>All</t>
    </r>
    <r>
      <rPr>
        <sz val="10"/>
        <color theme="1"/>
        <rFont val="Calibri"/>
        <family val="2"/>
        <scheme val="minor"/>
      </rPr>
      <t xml:space="preserve"> - All
</t>
    </r>
    <r>
      <rPr>
        <b/>
        <sz val="10"/>
        <color theme="1"/>
        <rFont val="Calibri"/>
        <family val="2"/>
        <scheme val="minor"/>
      </rPr>
      <t>AtLeast</t>
    </r>
    <r>
      <rPr>
        <sz val="10"/>
        <color theme="1"/>
        <rFont val="Calibri"/>
        <family val="2"/>
        <scheme val="minor"/>
      </rPr>
      <t xml:space="preserve"> - At Least
</t>
    </r>
  </si>
  <si>
    <t>Competencies -&gt; Competency Set</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</si>
  <si>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</si>
  <si>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</si>
  <si>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</si>
  <si>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</si>
  <si>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</si>
  <si>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Used to define the completion criteria when Competency Set Completion Criteria is "At Least". Not used when Competency Set Completion Criteria is "All".</t>
  </si>
  <si>
    <t>000878</t>
  </si>
  <si>
    <t>CompetencySetCompletionCriteriaThreshold</t>
  </si>
  <si>
    <t>Component or Fixture Check Date</t>
  </si>
  <si>
    <t>The month, day, and year that the condition of a system, component, equipment, or fixture was checked.</t>
  </si>
  <si>
    <t>Facilities -&gt; Facility -&gt; Condition -&gt; Component Or Fixture</t>
  </si>
  <si>
    <t>001898</t>
  </si>
  <si>
    <t>ComponentOrFixtureCheckDate</t>
  </si>
  <si>
    <t>Component or Fixture Scheduled Serviced Date</t>
  </si>
  <si>
    <t>The month, day, and year a major component, system, equipment, or fixture is scheduled to be serviced for preventive or routine maintenance.</t>
  </si>
  <si>
    <t>001900</t>
  </si>
  <si>
    <t>ComponentOrFixtureScheduledServicedDate</t>
  </si>
  <si>
    <t>Component or Fixture Serviced Date</t>
  </si>
  <si>
    <t>The month, day, and year a system, component, equipment, or fixture was serviced for repair or routine maintenance.</t>
  </si>
  <si>
    <t>001899</t>
  </si>
  <si>
    <t>ComponentOrFixtureServicedDate</t>
  </si>
  <si>
    <t>Component or Fixture Useful Life</t>
  </si>
  <si>
    <t>The anticipated time (in years) from the time of installation or service that a properly maintained system, component, equipment, or fixture is expected to operate effectively and efficiently.</t>
  </si>
  <si>
    <t>001901</t>
  </si>
  <si>
    <t>ComponentOrFixtureUsefulLife</t>
  </si>
  <si>
    <t>Comprehensive Fee</t>
  </si>
  <si>
    <t>A single fixed amount of money charged by an institution that covers tuition, required fees, room, and board. For some institutions, this amount may also cover books and supplies.</t>
  </si>
  <si>
    <t>000754</t>
  </si>
  <si>
    <t>ComprehensiveFee</t>
  </si>
  <si>
    <t>Comprehensive Support and Improvement Status</t>
  </si>
  <si>
    <t>The designation given to a school by the state for comprehensive support and improvement as part of its statewide system of annual meaningful differentiation.</t>
  </si>
  <si>
    <r>
      <t>CSI</t>
    </r>
    <r>
      <rPr>
        <sz val="10"/>
        <color theme="1"/>
        <rFont val="Calibri"/>
        <family val="2"/>
        <scheme val="minor"/>
      </rPr>
      <t xml:space="preserve"> - Comprehensive support and improvement
</t>
    </r>
    <r>
      <rPr>
        <b/>
        <sz val="10"/>
        <color theme="1"/>
        <rFont val="Calibri"/>
        <family val="2"/>
        <scheme val="minor"/>
      </rPr>
      <t>CSIEXIT</t>
    </r>
    <r>
      <rPr>
        <sz val="10"/>
        <color theme="1"/>
        <rFont val="Calibri"/>
        <family val="2"/>
        <scheme val="minor"/>
      </rPr>
      <t xml:space="preserve"> - Comprehensive support and improvement - exit status
</t>
    </r>
    <r>
      <rPr>
        <b/>
        <sz val="10"/>
        <color theme="1"/>
        <rFont val="Calibri"/>
        <family val="2"/>
        <scheme val="minor"/>
      </rPr>
      <t>NOTCSI</t>
    </r>
    <r>
      <rPr>
        <sz val="10"/>
        <color theme="1"/>
        <rFont val="Calibri"/>
        <family val="2"/>
        <scheme val="minor"/>
      </rPr>
      <t xml:space="preserve"> - Not comprehensive support and improvement
</t>
    </r>
  </si>
  <si>
    <t>001923</t>
  </si>
  <si>
    <t>ComprehensiveSupportAndImprovementStatus</t>
  </si>
  <si>
    <t>Consent to Evaluation Date</t>
  </si>
  <si>
    <t>The date the consent to evaluation occurred.</t>
  </si>
  <si>
    <t>K12 -&gt; K12 Student -&gt; Individualized Program -&gt; Eligibility -&gt; Authorization</t>
  </si>
  <si>
    <t>001727</t>
  </si>
  <si>
    <t>ConsentToEvaluationDate</t>
  </si>
  <si>
    <t>Consent to Evaluation Indicator</t>
  </si>
  <si>
    <t>Indication parent agreed to evaluate student.</t>
  </si>
  <si>
    <t>001726</t>
  </si>
  <si>
    <t>ConsentToEvaluationIndicator</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</si>
  <si>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</si>
  <si>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</si>
  <si>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</si>
  <si>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</si>
  <si>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</si>
  <si>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</si>
  <si>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</si>
  <si>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</si>
  <si>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r>
      <t>01</t>
    </r>
    <r>
      <rPr>
        <sz val="10"/>
        <color theme="1"/>
        <rFont val="Calibri"/>
        <family val="2"/>
        <scheme val="minor"/>
      </rPr>
      <t xml:space="preserve"> - Providing services for the duration of the term
</t>
    </r>
    <r>
      <rPr>
        <b/>
        <sz val="10"/>
        <color theme="1"/>
        <rFont val="Calibri"/>
        <family val="2"/>
        <scheme val="minor"/>
      </rPr>
      <t>02</t>
    </r>
    <r>
      <rPr>
        <sz val="10"/>
        <color theme="1"/>
        <rFont val="Calibri"/>
        <family val="2"/>
        <scheme val="minor"/>
      </rPr>
      <t xml:space="preserve"> - Providing services for an additional year -comparable services are not available
</t>
    </r>
    <r>
      <rPr>
        <b/>
        <sz val="10"/>
        <color theme="1"/>
        <rFont val="Calibri"/>
        <family val="2"/>
        <scheme val="minor"/>
      </rPr>
      <t>03</t>
    </r>
    <r>
      <rPr>
        <sz val="10"/>
        <color theme="1"/>
        <rFont val="Calibri"/>
        <family val="2"/>
        <scheme val="minor"/>
      </rPr>
      <t xml:space="preserve"> - Serving secondary students through credit accrual programs
</t>
    </r>
  </si>
  <si>
    <t>K12 -&gt; K12 Student -&gt; Migrant</t>
  </si>
  <si>
    <t>000429</t>
  </si>
  <si>
    <t>ContinuationOfServicesReason</t>
  </si>
  <si>
    <t>Continuing License Date</t>
  </si>
  <si>
    <t>The year, month and day on which a program or center received its continuing license.</t>
  </si>
  <si>
    <t>Early Learning -&gt; EL Organization -&gt; Licensing</t>
  </si>
  <si>
    <t>000349</t>
  </si>
  <si>
    <t>ContinuingLicenseDate</t>
  </si>
  <si>
    <t>Early Learning -&gt; Licensing
Early Learning -&gt; Program Compliance</t>
  </si>
  <si>
    <t>Contract Days of Service Per Year</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</si>
  <si>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</si>
  <si>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</si>
  <si>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</si>
  <si>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</si>
  <si>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</si>
  <si>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</si>
  <si>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</si>
  <si>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r>
      <t>Multi-year</t>
    </r>
    <r>
      <rPr>
        <sz val="10"/>
        <color theme="1"/>
        <rFont val="Calibri"/>
        <family val="2"/>
        <scheme val="minor"/>
      </rPr>
      <t xml:space="preserve"> - Multi-year
</t>
    </r>
    <r>
      <rPr>
        <b/>
        <sz val="10"/>
        <color theme="1"/>
        <rFont val="Calibri"/>
        <family val="2"/>
        <scheme val="minor"/>
      </rPr>
      <t>Annual</t>
    </r>
    <r>
      <rPr>
        <sz val="10"/>
        <color theme="1"/>
        <rFont val="Calibri"/>
        <family val="2"/>
        <scheme val="minor"/>
      </rPr>
      <t xml:space="preserve"> - Annual
</t>
    </r>
    <r>
      <rPr>
        <b/>
        <sz val="10"/>
        <color theme="1"/>
        <rFont val="Calibri"/>
        <family val="2"/>
        <scheme val="minor"/>
      </rPr>
      <t>LessThanAnnual</t>
    </r>
    <r>
      <rPr>
        <sz val="10"/>
        <color theme="1"/>
        <rFont val="Calibri"/>
        <family val="2"/>
        <scheme val="minor"/>
      </rPr>
      <t xml:space="preserve"> - Less than annual
</t>
    </r>
    <r>
      <rPr>
        <b/>
        <sz val="10"/>
        <color theme="1"/>
        <rFont val="Calibri"/>
        <family val="2"/>
        <scheme val="minor"/>
      </rPr>
      <t>NotApplicable</t>
    </r>
    <r>
      <rPr>
        <sz val="10"/>
        <color theme="1"/>
        <rFont val="Calibri"/>
        <family val="2"/>
        <scheme val="minor"/>
      </rPr>
      <t xml:space="preserve"> - Not applicable
</t>
    </r>
  </si>
  <si>
    <t>Option set defined in IPEDS</t>
  </si>
  <si>
    <t>000737</t>
  </si>
  <si>
    <t>ContractType</t>
  </si>
  <si>
    <t>Control of Institution</t>
  </si>
  <si>
    <t>A classification of whether a postsecondary institution is operated by publicly elected or appointed officials (public control) or by privately elected or appointed officials and derives its major source of funds from private sources (private control).</t>
  </si>
  <si>
    <r>
      <t>Public</t>
    </r>
    <r>
      <rPr>
        <sz val="10"/>
        <color theme="1"/>
        <rFont val="Calibri"/>
        <family val="2"/>
        <scheme val="minor"/>
      </rPr>
      <t xml:space="preserve"> - Public
</t>
    </r>
    <r>
      <rPr>
        <b/>
        <sz val="10"/>
        <color theme="1"/>
        <rFont val="Calibri"/>
        <family val="2"/>
        <scheme val="minor"/>
      </rPr>
      <t>PrivateNFP</t>
    </r>
    <r>
      <rPr>
        <sz val="10"/>
        <color theme="1"/>
        <rFont val="Calibri"/>
        <family val="2"/>
        <scheme val="minor"/>
      </rPr>
      <t xml:space="preserve"> - Private, not for profit
</t>
    </r>
    <r>
      <rPr>
        <b/>
        <sz val="10"/>
        <color theme="1"/>
        <rFont val="Calibri"/>
        <family val="2"/>
        <scheme val="minor"/>
      </rPr>
      <t>PrivateFP</t>
    </r>
    <r>
      <rPr>
        <sz val="10"/>
        <color theme="1"/>
        <rFont val="Calibri"/>
        <family val="2"/>
        <scheme val="minor"/>
      </rPr>
      <t xml:space="preserve"> - Private, for profit
</t>
    </r>
  </si>
  <si>
    <t>000048</t>
  </si>
  <si>
    <t>ControlOfInstitution</t>
  </si>
  <si>
    <t>Core Academic Course</t>
  </si>
  <si>
    <t>The course meets the state definition of a core academic course.</t>
  </si>
  <si>
    <t>Career and Technical -&gt; Course
K12 -&gt; K12 Course</t>
  </si>
  <si>
    <t>000518</t>
  </si>
  <si>
    <t>CoreAcademicCourse</t>
  </si>
  <si>
    <t>Correctional Education Facility Type</t>
  </si>
  <si>
    <t>The type of facility in which an inmate receives correctional education services.</t>
  </si>
  <si>
    <r>
      <t>Prison</t>
    </r>
    <r>
      <rPr>
        <sz val="10"/>
        <color theme="1"/>
        <rFont val="Calibri"/>
        <family val="2"/>
        <scheme val="minor"/>
      </rPr>
      <t xml:space="preserve"> - Prison, Penitentiary or Correctional Institution
</t>
    </r>
    <r>
      <rPr>
        <b/>
        <sz val="10"/>
        <color theme="1"/>
        <rFont val="Calibri"/>
        <family val="2"/>
        <scheme val="minor"/>
      </rPr>
      <t>Jail</t>
    </r>
    <r>
      <rPr>
        <sz val="10"/>
        <color theme="1"/>
        <rFont val="Calibri"/>
        <family val="2"/>
        <scheme val="minor"/>
      </rPr>
      <t xml:space="preserve"> - Jail
</t>
    </r>
    <r>
      <rPr>
        <b/>
        <sz val="10"/>
        <color theme="1"/>
        <rFont val="Calibri"/>
        <family val="2"/>
        <scheme val="minor"/>
      </rPr>
      <t>JuvenileFacility</t>
    </r>
    <r>
      <rPr>
        <sz val="10"/>
        <color theme="1"/>
        <rFont val="Calibri"/>
        <family val="2"/>
        <scheme val="minor"/>
      </rPr>
      <t xml:space="preserve"> - Juvenile Facility
</t>
    </r>
    <r>
      <rPr>
        <b/>
        <sz val="10"/>
        <color theme="1"/>
        <rFont val="Calibri"/>
        <family val="2"/>
        <scheme val="minor"/>
      </rPr>
      <t>CommunityCorrections</t>
    </r>
    <r>
      <rPr>
        <sz val="10"/>
        <color theme="1"/>
        <rFont val="Calibri"/>
        <family val="2"/>
        <scheme val="minor"/>
      </rPr>
      <t xml:space="preserve"> - Community Corrections
</t>
    </r>
    <r>
      <rPr>
        <b/>
        <sz val="10"/>
        <color theme="1"/>
        <rFont val="Calibri"/>
        <family val="2"/>
        <scheme val="minor"/>
      </rPr>
      <t>Other</t>
    </r>
    <r>
      <rPr>
        <sz val="10"/>
        <color theme="1"/>
        <rFont val="Calibri"/>
        <family val="2"/>
        <scheme val="minor"/>
      </rPr>
      <t xml:space="preserve"> - Other Institution
</t>
    </r>
  </si>
  <si>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</si>
  <si>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</si>
  <si>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</si>
  <si>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</si>
  <si>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</si>
  <si>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</si>
  <si>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</si>
  <si>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</si>
  <si>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r>
      <t>CA1</t>
    </r>
    <r>
      <rPr>
        <sz val="10"/>
        <color theme="1"/>
        <rFont val="Calibri"/>
        <family val="2"/>
        <scheme val="minor"/>
      </rPr>
      <t xml:space="preserve"> - Required implementation of a new research-based curriculum or instructional program
</t>
    </r>
    <r>
      <rPr>
        <b/>
        <sz val="10"/>
        <color theme="1"/>
        <rFont val="Calibri"/>
        <family val="2"/>
        <scheme val="minor"/>
      </rPr>
      <t>CA2</t>
    </r>
    <r>
      <rPr>
        <sz val="10"/>
        <color theme="1"/>
        <rFont val="Calibri"/>
        <family val="2"/>
        <scheme val="minor"/>
      </rPr>
      <t xml:space="preserve"> - Extension of the school year or school day 
</t>
    </r>
    <r>
      <rPr>
        <b/>
        <sz val="10"/>
        <color theme="1"/>
        <rFont val="Calibri"/>
        <family val="2"/>
        <scheme val="minor"/>
      </rPr>
      <t>CA3</t>
    </r>
    <r>
      <rPr>
        <sz val="10"/>
        <color theme="1"/>
        <rFont val="Calibri"/>
        <family val="2"/>
        <scheme val="minor"/>
      </rPr>
      <t xml:space="preserve"> - Replacement of staff members relevant to the school's low performance
</t>
    </r>
    <r>
      <rPr>
        <b/>
        <sz val="10"/>
        <color theme="1"/>
        <rFont val="Calibri"/>
        <family val="2"/>
        <scheme val="minor"/>
      </rPr>
      <t>CA4</t>
    </r>
    <r>
      <rPr>
        <sz val="10"/>
        <color theme="1"/>
        <rFont val="Calibri"/>
        <family val="2"/>
        <scheme val="minor"/>
      </rPr>
      <t xml:space="preserve"> - Significant decrease in management authority at the school level
</t>
    </r>
    <r>
      <rPr>
        <b/>
        <sz val="10"/>
        <color theme="1"/>
        <rFont val="Calibri"/>
        <family val="2"/>
        <scheme val="minor"/>
      </rPr>
      <t>CA5</t>
    </r>
    <r>
      <rPr>
        <sz val="10"/>
        <color theme="1"/>
        <rFont val="Calibri"/>
        <family val="2"/>
        <scheme val="minor"/>
      </rPr>
      <t xml:space="preserve"> - Replacement of the principal
</t>
    </r>
    <r>
      <rPr>
        <b/>
        <sz val="10"/>
        <color theme="1"/>
        <rFont val="Calibri"/>
        <family val="2"/>
        <scheme val="minor"/>
      </rPr>
      <t>CA6</t>
    </r>
    <r>
      <rPr>
        <sz val="10"/>
        <color theme="1"/>
        <rFont val="Calibri"/>
        <family val="2"/>
        <scheme val="minor"/>
      </rPr>
      <t xml:space="preserve"> - Restructuring of the internal organization of the school
</t>
    </r>
    <r>
      <rPr>
        <b/>
        <sz val="10"/>
        <color theme="1"/>
        <rFont val="Calibri"/>
        <family val="2"/>
        <scheme val="minor"/>
      </rPr>
      <t>CA7</t>
    </r>
    <r>
      <rPr>
        <sz val="10"/>
        <color theme="1"/>
        <rFont val="Calibri"/>
        <family val="2"/>
        <scheme val="minor"/>
      </rPr>
      <t xml:space="preserve"> - Appointment of an outside expert to advise the school
</t>
    </r>
  </si>
  <si>
    <t>K12 -&gt; K12 School -&gt; Accountability</t>
  </si>
  <si>
    <t>000049</t>
  </si>
  <si>
    <t>CorrectiveActionType</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</si>
  <si>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</si>
  <si>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</si>
  <si>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</si>
  <si>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</si>
  <si>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</si>
  <si>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</si>
  <si>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Country Code</t>
  </si>
  <si>
    <t>The unique two character International Organization for Standardization (ISO) code for the country in which an address is located.</t>
  </si>
  <si>
    <r>
      <t>AF</t>
    </r>
    <r>
      <rPr>
        <sz val="10"/>
        <color theme="1"/>
        <rFont val="Calibri"/>
        <family val="2"/>
        <scheme val="minor"/>
      </rPr>
      <t xml:space="preserve"> - AFGHANISTAN
</t>
    </r>
    <r>
      <rPr>
        <b/>
        <sz val="10"/>
        <color theme="1"/>
        <rFont val="Calibri"/>
        <family val="2"/>
        <scheme val="minor"/>
      </rPr>
      <t>AX</t>
    </r>
    <r>
      <rPr>
        <sz val="10"/>
        <color theme="1"/>
        <rFont val="Calibri"/>
        <family val="2"/>
        <scheme val="minor"/>
      </rPr>
      <t xml:space="preserve"> - ÅLAND ISLANDS
</t>
    </r>
    <r>
      <rPr>
        <b/>
        <sz val="10"/>
        <color theme="1"/>
        <rFont val="Calibri"/>
        <family val="2"/>
        <scheme val="minor"/>
      </rPr>
      <t>AL</t>
    </r>
    <r>
      <rPr>
        <sz val="10"/>
        <color theme="1"/>
        <rFont val="Calibri"/>
        <family val="2"/>
        <scheme val="minor"/>
      </rPr>
      <t xml:space="preserve"> - ALBANIA
</t>
    </r>
    <r>
      <rPr>
        <b/>
        <sz val="10"/>
        <color theme="1"/>
        <rFont val="Calibri"/>
        <family val="2"/>
        <scheme val="minor"/>
      </rPr>
      <t>DZ</t>
    </r>
    <r>
      <rPr>
        <sz val="10"/>
        <color theme="1"/>
        <rFont val="Calibri"/>
        <family val="2"/>
        <scheme val="minor"/>
      </rPr>
      <t xml:space="preserve"> - ALGERIA
</t>
    </r>
    <r>
      <rPr>
        <b/>
        <sz val="10"/>
        <color theme="1"/>
        <rFont val="Calibri"/>
        <family val="2"/>
        <scheme val="minor"/>
      </rPr>
      <t>AS</t>
    </r>
    <r>
      <rPr>
        <sz val="10"/>
        <color theme="1"/>
        <rFont val="Calibri"/>
        <family val="2"/>
        <scheme val="minor"/>
      </rPr>
      <t xml:space="preserve"> - AMERICAN SAMOA
</t>
    </r>
    <r>
      <rPr>
        <b/>
        <sz val="10"/>
        <color theme="1"/>
        <rFont val="Calibri"/>
        <family val="2"/>
        <scheme val="minor"/>
      </rPr>
      <t>AD</t>
    </r>
    <r>
      <rPr>
        <sz val="10"/>
        <color theme="1"/>
        <rFont val="Calibri"/>
        <family val="2"/>
        <scheme val="minor"/>
      </rPr>
      <t xml:space="preserve"> - ANDORRA
</t>
    </r>
    <r>
      <rPr>
        <b/>
        <sz val="10"/>
        <color theme="1"/>
        <rFont val="Calibri"/>
        <family val="2"/>
        <scheme val="minor"/>
      </rPr>
      <t>AO</t>
    </r>
    <r>
      <rPr>
        <sz val="10"/>
        <color theme="1"/>
        <rFont val="Calibri"/>
        <family val="2"/>
        <scheme val="minor"/>
      </rPr>
      <t xml:space="preserve"> - ANGOLA
</t>
    </r>
    <r>
      <rPr>
        <b/>
        <sz val="10"/>
        <color theme="1"/>
        <rFont val="Calibri"/>
        <family val="2"/>
        <scheme val="minor"/>
      </rPr>
      <t>AI</t>
    </r>
    <r>
      <rPr>
        <sz val="10"/>
        <color theme="1"/>
        <rFont val="Calibri"/>
        <family val="2"/>
        <scheme val="minor"/>
      </rPr>
      <t xml:space="preserve"> - ANGUILLA
</t>
    </r>
    <r>
      <rPr>
        <b/>
        <sz val="10"/>
        <color theme="1"/>
        <rFont val="Calibri"/>
        <family val="2"/>
        <scheme val="minor"/>
      </rPr>
      <t>AQ</t>
    </r>
    <r>
      <rPr>
        <sz val="10"/>
        <color theme="1"/>
        <rFont val="Calibri"/>
        <family val="2"/>
        <scheme val="minor"/>
      </rPr>
      <t xml:space="preserve"> - ANTARCTICA
</t>
    </r>
    <r>
      <rPr>
        <b/>
        <sz val="10"/>
        <color theme="1"/>
        <rFont val="Calibri"/>
        <family val="2"/>
        <scheme val="minor"/>
      </rPr>
      <t>AG</t>
    </r>
    <r>
      <rPr>
        <sz val="10"/>
        <color theme="1"/>
        <rFont val="Calibri"/>
        <family val="2"/>
        <scheme val="minor"/>
      </rPr>
      <t xml:space="preserve"> - ANTIGUA AND BARBUDA
</t>
    </r>
    <r>
      <rPr>
        <b/>
        <sz val="10"/>
        <color theme="1"/>
        <rFont val="Calibri"/>
        <family val="2"/>
        <scheme val="minor"/>
      </rPr>
      <t>AR</t>
    </r>
    <r>
      <rPr>
        <sz val="10"/>
        <color theme="1"/>
        <rFont val="Calibri"/>
        <family val="2"/>
        <scheme val="minor"/>
      </rPr>
      <t xml:space="preserve"> - ARGENTINA
</t>
    </r>
    <r>
      <rPr>
        <b/>
        <sz val="10"/>
        <color theme="1"/>
        <rFont val="Calibri"/>
        <family val="2"/>
        <scheme val="minor"/>
      </rPr>
      <t>AM</t>
    </r>
    <r>
      <rPr>
        <sz val="10"/>
        <color theme="1"/>
        <rFont val="Calibri"/>
        <family val="2"/>
        <scheme val="minor"/>
      </rPr>
      <t xml:space="preserve"> - ARMENIA
</t>
    </r>
    <r>
      <rPr>
        <b/>
        <sz val="10"/>
        <color theme="1"/>
        <rFont val="Calibri"/>
        <family val="2"/>
        <scheme val="minor"/>
      </rPr>
      <t>AW</t>
    </r>
    <r>
      <rPr>
        <sz val="10"/>
        <color theme="1"/>
        <rFont val="Calibri"/>
        <family val="2"/>
        <scheme val="minor"/>
      </rPr>
      <t xml:space="preserve"> - ARUBA
</t>
    </r>
    <r>
      <rPr>
        <b/>
        <sz val="10"/>
        <color theme="1"/>
        <rFont val="Calibri"/>
        <family val="2"/>
        <scheme val="minor"/>
      </rPr>
      <t>AU</t>
    </r>
    <r>
      <rPr>
        <sz val="10"/>
        <color theme="1"/>
        <rFont val="Calibri"/>
        <family val="2"/>
        <scheme val="minor"/>
      </rPr>
      <t xml:space="preserve"> - AUSTRALIA
</t>
    </r>
    <r>
      <rPr>
        <b/>
        <sz val="10"/>
        <color theme="1"/>
        <rFont val="Calibri"/>
        <family val="2"/>
        <scheme val="minor"/>
      </rPr>
      <t>AT</t>
    </r>
    <r>
      <rPr>
        <sz val="10"/>
        <color theme="1"/>
        <rFont val="Calibri"/>
        <family val="2"/>
        <scheme val="minor"/>
      </rPr>
      <t xml:space="preserve"> - AUSTRIA
</t>
    </r>
    <r>
      <rPr>
        <b/>
        <sz val="10"/>
        <color theme="1"/>
        <rFont val="Calibri"/>
        <family val="2"/>
        <scheme val="minor"/>
      </rPr>
      <t>AZ</t>
    </r>
    <r>
      <rPr>
        <sz val="10"/>
        <color theme="1"/>
        <rFont val="Calibri"/>
        <family val="2"/>
        <scheme val="minor"/>
      </rPr>
      <t xml:space="preserve"> - AZERBAIJAN
</t>
    </r>
    <r>
      <rPr>
        <b/>
        <sz val="10"/>
        <color theme="1"/>
        <rFont val="Calibri"/>
        <family val="2"/>
        <scheme val="minor"/>
      </rPr>
      <t>BS</t>
    </r>
    <r>
      <rPr>
        <sz val="10"/>
        <color theme="1"/>
        <rFont val="Calibri"/>
        <family val="2"/>
        <scheme val="minor"/>
      </rPr>
      <t xml:space="preserve"> - BAHAMAS
</t>
    </r>
    <r>
      <rPr>
        <b/>
        <sz val="10"/>
        <color theme="1"/>
        <rFont val="Calibri"/>
        <family val="2"/>
        <scheme val="minor"/>
      </rPr>
      <t>BH</t>
    </r>
    <r>
      <rPr>
        <sz val="10"/>
        <color theme="1"/>
        <rFont val="Calibri"/>
        <family val="2"/>
        <scheme val="minor"/>
      </rPr>
      <t xml:space="preserve"> - BAHRAIN
</t>
    </r>
    <r>
      <rPr>
        <b/>
        <sz val="10"/>
        <color theme="1"/>
        <rFont val="Calibri"/>
        <family val="2"/>
        <scheme val="minor"/>
      </rPr>
      <t>BD</t>
    </r>
    <r>
      <rPr>
        <sz val="10"/>
        <color theme="1"/>
        <rFont val="Calibri"/>
        <family val="2"/>
        <scheme val="minor"/>
      </rPr>
      <t xml:space="preserve"> - BANGLADESH
</t>
    </r>
    <r>
      <rPr>
        <b/>
        <sz val="10"/>
        <color theme="1"/>
        <rFont val="Calibri"/>
        <family val="2"/>
        <scheme val="minor"/>
      </rPr>
      <t>BB</t>
    </r>
    <r>
      <rPr>
        <sz val="10"/>
        <color theme="1"/>
        <rFont val="Calibri"/>
        <family val="2"/>
        <scheme val="minor"/>
      </rPr>
      <t xml:space="preserve"> - BARBADOS
</t>
    </r>
    <r>
      <rPr>
        <b/>
        <sz val="10"/>
        <color theme="1"/>
        <rFont val="Calibri"/>
        <family val="2"/>
        <scheme val="minor"/>
      </rPr>
      <t>BY</t>
    </r>
    <r>
      <rPr>
        <sz val="10"/>
        <color theme="1"/>
        <rFont val="Calibri"/>
        <family val="2"/>
        <scheme val="minor"/>
      </rPr>
      <t xml:space="preserve"> - BELARUS
</t>
    </r>
    <r>
      <rPr>
        <b/>
        <sz val="10"/>
        <color theme="1"/>
        <rFont val="Calibri"/>
        <family val="2"/>
        <scheme val="minor"/>
      </rPr>
      <t>BE</t>
    </r>
    <r>
      <rPr>
        <sz val="10"/>
        <color theme="1"/>
        <rFont val="Calibri"/>
        <family val="2"/>
        <scheme val="minor"/>
      </rPr>
      <t xml:space="preserve"> - BELGIUM
</t>
    </r>
    <r>
      <rPr>
        <b/>
        <sz val="10"/>
        <color theme="1"/>
        <rFont val="Calibri"/>
        <family val="2"/>
        <scheme val="minor"/>
      </rPr>
      <t>BZ</t>
    </r>
    <r>
      <rPr>
        <sz val="10"/>
        <color theme="1"/>
        <rFont val="Calibri"/>
        <family val="2"/>
        <scheme val="minor"/>
      </rPr>
      <t xml:space="preserve"> - BELIZE
</t>
    </r>
    <r>
      <rPr>
        <b/>
        <sz val="10"/>
        <color theme="1"/>
        <rFont val="Calibri"/>
        <family val="2"/>
        <scheme val="minor"/>
      </rPr>
      <t>BJ</t>
    </r>
    <r>
      <rPr>
        <sz val="10"/>
        <color theme="1"/>
        <rFont val="Calibri"/>
        <family val="2"/>
        <scheme val="minor"/>
      </rPr>
      <t xml:space="preserve"> - BENIN
</t>
    </r>
    <r>
      <rPr>
        <b/>
        <sz val="10"/>
        <color theme="1"/>
        <rFont val="Calibri"/>
        <family val="2"/>
        <scheme val="minor"/>
      </rPr>
      <t>BM</t>
    </r>
    <r>
      <rPr>
        <sz val="10"/>
        <color theme="1"/>
        <rFont val="Calibri"/>
        <family val="2"/>
        <scheme val="minor"/>
      </rPr>
      <t xml:space="preserve"> - BERMUDA
</t>
    </r>
    <r>
      <rPr>
        <b/>
        <sz val="10"/>
        <color theme="1"/>
        <rFont val="Calibri"/>
        <family val="2"/>
        <scheme val="minor"/>
      </rPr>
      <t>BT</t>
    </r>
    <r>
      <rPr>
        <sz val="10"/>
        <color theme="1"/>
        <rFont val="Calibri"/>
        <family val="2"/>
        <scheme val="minor"/>
      </rPr>
      <t xml:space="preserve"> - BHUTAN
</t>
    </r>
    <r>
      <rPr>
        <b/>
        <sz val="10"/>
        <color theme="1"/>
        <rFont val="Calibri"/>
        <family val="2"/>
        <scheme val="minor"/>
      </rPr>
      <t>BO</t>
    </r>
    <r>
      <rPr>
        <sz val="10"/>
        <color theme="1"/>
        <rFont val="Calibri"/>
        <family val="2"/>
        <scheme val="minor"/>
      </rPr>
      <t xml:space="preserve"> - BOLIVIA (PLURINATIONAL STATE OF)
</t>
    </r>
    <r>
      <rPr>
        <b/>
        <sz val="10"/>
        <color theme="1"/>
        <rFont val="Calibri"/>
        <family val="2"/>
        <scheme val="minor"/>
      </rPr>
      <t>BQ</t>
    </r>
    <r>
      <rPr>
        <sz val="10"/>
        <color theme="1"/>
        <rFont val="Calibri"/>
        <family val="2"/>
        <scheme val="minor"/>
      </rPr>
      <t xml:space="preserve"> - BONAIRE, SINT EUSTATIUS AND SABA
</t>
    </r>
    <r>
      <rPr>
        <b/>
        <sz val="10"/>
        <color theme="1"/>
        <rFont val="Calibri"/>
        <family val="2"/>
        <scheme val="minor"/>
      </rPr>
      <t>BA</t>
    </r>
    <r>
      <rPr>
        <sz val="10"/>
        <color theme="1"/>
        <rFont val="Calibri"/>
        <family val="2"/>
        <scheme val="minor"/>
      </rPr>
      <t xml:space="preserve"> - BOSNIA AND HERZEGOVINA
</t>
    </r>
    <r>
      <rPr>
        <b/>
        <sz val="10"/>
        <color theme="1"/>
        <rFont val="Calibri"/>
        <family val="2"/>
        <scheme val="minor"/>
      </rPr>
      <t>BW</t>
    </r>
    <r>
      <rPr>
        <sz val="10"/>
        <color theme="1"/>
        <rFont val="Calibri"/>
        <family val="2"/>
        <scheme val="minor"/>
      </rPr>
      <t xml:space="preserve"> - BOTSWANA
</t>
    </r>
    <r>
      <rPr>
        <b/>
        <sz val="10"/>
        <color theme="1"/>
        <rFont val="Calibri"/>
        <family val="2"/>
        <scheme val="minor"/>
      </rPr>
      <t>BV</t>
    </r>
    <r>
      <rPr>
        <sz val="10"/>
        <color theme="1"/>
        <rFont val="Calibri"/>
        <family val="2"/>
        <scheme val="minor"/>
      </rPr>
      <t xml:space="preserve"> - BOUVET ISLAND
</t>
    </r>
    <r>
      <rPr>
        <b/>
        <sz val="10"/>
        <color theme="1"/>
        <rFont val="Calibri"/>
        <family val="2"/>
        <scheme val="minor"/>
      </rPr>
      <t>BR</t>
    </r>
    <r>
      <rPr>
        <sz val="10"/>
        <color theme="1"/>
        <rFont val="Calibri"/>
        <family val="2"/>
        <scheme val="minor"/>
      </rPr>
      <t xml:space="preserve"> - BRAZIL
</t>
    </r>
    <r>
      <rPr>
        <b/>
        <sz val="10"/>
        <color theme="1"/>
        <rFont val="Calibri"/>
        <family val="2"/>
        <scheme val="minor"/>
      </rPr>
      <t>IO</t>
    </r>
    <r>
      <rPr>
        <sz val="10"/>
        <color theme="1"/>
        <rFont val="Calibri"/>
        <family val="2"/>
        <scheme val="minor"/>
      </rPr>
      <t xml:space="preserve"> - BRITISH INDIAN OCEAN TERRITORY
</t>
    </r>
    <r>
      <rPr>
        <b/>
        <sz val="10"/>
        <color theme="1"/>
        <rFont val="Calibri"/>
        <family val="2"/>
        <scheme val="minor"/>
      </rPr>
      <t>BN</t>
    </r>
    <r>
      <rPr>
        <sz val="10"/>
        <color theme="1"/>
        <rFont val="Calibri"/>
        <family val="2"/>
        <scheme val="minor"/>
      </rPr>
      <t xml:space="preserve"> - BRUNEI DARUSSALAM
</t>
    </r>
    <r>
      <rPr>
        <b/>
        <sz val="10"/>
        <color theme="1"/>
        <rFont val="Calibri"/>
        <family val="2"/>
        <scheme val="minor"/>
      </rPr>
      <t>BG</t>
    </r>
    <r>
      <rPr>
        <sz val="10"/>
        <color theme="1"/>
        <rFont val="Calibri"/>
        <family val="2"/>
        <scheme val="minor"/>
      </rPr>
      <t xml:space="preserve"> - BULGARIA
</t>
    </r>
    <r>
      <rPr>
        <b/>
        <sz val="10"/>
        <color theme="1"/>
        <rFont val="Calibri"/>
        <family val="2"/>
        <scheme val="minor"/>
      </rPr>
      <t>BF</t>
    </r>
    <r>
      <rPr>
        <sz val="10"/>
        <color theme="1"/>
        <rFont val="Calibri"/>
        <family val="2"/>
        <scheme val="minor"/>
      </rPr>
      <t xml:space="preserve"> - BURKINA FASO
</t>
    </r>
    <r>
      <rPr>
        <b/>
        <sz val="10"/>
        <color theme="1"/>
        <rFont val="Calibri"/>
        <family val="2"/>
        <scheme val="minor"/>
      </rPr>
      <t>BI</t>
    </r>
    <r>
      <rPr>
        <sz val="10"/>
        <color theme="1"/>
        <rFont val="Calibri"/>
        <family val="2"/>
        <scheme val="minor"/>
      </rPr>
      <t xml:space="preserve"> - BURUNDI
</t>
    </r>
    <r>
      <rPr>
        <b/>
        <sz val="10"/>
        <color theme="1"/>
        <rFont val="Calibri"/>
        <family val="2"/>
        <scheme val="minor"/>
      </rPr>
      <t>KH</t>
    </r>
    <r>
      <rPr>
        <sz val="10"/>
        <color theme="1"/>
        <rFont val="Calibri"/>
        <family val="2"/>
        <scheme val="minor"/>
      </rPr>
      <t xml:space="preserve"> - CAMBODIA
</t>
    </r>
    <r>
      <rPr>
        <b/>
        <sz val="10"/>
        <color theme="1"/>
        <rFont val="Calibri"/>
        <family val="2"/>
        <scheme val="minor"/>
      </rPr>
      <t>CM</t>
    </r>
    <r>
      <rPr>
        <sz val="10"/>
        <color theme="1"/>
        <rFont val="Calibri"/>
        <family val="2"/>
        <scheme val="minor"/>
      </rPr>
      <t xml:space="preserve"> - CAMEROON
</t>
    </r>
    <r>
      <rPr>
        <b/>
        <sz val="10"/>
        <color theme="1"/>
        <rFont val="Calibri"/>
        <family val="2"/>
        <scheme val="minor"/>
      </rPr>
      <t>CA</t>
    </r>
    <r>
      <rPr>
        <sz val="10"/>
        <color theme="1"/>
        <rFont val="Calibri"/>
        <family val="2"/>
        <scheme val="minor"/>
      </rPr>
      <t xml:space="preserve"> - CANADA
</t>
    </r>
    <r>
      <rPr>
        <b/>
        <sz val="10"/>
        <color theme="1"/>
        <rFont val="Calibri"/>
        <family val="2"/>
        <scheme val="minor"/>
      </rPr>
      <t>CV</t>
    </r>
    <r>
      <rPr>
        <sz val="10"/>
        <color theme="1"/>
        <rFont val="Calibri"/>
        <family val="2"/>
        <scheme val="minor"/>
      </rPr>
      <t xml:space="preserve"> - CABO VERDE
</t>
    </r>
    <r>
      <rPr>
        <b/>
        <sz val="10"/>
        <color theme="1"/>
        <rFont val="Calibri"/>
        <family val="2"/>
        <scheme val="minor"/>
      </rPr>
      <t>KY</t>
    </r>
    <r>
      <rPr>
        <sz val="10"/>
        <color theme="1"/>
        <rFont val="Calibri"/>
        <family val="2"/>
        <scheme val="minor"/>
      </rPr>
      <t xml:space="preserve"> - CAYMAN ISLANDS
</t>
    </r>
    <r>
      <rPr>
        <b/>
        <sz val="10"/>
        <color theme="1"/>
        <rFont val="Calibri"/>
        <family val="2"/>
        <scheme val="minor"/>
      </rPr>
      <t>CF</t>
    </r>
    <r>
      <rPr>
        <sz val="10"/>
        <color theme="1"/>
        <rFont val="Calibri"/>
        <family val="2"/>
        <scheme val="minor"/>
      </rPr>
      <t xml:space="preserve"> - CENTRAL AFRICAN REPUBLIC
</t>
    </r>
    <r>
      <rPr>
        <b/>
        <sz val="10"/>
        <color theme="1"/>
        <rFont val="Calibri"/>
        <family val="2"/>
        <scheme val="minor"/>
      </rPr>
      <t>TD</t>
    </r>
    <r>
      <rPr>
        <sz val="10"/>
        <color theme="1"/>
        <rFont val="Calibri"/>
        <family val="2"/>
        <scheme val="minor"/>
      </rPr>
      <t xml:space="preserve"> - CHAD
</t>
    </r>
    <r>
      <rPr>
        <b/>
        <sz val="10"/>
        <color theme="1"/>
        <rFont val="Calibri"/>
        <family val="2"/>
        <scheme val="minor"/>
      </rPr>
      <t>CL</t>
    </r>
    <r>
      <rPr>
        <sz val="10"/>
        <color theme="1"/>
        <rFont val="Calibri"/>
        <family val="2"/>
        <scheme val="minor"/>
      </rPr>
      <t xml:space="preserve"> - CHILE
</t>
    </r>
    <r>
      <rPr>
        <b/>
        <sz val="10"/>
        <color theme="1"/>
        <rFont val="Calibri"/>
        <family val="2"/>
        <scheme val="minor"/>
      </rPr>
      <t>CN</t>
    </r>
    <r>
      <rPr>
        <sz val="10"/>
        <color theme="1"/>
        <rFont val="Calibri"/>
        <family val="2"/>
        <scheme val="minor"/>
      </rPr>
      <t xml:space="preserve"> - CHINA
</t>
    </r>
    <r>
      <rPr>
        <b/>
        <sz val="10"/>
        <color theme="1"/>
        <rFont val="Calibri"/>
        <family val="2"/>
        <scheme val="minor"/>
      </rPr>
      <t>CX</t>
    </r>
    <r>
      <rPr>
        <sz val="10"/>
        <color theme="1"/>
        <rFont val="Calibri"/>
        <family val="2"/>
        <scheme val="minor"/>
      </rPr>
      <t xml:space="preserve"> - CHRISTMAS ISLAND
</t>
    </r>
    <r>
      <rPr>
        <b/>
        <sz val="10"/>
        <color theme="1"/>
        <rFont val="Calibri"/>
        <family val="2"/>
        <scheme val="minor"/>
      </rPr>
      <t>CC</t>
    </r>
    <r>
      <rPr>
        <sz val="10"/>
        <color theme="1"/>
        <rFont val="Calibri"/>
        <family val="2"/>
        <scheme val="minor"/>
      </rPr>
      <t xml:space="preserve"> - COCOS (KEELING) ISLANDS
</t>
    </r>
    <r>
      <rPr>
        <b/>
        <sz val="10"/>
        <color theme="1"/>
        <rFont val="Calibri"/>
        <family val="2"/>
        <scheme val="minor"/>
      </rPr>
      <t>CO</t>
    </r>
    <r>
      <rPr>
        <sz val="10"/>
        <color theme="1"/>
        <rFont val="Calibri"/>
        <family val="2"/>
        <scheme val="minor"/>
      </rPr>
      <t xml:space="preserve"> - COLOMBIA
</t>
    </r>
    <r>
      <rPr>
        <b/>
        <sz val="10"/>
        <color theme="1"/>
        <rFont val="Calibri"/>
        <family val="2"/>
        <scheme val="minor"/>
      </rPr>
      <t>KM</t>
    </r>
    <r>
      <rPr>
        <sz val="10"/>
        <color theme="1"/>
        <rFont val="Calibri"/>
        <family val="2"/>
        <scheme val="minor"/>
      </rPr>
      <t xml:space="preserve"> - COMOROS
</t>
    </r>
    <r>
      <rPr>
        <b/>
        <sz val="10"/>
        <color theme="1"/>
        <rFont val="Calibri"/>
        <family val="2"/>
        <scheme val="minor"/>
      </rPr>
      <t>CG</t>
    </r>
    <r>
      <rPr>
        <sz val="10"/>
        <color theme="1"/>
        <rFont val="Calibri"/>
        <family val="2"/>
        <scheme val="minor"/>
      </rPr>
      <t xml:space="preserve"> - CONGO
</t>
    </r>
    <r>
      <rPr>
        <b/>
        <sz val="10"/>
        <color theme="1"/>
        <rFont val="Calibri"/>
        <family val="2"/>
        <scheme val="minor"/>
      </rPr>
      <t>CD</t>
    </r>
    <r>
      <rPr>
        <sz val="10"/>
        <color theme="1"/>
        <rFont val="Calibri"/>
        <family val="2"/>
        <scheme val="minor"/>
      </rPr>
      <t xml:space="preserve"> - CONGO, DEMOCRATIC REPUBLIC OF THE
</t>
    </r>
    <r>
      <rPr>
        <b/>
        <sz val="10"/>
        <color theme="1"/>
        <rFont val="Calibri"/>
        <family val="2"/>
        <scheme val="minor"/>
      </rPr>
      <t>CK</t>
    </r>
    <r>
      <rPr>
        <sz val="10"/>
        <color theme="1"/>
        <rFont val="Calibri"/>
        <family val="2"/>
        <scheme val="minor"/>
      </rPr>
      <t xml:space="preserve"> - COOK ISLANDS
</t>
    </r>
    <r>
      <rPr>
        <b/>
        <sz val="10"/>
        <color theme="1"/>
        <rFont val="Calibri"/>
        <family val="2"/>
        <scheme val="minor"/>
      </rPr>
      <t>CR</t>
    </r>
    <r>
      <rPr>
        <sz val="10"/>
        <color theme="1"/>
        <rFont val="Calibri"/>
        <family val="2"/>
        <scheme val="minor"/>
      </rPr>
      <t xml:space="preserve"> - COSTA RICA
</t>
    </r>
    <r>
      <rPr>
        <b/>
        <sz val="10"/>
        <color theme="1"/>
        <rFont val="Calibri"/>
        <family val="2"/>
        <scheme val="minor"/>
      </rPr>
      <t>CI</t>
    </r>
    <r>
      <rPr>
        <sz val="10"/>
        <color theme="1"/>
        <rFont val="Calibri"/>
        <family val="2"/>
        <scheme val="minor"/>
      </rPr>
      <t xml:space="preserve"> - CÔTE D'IVOIRE
</t>
    </r>
    <r>
      <rPr>
        <b/>
        <sz val="10"/>
        <color theme="1"/>
        <rFont val="Calibri"/>
        <family val="2"/>
        <scheme val="minor"/>
      </rPr>
      <t>HR</t>
    </r>
    <r>
      <rPr>
        <sz val="10"/>
        <color theme="1"/>
        <rFont val="Calibri"/>
        <family val="2"/>
        <scheme val="minor"/>
      </rPr>
      <t xml:space="preserve"> - CROATIA
</t>
    </r>
    <r>
      <rPr>
        <b/>
        <sz val="10"/>
        <color theme="1"/>
        <rFont val="Calibri"/>
        <family val="2"/>
        <scheme val="minor"/>
      </rPr>
      <t>CU</t>
    </r>
    <r>
      <rPr>
        <sz val="10"/>
        <color theme="1"/>
        <rFont val="Calibri"/>
        <family val="2"/>
        <scheme val="minor"/>
      </rPr>
      <t xml:space="preserve"> - CUBA
</t>
    </r>
    <r>
      <rPr>
        <b/>
        <sz val="10"/>
        <color theme="1"/>
        <rFont val="Calibri"/>
        <family val="2"/>
        <scheme val="minor"/>
      </rPr>
      <t>CW</t>
    </r>
    <r>
      <rPr>
        <sz val="10"/>
        <color theme="1"/>
        <rFont val="Calibri"/>
        <family val="2"/>
        <scheme val="minor"/>
      </rPr>
      <t xml:space="preserve"> - CURAÇAO
</t>
    </r>
    <r>
      <rPr>
        <b/>
        <sz val="10"/>
        <color theme="1"/>
        <rFont val="Calibri"/>
        <family val="2"/>
        <scheme val="minor"/>
      </rPr>
      <t>CY</t>
    </r>
    <r>
      <rPr>
        <sz val="10"/>
        <color theme="1"/>
        <rFont val="Calibri"/>
        <family val="2"/>
        <scheme val="minor"/>
      </rPr>
      <t xml:space="preserve"> - CYPRUS
</t>
    </r>
    <r>
      <rPr>
        <b/>
        <sz val="10"/>
        <color theme="1"/>
        <rFont val="Calibri"/>
        <family val="2"/>
        <scheme val="minor"/>
      </rPr>
      <t>CZ</t>
    </r>
    <r>
      <rPr>
        <sz val="10"/>
        <color theme="1"/>
        <rFont val="Calibri"/>
        <family val="2"/>
        <scheme val="minor"/>
      </rPr>
      <t xml:space="preserve"> - CZECHIA
</t>
    </r>
    <r>
      <rPr>
        <b/>
        <sz val="10"/>
        <color theme="1"/>
        <rFont val="Calibri"/>
        <family val="2"/>
        <scheme val="minor"/>
      </rPr>
      <t>DK</t>
    </r>
    <r>
      <rPr>
        <sz val="10"/>
        <color theme="1"/>
        <rFont val="Calibri"/>
        <family val="2"/>
        <scheme val="minor"/>
      </rPr>
      <t xml:space="preserve"> - DENMARK
</t>
    </r>
    <r>
      <rPr>
        <b/>
        <sz val="10"/>
        <color theme="1"/>
        <rFont val="Calibri"/>
        <family val="2"/>
        <scheme val="minor"/>
      </rPr>
      <t>DJ</t>
    </r>
    <r>
      <rPr>
        <sz val="10"/>
        <color theme="1"/>
        <rFont val="Calibri"/>
        <family val="2"/>
        <scheme val="minor"/>
      </rPr>
      <t xml:space="preserve"> - DJIBOUTI
</t>
    </r>
    <r>
      <rPr>
        <b/>
        <sz val="10"/>
        <color theme="1"/>
        <rFont val="Calibri"/>
        <family val="2"/>
        <scheme val="minor"/>
      </rPr>
      <t>DM</t>
    </r>
    <r>
      <rPr>
        <sz val="10"/>
        <color theme="1"/>
        <rFont val="Calibri"/>
        <family val="2"/>
        <scheme val="minor"/>
      </rPr>
      <t xml:space="preserve"> - DOMINICA
</t>
    </r>
    <r>
      <rPr>
        <b/>
        <sz val="10"/>
        <color theme="1"/>
        <rFont val="Calibri"/>
        <family val="2"/>
        <scheme val="minor"/>
      </rPr>
      <t>DO</t>
    </r>
    <r>
      <rPr>
        <sz val="10"/>
        <color theme="1"/>
        <rFont val="Calibri"/>
        <family val="2"/>
        <scheme val="minor"/>
      </rPr>
      <t xml:space="preserve"> - DOMINICAN REPUBLIC
</t>
    </r>
    <r>
      <rPr>
        <b/>
        <sz val="10"/>
        <color theme="1"/>
        <rFont val="Calibri"/>
        <family val="2"/>
        <scheme val="minor"/>
      </rPr>
      <t>EC</t>
    </r>
    <r>
      <rPr>
        <sz val="10"/>
        <color theme="1"/>
        <rFont val="Calibri"/>
        <family val="2"/>
        <scheme val="minor"/>
      </rPr>
      <t xml:space="preserve"> - ECUADOR
</t>
    </r>
    <r>
      <rPr>
        <b/>
        <sz val="10"/>
        <color theme="1"/>
        <rFont val="Calibri"/>
        <family val="2"/>
        <scheme val="minor"/>
      </rPr>
      <t>EG</t>
    </r>
    <r>
      <rPr>
        <sz val="10"/>
        <color theme="1"/>
        <rFont val="Calibri"/>
        <family val="2"/>
        <scheme val="minor"/>
      </rPr>
      <t xml:space="preserve"> - EGYPT
</t>
    </r>
    <r>
      <rPr>
        <b/>
        <sz val="10"/>
        <color theme="1"/>
        <rFont val="Calibri"/>
        <family val="2"/>
        <scheme val="minor"/>
      </rPr>
      <t>SV</t>
    </r>
    <r>
      <rPr>
        <sz val="10"/>
        <color theme="1"/>
        <rFont val="Calibri"/>
        <family val="2"/>
        <scheme val="minor"/>
      </rPr>
      <t xml:space="preserve"> - EL SALVADOR
</t>
    </r>
    <r>
      <rPr>
        <b/>
        <sz val="10"/>
        <color theme="1"/>
        <rFont val="Calibri"/>
        <family val="2"/>
        <scheme val="minor"/>
      </rPr>
      <t>GQ</t>
    </r>
    <r>
      <rPr>
        <sz val="10"/>
        <color theme="1"/>
        <rFont val="Calibri"/>
        <family val="2"/>
        <scheme val="minor"/>
      </rPr>
      <t xml:space="preserve"> - EQUATORIAL GUINEA
</t>
    </r>
    <r>
      <rPr>
        <b/>
        <sz val="10"/>
        <color theme="1"/>
        <rFont val="Calibri"/>
        <family val="2"/>
        <scheme val="minor"/>
      </rPr>
      <t>ER</t>
    </r>
    <r>
      <rPr>
        <sz val="10"/>
        <color theme="1"/>
        <rFont val="Calibri"/>
        <family val="2"/>
        <scheme val="minor"/>
      </rPr>
      <t xml:space="preserve"> - ERITREA
</t>
    </r>
    <r>
      <rPr>
        <b/>
        <sz val="10"/>
        <color theme="1"/>
        <rFont val="Calibri"/>
        <family val="2"/>
        <scheme val="minor"/>
      </rPr>
      <t>EE</t>
    </r>
    <r>
      <rPr>
        <sz val="10"/>
        <color theme="1"/>
        <rFont val="Calibri"/>
        <family val="2"/>
        <scheme val="minor"/>
      </rPr>
      <t xml:space="preserve"> - ESTONIA
</t>
    </r>
    <r>
      <rPr>
        <b/>
        <sz val="10"/>
        <color theme="1"/>
        <rFont val="Calibri"/>
        <family val="2"/>
        <scheme val="minor"/>
      </rPr>
      <t>ET</t>
    </r>
    <r>
      <rPr>
        <sz val="10"/>
        <color theme="1"/>
        <rFont val="Calibri"/>
        <family val="2"/>
        <scheme val="minor"/>
      </rPr>
      <t xml:space="preserve"> - ETHIOPIA
</t>
    </r>
    <r>
      <rPr>
        <b/>
        <sz val="10"/>
        <color theme="1"/>
        <rFont val="Calibri"/>
        <family val="2"/>
        <scheme val="minor"/>
      </rPr>
      <t>FK</t>
    </r>
    <r>
      <rPr>
        <sz val="10"/>
        <color theme="1"/>
        <rFont val="Calibri"/>
        <family val="2"/>
        <scheme val="minor"/>
      </rPr>
      <t xml:space="preserve"> - FALKLAND ISLANDS (MALVINAS)
</t>
    </r>
    <r>
      <rPr>
        <b/>
        <sz val="10"/>
        <color theme="1"/>
        <rFont val="Calibri"/>
        <family val="2"/>
        <scheme val="minor"/>
      </rPr>
      <t>FO</t>
    </r>
    <r>
      <rPr>
        <sz val="10"/>
        <color theme="1"/>
        <rFont val="Calibri"/>
        <family val="2"/>
        <scheme val="minor"/>
      </rPr>
      <t xml:space="preserve"> - FAROE ISLANDS
</t>
    </r>
    <r>
      <rPr>
        <b/>
        <sz val="10"/>
        <color theme="1"/>
        <rFont val="Calibri"/>
        <family val="2"/>
        <scheme val="minor"/>
      </rPr>
      <t>FJ</t>
    </r>
    <r>
      <rPr>
        <sz val="10"/>
        <color theme="1"/>
        <rFont val="Calibri"/>
        <family val="2"/>
        <scheme val="minor"/>
      </rPr>
      <t xml:space="preserve"> - FIJI
</t>
    </r>
    <r>
      <rPr>
        <b/>
        <sz val="10"/>
        <color theme="1"/>
        <rFont val="Calibri"/>
        <family val="2"/>
        <scheme val="minor"/>
      </rPr>
      <t>FI</t>
    </r>
    <r>
      <rPr>
        <sz val="10"/>
        <color theme="1"/>
        <rFont val="Calibri"/>
        <family val="2"/>
        <scheme val="minor"/>
      </rPr>
      <t xml:space="preserve"> - FINLAND
</t>
    </r>
    <r>
      <rPr>
        <b/>
        <sz val="10"/>
        <color theme="1"/>
        <rFont val="Calibri"/>
        <family val="2"/>
        <scheme val="minor"/>
      </rPr>
      <t>FR</t>
    </r>
    <r>
      <rPr>
        <sz val="10"/>
        <color theme="1"/>
        <rFont val="Calibri"/>
        <family val="2"/>
        <scheme val="minor"/>
      </rPr>
      <t xml:space="preserve"> - FRANCE
</t>
    </r>
    <r>
      <rPr>
        <b/>
        <sz val="10"/>
        <color theme="1"/>
        <rFont val="Calibri"/>
        <family val="2"/>
        <scheme val="minor"/>
      </rPr>
      <t>GF</t>
    </r>
    <r>
      <rPr>
        <sz val="10"/>
        <color theme="1"/>
        <rFont val="Calibri"/>
        <family val="2"/>
        <scheme val="minor"/>
      </rPr>
      <t xml:space="preserve"> - FRENCH GUIANA
</t>
    </r>
    <r>
      <rPr>
        <b/>
        <sz val="10"/>
        <color theme="1"/>
        <rFont val="Calibri"/>
        <family val="2"/>
        <scheme val="minor"/>
      </rPr>
      <t>PF</t>
    </r>
    <r>
      <rPr>
        <sz val="10"/>
        <color theme="1"/>
        <rFont val="Calibri"/>
        <family val="2"/>
        <scheme val="minor"/>
      </rPr>
      <t xml:space="preserve"> - FRENCH POLYNESIA
</t>
    </r>
    <r>
      <rPr>
        <b/>
        <sz val="10"/>
        <color theme="1"/>
        <rFont val="Calibri"/>
        <family val="2"/>
        <scheme val="minor"/>
      </rPr>
      <t>TF</t>
    </r>
    <r>
      <rPr>
        <sz val="10"/>
        <color theme="1"/>
        <rFont val="Calibri"/>
        <family val="2"/>
        <scheme val="minor"/>
      </rPr>
      <t xml:space="preserve"> - FRENCH SOUTHERN TERRITORIES
</t>
    </r>
    <r>
      <rPr>
        <b/>
        <sz val="10"/>
        <color theme="1"/>
        <rFont val="Calibri"/>
        <family val="2"/>
        <scheme val="minor"/>
      </rPr>
      <t>GA</t>
    </r>
    <r>
      <rPr>
        <sz val="10"/>
        <color theme="1"/>
        <rFont val="Calibri"/>
        <family val="2"/>
        <scheme val="minor"/>
      </rPr>
      <t xml:space="preserve"> - GABON
</t>
    </r>
    <r>
      <rPr>
        <b/>
        <sz val="10"/>
        <color theme="1"/>
        <rFont val="Calibri"/>
        <family val="2"/>
        <scheme val="minor"/>
      </rPr>
      <t>GM</t>
    </r>
    <r>
      <rPr>
        <sz val="10"/>
        <color theme="1"/>
        <rFont val="Calibri"/>
        <family val="2"/>
        <scheme val="minor"/>
      </rPr>
      <t xml:space="preserve"> - GAMBIA
</t>
    </r>
    <r>
      <rPr>
        <b/>
        <sz val="10"/>
        <color theme="1"/>
        <rFont val="Calibri"/>
        <family val="2"/>
        <scheme val="minor"/>
      </rPr>
      <t>GE</t>
    </r>
    <r>
      <rPr>
        <sz val="10"/>
        <color theme="1"/>
        <rFont val="Calibri"/>
        <family val="2"/>
        <scheme val="minor"/>
      </rPr>
      <t xml:space="preserve"> - GEORGIA
</t>
    </r>
    <r>
      <rPr>
        <b/>
        <sz val="10"/>
        <color theme="1"/>
        <rFont val="Calibri"/>
        <family val="2"/>
        <scheme val="minor"/>
      </rPr>
      <t>DE</t>
    </r>
    <r>
      <rPr>
        <sz val="10"/>
        <color theme="1"/>
        <rFont val="Calibri"/>
        <family val="2"/>
        <scheme val="minor"/>
      </rPr>
      <t xml:space="preserve"> - GERMANY
</t>
    </r>
    <r>
      <rPr>
        <b/>
        <sz val="10"/>
        <color theme="1"/>
        <rFont val="Calibri"/>
        <family val="2"/>
        <scheme val="minor"/>
      </rPr>
      <t>GH</t>
    </r>
    <r>
      <rPr>
        <sz val="10"/>
        <color theme="1"/>
        <rFont val="Calibri"/>
        <family val="2"/>
        <scheme val="minor"/>
      </rPr>
      <t xml:space="preserve"> - GHANA
</t>
    </r>
    <r>
      <rPr>
        <b/>
        <sz val="10"/>
        <color theme="1"/>
        <rFont val="Calibri"/>
        <family val="2"/>
        <scheme val="minor"/>
      </rPr>
      <t>GI</t>
    </r>
    <r>
      <rPr>
        <sz val="10"/>
        <color theme="1"/>
        <rFont val="Calibri"/>
        <family val="2"/>
        <scheme val="minor"/>
      </rPr>
      <t xml:space="preserve"> - GIBRALTAR
</t>
    </r>
    <r>
      <rPr>
        <b/>
        <sz val="10"/>
        <color theme="1"/>
        <rFont val="Calibri"/>
        <family val="2"/>
        <scheme val="minor"/>
      </rPr>
      <t>GR</t>
    </r>
    <r>
      <rPr>
        <sz val="10"/>
        <color theme="1"/>
        <rFont val="Calibri"/>
        <family val="2"/>
        <scheme val="minor"/>
      </rPr>
      <t xml:space="preserve"> - GREECE
</t>
    </r>
    <r>
      <rPr>
        <b/>
        <sz val="10"/>
        <color theme="1"/>
        <rFont val="Calibri"/>
        <family val="2"/>
        <scheme val="minor"/>
      </rPr>
      <t>GL</t>
    </r>
    <r>
      <rPr>
        <sz val="10"/>
        <color theme="1"/>
        <rFont val="Calibri"/>
        <family val="2"/>
        <scheme val="minor"/>
      </rPr>
      <t xml:space="preserve"> - GREENLAND
</t>
    </r>
    <r>
      <rPr>
        <b/>
        <sz val="10"/>
        <color theme="1"/>
        <rFont val="Calibri"/>
        <family val="2"/>
        <scheme val="minor"/>
      </rPr>
      <t>GD</t>
    </r>
    <r>
      <rPr>
        <sz val="10"/>
        <color theme="1"/>
        <rFont val="Calibri"/>
        <family val="2"/>
        <scheme val="minor"/>
      </rPr>
      <t xml:space="preserve"> - GRENADA
</t>
    </r>
    <r>
      <rPr>
        <b/>
        <sz val="10"/>
        <color theme="1"/>
        <rFont val="Calibri"/>
        <family val="2"/>
        <scheme val="minor"/>
      </rPr>
      <t>GP</t>
    </r>
    <r>
      <rPr>
        <sz val="10"/>
        <color theme="1"/>
        <rFont val="Calibri"/>
        <family val="2"/>
        <scheme val="minor"/>
      </rPr>
      <t xml:space="preserve"> - GUADELOUPE
</t>
    </r>
    <r>
      <rPr>
        <b/>
        <sz val="10"/>
        <color theme="1"/>
        <rFont val="Calibri"/>
        <family val="2"/>
        <scheme val="minor"/>
      </rPr>
      <t>GU</t>
    </r>
    <r>
      <rPr>
        <sz val="10"/>
        <color theme="1"/>
        <rFont val="Calibri"/>
        <family val="2"/>
        <scheme val="minor"/>
      </rPr>
      <t xml:space="preserve"> - GUAM
</t>
    </r>
    <r>
      <rPr>
        <b/>
        <sz val="10"/>
        <color theme="1"/>
        <rFont val="Calibri"/>
        <family val="2"/>
        <scheme val="minor"/>
      </rPr>
      <t>GT</t>
    </r>
    <r>
      <rPr>
        <sz val="10"/>
        <color theme="1"/>
        <rFont val="Calibri"/>
        <family val="2"/>
        <scheme val="minor"/>
      </rPr>
      <t xml:space="preserve"> - GUATEMALA
</t>
    </r>
    <r>
      <rPr>
        <b/>
        <sz val="10"/>
        <color theme="1"/>
        <rFont val="Calibri"/>
        <family val="2"/>
        <scheme val="minor"/>
      </rPr>
      <t>GG</t>
    </r>
    <r>
      <rPr>
        <sz val="10"/>
        <color theme="1"/>
        <rFont val="Calibri"/>
        <family val="2"/>
        <scheme val="minor"/>
      </rPr>
      <t xml:space="preserve"> - GUERNSEY
</t>
    </r>
    <r>
      <rPr>
        <b/>
        <sz val="10"/>
        <color theme="1"/>
        <rFont val="Calibri"/>
        <family val="2"/>
        <scheme val="minor"/>
      </rPr>
      <t>GN</t>
    </r>
    <r>
      <rPr>
        <sz val="10"/>
        <color theme="1"/>
        <rFont val="Calibri"/>
        <family val="2"/>
        <scheme val="minor"/>
      </rPr>
      <t xml:space="preserve"> - GUINEA
</t>
    </r>
    <r>
      <rPr>
        <b/>
        <sz val="10"/>
        <color theme="1"/>
        <rFont val="Calibri"/>
        <family val="2"/>
        <scheme val="minor"/>
      </rPr>
      <t>GW</t>
    </r>
    <r>
      <rPr>
        <sz val="10"/>
        <color theme="1"/>
        <rFont val="Calibri"/>
        <family val="2"/>
        <scheme val="minor"/>
      </rPr>
      <t xml:space="preserve"> - GUINEA-BISSAU
</t>
    </r>
    <r>
      <rPr>
        <b/>
        <sz val="10"/>
        <color theme="1"/>
        <rFont val="Calibri"/>
        <family val="2"/>
        <scheme val="minor"/>
      </rPr>
      <t>GY</t>
    </r>
    <r>
      <rPr>
        <sz val="10"/>
        <color theme="1"/>
        <rFont val="Calibri"/>
        <family val="2"/>
        <scheme val="minor"/>
      </rPr>
      <t xml:space="preserve"> - GUYANA
</t>
    </r>
    <r>
      <rPr>
        <b/>
        <sz val="10"/>
        <color theme="1"/>
        <rFont val="Calibri"/>
        <family val="2"/>
        <scheme val="minor"/>
      </rPr>
      <t>HT</t>
    </r>
    <r>
      <rPr>
        <sz val="10"/>
        <color theme="1"/>
        <rFont val="Calibri"/>
        <family val="2"/>
        <scheme val="minor"/>
      </rPr>
      <t xml:space="preserve"> - HAITI
</t>
    </r>
    <r>
      <rPr>
        <b/>
        <sz val="10"/>
        <color theme="1"/>
        <rFont val="Calibri"/>
        <family val="2"/>
        <scheme val="minor"/>
      </rPr>
      <t>HM</t>
    </r>
    <r>
      <rPr>
        <sz val="10"/>
        <color theme="1"/>
        <rFont val="Calibri"/>
        <family val="2"/>
        <scheme val="minor"/>
      </rPr>
      <t xml:space="preserve"> - HEARD ISLAND AND MCDONALD ISLANDS
</t>
    </r>
    <r>
      <rPr>
        <b/>
        <sz val="10"/>
        <color theme="1"/>
        <rFont val="Calibri"/>
        <family val="2"/>
        <scheme val="minor"/>
      </rPr>
      <t>VA</t>
    </r>
    <r>
      <rPr>
        <sz val="10"/>
        <color theme="1"/>
        <rFont val="Calibri"/>
        <family val="2"/>
        <scheme val="minor"/>
      </rPr>
      <t xml:space="preserve"> - HOLY SEE
</t>
    </r>
    <r>
      <rPr>
        <b/>
        <sz val="10"/>
        <color theme="1"/>
        <rFont val="Calibri"/>
        <family val="2"/>
        <scheme val="minor"/>
      </rPr>
      <t>HN</t>
    </r>
    <r>
      <rPr>
        <sz val="10"/>
        <color theme="1"/>
        <rFont val="Calibri"/>
        <family val="2"/>
        <scheme val="minor"/>
      </rPr>
      <t xml:space="preserve"> - HONDURAS
</t>
    </r>
    <r>
      <rPr>
        <b/>
        <sz val="10"/>
        <color theme="1"/>
        <rFont val="Calibri"/>
        <family val="2"/>
        <scheme val="minor"/>
      </rPr>
      <t>HK</t>
    </r>
    <r>
      <rPr>
        <sz val="10"/>
        <color theme="1"/>
        <rFont val="Calibri"/>
        <family val="2"/>
        <scheme val="minor"/>
      </rPr>
      <t xml:space="preserve"> - HONG KONG
</t>
    </r>
    <r>
      <rPr>
        <b/>
        <sz val="10"/>
        <color theme="1"/>
        <rFont val="Calibri"/>
        <family val="2"/>
        <scheme val="minor"/>
      </rPr>
      <t>HU</t>
    </r>
    <r>
      <rPr>
        <sz val="10"/>
        <color theme="1"/>
        <rFont val="Calibri"/>
        <family val="2"/>
        <scheme val="minor"/>
      </rPr>
      <t xml:space="preserve"> - HUNGARY
</t>
    </r>
    <r>
      <rPr>
        <b/>
        <sz val="10"/>
        <color theme="1"/>
        <rFont val="Calibri"/>
        <family val="2"/>
        <scheme val="minor"/>
      </rPr>
      <t>IS</t>
    </r>
    <r>
      <rPr>
        <sz val="10"/>
        <color theme="1"/>
        <rFont val="Calibri"/>
        <family val="2"/>
        <scheme val="minor"/>
      </rPr>
      <t xml:space="preserve"> - ICELAND
</t>
    </r>
    <r>
      <rPr>
        <b/>
        <sz val="10"/>
        <color theme="1"/>
        <rFont val="Calibri"/>
        <family val="2"/>
        <scheme val="minor"/>
      </rPr>
      <t>IN</t>
    </r>
    <r>
      <rPr>
        <sz val="10"/>
        <color theme="1"/>
        <rFont val="Calibri"/>
        <family val="2"/>
        <scheme val="minor"/>
      </rPr>
      <t xml:space="preserve"> - INDIA
</t>
    </r>
    <r>
      <rPr>
        <b/>
        <sz val="10"/>
        <color theme="1"/>
        <rFont val="Calibri"/>
        <family val="2"/>
        <scheme val="minor"/>
      </rPr>
      <t>ID</t>
    </r>
    <r>
      <rPr>
        <sz val="10"/>
        <color theme="1"/>
        <rFont val="Calibri"/>
        <family val="2"/>
        <scheme val="minor"/>
      </rPr>
      <t xml:space="preserve"> - INDONESIA
</t>
    </r>
    <r>
      <rPr>
        <b/>
        <sz val="10"/>
        <color theme="1"/>
        <rFont val="Calibri"/>
        <family val="2"/>
        <scheme val="minor"/>
      </rPr>
      <t>IR</t>
    </r>
    <r>
      <rPr>
        <sz val="10"/>
        <color theme="1"/>
        <rFont val="Calibri"/>
        <family val="2"/>
        <scheme val="minor"/>
      </rPr>
      <t xml:space="preserve"> - IRAN (ISLAMIC REPUBLIC OF)
</t>
    </r>
    <r>
      <rPr>
        <b/>
        <sz val="10"/>
        <color theme="1"/>
        <rFont val="Calibri"/>
        <family val="2"/>
        <scheme val="minor"/>
      </rPr>
      <t>IQ</t>
    </r>
    <r>
      <rPr>
        <sz val="10"/>
        <color theme="1"/>
        <rFont val="Calibri"/>
        <family val="2"/>
        <scheme val="minor"/>
      </rPr>
      <t xml:space="preserve"> - IRAQ
</t>
    </r>
    <r>
      <rPr>
        <b/>
        <sz val="10"/>
        <color theme="1"/>
        <rFont val="Calibri"/>
        <family val="2"/>
        <scheme val="minor"/>
      </rPr>
      <t>IE</t>
    </r>
    <r>
      <rPr>
        <sz val="10"/>
        <color theme="1"/>
        <rFont val="Calibri"/>
        <family val="2"/>
        <scheme val="minor"/>
      </rPr>
      <t xml:space="preserve"> - IRELAND
</t>
    </r>
    <r>
      <rPr>
        <b/>
        <sz val="10"/>
        <color theme="1"/>
        <rFont val="Calibri"/>
        <family val="2"/>
        <scheme val="minor"/>
      </rPr>
      <t>IM</t>
    </r>
    <r>
      <rPr>
        <sz val="10"/>
        <color theme="1"/>
        <rFont val="Calibri"/>
        <family val="2"/>
        <scheme val="minor"/>
      </rPr>
      <t xml:space="preserve"> - ISLE OF MAN
</t>
    </r>
    <r>
      <rPr>
        <b/>
        <sz val="10"/>
        <color theme="1"/>
        <rFont val="Calibri"/>
        <family val="2"/>
        <scheme val="minor"/>
      </rPr>
      <t>IL</t>
    </r>
    <r>
      <rPr>
        <sz val="10"/>
        <color theme="1"/>
        <rFont val="Calibri"/>
        <family val="2"/>
        <scheme val="minor"/>
      </rPr>
      <t xml:space="preserve"> - ISRAEL
</t>
    </r>
    <r>
      <rPr>
        <b/>
        <sz val="10"/>
        <color theme="1"/>
        <rFont val="Calibri"/>
        <family val="2"/>
        <scheme val="minor"/>
      </rPr>
      <t>IT</t>
    </r>
    <r>
      <rPr>
        <sz val="10"/>
        <color theme="1"/>
        <rFont val="Calibri"/>
        <family val="2"/>
        <scheme val="minor"/>
      </rPr>
      <t xml:space="preserve"> - ITALY
</t>
    </r>
    <r>
      <rPr>
        <b/>
        <sz val="10"/>
        <color theme="1"/>
        <rFont val="Calibri"/>
        <family val="2"/>
        <scheme val="minor"/>
      </rPr>
      <t>JM</t>
    </r>
    <r>
      <rPr>
        <sz val="10"/>
        <color theme="1"/>
        <rFont val="Calibri"/>
        <family val="2"/>
        <scheme val="minor"/>
      </rPr>
      <t xml:space="preserve"> - JAMAICA
</t>
    </r>
    <r>
      <rPr>
        <b/>
        <sz val="10"/>
        <color theme="1"/>
        <rFont val="Calibri"/>
        <family val="2"/>
        <scheme val="minor"/>
      </rPr>
      <t>JP</t>
    </r>
    <r>
      <rPr>
        <sz val="10"/>
        <color theme="1"/>
        <rFont val="Calibri"/>
        <family val="2"/>
        <scheme val="minor"/>
      </rPr>
      <t xml:space="preserve"> - JAPAN
</t>
    </r>
    <r>
      <rPr>
        <b/>
        <sz val="10"/>
        <color theme="1"/>
        <rFont val="Calibri"/>
        <family val="2"/>
        <scheme val="minor"/>
      </rPr>
      <t>JE</t>
    </r>
    <r>
      <rPr>
        <sz val="10"/>
        <color theme="1"/>
        <rFont val="Calibri"/>
        <family val="2"/>
        <scheme val="minor"/>
      </rPr>
      <t xml:space="preserve"> - JERSEY
</t>
    </r>
    <r>
      <rPr>
        <b/>
        <sz val="10"/>
        <color theme="1"/>
        <rFont val="Calibri"/>
        <family val="2"/>
        <scheme val="minor"/>
      </rPr>
      <t>JO</t>
    </r>
    <r>
      <rPr>
        <sz val="10"/>
        <color theme="1"/>
        <rFont val="Calibri"/>
        <family val="2"/>
        <scheme val="minor"/>
      </rPr>
      <t xml:space="preserve"> - JORDAN
</t>
    </r>
    <r>
      <rPr>
        <b/>
        <sz val="10"/>
        <color theme="1"/>
        <rFont val="Calibri"/>
        <family val="2"/>
        <scheme val="minor"/>
      </rPr>
      <t>KZ</t>
    </r>
    <r>
      <rPr>
        <sz val="10"/>
        <color theme="1"/>
        <rFont val="Calibri"/>
        <family val="2"/>
        <scheme val="minor"/>
      </rPr>
      <t xml:space="preserve"> - KAZAKHSTAN
</t>
    </r>
    <r>
      <rPr>
        <b/>
        <sz val="10"/>
        <color theme="1"/>
        <rFont val="Calibri"/>
        <family val="2"/>
        <scheme val="minor"/>
      </rPr>
      <t>KE</t>
    </r>
    <r>
      <rPr>
        <sz val="10"/>
        <color theme="1"/>
        <rFont val="Calibri"/>
        <family val="2"/>
        <scheme val="minor"/>
      </rPr>
      <t xml:space="preserve"> - KENYA
</t>
    </r>
    <r>
      <rPr>
        <b/>
        <sz val="10"/>
        <color theme="1"/>
        <rFont val="Calibri"/>
        <family val="2"/>
        <scheme val="minor"/>
      </rPr>
      <t>KI</t>
    </r>
    <r>
      <rPr>
        <sz val="10"/>
        <color theme="1"/>
        <rFont val="Calibri"/>
        <family val="2"/>
        <scheme val="minor"/>
      </rPr>
      <t xml:space="preserve"> - KIRIBATI
</t>
    </r>
    <r>
      <rPr>
        <b/>
        <sz val="10"/>
        <color theme="1"/>
        <rFont val="Calibri"/>
        <family val="2"/>
        <scheme val="minor"/>
      </rPr>
      <t>KP</t>
    </r>
    <r>
      <rPr>
        <sz val="10"/>
        <color theme="1"/>
        <rFont val="Calibri"/>
        <family val="2"/>
        <scheme val="minor"/>
      </rPr>
      <t xml:space="preserve"> - KOREA (DEMOCRATIC PEOPLE'S REPUBLIC OF)
</t>
    </r>
    <r>
      <rPr>
        <b/>
        <sz val="10"/>
        <color theme="1"/>
        <rFont val="Calibri"/>
        <family val="2"/>
        <scheme val="minor"/>
      </rPr>
      <t>KR</t>
    </r>
    <r>
      <rPr>
        <sz val="10"/>
        <color theme="1"/>
        <rFont val="Calibri"/>
        <family val="2"/>
        <scheme val="minor"/>
      </rPr>
      <t xml:space="preserve"> - KOREA, REPUBLIC OF
</t>
    </r>
    <r>
      <rPr>
        <b/>
        <sz val="10"/>
        <color theme="1"/>
        <rFont val="Calibri"/>
        <family val="2"/>
        <scheme val="minor"/>
      </rPr>
      <t>KW</t>
    </r>
    <r>
      <rPr>
        <sz val="10"/>
        <color theme="1"/>
        <rFont val="Calibri"/>
        <family val="2"/>
        <scheme val="minor"/>
      </rPr>
      <t xml:space="preserve"> - KUWAIT
</t>
    </r>
    <r>
      <rPr>
        <b/>
        <sz val="10"/>
        <color theme="1"/>
        <rFont val="Calibri"/>
        <family val="2"/>
        <scheme val="minor"/>
      </rPr>
      <t>KG</t>
    </r>
    <r>
      <rPr>
        <sz val="10"/>
        <color theme="1"/>
        <rFont val="Calibri"/>
        <family val="2"/>
        <scheme val="minor"/>
      </rPr>
      <t xml:space="preserve"> - KYRGYZSTAN
</t>
    </r>
    <r>
      <rPr>
        <b/>
        <sz val="10"/>
        <color theme="1"/>
        <rFont val="Calibri"/>
        <family val="2"/>
        <scheme val="minor"/>
      </rPr>
      <t>LA</t>
    </r>
    <r>
      <rPr>
        <sz val="10"/>
        <color theme="1"/>
        <rFont val="Calibri"/>
        <family val="2"/>
        <scheme val="minor"/>
      </rPr>
      <t xml:space="preserve"> - LAO PEOPLE'S DEMOCRATIC REPUBLIC
</t>
    </r>
    <r>
      <rPr>
        <b/>
        <sz val="10"/>
        <color theme="1"/>
        <rFont val="Calibri"/>
        <family val="2"/>
        <scheme val="minor"/>
      </rPr>
      <t>LV</t>
    </r>
    <r>
      <rPr>
        <sz val="10"/>
        <color theme="1"/>
        <rFont val="Calibri"/>
        <family val="2"/>
        <scheme val="minor"/>
      </rPr>
      <t xml:space="preserve"> - LATVIA
</t>
    </r>
    <r>
      <rPr>
        <b/>
        <sz val="10"/>
        <color theme="1"/>
        <rFont val="Calibri"/>
        <family val="2"/>
        <scheme val="minor"/>
      </rPr>
      <t>LB</t>
    </r>
    <r>
      <rPr>
        <sz val="10"/>
        <color theme="1"/>
        <rFont val="Calibri"/>
        <family val="2"/>
        <scheme val="minor"/>
      </rPr>
      <t xml:space="preserve"> - LEBANON
</t>
    </r>
    <r>
      <rPr>
        <b/>
        <sz val="10"/>
        <color theme="1"/>
        <rFont val="Calibri"/>
        <family val="2"/>
        <scheme val="minor"/>
      </rPr>
      <t>LS</t>
    </r>
    <r>
      <rPr>
        <sz val="10"/>
        <color theme="1"/>
        <rFont val="Calibri"/>
        <family val="2"/>
        <scheme val="minor"/>
      </rPr>
      <t xml:space="preserve"> - LESOTHO
</t>
    </r>
    <r>
      <rPr>
        <b/>
        <sz val="10"/>
        <color theme="1"/>
        <rFont val="Calibri"/>
        <family val="2"/>
        <scheme val="minor"/>
      </rPr>
      <t>LR</t>
    </r>
    <r>
      <rPr>
        <sz val="10"/>
        <color theme="1"/>
        <rFont val="Calibri"/>
        <family val="2"/>
        <scheme val="minor"/>
      </rPr>
      <t xml:space="preserve"> - LIBERIA
</t>
    </r>
    <r>
      <rPr>
        <b/>
        <sz val="10"/>
        <color theme="1"/>
        <rFont val="Calibri"/>
        <family val="2"/>
        <scheme val="minor"/>
      </rPr>
      <t>LY</t>
    </r>
    <r>
      <rPr>
        <sz val="10"/>
        <color theme="1"/>
        <rFont val="Calibri"/>
        <family val="2"/>
        <scheme val="minor"/>
      </rPr>
      <t xml:space="preserve"> - LIBYA
</t>
    </r>
    <r>
      <rPr>
        <b/>
        <sz val="10"/>
        <color theme="1"/>
        <rFont val="Calibri"/>
        <family val="2"/>
        <scheme val="minor"/>
      </rPr>
      <t>LI</t>
    </r>
    <r>
      <rPr>
        <sz val="10"/>
        <color theme="1"/>
        <rFont val="Calibri"/>
        <family val="2"/>
        <scheme val="minor"/>
      </rPr>
      <t xml:space="preserve"> - LIECHTENSTEIN
</t>
    </r>
    <r>
      <rPr>
        <b/>
        <sz val="10"/>
        <color theme="1"/>
        <rFont val="Calibri"/>
        <family val="2"/>
        <scheme val="minor"/>
      </rPr>
      <t>LT</t>
    </r>
    <r>
      <rPr>
        <sz val="10"/>
        <color theme="1"/>
        <rFont val="Calibri"/>
        <family val="2"/>
        <scheme val="minor"/>
      </rPr>
      <t xml:space="preserve"> - LITHUANIA
</t>
    </r>
    <r>
      <rPr>
        <b/>
        <sz val="10"/>
        <color theme="1"/>
        <rFont val="Calibri"/>
        <family val="2"/>
        <scheme val="minor"/>
      </rPr>
      <t>LU</t>
    </r>
    <r>
      <rPr>
        <sz val="10"/>
        <color theme="1"/>
        <rFont val="Calibri"/>
        <family val="2"/>
        <scheme val="minor"/>
      </rPr>
      <t xml:space="preserve"> - LUXEMBOURG
</t>
    </r>
    <r>
      <rPr>
        <b/>
        <sz val="10"/>
        <color theme="1"/>
        <rFont val="Calibri"/>
        <family val="2"/>
        <scheme val="minor"/>
      </rPr>
      <t>MO</t>
    </r>
    <r>
      <rPr>
        <sz val="10"/>
        <color theme="1"/>
        <rFont val="Calibri"/>
        <family val="2"/>
        <scheme val="minor"/>
      </rPr>
      <t xml:space="preserve"> - MACAO
</t>
    </r>
    <r>
      <rPr>
        <b/>
        <sz val="10"/>
        <color theme="1"/>
        <rFont val="Calibri"/>
        <family val="2"/>
        <scheme val="minor"/>
      </rPr>
      <t>MK</t>
    </r>
    <r>
      <rPr>
        <sz val="10"/>
        <color theme="1"/>
        <rFont val="Calibri"/>
        <family val="2"/>
        <scheme val="minor"/>
      </rPr>
      <t xml:space="preserve"> - NORTH MACEDONIA
</t>
    </r>
    <r>
      <rPr>
        <b/>
        <sz val="10"/>
        <color theme="1"/>
        <rFont val="Calibri"/>
        <family val="2"/>
        <scheme val="minor"/>
      </rPr>
      <t>MG</t>
    </r>
    <r>
      <rPr>
        <sz val="10"/>
        <color theme="1"/>
        <rFont val="Calibri"/>
        <family val="2"/>
        <scheme val="minor"/>
      </rPr>
      <t xml:space="preserve"> - MADAGASCAR
</t>
    </r>
    <r>
      <rPr>
        <b/>
        <sz val="10"/>
        <color theme="1"/>
        <rFont val="Calibri"/>
        <family val="2"/>
        <scheme val="minor"/>
      </rPr>
      <t>MW</t>
    </r>
    <r>
      <rPr>
        <sz val="10"/>
        <color theme="1"/>
        <rFont val="Calibri"/>
        <family val="2"/>
        <scheme val="minor"/>
      </rPr>
      <t xml:space="preserve"> - MALAWI
</t>
    </r>
    <r>
      <rPr>
        <b/>
        <sz val="10"/>
        <color theme="1"/>
        <rFont val="Calibri"/>
        <family val="2"/>
        <scheme val="minor"/>
      </rPr>
      <t>MY</t>
    </r>
    <r>
      <rPr>
        <sz val="10"/>
        <color theme="1"/>
        <rFont val="Calibri"/>
        <family val="2"/>
        <scheme val="minor"/>
      </rPr>
      <t xml:space="preserve"> - MALAYSIA
</t>
    </r>
    <r>
      <rPr>
        <b/>
        <sz val="10"/>
        <color theme="1"/>
        <rFont val="Calibri"/>
        <family val="2"/>
        <scheme val="minor"/>
      </rPr>
      <t>MV</t>
    </r>
    <r>
      <rPr>
        <sz val="10"/>
        <color theme="1"/>
        <rFont val="Calibri"/>
        <family val="2"/>
        <scheme val="minor"/>
      </rPr>
      <t xml:space="preserve"> - MALDIVES
</t>
    </r>
    <r>
      <rPr>
        <b/>
        <sz val="10"/>
        <color theme="1"/>
        <rFont val="Calibri"/>
        <family val="2"/>
        <scheme val="minor"/>
      </rPr>
      <t>ML</t>
    </r>
    <r>
      <rPr>
        <sz val="10"/>
        <color theme="1"/>
        <rFont val="Calibri"/>
        <family val="2"/>
        <scheme val="minor"/>
      </rPr>
      <t xml:space="preserve"> - MALI
</t>
    </r>
    <r>
      <rPr>
        <b/>
        <sz val="10"/>
        <color theme="1"/>
        <rFont val="Calibri"/>
        <family val="2"/>
        <scheme val="minor"/>
      </rPr>
      <t>MT</t>
    </r>
    <r>
      <rPr>
        <sz val="10"/>
        <color theme="1"/>
        <rFont val="Calibri"/>
        <family val="2"/>
        <scheme val="minor"/>
      </rPr>
      <t xml:space="preserve"> - MALTA
</t>
    </r>
    <r>
      <rPr>
        <b/>
        <sz val="10"/>
        <color theme="1"/>
        <rFont val="Calibri"/>
        <family val="2"/>
        <scheme val="minor"/>
      </rPr>
      <t>MH</t>
    </r>
    <r>
      <rPr>
        <sz val="10"/>
        <color theme="1"/>
        <rFont val="Calibri"/>
        <family val="2"/>
        <scheme val="minor"/>
      </rPr>
      <t xml:space="preserve"> - MARSHALL ISLANDS
</t>
    </r>
    <r>
      <rPr>
        <b/>
        <sz val="10"/>
        <color theme="1"/>
        <rFont val="Calibri"/>
        <family val="2"/>
        <scheme val="minor"/>
      </rPr>
      <t>MQ</t>
    </r>
    <r>
      <rPr>
        <sz val="10"/>
        <color theme="1"/>
        <rFont val="Calibri"/>
        <family val="2"/>
        <scheme val="minor"/>
      </rPr>
      <t xml:space="preserve"> - MARTINIQUE
</t>
    </r>
    <r>
      <rPr>
        <b/>
        <sz val="10"/>
        <color theme="1"/>
        <rFont val="Calibri"/>
        <family val="2"/>
        <scheme val="minor"/>
      </rPr>
      <t>MR</t>
    </r>
    <r>
      <rPr>
        <sz val="10"/>
        <color theme="1"/>
        <rFont val="Calibri"/>
        <family val="2"/>
        <scheme val="minor"/>
      </rPr>
      <t xml:space="preserve"> - MAURITANIA
</t>
    </r>
    <r>
      <rPr>
        <b/>
        <sz val="10"/>
        <color theme="1"/>
        <rFont val="Calibri"/>
        <family val="2"/>
        <scheme val="minor"/>
      </rPr>
      <t>MU</t>
    </r>
    <r>
      <rPr>
        <sz val="10"/>
        <color theme="1"/>
        <rFont val="Calibri"/>
        <family val="2"/>
        <scheme val="minor"/>
      </rPr>
      <t xml:space="preserve"> - MAURITIUS
</t>
    </r>
    <r>
      <rPr>
        <b/>
        <sz val="10"/>
        <color theme="1"/>
        <rFont val="Calibri"/>
        <family val="2"/>
        <scheme val="minor"/>
      </rPr>
      <t>YT</t>
    </r>
    <r>
      <rPr>
        <sz val="10"/>
        <color theme="1"/>
        <rFont val="Calibri"/>
        <family val="2"/>
        <scheme val="minor"/>
      </rPr>
      <t xml:space="preserve"> - MAYOTTE
</t>
    </r>
    <r>
      <rPr>
        <b/>
        <sz val="10"/>
        <color theme="1"/>
        <rFont val="Calibri"/>
        <family val="2"/>
        <scheme val="minor"/>
      </rPr>
      <t>MX</t>
    </r>
    <r>
      <rPr>
        <sz val="10"/>
        <color theme="1"/>
        <rFont val="Calibri"/>
        <family val="2"/>
        <scheme val="minor"/>
      </rPr>
      <t xml:space="preserve"> - MEXICO
</t>
    </r>
    <r>
      <rPr>
        <b/>
        <sz val="10"/>
        <color theme="1"/>
        <rFont val="Calibri"/>
        <family val="2"/>
        <scheme val="minor"/>
      </rPr>
      <t>FM</t>
    </r>
    <r>
      <rPr>
        <sz val="10"/>
        <color theme="1"/>
        <rFont val="Calibri"/>
        <family val="2"/>
        <scheme val="minor"/>
      </rPr>
      <t xml:space="preserve"> - MICRONESIA (FEDERATED STATES OF)
</t>
    </r>
    <r>
      <rPr>
        <b/>
        <sz val="10"/>
        <color theme="1"/>
        <rFont val="Calibri"/>
        <family val="2"/>
        <scheme val="minor"/>
      </rPr>
      <t>MD</t>
    </r>
    <r>
      <rPr>
        <sz val="10"/>
        <color theme="1"/>
        <rFont val="Calibri"/>
        <family val="2"/>
        <scheme val="minor"/>
      </rPr>
      <t xml:space="preserve"> - MOLDOVA, REPUBLIC OF
</t>
    </r>
    <r>
      <rPr>
        <b/>
        <sz val="10"/>
        <color theme="1"/>
        <rFont val="Calibri"/>
        <family val="2"/>
        <scheme val="minor"/>
      </rPr>
      <t>MC</t>
    </r>
    <r>
      <rPr>
        <sz val="10"/>
        <color theme="1"/>
        <rFont val="Calibri"/>
        <family val="2"/>
        <scheme val="minor"/>
      </rPr>
      <t xml:space="preserve"> - MONACO
</t>
    </r>
    <r>
      <rPr>
        <b/>
        <sz val="10"/>
        <color theme="1"/>
        <rFont val="Calibri"/>
        <family val="2"/>
        <scheme val="minor"/>
      </rPr>
      <t>MN</t>
    </r>
    <r>
      <rPr>
        <sz val="10"/>
        <color theme="1"/>
        <rFont val="Calibri"/>
        <family val="2"/>
        <scheme val="minor"/>
      </rPr>
      <t xml:space="preserve"> - MONGOLIA
</t>
    </r>
    <r>
      <rPr>
        <b/>
        <sz val="10"/>
        <color theme="1"/>
        <rFont val="Calibri"/>
        <family val="2"/>
        <scheme val="minor"/>
      </rPr>
      <t>ME</t>
    </r>
    <r>
      <rPr>
        <sz val="10"/>
        <color theme="1"/>
        <rFont val="Calibri"/>
        <family val="2"/>
        <scheme val="minor"/>
      </rPr>
      <t xml:space="preserve"> - MONTENEGRO
</t>
    </r>
    <r>
      <rPr>
        <b/>
        <sz val="10"/>
        <color theme="1"/>
        <rFont val="Calibri"/>
        <family val="2"/>
        <scheme val="minor"/>
      </rPr>
      <t>MS</t>
    </r>
    <r>
      <rPr>
        <sz val="10"/>
        <color theme="1"/>
        <rFont val="Calibri"/>
        <family val="2"/>
        <scheme val="minor"/>
      </rPr>
      <t xml:space="preserve"> - MONTSERRAT
</t>
    </r>
    <r>
      <rPr>
        <b/>
        <sz val="10"/>
        <color theme="1"/>
        <rFont val="Calibri"/>
        <family val="2"/>
        <scheme val="minor"/>
      </rPr>
      <t>MA</t>
    </r>
    <r>
      <rPr>
        <sz val="10"/>
        <color theme="1"/>
        <rFont val="Calibri"/>
        <family val="2"/>
        <scheme val="minor"/>
      </rPr>
      <t xml:space="preserve"> - MOROCCO
</t>
    </r>
    <r>
      <rPr>
        <b/>
        <sz val="10"/>
        <color theme="1"/>
        <rFont val="Calibri"/>
        <family val="2"/>
        <scheme val="minor"/>
      </rPr>
      <t>MZ</t>
    </r>
    <r>
      <rPr>
        <sz val="10"/>
        <color theme="1"/>
        <rFont val="Calibri"/>
        <family val="2"/>
        <scheme val="minor"/>
      </rPr>
      <t xml:space="preserve"> - MOZAMBIQUE
</t>
    </r>
    <r>
      <rPr>
        <b/>
        <sz val="10"/>
        <color theme="1"/>
        <rFont val="Calibri"/>
        <family val="2"/>
        <scheme val="minor"/>
      </rPr>
      <t>MM</t>
    </r>
    <r>
      <rPr>
        <sz val="10"/>
        <color theme="1"/>
        <rFont val="Calibri"/>
        <family val="2"/>
        <scheme val="minor"/>
      </rPr>
      <t xml:space="preserve"> - MYANMAR
</t>
    </r>
    <r>
      <rPr>
        <b/>
        <sz val="10"/>
        <color theme="1"/>
        <rFont val="Calibri"/>
        <family val="2"/>
        <scheme val="minor"/>
      </rPr>
      <t>NA</t>
    </r>
    <r>
      <rPr>
        <sz val="10"/>
        <color theme="1"/>
        <rFont val="Calibri"/>
        <family val="2"/>
        <scheme val="minor"/>
      </rPr>
      <t xml:space="preserve"> - NAMIBIA
</t>
    </r>
    <r>
      <rPr>
        <b/>
        <sz val="10"/>
        <color theme="1"/>
        <rFont val="Calibri"/>
        <family val="2"/>
        <scheme val="minor"/>
      </rPr>
      <t>NR</t>
    </r>
    <r>
      <rPr>
        <sz val="10"/>
        <color theme="1"/>
        <rFont val="Calibri"/>
        <family val="2"/>
        <scheme val="minor"/>
      </rPr>
      <t xml:space="preserve"> - NAURU
</t>
    </r>
    <r>
      <rPr>
        <b/>
        <sz val="10"/>
        <color theme="1"/>
        <rFont val="Calibri"/>
        <family val="2"/>
        <scheme val="minor"/>
      </rPr>
      <t>NP</t>
    </r>
    <r>
      <rPr>
        <sz val="10"/>
        <color theme="1"/>
        <rFont val="Calibri"/>
        <family val="2"/>
        <scheme val="minor"/>
      </rPr>
      <t xml:space="preserve"> - NEPAL
</t>
    </r>
    <r>
      <rPr>
        <b/>
        <sz val="10"/>
        <color theme="1"/>
        <rFont val="Calibri"/>
        <family val="2"/>
        <scheme val="minor"/>
      </rPr>
      <t>NL</t>
    </r>
    <r>
      <rPr>
        <sz val="10"/>
        <color theme="1"/>
        <rFont val="Calibri"/>
        <family val="2"/>
        <scheme val="minor"/>
      </rPr>
      <t xml:space="preserve"> - NETHERLANDS
</t>
    </r>
    <r>
      <rPr>
        <b/>
        <sz val="10"/>
        <color theme="1"/>
        <rFont val="Calibri"/>
        <family val="2"/>
        <scheme val="minor"/>
      </rPr>
      <t>NC</t>
    </r>
    <r>
      <rPr>
        <sz val="10"/>
        <color theme="1"/>
        <rFont val="Calibri"/>
        <family val="2"/>
        <scheme val="minor"/>
      </rPr>
      <t xml:space="preserve"> - NEW CALEDONIA
</t>
    </r>
    <r>
      <rPr>
        <b/>
        <sz val="10"/>
        <color theme="1"/>
        <rFont val="Calibri"/>
        <family val="2"/>
        <scheme val="minor"/>
      </rPr>
      <t>NZ</t>
    </r>
    <r>
      <rPr>
        <sz val="10"/>
        <color theme="1"/>
        <rFont val="Calibri"/>
        <family val="2"/>
        <scheme val="minor"/>
      </rPr>
      <t xml:space="preserve"> - NEW ZEALAND
</t>
    </r>
    <r>
      <rPr>
        <b/>
        <sz val="10"/>
        <color theme="1"/>
        <rFont val="Calibri"/>
        <family val="2"/>
        <scheme val="minor"/>
      </rPr>
      <t>NI</t>
    </r>
    <r>
      <rPr>
        <sz val="10"/>
        <color theme="1"/>
        <rFont val="Calibri"/>
        <family val="2"/>
        <scheme val="minor"/>
      </rPr>
      <t xml:space="preserve"> - NICARAGUA
</t>
    </r>
    <r>
      <rPr>
        <b/>
        <sz val="10"/>
        <color theme="1"/>
        <rFont val="Calibri"/>
        <family val="2"/>
        <scheme val="minor"/>
      </rPr>
      <t>NE</t>
    </r>
    <r>
      <rPr>
        <sz val="10"/>
        <color theme="1"/>
        <rFont val="Calibri"/>
        <family val="2"/>
        <scheme val="minor"/>
      </rPr>
      <t xml:space="preserve"> - NIGER
</t>
    </r>
    <r>
      <rPr>
        <b/>
        <sz val="10"/>
        <color theme="1"/>
        <rFont val="Calibri"/>
        <family val="2"/>
        <scheme val="minor"/>
      </rPr>
      <t>NG</t>
    </r>
    <r>
      <rPr>
        <sz val="10"/>
        <color theme="1"/>
        <rFont val="Calibri"/>
        <family val="2"/>
        <scheme val="minor"/>
      </rPr>
      <t xml:space="preserve"> - NIGERIA
</t>
    </r>
    <r>
      <rPr>
        <b/>
        <sz val="10"/>
        <color theme="1"/>
        <rFont val="Calibri"/>
        <family val="2"/>
        <scheme val="minor"/>
      </rPr>
      <t>NU</t>
    </r>
    <r>
      <rPr>
        <sz val="10"/>
        <color theme="1"/>
        <rFont val="Calibri"/>
        <family val="2"/>
        <scheme val="minor"/>
      </rPr>
      <t xml:space="preserve"> - NIUE
</t>
    </r>
    <r>
      <rPr>
        <b/>
        <sz val="10"/>
        <color theme="1"/>
        <rFont val="Calibri"/>
        <family val="2"/>
        <scheme val="minor"/>
      </rPr>
      <t>NF</t>
    </r>
    <r>
      <rPr>
        <sz val="10"/>
        <color theme="1"/>
        <rFont val="Calibri"/>
        <family val="2"/>
        <scheme val="minor"/>
      </rPr>
      <t xml:space="preserve"> - NORFOLK ISLAND
</t>
    </r>
    <r>
      <rPr>
        <b/>
        <sz val="10"/>
        <color theme="1"/>
        <rFont val="Calibri"/>
        <family val="2"/>
        <scheme val="minor"/>
      </rPr>
      <t>MP</t>
    </r>
    <r>
      <rPr>
        <sz val="10"/>
        <color theme="1"/>
        <rFont val="Calibri"/>
        <family val="2"/>
        <scheme val="minor"/>
      </rPr>
      <t xml:space="preserve"> - NORTHERN MARIANA ISLANDS
</t>
    </r>
    <r>
      <rPr>
        <b/>
        <sz val="10"/>
        <color theme="1"/>
        <rFont val="Calibri"/>
        <family val="2"/>
        <scheme val="minor"/>
      </rPr>
      <t>NO</t>
    </r>
    <r>
      <rPr>
        <sz val="10"/>
        <color theme="1"/>
        <rFont val="Calibri"/>
        <family val="2"/>
        <scheme val="minor"/>
      </rPr>
      <t xml:space="preserve"> - NORWAY
</t>
    </r>
    <r>
      <rPr>
        <b/>
        <sz val="10"/>
        <color theme="1"/>
        <rFont val="Calibri"/>
        <family val="2"/>
        <scheme val="minor"/>
      </rPr>
      <t>OM</t>
    </r>
    <r>
      <rPr>
        <sz val="10"/>
        <color theme="1"/>
        <rFont val="Calibri"/>
        <family val="2"/>
        <scheme val="minor"/>
      </rPr>
      <t xml:space="preserve"> - OMAN
</t>
    </r>
    <r>
      <rPr>
        <b/>
        <sz val="10"/>
        <color theme="1"/>
        <rFont val="Calibri"/>
        <family val="2"/>
        <scheme val="minor"/>
      </rPr>
      <t>PK</t>
    </r>
    <r>
      <rPr>
        <sz val="10"/>
        <color theme="1"/>
        <rFont val="Calibri"/>
        <family val="2"/>
        <scheme val="minor"/>
      </rPr>
      <t xml:space="preserve"> - PAKISTAN
</t>
    </r>
    <r>
      <rPr>
        <b/>
        <sz val="10"/>
        <color theme="1"/>
        <rFont val="Calibri"/>
        <family val="2"/>
        <scheme val="minor"/>
      </rPr>
      <t>PW</t>
    </r>
    <r>
      <rPr>
        <sz val="10"/>
        <color theme="1"/>
        <rFont val="Calibri"/>
        <family val="2"/>
        <scheme val="minor"/>
      </rPr>
      <t xml:space="preserve"> - PALAU
</t>
    </r>
    <r>
      <rPr>
        <b/>
        <sz val="10"/>
        <color theme="1"/>
        <rFont val="Calibri"/>
        <family val="2"/>
        <scheme val="minor"/>
      </rPr>
      <t>PS</t>
    </r>
    <r>
      <rPr>
        <sz val="10"/>
        <color theme="1"/>
        <rFont val="Calibri"/>
        <family val="2"/>
        <scheme val="minor"/>
      </rPr>
      <t xml:space="preserve"> - PALESTINE, STATE OF
</t>
    </r>
    <r>
      <rPr>
        <b/>
        <sz val="10"/>
        <color theme="1"/>
        <rFont val="Calibri"/>
        <family val="2"/>
        <scheme val="minor"/>
      </rPr>
      <t>PA</t>
    </r>
    <r>
      <rPr>
        <sz val="10"/>
        <color theme="1"/>
        <rFont val="Calibri"/>
        <family val="2"/>
        <scheme val="minor"/>
      </rPr>
      <t xml:space="preserve"> - PANAMA
</t>
    </r>
    <r>
      <rPr>
        <b/>
        <sz val="10"/>
        <color theme="1"/>
        <rFont val="Calibri"/>
        <family val="2"/>
        <scheme val="minor"/>
      </rPr>
      <t>PG</t>
    </r>
    <r>
      <rPr>
        <sz val="10"/>
        <color theme="1"/>
        <rFont val="Calibri"/>
        <family val="2"/>
        <scheme val="minor"/>
      </rPr>
      <t xml:space="preserve"> - PAPUA NEW GUINEA
</t>
    </r>
    <r>
      <rPr>
        <b/>
        <sz val="10"/>
        <color theme="1"/>
        <rFont val="Calibri"/>
        <family val="2"/>
        <scheme val="minor"/>
      </rPr>
      <t>PY</t>
    </r>
    <r>
      <rPr>
        <sz val="10"/>
        <color theme="1"/>
        <rFont val="Calibri"/>
        <family val="2"/>
        <scheme val="minor"/>
      </rPr>
      <t xml:space="preserve"> - PARAGUAY
</t>
    </r>
    <r>
      <rPr>
        <b/>
        <sz val="10"/>
        <color theme="1"/>
        <rFont val="Calibri"/>
        <family val="2"/>
        <scheme val="minor"/>
      </rPr>
      <t>PE</t>
    </r>
    <r>
      <rPr>
        <sz val="10"/>
        <color theme="1"/>
        <rFont val="Calibri"/>
        <family val="2"/>
        <scheme val="minor"/>
      </rPr>
      <t xml:space="preserve"> - PERU
</t>
    </r>
    <r>
      <rPr>
        <b/>
        <sz val="10"/>
        <color theme="1"/>
        <rFont val="Calibri"/>
        <family val="2"/>
        <scheme val="minor"/>
      </rPr>
      <t>PH</t>
    </r>
    <r>
      <rPr>
        <sz val="10"/>
        <color theme="1"/>
        <rFont val="Calibri"/>
        <family val="2"/>
        <scheme val="minor"/>
      </rPr>
      <t xml:space="preserve"> - PHILIPPINES
</t>
    </r>
    <r>
      <rPr>
        <b/>
        <sz val="10"/>
        <color theme="1"/>
        <rFont val="Calibri"/>
        <family val="2"/>
        <scheme val="minor"/>
      </rPr>
      <t>PN</t>
    </r>
    <r>
      <rPr>
        <sz val="10"/>
        <color theme="1"/>
        <rFont val="Calibri"/>
        <family val="2"/>
        <scheme val="minor"/>
      </rPr>
      <t xml:space="preserve"> - PITCAIRN
</t>
    </r>
    <r>
      <rPr>
        <b/>
        <sz val="10"/>
        <color theme="1"/>
        <rFont val="Calibri"/>
        <family val="2"/>
        <scheme val="minor"/>
      </rPr>
      <t>PL</t>
    </r>
    <r>
      <rPr>
        <sz val="10"/>
        <color theme="1"/>
        <rFont val="Calibri"/>
        <family val="2"/>
        <scheme val="minor"/>
      </rPr>
      <t xml:space="preserve"> - POLAND
</t>
    </r>
    <r>
      <rPr>
        <b/>
        <sz val="10"/>
        <color theme="1"/>
        <rFont val="Calibri"/>
        <family val="2"/>
        <scheme val="minor"/>
      </rPr>
      <t>PT</t>
    </r>
    <r>
      <rPr>
        <sz val="10"/>
        <color theme="1"/>
        <rFont val="Calibri"/>
        <family val="2"/>
        <scheme val="minor"/>
      </rPr>
      <t xml:space="preserve"> - PORTUGAL
</t>
    </r>
    <r>
      <rPr>
        <b/>
        <sz val="10"/>
        <color theme="1"/>
        <rFont val="Calibri"/>
        <family val="2"/>
        <scheme val="minor"/>
      </rPr>
      <t>PR</t>
    </r>
    <r>
      <rPr>
        <sz val="10"/>
        <color theme="1"/>
        <rFont val="Calibri"/>
        <family val="2"/>
        <scheme val="minor"/>
      </rPr>
      <t xml:space="preserve"> - PUERTO RICO
</t>
    </r>
    <r>
      <rPr>
        <b/>
        <sz val="10"/>
        <color theme="1"/>
        <rFont val="Calibri"/>
        <family val="2"/>
        <scheme val="minor"/>
      </rPr>
      <t>QA</t>
    </r>
    <r>
      <rPr>
        <sz val="10"/>
        <color theme="1"/>
        <rFont val="Calibri"/>
        <family val="2"/>
        <scheme val="minor"/>
      </rPr>
      <t xml:space="preserve"> - QATAR
</t>
    </r>
    <r>
      <rPr>
        <b/>
        <sz val="10"/>
        <color theme="1"/>
        <rFont val="Calibri"/>
        <family val="2"/>
        <scheme val="minor"/>
      </rPr>
      <t>RE</t>
    </r>
    <r>
      <rPr>
        <sz val="10"/>
        <color theme="1"/>
        <rFont val="Calibri"/>
        <family val="2"/>
        <scheme val="minor"/>
      </rPr>
      <t xml:space="preserve"> - RÉUNION
</t>
    </r>
    <r>
      <rPr>
        <b/>
        <sz val="10"/>
        <color theme="1"/>
        <rFont val="Calibri"/>
        <family val="2"/>
        <scheme val="minor"/>
      </rPr>
      <t>RO</t>
    </r>
    <r>
      <rPr>
        <sz val="10"/>
        <color theme="1"/>
        <rFont val="Calibri"/>
        <family val="2"/>
        <scheme val="minor"/>
      </rPr>
      <t xml:space="preserve"> - ROMANIA
</t>
    </r>
    <r>
      <rPr>
        <b/>
        <sz val="10"/>
        <color theme="1"/>
        <rFont val="Calibri"/>
        <family val="2"/>
        <scheme val="minor"/>
      </rPr>
      <t>RU</t>
    </r>
    <r>
      <rPr>
        <sz val="10"/>
        <color theme="1"/>
        <rFont val="Calibri"/>
        <family val="2"/>
        <scheme val="minor"/>
      </rPr>
      <t xml:space="preserve"> - RUSSIAN FEDERATION
</t>
    </r>
    <r>
      <rPr>
        <b/>
        <sz val="10"/>
        <color theme="1"/>
        <rFont val="Calibri"/>
        <family val="2"/>
        <scheme val="minor"/>
      </rPr>
      <t>RW</t>
    </r>
    <r>
      <rPr>
        <sz val="10"/>
        <color theme="1"/>
        <rFont val="Calibri"/>
        <family val="2"/>
        <scheme val="minor"/>
      </rPr>
      <t xml:space="preserve"> - RWANDA
</t>
    </r>
    <r>
      <rPr>
        <b/>
        <sz val="10"/>
        <color theme="1"/>
        <rFont val="Calibri"/>
        <family val="2"/>
        <scheme val="minor"/>
      </rPr>
      <t>BL</t>
    </r>
    <r>
      <rPr>
        <sz val="10"/>
        <color theme="1"/>
        <rFont val="Calibri"/>
        <family val="2"/>
        <scheme val="minor"/>
      </rPr>
      <t xml:space="preserve"> - SAINT BARTHÉLEMY
</t>
    </r>
    <r>
      <rPr>
        <b/>
        <sz val="10"/>
        <color theme="1"/>
        <rFont val="Calibri"/>
        <family val="2"/>
        <scheme val="minor"/>
      </rPr>
      <t>SH</t>
    </r>
    <r>
      <rPr>
        <sz val="10"/>
        <color theme="1"/>
        <rFont val="Calibri"/>
        <family val="2"/>
        <scheme val="minor"/>
      </rPr>
      <t xml:space="preserve"> - SAINT HELENA, ASCENSION AND TRISTAN DA CUNHA
</t>
    </r>
    <r>
      <rPr>
        <b/>
        <sz val="10"/>
        <color theme="1"/>
        <rFont val="Calibri"/>
        <family val="2"/>
        <scheme val="minor"/>
      </rPr>
      <t>KN</t>
    </r>
    <r>
      <rPr>
        <sz val="10"/>
        <color theme="1"/>
        <rFont val="Calibri"/>
        <family val="2"/>
        <scheme val="minor"/>
      </rPr>
      <t xml:space="preserve"> - SAINT KITTS AND NEVIS
</t>
    </r>
    <r>
      <rPr>
        <b/>
        <sz val="10"/>
        <color theme="1"/>
        <rFont val="Calibri"/>
        <family val="2"/>
        <scheme val="minor"/>
      </rPr>
      <t>LC</t>
    </r>
    <r>
      <rPr>
        <sz val="10"/>
        <color theme="1"/>
        <rFont val="Calibri"/>
        <family val="2"/>
        <scheme val="minor"/>
      </rPr>
      <t xml:space="preserve"> - SAINT LUCIA
</t>
    </r>
    <r>
      <rPr>
        <b/>
        <sz val="10"/>
        <color theme="1"/>
        <rFont val="Calibri"/>
        <family val="2"/>
        <scheme val="minor"/>
      </rPr>
      <t>MF</t>
    </r>
    <r>
      <rPr>
        <sz val="10"/>
        <color theme="1"/>
        <rFont val="Calibri"/>
        <family val="2"/>
        <scheme val="minor"/>
      </rPr>
      <t xml:space="preserve"> - SAINT MARTIN (FRENCH PART)
</t>
    </r>
    <r>
      <rPr>
        <b/>
        <sz val="10"/>
        <color theme="1"/>
        <rFont val="Calibri"/>
        <family val="2"/>
        <scheme val="minor"/>
      </rPr>
      <t>PM</t>
    </r>
    <r>
      <rPr>
        <sz val="10"/>
        <color theme="1"/>
        <rFont val="Calibri"/>
        <family val="2"/>
        <scheme val="minor"/>
      </rPr>
      <t xml:space="preserve"> - SAINT PIERRE AND MIQUELON
</t>
    </r>
    <r>
      <rPr>
        <b/>
        <sz val="10"/>
        <color theme="1"/>
        <rFont val="Calibri"/>
        <family val="2"/>
        <scheme val="minor"/>
      </rPr>
      <t>VC</t>
    </r>
    <r>
      <rPr>
        <sz val="10"/>
        <color theme="1"/>
        <rFont val="Calibri"/>
        <family val="2"/>
        <scheme val="minor"/>
      </rPr>
      <t xml:space="preserve"> - SAINT VINCENT AND THE GRENADINES
</t>
    </r>
    <r>
      <rPr>
        <b/>
        <sz val="10"/>
        <color theme="1"/>
        <rFont val="Calibri"/>
        <family val="2"/>
        <scheme val="minor"/>
      </rPr>
      <t>WS</t>
    </r>
    <r>
      <rPr>
        <sz val="10"/>
        <color theme="1"/>
        <rFont val="Calibri"/>
        <family val="2"/>
        <scheme val="minor"/>
      </rPr>
      <t xml:space="preserve"> - SAMOA
</t>
    </r>
    <r>
      <rPr>
        <b/>
        <sz val="10"/>
        <color theme="1"/>
        <rFont val="Calibri"/>
        <family val="2"/>
        <scheme val="minor"/>
      </rPr>
      <t>SM</t>
    </r>
    <r>
      <rPr>
        <sz val="10"/>
        <color theme="1"/>
        <rFont val="Calibri"/>
        <family val="2"/>
        <scheme val="minor"/>
      </rPr>
      <t xml:space="preserve"> - SAN MARINO
</t>
    </r>
    <r>
      <rPr>
        <b/>
        <sz val="10"/>
        <color theme="1"/>
        <rFont val="Calibri"/>
        <family val="2"/>
        <scheme val="minor"/>
      </rPr>
      <t>ST</t>
    </r>
    <r>
      <rPr>
        <sz val="10"/>
        <color theme="1"/>
        <rFont val="Calibri"/>
        <family val="2"/>
        <scheme val="minor"/>
      </rPr>
      <t xml:space="preserve"> - SAO TOME AND PRINCIPE
</t>
    </r>
    <r>
      <rPr>
        <b/>
        <sz val="10"/>
        <color theme="1"/>
        <rFont val="Calibri"/>
        <family val="2"/>
        <scheme val="minor"/>
      </rPr>
      <t>SA</t>
    </r>
    <r>
      <rPr>
        <sz val="10"/>
        <color theme="1"/>
        <rFont val="Calibri"/>
        <family val="2"/>
        <scheme val="minor"/>
      </rPr>
      <t xml:space="preserve"> - SAUDI ARABIA
</t>
    </r>
    <r>
      <rPr>
        <b/>
        <sz val="10"/>
        <color theme="1"/>
        <rFont val="Calibri"/>
        <family val="2"/>
        <scheme val="minor"/>
      </rPr>
      <t>SN</t>
    </r>
    <r>
      <rPr>
        <sz val="10"/>
        <color theme="1"/>
        <rFont val="Calibri"/>
        <family val="2"/>
        <scheme val="minor"/>
      </rPr>
      <t xml:space="preserve"> - SENEGAL
</t>
    </r>
    <r>
      <rPr>
        <b/>
        <sz val="10"/>
        <color theme="1"/>
        <rFont val="Calibri"/>
        <family val="2"/>
        <scheme val="minor"/>
      </rPr>
      <t>RS</t>
    </r>
    <r>
      <rPr>
        <sz val="10"/>
        <color theme="1"/>
        <rFont val="Calibri"/>
        <family val="2"/>
        <scheme val="minor"/>
      </rPr>
      <t xml:space="preserve"> - SERBIA
</t>
    </r>
    <r>
      <rPr>
        <b/>
        <sz val="10"/>
        <color theme="1"/>
        <rFont val="Calibri"/>
        <family val="2"/>
        <scheme val="minor"/>
      </rPr>
      <t>SC</t>
    </r>
    <r>
      <rPr>
        <sz val="10"/>
        <color theme="1"/>
        <rFont val="Calibri"/>
        <family val="2"/>
        <scheme val="minor"/>
      </rPr>
      <t xml:space="preserve"> - SEYCHELLES
</t>
    </r>
    <r>
      <rPr>
        <b/>
        <sz val="10"/>
        <color theme="1"/>
        <rFont val="Calibri"/>
        <family val="2"/>
        <scheme val="minor"/>
      </rPr>
      <t>SL</t>
    </r>
    <r>
      <rPr>
        <sz val="10"/>
        <color theme="1"/>
        <rFont val="Calibri"/>
        <family val="2"/>
        <scheme val="minor"/>
      </rPr>
      <t xml:space="preserve"> - SIERRA LEONE
</t>
    </r>
    <r>
      <rPr>
        <b/>
        <sz val="10"/>
        <color theme="1"/>
        <rFont val="Calibri"/>
        <family val="2"/>
        <scheme val="minor"/>
      </rPr>
      <t>SG</t>
    </r>
    <r>
      <rPr>
        <sz val="10"/>
        <color theme="1"/>
        <rFont val="Calibri"/>
        <family val="2"/>
        <scheme val="minor"/>
      </rPr>
      <t xml:space="preserve"> - SINGAPORE
</t>
    </r>
    <r>
      <rPr>
        <b/>
        <sz val="10"/>
        <color theme="1"/>
        <rFont val="Calibri"/>
        <family val="2"/>
        <scheme val="minor"/>
      </rPr>
      <t>SX</t>
    </r>
    <r>
      <rPr>
        <sz val="10"/>
        <color theme="1"/>
        <rFont val="Calibri"/>
        <family val="2"/>
        <scheme val="minor"/>
      </rPr>
      <t xml:space="preserve"> - SINT MAARTEN (DUTCH PART)
</t>
    </r>
    <r>
      <rPr>
        <b/>
        <sz val="10"/>
        <color theme="1"/>
        <rFont val="Calibri"/>
        <family val="2"/>
        <scheme val="minor"/>
      </rPr>
      <t>SK</t>
    </r>
    <r>
      <rPr>
        <sz val="10"/>
        <color theme="1"/>
        <rFont val="Calibri"/>
        <family val="2"/>
        <scheme val="minor"/>
      </rPr>
      <t xml:space="preserve"> - SLOVAKIA
</t>
    </r>
    <r>
      <rPr>
        <b/>
        <sz val="10"/>
        <color theme="1"/>
        <rFont val="Calibri"/>
        <family val="2"/>
        <scheme val="minor"/>
      </rPr>
      <t>SI</t>
    </r>
    <r>
      <rPr>
        <sz val="10"/>
        <color theme="1"/>
        <rFont val="Calibri"/>
        <family val="2"/>
        <scheme val="minor"/>
      </rPr>
      <t xml:space="preserve"> - SLOVENIA
</t>
    </r>
    <r>
      <rPr>
        <b/>
        <sz val="10"/>
        <color theme="1"/>
        <rFont val="Calibri"/>
        <family val="2"/>
        <scheme val="minor"/>
      </rPr>
      <t>SB</t>
    </r>
    <r>
      <rPr>
        <sz val="10"/>
        <color theme="1"/>
        <rFont val="Calibri"/>
        <family val="2"/>
        <scheme val="minor"/>
      </rPr>
      <t xml:space="preserve"> - SOLOMON ISLANDS
</t>
    </r>
    <r>
      <rPr>
        <b/>
        <sz val="10"/>
        <color theme="1"/>
        <rFont val="Calibri"/>
        <family val="2"/>
        <scheme val="minor"/>
      </rPr>
      <t>SO</t>
    </r>
    <r>
      <rPr>
        <sz val="10"/>
        <color theme="1"/>
        <rFont val="Calibri"/>
        <family val="2"/>
        <scheme val="minor"/>
      </rPr>
      <t xml:space="preserve"> - SOMALIA
</t>
    </r>
    <r>
      <rPr>
        <b/>
        <sz val="10"/>
        <color theme="1"/>
        <rFont val="Calibri"/>
        <family val="2"/>
        <scheme val="minor"/>
      </rPr>
      <t>ZA</t>
    </r>
    <r>
      <rPr>
        <sz val="10"/>
        <color theme="1"/>
        <rFont val="Calibri"/>
        <family val="2"/>
        <scheme val="minor"/>
      </rPr>
      <t xml:space="preserve"> - SOUTH AFRICA
</t>
    </r>
    <r>
      <rPr>
        <b/>
        <sz val="10"/>
        <color theme="1"/>
        <rFont val="Calibri"/>
        <family val="2"/>
        <scheme val="minor"/>
      </rPr>
      <t>GS</t>
    </r>
    <r>
      <rPr>
        <sz val="10"/>
        <color theme="1"/>
        <rFont val="Calibri"/>
        <family val="2"/>
        <scheme val="minor"/>
      </rPr>
      <t xml:space="preserve"> - SOUTH GEORGIA AND THE SOUTH SANDWICH ISLANDS
</t>
    </r>
    <r>
      <rPr>
        <b/>
        <sz val="10"/>
        <color theme="1"/>
        <rFont val="Calibri"/>
        <family val="2"/>
        <scheme val="minor"/>
      </rPr>
      <t>SS</t>
    </r>
    <r>
      <rPr>
        <sz val="10"/>
        <color theme="1"/>
        <rFont val="Calibri"/>
        <family val="2"/>
        <scheme val="minor"/>
      </rPr>
      <t xml:space="preserve"> - SOUTH SUDAN
</t>
    </r>
    <r>
      <rPr>
        <b/>
        <sz val="10"/>
        <color theme="1"/>
        <rFont val="Calibri"/>
        <family val="2"/>
        <scheme val="minor"/>
      </rPr>
      <t>ES</t>
    </r>
    <r>
      <rPr>
        <sz val="10"/>
        <color theme="1"/>
        <rFont val="Calibri"/>
        <family val="2"/>
        <scheme val="minor"/>
      </rPr>
      <t xml:space="preserve"> - SPAIN
</t>
    </r>
    <r>
      <rPr>
        <b/>
        <sz val="10"/>
        <color theme="1"/>
        <rFont val="Calibri"/>
        <family val="2"/>
        <scheme val="minor"/>
      </rPr>
      <t>LK</t>
    </r>
    <r>
      <rPr>
        <sz val="10"/>
        <color theme="1"/>
        <rFont val="Calibri"/>
        <family val="2"/>
        <scheme val="minor"/>
      </rPr>
      <t xml:space="preserve"> - SRI LANKA
</t>
    </r>
    <r>
      <rPr>
        <b/>
        <sz val="10"/>
        <color theme="1"/>
        <rFont val="Calibri"/>
        <family val="2"/>
        <scheme val="minor"/>
      </rPr>
      <t>SD</t>
    </r>
    <r>
      <rPr>
        <sz val="10"/>
        <color theme="1"/>
        <rFont val="Calibri"/>
        <family val="2"/>
        <scheme val="minor"/>
      </rPr>
      <t xml:space="preserve"> - SUDAN
</t>
    </r>
    <r>
      <rPr>
        <b/>
        <sz val="10"/>
        <color theme="1"/>
        <rFont val="Calibri"/>
        <family val="2"/>
        <scheme val="minor"/>
      </rPr>
      <t>SR</t>
    </r>
    <r>
      <rPr>
        <sz val="10"/>
        <color theme="1"/>
        <rFont val="Calibri"/>
        <family val="2"/>
        <scheme val="minor"/>
      </rPr>
      <t xml:space="preserve"> - SURINAME
</t>
    </r>
    <r>
      <rPr>
        <b/>
        <sz val="10"/>
        <color theme="1"/>
        <rFont val="Calibri"/>
        <family val="2"/>
        <scheme val="minor"/>
      </rPr>
      <t>SJ</t>
    </r>
    <r>
      <rPr>
        <sz val="10"/>
        <color theme="1"/>
        <rFont val="Calibri"/>
        <family val="2"/>
        <scheme val="minor"/>
      </rPr>
      <t xml:space="preserve"> - SVALBARD AND JAN MAYEN
</t>
    </r>
    <r>
      <rPr>
        <b/>
        <sz val="10"/>
        <color theme="1"/>
        <rFont val="Calibri"/>
        <family val="2"/>
        <scheme val="minor"/>
      </rPr>
      <t>SZ</t>
    </r>
    <r>
      <rPr>
        <sz val="10"/>
        <color theme="1"/>
        <rFont val="Calibri"/>
        <family val="2"/>
        <scheme val="minor"/>
      </rPr>
      <t xml:space="preserve"> - ESWATINI
</t>
    </r>
    <r>
      <rPr>
        <b/>
        <sz val="10"/>
        <color theme="1"/>
        <rFont val="Calibri"/>
        <family val="2"/>
        <scheme val="minor"/>
      </rPr>
      <t>SE</t>
    </r>
    <r>
      <rPr>
        <sz val="10"/>
        <color theme="1"/>
        <rFont val="Calibri"/>
        <family val="2"/>
        <scheme val="minor"/>
      </rPr>
      <t xml:space="preserve"> - SWEDEN
</t>
    </r>
    <r>
      <rPr>
        <b/>
        <sz val="10"/>
        <color theme="1"/>
        <rFont val="Calibri"/>
        <family val="2"/>
        <scheme val="minor"/>
      </rPr>
      <t>CH</t>
    </r>
    <r>
      <rPr>
        <sz val="10"/>
        <color theme="1"/>
        <rFont val="Calibri"/>
        <family val="2"/>
        <scheme val="minor"/>
      </rPr>
      <t xml:space="preserve"> - SWITZERLAND
</t>
    </r>
    <r>
      <rPr>
        <b/>
        <sz val="10"/>
        <color theme="1"/>
        <rFont val="Calibri"/>
        <family val="2"/>
        <scheme val="minor"/>
      </rPr>
      <t>SY</t>
    </r>
    <r>
      <rPr>
        <sz val="10"/>
        <color theme="1"/>
        <rFont val="Calibri"/>
        <family val="2"/>
        <scheme val="minor"/>
      </rPr>
      <t xml:space="preserve"> - SYRIAN ARAB REPUBLIC
</t>
    </r>
    <r>
      <rPr>
        <b/>
        <sz val="10"/>
        <color theme="1"/>
        <rFont val="Calibri"/>
        <family val="2"/>
        <scheme val="minor"/>
      </rPr>
      <t>TW</t>
    </r>
    <r>
      <rPr>
        <sz val="10"/>
        <color theme="1"/>
        <rFont val="Calibri"/>
        <family val="2"/>
        <scheme val="minor"/>
      </rPr>
      <t xml:space="preserve"> - TAIWAN
</t>
    </r>
    <r>
      <rPr>
        <b/>
        <sz val="10"/>
        <color theme="1"/>
        <rFont val="Calibri"/>
        <family val="2"/>
        <scheme val="minor"/>
      </rPr>
      <t>TJ</t>
    </r>
    <r>
      <rPr>
        <sz val="10"/>
        <color theme="1"/>
        <rFont val="Calibri"/>
        <family val="2"/>
        <scheme val="minor"/>
      </rPr>
      <t xml:space="preserve"> - TAJIKISTAN
</t>
    </r>
    <r>
      <rPr>
        <b/>
        <sz val="10"/>
        <color theme="1"/>
        <rFont val="Calibri"/>
        <family val="2"/>
        <scheme val="minor"/>
      </rPr>
      <t>TZ</t>
    </r>
    <r>
      <rPr>
        <sz val="10"/>
        <color theme="1"/>
        <rFont val="Calibri"/>
        <family val="2"/>
        <scheme val="minor"/>
      </rPr>
      <t xml:space="preserve"> - TANZANIA, UNITED REPUBLIC OF
</t>
    </r>
    <r>
      <rPr>
        <b/>
        <sz val="10"/>
        <color theme="1"/>
        <rFont val="Calibri"/>
        <family val="2"/>
        <scheme val="minor"/>
      </rPr>
      <t>TH</t>
    </r>
    <r>
      <rPr>
        <sz val="10"/>
        <color theme="1"/>
        <rFont val="Calibri"/>
        <family val="2"/>
        <scheme val="minor"/>
      </rPr>
      <t xml:space="preserve"> - THAILAND
</t>
    </r>
    <r>
      <rPr>
        <b/>
        <sz val="10"/>
        <color theme="1"/>
        <rFont val="Calibri"/>
        <family val="2"/>
        <scheme val="minor"/>
      </rPr>
      <t>TL</t>
    </r>
    <r>
      <rPr>
        <sz val="10"/>
        <color theme="1"/>
        <rFont val="Calibri"/>
        <family val="2"/>
        <scheme val="minor"/>
      </rPr>
      <t xml:space="preserve"> - TIMOR-LESTE
</t>
    </r>
    <r>
      <rPr>
        <b/>
        <sz val="10"/>
        <color theme="1"/>
        <rFont val="Calibri"/>
        <family val="2"/>
        <scheme val="minor"/>
      </rPr>
      <t>TG</t>
    </r>
    <r>
      <rPr>
        <sz val="10"/>
        <color theme="1"/>
        <rFont val="Calibri"/>
        <family val="2"/>
        <scheme val="minor"/>
      </rPr>
      <t xml:space="preserve"> - TOGO
</t>
    </r>
    <r>
      <rPr>
        <b/>
        <sz val="10"/>
        <color theme="1"/>
        <rFont val="Calibri"/>
        <family val="2"/>
        <scheme val="minor"/>
      </rPr>
      <t>TK</t>
    </r>
    <r>
      <rPr>
        <sz val="10"/>
        <color theme="1"/>
        <rFont val="Calibri"/>
        <family val="2"/>
        <scheme val="minor"/>
      </rPr>
      <t xml:space="preserve"> - TOKELAU
</t>
    </r>
    <r>
      <rPr>
        <b/>
        <sz val="10"/>
        <color theme="1"/>
        <rFont val="Calibri"/>
        <family val="2"/>
        <scheme val="minor"/>
      </rPr>
      <t>TO</t>
    </r>
    <r>
      <rPr>
        <sz val="10"/>
        <color theme="1"/>
        <rFont val="Calibri"/>
        <family val="2"/>
        <scheme val="minor"/>
      </rPr>
      <t xml:space="preserve"> - TONGA
</t>
    </r>
    <r>
      <rPr>
        <b/>
        <sz val="10"/>
        <color theme="1"/>
        <rFont val="Calibri"/>
        <family val="2"/>
        <scheme val="minor"/>
      </rPr>
      <t>TT</t>
    </r>
    <r>
      <rPr>
        <sz val="10"/>
        <color theme="1"/>
        <rFont val="Calibri"/>
        <family val="2"/>
        <scheme val="minor"/>
      </rPr>
      <t xml:space="preserve"> - TRINIDAD AND TOBAGO
</t>
    </r>
    <r>
      <rPr>
        <b/>
        <sz val="10"/>
        <color theme="1"/>
        <rFont val="Calibri"/>
        <family val="2"/>
        <scheme val="minor"/>
      </rPr>
      <t>TN</t>
    </r>
    <r>
      <rPr>
        <sz val="10"/>
        <color theme="1"/>
        <rFont val="Calibri"/>
        <family val="2"/>
        <scheme val="minor"/>
      </rPr>
      <t xml:space="preserve"> - TUNISIA
</t>
    </r>
    <r>
      <rPr>
        <b/>
        <sz val="10"/>
        <color theme="1"/>
        <rFont val="Calibri"/>
        <family val="2"/>
        <scheme val="minor"/>
      </rPr>
      <t>TR</t>
    </r>
    <r>
      <rPr>
        <sz val="10"/>
        <color theme="1"/>
        <rFont val="Calibri"/>
        <family val="2"/>
        <scheme val="minor"/>
      </rPr>
      <t xml:space="preserve"> - TURKEY
</t>
    </r>
    <r>
      <rPr>
        <b/>
        <sz val="10"/>
        <color theme="1"/>
        <rFont val="Calibri"/>
        <family val="2"/>
        <scheme val="minor"/>
      </rPr>
      <t>TM</t>
    </r>
    <r>
      <rPr>
        <sz val="10"/>
        <color theme="1"/>
        <rFont val="Calibri"/>
        <family val="2"/>
        <scheme val="minor"/>
      </rPr>
      <t xml:space="preserve"> - TURKMENISTAN
</t>
    </r>
    <r>
      <rPr>
        <b/>
        <sz val="10"/>
        <color theme="1"/>
        <rFont val="Calibri"/>
        <family val="2"/>
        <scheme val="minor"/>
      </rPr>
      <t>TC</t>
    </r>
    <r>
      <rPr>
        <sz val="10"/>
        <color theme="1"/>
        <rFont val="Calibri"/>
        <family val="2"/>
        <scheme val="minor"/>
      </rPr>
      <t xml:space="preserve"> - TURKS AND CAICOS ISLANDS
</t>
    </r>
    <r>
      <rPr>
        <b/>
        <sz val="10"/>
        <color theme="1"/>
        <rFont val="Calibri"/>
        <family val="2"/>
        <scheme val="minor"/>
      </rPr>
      <t>TV</t>
    </r>
    <r>
      <rPr>
        <sz val="10"/>
        <color theme="1"/>
        <rFont val="Calibri"/>
        <family val="2"/>
        <scheme val="minor"/>
      </rPr>
      <t xml:space="preserve"> - TUVALU
</t>
    </r>
    <r>
      <rPr>
        <b/>
        <sz val="10"/>
        <color theme="1"/>
        <rFont val="Calibri"/>
        <family val="2"/>
        <scheme val="minor"/>
      </rPr>
      <t>UG</t>
    </r>
    <r>
      <rPr>
        <sz val="10"/>
        <color theme="1"/>
        <rFont val="Calibri"/>
        <family val="2"/>
        <scheme val="minor"/>
      </rPr>
      <t xml:space="preserve"> - UGANDA
</t>
    </r>
    <r>
      <rPr>
        <b/>
        <sz val="10"/>
        <color theme="1"/>
        <rFont val="Calibri"/>
        <family val="2"/>
        <scheme val="minor"/>
      </rPr>
      <t>UA</t>
    </r>
    <r>
      <rPr>
        <sz val="10"/>
        <color theme="1"/>
        <rFont val="Calibri"/>
        <family val="2"/>
        <scheme val="minor"/>
      </rPr>
      <t xml:space="preserve"> - UKRAINE
</t>
    </r>
    <r>
      <rPr>
        <b/>
        <sz val="10"/>
        <color theme="1"/>
        <rFont val="Calibri"/>
        <family val="2"/>
        <scheme val="minor"/>
      </rPr>
      <t>AE</t>
    </r>
    <r>
      <rPr>
        <sz val="10"/>
        <color theme="1"/>
        <rFont val="Calibri"/>
        <family val="2"/>
        <scheme val="minor"/>
      </rPr>
      <t xml:space="preserve"> - UNITED ARAB EMIRATES
</t>
    </r>
    <r>
      <rPr>
        <b/>
        <sz val="10"/>
        <color theme="1"/>
        <rFont val="Calibri"/>
        <family val="2"/>
        <scheme val="minor"/>
      </rPr>
      <t>GB</t>
    </r>
    <r>
      <rPr>
        <sz val="10"/>
        <color theme="1"/>
        <rFont val="Calibri"/>
        <family val="2"/>
        <scheme val="minor"/>
      </rPr>
      <t xml:space="preserve"> - UNITED KINGDOM OF GREAT BRITAIN AND NORTHERN IRELAND
</t>
    </r>
    <r>
      <rPr>
        <b/>
        <sz val="10"/>
        <color theme="1"/>
        <rFont val="Calibri"/>
        <family val="2"/>
        <scheme val="minor"/>
      </rPr>
      <t>US</t>
    </r>
    <r>
      <rPr>
        <sz val="10"/>
        <color theme="1"/>
        <rFont val="Calibri"/>
        <family val="2"/>
        <scheme val="minor"/>
      </rPr>
      <t xml:space="preserve"> - UNITED STATES OF AMERICA
</t>
    </r>
    <r>
      <rPr>
        <b/>
        <sz val="10"/>
        <color theme="1"/>
        <rFont val="Calibri"/>
        <family val="2"/>
        <scheme val="minor"/>
      </rPr>
      <t>UM</t>
    </r>
    <r>
      <rPr>
        <sz val="10"/>
        <color theme="1"/>
        <rFont val="Calibri"/>
        <family val="2"/>
        <scheme val="minor"/>
      </rPr>
      <t xml:space="preserve"> - UNITED STATES MINOR OUTLYING ISLANDS
</t>
    </r>
    <r>
      <rPr>
        <b/>
        <sz val="10"/>
        <color theme="1"/>
        <rFont val="Calibri"/>
        <family val="2"/>
        <scheme val="minor"/>
      </rPr>
      <t>UY</t>
    </r>
    <r>
      <rPr>
        <sz val="10"/>
        <color theme="1"/>
        <rFont val="Calibri"/>
        <family val="2"/>
        <scheme val="minor"/>
      </rPr>
      <t xml:space="preserve"> - URUGUAY
</t>
    </r>
    <r>
      <rPr>
        <b/>
        <sz val="10"/>
        <color theme="1"/>
        <rFont val="Calibri"/>
        <family val="2"/>
        <scheme val="minor"/>
      </rPr>
      <t>UZ</t>
    </r>
    <r>
      <rPr>
        <sz val="10"/>
        <color theme="1"/>
        <rFont val="Calibri"/>
        <family val="2"/>
        <scheme val="minor"/>
      </rPr>
      <t xml:space="preserve"> - UZBEKISTAN
</t>
    </r>
    <r>
      <rPr>
        <b/>
        <sz val="10"/>
        <color theme="1"/>
        <rFont val="Calibri"/>
        <family val="2"/>
        <scheme val="minor"/>
      </rPr>
      <t>VU</t>
    </r>
    <r>
      <rPr>
        <sz val="10"/>
        <color theme="1"/>
        <rFont val="Calibri"/>
        <family val="2"/>
        <scheme val="minor"/>
      </rPr>
      <t xml:space="preserve"> - VANUATU
</t>
    </r>
    <r>
      <rPr>
        <b/>
        <sz val="10"/>
        <color theme="1"/>
        <rFont val="Calibri"/>
        <family val="2"/>
        <scheme val="minor"/>
      </rPr>
      <t>VE</t>
    </r>
    <r>
      <rPr>
        <sz val="10"/>
        <color theme="1"/>
        <rFont val="Calibri"/>
        <family val="2"/>
        <scheme val="minor"/>
      </rPr>
      <t xml:space="preserve"> - VENEZUELA (BOLIVARIAN REPUBLIC OF)
</t>
    </r>
    <r>
      <rPr>
        <b/>
        <sz val="10"/>
        <color theme="1"/>
        <rFont val="Calibri"/>
        <family val="2"/>
        <scheme val="minor"/>
      </rPr>
      <t>VN</t>
    </r>
    <r>
      <rPr>
        <sz val="10"/>
        <color theme="1"/>
        <rFont val="Calibri"/>
        <family val="2"/>
        <scheme val="minor"/>
      </rPr>
      <t xml:space="preserve"> - VIET NAM
</t>
    </r>
    <r>
      <rPr>
        <b/>
        <sz val="10"/>
        <color theme="1"/>
        <rFont val="Calibri"/>
        <family val="2"/>
        <scheme val="minor"/>
      </rPr>
      <t>VG</t>
    </r>
    <r>
      <rPr>
        <sz val="10"/>
        <color theme="1"/>
        <rFont val="Calibri"/>
        <family val="2"/>
        <scheme val="minor"/>
      </rPr>
      <t xml:space="preserve"> - VIRGIN ISLANDS (BRITISH)
</t>
    </r>
    <r>
      <rPr>
        <b/>
        <sz val="10"/>
        <color theme="1"/>
        <rFont val="Calibri"/>
        <family val="2"/>
        <scheme val="minor"/>
      </rPr>
      <t>VI</t>
    </r>
    <r>
      <rPr>
        <sz val="10"/>
        <color theme="1"/>
        <rFont val="Calibri"/>
        <family val="2"/>
        <scheme val="minor"/>
      </rPr>
      <t xml:space="preserve"> - VIRGIN ISLANDS (U.S.)
</t>
    </r>
    <r>
      <rPr>
        <b/>
        <sz val="10"/>
        <color theme="1"/>
        <rFont val="Calibri"/>
        <family val="2"/>
        <scheme val="minor"/>
      </rPr>
      <t>WF</t>
    </r>
    <r>
      <rPr>
        <sz val="10"/>
        <color theme="1"/>
        <rFont val="Calibri"/>
        <family val="2"/>
        <scheme val="minor"/>
      </rPr>
      <t xml:space="preserve"> - WALLIS AND FUTUNA
</t>
    </r>
    <r>
      <rPr>
        <b/>
        <sz val="10"/>
        <color theme="1"/>
        <rFont val="Calibri"/>
        <family val="2"/>
        <scheme val="minor"/>
      </rPr>
      <t>EH</t>
    </r>
    <r>
      <rPr>
        <sz val="10"/>
        <color theme="1"/>
        <rFont val="Calibri"/>
        <family val="2"/>
        <scheme val="minor"/>
      </rPr>
      <t xml:space="preserve"> - WESTERN SAHARA
</t>
    </r>
    <r>
      <rPr>
        <b/>
        <sz val="10"/>
        <color theme="1"/>
        <rFont val="Calibri"/>
        <family val="2"/>
        <scheme val="minor"/>
      </rPr>
      <t>YE</t>
    </r>
    <r>
      <rPr>
        <sz val="10"/>
        <color theme="1"/>
        <rFont val="Calibri"/>
        <family val="2"/>
        <scheme val="minor"/>
      </rPr>
      <t xml:space="preserve"> - YEMEN
</t>
    </r>
    <r>
      <rPr>
        <b/>
        <sz val="10"/>
        <color theme="1"/>
        <rFont val="Calibri"/>
        <family val="2"/>
        <scheme val="minor"/>
      </rPr>
      <t>ZM</t>
    </r>
    <r>
      <rPr>
        <sz val="10"/>
        <color theme="1"/>
        <rFont val="Calibri"/>
        <family val="2"/>
        <scheme val="minor"/>
      </rPr>
      <t xml:space="preserve"> - ZAMBIA
</t>
    </r>
    <r>
      <rPr>
        <b/>
        <sz val="10"/>
        <color theme="1"/>
        <rFont val="Calibri"/>
        <family val="2"/>
        <scheme val="minor"/>
      </rPr>
      <t>ZW</t>
    </r>
    <r>
      <rPr>
        <sz val="10"/>
        <color theme="1"/>
        <rFont val="Calibri"/>
        <family val="2"/>
        <scheme val="minor"/>
      </rPr>
      <t xml:space="preserve"> - ZIMBABWE
</t>
    </r>
  </si>
  <si>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Contact -&gt; Address
Early Learning -&gt; EL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</si>
  <si>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The CEDS Country Code option set comes from the ISO 3166 standard, the short name for Officially assigned codes. Discontinued codes from the ISO standard are not included in the CEDS list.</t>
  </si>
  <si>
    <t>000050</t>
  </si>
  <si>
    <t>CountryCode</t>
  </si>
  <si>
    <t>Early Learning -&gt; Program Entry
Early Learning -&gt; Staff Quality
Early Learning -&gt; Workforce Development
Postsecondary Education -&gt; Complete College America
Postsecondary Education -&gt; IPEDS</t>
  </si>
  <si>
    <t>Country of Birth Code</t>
  </si>
  <si>
    <t>The unique two digit International Organization for Standardization (ISO) code for the country in which a person is born.</t>
  </si>
  <si>
    <t>Adult Education -&gt; AE Staff -&gt; Demographic (added)
Adult Education -&gt; AE Student -&gt; Demographic (added)
Career and Technical -&gt; CTE Staff -&gt; Demographic (added)
Career and Technical -&gt; CTE Student -&gt; Demographic (added)
Early Learning -&gt; EL Child -&gt; Demographic (added)
Early Learning -&gt; EL Staff -&gt; Demographic (added)
Early Learning -&gt; Parent/Guardian -&gt; Demographic (added)
K12 -&gt; K12 Staff -&gt; Demographic (added)
K12 -&gt; K12 Student -&gt; Demographic
K12 -&gt; Parent/Guardian -&gt; Demographic (added)
Postsecondary -&gt; Parent/Guardian -&gt; Demographic (added)
Postsecondary -&gt; PS Staff -&gt; Demographic (added)
Postsecondary -&gt; PS Student -&gt; Demographic (added)
Workforce -&gt; Workforce Program Participant -&gt; Demographic (added)</t>
  </si>
  <si>
    <t>Element applied to additional DES contexts.</t>
  </si>
  <si>
    <t>000051</t>
  </si>
  <si>
    <t>CountryOfBirthCode</t>
  </si>
  <si>
    <t>K-12 -&gt; High School Generated Transcript
K-12 -&gt; LEA-to-LEA Student Record Exchange
K-12 -&gt; LEA-to-SEA Student Record Exchange
K-12 -&gt; Migrant Student Data Exchange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</si>
  <si>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</si>
  <si>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https://www.census.gov/library/reference/code-lists/ansi.html#par_statelist.</t>
  </si>
  <si>
    <t>Adult Education -&gt; AE Staff -&gt; Contact -&gt; Address (added)
Adult Education -&gt; AE Student -&gt; Contact -&gt; Address (added)
Career and Technical -&gt; CTE Staff -&gt; Contact -&gt; Address (added)
Career and Technical -&gt; CTE Student -&gt; Contact -&gt; Address (added)
Early Learning -&gt; EL Child -&gt; Contact -&gt; Address (added)
Early Learning -&gt; EL Organization -&gt; Address
Early Learning -&gt; EL Organization -&gt; Contact -&gt; Address
Early Learning -&gt; EL Staff -&gt; Contact -&gt; Address (added)
Early Learning -&gt; EL Staff -&gt; Professional Development -&gt; Instructor (added)
Early Learning -&gt; EL Staff -&gt; Professional Development Activity -&gt; Session - Location (added)
Early Learning -&gt; Parent/Guardian -&gt; Contact -&gt; Address (added)
Facilities -&gt; Facility -&gt; Address
K12 -&gt; K12 School -&gt; Address
K12 -&gt; K12 Staff -&gt; Contact -&gt; Address (added)
K12 -&gt; K12 Staff -&gt; Professional Development -&gt; Instructor (added)
K12 -&gt; K12 Staff -&gt; Professional Development Activity -&gt; Session - Location (added)
K12 -&gt; K12 Student -&gt; Contact -&gt; Address (added)
K12 -&gt; LEA -&gt; Address
K12 -&gt; Organization -&gt; Address
K12 -&gt; Organization -&gt; Contact -&gt; Address
K12 -&gt; Parent/Guardian -&gt; Contact -&gt; Address (added)
K12 -&gt; Program -&gt; Address (added)
K12 -&gt; SEA -&gt; Address (added)
K12 -&gt; SEA -&gt; Contact -&gt; Address (added)
Postsecondary -&gt; Organization -&gt; Address
Postsecondary -&gt; Organization -&gt; Contact -&gt; Address
Postsecondary -&gt; Parent/Guardian -&gt; Contact -&gt; Address (added)
Postsecondary -&gt; PS Institution -&gt; Address
Postsecondary -&gt; PS Staff -&gt; Contact -&gt; Address (added)
Postsecondary -&gt; PS Student -&gt; Contact -&gt; Address (added)
Postsecondary -&gt; PS Student -&gt; K12 T</t>
  </si>
  <si>
    <t>Integer - 5 digits with leading zeros</t>
  </si>
  <si>
    <t>Corrected broken census.gov URL in definition. Element applied to additional DES contexts.</t>
  </si>
  <si>
    <t>001209</t>
  </si>
  <si>
    <t>CountyANSICode</t>
  </si>
  <si>
    <t>Course Academic Grade</t>
  </si>
  <si>
    <t>The final grade awarded for participation in the course.</t>
  </si>
  <si>
    <t>Adult Education -&gt; Course Section -&gt; Enrollment
Career and Technical -&gt; Course Section -&gt; Enrollment
Postsecondary -&gt; Course Section -&gt; Enrollment</t>
  </si>
  <si>
    <t>Alphanumeric - 15 characters maximum</t>
  </si>
  <si>
    <t>000053</t>
  </si>
  <si>
    <t>CourseAcademicGrade</t>
  </si>
  <si>
    <t>Course Academic Grade Scale Code</t>
  </si>
  <si>
    <t>The grading scale used by an academic educational institution for an academic course.</t>
  </si>
  <si>
    <t>Adult Education -&gt; Course Section
Career and Technical -&gt; Course Section
Postsecondary -&gt; Course Section</t>
  </si>
  <si>
    <t>Integer - 2 digits with leading zeros</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</si>
  <si>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</si>
  <si>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</si>
  <si>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</si>
  <si>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</si>
  <si>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</si>
  <si>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r>
      <t>AuditedCourse</t>
    </r>
    <r>
      <rPr>
        <sz val="10"/>
        <color theme="1"/>
        <rFont val="Calibri"/>
        <family val="2"/>
        <scheme val="minor"/>
      </rPr>
      <t xml:space="preserve"> - Audited or visited the course
</t>
    </r>
    <r>
      <rPr>
        <b/>
        <sz val="10"/>
        <color theme="1"/>
        <rFont val="Calibri"/>
        <family val="2"/>
        <scheme val="minor"/>
      </rPr>
      <t>HonorsGrade</t>
    </r>
    <r>
      <rPr>
        <sz val="10"/>
        <color theme="1"/>
        <rFont val="Calibri"/>
        <family val="2"/>
        <scheme val="minor"/>
      </rPr>
      <t xml:space="preserve"> - Honors grade
</t>
    </r>
    <r>
      <rPr>
        <b/>
        <sz val="10"/>
        <color theme="1"/>
        <rFont val="Calibri"/>
        <family val="2"/>
        <scheme val="minor"/>
      </rPr>
      <t>Incomplete</t>
    </r>
    <r>
      <rPr>
        <sz val="10"/>
        <color theme="1"/>
        <rFont val="Calibri"/>
        <family val="2"/>
        <scheme val="minor"/>
      </rPr>
      <t xml:space="preserve"> - Incomplete
</t>
    </r>
    <r>
      <rPr>
        <b/>
        <sz val="10"/>
        <color theme="1"/>
        <rFont val="Calibri"/>
        <family val="2"/>
        <scheme val="minor"/>
      </rPr>
      <t>IncompleteNotResolvedFail</t>
    </r>
    <r>
      <rPr>
        <sz val="10"/>
        <color theme="1"/>
        <rFont val="Calibri"/>
        <family val="2"/>
        <scheme val="minor"/>
      </rPr>
      <t xml:space="preserve"> - Incomplete Not Resolved Fail
</t>
    </r>
    <r>
      <rPr>
        <b/>
        <sz val="10"/>
        <color theme="1"/>
        <rFont val="Calibri"/>
        <family val="2"/>
        <scheme val="minor"/>
      </rPr>
      <t>InProgress</t>
    </r>
    <r>
      <rPr>
        <sz val="10"/>
        <color theme="1"/>
        <rFont val="Calibri"/>
        <family val="2"/>
        <scheme val="minor"/>
      </rPr>
      <t xml:space="preserve"> - In Progress
</t>
    </r>
    <r>
      <rPr>
        <b/>
        <sz val="10"/>
        <color theme="1"/>
        <rFont val="Calibri"/>
        <family val="2"/>
        <scheme val="minor"/>
      </rPr>
      <t>NotYetReported</t>
    </r>
    <r>
      <rPr>
        <sz val="10"/>
        <color theme="1"/>
        <rFont val="Calibri"/>
        <family val="2"/>
        <scheme val="minor"/>
      </rPr>
      <t xml:space="preserve"> - Not Yet Reported
</t>
    </r>
    <r>
      <rPr>
        <b/>
        <sz val="10"/>
        <color theme="1"/>
        <rFont val="Calibri"/>
        <family val="2"/>
        <scheme val="minor"/>
      </rPr>
      <t>OtherFail</t>
    </r>
    <r>
      <rPr>
        <sz val="10"/>
        <color theme="1"/>
        <rFont val="Calibri"/>
        <family val="2"/>
        <scheme val="minor"/>
      </rPr>
      <t xml:space="preserve"> - Other Fail
</t>
    </r>
    <r>
      <rPr>
        <b/>
        <sz val="10"/>
        <color theme="1"/>
        <rFont val="Calibri"/>
        <family val="2"/>
        <scheme val="minor"/>
      </rPr>
      <t>OtherPass</t>
    </r>
    <r>
      <rPr>
        <sz val="10"/>
        <color theme="1"/>
        <rFont val="Calibri"/>
        <family val="2"/>
        <scheme val="minor"/>
      </rPr>
      <t xml:space="preserve"> - Other Pass
</t>
    </r>
    <r>
      <rPr>
        <b/>
        <sz val="10"/>
        <color theme="1"/>
        <rFont val="Calibri"/>
        <family val="2"/>
        <scheme val="minor"/>
      </rPr>
      <t>PassFailFail</t>
    </r>
    <r>
      <rPr>
        <sz val="10"/>
        <color theme="1"/>
        <rFont val="Calibri"/>
        <family val="2"/>
        <scheme val="minor"/>
      </rPr>
      <t xml:space="preserve"> - Pass-Fail : Fail
</t>
    </r>
    <r>
      <rPr>
        <b/>
        <sz val="10"/>
        <color theme="1"/>
        <rFont val="Calibri"/>
        <family val="2"/>
        <scheme val="minor"/>
      </rPr>
      <t>PassFailPass</t>
    </r>
    <r>
      <rPr>
        <sz val="10"/>
        <color theme="1"/>
        <rFont val="Calibri"/>
        <family val="2"/>
        <scheme val="minor"/>
      </rPr>
      <t xml:space="preserve"> - Pass-Fail : Pass
</t>
    </r>
    <r>
      <rPr>
        <b/>
        <sz val="10"/>
        <color theme="1"/>
        <rFont val="Calibri"/>
        <family val="2"/>
        <scheme val="minor"/>
      </rPr>
      <t>TransferNoGrade</t>
    </r>
    <r>
      <rPr>
        <sz val="10"/>
        <color theme="1"/>
        <rFont val="Calibri"/>
        <family val="2"/>
        <scheme val="minor"/>
      </rPr>
      <t xml:space="preserve"> - Transfer No Grade
</t>
    </r>
    <r>
      <rPr>
        <b/>
        <sz val="10"/>
        <color theme="1"/>
        <rFont val="Calibri"/>
        <family val="2"/>
        <scheme val="minor"/>
      </rPr>
      <t>Withdrew</t>
    </r>
    <r>
      <rPr>
        <sz val="10"/>
        <color theme="1"/>
        <rFont val="Calibri"/>
        <family val="2"/>
        <scheme val="minor"/>
      </rPr>
      <t xml:space="preserve"> - Withdrew
</t>
    </r>
    <r>
      <rPr>
        <b/>
        <sz val="10"/>
        <color theme="1"/>
        <rFont val="Calibri"/>
        <family val="2"/>
        <scheme val="minor"/>
      </rPr>
      <t>WithdrewFailing</t>
    </r>
    <r>
      <rPr>
        <sz val="10"/>
        <color theme="1"/>
        <rFont val="Calibri"/>
        <family val="2"/>
        <scheme val="minor"/>
      </rPr>
      <t xml:space="preserve"> - Withdrew failing
</t>
    </r>
    <r>
      <rPr>
        <b/>
        <sz val="10"/>
        <color theme="1"/>
        <rFont val="Calibri"/>
        <family val="2"/>
        <scheme val="minor"/>
      </rPr>
      <t>WithdrewNoPenalty</t>
    </r>
    <r>
      <rPr>
        <sz val="10"/>
        <color theme="1"/>
        <rFont val="Calibri"/>
        <family val="2"/>
        <scheme val="minor"/>
      </rPr>
      <t xml:space="preserve"> - Withdrew No Penalty
</t>
    </r>
    <r>
      <rPr>
        <b/>
        <sz val="10"/>
        <color theme="1"/>
        <rFont val="Calibri"/>
        <family val="2"/>
        <scheme val="minor"/>
      </rPr>
      <t>WithdrewPassing</t>
    </r>
    <r>
      <rPr>
        <sz val="10"/>
        <color theme="1"/>
        <rFont val="Calibri"/>
        <family val="2"/>
        <scheme val="minor"/>
      </rPr>
      <t xml:space="preserve"> - Withdrew passing
</t>
    </r>
  </si>
  <si>
    <t>Adult Education -&gt; Course Section -&gt; Enrollment -&gt; Student Course Section Mark
Career and Technical -&gt; Course Section -&gt; Enrollment -&gt; Student Course Section Mark
Postsecondary -&gt; Course Section -&gt; Enrollment -&gt; Student Course Section Mark</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</si>
  <si>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</si>
  <si>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</si>
  <si>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</si>
  <si>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</si>
  <si>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</si>
  <si>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</si>
  <si>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</si>
  <si>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</si>
  <si>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</si>
  <si>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</si>
  <si>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</si>
  <si>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</si>
  <si>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r>
      <t>IT</t>
    </r>
    <r>
      <rPr>
        <sz val="10"/>
        <color theme="1"/>
        <rFont val="Calibri"/>
        <family val="2"/>
        <scheme val="minor"/>
      </rPr>
      <t xml:space="preserve"> - Infant/toddler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AS</t>
    </r>
    <r>
      <rPr>
        <sz val="10"/>
        <color theme="1"/>
        <rFont val="Calibri"/>
        <family val="2"/>
        <scheme val="minor"/>
      </rPr>
      <t xml:space="preserve"> - Associate's degree
</t>
    </r>
    <r>
      <rPr>
        <b/>
        <sz val="10"/>
        <color theme="1"/>
        <rFont val="Calibri"/>
        <family val="2"/>
        <scheme val="minor"/>
      </rPr>
      <t>BA</t>
    </r>
    <r>
      <rPr>
        <sz val="10"/>
        <color theme="1"/>
        <rFont val="Calibri"/>
        <family val="2"/>
        <scheme val="minor"/>
      </rPr>
      <t xml:space="preserve"> - Bachelor's degree
</t>
    </r>
    <r>
      <rPr>
        <b/>
        <sz val="10"/>
        <color theme="1"/>
        <rFont val="Calibri"/>
        <family val="2"/>
        <scheme val="minor"/>
      </rPr>
      <t>PB</t>
    </r>
    <r>
      <rPr>
        <sz val="10"/>
        <color theme="1"/>
        <rFont val="Calibri"/>
        <family val="2"/>
        <scheme val="minor"/>
      </rPr>
      <t xml:space="preserve"> - Post-baccalaureate certificate
</t>
    </r>
    <r>
      <rPr>
        <b/>
        <sz val="10"/>
        <color theme="1"/>
        <rFont val="Calibri"/>
        <family val="2"/>
        <scheme val="minor"/>
      </rPr>
      <t>MD</t>
    </r>
    <r>
      <rPr>
        <sz val="10"/>
        <color theme="1"/>
        <rFont val="Calibri"/>
        <family val="2"/>
        <scheme val="minor"/>
      </rPr>
      <t xml:space="preserve"> - Master's degree
</t>
    </r>
    <r>
      <rPr>
        <b/>
        <sz val="10"/>
        <color theme="1"/>
        <rFont val="Calibri"/>
        <family val="2"/>
        <scheme val="minor"/>
      </rPr>
      <t>PM</t>
    </r>
    <r>
      <rPr>
        <sz val="10"/>
        <color theme="1"/>
        <rFont val="Calibri"/>
        <family val="2"/>
        <scheme val="minor"/>
      </rPr>
      <t xml:space="preserve"> - Post-master's certificate
</t>
    </r>
    <r>
      <rPr>
        <b/>
        <sz val="10"/>
        <color theme="1"/>
        <rFont val="Calibri"/>
        <family val="2"/>
        <scheme val="minor"/>
      </rPr>
      <t>DO</t>
    </r>
    <r>
      <rPr>
        <sz val="10"/>
        <color theme="1"/>
        <rFont val="Calibri"/>
        <family val="2"/>
        <scheme val="minor"/>
      </rPr>
      <t xml:space="preserve"> - Doctoral degree
</t>
    </r>
    <r>
      <rPr>
        <b/>
        <sz val="10"/>
        <color theme="1"/>
        <rFont val="Calibri"/>
        <family val="2"/>
        <scheme val="minor"/>
      </rPr>
      <t>PD</t>
    </r>
    <r>
      <rPr>
        <sz val="10"/>
        <color theme="1"/>
        <rFont val="Calibri"/>
        <family val="2"/>
        <scheme val="minor"/>
      </rPr>
      <t xml:space="preserve"> - Post-doctoral certificate
</t>
    </r>
    <r>
      <rPr>
        <b/>
        <sz val="10"/>
        <color theme="1"/>
        <rFont val="Calibri"/>
        <family val="2"/>
        <scheme val="minor"/>
      </rPr>
      <t>AE</t>
    </r>
    <r>
      <rPr>
        <sz val="10"/>
        <color theme="1"/>
        <rFont val="Calibri"/>
        <family val="2"/>
        <scheme val="minor"/>
      </rPr>
      <t xml:space="preserve"> - Adult Education
</t>
    </r>
    <r>
      <rPr>
        <b/>
        <sz val="10"/>
        <color theme="1"/>
        <rFont val="Calibri"/>
        <family val="2"/>
        <scheme val="minor"/>
      </rPr>
      <t>PT</t>
    </r>
    <r>
      <rPr>
        <sz val="10"/>
        <color theme="1"/>
        <rFont val="Calibri"/>
        <family val="2"/>
        <scheme val="minor"/>
      </rPr>
      <t xml:space="preserve"> - Professional or technical credential
</t>
    </r>
    <r>
      <rPr>
        <b/>
        <sz val="10"/>
        <color theme="1"/>
        <rFont val="Calibri"/>
        <family val="2"/>
        <scheme val="minor"/>
      </rPr>
      <t>OT</t>
    </r>
    <r>
      <rPr>
        <sz val="10"/>
        <color theme="1"/>
        <rFont val="Calibri"/>
        <family val="2"/>
        <scheme val="minor"/>
      </rPr>
      <t xml:space="preserve"> - Other
</t>
    </r>
  </si>
  <si>
    <t>Adult Education -&gt; Course Section
Career and Technical -&gt; Course Section
K12 -&gt; Course Section
K12 -&gt; K12 Course</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</si>
  <si>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</si>
  <si>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</si>
  <si>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</si>
  <si>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</si>
  <si>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</si>
  <si>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</si>
  <si>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</si>
  <si>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</si>
  <si>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</si>
  <si>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</si>
  <si>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</si>
  <si>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</si>
  <si>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</si>
  <si>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r>
      <t>Intermediate</t>
    </r>
    <r>
      <rPr>
        <sz val="10"/>
        <color theme="1"/>
        <rFont val="Calibri"/>
        <family val="2"/>
        <scheme val="minor"/>
      </rPr>
      <t xml:space="preserve"> - Intermediate agency course code
</t>
    </r>
    <r>
      <rPr>
        <b/>
        <sz val="10"/>
        <color theme="1"/>
        <rFont val="Calibri"/>
        <family val="2"/>
        <scheme val="minor"/>
      </rPr>
      <t>LEA</t>
    </r>
    <r>
      <rPr>
        <sz val="10"/>
        <color theme="1"/>
        <rFont val="Calibri"/>
        <family val="2"/>
        <scheme val="minor"/>
      </rPr>
      <t xml:space="preserve"> - LEA course code
</t>
    </r>
    <r>
      <rPr>
        <b/>
        <sz val="10"/>
        <color theme="1"/>
        <rFont val="Calibri"/>
        <family val="2"/>
        <scheme val="minor"/>
      </rPr>
      <t>NCES</t>
    </r>
    <r>
      <rPr>
        <sz val="10"/>
        <color theme="1"/>
        <rFont val="Calibri"/>
        <family val="2"/>
        <scheme val="minor"/>
      </rPr>
      <t xml:space="preserve"> - NCES Pilot Standard National Course Classification System for Secondary Education Codes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SCED</t>
    </r>
    <r>
      <rPr>
        <sz val="10"/>
        <color theme="1"/>
        <rFont val="Calibri"/>
        <family val="2"/>
        <scheme val="minor"/>
      </rPr>
      <t xml:space="preserve"> - School Codes for the Exchange of Data (SCED) course code
</t>
    </r>
    <r>
      <rPr>
        <b/>
        <sz val="10"/>
        <color theme="1"/>
        <rFont val="Calibri"/>
        <family val="2"/>
        <scheme val="minor"/>
      </rPr>
      <t>School</t>
    </r>
    <r>
      <rPr>
        <sz val="10"/>
        <color theme="1"/>
        <rFont val="Calibri"/>
        <family val="2"/>
        <scheme val="minor"/>
      </rPr>
      <t xml:space="preserve"> - School course code
</t>
    </r>
    <r>
      <rPr>
        <b/>
        <sz val="10"/>
        <color theme="1"/>
        <rFont val="Calibri"/>
        <family val="2"/>
        <scheme val="minor"/>
      </rPr>
      <t>State</t>
    </r>
    <r>
      <rPr>
        <sz val="10"/>
        <color theme="1"/>
        <rFont val="Calibri"/>
        <family val="2"/>
        <scheme val="minor"/>
      </rPr>
      <t xml:space="preserve"> - State course code
</t>
    </r>
    <r>
      <rPr>
        <b/>
        <sz val="10"/>
        <color theme="1"/>
        <rFont val="Calibri"/>
        <family val="2"/>
        <scheme val="minor"/>
      </rPr>
      <t>University</t>
    </r>
    <r>
      <rPr>
        <sz val="10"/>
        <color theme="1"/>
        <rFont val="Calibri"/>
        <family val="2"/>
        <scheme val="minor"/>
      </rPr>
      <t xml:space="preserve"> - University course code
</t>
    </r>
  </si>
  <si>
    <t>Adult Education -&gt; Course Section -&gt; Course
Career and Technical -&gt; Course
Career and Technical -&gt; Course Section -&gt; Course
K12 -&gt; Course Section -&gt; Course
K12 -&gt; K12 Course
K12 -&gt; K12 Student -&gt; Academic Record
K12 -&gt; K12 Student -&gt; Graduation Plan -&gt; Course</t>
  </si>
  <si>
    <t>000056</t>
  </si>
  <si>
    <t>CourseCodeSystem</t>
  </si>
  <si>
    <t>Course Credit Basis Type</t>
  </si>
  <si>
    <t>The type of enrollment associated with the credit hours for the course.</t>
  </si>
  <si>
    <r>
      <t>Regular</t>
    </r>
    <r>
      <rPr>
        <sz val="10"/>
        <color theme="1"/>
        <rFont val="Calibri"/>
        <family val="2"/>
        <scheme val="minor"/>
      </rPr>
      <t xml:space="preserve"> - Regular/general enrollment
</t>
    </r>
    <r>
      <rPr>
        <b/>
        <sz val="10"/>
        <color theme="1"/>
        <rFont val="Calibri"/>
        <family val="2"/>
        <scheme val="minor"/>
      </rPr>
      <t>Major</t>
    </r>
    <r>
      <rPr>
        <sz val="10"/>
        <color theme="1"/>
        <rFont val="Calibri"/>
        <family val="2"/>
        <scheme val="minor"/>
      </rPr>
      <t xml:space="preserve"> - Credit associated with the student's major
</t>
    </r>
    <r>
      <rPr>
        <b/>
        <sz val="10"/>
        <color theme="1"/>
        <rFont val="Calibri"/>
        <family val="2"/>
        <scheme val="minor"/>
      </rPr>
      <t>AcademicRenewal</t>
    </r>
    <r>
      <rPr>
        <sz val="10"/>
        <color theme="1"/>
        <rFont val="Calibri"/>
        <family val="2"/>
        <scheme val="minor"/>
      </rPr>
      <t xml:space="preserve"> - Academic Renewal
</t>
    </r>
    <r>
      <rPr>
        <b/>
        <sz val="10"/>
        <color theme="1"/>
        <rFont val="Calibri"/>
        <family val="2"/>
        <scheme val="minor"/>
      </rPr>
      <t>AdultBasic</t>
    </r>
    <r>
      <rPr>
        <sz val="10"/>
        <color theme="1"/>
        <rFont val="Calibri"/>
        <family val="2"/>
        <scheme val="minor"/>
      </rPr>
      <t xml:space="preserve"> - Adult Basic
</t>
    </r>
    <r>
      <rPr>
        <b/>
        <sz val="10"/>
        <color theme="1"/>
        <rFont val="Calibri"/>
        <family val="2"/>
        <scheme val="minor"/>
      </rPr>
      <t>AdvancedPlacement</t>
    </r>
    <r>
      <rPr>
        <sz val="10"/>
        <color theme="1"/>
        <rFont val="Calibri"/>
        <family val="2"/>
        <scheme val="minor"/>
      </rPr>
      <t xml:space="preserve"> - Advanced Placement
</t>
    </r>
    <r>
      <rPr>
        <b/>
        <sz val="10"/>
        <color theme="1"/>
        <rFont val="Calibri"/>
        <family val="2"/>
        <scheme val="minor"/>
      </rPr>
      <t>AdvancedStanding</t>
    </r>
    <r>
      <rPr>
        <sz val="10"/>
        <color theme="1"/>
        <rFont val="Calibri"/>
        <family val="2"/>
        <scheme val="minor"/>
      </rPr>
      <t xml:space="preserve"> - Advanced Standing
</t>
    </r>
    <r>
      <rPr>
        <b/>
        <sz val="10"/>
        <color theme="1"/>
        <rFont val="Calibri"/>
        <family val="2"/>
        <scheme val="minor"/>
      </rPr>
      <t>Correspondence</t>
    </r>
    <r>
      <rPr>
        <sz val="10"/>
        <color theme="1"/>
        <rFont val="Calibri"/>
        <family val="2"/>
        <scheme val="minor"/>
      </rPr>
      <t xml:space="preserve"> - Correspondence
</t>
    </r>
    <r>
      <rPr>
        <b/>
        <sz val="10"/>
        <color theme="1"/>
        <rFont val="Calibri"/>
        <family val="2"/>
        <scheme val="minor"/>
      </rPr>
      <t>ContinuingEducation</t>
    </r>
    <r>
      <rPr>
        <sz val="10"/>
        <color theme="1"/>
        <rFont val="Calibri"/>
        <family val="2"/>
        <scheme val="minor"/>
      </rPr>
      <t xml:space="preserve"> - Continuing Education
</t>
    </r>
    <r>
      <rPr>
        <b/>
        <sz val="10"/>
        <color theme="1"/>
        <rFont val="Calibri"/>
        <family val="2"/>
        <scheme val="minor"/>
      </rPr>
      <t>Exemption</t>
    </r>
    <r>
      <rPr>
        <sz val="10"/>
        <color theme="1"/>
        <rFont val="Calibri"/>
        <family val="2"/>
        <scheme val="minor"/>
      </rPr>
      <t xml:space="preserve"> - Exemption
</t>
    </r>
    <r>
      <rPr>
        <b/>
        <sz val="10"/>
        <color theme="1"/>
        <rFont val="Calibri"/>
        <family val="2"/>
        <scheme val="minor"/>
      </rPr>
      <t>Equivalence</t>
    </r>
    <r>
      <rPr>
        <sz val="10"/>
        <color theme="1"/>
        <rFont val="Calibri"/>
        <family val="2"/>
        <scheme val="minor"/>
      </rPr>
      <t xml:space="preserve"> - Equivalence
</t>
    </r>
    <r>
      <rPr>
        <b/>
        <sz val="10"/>
        <color theme="1"/>
        <rFont val="Calibri"/>
        <family val="2"/>
        <scheme val="minor"/>
      </rPr>
      <t>InternationalBaccalaureate</t>
    </r>
    <r>
      <rPr>
        <sz val="10"/>
        <color theme="1"/>
        <rFont val="Calibri"/>
        <family val="2"/>
        <scheme val="minor"/>
      </rPr>
      <t xml:space="preserve"> - International Baccalaureate
</t>
    </r>
    <r>
      <rPr>
        <b/>
        <sz val="10"/>
        <color theme="1"/>
        <rFont val="Calibri"/>
        <family val="2"/>
        <scheme val="minor"/>
      </rPr>
      <t>Military</t>
    </r>
    <r>
      <rPr>
        <sz val="10"/>
        <color theme="1"/>
        <rFont val="Calibri"/>
        <family val="2"/>
        <scheme val="minor"/>
      </rPr>
      <t xml:space="preserve"> - Military
</t>
    </r>
    <r>
      <rPr>
        <b/>
        <sz val="10"/>
        <color theme="1"/>
        <rFont val="Calibri"/>
        <family val="2"/>
        <scheme val="minor"/>
      </rPr>
      <t>Remedial</t>
    </r>
    <r>
      <rPr>
        <sz val="10"/>
        <color theme="1"/>
        <rFont val="Calibri"/>
        <family val="2"/>
        <scheme val="minor"/>
      </rPr>
      <t xml:space="preserve"> - Remedial/developmental
</t>
    </r>
    <r>
      <rPr>
        <b/>
        <sz val="10"/>
        <color theme="1"/>
        <rFont val="Calibri"/>
        <family val="2"/>
        <scheme val="minor"/>
      </rPr>
      <t>CreditByExam</t>
    </r>
    <r>
      <rPr>
        <sz val="10"/>
        <color theme="1"/>
        <rFont val="Calibri"/>
        <family val="2"/>
        <scheme val="minor"/>
      </rPr>
      <t xml:space="preserve"> - Credit granted from successful score on a standardized test of comprehension or proficiency.
</t>
    </r>
    <r>
      <rPr>
        <b/>
        <sz val="10"/>
        <color theme="1"/>
        <rFont val="Calibri"/>
        <family val="2"/>
        <scheme val="minor"/>
      </rPr>
      <t>HighSchoolTransferCredit</t>
    </r>
    <r>
      <rPr>
        <sz val="10"/>
        <color theme="1"/>
        <rFont val="Calibri"/>
        <family val="2"/>
        <scheme val="minor"/>
      </rPr>
      <t xml:space="preserve"> - Credit from a high school course is transferred to the college.
</t>
    </r>
    <r>
      <rPr>
        <b/>
        <sz val="10"/>
        <color theme="1"/>
        <rFont val="Calibri"/>
        <family val="2"/>
        <scheme val="minor"/>
      </rPr>
      <t>HighSchoolCreditOnly</t>
    </r>
    <r>
      <rPr>
        <sz val="10"/>
        <color theme="1"/>
        <rFont val="Calibri"/>
        <family val="2"/>
        <scheme val="minor"/>
      </rPr>
      <t xml:space="preserve"> - Credit from a college course is transferred back to high school and not counted by the college.
</t>
    </r>
    <r>
      <rPr>
        <b/>
        <sz val="10"/>
        <color theme="1"/>
        <rFont val="Calibri"/>
        <family val="2"/>
        <scheme val="minor"/>
      </rPr>
      <t>HighSchoolDualCredit</t>
    </r>
    <r>
      <rPr>
        <sz val="10"/>
        <color theme="1"/>
        <rFont val="Calibri"/>
        <family val="2"/>
        <scheme val="minor"/>
      </rPr>
      <t xml:space="preserve"> - Credit from a college course is counted at both the college and high school.
</t>
    </r>
    <r>
      <rPr>
        <b/>
        <sz val="10"/>
        <color theme="1"/>
        <rFont val="Calibri"/>
        <family val="2"/>
        <scheme val="minor"/>
      </rPr>
      <t>JuniorHighSchoolCredit</t>
    </r>
    <r>
      <rPr>
        <sz val="10"/>
        <color theme="1"/>
        <rFont val="Calibri"/>
        <family val="2"/>
        <scheme val="minor"/>
      </rPr>
      <t xml:space="preserve"> - Credit from a junior high school course is counted at the high school.
</t>
    </r>
  </si>
  <si>
    <t>001303</t>
  </si>
  <si>
    <t>CourseCreditBasisType</t>
  </si>
  <si>
    <t>Course Credit Level Type</t>
  </si>
  <si>
    <t>The level of credit associated with the credit hours earned for the course.</t>
  </si>
  <si>
    <r>
      <t>Undergraduate</t>
    </r>
    <r>
      <rPr>
        <sz val="10"/>
        <color theme="1"/>
        <rFont val="Calibri"/>
        <family val="2"/>
        <scheme val="minor"/>
      </rPr>
      <t xml:space="preserve"> - Undergraduate
</t>
    </r>
    <r>
      <rPr>
        <b/>
        <sz val="10"/>
        <color theme="1"/>
        <rFont val="Calibri"/>
        <family val="2"/>
        <scheme val="minor"/>
      </rPr>
      <t>Ungraded</t>
    </r>
    <r>
      <rPr>
        <sz val="10"/>
        <color theme="1"/>
        <rFont val="Calibri"/>
        <family val="2"/>
        <scheme val="minor"/>
      </rPr>
      <t xml:space="preserve"> - Ungraded
</t>
    </r>
    <r>
      <rPr>
        <b/>
        <sz val="10"/>
        <color theme="1"/>
        <rFont val="Calibri"/>
        <family val="2"/>
        <scheme val="minor"/>
      </rPr>
      <t>LowerDivision</t>
    </r>
    <r>
      <rPr>
        <sz val="10"/>
        <color theme="1"/>
        <rFont val="Calibri"/>
        <family val="2"/>
        <scheme val="minor"/>
      </rPr>
      <t xml:space="preserve"> - Lower division credit (associated with first/second year)
</t>
    </r>
    <r>
      <rPr>
        <b/>
        <sz val="10"/>
        <color theme="1"/>
        <rFont val="Calibri"/>
        <family val="2"/>
        <scheme val="minor"/>
      </rPr>
      <t>UpperDivision</t>
    </r>
    <r>
      <rPr>
        <sz val="10"/>
        <color theme="1"/>
        <rFont val="Calibri"/>
        <family val="2"/>
        <scheme val="minor"/>
      </rPr>
      <t xml:space="preserve"> - Higher or upper division credit (associated with third or fourth year)
</t>
    </r>
    <r>
      <rPr>
        <b/>
        <sz val="10"/>
        <color theme="1"/>
        <rFont val="Calibri"/>
        <family val="2"/>
        <scheme val="minor"/>
      </rPr>
      <t>Vocational</t>
    </r>
    <r>
      <rPr>
        <sz val="10"/>
        <color theme="1"/>
        <rFont val="Calibri"/>
        <family val="2"/>
        <scheme val="minor"/>
      </rPr>
      <t xml:space="preserve"> - Vocational/technical credit
</t>
    </r>
    <r>
      <rPr>
        <b/>
        <sz val="10"/>
        <color theme="1"/>
        <rFont val="Calibri"/>
        <family val="2"/>
        <scheme val="minor"/>
      </rPr>
      <t>TechnicalPreparatory</t>
    </r>
    <r>
      <rPr>
        <sz val="10"/>
        <color theme="1"/>
        <rFont val="Calibri"/>
        <family val="2"/>
        <scheme val="minor"/>
      </rPr>
      <t xml:space="preserve"> - Technical preparatory credit
</t>
    </r>
    <r>
      <rPr>
        <b/>
        <sz val="10"/>
        <color theme="1"/>
        <rFont val="Calibri"/>
        <family val="2"/>
        <scheme val="minor"/>
      </rPr>
      <t>Graduate</t>
    </r>
    <r>
      <rPr>
        <sz val="10"/>
        <color theme="1"/>
        <rFont val="Calibri"/>
        <family val="2"/>
        <scheme val="minor"/>
      </rPr>
      <t xml:space="preserve"> - Graduate level credit
</t>
    </r>
    <r>
      <rPr>
        <b/>
        <sz val="10"/>
        <color theme="1"/>
        <rFont val="Calibri"/>
        <family val="2"/>
        <scheme val="minor"/>
      </rPr>
      <t>Professional</t>
    </r>
    <r>
      <rPr>
        <sz val="10"/>
        <color theme="1"/>
        <rFont val="Calibri"/>
        <family val="2"/>
        <scheme val="minor"/>
      </rPr>
      <t xml:space="preserve"> - Professional
</t>
    </r>
    <r>
      <rPr>
        <b/>
        <sz val="10"/>
        <color theme="1"/>
        <rFont val="Calibri"/>
        <family val="2"/>
        <scheme val="minor"/>
      </rPr>
      <t>Dual</t>
    </r>
    <r>
      <rPr>
        <sz val="10"/>
        <color theme="1"/>
        <rFont val="Calibri"/>
        <family val="2"/>
        <scheme val="minor"/>
      </rPr>
      <t xml:space="preserve"> - Dual Level
</t>
    </r>
    <r>
      <rPr>
        <b/>
        <sz val="10"/>
        <color theme="1"/>
        <rFont val="Calibri"/>
        <family val="2"/>
        <scheme val="minor"/>
      </rPr>
      <t>GraduateProfessional</t>
    </r>
    <r>
      <rPr>
        <sz val="10"/>
        <color theme="1"/>
        <rFont val="Calibri"/>
        <family val="2"/>
        <scheme val="minor"/>
      </rPr>
      <t xml:space="preserve"> - Graduate Professional
</t>
    </r>
  </si>
  <si>
    <t>001304</t>
  </si>
  <si>
    <t>CourseCreditLevelType</t>
  </si>
  <si>
    <t>Course Credit Units</t>
  </si>
  <si>
    <t>The type of credit (unit, semester, or quarter) associated with the credit hours earned for the course.</t>
  </si>
  <si>
    <r>
      <t>NoCredit</t>
    </r>
    <r>
      <rPr>
        <sz val="10"/>
        <color theme="1"/>
        <rFont val="Calibri"/>
        <family val="2"/>
        <scheme val="minor"/>
      </rPr>
      <t xml:space="preserve"> - No Credit
</t>
    </r>
    <r>
      <rPr>
        <b/>
        <sz val="10"/>
        <color theme="1"/>
        <rFont val="Calibri"/>
        <family val="2"/>
        <scheme val="minor"/>
      </rPr>
      <t>Quarter</t>
    </r>
    <r>
      <rPr>
        <sz val="10"/>
        <color theme="1"/>
        <rFont val="Calibri"/>
        <family val="2"/>
        <scheme val="minor"/>
      </rPr>
      <t xml:space="preserve"> - Quarter 
</t>
    </r>
    <r>
      <rPr>
        <b/>
        <sz val="10"/>
        <color theme="1"/>
        <rFont val="Calibri"/>
        <family val="2"/>
        <scheme val="minor"/>
      </rPr>
      <t>Semester</t>
    </r>
    <r>
      <rPr>
        <sz val="10"/>
        <color theme="1"/>
        <rFont val="Calibri"/>
        <family val="2"/>
        <scheme val="minor"/>
      </rPr>
      <t xml:space="preserve"> - Semester 
</t>
    </r>
    <r>
      <rPr>
        <b/>
        <sz val="10"/>
        <color theme="1"/>
        <rFont val="Calibri"/>
        <family val="2"/>
        <scheme val="minor"/>
      </rPr>
      <t>Units</t>
    </r>
    <r>
      <rPr>
        <sz val="10"/>
        <color theme="1"/>
        <rFont val="Calibri"/>
        <family val="2"/>
        <scheme val="minor"/>
      </rPr>
      <t xml:space="preserve"> - Units 
</t>
    </r>
    <r>
      <rPr>
        <b/>
        <sz val="10"/>
        <color theme="1"/>
        <rFont val="Calibri"/>
        <family val="2"/>
        <scheme val="minor"/>
      </rPr>
      <t>CarnegieUnits</t>
    </r>
    <r>
      <rPr>
        <sz val="10"/>
        <color theme="1"/>
        <rFont val="Calibri"/>
        <family val="2"/>
        <scheme val="minor"/>
      </rPr>
      <t xml:space="preserve"> - Carnegie Units 
</t>
    </r>
    <r>
      <rPr>
        <b/>
        <sz val="10"/>
        <color theme="1"/>
        <rFont val="Calibri"/>
        <family val="2"/>
        <scheme val="minor"/>
      </rPr>
      <t>ContinuingEducationUnits</t>
    </r>
    <r>
      <rPr>
        <sz val="10"/>
        <color theme="1"/>
        <rFont val="Calibri"/>
        <family val="2"/>
        <scheme val="minor"/>
      </rPr>
      <t xml:space="preserve"> - Continuing Education Units 
</t>
    </r>
    <r>
      <rPr>
        <b/>
        <sz val="10"/>
        <color theme="1"/>
        <rFont val="Calibri"/>
        <family val="2"/>
        <scheme val="minor"/>
      </rPr>
      <t>ClockHours</t>
    </r>
    <r>
      <rPr>
        <sz val="10"/>
        <color theme="1"/>
        <rFont val="Calibri"/>
        <family val="2"/>
        <scheme val="minor"/>
      </rPr>
      <t xml:space="preserve"> - Clock Hours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Unreported</t>
    </r>
    <r>
      <rPr>
        <sz val="10"/>
        <color theme="1"/>
        <rFont val="Calibri"/>
        <family val="2"/>
        <scheme val="minor"/>
      </rPr>
      <t xml:space="preserve"> - Unreported
</t>
    </r>
  </si>
  <si>
    <t>Adult Education -&gt; Course Section -&gt; Course
Career and Technical -&gt; Course
Career and Technical -&gt; Course Section -&gt; Course
Early Learning -&gt; EL Staff -&gt; Professional Development
K12 -&gt; K12 Course
Postsecondary -&gt; Course Section -&gt; Course</t>
  </si>
  <si>
    <t>000057</t>
  </si>
  <si>
    <t>CourseCreditUnits</t>
  </si>
  <si>
    <t>Course Department Name</t>
  </si>
  <si>
    <t>Department with jurisdiction over this course.</t>
  </si>
  <si>
    <t>Adult Education -&gt; Course Section -&gt; Course
Career and Technical -&gt; Course
Career and Technical -&gt; Course Section -&gt; Course
K12 -&gt; Course Section -&gt; Course
K12 -&gt; K12 Course
K12 -&gt; K12 Student -&gt; Academic Record</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</si>
  <si>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</si>
  <si>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</si>
  <si>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</si>
  <si>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</si>
  <si>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</si>
  <si>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</si>
  <si>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</si>
  <si>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</si>
  <si>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</si>
  <si>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</si>
  <si>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</si>
  <si>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</si>
  <si>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</si>
  <si>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</si>
  <si>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</si>
  <si>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</si>
  <si>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</si>
  <si>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</si>
  <si>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</si>
  <si>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</si>
  <si>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</si>
  <si>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</si>
  <si>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r>
      <t>Applicable</t>
    </r>
    <r>
      <rPr>
        <sz val="10"/>
        <color theme="1"/>
        <rFont val="Calibri"/>
        <family val="2"/>
        <scheme val="minor"/>
      </rPr>
      <t xml:space="preserve"> - Applicable in GPA
</t>
    </r>
    <r>
      <rPr>
        <b/>
        <sz val="10"/>
        <color theme="1"/>
        <rFont val="Calibri"/>
        <family val="2"/>
        <scheme val="minor"/>
      </rPr>
      <t>NotApplicable</t>
    </r>
    <r>
      <rPr>
        <sz val="10"/>
        <color theme="1"/>
        <rFont val="Calibri"/>
        <family val="2"/>
        <scheme val="minor"/>
      </rPr>
      <t xml:space="preserve"> - Not Applicable in GPA
</t>
    </r>
    <r>
      <rPr>
        <b/>
        <sz val="10"/>
        <color theme="1"/>
        <rFont val="Calibri"/>
        <family val="2"/>
        <scheme val="minor"/>
      </rPr>
      <t>Weighted</t>
    </r>
    <r>
      <rPr>
        <sz val="10"/>
        <color theme="1"/>
        <rFont val="Calibri"/>
        <family val="2"/>
        <scheme val="minor"/>
      </rPr>
      <t xml:space="preserve"> - Weighted in GPA
</t>
    </r>
  </si>
  <si>
    <t>Adult Education -&gt; Course Section
Career and Technical -&gt; Course
Career and Technical -&gt; Course Section
K12 -&gt; Course Section
K12 -&gt; K12 Course
Postsecondary -&gt; Course Section</t>
  </si>
  <si>
    <t>000060</t>
  </si>
  <si>
    <t>Course GPA Applicability</t>
  </si>
  <si>
    <t>CourseGPAApplicability</t>
  </si>
  <si>
    <t>Course Honors Type</t>
  </si>
  <si>
    <t>An indication that the course is or can be counted as an honors course.</t>
  </si>
  <si>
    <r>
      <t>Honors</t>
    </r>
    <r>
      <rPr>
        <sz val="10"/>
        <color theme="1"/>
        <rFont val="Calibri"/>
        <family val="2"/>
        <scheme val="minor"/>
      </rPr>
      <t xml:space="preserve"> - Honors
</t>
    </r>
    <r>
      <rPr>
        <b/>
        <sz val="10"/>
        <color theme="1"/>
        <rFont val="Calibri"/>
        <family val="2"/>
        <scheme val="minor"/>
      </rPr>
      <t>HonorsOption</t>
    </r>
    <r>
      <rPr>
        <sz val="10"/>
        <color theme="1"/>
        <rFont val="Calibri"/>
        <family val="2"/>
        <scheme val="minor"/>
      </rPr>
      <t xml:space="preserve"> - Honors option
</t>
    </r>
  </si>
  <si>
    <t>001307</t>
  </si>
  <si>
    <t>CourseHonorsType</t>
  </si>
  <si>
    <t>Course Identifier</t>
  </si>
  <si>
    <t>The actual code that identifies the organization of subject matter and related learning experiences provided for the instruction of students.</t>
  </si>
  <si>
    <t>000055</t>
  </si>
  <si>
    <t>CourseIdentifier</t>
  </si>
  <si>
    <t>K-12 -&gt; High School Generated Transcript
K-12 -&gt; LEA-to-LEA Student Record Exchange
K-12 -&gt; LEA-to-SEA Student Record Exchange
K-12 -&gt; Teacher-Student Data Link -&gt; Class Section
Postsecondary Education -&gt; Transition</t>
  </si>
  <si>
    <t>Course Instruction Method</t>
  </si>
  <si>
    <t>The primary method of instruction used for the course.</t>
  </si>
  <si>
    <r>
      <t>Lecture</t>
    </r>
    <r>
      <rPr>
        <sz val="10"/>
        <color theme="1"/>
        <rFont val="Calibri"/>
        <family val="2"/>
        <scheme val="minor"/>
      </rPr>
      <t xml:space="preserve"> - Lecture
</t>
    </r>
    <r>
      <rPr>
        <b/>
        <sz val="10"/>
        <color theme="1"/>
        <rFont val="Calibri"/>
        <family val="2"/>
        <scheme val="minor"/>
      </rPr>
      <t>Laboratory</t>
    </r>
    <r>
      <rPr>
        <sz val="10"/>
        <color theme="1"/>
        <rFont val="Calibri"/>
        <family val="2"/>
        <scheme val="minor"/>
      </rPr>
      <t xml:space="preserve"> - Laboratory
</t>
    </r>
    <r>
      <rPr>
        <b/>
        <sz val="10"/>
        <color theme="1"/>
        <rFont val="Calibri"/>
        <family val="2"/>
        <scheme val="minor"/>
      </rPr>
      <t>Seminar</t>
    </r>
    <r>
      <rPr>
        <sz val="10"/>
        <color theme="1"/>
        <rFont val="Calibri"/>
        <family val="2"/>
        <scheme val="minor"/>
      </rPr>
      <t xml:space="preserve"> - Seminar
</t>
    </r>
    <r>
      <rPr>
        <b/>
        <sz val="10"/>
        <color theme="1"/>
        <rFont val="Calibri"/>
        <family val="2"/>
        <scheme val="minor"/>
      </rPr>
      <t>IndependentStudy</t>
    </r>
    <r>
      <rPr>
        <sz val="10"/>
        <color theme="1"/>
        <rFont val="Calibri"/>
        <family val="2"/>
        <scheme val="minor"/>
      </rPr>
      <t xml:space="preserve"> - Independent Study
</t>
    </r>
    <r>
      <rPr>
        <b/>
        <sz val="10"/>
        <color theme="1"/>
        <rFont val="Calibri"/>
        <family val="2"/>
        <scheme val="minor"/>
      </rPr>
      <t>PrivateStudy</t>
    </r>
    <r>
      <rPr>
        <sz val="10"/>
        <color theme="1"/>
        <rFont val="Calibri"/>
        <family val="2"/>
        <scheme val="minor"/>
      </rPr>
      <t xml:space="preserve"> - Private Study
</t>
    </r>
    <r>
      <rPr>
        <b/>
        <sz val="10"/>
        <color theme="1"/>
        <rFont val="Calibri"/>
        <family val="2"/>
        <scheme val="minor"/>
      </rPr>
      <t>PracticeTeaching</t>
    </r>
    <r>
      <rPr>
        <sz val="10"/>
        <color theme="1"/>
        <rFont val="Calibri"/>
        <family val="2"/>
        <scheme val="minor"/>
      </rPr>
      <t xml:space="preserve"> - Practice Teaching
</t>
    </r>
    <r>
      <rPr>
        <b/>
        <sz val="10"/>
        <color theme="1"/>
        <rFont val="Calibri"/>
        <family val="2"/>
        <scheme val="minor"/>
      </rPr>
      <t>Internship</t>
    </r>
    <r>
      <rPr>
        <sz val="10"/>
        <color theme="1"/>
        <rFont val="Calibri"/>
        <family val="2"/>
        <scheme val="minor"/>
      </rPr>
      <t xml:space="preserve"> - Internship
</t>
    </r>
    <r>
      <rPr>
        <b/>
        <sz val="10"/>
        <color theme="1"/>
        <rFont val="Calibri"/>
        <family val="2"/>
        <scheme val="minor"/>
      </rPr>
      <t>Practicum</t>
    </r>
    <r>
      <rPr>
        <sz val="10"/>
        <color theme="1"/>
        <rFont val="Calibri"/>
        <family val="2"/>
        <scheme val="minor"/>
      </rPr>
      <t xml:space="preserve"> - Practicum
</t>
    </r>
    <r>
      <rPr>
        <b/>
        <sz val="10"/>
        <color theme="1"/>
        <rFont val="Calibri"/>
        <family val="2"/>
        <scheme val="minor"/>
      </rPr>
      <t>ApprenticeshipExternship</t>
    </r>
    <r>
      <rPr>
        <sz val="10"/>
        <color theme="1"/>
        <rFont val="Calibri"/>
        <family val="2"/>
        <scheme val="minor"/>
      </rPr>
      <t xml:space="preserve"> - Apprenticeship Externship
</t>
    </r>
    <r>
      <rPr>
        <b/>
        <sz val="10"/>
        <color theme="1"/>
        <rFont val="Calibri"/>
        <family val="2"/>
        <scheme val="minor"/>
      </rPr>
      <t>AppliedInstruction</t>
    </r>
    <r>
      <rPr>
        <sz val="10"/>
        <color theme="1"/>
        <rFont val="Calibri"/>
        <family val="2"/>
        <scheme val="minor"/>
      </rPr>
      <t xml:space="preserve"> - Applied Instruction
</t>
    </r>
    <r>
      <rPr>
        <b/>
        <sz val="10"/>
        <color theme="1"/>
        <rFont val="Calibri"/>
        <family val="2"/>
        <scheme val="minor"/>
      </rPr>
      <t>Residency</t>
    </r>
    <r>
      <rPr>
        <sz val="10"/>
        <color theme="1"/>
        <rFont val="Calibri"/>
        <family val="2"/>
        <scheme val="minor"/>
      </rPr>
      <t xml:space="preserve"> - Residency
</t>
    </r>
    <r>
      <rPr>
        <b/>
        <sz val="10"/>
        <color theme="1"/>
        <rFont val="Calibri"/>
        <family val="2"/>
        <scheme val="minor"/>
      </rPr>
      <t>ClinicalRotationInstruction</t>
    </r>
    <r>
      <rPr>
        <sz val="10"/>
        <color theme="1"/>
        <rFont val="Calibri"/>
        <family val="2"/>
        <scheme val="minor"/>
      </rPr>
      <t xml:space="preserve"> - Clinical Rotation Instruction
</t>
    </r>
    <r>
      <rPr>
        <b/>
        <sz val="10"/>
        <color theme="1"/>
        <rFont val="Calibri"/>
        <family val="2"/>
        <scheme val="minor"/>
      </rPr>
      <t>SelfPaced</t>
    </r>
    <r>
      <rPr>
        <sz val="10"/>
        <color theme="1"/>
        <rFont val="Calibri"/>
        <family val="2"/>
        <scheme val="minor"/>
      </rPr>
      <t xml:space="preserve"> - Self Paced
</t>
    </r>
    <r>
      <rPr>
        <b/>
        <sz val="10"/>
        <color theme="1"/>
        <rFont val="Calibri"/>
        <family val="2"/>
        <scheme val="minor"/>
      </rPr>
      <t>FieldStudy</t>
    </r>
    <r>
      <rPr>
        <sz val="10"/>
        <color theme="1"/>
        <rFont val="Calibri"/>
        <family val="2"/>
        <scheme val="minor"/>
      </rPr>
      <t xml:space="preserve"> - Field Study
</t>
    </r>
    <r>
      <rPr>
        <b/>
        <sz val="10"/>
        <color theme="1"/>
        <rFont val="Calibri"/>
        <family val="2"/>
        <scheme val="minor"/>
      </rPr>
      <t>InternetInstruction</t>
    </r>
    <r>
      <rPr>
        <sz val="10"/>
        <color theme="1"/>
        <rFont val="Calibri"/>
        <family val="2"/>
        <scheme val="minor"/>
      </rPr>
      <t xml:space="preserve"> - Internet Instruction
</t>
    </r>
    <r>
      <rPr>
        <b/>
        <sz val="10"/>
        <color theme="1"/>
        <rFont val="Calibri"/>
        <family val="2"/>
        <scheme val="minor"/>
      </rPr>
      <t>InteractiveVideo</t>
    </r>
    <r>
      <rPr>
        <sz val="10"/>
        <color theme="1"/>
        <rFont val="Calibri"/>
        <family val="2"/>
        <scheme val="minor"/>
      </rPr>
      <t xml:space="preserve"> - Interactive Video
</t>
    </r>
    <r>
      <rPr>
        <b/>
        <sz val="10"/>
        <color theme="1"/>
        <rFont val="Calibri"/>
        <family val="2"/>
        <scheme val="minor"/>
      </rPr>
      <t>Videotape</t>
    </r>
    <r>
      <rPr>
        <sz val="10"/>
        <color theme="1"/>
        <rFont val="Calibri"/>
        <family val="2"/>
        <scheme val="minor"/>
      </rPr>
      <t xml:space="preserve"> - Videotape
</t>
    </r>
    <r>
      <rPr>
        <b/>
        <sz val="10"/>
        <color theme="1"/>
        <rFont val="Calibri"/>
        <family val="2"/>
        <scheme val="minor"/>
      </rPr>
      <t>Television</t>
    </r>
    <r>
      <rPr>
        <sz val="10"/>
        <color theme="1"/>
        <rFont val="Calibri"/>
        <family val="2"/>
        <scheme val="minor"/>
      </rPr>
      <t xml:space="preserve"> - Television
</t>
    </r>
    <r>
      <rPr>
        <b/>
        <sz val="10"/>
        <color theme="1"/>
        <rFont val="Calibri"/>
        <family val="2"/>
        <scheme val="minor"/>
      </rPr>
      <t>OtherDistanceLearning</t>
    </r>
    <r>
      <rPr>
        <sz val="10"/>
        <color theme="1"/>
        <rFont val="Calibri"/>
        <family val="2"/>
        <scheme val="minor"/>
      </rPr>
      <t xml:space="preserve"> - Other Distance Learning
</t>
    </r>
    <r>
      <rPr>
        <b/>
        <sz val="10"/>
        <color theme="1"/>
        <rFont val="Calibri"/>
        <family val="2"/>
        <scheme val="minor"/>
      </rPr>
      <t>Audiotape</t>
    </r>
    <r>
      <rPr>
        <sz val="10"/>
        <color theme="1"/>
        <rFont val="Calibri"/>
        <family val="2"/>
        <scheme val="minor"/>
      </rPr>
      <t xml:space="preserve"> - Audiotape
</t>
    </r>
    <r>
      <rPr>
        <b/>
        <sz val="10"/>
        <color theme="1"/>
        <rFont val="Calibri"/>
        <family val="2"/>
        <scheme val="minor"/>
      </rPr>
      <t>ComputerBasedInstruction</t>
    </r>
    <r>
      <rPr>
        <sz val="10"/>
        <color theme="1"/>
        <rFont val="Calibri"/>
        <family val="2"/>
        <scheme val="minor"/>
      </rPr>
      <t xml:space="preserve"> - Computer Based Instruction
</t>
    </r>
    <r>
      <rPr>
        <b/>
        <sz val="10"/>
        <color theme="1"/>
        <rFont val="Calibri"/>
        <family val="2"/>
        <scheme val="minor"/>
      </rPr>
      <t>CompressedVideo</t>
    </r>
    <r>
      <rPr>
        <sz val="10"/>
        <color theme="1"/>
        <rFont val="Calibri"/>
        <family val="2"/>
        <scheme val="minor"/>
      </rPr>
      <t xml:space="preserve"> - Compressed Video
</t>
    </r>
    <r>
      <rPr>
        <b/>
        <sz val="10"/>
        <color theme="1"/>
        <rFont val="Calibri"/>
        <family val="2"/>
        <scheme val="minor"/>
      </rPr>
      <t>Correspondence</t>
    </r>
    <r>
      <rPr>
        <sz val="10"/>
        <color theme="1"/>
        <rFont val="Calibri"/>
        <family val="2"/>
        <scheme val="minor"/>
      </rPr>
      <t xml:space="preserve"> - Correspondence
</t>
    </r>
    <r>
      <rPr>
        <b/>
        <sz val="10"/>
        <color theme="1"/>
        <rFont val="Calibri"/>
        <family val="2"/>
        <scheme val="minor"/>
      </rPr>
      <t>CooperativeEducation</t>
    </r>
    <r>
      <rPr>
        <sz val="10"/>
        <color theme="1"/>
        <rFont val="Calibri"/>
        <family val="2"/>
        <scheme val="minor"/>
      </rPr>
      <t xml:space="preserve"> - Cooperative Education
</t>
    </r>
    <r>
      <rPr>
        <b/>
        <sz val="10"/>
        <color theme="1"/>
        <rFont val="Calibri"/>
        <family val="2"/>
        <scheme val="minor"/>
      </rPr>
      <t>WorkStudy</t>
    </r>
    <r>
      <rPr>
        <sz val="10"/>
        <color theme="1"/>
        <rFont val="Calibri"/>
        <family val="2"/>
        <scheme val="minor"/>
      </rPr>
      <t xml:space="preserve"> - Work Study
</t>
    </r>
  </si>
  <si>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</si>
  <si>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</si>
  <si>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</si>
  <si>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</si>
  <si>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</si>
  <si>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</si>
  <si>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</si>
  <si>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</si>
  <si>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r>
      <t>OnCampus</t>
    </r>
    <r>
      <rPr>
        <sz val="10"/>
        <color theme="1"/>
        <rFont val="Calibri"/>
        <family val="2"/>
        <scheme val="minor"/>
      </rPr>
      <t xml:space="preserve"> - On campus
</t>
    </r>
    <r>
      <rPr>
        <b/>
        <sz val="10"/>
        <color theme="1"/>
        <rFont val="Calibri"/>
        <family val="2"/>
        <scheme val="minor"/>
      </rPr>
      <t>OffCampus</t>
    </r>
    <r>
      <rPr>
        <sz val="10"/>
        <color theme="1"/>
        <rFont val="Calibri"/>
        <family val="2"/>
        <scheme val="minor"/>
      </rPr>
      <t xml:space="preserve"> - Off campus (e.g., branch campus, etc.)
</t>
    </r>
    <r>
      <rPr>
        <b/>
        <sz val="10"/>
        <color theme="1"/>
        <rFont val="Calibri"/>
        <family val="2"/>
        <scheme val="minor"/>
      </rPr>
      <t>Extension</t>
    </r>
    <r>
      <rPr>
        <sz val="10"/>
        <color theme="1"/>
        <rFont val="Calibri"/>
        <family val="2"/>
        <scheme val="minor"/>
      </rPr>
      <t xml:space="preserve"> - Extension center or site
</t>
    </r>
    <r>
      <rPr>
        <b/>
        <sz val="10"/>
        <color theme="1"/>
        <rFont val="Calibri"/>
        <family val="2"/>
        <scheme val="minor"/>
      </rPr>
      <t>StudyAbroad</t>
    </r>
    <r>
      <rPr>
        <sz val="10"/>
        <color theme="1"/>
        <rFont val="Calibri"/>
        <family val="2"/>
        <scheme val="minor"/>
      </rPr>
      <t xml:space="preserve"> - Study abroad
</t>
    </r>
    <r>
      <rPr>
        <b/>
        <sz val="10"/>
        <color theme="1"/>
        <rFont val="Calibri"/>
        <family val="2"/>
        <scheme val="minor"/>
      </rPr>
      <t>Correctional</t>
    </r>
    <r>
      <rPr>
        <sz val="10"/>
        <color theme="1"/>
        <rFont val="Calibri"/>
        <family val="2"/>
        <scheme val="minor"/>
      </rPr>
      <t xml:space="preserve"> - Correctional institution
</t>
    </r>
    <r>
      <rPr>
        <b/>
        <sz val="10"/>
        <color theme="1"/>
        <rFont val="Calibri"/>
        <family val="2"/>
        <scheme val="minor"/>
      </rPr>
      <t>Military</t>
    </r>
    <r>
      <rPr>
        <sz val="10"/>
        <color theme="1"/>
        <rFont val="Calibri"/>
        <family val="2"/>
        <scheme val="minor"/>
      </rPr>
      <t xml:space="preserve"> - Military Base
</t>
    </r>
    <r>
      <rPr>
        <b/>
        <sz val="10"/>
        <color theme="1"/>
        <rFont val="Calibri"/>
        <family val="2"/>
        <scheme val="minor"/>
      </rPr>
      <t>Telecommunication</t>
    </r>
    <r>
      <rPr>
        <sz val="10"/>
        <color theme="1"/>
        <rFont val="Calibri"/>
        <family val="2"/>
        <scheme val="minor"/>
      </rPr>
      <t xml:space="preserve"> - Instructional telecommunications
</t>
    </r>
    <r>
      <rPr>
        <b/>
        <sz val="10"/>
        <color theme="1"/>
        <rFont val="Calibri"/>
        <family val="2"/>
        <scheme val="minor"/>
      </rPr>
      <t>Auxiliary</t>
    </r>
    <r>
      <rPr>
        <sz val="10"/>
        <color theme="1"/>
        <rFont val="Calibri"/>
        <family val="2"/>
        <scheme val="minor"/>
      </rPr>
      <t xml:space="preserve"> - Auxiliary
</t>
    </r>
    <r>
      <rPr>
        <b/>
        <sz val="10"/>
        <color theme="1"/>
        <rFont val="Calibri"/>
        <family val="2"/>
        <scheme val="minor"/>
      </rPr>
      <t>ClinicHospital</t>
    </r>
    <r>
      <rPr>
        <sz val="10"/>
        <color theme="1"/>
        <rFont val="Calibri"/>
        <family val="2"/>
        <scheme val="minor"/>
      </rPr>
      <t xml:space="preserve"> - Clinic or hospital
</t>
    </r>
  </si>
  <si>
    <t>001310</t>
  </si>
  <si>
    <t>CourseInstructionSiteType</t>
  </si>
  <si>
    <t>Course Interaction Mode</t>
  </si>
  <si>
    <t>The primary type of interaction, synchronous or asynchronous, defined for the course.</t>
  </si>
  <si>
    <r>
      <t>Asynchronous</t>
    </r>
    <r>
      <rPr>
        <sz val="10"/>
        <color theme="1"/>
        <rFont val="Calibri"/>
        <family val="2"/>
        <scheme val="minor"/>
      </rPr>
      <t xml:space="preserve"> - Asynchronous
</t>
    </r>
    <r>
      <rPr>
        <b/>
        <sz val="10"/>
        <color theme="1"/>
        <rFont val="Calibri"/>
        <family val="2"/>
        <scheme val="minor"/>
      </rPr>
      <t>Synchronous</t>
    </r>
    <r>
      <rPr>
        <sz val="10"/>
        <color theme="1"/>
        <rFont val="Calibri"/>
        <family val="2"/>
        <scheme val="minor"/>
      </rPr>
      <t xml:space="preserve"> - Synchronous
</t>
    </r>
  </si>
  <si>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</si>
  <si>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</si>
  <si>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</si>
  <si>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</si>
  <si>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</si>
  <si>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r>
      <t>00568</t>
    </r>
    <r>
      <rPr>
        <sz val="10"/>
        <color theme="1"/>
        <rFont val="Calibri"/>
        <family val="2"/>
        <scheme val="minor"/>
      </rPr>
      <t xml:space="preserve"> - Remedial course
</t>
    </r>
    <r>
      <rPr>
        <b/>
        <sz val="10"/>
        <color theme="1"/>
        <rFont val="Calibri"/>
        <family val="2"/>
        <scheme val="minor"/>
      </rPr>
      <t>00569</t>
    </r>
    <r>
      <rPr>
        <sz val="10"/>
        <color theme="1"/>
        <rFont val="Calibri"/>
        <family val="2"/>
        <scheme val="minor"/>
      </rPr>
      <t xml:space="preserve"> - Students with disabilities course
</t>
    </r>
    <r>
      <rPr>
        <b/>
        <sz val="10"/>
        <color theme="1"/>
        <rFont val="Calibri"/>
        <family val="2"/>
        <scheme val="minor"/>
      </rPr>
      <t>00570</t>
    </r>
    <r>
      <rPr>
        <sz val="10"/>
        <color theme="1"/>
        <rFont val="Calibri"/>
        <family val="2"/>
        <scheme val="minor"/>
      </rPr>
      <t xml:space="preserve"> - Basic course
</t>
    </r>
    <r>
      <rPr>
        <b/>
        <sz val="10"/>
        <color theme="1"/>
        <rFont val="Calibri"/>
        <family val="2"/>
        <scheme val="minor"/>
      </rPr>
      <t>00571</t>
    </r>
    <r>
      <rPr>
        <sz val="10"/>
        <color theme="1"/>
        <rFont val="Calibri"/>
        <family val="2"/>
        <scheme val="minor"/>
      </rPr>
      <t xml:space="preserve"> - General course
</t>
    </r>
    <r>
      <rPr>
        <b/>
        <sz val="10"/>
        <color theme="1"/>
        <rFont val="Calibri"/>
        <family val="2"/>
        <scheme val="minor"/>
      </rPr>
      <t>00572</t>
    </r>
    <r>
      <rPr>
        <sz val="10"/>
        <color theme="1"/>
        <rFont val="Calibri"/>
        <family val="2"/>
        <scheme val="minor"/>
      </rPr>
      <t xml:space="preserve"> - Honors level course
</t>
    </r>
    <r>
      <rPr>
        <b/>
        <sz val="10"/>
        <color theme="1"/>
        <rFont val="Calibri"/>
        <family val="2"/>
        <scheme val="minor"/>
      </rPr>
      <t>00573</t>
    </r>
    <r>
      <rPr>
        <sz val="10"/>
        <color theme="1"/>
        <rFont val="Calibri"/>
        <family val="2"/>
        <scheme val="minor"/>
      </rPr>
      <t xml:space="preserve"> - Gifted and talented course
</t>
    </r>
    <r>
      <rPr>
        <b/>
        <sz val="10"/>
        <color theme="1"/>
        <rFont val="Calibri"/>
        <family val="2"/>
        <scheme val="minor"/>
      </rPr>
      <t>00574</t>
    </r>
    <r>
      <rPr>
        <sz val="10"/>
        <color theme="1"/>
        <rFont val="Calibri"/>
        <family val="2"/>
        <scheme val="minor"/>
      </rPr>
      <t xml:space="preserve"> - International Baccalaureate course
</t>
    </r>
    <r>
      <rPr>
        <b/>
        <sz val="10"/>
        <color theme="1"/>
        <rFont val="Calibri"/>
        <family val="2"/>
        <scheme val="minor"/>
      </rPr>
      <t>00575</t>
    </r>
    <r>
      <rPr>
        <sz val="10"/>
        <color theme="1"/>
        <rFont val="Calibri"/>
        <family val="2"/>
        <scheme val="minor"/>
      </rPr>
      <t xml:space="preserve"> - Advanced placement course
</t>
    </r>
    <r>
      <rPr>
        <b/>
        <sz val="10"/>
        <color theme="1"/>
        <rFont val="Calibri"/>
        <family val="2"/>
        <scheme val="minor"/>
      </rPr>
      <t>00576</t>
    </r>
    <r>
      <rPr>
        <sz val="10"/>
        <color theme="1"/>
        <rFont val="Calibri"/>
        <family val="2"/>
        <scheme val="minor"/>
      </rPr>
      <t xml:space="preserve"> - College-level course
</t>
    </r>
    <r>
      <rPr>
        <b/>
        <sz val="10"/>
        <color theme="1"/>
        <rFont val="Calibri"/>
        <family val="2"/>
        <scheme val="minor"/>
      </rPr>
      <t>00577</t>
    </r>
    <r>
      <rPr>
        <sz val="10"/>
        <color theme="1"/>
        <rFont val="Calibri"/>
        <family val="2"/>
        <scheme val="minor"/>
      </rPr>
      <t xml:space="preserve"> - Untracked course
</t>
    </r>
    <r>
      <rPr>
        <b/>
        <sz val="10"/>
        <color theme="1"/>
        <rFont val="Calibri"/>
        <family val="2"/>
        <scheme val="minor"/>
      </rPr>
      <t>00578</t>
    </r>
    <r>
      <rPr>
        <sz val="10"/>
        <color theme="1"/>
        <rFont val="Calibri"/>
        <family val="2"/>
        <scheme val="minor"/>
      </rPr>
      <t xml:space="preserve"> - English Learner course
</t>
    </r>
    <r>
      <rPr>
        <b/>
        <sz val="10"/>
        <color theme="1"/>
        <rFont val="Calibri"/>
        <family val="2"/>
        <scheme val="minor"/>
      </rPr>
      <t>00579</t>
    </r>
    <r>
      <rPr>
        <sz val="10"/>
        <color theme="1"/>
        <rFont val="Calibri"/>
        <family val="2"/>
        <scheme val="minor"/>
      </rPr>
      <t xml:space="preserve"> - Accepted as a high school equivalent
</t>
    </r>
    <r>
      <rPr>
        <b/>
        <sz val="10"/>
        <color theme="1"/>
        <rFont val="Calibri"/>
        <family val="2"/>
        <scheme val="minor"/>
      </rPr>
      <t>00741</t>
    </r>
    <r>
      <rPr>
        <sz val="10"/>
        <color theme="1"/>
        <rFont val="Calibri"/>
        <family val="2"/>
        <scheme val="minor"/>
      </rPr>
      <t xml:space="preserve"> - Completion of requirement, but no units of value awarded
</t>
    </r>
    <r>
      <rPr>
        <b/>
        <sz val="10"/>
        <color theme="1"/>
        <rFont val="Calibri"/>
        <family val="2"/>
        <scheme val="minor"/>
      </rPr>
      <t>73044</t>
    </r>
    <r>
      <rPr>
        <sz val="10"/>
        <color theme="1"/>
        <rFont val="Calibri"/>
        <family val="2"/>
        <scheme val="minor"/>
      </rPr>
      <t xml:space="preserve"> - Career and technical education general course
</t>
    </r>
    <r>
      <rPr>
        <b/>
        <sz val="10"/>
        <color theme="1"/>
        <rFont val="Calibri"/>
        <family val="2"/>
        <scheme val="minor"/>
      </rPr>
      <t>73045</t>
    </r>
    <r>
      <rPr>
        <sz val="10"/>
        <color theme="1"/>
        <rFont val="Calibri"/>
        <family val="2"/>
        <scheme val="minor"/>
      </rPr>
      <t xml:space="preserve"> - Career and technical education dual-credit course
</t>
    </r>
  </si>
  <si>
    <t>000061</t>
  </si>
  <si>
    <t>CourseLevelCharacteristic</t>
  </si>
  <si>
    <t>Course Level Type</t>
  </si>
  <si>
    <t>The level of work which is reflected in the credits associated with the academic course being described or the level of the typical individual taking the academic course.</t>
  </si>
  <si>
    <r>
      <t>Accelerated</t>
    </r>
    <r>
      <rPr>
        <sz val="10"/>
        <color theme="1"/>
        <rFont val="Calibri"/>
        <family val="2"/>
        <scheme val="minor"/>
      </rPr>
      <t xml:space="preserve"> - Accelerated
</t>
    </r>
    <r>
      <rPr>
        <b/>
        <sz val="10"/>
        <color theme="1"/>
        <rFont val="Calibri"/>
        <family val="2"/>
        <scheme val="minor"/>
      </rPr>
      <t>AdultBasic</t>
    </r>
    <r>
      <rPr>
        <sz val="10"/>
        <color theme="1"/>
        <rFont val="Calibri"/>
        <family val="2"/>
        <scheme val="minor"/>
      </rPr>
      <t xml:space="preserve"> - Adult Basic
</t>
    </r>
    <r>
      <rPr>
        <b/>
        <sz val="10"/>
        <color theme="1"/>
        <rFont val="Calibri"/>
        <family val="2"/>
        <scheme val="minor"/>
      </rPr>
      <t>AdvancedPlacement</t>
    </r>
    <r>
      <rPr>
        <sz val="10"/>
        <color theme="1"/>
        <rFont val="Calibri"/>
        <family val="2"/>
        <scheme val="minor"/>
      </rPr>
      <t xml:space="preserve"> - Advanced Placement
</t>
    </r>
    <r>
      <rPr>
        <b/>
        <sz val="10"/>
        <color theme="1"/>
        <rFont val="Calibri"/>
        <family val="2"/>
        <scheme val="minor"/>
      </rPr>
      <t>Basic</t>
    </r>
    <r>
      <rPr>
        <sz val="10"/>
        <color theme="1"/>
        <rFont val="Calibri"/>
        <family val="2"/>
        <scheme val="minor"/>
      </rPr>
      <t xml:space="preserve"> - Basic
</t>
    </r>
    <r>
      <rPr>
        <b/>
        <sz val="10"/>
        <color theme="1"/>
        <rFont val="Calibri"/>
        <family val="2"/>
        <scheme val="minor"/>
      </rPr>
      <t>InternationalBaccalaureate</t>
    </r>
    <r>
      <rPr>
        <sz val="10"/>
        <color theme="1"/>
        <rFont val="Calibri"/>
        <family val="2"/>
        <scheme val="minor"/>
      </rPr>
      <t xml:space="preserve"> - International Baccalaureate
</t>
    </r>
    <r>
      <rPr>
        <b/>
        <sz val="10"/>
        <color theme="1"/>
        <rFont val="Calibri"/>
        <family val="2"/>
        <scheme val="minor"/>
      </rPr>
      <t>CollegeLevel</t>
    </r>
    <r>
      <rPr>
        <sz val="10"/>
        <color theme="1"/>
        <rFont val="Calibri"/>
        <family val="2"/>
        <scheme val="minor"/>
      </rPr>
      <t xml:space="preserve"> - College Level
</t>
    </r>
    <r>
      <rPr>
        <b/>
        <sz val="10"/>
        <color theme="1"/>
        <rFont val="Calibri"/>
        <family val="2"/>
        <scheme val="minor"/>
      </rPr>
      <t>CollegePreparatory</t>
    </r>
    <r>
      <rPr>
        <sz val="10"/>
        <color theme="1"/>
        <rFont val="Calibri"/>
        <family val="2"/>
        <scheme val="minor"/>
      </rPr>
      <t xml:space="preserve"> - College Preparatory
</t>
    </r>
    <r>
      <rPr>
        <b/>
        <sz val="10"/>
        <color theme="1"/>
        <rFont val="Calibri"/>
        <family val="2"/>
        <scheme val="minor"/>
      </rPr>
      <t>GiftedTalented</t>
    </r>
    <r>
      <rPr>
        <sz val="10"/>
        <color theme="1"/>
        <rFont val="Calibri"/>
        <family val="2"/>
        <scheme val="minor"/>
      </rPr>
      <t xml:space="preserve"> - Gifted and Talented
</t>
    </r>
    <r>
      <rPr>
        <b/>
        <sz val="10"/>
        <color theme="1"/>
        <rFont val="Calibri"/>
        <family val="2"/>
        <scheme val="minor"/>
      </rPr>
      <t>Honors</t>
    </r>
    <r>
      <rPr>
        <sz val="10"/>
        <color theme="1"/>
        <rFont val="Calibri"/>
        <family val="2"/>
        <scheme val="minor"/>
      </rPr>
      <t xml:space="preserve"> - Honors
</t>
    </r>
    <r>
      <rPr>
        <b/>
        <sz val="10"/>
        <color theme="1"/>
        <rFont val="Calibri"/>
        <family val="2"/>
        <scheme val="minor"/>
      </rPr>
      <t>NonAcademic</t>
    </r>
    <r>
      <rPr>
        <sz val="10"/>
        <color theme="1"/>
        <rFont val="Calibri"/>
        <family val="2"/>
        <scheme val="minor"/>
      </rPr>
      <t xml:space="preserve"> - Non-Academic
</t>
    </r>
    <r>
      <rPr>
        <b/>
        <sz val="10"/>
        <color theme="1"/>
        <rFont val="Calibri"/>
        <family val="2"/>
        <scheme val="minor"/>
      </rPr>
      <t>SpecialEducation</t>
    </r>
    <r>
      <rPr>
        <sz val="10"/>
        <color theme="1"/>
        <rFont val="Calibri"/>
        <family val="2"/>
        <scheme val="minor"/>
      </rPr>
      <t xml:space="preserve"> - Special Education
</t>
    </r>
    <r>
      <rPr>
        <b/>
        <sz val="10"/>
        <color theme="1"/>
        <rFont val="Calibri"/>
        <family val="2"/>
        <scheme val="minor"/>
      </rPr>
      <t>TechnicalPreparatory</t>
    </r>
    <r>
      <rPr>
        <sz val="10"/>
        <color theme="1"/>
        <rFont val="Calibri"/>
        <family val="2"/>
        <scheme val="minor"/>
      </rPr>
      <t xml:space="preserve"> - Technical Preparatory
</t>
    </r>
    <r>
      <rPr>
        <b/>
        <sz val="10"/>
        <color theme="1"/>
        <rFont val="Calibri"/>
        <family val="2"/>
        <scheme val="minor"/>
      </rPr>
      <t>Vocational</t>
    </r>
    <r>
      <rPr>
        <sz val="10"/>
        <color theme="1"/>
        <rFont val="Calibri"/>
        <family val="2"/>
        <scheme val="minor"/>
      </rPr>
      <t xml:space="preserve"> - Vocational
</t>
    </r>
    <r>
      <rPr>
        <b/>
        <sz val="10"/>
        <color theme="1"/>
        <rFont val="Calibri"/>
        <family val="2"/>
        <scheme val="minor"/>
      </rPr>
      <t>LowerDivision</t>
    </r>
    <r>
      <rPr>
        <sz val="10"/>
        <color theme="1"/>
        <rFont val="Calibri"/>
        <family val="2"/>
        <scheme val="minor"/>
      </rPr>
      <t xml:space="preserve"> - Lower division
</t>
    </r>
    <r>
      <rPr>
        <b/>
        <sz val="10"/>
        <color theme="1"/>
        <rFont val="Calibri"/>
        <family val="2"/>
        <scheme val="minor"/>
      </rPr>
      <t>UpperDivision</t>
    </r>
    <r>
      <rPr>
        <sz val="10"/>
        <color theme="1"/>
        <rFont val="Calibri"/>
        <family val="2"/>
        <scheme val="minor"/>
      </rPr>
      <t xml:space="preserve"> - Upper division
</t>
    </r>
    <r>
      <rPr>
        <b/>
        <sz val="10"/>
        <color theme="1"/>
        <rFont val="Calibri"/>
        <family val="2"/>
        <scheme val="minor"/>
      </rPr>
      <t>Dual</t>
    </r>
    <r>
      <rPr>
        <sz val="10"/>
        <color theme="1"/>
        <rFont val="Calibri"/>
        <family val="2"/>
        <scheme val="minor"/>
      </rPr>
      <t xml:space="preserve"> - Dual level
</t>
    </r>
    <r>
      <rPr>
        <b/>
        <sz val="10"/>
        <color theme="1"/>
        <rFont val="Calibri"/>
        <family val="2"/>
        <scheme val="minor"/>
      </rPr>
      <t>GraduateProfessional</t>
    </r>
    <r>
      <rPr>
        <sz val="10"/>
        <color theme="1"/>
        <rFont val="Calibri"/>
        <family val="2"/>
        <scheme val="minor"/>
      </rPr>
      <t xml:space="preserve"> - Graduate/Professional
</t>
    </r>
    <r>
      <rPr>
        <b/>
        <sz val="10"/>
        <color theme="1"/>
        <rFont val="Calibri"/>
        <family val="2"/>
        <scheme val="minor"/>
      </rPr>
      <t>Regents</t>
    </r>
    <r>
      <rPr>
        <sz val="10"/>
        <color theme="1"/>
        <rFont val="Calibri"/>
        <family val="2"/>
        <scheme val="minor"/>
      </rPr>
      <t xml:space="preserve"> - Regents
</t>
    </r>
    <r>
      <rPr>
        <b/>
        <sz val="10"/>
        <color theme="1"/>
        <rFont val="Calibri"/>
        <family val="2"/>
        <scheme val="minor"/>
      </rPr>
      <t>Remedial</t>
    </r>
    <r>
      <rPr>
        <sz val="10"/>
        <color theme="1"/>
        <rFont val="Calibri"/>
        <family val="2"/>
        <scheme val="minor"/>
      </rPr>
      <t xml:space="preserve"> - Remedial/Developmental
</t>
    </r>
    <r>
      <rPr>
        <b/>
        <sz val="10"/>
        <color theme="1"/>
        <rFont val="Calibri"/>
        <family val="2"/>
        <scheme val="minor"/>
      </rPr>
      <t>K12</t>
    </r>
    <r>
      <rPr>
        <sz val="10"/>
        <color theme="1"/>
        <rFont val="Calibri"/>
        <family val="2"/>
        <scheme val="minor"/>
      </rPr>
      <t xml:space="preserve"> - K12
</t>
    </r>
  </si>
  <si>
    <t>Adult Education -&gt; Course Section
Career and Technical -&gt; Course Section
K12 -&gt; Course Section
Postsecondary -&gt; Course Section</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</si>
  <si>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</si>
  <si>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</si>
  <si>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</si>
  <si>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</si>
  <si>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</si>
  <si>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</si>
  <si>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</si>
  <si>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The official reference number portion of a course identifier. This number normally designates the level of the course as well as the level of the individual expected to enroll in the course.</t>
  </si>
  <si>
    <t>Adult Education -&gt; AE Student -&gt; Course
Adult Education -&gt; Course Section
Career and Technical -&gt; Course Section
Postsecondary -&gt; Course Section</t>
  </si>
  <si>
    <t>001314</t>
  </si>
  <si>
    <t>CourseNumber</t>
  </si>
  <si>
    <t>Course Override School</t>
  </si>
  <si>
    <t>The school where the credit was earned if different from the institution reporting.</t>
  </si>
  <si>
    <t>000063</t>
  </si>
  <si>
    <t>CourseOverrideSchool</t>
  </si>
  <si>
    <t>Course Quality Points Earned</t>
  </si>
  <si>
    <t>The numerical value assigned to a letter grade to provide a basis of quantitative determination of an average.</t>
  </si>
  <si>
    <t>000064</t>
  </si>
  <si>
    <t>CourseQualityPointsEarned</t>
  </si>
  <si>
    <t>Course Repeat Code</t>
  </si>
  <si>
    <t>Indicates that an academic course has been repeated by a student and how that repeat is to be computed in the student's academic grade average.</t>
  </si>
  <si>
    <r>
      <t>RepeatCounted</t>
    </r>
    <r>
      <rPr>
        <sz val="10"/>
        <color theme="1"/>
        <rFont val="Calibri"/>
        <family val="2"/>
        <scheme val="minor"/>
      </rPr>
      <t xml:space="preserve"> - Repeated, counted in grade point average
</t>
    </r>
    <r>
      <rPr>
        <b/>
        <sz val="10"/>
        <color theme="1"/>
        <rFont val="Calibri"/>
        <family val="2"/>
        <scheme val="minor"/>
      </rPr>
      <t>RepeatNotCounted</t>
    </r>
    <r>
      <rPr>
        <sz val="10"/>
        <color theme="1"/>
        <rFont val="Calibri"/>
        <family val="2"/>
        <scheme val="minor"/>
      </rPr>
      <t xml:space="preserve"> - Repeated, not counted in grade point average
</t>
    </r>
    <r>
      <rPr>
        <b/>
        <sz val="10"/>
        <color theme="1"/>
        <rFont val="Calibri"/>
        <family val="2"/>
        <scheme val="minor"/>
      </rPr>
      <t>ReplacementCounted</t>
    </r>
    <r>
      <rPr>
        <sz val="10"/>
        <color theme="1"/>
        <rFont val="Calibri"/>
        <family val="2"/>
        <scheme val="minor"/>
      </rPr>
      <t xml:space="preserve"> - Replacement counted
</t>
    </r>
    <r>
      <rPr>
        <b/>
        <sz val="10"/>
        <color theme="1"/>
        <rFont val="Calibri"/>
        <family val="2"/>
        <scheme val="minor"/>
      </rPr>
      <t>ReplacedNotCounted</t>
    </r>
    <r>
      <rPr>
        <sz val="10"/>
        <color theme="1"/>
        <rFont val="Calibri"/>
        <family val="2"/>
        <scheme val="minor"/>
      </rPr>
      <t xml:space="preserve"> - Replacement not counted
</t>
    </r>
    <r>
      <rPr>
        <b/>
        <sz val="10"/>
        <color theme="1"/>
        <rFont val="Calibri"/>
        <family val="2"/>
        <scheme val="minor"/>
      </rPr>
      <t>RepeatOtherInstitution</t>
    </r>
    <r>
      <rPr>
        <sz val="10"/>
        <color theme="1"/>
        <rFont val="Calibri"/>
        <family val="2"/>
        <scheme val="minor"/>
      </rPr>
      <t xml:space="preserve"> - Repeated, other institution
</t>
    </r>
    <r>
      <rPr>
        <b/>
        <sz val="10"/>
        <color theme="1"/>
        <rFont val="Calibri"/>
        <family val="2"/>
        <scheme val="minor"/>
      </rPr>
      <t>NotCountedOther</t>
    </r>
    <r>
      <rPr>
        <sz val="10"/>
        <color theme="1"/>
        <rFont val="Calibri"/>
        <family val="2"/>
        <scheme val="minor"/>
      </rPr>
      <t xml:space="preserve"> - Other, not counted in GPA (e.g., used for academic forgiveness or clemency).
</t>
    </r>
  </si>
  <si>
    <t>Adult Education -&gt; Course Section
Career and Technical -&gt; Course Section
K12 -&gt; K12 Student -&gt; Academic Record
Postsecondary -&gt; Course Section</t>
  </si>
  <si>
    <t>000065</t>
  </si>
  <si>
    <t>CourseRepeatCode</t>
  </si>
  <si>
    <t>Course Repeatability Maximum Number</t>
  </si>
  <si>
    <t>The maximum number of times the course may be taken or completed for credit.</t>
  </si>
  <si>
    <t>001667</t>
  </si>
  <si>
    <t>CourseRepeatabilityMaximumNumber</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</si>
  <si>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</si>
  <si>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</si>
  <si>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Adult Education -&gt; Course Section -&gt; Course
Career and Technical -&gt; Course Section -&gt; Course
K12 -&gt; Course Section -&gt; Course</t>
  </si>
  <si>
    <t>000027</t>
  </si>
  <si>
    <t>CourseSectionAssessmentReportingMethod</t>
  </si>
  <si>
    <t>K-12 -&gt; High School Generated Transcript
School Readiness</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</si>
  <si>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</si>
  <si>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</si>
  <si>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</si>
  <si>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wait-listed for enrollment in a course, the start dates may be different and the end dates may be the same as the start date for "enrolled" status when the student moves off the wait list. All CEDS Exit and End Dates represent the last day of the date range specified, such as the last day that a person was enrolled, participated, or received services.</t>
  </si>
  <si>
    <t>000975</t>
  </si>
  <si>
    <t>CourseSectionEnrollmentStatusEndDate</t>
  </si>
  <si>
    <t>Course Section Enrollment Status Start Date</t>
  </si>
  <si>
    <t>The date on which the enrollment status began related to a student enrolled in an instance of a course.</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</si>
  <si>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</si>
  <si>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000974</t>
  </si>
  <si>
    <t>CourseSectionEnrollmentStatusStartDate</t>
  </si>
  <si>
    <t>Course Section Enrollment Status Type</t>
  </si>
  <si>
    <t>The status related to a student enrollment in an instance of a course.</t>
  </si>
  <si>
    <r>
      <t>Pre-registered</t>
    </r>
    <r>
      <rPr>
        <sz val="10"/>
        <color theme="1"/>
        <rFont val="Calibri"/>
        <family val="2"/>
        <scheme val="minor"/>
      </rPr>
      <t xml:space="preserve"> - Pre-registered
</t>
    </r>
    <r>
      <rPr>
        <b/>
        <sz val="10"/>
        <color theme="1"/>
        <rFont val="Calibri"/>
        <family val="2"/>
        <scheme val="minor"/>
      </rPr>
      <t>Registered</t>
    </r>
    <r>
      <rPr>
        <sz val="10"/>
        <color theme="1"/>
        <rFont val="Calibri"/>
        <family val="2"/>
        <scheme val="minor"/>
      </rPr>
      <t xml:space="preserve"> - Registered
</t>
    </r>
    <r>
      <rPr>
        <b/>
        <sz val="10"/>
        <color theme="1"/>
        <rFont val="Calibri"/>
        <family val="2"/>
        <scheme val="minor"/>
      </rPr>
      <t>Enrolled</t>
    </r>
    <r>
      <rPr>
        <sz val="10"/>
        <color theme="1"/>
        <rFont val="Calibri"/>
        <family val="2"/>
        <scheme val="minor"/>
      </rPr>
      <t xml:space="preserve"> - Enrolled
</t>
    </r>
    <r>
      <rPr>
        <b/>
        <sz val="10"/>
        <color theme="1"/>
        <rFont val="Calibri"/>
        <family val="2"/>
        <scheme val="minor"/>
      </rPr>
      <t>WaitListed</t>
    </r>
    <r>
      <rPr>
        <sz val="10"/>
        <color theme="1"/>
        <rFont val="Calibri"/>
        <family val="2"/>
        <scheme val="minor"/>
      </rPr>
      <t xml:space="preserve"> - Wait Listed
</t>
    </r>
    <r>
      <rPr>
        <b/>
        <sz val="10"/>
        <color theme="1"/>
        <rFont val="Calibri"/>
        <family val="2"/>
        <scheme val="minor"/>
      </rPr>
      <t>Dropped</t>
    </r>
    <r>
      <rPr>
        <sz val="10"/>
        <color theme="1"/>
        <rFont val="Calibri"/>
        <family val="2"/>
        <scheme val="minor"/>
      </rPr>
      <t xml:space="preserve"> - Dropped
</t>
    </r>
    <r>
      <rPr>
        <b/>
        <sz val="10"/>
        <color theme="1"/>
        <rFont val="Calibri"/>
        <family val="2"/>
        <scheme val="minor"/>
      </rPr>
      <t>Completed</t>
    </r>
    <r>
      <rPr>
        <sz val="10"/>
        <color theme="1"/>
        <rFont val="Calibri"/>
        <family val="2"/>
        <scheme val="minor"/>
      </rPr>
      <t xml:space="preserve"> - Completed
</t>
    </r>
  </si>
  <si>
    <t>000976</t>
  </si>
  <si>
    <t>CourseSectionEnrollmentStatusType</t>
  </si>
  <si>
    <t>Course Section Entry Type</t>
  </si>
  <si>
    <t>The process by which a student enters a school (Course Section) during a given academic session.</t>
  </si>
  <si>
    <r>
      <t>NewEnrollment</t>
    </r>
    <r>
      <rPr>
        <sz val="10"/>
        <color theme="1"/>
        <rFont val="Calibri"/>
        <family val="2"/>
        <scheme val="minor"/>
      </rPr>
      <t xml:space="preserve"> - New Enrollment
</t>
    </r>
    <r>
      <rPr>
        <b/>
        <sz val="10"/>
        <color theme="1"/>
        <rFont val="Calibri"/>
        <family val="2"/>
        <scheme val="minor"/>
      </rPr>
      <t>Transfer</t>
    </r>
    <r>
      <rPr>
        <sz val="10"/>
        <color theme="1"/>
        <rFont val="Calibri"/>
        <family val="2"/>
        <scheme val="minor"/>
      </rPr>
      <t xml:space="preserve"> - Transfer
</t>
    </r>
  </si>
  <si>
    <t>000650</t>
  </si>
  <si>
    <t>CourseSectionEntryType</t>
  </si>
  <si>
    <t>K-12 -&gt; Teacher-Student Data Link -&gt; Enrollment</t>
  </si>
  <si>
    <t>Course Section Exit Type</t>
  </si>
  <si>
    <t>The circumstances under which the student exited from membership in a course section.</t>
  </si>
  <si>
    <r>
      <t>Transfer</t>
    </r>
    <r>
      <rPr>
        <sz val="10"/>
        <color theme="1"/>
        <rFont val="Calibri"/>
        <family val="2"/>
        <scheme val="minor"/>
      </rPr>
      <t xml:space="preserve"> - Student transferred to another Class Section of the same course in the same educational institution.
</t>
    </r>
    <r>
      <rPr>
        <b/>
        <sz val="10"/>
        <color theme="1"/>
        <rFont val="Calibri"/>
        <family val="2"/>
        <scheme val="minor"/>
      </rPr>
      <t>CompletedForCredit</t>
    </r>
    <r>
      <rPr>
        <sz val="10"/>
        <color theme="1"/>
        <rFont val="Calibri"/>
        <family val="2"/>
        <scheme val="minor"/>
      </rPr>
      <t xml:space="preserve"> - Class Section completed, student received credit for the course.
</t>
    </r>
    <r>
      <rPr>
        <b/>
        <sz val="10"/>
        <color theme="1"/>
        <rFont val="Calibri"/>
        <family val="2"/>
        <scheme val="minor"/>
      </rPr>
      <t>CompletedNoCredit</t>
    </r>
    <r>
      <rPr>
        <sz val="10"/>
        <color theme="1"/>
        <rFont val="Calibri"/>
        <family val="2"/>
        <scheme val="minor"/>
      </rPr>
      <t xml:space="preserve"> - Class Section completed, student did not receive credit for the course.
</t>
    </r>
    <r>
      <rPr>
        <b/>
        <sz val="10"/>
        <color theme="1"/>
        <rFont val="Calibri"/>
        <family val="2"/>
        <scheme val="minor"/>
      </rPr>
      <t>Incomplete</t>
    </r>
    <r>
      <rPr>
        <sz val="10"/>
        <color theme="1"/>
        <rFont val="Calibri"/>
        <family val="2"/>
        <scheme val="minor"/>
      </rPr>
      <t xml:space="preserve"> - Class Section completed, student did not complete the work required to complete the course.
</t>
    </r>
  </si>
  <si>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</si>
  <si>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</si>
  <si>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</si>
  <si>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</si>
  <si>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</si>
  <si>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</si>
  <si>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</si>
  <si>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</si>
  <si>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</si>
  <si>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</si>
  <si>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</si>
  <si>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</si>
  <si>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r>
      <t>Broadcast</t>
    </r>
    <r>
      <rPr>
        <sz val="10"/>
        <color theme="1"/>
        <rFont val="Calibri"/>
        <family val="2"/>
        <scheme val="minor"/>
      </rPr>
      <t xml:space="preserve"> - Broadcast
</t>
    </r>
    <r>
      <rPr>
        <b/>
        <sz val="10"/>
        <color theme="1"/>
        <rFont val="Calibri"/>
        <family val="2"/>
        <scheme val="minor"/>
      </rPr>
      <t>Correspondence</t>
    </r>
    <r>
      <rPr>
        <sz val="10"/>
        <color theme="1"/>
        <rFont val="Calibri"/>
        <family val="2"/>
        <scheme val="minor"/>
      </rPr>
      <t xml:space="preserve"> - Correspondence
</t>
    </r>
    <r>
      <rPr>
        <b/>
        <sz val="10"/>
        <color theme="1"/>
        <rFont val="Calibri"/>
        <family val="2"/>
        <scheme val="minor"/>
      </rPr>
      <t>EarlyCollege</t>
    </r>
    <r>
      <rPr>
        <sz val="10"/>
        <color theme="1"/>
        <rFont val="Calibri"/>
        <family val="2"/>
        <scheme val="minor"/>
      </rPr>
      <t xml:space="preserve"> - Early College
</t>
    </r>
    <r>
      <rPr>
        <b/>
        <sz val="10"/>
        <color theme="1"/>
        <rFont val="Calibri"/>
        <family val="2"/>
        <scheme val="minor"/>
      </rPr>
      <t>AudioVideo</t>
    </r>
    <r>
      <rPr>
        <sz val="10"/>
        <color theme="1"/>
        <rFont val="Calibri"/>
        <family val="2"/>
        <scheme val="minor"/>
      </rPr>
      <t xml:space="preserve"> - Interactive Audio/Video
</t>
    </r>
    <r>
      <rPr>
        <b/>
        <sz val="10"/>
        <color theme="1"/>
        <rFont val="Calibri"/>
        <family val="2"/>
        <scheme val="minor"/>
      </rPr>
      <t>Online</t>
    </r>
    <r>
      <rPr>
        <sz val="10"/>
        <color theme="1"/>
        <rFont val="Calibri"/>
        <family val="2"/>
        <scheme val="minor"/>
      </rPr>
      <t xml:space="preserve"> - Online
</t>
    </r>
    <r>
      <rPr>
        <b/>
        <sz val="10"/>
        <color theme="1"/>
        <rFont val="Calibri"/>
        <family val="2"/>
        <scheme val="minor"/>
      </rPr>
      <t>IndependentStudy</t>
    </r>
    <r>
      <rPr>
        <sz val="10"/>
        <color theme="1"/>
        <rFont val="Calibri"/>
        <family val="2"/>
        <scheme val="minor"/>
      </rPr>
      <t xml:space="preserve"> - Independent Study
</t>
    </r>
    <r>
      <rPr>
        <b/>
        <sz val="10"/>
        <color theme="1"/>
        <rFont val="Calibri"/>
        <family val="2"/>
        <scheme val="minor"/>
      </rPr>
      <t>FaceToFace</t>
    </r>
    <r>
      <rPr>
        <sz val="10"/>
        <color theme="1"/>
        <rFont val="Calibri"/>
        <family val="2"/>
        <scheme val="minor"/>
      </rPr>
      <t xml:space="preserve"> - Face to Face
</t>
    </r>
    <r>
      <rPr>
        <b/>
        <sz val="10"/>
        <color theme="1"/>
        <rFont val="Calibri"/>
        <family val="2"/>
        <scheme val="minor"/>
      </rPr>
      <t>BlendedLearning</t>
    </r>
    <r>
      <rPr>
        <sz val="10"/>
        <color theme="1"/>
        <rFont val="Calibri"/>
        <family val="2"/>
        <scheme val="minor"/>
      </rPr>
      <t xml:space="preserve"> - Blended Learning
</t>
    </r>
  </si>
  <si>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</si>
  <si>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</si>
  <si>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</si>
  <si>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</si>
  <si>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</si>
  <si>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</si>
  <si>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</si>
  <si>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</si>
  <si>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</si>
  <si>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</si>
  <si>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</si>
  <si>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</si>
  <si>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r>
      <t>MaleOnly</t>
    </r>
    <r>
      <rPr>
        <sz val="10"/>
        <color theme="1"/>
        <rFont val="Calibri"/>
        <family val="2"/>
        <scheme val="minor"/>
      </rPr>
      <t xml:space="preserve"> - Male-only
</t>
    </r>
    <r>
      <rPr>
        <b/>
        <sz val="10"/>
        <color theme="1"/>
        <rFont val="Calibri"/>
        <family val="2"/>
        <scheme val="minor"/>
      </rPr>
      <t>FemaleOnly</t>
    </r>
    <r>
      <rPr>
        <sz val="10"/>
        <color theme="1"/>
        <rFont val="Calibri"/>
        <family val="2"/>
        <scheme val="minor"/>
      </rPr>
      <t xml:space="preserve"> - Female-only
</t>
    </r>
    <r>
      <rPr>
        <b/>
        <sz val="10"/>
        <color theme="1"/>
        <rFont val="Calibri"/>
        <family val="2"/>
        <scheme val="minor"/>
      </rPr>
      <t>NotSingleSex</t>
    </r>
    <r>
      <rPr>
        <sz val="10"/>
        <color theme="1"/>
        <rFont val="Calibri"/>
        <family val="2"/>
        <scheme val="minor"/>
      </rPr>
      <t xml:space="preserve"> - Not a single-sex class
</t>
    </r>
  </si>
  <si>
    <t>000258</t>
  </si>
  <si>
    <t>CourseSectionSingleSexClassStatus</t>
  </si>
  <si>
    <t>K-12 -&gt; Civil Rights Data Collection
K-12 -&gt; Teacher-Student Data Link -&gt; Class Section</t>
  </si>
  <si>
    <t>Course Section Time Required for Completion</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</si>
  <si>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</si>
  <si>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</si>
  <si>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</si>
  <si>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</si>
  <si>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</si>
  <si>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The alphabetic abbreviation of the academic department or discipline offering the course. It is one part of the total course identifier number.</t>
  </si>
  <si>
    <t>Alphanumeric - 10 characters maximum</t>
  </si>
  <si>
    <t>000066</t>
  </si>
  <si>
    <t>CourseSubjectAbbreviation</t>
  </si>
  <si>
    <t>Course Title</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</si>
  <si>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t>
  </si>
  <si>
    <t>000067</t>
  </si>
  <si>
    <t>CourseTitle</t>
  </si>
  <si>
    <t>Course Total</t>
  </si>
  <si>
    <t>The total number of courses listed on a transcript. Used as a check digit for integrity purposes.</t>
  </si>
  <si>
    <t>001316</t>
  </si>
  <si>
    <t>CourseTotal</t>
  </si>
  <si>
    <t>Credential Advanced Standing Description</t>
  </si>
  <si>
    <t>A description of a credential that reduced the time or cost of attaining this credential.</t>
  </si>
  <si>
    <t>Credentials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</si>
  <si>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</si>
  <si>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</si>
  <si>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</si>
  <si>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</si>
  <si>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</si>
  <si>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</si>
  <si>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Award Approver Name</t>
  </si>
  <si>
    <t>Pronouncement of a favorable judgment by the agent being referenced.</t>
  </si>
  <si>
    <t>001737</t>
  </si>
  <si>
    <t>CredentialAwardApproverName</t>
  </si>
  <si>
    <t>Credential Award End Date</t>
  </si>
  <si>
    <t>The date, if any, on which the award or achievement expires or requires renewal.</t>
  </si>
  <si>
    <t>001164</t>
  </si>
  <si>
    <t>Credential End Date</t>
  </si>
  <si>
    <t>CredentialAwardEndDate</t>
  </si>
  <si>
    <t>Credential Award Evidence URL</t>
  </si>
  <si>
    <t>A URL to a page that describes the evidence that the learner met the criteria for attainment of the credential award.</t>
  </si>
  <si>
    <t>001669</t>
  </si>
  <si>
    <t>CredentialAwardEvidenceURL</t>
  </si>
  <si>
    <t>Credential Award Issuer Name</t>
  </si>
  <si>
    <t>The name of the agent issuing the award.</t>
  </si>
  <si>
    <t>Alphanumeric - 128 characters maximum</t>
  </si>
  <si>
    <t>000898</t>
  </si>
  <si>
    <t>CredentialAwardIssuerName</t>
  </si>
  <si>
    <t>Credential Award Issuer Origin URL</t>
  </si>
  <si>
    <t>The Uniform Resource Locator (URL) from which the award was issued.</t>
  </si>
  <si>
    <t>Used only if an award is issued electronically for the achievement.</t>
  </si>
  <si>
    <t>000900</t>
  </si>
  <si>
    <t>CredentialAwardIssuerOriginURL</t>
  </si>
  <si>
    <t>Credential Award Start Date</t>
  </si>
  <si>
    <t>The date on which the achievement was conferred.</t>
  </si>
  <si>
    <t>Diploma or Credential Award Date is the same concept but used when only month and year are known or needed.</t>
  </si>
  <si>
    <t>001163</t>
  </si>
  <si>
    <t>Credential Start Date</t>
  </si>
  <si>
    <t>CredentialAwardStartDate</t>
  </si>
  <si>
    <t>Credential Completion Date</t>
  </si>
  <si>
    <t>The date on which the person's requirements for earning a credential were met or completed.</t>
  </si>
  <si>
    <t>001664</t>
  </si>
  <si>
    <t>CredentialCompletionDate</t>
  </si>
  <si>
    <t>Credential Definition Agent Role Type</t>
  </si>
  <si>
    <t>The role that an organization or person has in relation to this Credential Definition based on terms defined by Credential Engine.</t>
  </si>
  <si>
    <r>
      <t>accreditedBy</t>
    </r>
    <r>
      <rPr>
        <sz val="10"/>
        <color theme="1"/>
        <rFont val="Calibri"/>
        <family val="2"/>
        <scheme val="minor"/>
      </rPr>
      <t xml:space="preserve"> - Accredited By
</t>
    </r>
    <r>
      <rPr>
        <b/>
        <sz val="10"/>
        <color theme="1"/>
        <rFont val="Calibri"/>
        <family val="2"/>
        <scheme val="minor"/>
      </rPr>
      <t>approvedBy</t>
    </r>
    <r>
      <rPr>
        <sz val="10"/>
        <color theme="1"/>
        <rFont val="Calibri"/>
        <family val="2"/>
        <scheme val="minor"/>
      </rPr>
      <t xml:space="preserve"> - Approved By
</t>
    </r>
    <r>
      <rPr>
        <b/>
        <sz val="10"/>
        <color theme="1"/>
        <rFont val="Calibri"/>
        <family val="2"/>
        <scheme val="minor"/>
      </rPr>
      <t>offeredBy</t>
    </r>
    <r>
      <rPr>
        <sz val="10"/>
        <color theme="1"/>
        <rFont val="Calibri"/>
        <family val="2"/>
        <scheme val="minor"/>
      </rPr>
      <t xml:space="preserve"> - Offered By
</t>
    </r>
    <r>
      <rPr>
        <b/>
        <sz val="10"/>
        <color theme="1"/>
        <rFont val="Calibri"/>
        <family val="2"/>
        <scheme val="minor"/>
      </rPr>
      <t>ownedBy</t>
    </r>
    <r>
      <rPr>
        <sz val="10"/>
        <color theme="1"/>
        <rFont val="Calibri"/>
        <family val="2"/>
        <scheme val="minor"/>
      </rPr>
      <t xml:space="preserve"> - Owned By
</t>
    </r>
    <r>
      <rPr>
        <b/>
        <sz val="10"/>
        <color theme="1"/>
        <rFont val="Calibri"/>
        <family val="2"/>
        <scheme val="minor"/>
      </rPr>
      <t>recognizedBy</t>
    </r>
    <r>
      <rPr>
        <sz val="10"/>
        <color theme="1"/>
        <rFont val="Calibri"/>
        <family val="2"/>
        <scheme val="minor"/>
      </rPr>
      <t xml:space="preserve"> - Recognized By
</t>
    </r>
    <r>
      <rPr>
        <b/>
        <sz val="10"/>
        <color theme="1"/>
        <rFont val="Calibri"/>
        <family val="2"/>
        <scheme val="minor"/>
      </rPr>
      <t>regulatedBy</t>
    </r>
    <r>
      <rPr>
        <sz val="10"/>
        <color theme="1"/>
        <rFont val="Calibri"/>
        <family val="2"/>
        <scheme val="minor"/>
      </rPr>
      <t xml:space="preserve"> - Regulated By
</t>
    </r>
    <r>
      <rPr>
        <b/>
        <sz val="10"/>
        <color theme="1"/>
        <rFont val="Calibri"/>
        <family val="2"/>
        <scheme val="minor"/>
      </rPr>
      <t>renewedBy</t>
    </r>
    <r>
      <rPr>
        <sz val="10"/>
        <color theme="1"/>
        <rFont val="Calibri"/>
        <family val="2"/>
        <scheme val="minor"/>
      </rPr>
      <t xml:space="preserve"> - Renewed By
</t>
    </r>
    <r>
      <rPr>
        <b/>
        <sz val="10"/>
        <color theme="1"/>
        <rFont val="Calibri"/>
        <family val="2"/>
        <scheme val="minor"/>
      </rPr>
      <t>revokedBy</t>
    </r>
    <r>
      <rPr>
        <sz val="10"/>
        <color theme="1"/>
        <rFont val="Calibri"/>
        <family val="2"/>
        <scheme val="minor"/>
      </rPr>
      <t xml:space="preserve"> - Revoked By
</t>
    </r>
  </si>
  <si>
    <t>Credentials -&gt; Credential Definition Agent</t>
  </si>
  <si>
    <t>Option codes and definitions are from the Credential Engine and the ceterms namespace, except the codes use Pascal case in CEDS to follow CEDS conventions and use camel case in the original ceterms.</t>
  </si>
  <si>
    <t>001914</t>
  </si>
  <si>
    <t>CredentialDefinitionAgentRoleType</t>
  </si>
  <si>
    <t>Credential Definition Alternate Name</t>
  </si>
  <si>
    <t>An alias for the credential, which may include acronyms, alpha-numeric notations, and other forms of name abbreviations in common use such as PhD, MA, and BA.</t>
  </si>
  <si>
    <t>Credentials -&gt; Credential Definition</t>
  </si>
  <si>
    <t>001736</t>
  </si>
  <si>
    <t>Credential Alternate Name</t>
  </si>
  <si>
    <t>CredentialDefinitionAlternateName</t>
  </si>
  <si>
    <t>Credential Definition Assessment Method Type</t>
  </si>
  <si>
    <t>The method used to conduct the assessment being referenced.</t>
  </si>
  <si>
    <r>
      <t>Artifact</t>
    </r>
    <r>
      <rPr>
        <sz val="10"/>
        <color theme="1"/>
        <rFont val="Calibri"/>
        <family val="2"/>
        <scheme val="minor"/>
      </rPr>
      <t xml:space="preserve"> - Artifact
</t>
    </r>
    <r>
      <rPr>
        <b/>
        <sz val="10"/>
        <color theme="1"/>
        <rFont val="Calibri"/>
        <family val="2"/>
        <scheme val="minor"/>
      </rPr>
      <t>Exam</t>
    </r>
    <r>
      <rPr>
        <sz val="10"/>
        <color theme="1"/>
        <rFont val="Calibri"/>
        <family val="2"/>
        <scheme val="minor"/>
      </rPr>
      <t xml:space="preserve"> - Exam
</t>
    </r>
    <r>
      <rPr>
        <b/>
        <sz val="10"/>
        <color theme="1"/>
        <rFont val="Calibri"/>
        <family val="2"/>
        <scheme val="minor"/>
      </rPr>
      <t>Performance</t>
    </r>
    <r>
      <rPr>
        <sz val="10"/>
        <color theme="1"/>
        <rFont val="Calibri"/>
        <family val="2"/>
        <scheme val="minor"/>
      </rPr>
      <t xml:space="preserve"> - Performance
</t>
    </r>
  </si>
  <si>
    <t>001738</t>
  </si>
  <si>
    <t>Credential Assessment Method Type</t>
  </si>
  <si>
    <t>CredentialDefinitionAssessmentMethodType</t>
  </si>
  <si>
    <t>Credential Definition Category System</t>
  </si>
  <si>
    <t>The system that defines the categories of credential or achievement used in Credential Category Type.</t>
  </si>
  <si>
    <t>This element recognizes formal adoption of categories for the Achievement Category Type to aid in comparability of data when a formally adopted vocabulary is used.</t>
  </si>
  <si>
    <t>001245</t>
  </si>
  <si>
    <t>Credential Category System</t>
  </si>
  <si>
    <t>CredentialDefinitionCategorySystem</t>
  </si>
  <si>
    <t>Credential Definition Category Type</t>
  </si>
  <si>
    <t>A category for defining a competency or qualification, achievement, personal or organizational quality, experience, attribute, or aspect of an identity typically used to indicate suitability.</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</si>
  <si>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</si>
  <si>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000892</t>
  </si>
  <si>
    <t>Credential Category Type</t>
  </si>
  <si>
    <t>CredentialDefinitionCategoryType</t>
  </si>
  <si>
    <t>Credential Definition Criteria</t>
  </si>
  <si>
    <t>The criteria for competency-based completion of the achievement/award.</t>
  </si>
  <si>
    <t>000896</t>
  </si>
  <si>
    <t>Credential Criteria</t>
  </si>
  <si>
    <t>CredentialDefinitionCriteria</t>
  </si>
  <si>
    <t>Credential Definition Criteria URL</t>
  </si>
  <si>
    <t>The Uniform Resource Locator (URL) for the unique address of a web page describing the competency-based completion criteria for the achievement/award.</t>
  </si>
  <si>
    <t>001153</t>
  </si>
  <si>
    <t>Credential Criteria URL</t>
  </si>
  <si>
    <t>CredentialDefinitionCriteriaURL</t>
  </si>
  <si>
    <t>Credential Definition Date Effective</t>
  </si>
  <si>
    <t>Effective date of the content of a credential definition.</t>
  </si>
  <si>
    <t>This is the date the content/definition of the credential became effective, not necessarily the date that one or more credentialing organizations began offering the credential.</t>
  </si>
  <si>
    <t>001910</t>
  </si>
  <si>
    <t>CredentialDefinitionDateEffective</t>
  </si>
  <si>
    <t>Credential Definition Description</t>
  </si>
  <si>
    <t>A description of the achievement.</t>
  </si>
  <si>
    <t>000895</t>
  </si>
  <si>
    <t>Credential Description</t>
  </si>
  <si>
    <t>CredentialDefinitionDescription</t>
  </si>
  <si>
    <t>Credential Definition Estimated Duration</t>
  </si>
  <si>
    <t>The estimated amount of time in minutes it will take to earn the credential.</t>
  </si>
  <si>
    <t>HH:MM</t>
  </si>
  <si>
    <t>001741</t>
  </si>
  <si>
    <t>Credential Estimated Duration</t>
  </si>
  <si>
    <t>CredentialDefinitionEstimatedDuration</t>
  </si>
  <si>
    <t>Credential Definition Identifier</t>
  </si>
  <si>
    <t>A globally unique identifier by which the creator/owner/provider of a credential recognizes the achievement in transactions with the external environment.</t>
  </si>
  <si>
    <t>Credentials -&gt; Credential Definition
Credentials -&gt; Credential Offered</t>
  </si>
  <si>
    <t>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</si>
  <si>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001658</t>
  </si>
  <si>
    <t>Credential Identifier</t>
  </si>
  <si>
    <t>CredentialDefinitionIdentifier</t>
  </si>
  <si>
    <t>Credential Definition Identifier System</t>
  </si>
  <si>
    <t>A coding scheme that is used for identification and record-keeping purposes by a credentialing organization to refer to an achievement.</t>
  </si>
  <si>
    <r>
      <t>CTID</t>
    </r>
    <r>
      <rPr>
        <sz val="10"/>
        <color theme="1"/>
        <rFont val="Calibri"/>
        <family val="2"/>
        <scheme val="minor"/>
      </rPr>
      <t xml:space="preserve"> - Credential Transparency Identifier
</t>
    </r>
    <r>
      <rPr>
        <b/>
        <sz val="10"/>
        <color theme="1"/>
        <rFont val="Calibri"/>
        <family val="2"/>
        <scheme val="minor"/>
      </rPr>
      <t>URI</t>
    </r>
    <r>
      <rPr>
        <sz val="10"/>
        <color theme="1"/>
        <rFont val="Calibri"/>
        <family val="2"/>
        <scheme val="minor"/>
      </rPr>
      <t xml:space="preserve"> - Uniform Resource Identifier
</t>
    </r>
    <r>
      <rPr>
        <b/>
        <sz val="10"/>
        <color theme="1"/>
        <rFont val="Calibri"/>
        <family val="2"/>
        <scheme val="minor"/>
      </rPr>
      <t>URL</t>
    </r>
    <r>
      <rPr>
        <sz val="10"/>
        <color theme="1"/>
        <rFont val="Calibri"/>
        <family val="2"/>
        <scheme val="minor"/>
      </rPr>
      <t xml:space="preserve"> - Uniform Resource Locator
</t>
    </r>
    <r>
      <rPr>
        <b/>
        <sz val="10"/>
        <color theme="1"/>
        <rFont val="Calibri"/>
        <family val="2"/>
        <scheme val="minor"/>
      </rPr>
      <t>URN</t>
    </r>
    <r>
      <rPr>
        <sz val="10"/>
        <color theme="1"/>
        <rFont val="Calibri"/>
        <family val="2"/>
        <scheme val="minor"/>
      </rPr>
      <t xml:space="preserve"> - Uniform Resource Name
</t>
    </r>
    <r>
      <rPr>
        <b/>
        <sz val="10"/>
        <color theme="1"/>
        <rFont val="Calibri"/>
        <family val="2"/>
        <scheme val="minor"/>
      </rPr>
      <t>UUID</t>
    </r>
    <r>
      <rPr>
        <sz val="10"/>
        <color theme="1"/>
        <rFont val="Calibri"/>
        <family val="2"/>
        <scheme val="minor"/>
      </rPr>
      <t xml:space="preserve"> - Universally Unique Identifier
</t>
    </r>
    <r>
      <rPr>
        <b/>
        <sz val="10"/>
        <color theme="1"/>
        <rFont val="Calibri"/>
        <family val="2"/>
        <scheme val="minor"/>
      </rPr>
      <t>ARK</t>
    </r>
    <r>
      <rPr>
        <sz val="10"/>
        <color theme="1"/>
        <rFont val="Calibri"/>
        <family val="2"/>
        <scheme val="minor"/>
      </rPr>
      <t xml:space="preserve"> - Archival Resource Key
</t>
    </r>
    <r>
      <rPr>
        <b/>
        <sz val="10"/>
        <color theme="1"/>
        <rFont val="Calibri"/>
        <family val="2"/>
        <scheme val="minor"/>
      </rPr>
      <t>DOI</t>
    </r>
    <r>
      <rPr>
        <sz val="10"/>
        <color theme="1"/>
        <rFont val="Calibri"/>
        <family val="2"/>
        <scheme val="minor"/>
      </rPr>
      <t xml:space="preserve"> - Digital Document Identifier
</t>
    </r>
    <r>
      <rPr>
        <b/>
        <sz val="10"/>
        <color theme="1"/>
        <rFont val="Calibri"/>
        <family val="2"/>
        <scheme val="minor"/>
      </rPr>
      <t>INFO</t>
    </r>
    <r>
      <rPr>
        <sz val="10"/>
        <color theme="1"/>
        <rFont val="Calibri"/>
        <family val="2"/>
        <scheme val="minor"/>
      </rPr>
      <t xml:space="preserve"> - INFO URI Scheme
</t>
    </r>
  </si>
  <si>
    <t>001739</t>
  </si>
  <si>
    <t>Credential Identifier System</t>
  </si>
  <si>
    <t>CredentialDefinitionIdentifierSystem</t>
  </si>
  <si>
    <t>Credential Definition Intended Purpose Type</t>
  </si>
  <si>
    <t>The intended type of application of the credential by the holder.</t>
  </si>
  <si>
    <r>
      <t>GeneralEducation</t>
    </r>
    <r>
      <rPr>
        <sz val="10"/>
        <color theme="1"/>
        <rFont val="Calibri"/>
        <family val="2"/>
        <scheme val="minor"/>
      </rPr>
      <t xml:space="preserve"> - General Education
</t>
    </r>
    <r>
      <rPr>
        <b/>
        <sz val="10"/>
        <color theme="1"/>
        <rFont val="Calibri"/>
        <family val="2"/>
        <scheme val="minor"/>
      </rPr>
      <t>JobOrCareerPreparation</t>
    </r>
    <r>
      <rPr>
        <sz val="10"/>
        <color theme="1"/>
        <rFont val="Calibri"/>
        <family val="2"/>
        <scheme val="minor"/>
      </rPr>
      <t xml:space="preserve"> - Job/Career Preparation
</t>
    </r>
    <r>
      <rPr>
        <b/>
        <sz val="10"/>
        <color theme="1"/>
        <rFont val="Calibri"/>
        <family val="2"/>
        <scheme val="minor"/>
      </rPr>
      <t>MidCareer</t>
    </r>
    <r>
      <rPr>
        <sz val="10"/>
        <color theme="1"/>
        <rFont val="Calibri"/>
        <family val="2"/>
        <scheme val="minor"/>
      </rPr>
      <t xml:space="preserve"> - Mid-Career Level
</t>
    </r>
    <r>
      <rPr>
        <b/>
        <sz val="10"/>
        <color theme="1"/>
        <rFont val="Calibri"/>
        <family val="2"/>
        <scheme val="minor"/>
      </rPr>
      <t>PriorExperience</t>
    </r>
    <r>
      <rPr>
        <sz val="10"/>
        <color theme="1"/>
        <rFont val="Calibri"/>
        <family val="2"/>
        <scheme val="minor"/>
      </rPr>
      <t xml:space="preserve"> - Prior Learning Experience
</t>
    </r>
  </si>
  <si>
    <t>001749</t>
  </si>
  <si>
    <t>Credential Intended Purpose Type</t>
  </si>
  <si>
    <t>CredentialDefinitionIntendedPurposeType</t>
  </si>
  <si>
    <t>Credential Definition Jurisdiction Region</t>
  </si>
  <si>
    <t>The geo-political region in which the credential is applicable.</t>
  </si>
  <si>
    <t>GeoJSON</t>
  </si>
  <si>
    <t>http://geojson.org/geojson-spec.html#polygon</t>
  </si>
  <si>
    <t>001743</t>
  </si>
  <si>
    <t>Credential Jurisdiction Region</t>
  </si>
  <si>
    <t>CredentialDefinitionJurisdictionRegion</t>
  </si>
  <si>
    <t>Credential Definition Jurisdiction Region Exception</t>
  </si>
  <si>
    <t>A geo-political region in which the credential does not apply.</t>
  </si>
  <si>
    <t>001744</t>
  </si>
  <si>
    <t>Credential Jurisdiction Region Exception</t>
  </si>
  <si>
    <t>CredentialDefinitionJurisdictionRegionException</t>
  </si>
  <si>
    <t>Credential Definition Keywords</t>
  </si>
  <si>
    <t>Keywords or key phrases describing aspects of a credential considered useful for its discovery.</t>
  </si>
  <si>
    <t>001745</t>
  </si>
  <si>
    <t>Credential Keywords</t>
  </si>
  <si>
    <t>CredentialDefinitionKeywords</t>
  </si>
  <si>
    <t>Credential Definition Maximum Duration</t>
  </si>
  <si>
    <t>The maximum amount of time in minutes it will take to earn the described credential.</t>
  </si>
  <si>
    <t>001746</t>
  </si>
  <si>
    <t>Credential Maximum Duration</t>
  </si>
  <si>
    <t>CredentialDefinitionMaximumDuration</t>
  </si>
  <si>
    <t>Credential Definition Minimum Age</t>
  </si>
  <si>
    <t>The minimum allowed age in years at which a person is eligible for the credential.</t>
  </si>
  <si>
    <t>001747</t>
  </si>
  <si>
    <t>Credential Minimum Age</t>
  </si>
  <si>
    <t>CredentialDefinitionMinimumAge</t>
  </si>
  <si>
    <t>Credential Definition Minimum Duration</t>
  </si>
  <si>
    <t>The minimum amount of time in minutes it will take to earn the described credential.</t>
  </si>
  <si>
    <t>001748</t>
  </si>
  <si>
    <t>Credential Minimum Duration</t>
  </si>
  <si>
    <t>CredentialDefinitionMinimumDuration</t>
  </si>
  <si>
    <t>Credential Definition NAICS Industry Type</t>
  </si>
  <si>
    <t>The North American Industry Classification System (NAICS) class identifier for an industry associated with the credential.</t>
  </si>
  <si>
    <t>See http://www.census.gov/eos/www/naics/</t>
  </si>
  <si>
    <t>Integer - exactly 6 digits</t>
  </si>
  <si>
    <t>001742</t>
  </si>
  <si>
    <t>Credential NAICS Industry Type</t>
  </si>
  <si>
    <t>CredentialDefinitionNAICSIndustryType</t>
  </si>
  <si>
    <t>Credential Definition Status Type</t>
  </si>
  <si>
    <t>The status of the credential offered by a credentialing organization.</t>
  </si>
  <si>
    <r>
      <t>Active</t>
    </r>
    <r>
      <rPr>
        <sz val="10"/>
        <color theme="1"/>
        <rFont val="Calibri"/>
        <family val="2"/>
        <scheme val="minor"/>
      </rPr>
      <t xml:space="preserve"> - Active
</t>
    </r>
    <r>
      <rPr>
        <b/>
        <sz val="10"/>
        <color theme="1"/>
        <rFont val="Calibri"/>
        <family val="2"/>
        <scheme val="minor"/>
      </rPr>
      <t>Deprecated</t>
    </r>
    <r>
      <rPr>
        <sz val="10"/>
        <color theme="1"/>
        <rFont val="Calibri"/>
        <family val="2"/>
        <scheme val="minor"/>
      </rPr>
      <t xml:space="preserve"> - Deprecated
</t>
    </r>
    <r>
      <rPr>
        <b/>
        <sz val="10"/>
        <color theme="1"/>
        <rFont val="Calibri"/>
        <family val="2"/>
        <scheme val="minor"/>
      </rPr>
      <t>Probationary</t>
    </r>
    <r>
      <rPr>
        <sz val="10"/>
        <color theme="1"/>
        <rFont val="Calibri"/>
        <family val="2"/>
        <scheme val="minor"/>
      </rPr>
      <t xml:space="preserve"> - Probationary
</t>
    </r>
    <r>
      <rPr>
        <b/>
        <sz val="10"/>
        <color theme="1"/>
        <rFont val="Calibri"/>
        <family val="2"/>
        <scheme val="minor"/>
      </rPr>
      <t>Superseded</t>
    </r>
    <r>
      <rPr>
        <sz val="10"/>
        <color theme="1"/>
        <rFont val="Calibri"/>
        <family val="2"/>
        <scheme val="minor"/>
      </rPr>
      <t xml:space="preserve"> - Superseded
</t>
    </r>
  </si>
  <si>
    <t>001740</t>
  </si>
  <si>
    <t>Credential Status Type</t>
  </si>
  <si>
    <t>CredentialDefinitionStatusType</t>
  </si>
  <si>
    <t>Credential Definition Title</t>
  </si>
  <si>
    <t>The title assigned to the achievement.</t>
  </si>
  <si>
    <t>000893</t>
  </si>
  <si>
    <t>Credential Title</t>
  </si>
  <si>
    <t>CredentialDefinitionTitle</t>
  </si>
  <si>
    <t>Credential Definition Validation Method Description</t>
  </si>
  <si>
    <t>Description of the methods used to evaluate the validity and reliability of a credential earned by a person.</t>
  </si>
  <si>
    <t>001752</t>
  </si>
  <si>
    <t>Credential Validation Method Description</t>
  </si>
  <si>
    <t>CredentialDefinitionValidationMethodDescription</t>
  </si>
  <si>
    <t>Credential Definition Verification Type</t>
  </si>
  <si>
    <t>A resource describing the means by which someone can verify whether a credential has been attained by a person.</t>
  </si>
  <si>
    <r>
      <t>BadgeClaim</t>
    </r>
    <r>
      <rPr>
        <sz val="10"/>
        <color theme="1"/>
        <rFont val="Calibri"/>
        <family val="2"/>
        <scheme val="minor"/>
      </rPr>
      <t xml:space="preserve"> - Badge Claim
</t>
    </r>
    <r>
      <rPr>
        <b/>
        <sz val="10"/>
        <color theme="1"/>
        <rFont val="Calibri"/>
        <family val="2"/>
        <scheme val="minor"/>
      </rPr>
      <t>TranscriptClaim</t>
    </r>
    <r>
      <rPr>
        <sz val="10"/>
        <color theme="1"/>
        <rFont val="Calibri"/>
        <family val="2"/>
        <scheme val="minor"/>
      </rPr>
      <t xml:space="preserve"> - Transcript Claim
</t>
    </r>
    <r>
      <rPr>
        <b/>
        <sz val="10"/>
        <color theme="1"/>
        <rFont val="Calibri"/>
        <family val="2"/>
        <scheme val="minor"/>
      </rPr>
      <t>VerifiedClaim</t>
    </r>
    <r>
      <rPr>
        <sz val="10"/>
        <color theme="1"/>
        <rFont val="Calibri"/>
        <family val="2"/>
        <scheme val="minor"/>
      </rPr>
      <t xml:space="preserve"> - Verified Claim
</t>
    </r>
  </si>
  <si>
    <t>001753</t>
  </si>
  <si>
    <t>Credential Verification Type</t>
  </si>
  <si>
    <t>CredentialDefinitionVerificationType</t>
  </si>
  <si>
    <t>Credential Definition Version</t>
  </si>
  <si>
    <t>An alphanumeric identifier of a version of the credential being described that is unique within the organizational context.</t>
  </si>
  <si>
    <t>001754</t>
  </si>
  <si>
    <t>Credential Version</t>
  </si>
  <si>
    <t>CredentialDefinitionVersion</t>
  </si>
  <si>
    <t>Credential Evidence Statement</t>
  </si>
  <si>
    <t>A statement or reference describing the evidence that the learner met the criteria for attainment of the achievement.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</si>
  <si>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</si>
  <si>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000901</t>
  </si>
  <si>
    <t>CredentialEvidenceStatement</t>
  </si>
  <si>
    <t>Credential Expiration Date</t>
  </si>
  <si>
    <t>The year, month and day on which an active credential held by a person will expire.</t>
  </si>
  <si>
    <t>Early Learning -&gt; EL Staff -&gt; Credential or License
K12 -&gt; K12 Staff -&gt; Credential or License</t>
  </si>
  <si>
    <t>000069</t>
  </si>
  <si>
    <t>CredentialExpirationDate</t>
  </si>
  <si>
    <t>Credential Image URL</t>
  </si>
  <si>
    <t>The Uniform Resource Locator (URL) for the unique address of an image representing an award or badge associated with the achievement.</t>
  </si>
  <si>
    <t>Typical use is for online display of a badge image.</t>
  </si>
  <si>
    <t>000894</t>
  </si>
  <si>
    <t>CredentialImageURL</t>
  </si>
  <si>
    <t>Credential Issuance Date</t>
  </si>
  <si>
    <t>The year, month and day on which an active credential was issued to a person.</t>
  </si>
  <si>
    <t>000070</t>
  </si>
  <si>
    <t>CredentialIssuanceDate</t>
  </si>
  <si>
    <t>Credential Issuer Revocation List URL</t>
  </si>
  <si>
    <t>The URL to a document that includes a list of credential award assertions an issuer has revoked.</t>
  </si>
  <si>
    <t>See OpenBadges standard example http://openbadges.github.io/openbadges-specification/#RevocationList</t>
  </si>
  <si>
    <t>001662</t>
  </si>
  <si>
    <t>CredentialIssuerRevocationListURL</t>
  </si>
  <si>
    <t>Credential Offered End Date</t>
  </si>
  <si>
    <t>The last date a credential was offered.</t>
  </si>
  <si>
    <t>Credentials -&gt; Credential Offered</t>
  </si>
  <si>
    <t>001912</t>
  </si>
  <si>
    <t>CredentialOfferedEndDate</t>
  </si>
  <si>
    <t>Credential Offered Start Date</t>
  </si>
  <si>
    <t>The first date a credential was offered.</t>
  </si>
  <si>
    <t>001911</t>
  </si>
  <si>
    <t>CredentialOfferedStartDate</t>
  </si>
  <si>
    <t>Credential or License Award Entity</t>
  </si>
  <si>
    <t>The name of the organization awarding the individual's credential or license.</t>
  </si>
  <si>
    <t>001587</t>
  </si>
  <si>
    <t>CredentialOrLicenseAwardEntity</t>
  </si>
  <si>
    <t>Credential Revoked Date</t>
  </si>
  <si>
    <t>The date on which credential award was revoked.</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</si>
  <si>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</si>
  <si>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</si>
  <si>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</si>
  <si>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</si>
  <si>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</si>
  <si>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</si>
  <si>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</si>
  <si>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</si>
  <si>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</si>
  <si>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</si>
  <si>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</si>
  <si>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Type</t>
  </si>
  <si>
    <t>An indication of the category of credential a person holds.</t>
  </si>
  <si>
    <r>
      <t>Certification</t>
    </r>
    <r>
      <rPr>
        <sz val="10"/>
        <color theme="1"/>
        <rFont val="Calibri"/>
        <family val="2"/>
        <scheme val="minor"/>
      </rPr>
      <t xml:space="preserve"> - Certification
</t>
    </r>
    <r>
      <rPr>
        <b/>
        <sz val="10"/>
        <color theme="1"/>
        <rFont val="Calibri"/>
        <family val="2"/>
        <scheme val="minor"/>
      </rPr>
      <t>Endorsement</t>
    </r>
    <r>
      <rPr>
        <sz val="10"/>
        <color theme="1"/>
        <rFont val="Calibri"/>
        <family val="2"/>
        <scheme val="minor"/>
      </rPr>
      <t xml:space="preserve"> - Endorsement
</t>
    </r>
    <r>
      <rPr>
        <b/>
        <sz val="10"/>
        <color theme="1"/>
        <rFont val="Calibri"/>
        <family val="2"/>
        <scheme val="minor"/>
      </rPr>
      <t>Licensure</t>
    </r>
    <r>
      <rPr>
        <sz val="10"/>
        <color theme="1"/>
        <rFont val="Calibri"/>
        <family val="2"/>
        <scheme val="minor"/>
      </rPr>
      <t xml:space="preserve"> - Licensure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Registration</t>
    </r>
    <r>
      <rPr>
        <sz val="10"/>
        <color theme="1"/>
        <rFont val="Calibri"/>
        <family val="2"/>
        <scheme val="minor"/>
      </rPr>
      <t xml:space="preserve"> - Registration
</t>
    </r>
  </si>
  <si>
    <t>Career and Technical -&gt; CTE Staff -&gt; Credential or License
Early Learning -&gt; EL Staff -&gt; Credential or License
K12 -&gt; K12 Staff -&gt; Credential or License
Postsecondary -&gt; PS Staff -&gt; Credential or License</t>
  </si>
  <si>
    <t>000071</t>
  </si>
  <si>
    <t>CredentialType</t>
  </si>
  <si>
    <t>Credit Hours Applied Other Program</t>
  </si>
  <si>
    <t>Codes identifying the set of credit hours taken in other programs or degrees that were applied to the individual's degree.</t>
  </si>
  <si>
    <r>
      <t>00</t>
    </r>
    <r>
      <rPr>
        <sz val="10"/>
        <color theme="1"/>
        <rFont val="Calibri"/>
        <family val="2"/>
        <scheme val="minor"/>
      </rPr>
      <t xml:space="preserve"> - None
</t>
    </r>
    <r>
      <rPr>
        <b/>
        <sz val="10"/>
        <color theme="1"/>
        <rFont val="Calibri"/>
        <family val="2"/>
        <scheme val="minor"/>
      </rPr>
      <t>01</t>
    </r>
    <r>
      <rPr>
        <sz val="10"/>
        <color theme="1"/>
        <rFont val="Calibri"/>
        <family val="2"/>
        <scheme val="minor"/>
      </rPr>
      <t xml:space="preserve"> - Undergraduate hours applied towards graduate degree
</t>
    </r>
    <r>
      <rPr>
        <b/>
        <sz val="10"/>
        <color theme="1"/>
        <rFont val="Calibri"/>
        <family val="2"/>
        <scheme val="minor"/>
      </rPr>
      <t>02</t>
    </r>
    <r>
      <rPr>
        <sz val="10"/>
        <color theme="1"/>
        <rFont val="Calibri"/>
        <family val="2"/>
        <scheme val="minor"/>
      </rPr>
      <t xml:space="preserve"> - Credit hours taken at the postbaccalaureate level
</t>
    </r>
    <r>
      <rPr>
        <b/>
        <sz val="10"/>
        <color theme="1"/>
        <rFont val="Calibri"/>
        <family val="2"/>
        <scheme val="minor"/>
      </rPr>
      <t>03</t>
    </r>
    <r>
      <rPr>
        <sz val="10"/>
        <color theme="1"/>
        <rFont val="Calibri"/>
        <family val="2"/>
        <scheme val="minor"/>
      </rPr>
      <t xml:space="preserve"> - Credit hours taken as unclassified student
</t>
    </r>
    <r>
      <rPr>
        <b/>
        <sz val="10"/>
        <color theme="1"/>
        <rFont val="Calibri"/>
        <family val="2"/>
        <scheme val="minor"/>
      </rPr>
      <t>04</t>
    </r>
    <r>
      <rPr>
        <sz val="10"/>
        <color theme="1"/>
        <rFont val="Calibri"/>
        <family val="2"/>
        <scheme val="minor"/>
      </rPr>
      <t xml:space="preserve"> - Credit hours taken as an independent student
</t>
    </r>
    <r>
      <rPr>
        <b/>
        <sz val="10"/>
        <color theme="1"/>
        <rFont val="Calibri"/>
        <family val="2"/>
        <scheme val="minor"/>
      </rPr>
      <t>05</t>
    </r>
    <r>
      <rPr>
        <sz val="10"/>
        <color theme="1"/>
        <rFont val="Calibri"/>
        <family val="2"/>
        <scheme val="minor"/>
      </rPr>
      <t xml:space="preserve"> - Credit hours taken as traveling scholar at another university
</t>
    </r>
    <r>
      <rPr>
        <b/>
        <sz val="10"/>
        <color theme="1"/>
        <rFont val="Calibri"/>
        <family val="2"/>
        <scheme val="minor"/>
      </rPr>
      <t>06</t>
    </r>
    <r>
      <rPr>
        <sz val="10"/>
        <color theme="1"/>
        <rFont val="Calibri"/>
        <family val="2"/>
        <scheme val="minor"/>
      </rPr>
      <t xml:space="preserve"> - Credit hours taken at master's level
</t>
    </r>
    <r>
      <rPr>
        <b/>
        <sz val="10"/>
        <color theme="1"/>
        <rFont val="Calibri"/>
        <family val="2"/>
        <scheme val="minor"/>
      </rPr>
      <t>07</t>
    </r>
    <r>
      <rPr>
        <sz val="10"/>
        <color theme="1"/>
        <rFont val="Calibri"/>
        <family val="2"/>
        <scheme val="minor"/>
      </rPr>
      <t xml:space="preserve"> - Credit hours taken as a master's student in one program, applied towards another master's program
</t>
    </r>
    <r>
      <rPr>
        <b/>
        <sz val="10"/>
        <color theme="1"/>
        <rFont val="Calibri"/>
        <family val="2"/>
        <scheme val="minor"/>
      </rPr>
      <t>98</t>
    </r>
    <r>
      <rPr>
        <sz val="10"/>
        <color theme="1"/>
        <rFont val="Calibri"/>
        <family val="2"/>
        <scheme val="minor"/>
      </rPr>
      <t xml:space="preserve"> - Unknown
</t>
    </r>
    <r>
      <rPr>
        <b/>
        <sz val="10"/>
        <color theme="1"/>
        <rFont val="Calibri"/>
        <family val="2"/>
        <scheme val="minor"/>
      </rPr>
      <t>99</t>
    </r>
    <r>
      <rPr>
        <sz val="10"/>
        <color theme="1"/>
        <rFont val="Calibri"/>
        <family val="2"/>
        <scheme val="minor"/>
      </rPr>
      <t xml:space="preserve"> - Other
</t>
    </r>
  </si>
  <si>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</si>
  <si>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001317</t>
  </si>
  <si>
    <t>CreditHoursAppliedOtherProgram</t>
  </si>
  <si>
    <t>Credit Unit Type</t>
  </si>
  <si>
    <t>The type of credits or units of value awarded for the completion of a course.</t>
  </si>
  <si>
    <r>
      <t>00585</t>
    </r>
    <r>
      <rPr>
        <sz val="10"/>
        <color theme="1"/>
        <rFont val="Calibri"/>
        <family val="2"/>
        <scheme val="minor"/>
      </rPr>
      <t xml:space="preserve"> - Carnegie unit
</t>
    </r>
    <r>
      <rPr>
        <b/>
        <sz val="10"/>
        <color theme="1"/>
        <rFont val="Calibri"/>
        <family val="2"/>
        <scheme val="minor"/>
      </rPr>
      <t>00586</t>
    </r>
    <r>
      <rPr>
        <sz val="10"/>
        <color theme="1"/>
        <rFont val="Calibri"/>
        <family val="2"/>
        <scheme val="minor"/>
      </rPr>
      <t xml:space="preserve"> - Semester hour credit
</t>
    </r>
    <r>
      <rPr>
        <b/>
        <sz val="10"/>
        <color theme="1"/>
        <rFont val="Calibri"/>
        <family val="2"/>
        <scheme val="minor"/>
      </rPr>
      <t>00587</t>
    </r>
    <r>
      <rPr>
        <sz val="10"/>
        <color theme="1"/>
        <rFont val="Calibri"/>
        <family val="2"/>
        <scheme val="minor"/>
      </rPr>
      <t xml:space="preserve"> - Trimester hour credit
</t>
    </r>
    <r>
      <rPr>
        <b/>
        <sz val="10"/>
        <color theme="1"/>
        <rFont val="Calibri"/>
        <family val="2"/>
        <scheme val="minor"/>
      </rPr>
      <t>00588</t>
    </r>
    <r>
      <rPr>
        <sz val="10"/>
        <color theme="1"/>
        <rFont val="Calibri"/>
        <family val="2"/>
        <scheme val="minor"/>
      </rPr>
      <t xml:space="preserve"> - Quarter hour credit
</t>
    </r>
    <r>
      <rPr>
        <b/>
        <sz val="10"/>
        <color theme="1"/>
        <rFont val="Calibri"/>
        <family val="2"/>
        <scheme val="minor"/>
      </rPr>
      <t>00589</t>
    </r>
    <r>
      <rPr>
        <sz val="10"/>
        <color theme="1"/>
        <rFont val="Calibri"/>
        <family val="2"/>
        <scheme val="minor"/>
      </rPr>
      <t xml:space="preserve"> - Quinmester hour credit
</t>
    </r>
    <r>
      <rPr>
        <b/>
        <sz val="10"/>
        <color theme="1"/>
        <rFont val="Calibri"/>
        <family val="2"/>
        <scheme val="minor"/>
      </rPr>
      <t>00590</t>
    </r>
    <r>
      <rPr>
        <sz val="10"/>
        <color theme="1"/>
        <rFont val="Calibri"/>
        <family val="2"/>
        <scheme val="minor"/>
      </rPr>
      <t xml:space="preserve"> - Mini-term hour credit
</t>
    </r>
    <r>
      <rPr>
        <b/>
        <sz val="10"/>
        <color theme="1"/>
        <rFont val="Calibri"/>
        <family val="2"/>
        <scheme val="minor"/>
      </rPr>
      <t>00591</t>
    </r>
    <r>
      <rPr>
        <sz val="10"/>
        <color theme="1"/>
        <rFont val="Calibri"/>
        <family val="2"/>
        <scheme val="minor"/>
      </rPr>
      <t xml:space="preserve"> - Summer term hour credit
</t>
    </r>
    <r>
      <rPr>
        <b/>
        <sz val="10"/>
        <color theme="1"/>
        <rFont val="Calibri"/>
        <family val="2"/>
        <scheme val="minor"/>
      </rPr>
      <t>00592</t>
    </r>
    <r>
      <rPr>
        <sz val="10"/>
        <color theme="1"/>
        <rFont val="Calibri"/>
        <family val="2"/>
        <scheme val="minor"/>
      </rPr>
      <t xml:space="preserve"> - Intersession hour credit
</t>
    </r>
    <r>
      <rPr>
        <b/>
        <sz val="10"/>
        <color theme="1"/>
        <rFont val="Calibri"/>
        <family val="2"/>
        <scheme val="minor"/>
      </rPr>
      <t>00595</t>
    </r>
    <r>
      <rPr>
        <sz val="10"/>
        <color theme="1"/>
        <rFont val="Calibri"/>
        <family val="2"/>
        <scheme val="minor"/>
      </rPr>
      <t xml:space="preserve"> - Long session hour credit
</t>
    </r>
    <r>
      <rPr>
        <b/>
        <sz val="10"/>
        <color theme="1"/>
        <rFont val="Calibri"/>
        <family val="2"/>
        <scheme val="minor"/>
      </rPr>
      <t>00596</t>
    </r>
    <r>
      <rPr>
        <sz val="10"/>
        <color theme="1"/>
        <rFont val="Calibri"/>
        <family val="2"/>
        <scheme val="minor"/>
      </rPr>
      <t xml:space="preserve"> - Twelve month hour credit
</t>
    </r>
    <r>
      <rPr>
        <b/>
        <sz val="10"/>
        <color theme="1"/>
        <rFont val="Calibri"/>
        <family val="2"/>
        <scheme val="minor"/>
      </rPr>
      <t>00597</t>
    </r>
    <r>
      <rPr>
        <sz val="10"/>
        <color theme="1"/>
        <rFont val="Calibri"/>
        <family val="2"/>
        <scheme val="minor"/>
      </rPr>
      <t xml:space="preserve"> - Career and Technical Education credit
</t>
    </r>
    <r>
      <rPr>
        <b/>
        <sz val="10"/>
        <color theme="1"/>
        <rFont val="Calibri"/>
        <family val="2"/>
        <scheme val="minor"/>
      </rPr>
      <t>73062</t>
    </r>
    <r>
      <rPr>
        <sz val="10"/>
        <color theme="1"/>
        <rFont val="Calibri"/>
        <family val="2"/>
        <scheme val="minor"/>
      </rPr>
      <t xml:space="preserve"> - Adult high school credit
</t>
    </r>
    <r>
      <rPr>
        <b/>
        <sz val="10"/>
        <color theme="1"/>
        <rFont val="Calibri"/>
        <family val="2"/>
        <scheme val="minor"/>
      </rPr>
      <t>00599</t>
    </r>
    <r>
      <rPr>
        <sz val="10"/>
        <color theme="1"/>
        <rFont val="Calibri"/>
        <family val="2"/>
        <scheme val="minor"/>
      </rPr>
      <t xml:space="preserve"> - Credit by examination
</t>
    </r>
    <r>
      <rPr>
        <b/>
        <sz val="10"/>
        <color theme="1"/>
        <rFont val="Calibri"/>
        <family val="2"/>
        <scheme val="minor"/>
      </rPr>
      <t>00600</t>
    </r>
    <r>
      <rPr>
        <sz val="10"/>
        <color theme="1"/>
        <rFont val="Calibri"/>
        <family val="2"/>
        <scheme val="minor"/>
      </rPr>
      <t xml:space="preserve"> - Correspondence credit
</t>
    </r>
    <r>
      <rPr>
        <b/>
        <sz val="10"/>
        <color theme="1"/>
        <rFont val="Calibri"/>
        <family val="2"/>
        <scheme val="minor"/>
      </rPr>
      <t>00601</t>
    </r>
    <r>
      <rPr>
        <sz val="10"/>
        <color theme="1"/>
        <rFont val="Calibri"/>
        <family val="2"/>
        <scheme val="minor"/>
      </rPr>
      <t xml:space="preserve"> - Converted occupational experience credit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75001</t>
    </r>
    <r>
      <rPr>
        <sz val="10"/>
        <color theme="1"/>
        <rFont val="Calibri"/>
        <family val="2"/>
        <scheme val="minor"/>
      </rPr>
      <t xml:space="preserve"> - Certificate credit
</t>
    </r>
    <r>
      <rPr>
        <b/>
        <sz val="10"/>
        <color theme="1"/>
        <rFont val="Calibri"/>
        <family val="2"/>
        <scheme val="minor"/>
      </rPr>
      <t>75002</t>
    </r>
    <r>
      <rPr>
        <sz val="10"/>
        <color theme="1"/>
        <rFont val="Calibri"/>
        <family val="2"/>
        <scheme val="minor"/>
      </rPr>
      <t xml:space="preserve"> - Degree credit
</t>
    </r>
    <r>
      <rPr>
        <b/>
        <sz val="10"/>
        <color theme="1"/>
        <rFont val="Calibri"/>
        <family val="2"/>
        <scheme val="minor"/>
      </rPr>
      <t>75003</t>
    </r>
    <r>
      <rPr>
        <sz val="10"/>
        <color theme="1"/>
        <rFont val="Calibri"/>
        <family val="2"/>
        <scheme val="minor"/>
      </rPr>
      <t xml:space="preserve"> - Continuing education credit
</t>
    </r>
    <r>
      <rPr>
        <b/>
        <sz val="10"/>
        <color theme="1"/>
        <rFont val="Calibri"/>
        <family val="2"/>
        <scheme val="minor"/>
      </rPr>
      <t>75004</t>
    </r>
    <r>
      <rPr>
        <sz val="10"/>
        <color theme="1"/>
        <rFont val="Calibri"/>
        <family val="2"/>
        <scheme val="minor"/>
      </rPr>
      <t xml:space="preserve"> - Professional development hours
</t>
    </r>
  </si>
  <si>
    <t>Adult Education -&gt; Course Section -&gt; Course
Career and Technical -&gt; Course
Career and Technical -&gt; Course Section -&gt; Course
K12 -&gt; Course Section -&gt; Course
K12 -&gt; K12 Student -&gt; Academic Record</t>
  </si>
  <si>
    <t>000072</t>
  </si>
  <si>
    <t>CreditUnitType</t>
  </si>
  <si>
    <t>Credit Value</t>
  </si>
  <si>
    <t>The amount of credit available to the student who successfully meets the objectives of the course or learning opportunity based on the units defined by Credit Unit Type.</t>
  </si>
  <si>
    <t>Adult Education -&gt; Course Section -&gt; Course
Career and Technical -&gt; Course
Career and Technical -&gt; Course Section -&gt; Course
K12 -&gt; K12 Course
K12 -&gt; K12 Student -&gt; Graduation Plan -&gt; Course
Postsecondary -&gt; Course Section -&gt; Course</t>
  </si>
  <si>
    <t>For K-12 a course meeting every day for one period of the school day over the span of a school year typically offers one Carnegie unit. In this case a Carnegie unit is a measure of "seat time" rather than a measure of attainment of the course objectives.</t>
  </si>
  <si>
    <t>000058</t>
  </si>
  <si>
    <t>CreditValue</t>
  </si>
  <si>
    <t>Credits Attempted Cumulative</t>
  </si>
  <si>
    <t>The cumulative number of credits a person attempts to earn by taking courses during his or her enrollment in the current school as well as those credits transferred from schools in which the person had been previously enrolled.</t>
  </si>
  <si>
    <t>000073</t>
  </si>
  <si>
    <t>CreditsAttemptedCumulative</t>
  </si>
  <si>
    <t>Credits Earned Cumulative</t>
  </si>
  <si>
    <t>The cumulative number of credits a person earns by completing courses or examinations during his or her enrollment in the current school as well as those credits transferred from schools in which the person had been previously enrolled.</t>
  </si>
  <si>
    <t>000074</t>
  </si>
  <si>
    <t>CreditsEarnedCumulative</t>
  </si>
  <si>
    <t>Credits Required</t>
  </si>
  <si>
    <t>The total number of credits required for a student to graduate from the school of enrollment or complete a program.</t>
  </si>
  <si>
    <t>K12 -&gt; K12 Student -&gt; Graduation Plan
K12 -&gt; K12 Student -&gt; Graduation Plan -&gt; Subject Area
K12 -&gt; K12 Student -&gt; Program
K12 -&gt;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</si>
  <si>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</si>
  <si>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</si>
  <si>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</si>
  <si>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</si>
  <si>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</si>
  <si>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</si>
  <si>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</si>
  <si>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</si>
  <si>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</si>
  <si>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</si>
  <si>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</si>
  <si>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</si>
  <si>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</si>
  <si>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</si>
  <si>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</si>
  <si>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</si>
  <si>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</si>
  <si>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</si>
  <si>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</si>
  <si>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</si>
  <si>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</si>
  <si>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</si>
  <si>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</si>
  <si>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</si>
  <si>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</si>
  <si>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</si>
  <si>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</si>
  <si>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</si>
  <si>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</si>
  <si>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</si>
  <si>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</si>
  <si>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</si>
  <si>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</si>
  <si>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CTDL Audience Level Type</t>
  </si>
  <si>
    <t>Type of level indicating a point in a progression through an educational or training context, for which the credential is intended; select from an existing enumeration of such types.</t>
  </si>
  <si>
    <r>
      <t>ApprenticeshipCertificate</t>
    </r>
    <r>
      <rPr>
        <sz val="10"/>
        <color theme="1"/>
        <rFont val="Calibri"/>
        <family val="2"/>
        <scheme val="minor"/>
      </rPr>
      <t xml:space="preserve"> - Apprenticeship Certificate
</t>
    </r>
    <r>
      <rPr>
        <b/>
        <sz val="10"/>
        <color theme="1"/>
        <rFont val="Calibri"/>
        <family val="2"/>
        <scheme val="minor"/>
      </rPr>
      <t>AssociateDegree</t>
    </r>
    <r>
      <rPr>
        <sz val="10"/>
        <color theme="1"/>
        <rFont val="Calibri"/>
        <family val="2"/>
        <scheme val="minor"/>
      </rPr>
      <t xml:space="preserve"> - Associate Degree
</t>
    </r>
    <r>
      <rPr>
        <b/>
        <sz val="10"/>
        <color theme="1"/>
        <rFont val="Calibri"/>
        <family val="2"/>
        <scheme val="minor"/>
      </rPr>
      <t>BachelorDegree</t>
    </r>
    <r>
      <rPr>
        <sz val="10"/>
        <color theme="1"/>
        <rFont val="Calibri"/>
        <family val="2"/>
        <scheme val="minor"/>
      </rPr>
      <t xml:space="preserve"> - Bachelor Degree
</t>
    </r>
    <r>
      <rPr>
        <b/>
        <sz val="10"/>
        <color theme="1"/>
        <rFont val="Calibri"/>
        <family val="2"/>
        <scheme val="minor"/>
      </rPr>
      <t>Badge</t>
    </r>
    <r>
      <rPr>
        <sz val="10"/>
        <color theme="1"/>
        <rFont val="Calibri"/>
        <family val="2"/>
        <scheme val="minor"/>
      </rPr>
      <t xml:space="preserve"> - Badge
</t>
    </r>
    <r>
      <rPr>
        <b/>
        <sz val="10"/>
        <color theme="1"/>
        <rFont val="Calibri"/>
        <family val="2"/>
        <scheme val="minor"/>
      </rPr>
      <t>Certificate</t>
    </r>
    <r>
      <rPr>
        <sz val="10"/>
        <color theme="1"/>
        <rFont val="Calibri"/>
        <family val="2"/>
        <scheme val="minor"/>
      </rPr>
      <t xml:space="preserve"> - Certificate
</t>
    </r>
    <r>
      <rPr>
        <b/>
        <sz val="10"/>
        <color theme="1"/>
        <rFont val="Calibri"/>
        <family val="2"/>
        <scheme val="minor"/>
      </rPr>
      <t>Certification</t>
    </r>
    <r>
      <rPr>
        <sz val="10"/>
        <color theme="1"/>
        <rFont val="Calibri"/>
        <family val="2"/>
        <scheme val="minor"/>
      </rPr>
      <t xml:space="preserve"> - Certification
</t>
    </r>
    <r>
      <rPr>
        <b/>
        <sz val="10"/>
        <color theme="1"/>
        <rFont val="Calibri"/>
        <family val="2"/>
        <scheme val="minor"/>
      </rPr>
      <t>ConditionProfile</t>
    </r>
    <r>
      <rPr>
        <sz val="10"/>
        <color theme="1"/>
        <rFont val="Calibri"/>
        <family val="2"/>
        <scheme val="minor"/>
      </rPr>
      <t xml:space="preserve"> - Condition Profile
</t>
    </r>
    <r>
      <rPr>
        <b/>
        <sz val="10"/>
        <color theme="1"/>
        <rFont val="Calibri"/>
        <family val="2"/>
        <scheme val="minor"/>
      </rPr>
      <t>Credential</t>
    </r>
    <r>
      <rPr>
        <sz val="10"/>
        <color theme="1"/>
        <rFont val="Calibri"/>
        <family val="2"/>
        <scheme val="minor"/>
      </rPr>
      <t xml:space="preserve"> - Credential
</t>
    </r>
    <r>
      <rPr>
        <b/>
        <sz val="10"/>
        <color theme="1"/>
        <rFont val="Calibri"/>
        <family val="2"/>
        <scheme val="minor"/>
      </rPr>
      <t>Degree</t>
    </r>
    <r>
      <rPr>
        <sz val="10"/>
        <color theme="1"/>
        <rFont val="Calibri"/>
        <family val="2"/>
        <scheme val="minor"/>
      </rPr>
      <t xml:space="preserve"> - Degree
</t>
    </r>
    <r>
      <rPr>
        <b/>
        <sz val="10"/>
        <color theme="1"/>
        <rFont val="Calibri"/>
        <family val="2"/>
        <scheme val="minor"/>
      </rPr>
      <t>DigitalBadge</t>
    </r>
    <r>
      <rPr>
        <sz val="10"/>
        <color theme="1"/>
        <rFont val="Calibri"/>
        <family val="2"/>
        <scheme val="minor"/>
      </rPr>
      <t xml:space="preserve"> - Digital Badge
</t>
    </r>
    <r>
      <rPr>
        <b/>
        <sz val="10"/>
        <color theme="1"/>
        <rFont val="Calibri"/>
        <family val="2"/>
        <scheme val="minor"/>
      </rPr>
      <t>Diploma</t>
    </r>
    <r>
      <rPr>
        <sz val="10"/>
        <color theme="1"/>
        <rFont val="Calibri"/>
        <family val="2"/>
        <scheme val="minor"/>
      </rPr>
      <t xml:space="preserve"> - Diploma
</t>
    </r>
    <r>
      <rPr>
        <b/>
        <sz val="10"/>
        <color theme="1"/>
        <rFont val="Calibri"/>
        <family val="2"/>
        <scheme val="minor"/>
      </rPr>
      <t>DoctoralDegree</t>
    </r>
    <r>
      <rPr>
        <sz val="10"/>
        <color theme="1"/>
        <rFont val="Calibri"/>
        <family val="2"/>
        <scheme val="minor"/>
      </rPr>
      <t xml:space="preserve"> - Doctoral Degree
</t>
    </r>
    <r>
      <rPr>
        <b/>
        <sz val="10"/>
        <color theme="1"/>
        <rFont val="Calibri"/>
        <family val="2"/>
        <scheme val="minor"/>
      </rPr>
      <t>GeneralEducationDevelopment</t>
    </r>
    <r>
      <rPr>
        <sz val="10"/>
        <color theme="1"/>
        <rFont val="Calibri"/>
        <family val="2"/>
        <scheme val="minor"/>
      </rPr>
      <t xml:space="preserve"> - General Education Development
</t>
    </r>
    <r>
      <rPr>
        <b/>
        <sz val="10"/>
        <color theme="1"/>
        <rFont val="Calibri"/>
        <family val="2"/>
        <scheme val="minor"/>
      </rPr>
      <t>JourneymanCertificate</t>
    </r>
    <r>
      <rPr>
        <sz val="10"/>
        <color theme="1"/>
        <rFont val="Calibri"/>
        <family val="2"/>
        <scheme val="minor"/>
      </rPr>
      <t xml:space="preserve"> - Journeyman Certificate
</t>
    </r>
    <r>
      <rPr>
        <b/>
        <sz val="10"/>
        <color theme="1"/>
        <rFont val="Calibri"/>
        <family val="2"/>
        <scheme val="minor"/>
      </rPr>
      <t>License</t>
    </r>
    <r>
      <rPr>
        <sz val="10"/>
        <color theme="1"/>
        <rFont val="Calibri"/>
        <family val="2"/>
        <scheme val="minor"/>
      </rPr>
      <t xml:space="preserve"> - License
</t>
    </r>
    <r>
      <rPr>
        <b/>
        <sz val="10"/>
        <color theme="1"/>
        <rFont val="Calibri"/>
        <family val="2"/>
        <scheme val="minor"/>
      </rPr>
      <t>MasterCertificate</t>
    </r>
    <r>
      <rPr>
        <sz val="10"/>
        <color theme="1"/>
        <rFont val="Calibri"/>
        <family val="2"/>
        <scheme val="minor"/>
      </rPr>
      <t xml:space="preserve"> - Master Certificate
</t>
    </r>
    <r>
      <rPr>
        <b/>
        <sz val="10"/>
        <color theme="1"/>
        <rFont val="Calibri"/>
        <family val="2"/>
        <scheme val="minor"/>
      </rPr>
      <t>MasterDegree</t>
    </r>
    <r>
      <rPr>
        <sz val="10"/>
        <color theme="1"/>
        <rFont val="Calibri"/>
        <family val="2"/>
        <scheme val="minor"/>
      </rPr>
      <t xml:space="preserve"> - Master Degree
</t>
    </r>
    <r>
      <rPr>
        <b/>
        <sz val="10"/>
        <color theme="1"/>
        <rFont val="Calibri"/>
        <family val="2"/>
        <scheme val="minor"/>
      </rPr>
      <t>MicroCredential</t>
    </r>
    <r>
      <rPr>
        <sz val="10"/>
        <color theme="1"/>
        <rFont val="Calibri"/>
        <family val="2"/>
        <scheme val="minor"/>
      </rPr>
      <t xml:space="preserve"> - Micro Credential
</t>
    </r>
    <r>
      <rPr>
        <b/>
        <sz val="10"/>
        <color theme="1"/>
        <rFont val="Calibri"/>
        <family val="2"/>
        <scheme val="minor"/>
      </rPr>
      <t>OpenBadge</t>
    </r>
    <r>
      <rPr>
        <sz val="10"/>
        <color theme="1"/>
        <rFont val="Calibri"/>
        <family val="2"/>
        <scheme val="minor"/>
      </rPr>
      <t xml:space="preserve"> - Open Badge
</t>
    </r>
    <r>
      <rPr>
        <b/>
        <sz val="10"/>
        <color theme="1"/>
        <rFont val="Calibri"/>
        <family val="2"/>
        <scheme val="minor"/>
      </rPr>
      <t>ProfessionalDoctorate</t>
    </r>
    <r>
      <rPr>
        <sz val="10"/>
        <color theme="1"/>
        <rFont val="Calibri"/>
        <family val="2"/>
        <scheme val="minor"/>
      </rPr>
      <t xml:space="preserve"> - Professional Doctorate
</t>
    </r>
    <r>
      <rPr>
        <b/>
        <sz val="10"/>
        <color theme="1"/>
        <rFont val="Calibri"/>
        <family val="2"/>
        <scheme val="minor"/>
      </rPr>
      <t>QualityAssuranceCredential</t>
    </r>
    <r>
      <rPr>
        <sz val="10"/>
        <color theme="1"/>
        <rFont val="Calibri"/>
        <family val="2"/>
        <scheme val="minor"/>
      </rPr>
      <t xml:space="preserve"> - Quality Assurance Credential
</t>
    </r>
    <r>
      <rPr>
        <b/>
        <sz val="10"/>
        <color theme="1"/>
        <rFont val="Calibri"/>
        <family val="2"/>
        <scheme val="minor"/>
      </rPr>
      <t>ResearchDoctorate</t>
    </r>
    <r>
      <rPr>
        <sz val="10"/>
        <color theme="1"/>
        <rFont val="Calibri"/>
        <family val="2"/>
        <scheme val="minor"/>
      </rPr>
      <t xml:space="preserve"> - Research Doctorate
</t>
    </r>
    <r>
      <rPr>
        <b/>
        <sz val="10"/>
        <color theme="1"/>
        <rFont val="Calibri"/>
        <family val="2"/>
        <scheme val="minor"/>
      </rPr>
      <t>SecondarySchoolDiploma</t>
    </r>
    <r>
      <rPr>
        <sz val="10"/>
        <color theme="1"/>
        <rFont val="Calibri"/>
        <family val="2"/>
        <scheme val="minor"/>
      </rPr>
      <t xml:space="preserve"> - Secondary School Diploma
</t>
    </r>
  </si>
  <si>
    <t>This is similar to "PESC Award Level Type" and "Academic Award Level Conferred" but uses a different controlled vocabulary. See https://credreg.net/ctdl/terms/Credential#AudienceLevel.</t>
  </si>
  <si>
    <t>001913</t>
  </si>
  <si>
    <t>ceterms:AudienceLevel</t>
  </si>
  <si>
    <t>CTDLAudienceLevelType</t>
  </si>
  <si>
    <t>CTDL Organization Type</t>
  </si>
  <si>
    <t>The type of credentialing organization or entity as defined by the Credential Transparency Description Language.</t>
  </si>
  <si>
    <r>
      <t>AssessmentBody</t>
    </r>
    <r>
      <rPr>
        <sz val="10"/>
        <color theme="1"/>
        <rFont val="Calibri"/>
        <family val="2"/>
        <scheme val="minor"/>
      </rPr>
      <t xml:space="preserve"> - Assessment Body
</t>
    </r>
    <r>
      <rPr>
        <b/>
        <sz val="10"/>
        <color theme="1"/>
        <rFont val="Calibri"/>
        <family val="2"/>
        <scheme val="minor"/>
      </rPr>
      <t>Business</t>
    </r>
    <r>
      <rPr>
        <sz val="10"/>
        <color theme="1"/>
        <rFont val="Calibri"/>
        <family val="2"/>
        <scheme val="minor"/>
      </rPr>
      <t xml:space="preserve"> - Business
</t>
    </r>
    <r>
      <rPr>
        <b/>
        <sz val="10"/>
        <color theme="1"/>
        <rFont val="Calibri"/>
        <family val="2"/>
        <scheme val="minor"/>
      </rPr>
      <t>BusinessAssociation</t>
    </r>
    <r>
      <rPr>
        <sz val="10"/>
        <color theme="1"/>
        <rFont val="Calibri"/>
        <family val="2"/>
        <scheme val="minor"/>
      </rPr>
      <t xml:space="preserve"> - Business or Industry Association
</t>
    </r>
    <r>
      <rPr>
        <b/>
        <sz val="10"/>
        <color theme="1"/>
        <rFont val="Calibri"/>
        <family val="2"/>
        <scheme val="minor"/>
      </rPr>
      <t>CertificationBody</t>
    </r>
    <r>
      <rPr>
        <sz val="10"/>
        <color theme="1"/>
        <rFont val="Calibri"/>
        <family val="2"/>
        <scheme val="minor"/>
      </rPr>
      <t xml:space="preserve"> - Certification Body
</t>
    </r>
    <r>
      <rPr>
        <b/>
        <sz val="10"/>
        <color theme="1"/>
        <rFont val="Calibri"/>
        <family val="2"/>
        <scheme val="minor"/>
      </rPr>
      <t>FourYear</t>
    </r>
    <r>
      <rPr>
        <sz val="10"/>
        <color theme="1"/>
        <rFont val="Calibri"/>
        <family val="2"/>
        <scheme val="minor"/>
      </rPr>
      <t xml:space="preserve"> - Four-Year College
</t>
    </r>
    <r>
      <rPr>
        <b/>
        <sz val="10"/>
        <color theme="1"/>
        <rFont val="Calibri"/>
        <family val="2"/>
        <scheme val="minor"/>
      </rPr>
      <t>Government</t>
    </r>
    <r>
      <rPr>
        <sz val="10"/>
        <color theme="1"/>
        <rFont val="Calibri"/>
        <family val="2"/>
        <scheme val="minor"/>
      </rPr>
      <t xml:space="preserve"> - Government Agency
</t>
    </r>
    <r>
      <rPr>
        <b/>
        <sz val="10"/>
        <color theme="1"/>
        <rFont val="Calibri"/>
        <family val="2"/>
        <scheme val="minor"/>
      </rPr>
      <t>HighSchool</t>
    </r>
    <r>
      <rPr>
        <sz val="10"/>
        <color theme="1"/>
        <rFont val="Calibri"/>
        <family val="2"/>
        <scheme val="minor"/>
      </rPr>
      <t xml:space="preserve"> - High School
</t>
    </r>
    <r>
      <rPr>
        <b/>
        <sz val="10"/>
        <color theme="1"/>
        <rFont val="Calibri"/>
        <family val="2"/>
        <scheme val="minor"/>
      </rPr>
      <t>LaborUnion</t>
    </r>
    <r>
      <rPr>
        <sz val="10"/>
        <color theme="1"/>
        <rFont val="Calibri"/>
        <family val="2"/>
        <scheme val="minor"/>
      </rPr>
      <t xml:space="preserve"> - Labor Union
</t>
    </r>
    <r>
      <rPr>
        <b/>
        <sz val="10"/>
        <color theme="1"/>
        <rFont val="Calibri"/>
        <family val="2"/>
        <scheme val="minor"/>
      </rPr>
      <t>Magnet</t>
    </r>
    <r>
      <rPr>
        <sz val="10"/>
        <color theme="1"/>
        <rFont val="Calibri"/>
        <family val="2"/>
        <scheme val="minor"/>
      </rPr>
      <t xml:space="preserve"> - Magnet/Competitive Admissions School
</t>
    </r>
    <r>
      <rPr>
        <b/>
        <sz val="10"/>
        <color theme="1"/>
        <rFont val="Calibri"/>
        <family val="2"/>
        <scheme val="minor"/>
      </rPr>
      <t>Military</t>
    </r>
    <r>
      <rPr>
        <sz val="10"/>
        <color theme="1"/>
        <rFont val="Calibri"/>
        <family val="2"/>
        <scheme val="minor"/>
      </rPr>
      <t xml:space="preserve"> - Military
</t>
    </r>
    <r>
      <rPr>
        <b/>
        <sz val="10"/>
        <color theme="1"/>
        <rFont val="Calibri"/>
        <family val="2"/>
        <scheme val="minor"/>
      </rPr>
      <t>NonTraditional</t>
    </r>
    <r>
      <rPr>
        <sz val="10"/>
        <color theme="1"/>
        <rFont val="Calibri"/>
        <family val="2"/>
        <scheme val="minor"/>
      </rPr>
      <t xml:space="preserve"> - Alternative/Non-Traditional School
</t>
    </r>
    <r>
      <rPr>
        <b/>
        <sz val="10"/>
        <color theme="1"/>
        <rFont val="Calibri"/>
        <family val="2"/>
        <scheme val="minor"/>
      </rPr>
      <t>Postsecondary</t>
    </r>
    <r>
      <rPr>
        <sz val="10"/>
        <color theme="1"/>
        <rFont val="Calibri"/>
        <family val="2"/>
        <scheme val="minor"/>
      </rPr>
      <t xml:space="preserve"> - Postsecondary Educational Institution
</t>
    </r>
    <r>
      <rPr>
        <b/>
        <sz val="10"/>
        <color theme="1"/>
        <rFont val="Calibri"/>
        <family val="2"/>
        <scheme val="minor"/>
      </rPr>
      <t>PrimarilyOnline</t>
    </r>
    <r>
      <rPr>
        <sz val="10"/>
        <color theme="1"/>
        <rFont val="Calibri"/>
        <family val="2"/>
        <scheme val="minor"/>
      </rPr>
      <t xml:space="preserve"> - Primarily Online
</t>
    </r>
    <r>
      <rPr>
        <b/>
        <sz val="10"/>
        <color theme="1"/>
        <rFont val="Calibri"/>
        <family val="2"/>
        <scheme val="minor"/>
      </rPr>
      <t>ProfessionalAssociation</t>
    </r>
    <r>
      <rPr>
        <sz val="10"/>
        <color theme="1"/>
        <rFont val="Calibri"/>
        <family val="2"/>
        <scheme val="minor"/>
      </rPr>
      <t xml:space="preserve"> - Professional Association
</t>
    </r>
    <r>
      <rPr>
        <b/>
        <sz val="10"/>
        <color theme="1"/>
        <rFont val="Calibri"/>
        <family val="2"/>
        <scheme val="minor"/>
      </rPr>
      <t>QualityAssurance</t>
    </r>
    <r>
      <rPr>
        <sz val="10"/>
        <color theme="1"/>
        <rFont val="Calibri"/>
        <family val="2"/>
        <scheme val="minor"/>
      </rPr>
      <t xml:space="preserve"> - Quality Assurance Body
</t>
    </r>
    <r>
      <rPr>
        <b/>
        <sz val="10"/>
        <color theme="1"/>
        <rFont val="Calibri"/>
        <family val="2"/>
        <scheme val="minor"/>
      </rPr>
      <t>SecondarySchool</t>
    </r>
    <r>
      <rPr>
        <sz val="10"/>
        <color theme="1"/>
        <rFont val="Calibri"/>
        <family val="2"/>
        <scheme val="minor"/>
      </rPr>
      <t xml:space="preserve"> - Secondary School
</t>
    </r>
    <r>
      <rPr>
        <b/>
        <sz val="10"/>
        <color theme="1"/>
        <rFont val="Calibri"/>
        <family val="2"/>
        <scheme val="minor"/>
      </rPr>
      <t>Technical</t>
    </r>
    <r>
      <rPr>
        <sz val="10"/>
        <color theme="1"/>
        <rFont val="Calibri"/>
        <family val="2"/>
        <scheme val="minor"/>
      </rPr>
      <t xml:space="preserve"> - Career and Technical School
</t>
    </r>
    <r>
      <rPr>
        <b/>
        <sz val="10"/>
        <color theme="1"/>
        <rFont val="Calibri"/>
        <family val="2"/>
        <scheme val="minor"/>
      </rPr>
      <t>TrainingProvider</t>
    </r>
    <r>
      <rPr>
        <sz val="10"/>
        <color theme="1"/>
        <rFont val="Calibri"/>
        <family val="2"/>
        <scheme val="minor"/>
      </rPr>
      <t xml:space="preserve"> - Education and Training Provider
</t>
    </r>
    <r>
      <rPr>
        <b/>
        <sz val="10"/>
        <color theme="1"/>
        <rFont val="Calibri"/>
        <family val="2"/>
        <scheme val="minor"/>
      </rPr>
      <t>TwoYear</t>
    </r>
    <r>
      <rPr>
        <sz val="10"/>
        <color theme="1"/>
        <rFont val="Calibri"/>
        <family val="2"/>
        <scheme val="minor"/>
      </rPr>
      <t xml:space="preserve"> - Two-Year College
</t>
    </r>
    <r>
      <rPr>
        <b/>
        <sz val="10"/>
        <color theme="1"/>
        <rFont val="Calibri"/>
        <family val="2"/>
        <scheme val="minor"/>
      </rPr>
      <t>Vendor</t>
    </r>
    <r>
      <rPr>
        <sz val="10"/>
        <color theme="1"/>
        <rFont val="Calibri"/>
        <family val="2"/>
        <scheme val="minor"/>
      </rPr>
      <t xml:space="preserve"> - Vendor
</t>
    </r>
  </si>
  <si>
    <t>Credentials -&gt; Credential Award -&gt; Credential Issuer
Credentials -&gt; Credential Definition Agent</t>
  </si>
  <si>
    <t>Includes free-standing medical, law or other first-professional schools, schools that offer postbaccalaureate certificates only, those that offer graduate programs only, etc.</t>
  </si>
  <si>
    <t>001755</t>
  </si>
  <si>
    <t>CTDLOrganizationType</t>
  </si>
  <si>
    <t>Curriculum Framework Type</t>
  </si>
  <si>
    <t>An indication of the standard curriculum used for this course.</t>
  </si>
  <si>
    <r>
      <t>LEA</t>
    </r>
    <r>
      <rPr>
        <sz val="10"/>
        <color theme="1"/>
        <rFont val="Calibri"/>
        <family val="2"/>
        <scheme val="minor"/>
      </rPr>
      <t xml:space="preserve"> - Local Education Agency (LEA) curriculum framework
</t>
    </r>
    <r>
      <rPr>
        <b/>
        <sz val="10"/>
        <color theme="1"/>
        <rFont val="Calibri"/>
        <family val="2"/>
        <scheme val="minor"/>
      </rPr>
      <t>NationalStandard</t>
    </r>
    <r>
      <rPr>
        <sz val="10"/>
        <color theme="1"/>
        <rFont val="Calibri"/>
        <family val="2"/>
        <scheme val="minor"/>
      </rPr>
      <t xml:space="preserve"> - National curriculum standard
</t>
    </r>
    <r>
      <rPr>
        <b/>
        <sz val="10"/>
        <color theme="1"/>
        <rFont val="Calibri"/>
        <family val="2"/>
        <scheme val="minor"/>
      </rPr>
      <t>PrivateOrReligious</t>
    </r>
    <r>
      <rPr>
        <sz val="10"/>
        <color theme="1"/>
        <rFont val="Calibri"/>
        <family val="2"/>
        <scheme val="minor"/>
      </rPr>
      <t xml:space="preserve"> - Private, religious curriculum
</t>
    </r>
    <r>
      <rPr>
        <b/>
        <sz val="10"/>
        <color theme="1"/>
        <rFont val="Calibri"/>
        <family val="2"/>
        <scheme val="minor"/>
      </rPr>
      <t>School</t>
    </r>
    <r>
      <rPr>
        <sz val="10"/>
        <color theme="1"/>
        <rFont val="Calibri"/>
        <family val="2"/>
        <scheme val="minor"/>
      </rPr>
      <t xml:space="preserve"> - School curriculum framework
</t>
    </r>
    <r>
      <rPr>
        <b/>
        <sz val="10"/>
        <color theme="1"/>
        <rFont val="Calibri"/>
        <family val="2"/>
        <scheme val="minor"/>
      </rPr>
      <t>State</t>
    </r>
    <r>
      <rPr>
        <sz val="10"/>
        <color theme="1"/>
        <rFont val="Calibri"/>
        <family val="2"/>
        <scheme val="minor"/>
      </rPr>
      <t xml:space="preserve"> - State curriculum framework
</t>
    </r>
    <r>
      <rPr>
        <b/>
        <sz val="10"/>
        <color theme="1"/>
        <rFont val="Calibri"/>
        <family val="2"/>
        <scheme val="minor"/>
      </rPr>
      <t>Other</t>
    </r>
    <r>
      <rPr>
        <sz val="10"/>
        <color theme="1"/>
        <rFont val="Calibri"/>
        <family val="2"/>
        <scheme val="minor"/>
      </rPr>
      <t xml:space="preserve"> - Other
</t>
    </r>
  </si>
  <si>
    <t>000712</t>
  </si>
  <si>
    <t>CurriculumFrameworkType</t>
  </si>
  <si>
    <t>Custodial Parent or Guardian Indicator</t>
  </si>
  <si>
    <t>An indication that a person has legal custody of a child.</t>
  </si>
  <si>
    <t xml:space="preserve">Yes
No
Unknown
</t>
  </si>
  <si>
    <t>Early Learning -&gt; Parent/Guardian -&gt; Relationship
K12 -&gt; Parent/Guardian -&gt; Relationship (added)
Postsecondary -&gt; Parent/Guardian -&gt; Relationship (added)
Postsecondary -&gt; PS Student -&gt; Relationship (added)</t>
  </si>
  <si>
    <t>Updated element to reflect the CEDS Integrated Data Store structure. Options that were originally included in this element are part of the Person Relationship Type element. Element applied to additional DES contexts.</t>
  </si>
  <si>
    <t>000329</t>
  </si>
  <si>
    <t>CustodialParentOrGuardianIndicator</t>
  </si>
  <si>
    <t>Date of Transition Plan</t>
  </si>
  <si>
    <t>The date transition steps and services were added to the individualized service plan.</t>
  </si>
  <si>
    <t>Early Learning -&gt; EL Child -&gt; Individualized Program -&gt; Individualized Transition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</si>
  <si>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</si>
  <si>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</si>
  <si>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</si>
  <si>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</si>
  <si>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</si>
  <si>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</si>
  <si>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</si>
  <si>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</si>
  <si>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</si>
  <si>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</si>
  <si>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</si>
  <si>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</si>
  <si>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</si>
  <si>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Early Learning -&gt; EL Class/Group
Early Learning -&gt; EL Organization -&gt; Directory</t>
  </si>
  <si>
    <t>000355</t>
  </si>
  <si>
    <t>DaysAvailablePerWeek</t>
  </si>
  <si>
    <t>Early Learning -&gt; Access to Services
Early Learning -&gt; Licensing
Early Learning -&gt; Program Compliance
Early Learning -&gt; Program Quality</t>
  </si>
  <si>
    <t>Days in Session</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</si>
  <si>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</si>
  <si>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</si>
  <si>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</si>
  <si>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</si>
  <si>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Declined Services Date</t>
  </si>
  <si>
    <t>The date recommended services were declined.</t>
  </si>
  <si>
    <t>K12 -&gt; K12 Student -&gt; Individualized Program -&gt; Services</t>
  </si>
  <si>
    <t>001712</t>
  </si>
  <si>
    <t>DeclinedServicesDate</t>
  </si>
  <si>
    <t>Degree Applicability</t>
  </si>
  <si>
    <t>An indication that the course is a part of a degree program.</t>
  </si>
  <si>
    <t>000077</t>
  </si>
  <si>
    <t>DegreeApplicability</t>
  </si>
  <si>
    <t>Degree or Certificate Conferring Date</t>
  </si>
  <si>
    <t>The year, month and day on which a person received a degree or certificate.</t>
  </si>
  <si>
    <t>Adult Education -&gt; AE Staff -&gt; Education
Career and Technical -&gt; CTE Student -&gt; Academic Record
Early Learning -&gt; EL Staff -&gt; Education
K12 -&gt; K12 Staff -&gt; Education</t>
  </si>
  <si>
    <t>000344</t>
  </si>
  <si>
    <t>DegreeOrCertificateConferringDate</t>
  </si>
  <si>
    <t>Early Learning -&gt; Program Compliance
Early Learning -&gt; Staff Quality
Early Learning -&gt; Workforce Development</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</si>
  <si>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</si>
  <si>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</si>
  <si>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</si>
  <si>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</si>
  <si>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</si>
  <si>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</si>
  <si>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</si>
  <si>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</si>
  <si>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</si>
  <si>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</si>
  <si>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r>
      <t>73063</t>
    </r>
    <r>
      <rPr>
        <sz val="10"/>
        <color theme="1"/>
        <rFont val="Calibri"/>
        <family val="2"/>
        <scheme val="minor"/>
      </rPr>
      <t xml:space="preserve"> - Adult education certification, endorsement, or degree
</t>
    </r>
    <r>
      <rPr>
        <b/>
        <sz val="10"/>
        <color theme="1"/>
        <rFont val="Calibri"/>
        <family val="2"/>
        <scheme val="minor"/>
      </rPr>
      <t>01050</t>
    </r>
    <r>
      <rPr>
        <sz val="10"/>
        <color theme="1"/>
        <rFont val="Calibri"/>
        <family val="2"/>
        <scheme val="minor"/>
      </rPr>
      <t xml:space="preserve"> - Associate's degree (two years or more)
</t>
    </r>
    <r>
      <rPr>
        <b/>
        <sz val="10"/>
        <color theme="1"/>
        <rFont val="Calibri"/>
        <family val="2"/>
        <scheme val="minor"/>
      </rPr>
      <t>01051</t>
    </r>
    <r>
      <rPr>
        <sz val="10"/>
        <color theme="1"/>
        <rFont val="Calibri"/>
        <family val="2"/>
        <scheme val="minor"/>
      </rPr>
      <t xml:space="preserve"> - Bachelor's (Baccalaureate) degree
</t>
    </r>
    <r>
      <rPr>
        <b/>
        <sz val="10"/>
        <color theme="1"/>
        <rFont val="Calibri"/>
        <family val="2"/>
        <scheme val="minor"/>
      </rPr>
      <t>01057</t>
    </r>
    <r>
      <rPr>
        <sz val="10"/>
        <color theme="1"/>
        <rFont val="Calibri"/>
        <family val="2"/>
        <scheme val="minor"/>
      </rPr>
      <t xml:space="preserve"> - Doctoral (Doctor's) degree
</t>
    </r>
    <r>
      <rPr>
        <b/>
        <sz val="10"/>
        <color theme="1"/>
        <rFont val="Calibri"/>
        <family val="2"/>
        <scheme val="minor"/>
      </rPr>
      <t>01053</t>
    </r>
    <r>
      <rPr>
        <sz val="10"/>
        <color theme="1"/>
        <rFont val="Calibri"/>
        <family val="2"/>
        <scheme val="minor"/>
      </rPr>
      <t xml:space="preserve"> - First-professional degree
</t>
    </r>
    <r>
      <rPr>
        <b/>
        <sz val="10"/>
        <color theme="1"/>
        <rFont val="Calibri"/>
        <family val="2"/>
        <scheme val="minor"/>
      </rPr>
      <t>01047</t>
    </r>
    <r>
      <rPr>
        <sz val="10"/>
        <color theme="1"/>
        <rFont val="Calibri"/>
        <family val="2"/>
        <scheme val="minor"/>
      </rPr>
      <t xml:space="preserve"> - Formal award, certificate or diploma (less than one year)
</t>
    </r>
    <r>
      <rPr>
        <b/>
        <sz val="10"/>
        <color theme="1"/>
        <rFont val="Calibri"/>
        <family val="2"/>
        <scheme val="minor"/>
      </rPr>
      <t>01048</t>
    </r>
    <r>
      <rPr>
        <sz val="10"/>
        <color theme="1"/>
        <rFont val="Calibri"/>
        <family val="2"/>
        <scheme val="minor"/>
      </rPr>
      <t xml:space="preserve"> - Formal award, certificate or diploma (more than or equal to one year)
</t>
    </r>
    <r>
      <rPr>
        <b/>
        <sz val="10"/>
        <color theme="1"/>
        <rFont val="Calibri"/>
        <family val="2"/>
        <scheme val="minor"/>
      </rPr>
      <t>01052</t>
    </r>
    <r>
      <rPr>
        <sz val="10"/>
        <color theme="1"/>
        <rFont val="Calibri"/>
        <family val="2"/>
        <scheme val="minor"/>
      </rPr>
      <t xml:space="preserve"> - Graduate certificate
</t>
    </r>
    <r>
      <rPr>
        <b/>
        <sz val="10"/>
        <color theme="1"/>
        <rFont val="Calibri"/>
        <family val="2"/>
        <scheme val="minor"/>
      </rPr>
      <t>01045</t>
    </r>
    <r>
      <rPr>
        <sz val="10"/>
        <color theme="1"/>
        <rFont val="Calibri"/>
        <family val="2"/>
        <scheme val="minor"/>
      </rPr>
      <t xml:space="preserve"> - High school diploma or the equivalent (e.g., GED or recognized home school)
</t>
    </r>
    <r>
      <rPr>
        <b/>
        <sz val="10"/>
        <color theme="1"/>
        <rFont val="Calibri"/>
        <family val="2"/>
        <scheme val="minor"/>
      </rPr>
      <t>01054</t>
    </r>
    <r>
      <rPr>
        <sz val="10"/>
        <color theme="1"/>
        <rFont val="Calibri"/>
        <family val="2"/>
        <scheme val="minor"/>
      </rPr>
      <t xml:space="preserve"> - Master's degree (e.g., M.A., M.S., M. Eng., M.Ed., M.S.W., M.B.A., M.L.S.)
</t>
    </r>
    <r>
      <rPr>
        <b/>
        <sz val="10"/>
        <color theme="1"/>
        <rFont val="Calibri"/>
        <family val="2"/>
        <scheme val="minor"/>
      </rPr>
      <t>01056</t>
    </r>
    <r>
      <rPr>
        <sz val="10"/>
        <color theme="1"/>
        <rFont val="Calibri"/>
        <family val="2"/>
        <scheme val="minor"/>
      </rPr>
      <t xml:space="preserve"> - Post-professional degree
</t>
    </r>
    <r>
      <rPr>
        <b/>
        <sz val="10"/>
        <color theme="1"/>
        <rFont val="Calibri"/>
        <family val="2"/>
        <scheme val="minor"/>
      </rPr>
      <t>01049</t>
    </r>
    <r>
      <rPr>
        <sz val="10"/>
        <color theme="1"/>
        <rFont val="Calibri"/>
        <family val="2"/>
        <scheme val="minor"/>
      </rPr>
      <t xml:space="preserve"> - Some college but no degree
</t>
    </r>
    <r>
      <rPr>
        <b/>
        <sz val="10"/>
        <color theme="1"/>
        <rFont val="Calibri"/>
        <family val="2"/>
        <scheme val="minor"/>
      </rPr>
      <t>01055</t>
    </r>
    <r>
      <rPr>
        <sz val="10"/>
        <color theme="1"/>
        <rFont val="Calibri"/>
        <family val="2"/>
        <scheme val="minor"/>
      </rPr>
      <t xml:space="preserve"> - Specialist's degree (e.g., Ed.S.)
</t>
    </r>
    <r>
      <rPr>
        <b/>
        <sz val="10"/>
        <color theme="1"/>
        <rFont val="Calibri"/>
        <family val="2"/>
        <scheme val="minor"/>
      </rPr>
      <t>00819</t>
    </r>
    <r>
      <rPr>
        <sz val="10"/>
        <color theme="1"/>
        <rFont val="Calibri"/>
        <family val="2"/>
        <scheme val="minor"/>
      </rPr>
      <t xml:space="preserve"> - Career and Technical Education certificate
</t>
    </r>
    <r>
      <rPr>
        <b/>
        <sz val="10"/>
        <color theme="1"/>
        <rFont val="Calibri"/>
        <family val="2"/>
        <scheme val="minor"/>
      </rPr>
      <t>09999</t>
    </r>
    <r>
      <rPr>
        <sz val="10"/>
        <color theme="1"/>
        <rFont val="Calibri"/>
        <family val="2"/>
        <scheme val="minor"/>
      </rPr>
      <t xml:space="preserve"> - Other
</t>
    </r>
  </si>
  <si>
    <t>000343</t>
  </si>
  <si>
    <t>DegreeOrCertificateType</t>
  </si>
  <si>
    <t>Demographic Race Two or More Races</t>
  </si>
  <si>
    <t>A person having origins in any of more than one of the racial groups.</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</si>
  <si>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</si>
  <si>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</si>
  <si>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</si>
  <si>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</si>
  <si>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</si>
  <si>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r>
      <t>NonWorkplace</t>
    </r>
    <r>
      <rPr>
        <sz val="10"/>
        <color theme="1"/>
        <rFont val="Calibri"/>
        <family val="2"/>
        <scheme val="minor"/>
      </rPr>
      <t xml:space="preserve"> - Non-workplace or personal
</t>
    </r>
    <r>
      <rPr>
        <b/>
        <sz val="10"/>
        <color theme="1"/>
        <rFont val="Calibri"/>
        <family val="2"/>
        <scheme val="minor"/>
      </rPr>
      <t>Workplace</t>
    </r>
    <r>
      <rPr>
        <sz val="10"/>
        <color theme="1"/>
        <rFont val="Calibri"/>
        <family val="2"/>
        <scheme val="minor"/>
      </rPr>
      <t xml:space="preserve"> - Workplace
</t>
    </r>
    <r>
      <rPr>
        <b/>
        <sz val="10"/>
        <color theme="1"/>
        <rFont val="Calibri"/>
        <family val="2"/>
        <scheme val="minor"/>
      </rPr>
      <t>Medicaid</t>
    </r>
    <r>
      <rPr>
        <sz val="10"/>
        <color theme="1"/>
        <rFont val="Calibri"/>
        <family val="2"/>
        <scheme val="minor"/>
      </rPr>
      <t xml:space="preserve"> - Medicaid
</t>
    </r>
    <r>
      <rPr>
        <b/>
        <sz val="10"/>
        <color theme="1"/>
        <rFont val="Calibri"/>
        <family val="2"/>
        <scheme val="minor"/>
      </rPr>
      <t>CHIP</t>
    </r>
    <r>
      <rPr>
        <sz val="10"/>
        <color theme="1"/>
        <rFont val="Calibri"/>
        <family val="2"/>
        <scheme val="minor"/>
      </rPr>
      <t xml:space="preserve"> - Children's health insurance program
</t>
    </r>
    <r>
      <rPr>
        <b/>
        <sz val="10"/>
        <color theme="1"/>
        <rFont val="Calibri"/>
        <family val="2"/>
        <scheme val="minor"/>
      </rPr>
      <t>StateOnlyFunded</t>
    </r>
    <r>
      <rPr>
        <sz val="10"/>
        <color theme="1"/>
        <rFont val="Calibri"/>
        <family val="2"/>
        <scheme val="minor"/>
      </rPr>
      <t xml:space="preserve"> - State-only funded insurance
</t>
    </r>
    <r>
      <rPr>
        <b/>
        <sz val="10"/>
        <color theme="1"/>
        <rFont val="Calibri"/>
        <family val="2"/>
        <scheme val="minor"/>
      </rPr>
      <t>SSI</t>
    </r>
    <r>
      <rPr>
        <sz val="10"/>
        <color theme="1"/>
        <rFont val="Calibri"/>
        <family val="2"/>
        <scheme val="minor"/>
      </rPr>
      <t xml:space="preserve"> - Supplemental security income
</t>
    </r>
    <r>
      <rPr>
        <b/>
        <sz val="10"/>
        <color theme="1"/>
        <rFont val="Calibri"/>
        <family val="2"/>
        <scheme val="minor"/>
      </rPr>
      <t>Military</t>
    </r>
    <r>
      <rPr>
        <sz val="10"/>
        <color theme="1"/>
        <rFont val="Calibri"/>
        <family val="2"/>
        <scheme val="minor"/>
      </rPr>
      <t xml:space="preserve"> - Military medical
</t>
    </r>
    <r>
      <rPr>
        <b/>
        <sz val="10"/>
        <color theme="1"/>
        <rFont val="Calibri"/>
        <family val="2"/>
        <scheme val="minor"/>
      </rPr>
      <t>Veteran</t>
    </r>
    <r>
      <rPr>
        <sz val="10"/>
        <color theme="1"/>
        <rFont val="Calibri"/>
        <family val="2"/>
        <scheme val="minor"/>
      </rPr>
      <t xml:space="preserve"> - Veteran's medical
</t>
    </r>
    <r>
      <rPr>
        <b/>
        <sz val="10"/>
        <color theme="1"/>
        <rFont val="Calibri"/>
        <family val="2"/>
        <scheme val="minor"/>
      </rPr>
      <t>None</t>
    </r>
    <r>
      <rPr>
        <sz val="10"/>
        <color theme="1"/>
        <rFont val="Calibri"/>
        <family val="2"/>
        <scheme val="minor"/>
      </rPr>
      <t xml:space="preserve"> - None
</t>
    </r>
    <r>
      <rPr>
        <b/>
        <sz val="10"/>
        <color theme="1"/>
        <rFont val="Calibri"/>
        <family val="2"/>
        <scheme val="minor"/>
      </rPr>
      <t>Other</t>
    </r>
    <r>
      <rPr>
        <sz val="10"/>
        <color theme="1"/>
        <rFont val="Calibri"/>
        <family val="2"/>
        <scheme val="minor"/>
      </rPr>
      <t xml:space="preserve"> - Other
</t>
    </r>
  </si>
  <si>
    <t>Early Learning -&gt; EL Child -&gt; Health -&gt; Insurance
Early Learning -&gt; Parent/Guardian -&gt; Insurance
K12 -&gt; K12 Student -&gt; Health -&gt; Insurance</t>
  </si>
  <si>
    <t>Use cases may utilize subsets of the option set. For example, the option set for Parent/Guardian may not include the "Children's health insurance program" option.</t>
  </si>
  <si>
    <t>000336</t>
  </si>
  <si>
    <t>DentalInsuranceCoverageType</t>
  </si>
  <si>
    <t>Early Learning -&gt; Program Entry</t>
  </si>
  <si>
    <t>Dental Screening Date</t>
  </si>
  <si>
    <t>The year, month and day of a dental screening</t>
  </si>
  <si>
    <t>Early Learning -&gt; EL Child -&gt; Health -&gt; Dental
K12 -&gt; K12 Student -&gt; Health -&gt; Dental</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</si>
  <si>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</si>
  <si>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</si>
  <si>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</si>
  <si>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</si>
  <si>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r>
      <t>NoTreatmentNeeded</t>
    </r>
    <r>
      <rPr>
        <sz val="10"/>
        <color theme="1"/>
        <rFont val="Calibri"/>
        <family val="2"/>
        <scheme val="minor"/>
      </rPr>
      <t xml:space="preserve"> - No Treatment Needed
</t>
    </r>
    <r>
      <rPr>
        <b/>
        <sz val="10"/>
        <color theme="1"/>
        <rFont val="Calibri"/>
        <family val="2"/>
        <scheme val="minor"/>
      </rPr>
      <t>TreatmentNeeded</t>
    </r>
    <r>
      <rPr>
        <sz val="10"/>
        <color theme="1"/>
        <rFont val="Calibri"/>
        <family val="2"/>
        <scheme val="minor"/>
      </rPr>
      <t xml:space="preserve"> - Treatment Needed
</t>
    </r>
    <r>
      <rPr>
        <b/>
        <sz val="10"/>
        <color theme="1"/>
        <rFont val="Calibri"/>
        <family val="2"/>
        <scheme val="minor"/>
      </rPr>
      <t>TreatmentReceived</t>
    </r>
    <r>
      <rPr>
        <sz val="10"/>
        <color theme="1"/>
        <rFont val="Calibri"/>
        <family val="2"/>
        <scheme val="minor"/>
      </rPr>
      <t xml:space="preserve"> - Treatment Received
</t>
    </r>
  </si>
  <si>
    <t>000310</t>
  </si>
  <si>
    <t>DentalScreeningStatus</t>
  </si>
  <si>
    <t>Dependency Status</t>
  </si>
  <si>
    <t>A person's classification as dependent or independent with regards to eligibility for Title IV Federal Student aid.</t>
  </si>
  <si>
    <r>
      <t>Dependent</t>
    </r>
    <r>
      <rPr>
        <sz val="10"/>
        <color theme="1"/>
        <rFont val="Calibri"/>
        <family val="2"/>
        <scheme val="minor"/>
      </rPr>
      <t xml:space="preserve"> - Dependent
</t>
    </r>
    <r>
      <rPr>
        <b/>
        <sz val="10"/>
        <color theme="1"/>
        <rFont val="Calibri"/>
        <family val="2"/>
        <scheme val="minor"/>
      </rPr>
      <t>Independent</t>
    </r>
    <r>
      <rPr>
        <sz val="10"/>
        <color theme="1"/>
        <rFont val="Calibri"/>
        <family val="2"/>
        <scheme val="minor"/>
      </rPr>
      <t xml:space="preserve"> - Independent
</t>
    </r>
    <r>
      <rPr>
        <b/>
        <sz val="10"/>
        <color theme="1"/>
        <rFont val="Calibri"/>
        <family val="2"/>
        <scheme val="minor"/>
      </rPr>
      <t>Unknown</t>
    </r>
    <r>
      <rPr>
        <sz val="10"/>
        <color theme="1"/>
        <rFont val="Calibri"/>
        <family val="2"/>
        <scheme val="minor"/>
      </rPr>
      <t xml:space="preserve"> - Unknown
</t>
    </r>
  </si>
  <si>
    <t>000079</t>
  </si>
  <si>
    <t>DependencyStatus</t>
  </si>
  <si>
    <t>Persistence and Attainment of Nontraditional Students
Postsecondary Education -&gt; IPEDS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</si>
  <si>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</si>
  <si>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</si>
  <si>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</si>
  <si>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</si>
  <si>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</si>
  <si>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</si>
  <si>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</si>
  <si>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</si>
  <si>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</si>
  <si>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The status of a student's referral to or placement into developmental education.</t>
  </si>
  <si>
    <r>
      <t>CollegeReady</t>
    </r>
    <r>
      <rPr>
        <sz val="10"/>
        <color theme="1"/>
        <rFont val="Calibri"/>
        <family val="2"/>
        <scheme val="minor"/>
      </rPr>
      <t xml:space="preserve"> - College Ready
</t>
    </r>
    <r>
      <rPr>
        <b/>
        <sz val="10"/>
        <color theme="1"/>
        <rFont val="Calibri"/>
        <family val="2"/>
        <scheme val="minor"/>
      </rPr>
      <t>NotCollegeReady</t>
    </r>
    <r>
      <rPr>
        <sz val="10"/>
        <color theme="1"/>
        <rFont val="Calibri"/>
        <family val="2"/>
        <scheme val="minor"/>
      </rPr>
      <t xml:space="preserve"> - Not College Ready
</t>
    </r>
  </si>
  <si>
    <t>001588</t>
  </si>
  <si>
    <t>DevelopmentalEducationReferralStatus</t>
  </si>
  <si>
    <t>Postsecondary Education -&gt; Voluntary Framework of Accountability</t>
  </si>
  <si>
    <t>Developmental Education Type</t>
  </si>
  <si>
    <t>An indicator of the category of developmental education.</t>
  </si>
  <si>
    <r>
      <t>DevelopmentalMath</t>
    </r>
    <r>
      <rPr>
        <sz val="10"/>
        <color theme="1"/>
        <rFont val="Calibri"/>
        <family val="2"/>
        <scheme val="minor"/>
      </rPr>
      <t xml:space="preserve"> - Developmental Math
</t>
    </r>
    <r>
      <rPr>
        <b/>
        <sz val="10"/>
        <color theme="1"/>
        <rFont val="Calibri"/>
        <family val="2"/>
        <scheme val="minor"/>
      </rPr>
      <t>DevelopmentalEnglish</t>
    </r>
    <r>
      <rPr>
        <sz val="10"/>
        <color theme="1"/>
        <rFont val="Calibri"/>
        <family val="2"/>
        <scheme val="minor"/>
      </rPr>
      <t xml:space="preserve"> - Developmental English
</t>
    </r>
    <r>
      <rPr>
        <b/>
        <sz val="10"/>
        <color theme="1"/>
        <rFont val="Calibri"/>
        <family val="2"/>
        <scheme val="minor"/>
      </rPr>
      <t>DevelopmentalReading</t>
    </r>
    <r>
      <rPr>
        <sz val="10"/>
        <color theme="1"/>
        <rFont val="Calibri"/>
        <family val="2"/>
        <scheme val="minor"/>
      </rPr>
      <t xml:space="preserve"> - Developmental Reading
</t>
    </r>
    <r>
      <rPr>
        <b/>
        <sz val="10"/>
        <color theme="1"/>
        <rFont val="Calibri"/>
        <family val="2"/>
        <scheme val="minor"/>
      </rPr>
      <t>DevelopmentalEnglishReading</t>
    </r>
    <r>
      <rPr>
        <sz val="10"/>
        <color theme="1"/>
        <rFont val="Calibri"/>
        <family val="2"/>
        <scheme val="minor"/>
      </rPr>
      <t xml:space="preserve"> - Developmental English/Reading
</t>
    </r>
    <r>
      <rPr>
        <b/>
        <sz val="10"/>
        <color theme="1"/>
        <rFont val="Calibri"/>
        <family val="2"/>
        <scheme val="minor"/>
      </rPr>
      <t>DevelopmentalOther</t>
    </r>
    <r>
      <rPr>
        <sz val="10"/>
        <color theme="1"/>
        <rFont val="Calibri"/>
        <family val="2"/>
        <scheme val="minor"/>
      </rPr>
      <t xml:space="preserve"> - Developmental Other
</t>
    </r>
  </si>
  <si>
    <t>Adult Education -&gt; Course Section
Career and Technical -&gt; Course Section
Postsecondary -&gt; Course Section
Postsecondary -&gt; PS Student -&gt; Institution Enrollment</t>
  </si>
  <si>
    <t>001589</t>
  </si>
  <si>
    <t>DevelopmentalEducationType</t>
  </si>
  <si>
    <t>Developmental Evaluation Finding</t>
  </si>
  <si>
    <t>Child developmental delay/disability determined by procedure used by appropriate qualified personnel.</t>
  </si>
  <si>
    <r>
      <t>Adaptive</t>
    </r>
    <r>
      <rPr>
        <sz val="10"/>
        <color theme="1"/>
        <rFont val="Calibri"/>
        <family val="2"/>
        <scheme val="minor"/>
      </rPr>
      <t xml:space="preserve"> - Adaptive development delay
</t>
    </r>
    <r>
      <rPr>
        <b/>
        <sz val="10"/>
        <color theme="1"/>
        <rFont val="Calibri"/>
        <family val="2"/>
        <scheme val="minor"/>
      </rPr>
      <t>Cognitive</t>
    </r>
    <r>
      <rPr>
        <sz val="10"/>
        <color theme="1"/>
        <rFont val="Calibri"/>
        <family val="2"/>
        <scheme val="minor"/>
      </rPr>
      <t xml:space="preserve"> - Cognitive development delay
</t>
    </r>
    <r>
      <rPr>
        <b/>
        <sz val="10"/>
        <color theme="1"/>
        <rFont val="Calibri"/>
        <family val="2"/>
        <scheme val="minor"/>
      </rPr>
      <t>Communication</t>
    </r>
    <r>
      <rPr>
        <sz val="10"/>
        <color theme="1"/>
        <rFont val="Calibri"/>
        <family val="2"/>
        <scheme val="minor"/>
      </rPr>
      <t xml:space="preserve"> - Communication development delay
</t>
    </r>
    <r>
      <rPr>
        <b/>
        <sz val="10"/>
        <color theme="1"/>
        <rFont val="Calibri"/>
        <family val="2"/>
        <scheme val="minor"/>
      </rPr>
      <t>NoDelay</t>
    </r>
    <r>
      <rPr>
        <sz val="10"/>
        <color theme="1"/>
        <rFont val="Calibri"/>
        <family val="2"/>
        <scheme val="minor"/>
      </rPr>
      <t xml:space="preserve"> - No delay, needs follow-up
</t>
    </r>
    <r>
      <rPr>
        <b/>
        <sz val="10"/>
        <color theme="1"/>
        <rFont val="Calibri"/>
        <family val="2"/>
        <scheme val="minor"/>
      </rPr>
      <t>None</t>
    </r>
    <r>
      <rPr>
        <sz val="10"/>
        <color theme="1"/>
        <rFont val="Calibri"/>
        <family val="2"/>
        <scheme val="minor"/>
      </rPr>
      <t xml:space="preserve"> - None
</t>
    </r>
    <r>
      <rPr>
        <b/>
        <sz val="10"/>
        <color theme="1"/>
        <rFont val="Calibri"/>
        <family val="2"/>
        <scheme val="minor"/>
      </rPr>
      <t>CarnegieUnits</t>
    </r>
    <r>
      <rPr>
        <sz val="10"/>
        <color theme="1"/>
        <rFont val="Calibri"/>
        <family val="2"/>
        <scheme val="minor"/>
      </rPr>
      <t xml:space="preserve"> - Carnegie Units 
</t>
    </r>
    <r>
      <rPr>
        <b/>
        <sz val="10"/>
        <color theme="1"/>
        <rFont val="Calibri"/>
        <family val="2"/>
        <scheme val="minor"/>
      </rPr>
      <t>Physical</t>
    </r>
    <r>
      <rPr>
        <sz val="10"/>
        <color theme="1"/>
        <rFont val="Calibri"/>
        <family val="2"/>
        <scheme val="minor"/>
      </rPr>
      <t xml:space="preserve"> - Physical development delay
</t>
    </r>
    <r>
      <rPr>
        <b/>
        <sz val="10"/>
        <color theme="1"/>
        <rFont val="Calibri"/>
        <family val="2"/>
        <scheme val="minor"/>
      </rPr>
      <t>SocialEmotional</t>
    </r>
    <r>
      <rPr>
        <sz val="10"/>
        <color theme="1"/>
        <rFont val="Calibri"/>
        <family val="2"/>
        <scheme val="minor"/>
      </rPr>
      <t xml:space="preserve"> - Social or emotional development delay
</t>
    </r>
    <r>
      <rPr>
        <b/>
        <sz val="10"/>
        <color theme="1"/>
        <rFont val="Calibri"/>
        <family val="2"/>
        <scheme val="minor"/>
      </rPr>
      <t>NoDelayDetected</t>
    </r>
    <r>
      <rPr>
        <sz val="10"/>
        <color theme="1"/>
        <rFont val="Calibri"/>
        <family val="2"/>
        <scheme val="minor"/>
      </rPr>
      <t xml:space="preserve"> - No delay detected
</t>
    </r>
    <r>
      <rPr>
        <b/>
        <sz val="10"/>
        <color theme="1"/>
        <rFont val="Calibri"/>
        <family val="2"/>
        <scheme val="minor"/>
      </rPr>
      <t>EstablishedCondition</t>
    </r>
    <r>
      <rPr>
        <sz val="10"/>
        <color theme="1"/>
        <rFont val="Calibri"/>
        <family val="2"/>
        <scheme val="minor"/>
      </rPr>
      <t xml:space="preserve"> - Established condition
</t>
    </r>
    <r>
      <rPr>
        <b/>
        <sz val="10"/>
        <color theme="1"/>
        <rFont val="Calibri"/>
        <family val="2"/>
        <scheme val="minor"/>
      </rPr>
      <t>AtRisk</t>
    </r>
    <r>
      <rPr>
        <sz val="10"/>
        <color theme="1"/>
        <rFont val="Calibri"/>
        <family val="2"/>
        <scheme val="minor"/>
      </rPr>
      <t xml:space="preserve"> - At-risk of developing delay
</t>
    </r>
  </si>
  <si>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</si>
  <si>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</si>
  <si>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</si>
  <si>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</si>
  <si>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</si>
  <si>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</si>
  <si>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</si>
  <si>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</si>
  <si>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Early Learning -&gt; EL Organization -&gt; Organization Information</t>
  </si>
  <si>
    <t>000868</t>
  </si>
  <si>
    <t>DifferentialShiftPayIndicator</t>
  </si>
  <si>
    <t>Diploma or Credential Award Date</t>
  </si>
  <si>
    <t>The month and year on which the diploma/credential is awarded to a student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</si>
  <si>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</si>
  <si>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YYYY-MM</t>
  </si>
  <si>
    <t>000081</t>
  </si>
  <si>
    <t>DiplomaOrCredentialAwardDate</t>
  </si>
  <si>
    <t>Early Learning -&gt; Staff Quality
K-12 -&gt; High School Feedback Report
K-12 -&gt; High School Generated Transcript
K-12 -&gt; LEA-to-LEA Student Record Exchange
K-12 -&gt; LEA-to-SEA Student Record Exchange
Postsecondary Education -&gt; Transition</t>
  </si>
  <si>
    <t>Directory Information Block Status</t>
  </si>
  <si>
    <t>An indication of whether a individual requested a Family Education Rights and Privacy Act (FERPA) block to withhold the release of the person's directory information.</t>
  </si>
  <si>
    <r>
      <t>Block</t>
    </r>
    <r>
      <rPr>
        <sz val="10"/>
        <color theme="1"/>
        <rFont val="Calibri"/>
        <family val="2"/>
        <scheme val="minor"/>
      </rPr>
      <t xml:space="preserve"> - Block
</t>
    </r>
    <r>
      <rPr>
        <b/>
        <sz val="10"/>
        <color theme="1"/>
        <rFont val="Calibri"/>
        <family val="2"/>
        <scheme val="minor"/>
      </rPr>
      <t>RemoveBlock</t>
    </r>
    <r>
      <rPr>
        <sz val="10"/>
        <color theme="1"/>
        <rFont val="Calibri"/>
        <family val="2"/>
        <scheme val="minor"/>
      </rPr>
      <t xml:space="preserve"> - Remove Block
</t>
    </r>
  </si>
  <si>
    <t>K12 -&gt; K12 Student -&gt; Enrollment
Postsecondary -&gt; PS Student -&gt; Term Enrollment</t>
  </si>
  <si>
    <t>001590</t>
  </si>
  <si>
    <t>DirectoryInformationBlockStatus</t>
  </si>
  <si>
    <t>Postsecondary Education -&gt; Student Achievement Measure
Postsecondary Education -&gt; Voluntary Framework of Accountability</t>
  </si>
  <si>
    <t>Disability Condition Status Type</t>
  </si>
  <si>
    <t>A code indicating the disability condition status.</t>
  </si>
  <si>
    <r>
      <t>Permanent</t>
    </r>
    <r>
      <rPr>
        <sz val="10"/>
        <color theme="1"/>
        <rFont val="Calibri"/>
        <family val="2"/>
        <scheme val="minor"/>
      </rPr>
      <t xml:space="preserve"> - Disability has been confirmed as a permanent disability
</t>
    </r>
    <r>
      <rPr>
        <b/>
        <sz val="10"/>
        <color theme="1"/>
        <rFont val="Calibri"/>
        <family val="2"/>
        <scheme val="minor"/>
      </rPr>
      <t>Temporary</t>
    </r>
    <r>
      <rPr>
        <sz val="10"/>
        <color theme="1"/>
        <rFont val="Calibri"/>
        <family val="2"/>
        <scheme val="minor"/>
      </rPr>
      <t xml:space="preserve"> - Disability has been confirmed as a temporary disability
</t>
    </r>
  </si>
  <si>
    <t>001319</t>
  </si>
  <si>
    <t>Disability Condition Status Code</t>
  </si>
  <si>
    <t>DisabilityConditionStatusCode</t>
  </si>
  <si>
    <t>Disability Condition Type</t>
  </si>
  <si>
    <t>Codes identifying the set of disability conditions.</t>
  </si>
  <si>
    <r>
      <t>00</t>
    </r>
    <r>
      <rPr>
        <sz val="10"/>
        <color theme="1"/>
        <rFont val="Calibri"/>
        <family val="2"/>
        <scheme val="minor"/>
      </rPr>
      <t xml:space="preserve"> - No disability or impairment known or reported
</t>
    </r>
    <r>
      <rPr>
        <b/>
        <sz val="10"/>
        <color theme="1"/>
        <rFont val="Calibri"/>
        <family val="2"/>
        <scheme val="minor"/>
      </rPr>
      <t>01</t>
    </r>
    <r>
      <rPr>
        <sz val="10"/>
        <color theme="1"/>
        <rFont val="Calibri"/>
        <family val="2"/>
        <scheme val="minor"/>
      </rPr>
      <t xml:space="preserve"> - Blindness or Visual Impairment
</t>
    </r>
    <r>
      <rPr>
        <b/>
        <sz val="10"/>
        <color theme="1"/>
        <rFont val="Calibri"/>
        <family val="2"/>
        <scheme val="minor"/>
      </rPr>
      <t>02</t>
    </r>
    <r>
      <rPr>
        <sz val="10"/>
        <color theme="1"/>
        <rFont val="Calibri"/>
        <family val="2"/>
        <scheme val="minor"/>
      </rPr>
      <t xml:space="preserve"> - Cerebral Palsy
</t>
    </r>
    <r>
      <rPr>
        <b/>
        <sz val="10"/>
        <color theme="1"/>
        <rFont val="Calibri"/>
        <family val="2"/>
        <scheme val="minor"/>
      </rPr>
      <t>03</t>
    </r>
    <r>
      <rPr>
        <sz val="10"/>
        <color theme="1"/>
        <rFont val="Calibri"/>
        <family val="2"/>
        <scheme val="minor"/>
      </rPr>
      <t xml:space="preserve"> - Chronic Illness
</t>
    </r>
    <r>
      <rPr>
        <b/>
        <sz val="10"/>
        <color theme="1"/>
        <rFont val="Calibri"/>
        <family val="2"/>
        <scheme val="minor"/>
      </rPr>
      <t>04</t>
    </r>
    <r>
      <rPr>
        <sz val="10"/>
        <color theme="1"/>
        <rFont val="Calibri"/>
        <family val="2"/>
        <scheme val="minor"/>
      </rPr>
      <t xml:space="preserve"> - Deafness or Hearing Impairment
</t>
    </r>
    <r>
      <rPr>
        <b/>
        <sz val="10"/>
        <color theme="1"/>
        <rFont val="Calibri"/>
        <family val="2"/>
        <scheme val="minor"/>
      </rPr>
      <t>05</t>
    </r>
    <r>
      <rPr>
        <sz val="10"/>
        <color theme="1"/>
        <rFont val="Calibri"/>
        <family val="2"/>
        <scheme val="minor"/>
      </rPr>
      <t xml:space="preserve"> - Drug or Alcohol Addiction
</t>
    </r>
    <r>
      <rPr>
        <b/>
        <sz val="10"/>
        <color theme="1"/>
        <rFont val="Calibri"/>
        <family val="2"/>
        <scheme val="minor"/>
      </rPr>
      <t>06</t>
    </r>
    <r>
      <rPr>
        <sz val="10"/>
        <color theme="1"/>
        <rFont val="Calibri"/>
        <family val="2"/>
        <scheme val="minor"/>
      </rPr>
      <t xml:space="preserve"> - Emotionally/Psychologically Disabled: e.g., schizophrenia or depression
</t>
    </r>
    <r>
      <rPr>
        <b/>
        <sz val="10"/>
        <color theme="1"/>
        <rFont val="Calibri"/>
        <family val="2"/>
        <scheme val="minor"/>
      </rPr>
      <t>07</t>
    </r>
    <r>
      <rPr>
        <sz val="10"/>
        <color theme="1"/>
        <rFont val="Calibri"/>
        <family val="2"/>
        <scheme val="minor"/>
      </rPr>
      <t xml:space="preserve"> - Epilepsy or Seizure Disorders
</t>
    </r>
    <r>
      <rPr>
        <b/>
        <sz val="10"/>
        <color theme="1"/>
        <rFont val="Calibri"/>
        <family val="2"/>
        <scheme val="minor"/>
      </rPr>
      <t>08</t>
    </r>
    <r>
      <rPr>
        <sz val="10"/>
        <color theme="1"/>
        <rFont val="Calibri"/>
        <family val="2"/>
        <scheme val="minor"/>
      </rPr>
      <t xml:space="preserve"> - Intellectual Disability
</t>
    </r>
    <r>
      <rPr>
        <b/>
        <sz val="10"/>
        <color theme="1"/>
        <rFont val="Calibri"/>
        <family val="2"/>
        <scheme val="minor"/>
      </rPr>
      <t>09</t>
    </r>
    <r>
      <rPr>
        <sz val="10"/>
        <color theme="1"/>
        <rFont val="Calibri"/>
        <family val="2"/>
        <scheme val="minor"/>
      </rPr>
      <t xml:space="preserve"> - Orthopedic Impairment
</t>
    </r>
    <r>
      <rPr>
        <b/>
        <sz val="10"/>
        <color theme="1"/>
        <rFont val="Calibri"/>
        <family val="2"/>
        <scheme val="minor"/>
      </rPr>
      <t>10</t>
    </r>
    <r>
      <rPr>
        <sz val="10"/>
        <color theme="1"/>
        <rFont val="Calibri"/>
        <family val="2"/>
        <scheme val="minor"/>
      </rPr>
      <t xml:space="preserve"> - Specific learning disability
</t>
    </r>
    <r>
      <rPr>
        <b/>
        <sz val="10"/>
        <color theme="1"/>
        <rFont val="Calibri"/>
        <family val="2"/>
        <scheme val="minor"/>
      </rPr>
      <t>11</t>
    </r>
    <r>
      <rPr>
        <sz val="10"/>
        <color theme="1"/>
        <rFont val="Calibri"/>
        <family val="2"/>
        <scheme val="minor"/>
      </rPr>
      <t xml:space="preserve"> - Speech or Language impairment
</t>
    </r>
    <r>
      <rPr>
        <b/>
        <sz val="10"/>
        <color theme="1"/>
        <rFont val="Calibri"/>
        <family val="2"/>
        <scheme val="minor"/>
      </rPr>
      <t>99</t>
    </r>
    <r>
      <rPr>
        <sz val="10"/>
        <color theme="1"/>
        <rFont val="Calibri"/>
        <family val="2"/>
        <scheme val="minor"/>
      </rPr>
      <t xml:space="preserve"> - Other type of impairment
</t>
    </r>
  </si>
  <si>
    <t>Career and Technical -&gt; CTE Student -&gt; Disability
Early Learning -&gt; EL Child -&gt; Disability
K12 -&gt; K12 Student -&gt; Disability
Postsecondary -&gt; PS Student -&gt; Disability</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</si>
  <si>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</si>
  <si>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</si>
  <si>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</si>
  <si>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</si>
  <si>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</si>
  <si>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r>
      <t>01</t>
    </r>
    <r>
      <rPr>
        <sz val="10"/>
        <color theme="1"/>
        <rFont val="Calibri"/>
        <family val="2"/>
        <scheme val="minor"/>
      </rPr>
      <t xml:space="preserve"> - By physician
</t>
    </r>
    <r>
      <rPr>
        <b/>
        <sz val="10"/>
        <color theme="1"/>
        <rFont val="Calibri"/>
        <family val="2"/>
        <scheme val="minor"/>
      </rPr>
      <t>02</t>
    </r>
    <r>
      <rPr>
        <sz val="10"/>
        <color theme="1"/>
        <rFont val="Calibri"/>
        <family val="2"/>
        <scheme val="minor"/>
      </rPr>
      <t xml:space="preserve"> - By health care provider
</t>
    </r>
    <r>
      <rPr>
        <b/>
        <sz val="10"/>
        <color theme="1"/>
        <rFont val="Calibri"/>
        <family val="2"/>
        <scheme val="minor"/>
      </rPr>
      <t>03</t>
    </r>
    <r>
      <rPr>
        <sz val="10"/>
        <color theme="1"/>
        <rFont val="Calibri"/>
        <family val="2"/>
        <scheme val="minor"/>
      </rPr>
      <t xml:space="preserve"> - By school psychologist or other psychologist
</t>
    </r>
    <r>
      <rPr>
        <b/>
        <sz val="10"/>
        <color theme="1"/>
        <rFont val="Calibri"/>
        <family val="2"/>
        <scheme val="minor"/>
      </rPr>
      <t>04</t>
    </r>
    <r>
      <rPr>
        <sz val="10"/>
        <color theme="1"/>
        <rFont val="Calibri"/>
        <family val="2"/>
        <scheme val="minor"/>
      </rPr>
      <t xml:space="preserve"> - By licensed physical therapist
</t>
    </r>
    <r>
      <rPr>
        <b/>
        <sz val="10"/>
        <color theme="1"/>
        <rFont val="Calibri"/>
        <family val="2"/>
        <scheme val="minor"/>
      </rPr>
      <t>05</t>
    </r>
    <r>
      <rPr>
        <sz val="10"/>
        <color theme="1"/>
        <rFont val="Calibri"/>
        <family val="2"/>
        <scheme val="minor"/>
      </rPr>
      <t xml:space="preserve"> - Self-reported
</t>
    </r>
    <r>
      <rPr>
        <b/>
        <sz val="10"/>
        <color theme="1"/>
        <rFont val="Calibri"/>
        <family val="2"/>
        <scheme val="minor"/>
      </rPr>
      <t>06</t>
    </r>
    <r>
      <rPr>
        <sz val="10"/>
        <color theme="1"/>
        <rFont val="Calibri"/>
        <family val="2"/>
        <scheme val="minor"/>
      </rPr>
      <t xml:space="preserve"> - By social service or other type of agency
</t>
    </r>
    <r>
      <rPr>
        <b/>
        <sz val="10"/>
        <color theme="1"/>
        <rFont val="Calibri"/>
        <family val="2"/>
        <scheme val="minor"/>
      </rPr>
      <t>97</t>
    </r>
    <r>
      <rPr>
        <sz val="10"/>
        <color theme="1"/>
        <rFont val="Calibri"/>
        <family val="2"/>
        <scheme val="minor"/>
      </rPr>
      <t xml:space="preserve"> - Not applicable to the student
</t>
    </r>
    <r>
      <rPr>
        <b/>
        <sz val="10"/>
        <color theme="1"/>
        <rFont val="Calibri"/>
        <family val="2"/>
        <scheme val="minor"/>
      </rPr>
      <t>98</t>
    </r>
    <r>
      <rPr>
        <sz val="10"/>
        <color theme="1"/>
        <rFont val="Calibri"/>
        <family val="2"/>
        <scheme val="minor"/>
      </rPr>
      <t xml:space="preserve"> - Unknown or Unreported
</t>
    </r>
    <r>
      <rPr>
        <b/>
        <sz val="10"/>
        <color theme="1"/>
        <rFont val="Calibri"/>
        <family val="2"/>
        <scheme val="minor"/>
      </rPr>
      <t>99</t>
    </r>
    <r>
      <rPr>
        <sz val="10"/>
        <color theme="1"/>
        <rFont val="Calibri"/>
        <family val="2"/>
        <scheme val="minor"/>
      </rPr>
      <t xml:space="preserve"> - Other
</t>
    </r>
  </si>
  <si>
    <t>Adult Education -&gt; AE Student -&gt; Disability
Career and Technical -&gt; CTE Student -&gt; Disability
Early Learning -&gt; EL Child -&gt; Disability
K12 -&gt; K12 Student -&gt; Disability
Postsecondary -&gt; PS Student -&gt; Disability</t>
  </si>
  <si>
    <t>001321</t>
  </si>
  <si>
    <t>DisabilityDeterminationSourceType</t>
  </si>
  <si>
    <t>Disability Status</t>
  </si>
  <si>
    <t>An indication of whether a person is classified as disabled under the American's with Disability Act (ADA).</t>
  </si>
  <si>
    <t>Adult Education -&gt; AE Student -&gt; Disability
Career and Technical -&gt; CTE Student -&gt; Disability
Early Learning -&gt; EL Child -&gt; Disability
K12 -&gt; K12 Student -&gt; Disability
K12 -&gt; K12 Student -&gt; Individualized Program -&gt; Eligibility -&gt; Determination
Postsecondary -&gt; PS Student -&gt; Disability</t>
  </si>
  <si>
    <t>000577</t>
  </si>
  <si>
    <t>DisabilityStatus</t>
  </si>
  <si>
    <t>Disciplinary Action End Date</t>
  </si>
  <si>
    <t>The year, month and day on which a discipline action ends.</t>
  </si>
  <si>
    <t>K12 -&gt; Incident
K12 -&gt; K12 Student -&gt; Discipline</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</si>
  <si>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</si>
  <si>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</si>
  <si>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</si>
  <si>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</si>
  <si>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</si>
  <si>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</si>
  <si>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</si>
  <si>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</si>
  <si>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</si>
  <si>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</si>
  <si>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</si>
  <si>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</si>
  <si>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</si>
  <si>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r>
      <t>03071</t>
    </r>
    <r>
      <rPr>
        <sz val="10"/>
        <color theme="1"/>
        <rFont val="Calibri"/>
        <family val="2"/>
        <scheme val="minor"/>
      </rPr>
      <t xml:space="preserve"> - Bus suspension
</t>
    </r>
    <r>
      <rPr>
        <b/>
        <sz val="10"/>
        <color theme="1"/>
        <rFont val="Calibri"/>
        <family val="2"/>
        <scheme val="minor"/>
      </rPr>
      <t>03072</t>
    </r>
    <r>
      <rPr>
        <sz val="10"/>
        <color theme="1"/>
        <rFont val="Calibri"/>
        <family val="2"/>
        <scheme val="minor"/>
      </rPr>
      <t xml:space="preserve"> - Change of placement (long-term)
</t>
    </r>
    <r>
      <rPr>
        <b/>
        <sz val="10"/>
        <color theme="1"/>
        <rFont val="Calibri"/>
        <family val="2"/>
        <scheme val="minor"/>
      </rPr>
      <t>03073</t>
    </r>
    <r>
      <rPr>
        <sz val="10"/>
        <color theme="1"/>
        <rFont val="Calibri"/>
        <family val="2"/>
        <scheme val="minor"/>
      </rPr>
      <t xml:space="preserve"> - Change of placement (reassignment), pending an expulsion hearing
</t>
    </r>
    <r>
      <rPr>
        <b/>
        <sz val="10"/>
        <color theme="1"/>
        <rFont val="Calibri"/>
        <family val="2"/>
        <scheme val="minor"/>
      </rPr>
      <t>03074</t>
    </r>
    <r>
      <rPr>
        <sz val="10"/>
        <color theme="1"/>
        <rFont val="Calibri"/>
        <family val="2"/>
        <scheme val="minor"/>
      </rPr>
      <t xml:space="preserve"> - Change of placement (reassignment), resulting from an expulsion hearing
</t>
    </r>
    <r>
      <rPr>
        <b/>
        <sz val="10"/>
        <color theme="1"/>
        <rFont val="Calibri"/>
        <family val="2"/>
        <scheme val="minor"/>
      </rPr>
      <t>03075</t>
    </r>
    <r>
      <rPr>
        <sz val="10"/>
        <color theme="1"/>
        <rFont val="Calibri"/>
        <family val="2"/>
        <scheme val="minor"/>
      </rPr>
      <t xml:space="preserve"> - Change of placement (reassignment), temporary
</t>
    </r>
    <r>
      <rPr>
        <b/>
        <sz val="10"/>
        <color theme="1"/>
        <rFont val="Calibri"/>
        <family val="2"/>
        <scheme val="minor"/>
      </rPr>
      <t>03076</t>
    </r>
    <r>
      <rPr>
        <sz val="10"/>
        <color theme="1"/>
        <rFont val="Calibri"/>
        <family val="2"/>
        <scheme val="minor"/>
      </rPr>
      <t xml:space="preserve"> - Community service
</t>
    </r>
    <r>
      <rPr>
        <b/>
        <sz val="10"/>
        <color theme="1"/>
        <rFont val="Calibri"/>
        <family val="2"/>
        <scheme val="minor"/>
      </rPr>
      <t>03077</t>
    </r>
    <r>
      <rPr>
        <sz val="10"/>
        <color theme="1"/>
        <rFont val="Calibri"/>
        <family val="2"/>
        <scheme val="minor"/>
      </rPr>
      <t xml:space="preserve"> - Conference with and warning to student
</t>
    </r>
    <r>
      <rPr>
        <b/>
        <sz val="10"/>
        <color theme="1"/>
        <rFont val="Calibri"/>
        <family val="2"/>
        <scheme val="minor"/>
      </rPr>
      <t>03078</t>
    </r>
    <r>
      <rPr>
        <sz val="10"/>
        <color theme="1"/>
        <rFont val="Calibri"/>
        <family val="2"/>
        <scheme val="minor"/>
      </rPr>
      <t xml:space="preserve"> - Conference with and warning to student and parent/guardian
</t>
    </r>
    <r>
      <rPr>
        <b/>
        <sz val="10"/>
        <color theme="1"/>
        <rFont val="Calibri"/>
        <family val="2"/>
        <scheme val="minor"/>
      </rPr>
      <t>03079</t>
    </r>
    <r>
      <rPr>
        <sz val="10"/>
        <color theme="1"/>
        <rFont val="Calibri"/>
        <family val="2"/>
        <scheme val="minor"/>
      </rPr>
      <t xml:space="preserve"> - Confiscation of contraband
</t>
    </r>
    <r>
      <rPr>
        <b/>
        <sz val="10"/>
        <color theme="1"/>
        <rFont val="Calibri"/>
        <family val="2"/>
        <scheme val="minor"/>
      </rPr>
      <t>03080</t>
    </r>
    <r>
      <rPr>
        <sz val="10"/>
        <color theme="1"/>
        <rFont val="Calibri"/>
        <family val="2"/>
        <scheme val="minor"/>
      </rPr>
      <t xml:space="preserve"> - Conflict resolution or anger management services mandated
</t>
    </r>
    <r>
      <rPr>
        <b/>
        <sz val="10"/>
        <color theme="1"/>
        <rFont val="Calibri"/>
        <family val="2"/>
        <scheme val="minor"/>
      </rPr>
      <t>03081</t>
    </r>
    <r>
      <rPr>
        <sz val="10"/>
        <color theme="1"/>
        <rFont val="Calibri"/>
        <family val="2"/>
        <scheme val="minor"/>
      </rPr>
      <t xml:space="preserve"> - Corporal punishment
</t>
    </r>
    <r>
      <rPr>
        <b/>
        <sz val="10"/>
        <color theme="1"/>
        <rFont val="Calibri"/>
        <family val="2"/>
        <scheme val="minor"/>
      </rPr>
      <t>03082</t>
    </r>
    <r>
      <rPr>
        <sz val="10"/>
        <color theme="1"/>
        <rFont val="Calibri"/>
        <family val="2"/>
        <scheme val="minor"/>
      </rPr>
      <t xml:space="preserve"> - Counseling mandated
</t>
    </r>
    <r>
      <rPr>
        <b/>
        <sz val="10"/>
        <color theme="1"/>
        <rFont val="Calibri"/>
        <family val="2"/>
        <scheme val="minor"/>
      </rPr>
      <t>03083</t>
    </r>
    <r>
      <rPr>
        <sz val="10"/>
        <color theme="1"/>
        <rFont val="Calibri"/>
        <family val="2"/>
        <scheme val="minor"/>
      </rPr>
      <t xml:space="preserve"> - Demerit
</t>
    </r>
    <r>
      <rPr>
        <b/>
        <sz val="10"/>
        <color theme="1"/>
        <rFont val="Calibri"/>
        <family val="2"/>
        <scheme val="minor"/>
      </rPr>
      <t>03084</t>
    </r>
    <r>
      <rPr>
        <sz val="10"/>
        <color theme="1"/>
        <rFont val="Calibri"/>
        <family val="2"/>
        <scheme val="minor"/>
      </rPr>
      <t xml:space="preserve"> - Detention
</t>
    </r>
    <r>
      <rPr>
        <b/>
        <sz val="10"/>
        <color theme="1"/>
        <rFont val="Calibri"/>
        <family val="2"/>
        <scheme val="minor"/>
      </rPr>
      <t>03085</t>
    </r>
    <r>
      <rPr>
        <sz val="10"/>
        <color theme="1"/>
        <rFont val="Calibri"/>
        <family val="2"/>
        <scheme val="minor"/>
      </rPr>
      <t xml:space="preserve"> - Expulsion recommendation
</t>
    </r>
    <r>
      <rPr>
        <b/>
        <sz val="10"/>
        <color theme="1"/>
        <rFont val="Calibri"/>
        <family val="2"/>
        <scheme val="minor"/>
      </rPr>
      <t>03086</t>
    </r>
    <r>
      <rPr>
        <sz val="10"/>
        <color theme="1"/>
        <rFont val="Calibri"/>
        <family val="2"/>
        <scheme val="minor"/>
      </rPr>
      <t xml:space="preserve"> - Expulsion with services
</t>
    </r>
    <r>
      <rPr>
        <b/>
        <sz val="10"/>
        <color theme="1"/>
        <rFont val="Calibri"/>
        <family val="2"/>
        <scheme val="minor"/>
      </rPr>
      <t>03087</t>
    </r>
    <r>
      <rPr>
        <sz val="10"/>
        <color theme="1"/>
        <rFont val="Calibri"/>
        <family val="2"/>
        <scheme val="minor"/>
      </rPr>
      <t xml:space="preserve"> - Expulsion without services
</t>
    </r>
    <r>
      <rPr>
        <b/>
        <sz val="10"/>
        <color theme="1"/>
        <rFont val="Calibri"/>
        <family val="2"/>
        <scheme val="minor"/>
      </rPr>
      <t>03088</t>
    </r>
    <r>
      <rPr>
        <sz val="10"/>
        <color theme="1"/>
        <rFont val="Calibri"/>
        <family val="2"/>
        <scheme val="minor"/>
      </rPr>
      <t xml:space="preserve"> - Juvenile justice referral
</t>
    </r>
    <r>
      <rPr>
        <b/>
        <sz val="10"/>
        <color theme="1"/>
        <rFont val="Calibri"/>
        <family val="2"/>
        <scheme val="minor"/>
      </rPr>
      <t>03089</t>
    </r>
    <r>
      <rPr>
        <sz val="10"/>
        <color theme="1"/>
        <rFont val="Calibri"/>
        <family val="2"/>
        <scheme val="minor"/>
      </rPr>
      <t xml:space="preserve"> - Law enforcement referral
</t>
    </r>
    <r>
      <rPr>
        <b/>
        <sz val="10"/>
        <color theme="1"/>
        <rFont val="Calibri"/>
        <family val="2"/>
        <scheme val="minor"/>
      </rPr>
      <t>03090</t>
    </r>
    <r>
      <rPr>
        <sz val="10"/>
        <color theme="1"/>
        <rFont val="Calibri"/>
        <family val="2"/>
        <scheme val="minor"/>
      </rPr>
      <t xml:space="preserve"> - Letter of apology
</t>
    </r>
    <r>
      <rPr>
        <b/>
        <sz val="10"/>
        <color theme="1"/>
        <rFont val="Calibri"/>
        <family val="2"/>
        <scheme val="minor"/>
      </rPr>
      <t>03091</t>
    </r>
    <r>
      <rPr>
        <sz val="10"/>
        <color theme="1"/>
        <rFont val="Calibri"/>
        <family val="2"/>
        <scheme val="minor"/>
      </rPr>
      <t xml:space="preserve"> - Loss of privileges
</t>
    </r>
    <r>
      <rPr>
        <b/>
        <sz val="10"/>
        <color theme="1"/>
        <rFont val="Calibri"/>
        <family val="2"/>
        <scheme val="minor"/>
      </rPr>
      <t>13357</t>
    </r>
    <r>
      <rPr>
        <sz val="10"/>
        <color theme="1"/>
        <rFont val="Calibri"/>
        <family val="2"/>
        <scheme val="minor"/>
      </rPr>
      <t xml:space="preserve"> - Mechanical Restraint
</t>
    </r>
    <r>
      <rPr>
        <b/>
        <sz val="10"/>
        <color theme="1"/>
        <rFont val="Calibri"/>
        <family val="2"/>
        <scheme val="minor"/>
      </rPr>
      <t>03105</t>
    </r>
    <r>
      <rPr>
        <sz val="10"/>
        <color theme="1"/>
        <rFont val="Calibri"/>
        <family val="2"/>
        <scheme val="minor"/>
      </rPr>
      <t xml:space="preserve"> - No action
</t>
    </r>
    <r>
      <rPr>
        <b/>
        <sz val="10"/>
        <color theme="1"/>
        <rFont val="Calibri"/>
        <family val="2"/>
        <scheme val="minor"/>
      </rPr>
      <t>09998</t>
    </r>
    <r>
      <rPr>
        <sz val="10"/>
        <color theme="1"/>
        <rFont val="Calibri"/>
        <family val="2"/>
        <scheme val="minor"/>
      </rPr>
      <t xml:space="preserve"> - None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03092</t>
    </r>
    <r>
      <rPr>
        <sz val="10"/>
        <color theme="1"/>
        <rFont val="Calibri"/>
        <family val="2"/>
        <scheme val="minor"/>
      </rPr>
      <t xml:space="preserve"> - Physical activity
</t>
    </r>
    <r>
      <rPr>
        <b/>
        <sz val="10"/>
        <color theme="1"/>
        <rFont val="Calibri"/>
        <family val="2"/>
        <scheme val="minor"/>
      </rPr>
      <t>13358</t>
    </r>
    <r>
      <rPr>
        <sz val="10"/>
        <color theme="1"/>
        <rFont val="Calibri"/>
        <family val="2"/>
        <scheme val="minor"/>
      </rPr>
      <t xml:space="preserve"> - Physical Restraint
</t>
    </r>
    <r>
      <rPr>
        <b/>
        <sz val="10"/>
        <color theme="1"/>
        <rFont val="Calibri"/>
        <family val="2"/>
        <scheme val="minor"/>
      </rPr>
      <t>03158</t>
    </r>
    <r>
      <rPr>
        <sz val="10"/>
        <color theme="1"/>
        <rFont val="Calibri"/>
        <family val="2"/>
        <scheme val="minor"/>
      </rPr>
      <t xml:space="preserve"> - Removal by a hearing officer
</t>
    </r>
    <r>
      <rPr>
        <b/>
        <sz val="10"/>
        <color theme="1"/>
        <rFont val="Calibri"/>
        <family val="2"/>
        <scheme val="minor"/>
      </rPr>
      <t>03093</t>
    </r>
    <r>
      <rPr>
        <sz val="10"/>
        <color theme="1"/>
        <rFont val="Calibri"/>
        <family val="2"/>
        <scheme val="minor"/>
      </rPr>
      <t xml:space="preserve"> - Reprimand
</t>
    </r>
    <r>
      <rPr>
        <b/>
        <sz val="10"/>
        <color theme="1"/>
        <rFont val="Calibri"/>
        <family val="2"/>
        <scheme val="minor"/>
      </rPr>
      <t>03094</t>
    </r>
    <r>
      <rPr>
        <sz val="10"/>
        <color theme="1"/>
        <rFont val="Calibri"/>
        <family val="2"/>
        <scheme val="minor"/>
      </rPr>
      <t xml:space="preserve"> - Restitution
</t>
    </r>
    <r>
      <rPr>
        <b/>
        <sz val="10"/>
        <color theme="1"/>
        <rFont val="Calibri"/>
        <family val="2"/>
        <scheme val="minor"/>
      </rPr>
      <t>03095</t>
    </r>
    <r>
      <rPr>
        <sz val="10"/>
        <color theme="1"/>
        <rFont val="Calibri"/>
        <family val="2"/>
        <scheme val="minor"/>
      </rPr>
      <t xml:space="preserve"> - Saturday school
</t>
    </r>
    <r>
      <rPr>
        <b/>
        <sz val="10"/>
        <color theme="1"/>
        <rFont val="Calibri"/>
        <family val="2"/>
        <scheme val="minor"/>
      </rPr>
      <t>03096</t>
    </r>
    <r>
      <rPr>
        <sz val="10"/>
        <color theme="1"/>
        <rFont val="Calibri"/>
        <family val="2"/>
        <scheme val="minor"/>
      </rPr>
      <t xml:space="preserve"> - School probation
</t>
    </r>
    <r>
      <rPr>
        <b/>
        <sz val="10"/>
        <color theme="1"/>
        <rFont val="Calibri"/>
        <family val="2"/>
        <scheme val="minor"/>
      </rPr>
      <t>13359</t>
    </r>
    <r>
      <rPr>
        <sz val="10"/>
        <color theme="1"/>
        <rFont val="Calibri"/>
        <family val="2"/>
        <scheme val="minor"/>
      </rPr>
      <t xml:space="preserve"> - Seclusion
</t>
    </r>
    <r>
      <rPr>
        <b/>
        <sz val="10"/>
        <color theme="1"/>
        <rFont val="Calibri"/>
        <family val="2"/>
        <scheme val="minor"/>
      </rPr>
      <t>03097</t>
    </r>
    <r>
      <rPr>
        <sz val="10"/>
        <color theme="1"/>
        <rFont val="Calibri"/>
        <family val="2"/>
        <scheme val="minor"/>
      </rPr>
      <t xml:space="preserve"> - Substance abuse counseling mandated
</t>
    </r>
    <r>
      <rPr>
        <b/>
        <sz val="10"/>
        <color theme="1"/>
        <rFont val="Calibri"/>
        <family val="2"/>
        <scheme val="minor"/>
      </rPr>
      <t>03098</t>
    </r>
    <r>
      <rPr>
        <sz val="10"/>
        <color theme="1"/>
        <rFont val="Calibri"/>
        <family val="2"/>
        <scheme val="minor"/>
      </rPr>
      <t xml:space="preserve"> - Substance abuse treatment mandated
</t>
    </r>
    <r>
      <rPr>
        <b/>
        <sz val="10"/>
        <color theme="1"/>
        <rFont val="Calibri"/>
        <family val="2"/>
        <scheme val="minor"/>
      </rPr>
      <t>03099</t>
    </r>
    <r>
      <rPr>
        <sz val="10"/>
        <color theme="1"/>
        <rFont val="Calibri"/>
        <family val="2"/>
        <scheme val="minor"/>
      </rPr>
      <t xml:space="preserve"> - Suspension after school
</t>
    </r>
    <r>
      <rPr>
        <b/>
        <sz val="10"/>
        <color theme="1"/>
        <rFont val="Calibri"/>
        <family val="2"/>
        <scheme val="minor"/>
      </rPr>
      <t>03100</t>
    </r>
    <r>
      <rPr>
        <sz val="10"/>
        <color theme="1"/>
        <rFont val="Calibri"/>
        <family val="2"/>
        <scheme val="minor"/>
      </rPr>
      <t xml:space="preserve"> - Suspension, in-school
</t>
    </r>
    <r>
      <rPr>
        <b/>
        <sz val="10"/>
        <color theme="1"/>
        <rFont val="Calibri"/>
        <family val="2"/>
        <scheme val="minor"/>
      </rPr>
      <t>03154</t>
    </r>
    <r>
      <rPr>
        <sz val="10"/>
        <color theme="1"/>
        <rFont val="Calibri"/>
        <family val="2"/>
        <scheme val="minor"/>
      </rPr>
      <t xml:space="preserve"> - Suspension, out of school, greater than 10 consecutive school days
</t>
    </r>
    <r>
      <rPr>
        <b/>
        <sz val="10"/>
        <color theme="1"/>
        <rFont val="Calibri"/>
        <family val="2"/>
        <scheme val="minor"/>
      </rPr>
      <t>03155</t>
    </r>
    <r>
      <rPr>
        <sz val="10"/>
        <color theme="1"/>
        <rFont val="Calibri"/>
        <family val="2"/>
        <scheme val="minor"/>
      </rPr>
      <t xml:space="preserve"> - Suspension, out of school, separate days cumulating to more than 10 school days
</t>
    </r>
    <r>
      <rPr>
        <b/>
        <sz val="10"/>
        <color theme="1"/>
        <rFont val="Calibri"/>
        <family val="2"/>
        <scheme val="minor"/>
      </rPr>
      <t>03101</t>
    </r>
    <r>
      <rPr>
        <sz val="10"/>
        <color theme="1"/>
        <rFont val="Calibri"/>
        <family val="2"/>
        <scheme val="minor"/>
      </rPr>
      <t xml:space="preserve"> - Suspension, out-of-school, with services
</t>
    </r>
    <r>
      <rPr>
        <b/>
        <sz val="10"/>
        <color theme="1"/>
        <rFont val="Calibri"/>
        <family val="2"/>
        <scheme val="minor"/>
      </rPr>
      <t>03102</t>
    </r>
    <r>
      <rPr>
        <sz val="10"/>
        <color theme="1"/>
        <rFont val="Calibri"/>
        <family val="2"/>
        <scheme val="minor"/>
      </rPr>
      <t xml:space="preserve"> - Suspension, out-of-school, without services
</t>
    </r>
    <r>
      <rPr>
        <b/>
        <sz val="10"/>
        <color theme="1"/>
        <rFont val="Calibri"/>
        <family val="2"/>
        <scheme val="minor"/>
      </rPr>
      <t>03157</t>
    </r>
    <r>
      <rPr>
        <sz val="10"/>
        <color theme="1"/>
        <rFont val="Calibri"/>
        <family val="2"/>
        <scheme val="minor"/>
      </rPr>
      <t xml:space="preserve"> - Unilateral removal - drug incident
</t>
    </r>
    <r>
      <rPr>
        <b/>
        <sz val="10"/>
        <color theme="1"/>
        <rFont val="Calibri"/>
        <family val="2"/>
        <scheme val="minor"/>
      </rPr>
      <t>03156</t>
    </r>
    <r>
      <rPr>
        <sz val="10"/>
        <color theme="1"/>
        <rFont val="Calibri"/>
        <family val="2"/>
        <scheme val="minor"/>
      </rPr>
      <t xml:space="preserve"> - Unilateral removal - weapon incident
</t>
    </r>
    <r>
      <rPr>
        <b/>
        <sz val="10"/>
        <color theme="1"/>
        <rFont val="Calibri"/>
        <family val="2"/>
        <scheme val="minor"/>
      </rPr>
      <t>09997</t>
    </r>
    <r>
      <rPr>
        <sz val="10"/>
        <color theme="1"/>
        <rFont val="Calibri"/>
        <family val="2"/>
        <scheme val="minor"/>
      </rPr>
      <t xml:space="preserve"> - Unknown
</t>
    </r>
    <r>
      <rPr>
        <b/>
        <sz val="10"/>
        <color theme="1"/>
        <rFont val="Calibri"/>
        <family val="2"/>
        <scheme val="minor"/>
      </rPr>
      <t>03103</t>
    </r>
    <r>
      <rPr>
        <sz val="10"/>
        <color theme="1"/>
        <rFont val="Calibri"/>
        <family val="2"/>
        <scheme val="minor"/>
      </rPr>
      <t xml:space="preserve"> - Unsatisfactory behavior grade
</t>
    </r>
    <r>
      <rPr>
        <b/>
        <sz val="10"/>
        <color theme="1"/>
        <rFont val="Calibri"/>
        <family val="2"/>
        <scheme val="minor"/>
      </rPr>
      <t>03104</t>
    </r>
    <r>
      <rPr>
        <sz val="10"/>
        <color theme="1"/>
        <rFont val="Calibri"/>
        <family val="2"/>
        <scheme val="minor"/>
      </rPr>
      <t xml:space="preserve"> - Work detail
</t>
    </r>
  </si>
  <si>
    <t>000488</t>
  </si>
  <si>
    <t>DisciplinaryActionTaken</t>
  </si>
  <si>
    <t>Discipline Action Length Difference Reason</t>
  </si>
  <si>
    <t>The reason for the difference, if any, between the official and actual lengths of a student’s disciplinary assignment.</t>
  </si>
  <si>
    <r>
      <t>01</t>
    </r>
    <r>
      <rPr>
        <sz val="10"/>
        <color theme="1"/>
        <rFont val="Calibri"/>
        <family val="2"/>
        <scheme val="minor"/>
      </rPr>
      <t xml:space="preserve"> - No Difference
</t>
    </r>
    <r>
      <rPr>
        <b/>
        <sz val="10"/>
        <color theme="1"/>
        <rFont val="Calibri"/>
        <family val="2"/>
        <scheme val="minor"/>
      </rPr>
      <t>02</t>
    </r>
    <r>
      <rPr>
        <sz val="10"/>
        <color theme="1"/>
        <rFont val="Calibri"/>
        <family val="2"/>
        <scheme val="minor"/>
      </rPr>
      <t xml:space="preserve"> - Term Modified By District
</t>
    </r>
    <r>
      <rPr>
        <b/>
        <sz val="10"/>
        <color theme="1"/>
        <rFont val="Calibri"/>
        <family val="2"/>
        <scheme val="minor"/>
      </rPr>
      <t>03</t>
    </r>
    <r>
      <rPr>
        <sz val="10"/>
        <color theme="1"/>
        <rFont val="Calibri"/>
        <family val="2"/>
        <scheme val="minor"/>
      </rPr>
      <t xml:space="preserve"> - Term Modified By Court Order
</t>
    </r>
    <r>
      <rPr>
        <b/>
        <sz val="10"/>
        <color theme="1"/>
        <rFont val="Calibri"/>
        <family val="2"/>
        <scheme val="minor"/>
      </rPr>
      <t>04</t>
    </r>
    <r>
      <rPr>
        <sz val="10"/>
        <color theme="1"/>
        <rFont val="Calibri"/>
        <family val="2"/>
        <scheme val="minor"/>
      </rPr>
      <t xml:space="preserve"> - Term Modified By Mutual Agreement
</t>
    </r>
    <r>
      <rPr>
        <b/>
        <sz val="10"/>
        <color theme="1"/>
        <rFont val="Calibri"/>
        <family val="2"/>
        <scheme val="minor"/>
      </rPr>
      <t>05</t>
    </r>
    <r>
      <rPr>
        <sz val="10"/>
        <color theme="1"/>
        <rFont val="Calibri"/>
        <family val="2"/>
        <scheme val="minor"/>
      </rPr>
      <t xml:space="preserve"> - Student Completed Term Requirements Sooner Than Expected
</t>
    </r>
    <r>
      <rPr>
        <b/>
        <sz val="10"/>
        <color theme="1"/>
        <rFont val="Calibri"/>
        <family val="2"/>
        <scheme val="minor"/>
      </rPr>
      <t>06</t>
    </r>
    <r>
      <rPr>
        <sz val="10"/>
        <color theme="1"/>
        <rFont val="Calibri"/>
        <family val="2"/>
        <scheme val="minor"/>
      </rPr>
      <t xml:space="preserve"> - Student Incarcerated
</t>
    </r>
    <r>
      <rPr>
        <b/>
        <sz val="10"/>
        <color theme="1"/>
        <rFont val="Calibri"/>
        <family val="2"/>
        <scheme val="minor"/>
      </rPr>
      <t>07</t>
    </r>
    <r>
      <rPr>
        <sz val="10"/>
        <color theme="1"/>
        <rFont val="Calibri"/>
        <family val="2"/>
        <scheme val="minor"/>
      </rPr>
      <t xml:space="preserve"> - Term Decreased Due To Extenuating Health-Related Circumstances
</t>
    </r>
    <r>
      <rPr>
        <b/>
        <sz val="10"/>
        <color theme="1"/>
        <rFont val="Calibri"/>
        <family val="2"/>
        <scheme val="minor"/>
      </rPr>
      <t>08</t>
    </r>
    <r>
      <rPr>
        <sz val="10"/>
        <color theme="1"/>
        <rFont val="Calibri"/>
        <family val="2"/>
        <scheme val="minor"/>
      </rPr>
      <t xml:space="preserve"> - Student Withdrew From School
</t>
    </r>
    <r>
      <rPr>
        <b/>
        <sz val="10"/>
        <color theme="1"/>
        <rFont val="Calibri"/>
        <family val="2"/>
        <scheme val="minor"/>
      </rPr>
      <t>09</t>
    </r>
    <r>
      <rPr>
        <sz val="10"/>
        <color theme="1"/>
        <rFont val="Calibri"/>
        <family val="2"/>
        <scheme val="minor"/>
      </rPr>
      <t xml:space="preserve"> - School Year Ended
</t>
    </r>
    <r>
      <rPr>
        <b/>
        <sz val="10"/>
        <color theme="1"/>
        <rFont val="Calibri"/>
        <family val="2"/>
        <scheme val="minor"/>
      </rPr>
      <t>10</t>
    </r>
    <r>
      <rPr>
        <sz val="10"/>
        <color theme="1"/>
        <rFont val="Calibri"/>
        <family val="2"/>
        <scheme val="minor"/>
      </rPr>
      <t xml:space="preserve"> - Continuation Of Previous Year's Disciplinary Action Assignment
</t>
    </r>
    <r>
      <rPr>
        <b/>
        <sz val="10"/>
        <color theme="1"/>
        <rFont val="Calibri"/>
        <family val="2"/>
        <scheme val="minor"/>
      </rPr>
      <t>11</t>
    </r>
    <r>
      <rPr>
        <sz val="10"/>
        <color theme="1"/>
        <rFont val="Calibri"/>
        <family val="2"/>
        <scheme val="minor"/>
      </rPr>
      <t xml:space="preserve"> - Term Modified By Placement Program Due To Student Behavior While In The Placement
</t>
    </r>
    <r>
      <rPr>
        <b/>
        <sz val="10"/>
        <color theme="1"/>
        <rFont val="Calibri"/>
        <family val="2"/>
        <scheme val="minor"/>
      </rPr>
      <t>12</t>
    </r>
    <r>
      <rPr>
        <sz val="10"/>
        <color theme="1"/>
        <rFont val="Calibri"/>
        <family val="2"/>
        <scheme val="minor"/>
      </rPr>
      <t xml:space="preserve"> - Other
</t>
    </r>
  </si>
  <si>
    <t>000609</t>
  </si>
  <si>
    <t>DisciplineActionLengthDifferenceReason</t>
  </si>
  <si>
    <t>Discipline Method for Firearms Incidents</t>
  </si>
  <si>
    <t>The method used to discipline students who are not children with disabilities (IDEA) involved in firearms and other outcomes of firearms incidents.</t>
  </si>
  <si>
    <r>
      <t>EXPNOTMODNOALT</t>
    </r>
    <r>
      <rPr>
        <sz val="10"/>
        <color theme="1"/>
        <rFont val="Calibri"/>
        <family val="2"/>
        <scheme val="minor"/>
      </rPr>
      <t xml:space="preserve"> - One year expulsion and no educational services
</t>
    </r>
    <r>
      <rPr>
        <b/>
        <sz val="10"/>
        <color theme="1"/>
        <rFont val="Calibri"/>
        <family val="2"/>
        <scheme val="minor"/>
      </rPr>
      <t>EXPMODALT</t>
    </r>
    <r>
      <rPr>
        <sz val="10"/>
        <color theme="1"/>
        <rFont val="Calibri"/>
        <family val="2"/>
        <scheme val="minor"/>
      </rPr>
      <t xml:space="preserve"> - Expulsion modified to less than one year with educational services
</t>
    </r>
    <r>
      <rPr>
        <b/>
        <sz val="10"/>
        <color theme="1"/>
        <rFont val="Calibri"/>
        <family val="2"/>
        <scheme val="minor"/>
      </rPr>
      <t>EXPMODNOALT</t>
    </r>
    <r>
      <rPr>
        <sz val="10"/>
        <color theme="1"/>
        <rFont val="Calibri"/>
        <family val="2"/>
        <scheme val="minor"/>
      </rPr>
      <t xml:space="preserve"> - Expulsion modified to less than one year without educational services
</t>
    </r>
    <r>
      <rPr>
        <b/>
        <sz val="10"/>
        <color theme="1"/>
        <rFont val="Calibri"/>
        <family val="2"/>
        <scheme val="minor"/>
      </rPr>
      <t>EXPALT</t>
    </r>
    <r>
      <rPr>
        <sz val="10"/>
        <color theme="1"/>
        <rFont val="Calibri"/>
        <family val="2"/>
        <scheme val="minor"/>
      </rPr>
      <t xml:space="preserve"> - One year expulsion and educational services
</t>
    </r>
    <r>
      <rPr>
        <b/>
        <sz val="10"/>
        <color theme="1"/>
        <rFont val="Calibri"/>
        <family val="2"/>
        <scheme val="minor"/>
      </rPr>
      <t>REMOVEOTHER</t>
    </r>
    <r>
      <rPr>
        <sz val="10"/>
        <color theme="1"/>
        <rFont val="Calibri"/>
        <family val="2"/>
        <scheme val="minor"/>
      </rPr>
      <t xml:space="preserve"> - Other reasons such as death, withdrawal, or incarceration
</t>
    </r>
    <r>
      <rPr>
        <b/>
        <sz val="10"/>
        <color theme="1"/>
        <rFont val="Calibri"/>
        <family val="2"/>
        <scheme val="minor"/>
      </rPr>
      <t>OTHERDISACTION</t>
    </r>
    <r>
      <rPr>
        <sz val="10"/>
        <color theme="1"/>
        <rFont val="Calibri"/>
        <family val="2"/>
        <scheme val="minor"/>
      </rPr>
      <t xml:space="preserve"> - Another type of disciplinary action
</t>
    </r>
    <r>
      <rPr>
        <b/>
        <sz val="10"/>
        <color theme="1"/>
        <rFont val="Calibri"/>
        <family val="2"/>
        <scheme val="minor"/>
      </rPr>
      <t>NOACTION</t>
    </r>
    <r>
      <rPr>
        <sz val="10"/>
        <color theme="1"/>
        <rFont val="Calibri"/>
        <family val="2"/>
        <scheme val="minor"/>
      </rPr>
      <t xml:space="preserve"> - No disciplinary action taken
</t>
    </r>
  </si>
  <si>
    <t>000555</t>
  </si>
  <si>
    <t>DisciplineMethodForFirearmsIncidents</t>
  </si>
  <si>
    <t>Discipline Method of Children with Disabilities</t>
  </si>
  <si>
    <t>The type of suspension or expulsion used for the discipline of children with disabilities.</t>
  </si>
  <si>
    <r>
      <t>OutOfSchool</t>
    </r>
    <r>
      <rPr>
        <sz val="10"/>
        <color theme="1"/>
        <rFont val="Calibri"/>
        <family val="2"/>
        <scheme val="minor"/>
      </rPr>
      <t xml:space="preserve"> - Out of School Suspensions/Expulsions
</t>
    </r>
    <r>
      <rPr>
        <b/>
        <sz val="10"/>
        <color theme="1"/>
        <rFont val="Calibri"/>
        <family val="2"/>
        <scheme val="minor"/>
      </rPr>
      <t>InSchool</t>
    </r>
    <r>
      <rPr>
        <sz val="10"/>
        <color theme="1"/>
        <rFont val="Calibri"/>
        <family val="2"/>
        <scheme val="minor"/>
      </rPr>
      <t xml:space="preserve"> - In School Suspensions
</t>
    </r>
  </si>
  <si>
    <t>000538</t>
  </si>
  <si>
    <t>DisciplineMethodOfChildrenWithDisabilities</t>
  </si>
  <si>
    <t>Discipline Reason</t>
  </si>
  <si>
    <t>The reason why the student was disciplined.</t>
  </si>
  <si>
    <r>
      <t>DrugRelated</t>
    </r>
    <r>
      <rPr>
        <sz val="10"/>
        <color theme="1"/>
        <rFont val="Calibri"/>
        <family val="2"/>
        <scheme val="minor"/>
      </rPr>
      <t xml:space="preserve"> - Illicit drug related
</t>
    </r>
    <r>
      <rPr>
        <b/>
        <sz val="10"/>
        <color theme="1"/>
        <rFont val="Calibri"/>
        <family val="2"/>
        <scheme val="minor"/>
      </rPr>
      <t>AlcoholRelated</t>
    </r>
    <r>
      <rPr>
        <sz val="10"/>
        <color theme="1"/>
        <rFont val="Calibri"/>
        <family val="2"/>
        <scheme val="minor"/>
      </rPr>
      <t xml:space="preserve"> - Alcohol related
</t>
    </r>
    <r>
      <rPr>
        <b/>
        <sz val="10"/>
        <color theme="1"/>
        <rFont val="Calibri"/>
        <family val="2"/>
        <scheme val="minor"/>
      </rPr>
      <t>WeaponsPossession</t>
    </r>
    <r>
      <rPr>
        <sz val="10"/>
        <color theme="1"/>
        <rFont val="Calibri"/>
        <family val="2"/>
        <scheme val="minor"/>
      </rPr>
      <t xml:space="preserve"> - Weapons possession
</t>
    </r>
    <r>
      <rPr>
        <b/>
        <sz val="10"/>
        <color theme="1"/>
        <rFont val="Calibri"/>
        <family val="2"/>
        <scheme val="minor"/>
      </rPr>
      <t>WithPhysicalInjury</t>
    </r>
    <r>
      <rPr>
        <sz val="10"/>
        <color theme="1"/>
        <rFont val="Calibri"/>
        <family val="2"/>
        <scheme val="minor"/>
      </rPr>
      <t xml:space="preserve"> - Violent Incident (with Physical Injury)
</t>
    </r>
    <r>
      <rPr>
        <b/>
        <sz val="10"/>
        <color theme="1"/>
        <rFont val="Calibri"/>
        <family val="2"/>
        <scheme val="minor"/>
      </rPr>
      <t>WithoutPhysicalInjury</t>
    </r>
    <r>
      <rPr>
        <sz val="10"/>
        <color theme="1"/>
        <rFont val="Calibri"/>
        <family val="2"/>
        <scheme val="minor"/>
      </rPr>
      <t xml:space="preserve"> - Violent Incident (without Physical Injury)
</t>
    </r>
    <r>
      <rPr>
        <b/>
        <sz val="10"/>
        <color theme="1"/>
        <rFont val="Calibri"/>
        <family val="2"/>
        <scheme val="minor"/>
      </rPr>
      <t>Other</t>
    </r>
    <r>
      <rPr>
        <sz val="10"/>
        <color theme="1"/>
        <rFont val="Calibri"/>
        <family val="2"/>
        <scheme val="minor"/>
      </rPr>
      <t xml:space="preserve"> - Other reasons for out of school suspensions related to drug use and violence
</t>
    </r>
  </si>
  <si>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</si>
  <si>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</si>
  <si>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</si>
  <si>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</si>
  <si>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Adult Education -&gt; AE Student -&gt; Status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</si>
  <si>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</si>
  <si>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</si>
  <si>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</si>
  <si>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</si>
  <si>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</si>
  <si>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</si>
  <si>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</si>
  <si>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</si>
  <si>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</si>
  <si>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r>
      <t>EnrolledExclusively</t>
    </r>
    <r>
      <rPr>
        <sz val="10"/>
        <color theme="1"/>
        <rFont val="Calibri"/>
        <family val="2"/>
        <scheme val="minor"/>
      </rPr>
      <t xml:space="preserve"> - Enrolled exclusively in distance education courses
</t>
    </r>
    <r>
      <rPr>
        <b/>
        <sz val="10"/>
        <color theme="1"/>
        <rFont val="Calibri"/>
        <family val="2"/>
        <scheme val="minor"/>
      </rPr>
      <t>EnrolledInSome</t>
    </r>
    <r>
      <rPr>
        <sz val="10"/>
        <color theme="1"/>
        <rFont val="Calibri"/>
        <family val="2"/>
        <scheme val="minor"/>
      </rPr>
      <t xml:space="preserve"> - Enrolled in some but not all distance education courses
</t>
    </r>
    <r>
      <rPr>
        <b/>
        <sz val="10"/>
        <color theme="1"/>
        <rFont val="Calibri"/>
        <family val="2"/>
        <scheme val="minor"/>
      </rPr>
      <t>NotEnrolled</t>
    </r>
    <r>
      <rPr>
        <sz val="10"/>
        <color theme="1"/>
        <rFont val="Calibri"/>
        <family val="2"/>
        <scheme val="minor"/>
      </rPr>
      <t xml:space="preserve"> - Not enrolled in distance education courses
</t>
    </r>
  </si>
  <si>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</si>
  <si>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</si>
  <si>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</si>
  <si>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</si>
  <si>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</si>
  <si>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</si>
  <si>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</si>
  <si>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Postsecondary -&gt; PS Institution -&gt; Program
Postsecondary -&gt; PS Student -&gt; Institution Enrollment -&gt; Program</t>
  </si>
  <si>
    <t>001323</t>
  </si>
  <si>
    <t>DistanceEducationProgramEnrollmentIndicator</t>
  </si>
  <si>
    <t>Do Not Publish Indicator</t>
  </si>
  <si>
    <t>An indication that the record should not be published.</t>
  </si>
  <si>
    <t>Adult Education -&gt; AE Staff -&gt; Contact -&gt; Address (added)
Adult Education -&gt; AE Staff -&gt; Contact -&gt; Email (added)
Adult Education -&gt; AE Staff -&gt; Contact -&gt; Telephone (added)
Adult Education -&gt; AE Student -&gt; Contact -&gt; Address (added)
Adult Education -&gt; AE Student -&gt; Contact -&gt; Email (added)
Adult Education -&gt; AE Student -&gt; Contact -&gt; Telephone (added)
Career and Technical -&gt; CTE Staff -&gt; Contact -&gt; Address (added)
Career and Technical -&gt; CTE Staff -&gt; Contact -&gt; Email (added)
Career and Technical -&gt; CTE Staff -&gt; Contact -&gt; Telephone (added)
Career and Technical -&gt; CTE Student -&gt; Contact -&gt; Address (added)
Career and Technical -&gt; CTE Student -&gt; Contact -&gt; Email (added)
Career and Technical -&gt; CTE Student -&gt; Contact -&gt; Telephone (added)
Early Learning -&gt; EL Child -&gt; Contact -&gt; Address (added)
Early Learning -&gt; EL Child -&gt; Contact -&gt; Telephone (added)
Early Learning -&gt; EL Organization -&gt; Address (added)
Early Learning -&gt; EL Organization -&gt; Contact -&gt; Address (added)
Early Learning -&gt; EL Organization -&gt; Contact -&gt; Email (added)
Early Learning -&gt; EL Organization -&gt; Contact -&gt; Telephone (added)
Early Learning -&gt; EL Organization -&gt; Telephone (added)
Early Learning -&gt; EL Staff -&gt; Contact -&gt; Address (added)
Early Learning -&gt; EL Staff -&gt; Contact -&gt; Email (added)
Early Learning -&gt; EL Staff -&gt; Contact -&gt; Telephone (added)
Early Learning -&gt; EL Staff -&gt; Professional Development -&gt; Instructor (added)
Early Learning -&gt; EL Staff -&gt; Professional Development Activity -&gt; Session - Location (added)
Early Learning -&gt; Parent/Guardian -&gt; Contact -&gt; Address (added)
Early Learning -&gt; Parent/Guardian -&gt; Contact -&gt; Email (added)
Early Learning -&gt; Parent/Guardian</t>
  </si>
  <si>
    <t>001928</t>
  </si>
  <si>
    <t>DoNotPublishIndicator</t>
  </si>
  <si>
    <t>Doctoral Candidacy Admit Indicator</t>
  </si>
  <si>
    <t>The individual's status in being admitted as a doctoral candidate.</t>
  </si>
  <si>
    <r>
      <t>True</t>
    </r>
    <r>
      <rPr>
        <sz val="10"/>
        <color theme="1"/>
        <rFont val="Calibri"/>
        <family val="2"/>
        <scheme val="minor"/>
      </rPr>
      <t xml:space="preserve"> - Student was admitted as a doctoral candidate
</t>
    </r>
    <r>
      <rPr>
        <b/>
        <sz val="10"/>
        <color theme="1"/>
        <rFont val="Calibri"/>
        <family val="2"/>
        <scheme val="minor"/>
      </rPr>
      <t>False</t>
    </r>
    <r>
      <rPr>
        <sz val="10"/>
        <color theme="1"/>
        <rFont val="Calibri"/>
        <family val="2"/>
        <scheme val="minor"/>
      </rPr>
      <t xml:space="preserve"> - Student was not admitted as a doctoral candidate
</t>
    </r>
  </si>
  <si>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</si>
  <si>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</si>
  <si>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</si>
  <si>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</si>
  <si>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</si>
  <si>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</si>
  <si>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</si>
  <si>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</si>
  <si>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</si>
  <si>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</si>
  <si>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</si>
  <si>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</si>
  <si>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</si>
  <si>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r>
      <t>Qualifying</t>
    </r>
    <r>
      <rPr>
        <sz val="10"/>
        <color theme="1"/>
        <rFont val="Calibri"/>
        <family val="2"/>
        <scheme val="minor"/>
      </rPr>
      <t xml:space="preserve"> - Qualifying exam
</t>
    </r>
    <r>
      <rPr>
        <b/>
        <sz val="10"/>
        <color theme="1"/>
        <rFont val="Calibri"/>
        <family val="2"/>
        <scheme val="minor"/>
      </rPr>
      <t>OralComprehensive</t>
    </r>
    <r>
      <rPr>
        <sz val="10"/>
        <color theme="1"/>
        <rFont val="Calibri"/>
        <family val="2"/>
        <scheme val="minor"/>
      </rPr>
      <t xml:space="preserve"> - Oral comprehensive exam
</t>
    </r>
    <r>
      <rPr>
        <b/>
        <sz val="10"/>
        <color theme="1"/>
        <rFont val="Calibri"/>
        <family val="2"/>
        <scheme val="minor"/>
      </rPr>
      <t>WrittenComprehensive</t>
    </r>
    <r>
      <rPr>
        <sz val="10"/>
        <color theme="1"/>
        <rFont val="Calibri"/>
        <family val="2"/>
        <scheme val="minor"/>
      </rPr>
      <t xml:space="preserve"> - Written comprehensive exam
</t>
    </r>
    <r>
      <rPr>
        <b/>
        <sz val="10"/>
        <color theme="1"/>
        <rFont val="Calibri"/>
        <family val="2"/>
        <scheme val="minor"/>
      </rPr>
      <t>Candidacy</t>
    </r>
    <r>
      <rPr>
        <sz val="10"/>
        <color theme="1"/>
        <rFont val="Calibri"/>
        <family val="2"/>
        <scheme val="minor"/>
      </rPr>
      <t xml:space="preserve"> - Candidacy exam
</t>
    </r>
    <r>
      <rPr>
        <b/>
        <sz val="10"/>
        <color theme="1"/>
        <rFont val="Calibri"/>
        <family val="2"/>
        <scheme val="minor"/>
      </rPr>
      <t>Other</t>
    </r>
    <r>
      <rPr>
        <sz val="10"/>
        <color theme="1"/>
        <rFont val="Calibri"/>
        <family val="2"/>
        <scheme val="minor"/>
      </rPr>
      <t xml:space="preserve"> - Other departmental or institutional exam
</t>
    </r>
  </si>
  <si>
    <t>001327</t>
  </si>
  <si>
    <t>DoctoralExamsRequiredType</t>
  </si>
  <si>
    <t>DQP Categories of Learning</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</si>
  <si>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</si>
  <si>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r>
      <t>SpecializedKnowledge</t>
    </r>
    <r>
      <rPr>
        <sz val="10"/>
        <color theme="1"/>
        <rFont val="Calibri"/>
        <family val="2"/>
        <scheme val="minor"/>
      </rPr>
      <t xml:space="preserve"> - Specialized Knowledge
</t>
    </r>
    <r>
      <rPr>
        <b/>
        <sz val="10"/>
        <color theme="1"/>
        <rFont val="Calibri"/>
        <family val="2"/>
        <scheme val="minor"/>
      </rPr>
      <t>BroadAndIntegrativeKnowledge</t>
    </r>
    <r>
      <rPr>
        <sz val="10"/>
        <color theme="1"/>
        <rFont val="Calibri"/>
        <family val="2"/>
        <scheme val="minor"/>
      </rPr>
      <t xml:space="preserve"> - Broad and Integrative Knowledge
</t>
    </r>
    <r>
      <rPr>
        <b/>
        <sz val="10"/>
        <color theme="1"/>
        <rFont val="Calibri"/>
        <family val="2"/>
        <scheme val="minor"/>
      </rPr>
      <t>IntellectualSkills</t>
    </r>
    <r>
      <rPr>
        <sz val="10"/>
        <color theme="1"/>
        <rFont val="Calibri"/>
        <family val="2"/>
        <scheme val="minor"/>
      </rPr>
      <t xml:space="preserve"> - Intellectual Skills
</t>
    </r>
    <r>
      <rPr>
        <b/>
        <sz val="10"/>
        <color theme="1"/>
        <rFont val="Calibri"/>
        <family val="2"/>
        <scheme val="minor"/>
      </rPr>
      <t>AppliedAndCollaborativeLearning</t>
    </r>
    <r>
      <rPr>
        <sz val="10"/>
        <color theme="1"/>
        <rFont val="Calibri"/>
        <family val="2"/>
        <scheme val="minor"/>
      </rPr>
      <t xml:space="preserve"> - Applied and Collaborative Learning
</t>
    </r>
    <r>
      <rPr>
        <b/>
        <sz val="10"/>
        <color theme="1"/>
        <rFont val="Calibri"/>
        <family val="2"/>
        <scheme val="minor"/>
      </rPr>
      <t>CivicAndGlobalLearning</t>
    </r>
    <r>
      <rPr>
        <sz val="10"/>
        <color theme="1"/>
        <rFont val="Calibri"/>
        <family val="2"/>
        <scheme val="minor"/>
      </rPr>
      <t xml:space="preserve"> - Civic and Global Learning
</t>
    </r>
  </si>
  <si>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</si>
  <si>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Based on the Degree Qualifications Profile.</t>
  </si>
  <si>
    <t>001641</t>
  </si>
  <si>
    <t>DQPCategoriesOfLearning</t>
  </si>
  <si>
    <t>Dual Credit Dual Enrollment Credits Awarded</t>
  </si>
  <si>
    <t>The number of credits awarded a student by the postsecondary institution based on successful completion of dual credit/dual enrollment courses.</t>
  </si>
  <si>
    <t>000085</t>
  </si>
  <si>
    <t>DualCreditDualEnrollmentCreditsAwarded</t>
  </si>
  <si>
    <t>Duration Length in Minutes</t>
  </si>
  <si>
    <t>The number of minutes in an instance.</t>
  </si>
  <si>
    <t>001716</t>
  </si>
  <si>
    <t>DurationLengthinMinutes</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</si>
  <si>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</si>
  <si>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</si>
  <si>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</si>
  <si>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</si>
  <si>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</si>
  <si>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</si>
  <si>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r>
      <t>ChildDevelopmentAssociate</t>
    </r>
    <r>
      <rPr>
        <sz val="10"/>
        <color theme="1"/>
        <rFont val="Calibri"/>
        <family val="2"/>
        <scheme val="minor"/>
      </rPr>
      <t xml:space="preserve"> - Child Development Associate (CDA)
</t>
    </r>
    <r>
      <rPr>
        <b/>
        <sz val="10"/>
        <color theme="1"/>
        <rFont val="Calibri"/>
        <family val="2"/>
        <scheme val="minor"/>
      </rPr>
      <t>DirectorsLevelCredential</t>
    </r>
    <r>
      <rPr>
        <sz val="10"/>
        <color theme="1"/>
        <rFont val="Calibri"/>
        <family val="2"/>
        <scheme val="minor"/>
      </rPr>
      <t xml:space="preserve"> - Directors Level Credential
</t>
    </r>
    <r>
      <rPr>
        <b/>
        <sz val="10"/>
        <color theme="1"/>
        <rFont val="Calibri"/>
        <family val="2"/>
        <scheme val="minor"/>
      </rPr>
      <t>StateInfantToddler</t>
    </r>
    <r>
      <rPr>
        <sz val="10"/>
        <color theme="1"/>
        <rFont val="Calibri"/>
        <family val="2"/>
        <scheme val="minor"/>
      </rPr>
      <t xml:space="preserve"> - State Awarded Credential for Infant/Toddler
</t>
    </r>
    <r>
      <rPr>
        <b/>
        <sz val="10"/>
        <color theme="1"/>
        <rFont val="Calibri"/>
        <family val="2"/>
        <scheme val="minor"/>
      </rPr>
      <t>StatePreschool</t>
    </r>
    <r>
      <rPr>
        <sz val="10"/>
        <color theme="1"/>
        <rFont val="Calibri"/>
        <family val="2"/>
        <scheme val="minor"/>
      </rPr>
      <t xml:space="preserve"> - State Awarded Preschool Credential
</t>
    </r>
    <r>
      <rPr>
        <b/>
        <sz val="10"/>
        <color theme="1"/>
        <rFont val="Calibri"/>
        <family val="2"/>
        <scheme val="minor"/>
      </rPr>
      <t>StateSchoolAge</t>
    </r>
    <r>
      <rPr>
        <sz val="10"/>
        <color theme="1"/>
        <rFont val="Calibri"/>
        <family val="2"/>
        <scheme val="minor"/>
      </rPr>
      <t xml:space="preserve"> - State Awarded School-Age Credential
</t>
    </r>
    <r>
      <rPr>
        <b/>
        <sz val="10"/>
        <color theme="1"/>
        <rFont val="Calibri"/>
        <family val="2"/>
        <scheme val="minor"/>
      </rPr>
      <t>Other</t>
    </r>
    <r>
      <rPr>
        <sz val="10"/>
        <color theme="1"/>
        <rFont val="Calibri"/>
        <family val="2"/>
        <scheme val="minor"/>
      </rPr>
      <t xml:space="preserve"> - Other
</t>
    </r>
  </si>
  <si>
    <t>000345</t>
  </si>
  <si>
    <t>EarlyChildhoodCredential</t>
  </si>
  <si>
    <t>Early Childhood Degree or Certificate Holder</t>
  </si>
  <si>
    <t>Staff has a degree in early childhood regardless of level.</t>
  </si>
  <si>
    <t>Early Learning -&gt; EL Staff -&gt; Education</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</si>
  <si>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</si>
  <si>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</si>
  <si>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</si>
  <si>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</si>
  <si>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Early Learning -&gt; EL Child -&gt; Services</t>
  </si>
  <si>
    <t>001591</t>
  </si>
  <si>
    <t>EarlyChildhoodEducationAndAssistanceProgramEligibility</t>
  </si>
  <si>
    <t>Early Childhood Program Enrollment Type</t>
  </si>
  <si>
    <t>The system outlining activities and procedures based on a set of required services and standards in which the child is enrolled.</t>
  </si>
  <si>
    <r>
      <t>HeadStart</t>
    </r>
    <r>
      <rPr>
        <sz val="10"/>
        <color theme="1"/>
        <rFont val="Calibri"/>
        <family val="2"/>
        <scheme val="minor"/>
      </rPr>
      <t xml:space="preserve"> - Head Start
</t>
    </r>
    <r>
      <rPr>
        <b/>
        <sz val="10"/>
        <color theme="1"/>
        <rFont val="Calibri"/>
        <family val="2"/>
        <scheme val="minor"/>
      </rPr>
      <t>EarlyHeadStart</t>
    </r>
    <r>
      <rPr>
        <sz val="10"/>
        <color theme="1"/>
        <rFont val="Calibri"/>
        <family val="2"/>
        <scheme val="minor"/>
      </rPr>
      <t xml:space="preserve"> - Early Head Start
</t>
    </r>
    <r>
      <rPr>
        <b/>
        <sz val="10"/>
        <color theme="1"/>
        <rFont val="Calibri"/>
        <family val="2"/>
        <scheme val="minor"/>
      </rPr>
      <t>StatePreschool</t>
    </r>
    <r>
      <rPr>
        <sz val="10"/>
        <color theme="1"/>
        <rFont val="Calibri"/>
        <family val="2"/>
        <scheme val="minor"/>
      </rPr>
      <t xml:space="preserve"> - State Preschool
</t>
    </r>
    <r>
      <rPr>
        <b/>
        <sz val="10"/>
        <color theme="1"/>
        <rFont val="Calibri"/>
        <family val="2"/>
        <scheme val="minor"/>
      </rPr>
      <t>PublicPreschool</t>
    </r>
    <r>
      <rPr>
        <sz val="10"/>
        <color theme="1"/>
        <rFont val="Calibri"/>
        <family val="2"/>
        <scheme val="minor"/>
      </rPr>
      <t xml:space="preserve"> - Public Preschool
</t>
    </r>
    <r>
      <rPr>
        <b/>
        <sz val="10"/>
        <color theme="1"/>
        <rFont val="Calibri"/>
        <family val="2"/>
        <scheme val="minor"/>
      </rPr>
      <t>PrivatePreschool</t>
    </r>
    <r>
      <rPr>
        <sz val="10"/>
        <color theme="1"/>
        <rFont val="Calibri"/>
        <family val="2"/>
        <scheme val="minor"/>
      </rPr>
      <t xml:space="preserve"> - Private Preschool
</t>
    </r>
    <r>
      <rPr>
        <b/>
        <sz val="10"/>
        <color theme="1"/>
        <rFont val="Calibri"/>
        <family val="2"/>
        <scheme val="minor"/>
      </rPr>
      <t>EarlyChildhoodSpecialEducation</t>
    </r>
    <r>
      <rPr>
        <sz val="10"/>
        <color theme="1"/>
        <rFont val="Calibri"/>
        <family val="2"/>
        <scheme val="minor"/>
      </rPr>
      <t xml:space="preserve"> - Early Childhood Special Education (619)
</t>
    </r>
    <r>
      <rPr>
        <b/>
        <sz val="10"/>
        <color theme="1"/>
        <rFont val="Calibri"/>
        <family val="2"/>
        <scheme val="minor"/>
      </rPr>
      <t>HomeVisiting</t>
    </r>
    <r>
      <rPr>
        <sz val="10"/>
        <color theme="1"/>
        <rFont val="Calibri"/>
        <family val="2"/>
        <scheme val="minor"/>
      </rPr>
      <t xml:space="preserve"> - Home Visiting
</t>
    </r>
    <r>
      <rPr>
        <b/>
        <sz val="10"/>
        <color theme="1"/>
        <rFont val="Calibri"/>
        <family val="2"/>
        <scheme val="minor"/>
      </rPr>
      <t>ChildCare</t>
    </r>
    <r>
      <rPr>
        <sz val="10"/>
        <color theme="1"/>
        <rFont val="Calibri"/>
        <family val="2"/>
        <scheme val="minor"/>
      </rPr>
      <t xml:space="preserve"> - Child Care
</t>
    </r>
    <r>
      <rPr>
        <b/>
        <sz val="10"/>
        <color theme="1"/>
        <rFont val="Calibri"/>
        <family val="2"/>
        <scheme val="minor"/>
      </rPr>
      <t>EarlyInterventionPartC</t>
    </r>
    <r>
      <rPr>
        <sz val="10"/>
        <color theme="1"/>
        <rFont val="Calibri"/>
        <family val="2"/>
        <scheme val="minor"/>
      </rPr>
      <t xml:space="preserve"> - Early Intervention Services Part C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None</t>
    </r>
    <r>
      <rPr>
        <sz val="10"/>
        <color theme="1"/>
        <rFont val="Calibri"/>
        <family val="2"/>
        <scheme val="minor"/>
      </rPr>
      <t xml:space="preserve"> - None
</t>
    </r>
  </si>
  <si>
    <t>000829</t>
  </si>
  <si>
    <t>EarlyChildhoodProgramEnrollmentType</t>
  </si>
  <si>
    <t>Early Childhood Services Offered</t>
  </si>
  <si>
    <t>A type of service offered by an organization that adapts the curriculum, materials, or instruction for students identified as needing additional resources.</t>
  </si>
  <si>
    <r>
      <t>01</t>
    </r>
    <r>
      <rPr>
        <sz val="10"/>
        <color theme="1"/>
        <rFont val="Calibri"/>
        <family val="2"/>
        <scheme val="minor"/>
      </rPr>
      <t xml:space="preserve"> - Assistive technology services
</t>
    </r>
    <r>
      <rPr>
        <b/>
        <sz val="10"/>
        <color theme="1"/>
        <rFont val="Calibri"/>
        <family val="2"/>
        <scheme val="minor"/>
      </rPr>
      <t>02</t>
    </r>
    <r>
      <rPr>
        <sz val="10"/>
        <color theme="1"/>
        <rFont val="Calibri"/>
        <family val="2"/>
        <scheme val="minor"/>
      </rPr>
      <t xml:space="preserve"> - Audiology services
</t>
    </r>
    <r>
      <rPr>
        <b/>
        <sz val="10"/>
        <color theme="1"/>
        <rFont val="Calibri"/>
        <family val="2"/>
        <scheme val="minor"/>
      </rPr>
      <t>03</t>
    </r>
    <r>
      <rPr>
        <sz val="10"/>
        <color theme="1"/>
        <rFont val="Calibri"/>
        <family val="2"/>
        <scheme val="minor"/>
      </rPr>
      <t xml:space="preserve"> - Family training/counseling services
</t>
    </r>
    <r>
      <rPr>
        <b/>
        <sz val="10"/>
        <color theme="1"/>
        <rFont val="Calibri"/>
        <family val="2"/>
        <scheme val="minor"/>
      </rPr>
      <t>04</t>
    </r>
    <r>
      <rPr>
        <sz val="10"/>
        <color theme="1"/>
        <rFont val="Calibri"/>
        <family val="2"/>
        <scheme val="minor"/>
      </rPr>
      <t xml:space="preserve"> - Health services
</t>
    </r>
    <r>
      <rPr>
        <b/>
        <sz val="10"/>
        <color theme="1"/>
        <rFont val="Calibri"/>
        <family val="2"/>
        <scheme val="minor"/>
      </rPr>
      <t>05</t>
    </r>
    <r>
      <rPr>
        <sz val="10"/>
        <color theme="1"/>
        <rFont val="Calibri"/>
        <family val="2"/>
        <scheme val="minor"/>
      </rPr>
      <t xml:space="preserve"> - Medical services
</t>
    </r>
    <r>
      <rPr>
        <b/>
        <sz val="10"/>
        <color theme="1"/>
        <rFont val="Calibri"/>
        <family val="2"/>
        <scheme val="minor"/>
      </rPr>
      <t>06</t>
    </r>
    <r>
      <rPr>
        <sz val="10"/>
        <color theme="1"/>
        <rFont val="Calibri"/>
        <family val="2"/>
        <scheme val="minor"/>
      </rPr>
      <t xml:space="preserve"> - Nursing services
</t>
    </r>
    <r>
      <rPr>
        <b/>
        <sz val="10"/>
        <color theme="1"/>
        <rFont val="Calibri"/>
        <family val="2"/>
        <scheme val="minor"/>
      </rPr>
      <t>07</t>
    </r>
    <r>
      <rPr>
        <sz val="10"/>
        <color theme="1"/>
        <rFont val="Calibri"/>
        <family val="2"/>
        <scheme val="minor"/>
      </rPr>
      <t xml:space="preserve"> - Nutrition services
</t>
    </r>
    <r>
      <rPr>
        <b/>
        <sz val="10"/>
        <color theme="1"/>
        <rFont val="Calibri"/>
        <family val="2"/>
        <scheme val="minor"/>
      </rPr>
      <t>08</t>
    </r>
    <r>
      <rPr>
        <sz val="10"/>
        <color theme="1"/>
        <rFont val="Calibri"/>
        <family val="2"/>
        <scheme val="minor"/>
      </rPr>
      <t xml:space="preserve"> - Occupational therapy
</t>
    </r>
    <r>
      <rPr>
        <b/>
        <sz val="10"/>
        <color theme="1"/>
        <rFont val="Calibri"/>
        <family val="2"/>
        <scheme val="minor"/>
      </rPr>
      <t>09</t>
    </r>
    <r>
      <rPr>
        <sz val="10"/>
        <color theme="1"/>
        <rFont val="Calibri"/>
        <family val="2"/>
        <scheme val="minor"/>
      </rPr>
      <t xml:space="preserve"> - Physical therapy
</t>
    </r>
    <r>
      <rPr>
        <b/>
        <sz val="10"/>
        <color theme="1"/>
        <rFont val="Calibri"/>
        <family val="2"/>
        <scheme val="minor"/>
      </rPr>
      <t>10</t>
    </r>
    <r>
      <rPr>
        <sz val="10"/>
        <color theme="1"/>
        <rFont val="Calibri"/>
        <family val="2"/>
        <scheme val="minor"/>
      </rPr>
      <t xml:space="preserve"> - Psychological services
</t>
    </r>
    <r>
      <rPr>
        <b/>
        <sz val="10"/>
        <color theme="1"/>
        <rFont val="Calibri"/>
        <family val="2"/>
        <scheme val="minor"/>
      </rPr>
      <t>11</t>
    </r>
    <r>
      <rPr>
        <sz val="10"/>
        <color theme="1"/>
        <rFont val="Calibri"/>
        <family val="2"/>
        <scheme val="minor"/>
      </rPr>
      <t xml:space="preserve"> - Sign language and cued language services
</t>
    </r>
    <r>
      <rPr>
        <b/>
        <sz val="10"/>
        <color theme="1"/>
        <rFont val="Calibri"/>
        <family val="2"/>
        <scheme val="minor"/>
      </rPr>
      <t>12</t>
    </r>
    <r>
      <rPr>
        <sz val="10"/>
        <color theme="1"/>
        <rFont val="Calibri"/>
        <family val="2"/>
        <scheme val="minor"/>
      </rPr>
      <t xml:space="preserve"> - Service coordination
</t>
    </r>
    <r>
      <rPr>
        <b/>
        <sz val="10"/>
        <color theme="1"/>
        <rFont val="Calibri"/>
        <family val="2"/>
        <scheme val="minor"/>
      </rPr>
      <t>13</t>
    </r>
    <r>
      <rPr>
        <sz val="10"/>
        <color theme="1"/>
        <rFont val="Calibri"/>
        <family val="2"/>
        <scheme val="minor"/>
      </rPr>
      <t xml:space="preserve"> - Social work services
</t>
    </r>
    <r>
      <rPr>
        <b/>
        <sz val="10"/>
        <color theme="1"/>
        <rFont val="Calibri"/>
        <family val="2"/>
        <scheme val="minor"/>
      </rPr>
      <t>14</t>
    </r>
    <r>
      <rPr>
        <sz val="10"/>
        <color theme="1"/>
        <rFont val="Calibri"/>
        <family val="2"/>
        <scheme val="minor"/>
      </rPr>
      <t xml:space="preserve"> - Special instruction
</t>
    </r>
    <r>
      <rPr>
        <b/>
        <sz val="10"/>
        <color theme="1"/>
        <rFont val="Calibri"/>
        <family val="2"/>
        <scheme val="minor"/>
      </rPr>
      <t>15</t>
    </r>
    <r>
      <rPr>
        <sz val="10"/>
        <color theme="1"/>
        <rFont val="Calibri"/>
        <family val="2"/>
        <scheme val="minor"/>
      </rPr>
      <t xml:space="preserve"> - Speech-language pathology services
</t>
    </r>
    <r>
      <rPr>
        <b/>
        <sz val="10"/>
        <color theme="1"/>
        <rFont val="Calibri"/>
        <family val="2"/>
        <scheme val="minor"/>
      </rPr>
      <t>16</t>
    </r>
    <r>
      <rPr>
        <sz val="10"/>
        <color theme="1"/>
        <rFont val="Calibri"/>
        <family val="2"/>
        <scheme val="minor"/>
      </rPr>
      <t xml:space="preserve"> - Vision services
</t>
    </r>
    <r>
      <rPr>
        <b/>
        <sz val="10"/>
        <color theme="1"/>
        <rFont val="Calibri"/>
        <family val="2"/>
        <scheme val="minor"/>
      </rPr>
      <t>17</t>
    </r>
    <r>
      <rPr>
        <sz val="10"/>
        <color theme="1"/>
        <rFont val="Calibri"/>
        <family val="2"/>
        <scheme val="minor"/>
      </rPr>
      <t xml:space="preserve"> - Behavioral health
</t>
    </r>
    <r>
      <rPr>
        <b/>
        <sz val="10"/>
        <color theme="1"/>
        <rFont val="Calibri"/>
        <family val="2"/>
        <scheme val="minor"/>
      </rPr>
      <t>18</t>
    </r>
    <r>
      <rPr>
        <sz val="10"/>
        <color theme="1"/>
        <rFont val="Calibri"/>
        <family val="2"/>
        <scheme val="minor"/>
      </rPr>
      <t xml:space="preserve"> - Transportation
</t>
    </r>
    <r>
      <rPr>
        <b/>
        <sz val="10"/>
        <color theme="1"/>
        <rFont val="Calibri"/>
        <family val="2"/>
        <scheme val="minor"/>
      </rPr>
      <t>98</t>
    </r>
    <r>
      <rPr>
        <sz val="10"/>
        <color theme="1"/>
        <rFont val="Calibri"/>
        <family val="2"/>
        <scheme val="minor"/>
      </rPr>
      <t xml:space="preserve"> - None
</t>
    </r>
    <r>
      <rPr>
        <b/>
        <sz val="10"/>
        <color theme="1"/>
        <rFont val="Calibri"/>
        <family val="2"/>
        <scheme val="minor"/>
      </rPr>
      <t>99</t>
    </r>
    <r>
      <rPr>
        <sz val="10"/>
        <color theme="1"/>
        <rFont val="Calibri"/>
        <family val="2"/>
        <scheme val="minor"/>
      </rPr>
      <t xml:space="preserve"> - Other
</t>
    </r>
  </si>
  <si>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</si>
  <si>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</si>
  <si>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</si>
  <si>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</si>
  <si>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</si>
  <si>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</si>
  <si>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</si>
  <si>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The site or setting in which early childhood care, education, and/or services are provided.</t>
  </si>
  <si>
    <r>
      <t>HomeBased</t>
    </r>
    <r>
      <rPr>
        <sz val="10"/>
        <color theme="1"/>
        <rFont val="Calibri"/>
        <family val="2"/>
        <scheme val="minor"/>
      </rPr>
      <t xml:space="preserve"> - Home-based (Child's Home)
</t>
    </r>
    <r>
      <rPr>
        <b/>
        <sz val="10"/>
        <color theme="1"/>
        <rFont val="Calibri"/>
        <family val="2"/>
        <scheme val="minor"/>
      </rPr>
      <t>CommunityBased</t>
    </r>
    <r>
      <rPr>
        <sz val="10"/>
        <color theme="1"/>
        <rFont val="Calibri"/>
        <family val="2"/>
        <scheme val="minor"/>
      </rPr>
      <t xml:space="preserve"> - Community-based (outside the child's home)
</t>
    </r>
    <r>
      <rPr>
        <b/>
        <sz val="10"/>
        <color theme="1"/>
        <rFont val="Calibri"/>
        <family val="2"/>
        <scheme val="minor"/>
      </rPr>
      <t>CenterBased</t>
    </r>
    <r>
      <rPr>
        <sz val="10"/>
        <color theme="1"/>
        <rFont val="Calibri"/>
        <family val="2"/>
        <scheme val="minor"/>
      </rPr>
      <t xml:space="preserve"> - Center-based (including a school setting)
</t>
    </r>
    <r>
      <rPr>
        <b/>
        <sz val="10"/>
        <color theme="1"/>
        <rFont val="Calibri"/>
        <family val="2"/>
        <scheme val="minor"/>
      </rPr>
      <t>CenterBasedSpecial</t>
    </r>
    <r>
      <rPr>
        <sz val="10"/>
        <color theme="1"/>
        <rFont val="Calibri"/>
        <family val="2"/>
        <scheme val="minor"/>
      </rPr>
      <t xml:space="preserve"> - Center-based for children with special needs
</t>
    </r>
    <r>
      <rPr>
        <b/>
        <sz val="10"/>
        <color theme="1"/>
        <rFont val="Calibri"/>
        <family val="2"/>
        <scheme val="minor"/>
      </rPr>
      <t>FamilyChildCare</t>
    </r>
    <r>
      <rPr>
        <sz val="10"/>
        <color theme="1"/>
        <rFont val="Calibri"/>
        <family val="2"/>
        <scheme val="minor"/>
      </rPr>
      <t xml:space="preserve"> - Family Child Care Home (Provider's Home)
</t>
    </r>
    <r>
      <rPr>
        <b/>
        <sz val="10"/>
        <color theme="1"/>
        <rFont val="Calibri"/>
        <family val="2"/>
        <scheme val="minor"/>
      </rPr>
      <t>MultiSetting</t>
    </r>
    <r>
      <rPr>
        <sz val="10"/>
        <color theme="1"/>
        <rFont val="Calibri"/>
        <family val="2"/>
        <scheme val="minor"/>
      </rPr>
      <t xml:space="preserve"> - Multi-setting
</t>
    </r>
    <r>
      <rPr>
        <b/>
        <sz val="10"/>
        <color theme="1"/>
        <rFont val="Calibri"/>
        <family val="2"/>
        <scheme val="minor"/>
      </rPr>
      <t>LocallyDesigned</t>
    </r>
    <r>
      <rPr>
        <sz val="10"/>
        <color theme="1"/>
        <rFont val="Calibri"/>
        <family val="2"/>
        <scheme val="minor"/>
      </rPr>
      <t xml:space="preserve"> - Locally designed
</t>
    </r>
  </si>
  <si>
    <t>000356</t>
  </si>
  <si>
    <t>EarlyChildhoodSetting</t>
  </si>
  <si>
    <t>Early Learning Application Identifier</t>
  </si>
  <si>
    <t>Identifier for the application for enrollment or direct services filled out on behalf of a child</t>
  </si>
  <si>
    <t>Early Learning -&gt; EL Child -&gt; Services -&gt; Application</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</si>
  <si>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</si>
  <si>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</si>
  <si>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</si>
  <si>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</si>
  <si>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</si>
  <si>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</si>
  <si>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</si>
  <si>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</si>
  <si>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r>
      <t>01</t>
    </r>
    <r>
      <rPr>
        <sz val="10"/>
        <color theme="1"/>
        <rFont val="Calibri"/>
        <family val="2"/>
        <scheme val="minor"/>
      </rPr>
      <t xml:space="preserve"> - Creative curriculum infants/toddlers
</t>
    </r>
    <r>
      <rPr>
        <b/>
        <sz val="10"/>
        <color theme="1"/>
        <rFont val="Calibri"/>
        <family val="2"/>
        <scheme val="minor"/>
      </rPr>
      <t>02</t>
    </r>
    <r>
      <rPr>
        <sz val="10"/>
        <color theme="1"/>
        <rFont val="Calibri"/>
        <family val="2"/>
        <scheme val="minor"/>
      </rPr>
      <t xml:space="preserve"> - Creative curriculum preschool
</t>
    </r>
    <r>
      <rPr>
        <b/>
        <sz val="10"/>
        <color theme="1"/>
        <rFont val="Calibri"/>
        <family val="2"/>
        <scheme val="minor"/>
      </rPr>
      <t>03</t>
    </r>
    <r>
      <rPr>
        <sz val="10"/>
        <color theme="1"/>
        <rFont val="Calibri"/>
        <family val="2"/>
        <scheme val="minor"/>
      </rPr>
      <t xml:space="preserve"> - Creative curriculum family child care
</t>
    </r>
    <r>
      <rPr>
        <b/>
        <sz val="10"/>
        <color theme="1"/>
        <rFont val="Calibri"/>
        <family val="2"/>
        <scheme val="minor"/>
      </rPr>
      <t>04</t>
    </r>
    <r>
      <rPr>
        <sz val="10"/>
        <color theme="1"/>
        <rFont val="Calibri"/>
        <family val="2"/>
        <scheme val="minor"/>
      </rPr>
      <t xml:space="preserve"> - Highscope preschoolers
</t>
    </r>
    <r>
      <rPr>
        <b/>
        <sz val="10"/>
        <color theme="1"/>
        <rFont val="Calibri"/>
        <family val="2"/>
        <scheme val="minor"/>
      </rPr>
      <t>05</t>
    </r>
    <r>
      <rPr>
        <sz val="10"/>
        <color theme="1"/>
        <rFont val="Calibri"/>
        <family val="2"/>
        <scheme val="minor"/>
      </rPr>
      <t xml:space="preserve"> - Highscope infants/toddlers
</t>
    </r>
    <r>
      <rPr>
        <b/>
        <sz val="10"/>
        <color theme="1"/>
        <rFont val="Calibri"/>
        <family val="2"/>
        <scheme val="minor"/>
      </rPr>
      <t>06</t>
    </r>
    <r>
      <rPr>
        <sz val="10"/>
        <color theme="1"/>
        <rFont val="Calibri"/>
        <family val="2"/>
        <scheme val="minor"/>
      </rPr>
      <t xml:space="preserve"> - Montessori curriculum
</t>
    </r>
    <r>
      <rPr>
        <b/>
        <sz val="10"/>
        <color theme="1"/>
        <rFont val="Calibri"/>
        <family val="2"/>
        <scheme val="minor"/>
      </rPr>
      <t>07</t>
    </r>
    <r>
      <rPr>
        <sz val="10"/>
        <color theme="1"/>
        <rFont val="Calibri"/>
        <family val="2"/>
        <scheme val="minor"/>
      </rPr>
      <t xml:space="preserve"> - Locally designed curriculum
</t>
    </r>
    <r>
      <rPr>
        <b/>
        <sz val="10"/>
        <color theme="1"/>
        <rFont val="Calibri"/>
        <family val="2"/>
        <scheme val="minor"/>
      </rPr>
      <t>08</t>
    </r>
    <r>
      <rPr>
        <sz val="10"/>
        <color theme="1"/>
        <rFont val="Calibri"/>
        <family val="2"/>
        <scheme val="minor"/>
      </rPr>
      <t xml:space="preserve"> - Other curriculum
</t>
    </r>
    <r>
      <rPr>
        <b/>
        <sz val="10"/>
        <color theme="1"/>
        <rFont val="Calibri"/>
        <family val="2"/>
        <scheme val="minor"/>
      </rPr>
      <t>09</t>
    </r>
    <r>
      <rPr>
        <sz val="10"/>
        <color theme="1"/>
        <rFont val="Calibri"/>
        <family val="2"/>
        <scheme val="minor"/>
      </rPr>
      <t xml:space="preserve"> - None
</t>
    </r>
  </si>
  <si>
    <t>Early Learning -&gt; EL Class/Group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</si>
  <si>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</si>
  <si>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</si>
  <si>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</si>
  <si>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</si>
  <si>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</si>
  <si>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</si>
  <si>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</si>
  <si>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</si>
  <si>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</si>
  <si>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</si>
  <si>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</si>
  <si>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</si>
  <si>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r>
      <t>01</t>
    </r>
    <r>
      <rPr>
        <sz val="10"/>
        <color theme="1"/>
        <rFont val="Calibri"/>
        <family val="2"/>
        <scheme val="minor"/>
      </rPr>
      <t xml:space="preserve"> - Child growth and development
</t>
    </r>
    <r>
      <rPr>
        <b/>
        <sz val="10"/>
        <color theme="1"/>
        <rFont val="Calibri"/>
        <family val="2"/>
        <scheme val="minor"/>
      </rPr>
      <t>02</t>
    </r>
    <r>
      <rPr>
        <sz val="10"/>
        <color theme="1"/>
        <rFont val="Calibri"/>
        <family val="2"/>
        <scheme val="minor"/>
      </rPr>
      <t xml:space="preserve"> - Health safety and nutrition
</t>
    </r>
    <r>
      <rPr>
        <b/>
        <sz val="10"/>
        <color theme="1"/>
        <rFont val="Calibri"/>
        <family val="2"/>
        <scheme val="minor"/>
      </rPr>
      <t>03</t>
    </r>
    <r>
      <rPr>
        <sz val="10"/>
        <color theme="1"/>
        <rFont val="Calibri"/>
        <family val="2"/>
        <scheme val="minor"/>
      </rPr>
      <t xml:space="preserve"> - Teaching and learning
</t>
    </r>
    <r>
      <rPr>
        <b/>
        <sz val="10"/>
        <color theme="1"/>
        <rFont val="Calibri"/>
        <family val="2"/>
        <scheme val="minor"/>
      </rPr>
      <t>04</t>
    </r>
    <r>
      <rPr>
        <sz val="10"/>
        <color theme="1"/>
        <rFont val="Calibri"/>
        <family val="2"/>
        <scheme val="minor"/>
      </rPr>
      <t xml:space="preserve"> - Observing, documenting and assessing
</t>
    </r>
    <r>
      <rPr>
        <b/>
        <sz val="10"/>
        <color theme="1"/>
        <rFont val="Calibri"/>
        <family val="2"/>
        <scheme val="minor"/>
      </rPr>
      <t>05</t>
    </r>
    <r>
      <rPr>
        <sz val="10"/>
        <color theme="1"/>
        <rFont val="Calibri"/>
        <family val="2"/>
        <scheme val="minor"/>
      </rPr>
      <t xml:space="preserve"> - Family and community relationships
</t>
    </r>
    <r>
      <rPr>
        <b/>
        <sz val="10"/>
        <color theme="1"/>
        <rFont val="Calibri"/>
        <family val="2"/>
        <scheme val="minor"/>
      </rPr>
      <t>06</t>
    </r>
    <r>
      <rPr>
        <sz val="10"/>
        <color theme="1"/>
        <rFont val="Calibri"/>
        <family val="2"/>
        <scheme val="minor"/>
      </rPr>
      <t xml:space="preserve"> - Administration and management
</t>
    </r>
    <r>
      <rPr>
        <b/>
        <sz val="10"/>
        <color theme="1"/>
        <rFont val="Calibri"/>
        <family val="2"/>
        <scheme val="minor"/>
      </rPr>
      <t>07</t>
    </r>
    <r>
      <rPr>
        <sz val="10"/>
        <color theme="1"/>
        <rFont val="Calibri"/>
        <family val="2"/>
        <scheme val="minor"/>
      </rPr>
      <t xml:space="preserve"> - Early childhood education profession and policy
</t>
    </r>
  </si>
  <si>
    <t>000813</t>
  </si>
  <si>
    <t>EarlyLearningCoreKnowledgeArea</t>
  </si>
  <si>
    <t>Early Learning Education Staff Classification</t>
  </si>
  <si>
    <t>The title/role of employment, official status, or rank of education staff</t>
  </si>
  <si>
    <r>
      <t>Teacher</t>
    </r>
    <r>
      <rPr>
        <sz val="10"/>
        <color theme="1"/>
        <rFont val="Calibri"/>
        <family val="2"/>
        <scheme val="minor"/>
      </rPr>
      <t xml:space="preserve"> - Teacher
</t>
    </r>
    <r>
      <rPr>
        <b/>
        <sz val="10"/>
        <color theme="1"/>
        <rFont val="Calibri"/>
        <family val="2"/>
        <scheme val="minor"/>
      </rPr>
      <t>AssistanceTeacher</t>
    </r>
    <r>
      <rPr>
        <sz val="10"/>
        <color theme="1"/>
        <rFont val="Calibri"/>
        <family val="2"/>
        <scheme val="minor"/>
      </rPr>
      <t xml:space="preserve"> - Assistance Teacher
</t>
    </r>
    <r>
      <rPr>
        <b/>
        <sz val="10"/>
        <color theme="1"/>
        <rFont val="Calibri"/>
        <family val="2"/>
        <scheme val="minor"/>
      </rPr>
      <t>Administrator</t>
    </r>
    <r>
      <rPr>
        <sz val="10"/>
        <color theme="1"/>
        <rFont val="Calibri"/>
        <family val="2"/>
        <scheme val="minor"/>
      </rPr>
      <t xml:space="preserve"> - Administrator
</t>
    </r>
    <r>
      <rPr>
        <b/>
        <sz val="10"/>
        <color theme="1"/>
        <rFont val="Calibri"/>
        <family val="2"/>
        <scheme val="minor"/>
      </rPr>
      <t>NonTeachingLeadership</t>
    </r>
    <r>
      <rPr>
        <sz val="10"/>
        <color theme="1"/>
        <rFont val="Calibri"/>
        <family val="2"/>
        <scheme val="minor"/>
      </rPr>
      <t xml:space="preserve"> - Non-teaching Leadership
</t>
    </r>
    <r>
      <rPr>
        <b/>
        <sz val="10"/>
        <color theme="1"/>
        <rFont val="Calibri"/>
        <family val="2"/>
        <scheme val="minor"/>
      </rPr>
      <t>NonTeacherOther</t>
    </r>
    <r>
      <rPr>
        <sz val="10"/>
        <color theme="1"/>
        <rFont val="Calibri"/>
        <family val="2"/>
        <scheme val="minor"/>
      </rPr>
      <t xml:space="preserve"> - Non-teacher Other
</t>
    </r>
    <r>
      <rPr>
        <b/>
        <sz val="10"/>
        <color theme="1"/>
        <rFont val="Calibri"/>
        <family val="2"/>
        <scheme val="minor"/>
      </rPr>
      <t>Audiologist</t>
    </r>
    <r>
      <rPr>
        <sz val="10"/>
        <color theme="1"/>
        <rFont val="Calibri"/>
        <family val="2"/>
        <scheme val="minor"/>
      </rPr>
      <t xml:space="preserve"> - Audiologist
</t>
    </r>
    <r>
      <rPr>
        <b/>
        <sz val="10"/>
        <color theme="1"/>
        <rFont val="Calibri"/>
        <family val="2"/>
        <scheme val="minor"/>
      </rPr>
      <t>BCBA</t>
    </r>
    <r>
      <rPr>
        <sz val="10"/>
        <color theme="1"/>
        <rFont val="Calibri"/>
        <family val="2"/>
        <scheme val="minor"/>
      </rPr>
      <t xml:space="preserve"> - Board Certified Behavior Analyst (BCBA)
</t>
    </r>
    <r>
      <rPr>
        <b/>
        <sz val="10"/>
        <color theme="1"/>
        <rFont val="Calibri"/>
        <family val="2"/>
        <scheme val="minor"/>
      </rPr>
      <t>BCaBA</t>
    </r>
    <r>
      <rPr>
        <sz val="10"/>
        <color theme="1"/>
        <rFont val="Calibri"/>
        <family val="2"/>
        <scheme val="minor"/>
      </rPr>
      <t xml:space="preserve"> - Board Certified Assistant Behavior Analyst (BCaBA)
</t>
    </r>
    <r>
      <rPr>
        <b/>
        <sz val="10"/>
        <color theme="1"/>
        <rFont val="Calibri"/>
        <family val="2"/>
        <scheme val="minor"/>
      </rPr>
      <t>ABAAide</t>
    </r>
    <r>
      <rPr>
        <sz val="10"/>
        <color theme="1"/>
        <rFont val="Calibri"/>
        <family val="2"/>
        <scheme val="minor"/>
      </rPr>
      <t xml:space="preserve"> - Applied Behavior Analysis (ABA) Aide
</t>
    </r>
    <r>
      <rPr>
        <b/>
        <sz val="10"/>
        <color theme="1"/>
        <rFont val="Calibri"/>
        <family val="2"/>
        <scheme val="minor"/>
      </rPr>
      <t>OccupationalTherapyAssistant</t>
    </r>
    <r>
      <rPr>
        <sz val="10"/>
        <color theme="1"/>
        <rFont val="Calibri"/>
        <family val="2"/>
        <scheme val="minor"/>
      </rPr>
      <t xml:space="preserve"> - Certified Occupational Therapy Assistant
</t>
    </r>
    <r>
      <rPr>
        <b/>
        <sz val="10"/>
        <color theme="1"/>
        <rFont val="Calibri"/>
        <family val="2"/>
        <scheme val="minor"/>
      </rPr>
      <t>Nurse</t>
    </r>
    <r>
      <rPr>
        <sz val="10"/>
        <color theme="1"/>
        <rFont val="Calibri"/>
        <family val="2"/>
        <scheme val="minor"/>
      </rPr>
      <t xml:space="preserve"> - Nurse (LPN, RN, NP)
</t>
    </r>
    <r>
      <rPr>
        <b/>
        <sz val="10"/>
        <color theme="1"/>
        <rFont val="Calibri"/>
        <family val="2"/>
        <scheme val="minor"/>
      </rPr>
      <t>LowVisionSpecialist</t>
    </r>
    <r>
      <rPr>
        <sz val="10"/>
        <color theme="1"/>
        <rFont val="Calibri"/>
        <family val="2"/>
        <scheme val="minor"/>
      </rPr>
      <t xml:space="preserve"> - Certified Low Vision Specialist
</t>
    </r>
    <r>
      <rPr>
        <b/>
        <sz val="10"/>
        <color theme="1"/>
        <rFont val="Calibri"/>
        <family val="2"/>
        <scheme val="minor"/>
      </rPr>
      <t>OrientationMobilitySpecialist</t>
    </r>
    <r>
      <rPr>
        <sz val="10"/>
        <color theme="1"/>
        <rFont val="Calibri"/>
        <family val="2"/>
        <scheme val="minor"/>
      </rPr>
      <t xml:space="preserve"> - Orientation and Mobility Specialist
</t>
    </r>
    <r>
      <rPr>
        <b/>
        <sz val="10"/>
        <color theme="1"/>
        <rFont val="Calibri"/>
        <family val="2"/>
        <scheme val="minor"/>
      </rPr>
      <t>VisionRehabTherapist</t>
    </r>
    <r>
      <rPr>
        <sz val="10"/>
        <color theme="1"/>
        <rFont val="Calibri"/>
        <family val="2"/>
        <scheme val="minor"/>
      </rPr>
      <t xml:space="preserve"> - Vision Rehabilitation Therapist
</t>
    </r>
    <r>
      <rPr>
        <b/>
        <sz val="10"/>
        <color theme="1"/>
        <rFont val="Calibri"/>
        <family val="2"/>
        <scheme val="minor"/>
      </rPr>
      <t>OccupationalTherapist</t>
    </r>
    <r>
      <rPr>
        <sz val="10"/>
        <color theme="1"/>
        <rFont val="Calibri"/>
        <family val="2"/>
        <scheme val="minor"/>
      </rPr>
      <t xml:space="preserve"> - Occupational Therapist
</t>
    </r>
    <r>
      <rPr>
        <b/>
        <sz val="10"/>
        <color theme="1"/>
        <rFont val="Calibri"/>
        <family val="2"/>
        <scheme val="minor"/>
      </rPr>
      <t>Optometrist</t>
    </r>
    <r>
      <rPr>
        <sz val="10"/>
        <color theme="1"/>
        <rFont val="Calibri"/>
        <family val="2"/>
        <scheme val="minor"/>
      </rPr>
      <t xml:space="preserve"> - Optometrist
</t>
    </r>
    <r>
      <rPr>
        <b/>
        <sz val="10"/>
        <color theme="1"/>
        <rFont val="Calibri"/>
        <family val="2"/>
        <scheme val="minor"/>
      </rPr>
      <t>PhysicalTherapist</t>
    </r>
    <r>
      <rPr>
        <sz val="10"/>
        <color theme="1"/>
        <rFont val="Calibri"/>
        <family val="2"/>
        <scheme val="minor"/>
      </rPr>
      <t xml:space="preserve"> - Physical Therapist/Physical Therapy Assistant
</t>
    </r>
    <r>
      <rPr>
        <b/>
        <sz val="10"/>
        <color theme="1"/>
        <rFont val="Calibri"/>
        <family val="2"/>
        <scheme val="minor"/>
      </rPr>
      <t>Pediatrician</t>
    </r>
    <r>
      <rPr>
        <sz val="10"/>
        <color theme="1"/>
        <rFont val="Calibri"/>
        <family val="2"/>
        <scheme val="minor"/>
      </rPr>
      <t xml:space="preserve"> - Pediatrician
</t>
    </r>
    <r>
      <rPr>
        <b/>
        <sz val="10"/>
        <color theme="1"/>
        <rFont val="Calibri"/>
        <family val="2"/>
        <scheme val="minor"/>
      </rPr>
      <t>OtherPhysician</t>
    </r>
    <r>
      <rPr>
        <sz val="10"/>
        <color theme="1"/>
        <rFont val="Calibri"/>
        <family val="2"/>
        <scheme val="minor"/>
      </rPr>
      <t xml:space="preserve"> - Other Physician
</t>
    </r>
    <r>
      <rPr>
        <b/>
        <sz val="10"/>
        <color theme="1"/>
        <rFont val="Calibri"/>
        <family val="2"/>
        <scheme val="minor"/>
      </rPr>
      <t>PhysicianAssistant</t>
    </r>
    <r>
      <rPr>
        <sz val="10"/>
        <color theme="1"/>
        <rFont val="Calibri"/>
        <family val="2"/>
        <scheme val="minor"/>
      </rPr>
      <t xml:space="preserve"> - Physician Assistant
</t>
    </r>
    <r>
      <rPr>
        <b/>
        <sz val="10"/>
        <color theme="1"/>
        <rFont val="Calibri"/>
        <family val="2"/>
        <scheme val="minor"/>
      </rPr>
      <t>Psychologists</t>
    </r>
    <r>
      <rPr>
        <sz val="10"/>
        <color theme="1"/>
        <rFont val="Calibri"/>
        <family val="2"/>
        <scheme val="minor"/>
      </rPr>
      <t xml:space="preserve"> - Psychologists
</t>
    </r>
    <r>
      <rPr>
        <b/>
        <sz val="10"/>
        <color theme="1"/>
        <rFont val="Calibri"/>
        <family val="2"/>
        <scheme val="minor"/>
      </rPr>
      <t>RegisteredNutritionist</t>
    </r>
    <r>
      <rPr>
        <sz val="10"/>
        <color theme="1"/>
        <rFont val="Calibri"/>
        <family val="2"/>
        <scheme val="minor"/>
      </rPr>
      <t xml:space="preserve"> - Registered or Certified Dietitian/Nutritionist
</t>
    </r>
    <r>
      <rPr>
        <b/>
        <sz val="10"/>
        <color theme="1"/>
        <rFont val="Calibri"/>
        <family val="2"/>
        <scheme val="minor"/>
      </rPr>
      <t>SchoolPsychologist</t>
    </r>
    <r>
      <rPr>
        <sz val="10"/>
        <color theme="1"/>
        <rFont val="Calibri"/>
        <family val="2"/>
        <scheme val="minor"/>
      </rPr>
      <t xml:space="preserve"> - School Psychologist
</t>
    </r>
    <r>
      <rPr>
        <b/>
        <sz val="10"/>
        <color theme="1"/>
        <rFont val="Calibri"/>
        <family val="2"/>
        <scheme val="minor"/>
      </rPr>
      <t>SocialWorker</t>
    </r>
    <r>
      <rPr>
        <sz val="10"/>
        <color theme="1"/>
        <rFont val="Calibri"/>
        <family val="2"/>
        <scheme val="minor"/>
      </rPr>
      <t xml:space="preserve"> - Clinical and Masters Social Worker
</t>
    </r>
    <r>
      <rPr>
        <b/>
        <sz val="10"/>
        <color theme="1"/>
        <rFont val="Calibri"/>
        <family val="2"/>
        <scheme val="minor"/>
      </rPr>
      <t>SpecialEducationTeacher</t>
    </r>
    <r>
      <rPr>
        <sz val="10"/>
        <color theme="1"/>
        <rFont val="Calibri"/>
        <family val="2"/>
        <scheme val="minor"/>
      </rPr>
      <t xml:space="preserve"> - Special Education Teacher
</t>
    </r>
    <r>
      <rPr>
        <b/>
        <sz val="10"/>
        <color theme="1"/>
        <rFont val="Calibri"/>
        <family val="2"/>
        <scheme val="minor"/>
      </rPr>
      <t>SpeechPathologist</t>
    </r>
    <r>
      <rPr>
        <sz val="10"/>
        <color theme="1"/>
        <rFont val="Calibri"/>
        <family val="2"/>
        <scheme val="minor"/>
      </rPr>
      <t xml:space="preserve"> - Speech and Language Pathologist
</t>
    </r>
    <r>
      <rPr>
        <b/>
        <sz val="10"/>
        <color theme="1"/>
        <rFont val="Calibri"/>
        <family val="2"/>
        <scheme val="minor"/>
      </rPr>
      <t>TeacherOfVisuallyImpaired</t>
    </r>
    <r>
      <rPr>
        <sz val="10"/>
        <color theme="1"/>
        <rFont val="Calibri"/>
        <family val="2"/>
        <scheme val="minor"/>
      </rPr>
      <t xml:space="preserve"> - Teacher of the Blind and Visually Impaired
</t>
    </r>
    <r>
      <rPr>
        <b/>
        <sz val="10"/>
        <color theme="1"/>
        <rFont val="Calibri"/>
        <family val="2"/>
        <scheme val="minor"/>
      </rPr>
      <t>TeacherOfHearingImpaired</t>
    </r>
    <r>
      <rPr>
        <sz val="10"/>
        <color theme="1"/>
        <rFont val="Calibri"/>
        <family val="2"/>
        <scheme val="minor"/>
      </rPr>
      <t xml:space="preserve"> - Teacher of the Deaf and Hearing Impaired
</t>
    </r>
    <r>
      <rPr>
        <b/>
        <sz val="10"/>
        <color theme="1"/>
        <rFont val="Calibri"/>
        <family val="2"/>
        <scheme val="minor"/>
      </rPr>
      <t>TeacherOfLanguageDisabilities</t>
    </r>
    <r>
      <rPr>
        <sz val="10"/>
        <color theme="1"/>
        <rFont val="Calibri"/>
        <family val="2"/>
        <scheme val="minor"/>
      </rPr>
      <t xml:space="preserve"> - Teacher of Speech and Language Disabilities
</t>
    </r>
    <r>
      <rPr>
        <b/>
        <sz val="10"/>
        <color theme="1"/>
        <rFont val="Calibri"/>
        <family val="2"/>
        <scheme val="minor"/>
      </rPr>
      <t>ServiceCoordinator</t>
    </r>
    <r>
      <rPr>
        <sz val="10"/>
        <color theme="1"/>
        <rFont val="Calibri"/>
        <family val="2"/>
        <scheme val="minor"/>
      </rPr>
      <t xml:space="preserve"> - Service Coordinator
</t>
    </r>
    <r>
      <rPr>
        <b/>
        <sz val="10"/>
        <color theme="1"/>
        <rFont val="Calibri"/>
        <family val="2"/>
        <scheme val="minor"/>
      </rPr>
      <t>ContractStaff</t>
    </r>
    <r>
      <rPr>
        <sz val="10"/>
        <color theme="1"/>
        <rFont val="Calibri"/>
        <family val="2"/>
        <scheme val="minor"/>
      </rPr>
      <t xml:space="preserve"> - Contract Staff
</t>
    </r>
  </si>
  <si>
    <t>Early Learning -&gt; EL Staff -&gt; Employment</t>
  </si>
  <si>
    <t>001602</t>
  </si>
  <si>
    <t>EarlyLearningEducationStaffClassification</t>
  </si>
  <si>
    <t>Early Learning Employment Separation Reason</t>
  </si>
  <si>
    <t>The primary reason for the termination of the employment relationship.</t>
  </si>
  <si>
    <r>
      <t>01391</t>
    </r>
    <r>
      <rPr>
        <sz val="10"/>
        <color theme="1"/>
        <rFont val="Calibri"/>
        <family val="2"/>
        <scheme val="minor"/>
      </rPr>
      <t xml:space="preserve"> - Change of assignment
</t>
    </r>
    <r>
      <rPr>
        <b/>
        <sz val="10"/>
        <color theme="1"/>
        <rFont val="Calibri"/>
        <family val="2"/>
        <scheme val="minor"/>
      </rPr>
      <t>89604</t>
    </r>
    <r>
      <rPr>
        <sz val="10"/>
        <color theme="1"/>
        <rFont val="Calibri"/>
        <family val="2"/>
        <scheme val="minor"/>
      </rPr>
      <t xml:space="preserve"> - Compensation
</t>
    </r>
    <r>
      <rPr>
        <b/>
        <sz val="10"/>
        <color theme="1"/>
        <rFont val="Calibri"/>
        <family val="2"/>
        <scheme val="minor"/>
      </rPr>
      <t>01404</t>
    </r>
    <r>
      <rPr>
        <sz val="10"/>
        <color theme="1"/>
        <rFont val="Calibri"/>
        <family val="2"/>
        <scheme val="minor"/>
      </rPr>
      <t xml:space="preserve"> - Death
</t>
    </r>
    <r>
      <rPr>
        <b/>
        <sz val="10"/>
        <color theme="1"/>
        <rFont val="Calibri"/>
        <family val="2"/>
        <scheme val="minor"/>
      </rPr>
      <t>01401</t>
    </r>
    <r>
      <rPr>
        <sz val="10"/>
        <color theme="1"/>
        <rFont val="Calibri"/>
        <family val="2"/>
        <scheme val="minor"/>
      </rPr>
      <t xml:space="preserve"> - Falsified application form
</t>
    </r>
    <r>
      <rPr>
        <b/>
        <sz val="10"/>
        <color theme="1"/>
        <rFont val="Calibri"/>
        <family val="2"/>
        <scheme val="minor"/>
      </rPr>
      <t>01400</t>
    </r>
    <r>
      <rPr>
        <sz val="10"/>
        <color theme="1"/>
        <rFont val="Calibri"/>
        <family val="2"/>
        <scheme val="minor"/>
      </rPr>
      <t xml:space="preserve"> - Continued absence or tardiness
</t>
    </r>
    <r>
      <rPr>
        <b/>
        <sz val="10"/>
        <color theme="1"/>
        <rFont val="Calibri"/>
        <family val="2"/>
        <scheme val="minor"/>
      </rPr>
      <t>01402</t>
    </r>
    <r>
      <rPr>
        <sz val="10"/>
        <color theme="1"/>
        <rFont val="Calibri"/>
        <family val="2"/>
        <scheme val="minor"/>
      </rPr>
      <t xml:space="preserve"> - Credential revoked or suspended
</t>
    </r>
    <r>
      <rPr>
        <b/>
        <sz val="10"/>
        <color theme="1"/>
        <rFont val="Calibri"/>
        <family val="2"/>
        <scheme val="minor"/>
      </rPr>
      <t>01399</t>
    </r>
    <r>
      <rPr>
        <sz val="10"/>
        <color theme="1"/>
        <rFont val="Calibri"/>
        <family val="2"/>
        <scheme val="minor"/>
      </rPr>
      <t xml:space="preserve"> - Misconduct
</t>
    </r>
    <r>
      <rPr>
        <b/>
        <sz val="10"/>
        <color theme="1"/>
        <rFont val="Calibri"/>
        <family val="2"/>
        <scheme val="minor"/>
      </rPr>
      <t>01403</t>
    </r>
    <r>
      <rPr>
        <sz val="10"/>
        <color theme="1"/>
        <rFont val="Calibri"/>
        <family val="2"/>
        <scheme val="minor"/>
      </rPr>
      <t xml:space="preserve"> - Unsatisfactory work performance
</t>
    </r>
    <r>
      <rPr>
        <b/>
        <sz val="10"/>
        <color theme="1"/>
        <rFont val="Calibri"/>
        <family val="2"/>
        <scheme val="minor"/>
      </rPr>
      <t>01398</t>
    </r>
    <r>
      <rPr>
        <sz val="10"/>
        <color theme="1"/>
        <rFont val="Calibri"/>
        <family val="2"/>
        <scheme val="minor"/>
      </rPr>
      <t xml:space="preserve"> - Unsuitability
</t>
    </r>
    <r>
      <rPr>
        <b/>
        <sz val="10"/>
        <color theme="1"/>
        <rFont val="Calibri"/>
        <family val="2"/>
        <scheme val="minor"/>
      </rPr>
      <t>01390</t>
    </r>
    <r>
      <rPr>
        <sz val="10"/>
        <color theme="1"/>
        <rFont val="Calibri"/>
        <family val="2"/>
        <scheme val="minor"/>
      </rPr>
      <t xml:space="preserve"> - Family/personal relocation
</t>
    </r>
    <r>
      <rPr>
        <b/>
        <sz val="10"/>
        <color theme="1"/>
        <rFont val="Calibri"/>
        <family val="2"/>
        <scheme val="minor"/>
      </rPr>
      <t>01392</t>
    </r>
    <r>
      <rPr>
        <sz val="10"/>
        <color theme="1"/>
        <rFont val="Calibri"/>
        <family val="2"/>
        <scheme val="minor"/>
      </rPr>
      <t xml:space="preserve"> - Formal study or research
</t>
    </r>
    <r>
      <rPr>
        <b/>
        <sz val="10"/>
        <color theme="1"/>
        <rFont val="Calibri"/>
        <family val="2"/>
        <scheme val="minor"/>
      </rPr>
      <t>01394</t>
    </r>
    <r>
      <rPr>
        <sz val="10"/>
        <color theme="1"/>
        <rFont val="Calibri"/>
        <family val="2"/>
        <scheme val="minor"/>
      </rPr>
      <t xml:space="preserve"> - Homemaking/caring for a family member
</t>
    </r>
    <r>
      <rPr>
        <b/>
        <sz val="10"/>
        <color theme="1"/>
        <rFont val="Calibri"/>
        <family val="2"/>
        <scheme val="minor"/>
      </rPr>
      <t>01393</t>
    </r>
    <r>
      <rPr>
        <sz val="10"/>
        <color theme="1"/>
        <rFont val="Calibri"/>
        <family val="2"/>
        <scheme val="minor"/>
      </rPr>
      <t xml:space="preserve"> - Illness/disability
</t>
    </r>
    <r>
      <rPr>
        <b/>
        <sz val="10"/>
        <color theme="1"/>
        <rFont val="Calibri"/>
        <family val="2"/>
        <scheme val="minor"/>
      </rPr>
      <t>01395</t>
    </r>
    <r>
      <rPr>
        <sz val="10"/>
        <color theme="1"/>
        <rFont val="Calibri"/>
        <family val="2"/>
        <scheme val="minor"/>
      </rPr>
      <t xml:space="preserve"> - Budgetary reduction
</t>
    </r>
    <r>
      <rPr>
        <b/>
        <sz val="10"/>
        <color theme="1"/>
        <rFont val="Calibri"/>
        <family val="2"/>
        <scheme val="minor"/>
      </rPr>
      <t>01397</t>
    </r>
    <r>
      <rPr>
        <sz val="10"/>
        <color theme="1"/>
        <rFont val="Calibri"/>
        <family val="2"/>
        <scheme val="minor"/>
      </rPr>
      <t xml:space="preserve"> - Decreased workload
</t>
    </r>
    <r>
      <rPr>
        <b/>
        <sz val="10"/>
        <color theme="1"/>
        <rFont val="Calibri"/>
        <family val="2"/>
        <scheme val="minor"/>
      </rPr>
      <t>01396</t>
    </r>
    <r>
      <rPr>
        <sz val="10"/>
        <color theme="1"/>
        <rFont val="Calibri"/>
        <family val="2"/>
        <scheme val="minor"/>
      </rPr>
      <t xml:space="preserve"> - Organizational restructuring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01405</t>
    </r>
    <r>
      <rPr>
        <sz val="10"/>
        <color theme="1"/>
        <rFont val="Calibri"/>
        <family val="2"/>
        <scheme val="minor"/>
      </rPr>
      <t xml:space="preserve"> - Personal reason
</t>
    </r>
    <r>
      <rPr>
        <b/>
        <sz val="10"/>
        <color theme="1"/>
        <rFont val="Calibri"/>
        <family val="2"/>
        <scheme val="minor"/>
      </rPr>
      <t>01389</t>
    </r>
    <r>
      <rPr>
        <sz val="10"/>
        <color theme="1"/>
        <rFont val="Calibri"/>
        <family val="2"/>
        <scheme val="minor"/>
      </rPr>
      <t xml:space="preserve"> - Retirement
</t>
    </r>
    <r>
      <rPr>
        <b/>
        <sz val="10"/>
        <color theme="1"/>
        <rFont val="Calibri"/>
        <family val="2"/>
        <scheme val="minor"/>
      </rPr>
      <t>73201</t>
    </r>
    <r>
      <rPr>
        <sz val="10"/>
        <color theme="1"/>
        <rFont val="Calibri"/>
        <family val="2"/>
        <scheme val="minor"/>
      </rPr>
      <t xml:space="preserve"> - Termination with Cause
</t>
    </r>
    <r>
      <rPr>
        <b/>
        <sz val="10"/>
        <color theme="1"/>
        <rFont val="Calibri"/>
        <family val="2"/>
        <scheme val="minor"/>
      </rPr>
      <t>73202</t>
    </r>
    <r>
      <rPr>
        <sz val="10"/>
        <color theme="1"/>
        <rFont val="Calibri"/>
        <family val="2"/>
        <scheme val="minor"/>
      </rPr>
      <t xml:space="preserve"> - Leave Planning to Return
</t>
    </r>
    <r>
      <rPr>
        <b/>
        <sz val="10"/>
        <color theme="1"/>
        <rFont val="Calibri"/>
        <family val="2"/>
        <scheme val="minor"/>
      </rPr>
      <t>73203</t>
    </r>
    <r>
      <rPr>
        <sz val="10"/>
        <color theme="1"/>
        <rFont val="Calibri"/>
        <family val="2"/>
        <scheme val="minor"/>
      </rPr>
      <t xml:space="preserve"> - Leave Not Planning to Return
</t>
    </r>
    <r>
      <rPr>
        <b/>
        <sz val="10"/>
        <color theme="1"/>
        <rFont val="Calibri"/>
        <family val="2"/>
        <scheme val="minor"/>
      </rPr>
      <t>09997</t>
    </r>
    <r>
      <rPr>
        <sz val="10"/>
        <color theme="1"/>
        <rFont val="Calibri"/>
        <family val="2"/>
        <scheme val="minor"/>
      </rPr>
      <t xml:space="preserve"> - Unknown
</t>
    </r>
  </si>
  <si>
    <t>001632</t>
  </si>
  <si>
    <t>EarlyLearningEmploymentSeparationReason</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</si>
  <si>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</si>
  <si>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</si>
  <si>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</si>
  <si>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</si>
  <si>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</si>
  <si>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</si>
  <si>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</si>
  <si>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</si>
  <si>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</si>
  <si>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</si>
  <si>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</si>
  <si>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</si>
  <si>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</si>
  <si>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</si>
  <si>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</si>
  <si>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</si>
  <si>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</si>
  <si>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</si>
  <si>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</si>
  <si>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</si>
  <si>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</si>
  <si>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</si>
  <si>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r>
      <t>HeadStart</t>
    </r>
    <r>
      <rPr>
        <sz val="10"/>
        <color theme="1"/>
        <rFont val="Calibri"/>
        <family val="2"/>
        <scheme val="minor"/>
      </rPr>
      <t xml:space="preserve"> - Head Start
</t>
    </r>
    <r>
      <rPr>
        <b/>
        <sz val="10"/>
        <color theme="1"/>
        <rFont val="Calibri"/>
        <family val="2"/>
        <scheme val="minor"/>
      </rPr>
      <t>EarlyHeadStart</t>
    </r>
    <r>
      <rPr>
        <sz val="10"/>
        <color theme="1"/>
        <rFont val="Calibri"/>
        <family val="2"/>
        <scheme val="minor"/>
      </rPr>
      <t xml:space="preserve"> - Early Head Start
</t>
    </r>
    <r>
      <rPr>
        <b/>
        <sz val="10"/>
        <color theme="1"/>
        <rFont val="Calibri"/>
        <family val="2"/>
        <scheme val="minor"/>
      </rPr>
      <t>CCDF</t>
    </r>
    <r>
      <rPr>
        <sz val="10"/>
        <color theme="1"/>
        <rFont val="Calibri"/>
        <family val="2"/>
        <scheme val="minor"/>
      </rPr>
      <t xml:space="preserve"> - Office of Child Care-CCDF
</t>
    </r>
    <r>
      <rPr>
        <b/>
        <sz val="10"/>
        <color theme="1"/>
        <rFont val="Calibri"/>
        <family val="2"/>
        <scheme val="minor"/>
      </rPr>
      <t>EarlyInterventionPartC</t>
    </r>
    <r>
      <rPr>
        <sz val="10"/>
        <color theme="1"/>
        <rFont val="Calibri"/>
        <family val="2"/>
        <scheme val="minor"/>
      </rPr>
      <t xml:space="preserve"> - Early Intevention Part C
</t>
    </r>
    <r>
      <rPr>
        <b/>
        <sz val="10"/>
        <color theme="1"/>
        <rFont val="Calibri"/>
        <family val="2"/>
        <scheme val="minor"/>
      </rPr>
      <t>PartB619</t>
    </r>
    <r>
      <rPr>
        <sz val="10"/>
        <color theme="1"/>
        <rFont val="Calibri"/>
        <family val="2"/>
        <scheme val="minor"/>
      </rPr>
      <t xml:space="preserve"> - Special Education Preschool Part B 619
</t>
    </r>
    <r>
      <rPr>
        <b/>
        <sz val="10"/>
        <color theme="1"/>
        <rFont val="Calibri"/>
        <family val="2"/>
        <scheme val="minor"/>
      </rPr>
      <t>TitleI</t>
    </r>
    <r>
      <rPr>
        <sz val="10"/>
        <color theme="1"/>
        <rFont val="Calibri"/>
        <family val="2"/>
        <scheme val="minor"/>
      </rPr>
      <t xml:space="preserve"> - Title I
</t>
    </r>
    <r>
      <rPr>
        <b/>
        <sz val="10"/>
        <color theme="1"/>
        <rFont val="Calibri"/>
        <family val="2"/>
        <scheme val="minor"/>
      </rPr>
      <t>MIECHV</t>
    </r>
    <r>
      <rPr>
        <sz val="10"/>
        <color theme="1"/>
        <rFont val="Calibri"/>
        <family val="2"/>
        <scheme val="minor"/>
      </rPr>
      <t xml:space="preserve"> - Maternal, Infant, and Early Childhood Home Visiting (MIECHV)
</t>
    </r>
    <r>
      <rPr>
        <b/>
        <sz val="10"/>
        <color theme="1"/>
        <rFont val="Calibri"/>
        <family val="2"/>
        <scheme val="minor"/>
      </rPr>
      <t>TitleVMCH</t>
    </r>
    <r>
      <rPr>
        <sz val="10"/>
        <color theme="1"/>
        <rFont val="Calibri"/>
        <family val="2"/>
        <scheme val="minor"/>
      </rPr>
      <t xml:space="preserve"> - Title V Maternal and Child Health (MCH)
</t>
    </r>
    <r>
      <rPr>
        <b/>
        <sz val="10"/>
        <color theme="1"/>
        <rFont val="Calibri"/>
        <family val="2"/>
        <scheme val="minor"/>
      </rPr>
      <t>PartB611IDEA</t>
    </r>
    <r>
      <rPr>
        <sz val="10"/>
        <color theme="1"/>
        <rFont val="Calibri"/>
        <family val="2"/>
        <scheme val="minor"/>
      </rPr>
      <t xml:space="preserve"> - Part B 611 Individuals with Disabilities Education Act (IDEA)
</t>
    </r>
    <r>
      <rPr>
        <b/>
        <sz val="10"/>
        <color theme="1"/>
        <rFont val="Calibri"/>
        <family val="2"/>
        <scheme val="minor"/>
      </rPr>
      <t>PartDIDEA</t>
    </r>
    <r>
      <rPr>
        <sz val="10"/>
        <color theme="1"/>
        <rFont val="Calibri"/>
        <family val="2"/>
        <scheme val="minor"/>
      </rPr>
      <t xml:space="preserve"> - Part D Individuals with Disabilities Education Act (IDEA)
</t>
    </r>
    <r>
      <rPr>
        <b/>
        <sz val="10"/>
        <color theme="1"/>
        <rFont val="Calibri"/>
        <family val="2"/>
        <scheme val="minor"/>
      </rPr>
      <t>Medicaid</t>
    </r>
    <r>
      <rPr>
        <sz val="10"/>
        <color theme="1"/>
        <rFont val="Calibri"/>
        <family val="2"/>
        <scheme val="minor"/>
      </rPr>
      <t xml:space="preserve"> - Medicaid
</t>
    </r>
    <r>
      <rPr>
        <b/>
        <sz val="10"/>
        <color theme="1"/>
        <rFont val="Calibri"/>
        <family val="2"/>
        <scheme val="minor"/>
      </rPr>
      <t>SCHIP</t>
    </r>
    <r>
      <rPr>
        <sz val="10"/>
        <color theme="1"/>
        <rFont val="Calibri"/>
        <family val="2"/>
        <scheme val="minor"/>
      </rPr>
      <t xml:space="preserve"> - State Children's Health Insurance Program (SCHIP)
</t>
    </r>
    <r>
      <rPr>
        <b/>
        <sz val="10"/>
        <color theme="1"/>
        <rFont val="Calibri"/>
        <family val="2"/>
        <scheme val="minor"/>
      </rPr>
      <t>WIC</t>
    </r>
    <r>
      <rPr>
        <sz val="10"/>
        <color theme="1"/>
        <rFont val="Calibri"/>
        <family val="2"/>
        <scheme val="minor"/>
      </rPr>
      <t xml:space="preserve"> - Special Supplemental Nutrition Program for Women Infants and Children (WIC)
</t>
    </r>
    <r>
      <rPr>
        <b/>
        <sz val="10"/>
        <color theme="1"/>
        <rFont val="Calibri"/>
        <family val="2"/>
        <scheme val="minor"/>
      </rPr>
      <t>TANF</t>
    </r>
    <r>
      <rPr>
        <sz val="10"/>
        <color theme="1"/>
        <rFont val="Calibri"/>
        <family val="2"/>
        <scheme val="minor"/>
      </rPr>
      <t xml:space="preserve"> - Temporary Assistance for Needy Families (TANF)
</t>
    </r>
    <r>
      <rPr>
        <b/>
        <sz val="10"/>
        <color theme="1"/>
        <rFont val="Calibri"/>
        <family val="2"/>
        <scheme val="minor"/>
      </rPr>
      <t>TitleVHomeVisiting</t>
    </r>
    <r>
      <rPr>
        <sz val="10"/>
        <color theme="1"/>
        <rFont val="Calibri"/>
        <family val="2"/>
        <scheme val="minor"/>
      </rPr>
      <t xml:space="preserve"> - Title V Home Visiting
</t>
    </r>
    <r>
      <rPr>
        <b/>
        <sz val="10"/>
        <color theme="1"/>
        <rFont val="Calibri"/>
        <family val="2"/>
        <scheme val="minor"/>
      </rPr>
      <t>SSBG</t>
    </r>
    <r>
      <rPr>
        <sz val="10"/>
        <color theme="1"/>
        <rFont val="Calibri"/>
        <family val="2"/>
        <scheme val="minor"/>
      </rPr>
      <t xml:space="preserve"> - Social Services Block Grant (SSBG)
</t>
    </r>
    <r>
      <rPr>
        <b/>
        <sz val="10"/>
        <color theme="1"/>
        <rFont val="Calibri"/>
        <family val="2"/>
        <scheme val="minor"/>
      </rPr>
      <t>ChampusTricare</t>
    </r>
    <r>
      <rPr>
        <sz val="10"/>
        <color theme="1"/>
        <rFont val="Calibri"/>
        <family val="2"/>
        <scheme val="minor"/>
      </rPr>
      <t xml:space="preserve"> - Champus/Tricare
</t>
    </r>
    <r>
      <rPr>
        <b/>
        <sz val="10"/>
        <color theme="1"/>
        <rFont val="Calibri"/>
        <family val="2"/>
        <scheme val="minor"/>
      </rPr>
      <t>ImpactAid</t>
    </r>
    <r>
      <rPr>
        <sz val="10"/>
        <color theme="1"/>
        <rFont val="Calibri"/>
        <family val="2"/>
        <scheme val="minor"/>
      </rPr>
      <t xml:space="preserve"> - Impact Aid
</t>
    </r>
    <r>
      <rPr>
        <b/>
        <sz val="10"/>
        <color theme="1"/>
        <rFont val="Calibri"/>
        <family val="2"/>
        <scheme val="minor"/>
      </rPr>
      <t>FamilyPreservation</t>
    </r>
    <r>
      <rPr>
        <sz val="10"/>
        <color theme="1"/>
        <rFont val="Calibri"/>
        <family val="2"/>
        <scheme val="minor"/>
      </rPr>
      <t xml:space="preserve"> - Family Preservation
</t>
    </r>
    <r>
      <rPr>
        <b/>
        <sz val="10"/>
        <color theme="1"/>
        <rFont val="Calibri"/>
        <family val="2"/>
        <scheme val="minor"/>
      </rPr>
      <t>DropoutPrevention</t>
    </r>
    <r>
      <rPr>
        <sz val="10"/>
        <color theme="1"/>
        <rFont val="Calibri"/>
        <family val="2"/>
        <scheme val="minor"/>
      </rPr>
      <t xml:space="preserve"> - Dropout Prevention
</t>
    </r>
    <r>
      <rPr>
        <b/>
        <sz val="10"/>
        <color theme="1"/>
        <rFont val="Calibri"/>
        <family val="2"/>
        <scheme val="minor"/>
      </rPr>
      <t>JuvenileJustice</t>
    </r>
    <r>
      <rPr>
        <sz val="10"/>
        <color theme="1"/>
        <rFont val="Calibri"/>
        <family val="2"/>
        <scheme val="minor"/>
      </rPr>
      <t xml:space="preserve"> - Juvenile Justice
</t>
    </r>
    <r>
      <rPr>
        <b/>
        <sz val="10"/>
        <color theme="1"/>
        <rFont val="Calibri"/>
        <family val="2"/>
        <scheme val="minor"/>
      </rPr>
      <t>Other</t>
    </r>
    <r>
      <rPr>
        <sz val="10"/>
        <color theme="1"/>
        <rFont val="Calibri"/>
        <family val="2"/>
        <scheme val="minor"/>
      </rPr>
      <t xml:space="preserve"> - Other
</t>
    </r>
  </si>
  <si>
    <t>Early Learning -&gt; EL Child -&gt; Finance
Early Learning -&gt; EL Organization -&gt; Finance</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</si>
  <si>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</si>
  <si>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</si>
  <si>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</si>
  <si>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</si>
  <si>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</si>
  <si>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</si>
  <si>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</si>
  <si>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</si>
  <si>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r>
      <t>Infants</t>
    </r>
    <r>
      <rPr>
        <sz val="10"/>
        <color theme="1"/>
        <rFont val="Calibri"/>
        <family val="2"/>
        <scheme val="minor"/>
      </rPr>
      <t xml:space="preserve"> - Meets or exceeds standards for infants
</t>
    </r>
    <r>
      <rPr>
        <b/>
        <sz val="10"/>
        <color theme="1"/>
        <rFont val="Calibri"/>
        <family val="2"/>
        <scheme val="minor"/>
      </rPr>
      <t>Toddlers</t>
    </r>
    <r>
      <rPr>
        <sz val="10"/>
        <color theme="1"/>
        <rFont val="Calibri"/>
        <family val="2"/>
        <scheme val="minor"/>
      </rPr>
      <t xml:space="preserve"> - Meets or exceeds standards for toddlers
</t>
    </r>
    <r>
      <rPr>
        <b/>
        <sz val="10"/>
        <color theme="1"/>
        <rFont val="Calibri"/>
        <family val="2"/>
        <scheme val="minor"/>
      </rPr>
      <t>Preschoolers</t>
    </r>
    <r>
      <rPr>
        <sz val="10"/>
        <color theme="1"/>
        <rFont val="Calibri"/>
        <family val="2"/>
        <scheme val="minor"/>
      </rPr>
      <t xml:space="preserve"> - Meets or exceeds standards for preschoolers
</t>
    </r>
    <r>
      <rPr>
        <b/>
        <sz val="10"/>
        <color theme="1"/>
        <rFont val="Calibri"/>
        <family val="2"/>
        <scheme val="minor"/>
      </rPr>
      <t>School-Age</t>
    </r>
    <r>
      <rPr>
        <sz val="10"/>
        <color theme="1"/>
        <rFont val="Calibri"/>
        <family val="2"/>
        <scheme val="minor"/>
      </rPr>
      <t xml:space="preserve"> - Meets or exceeds standards for school-age
</t>
    </r>
  </si>
  <si>
    <t>000824</t>
  </si>
  <si>
    <t>EarlyLearningGroupSizeStandardsMet</t>
  </si>
  <si>
    <t>Early Learning Local Revenue Source</t>
  </si>
  <si>
    <t>Funds that originate at the local level, and not from the state or federal level, that contribute to EL program.</t>
  </si>
  <si>
    <r>
      <t>LEA</t>
    </r>
    <r>
      <rPr>
        <sz val="10"/>
        <color theme="1"/>
        <rFont val="Calibri"/>
        <family val="2"/>
        <scheme val="minor"/>
      </rPr>
      <t xml:space="preserve"> - LEA
</t>
    </r>
    <r>
      <rPr>
        <b/>
        <sz val="10"/>
        <color theme="1"/>
        <rFont val="Calibri"/>
        <family val="2"/>
        <scheme val="minor"/>
      </rPr>
      <t>CountyLevyTax</t>
    </r>
    <r>
      <rPr>
        <sz val="10"/>
        <color theme="1"/>
        <rFont val="Calibri"/>
        <family val="2"/>
        <scheme val="minor"/>
      </rPr>
      <t xml:space="preserve"> - County Levy Tax
</t>
    </r>
    <r>
      <rPr>
        <b/>
        <sz val="10"/>
        <color theme="1"/>
        <rFont val="Calibri"/>
        <family val="2"/>
        <scheme val="minor"/>
      </rPr>
      <t>Foundations</t>
    </r>
    <r>
      <rPr>
        <sz val="10"/>
        <color theme="1"/>
        <rFont val="Calibri"/>
        <family val="2"/>
        <scheme val="minor"/>
      </rPr>
      <t xml:space="preserve"> - Foundations
</t>
    </r>
    <r>
      <rPr>
        <b/>
        <sz val="10"/>
        <color theme="1"/>
        <rFont val="Calibri"/>
        <family val="2"/>
        <scheme val="minor"/>
      </rPr>
      <t>SpecialFundRaising</t>
    </r>
    <r>
      <rPr>
        <sz val="10"/>
        <color theme="1"/>
        <rFont val="Calibri"/>
        <family val="2"/>
        <scheme val="minor"/>
      </rPr>
      <t xml:space="preserve"> - Special Fund Raising
</t>
    </r>
    <r>
      <rPr>
        <b/>
        <sz val="10"/>
        <color theme="1"/>
        <rFont val="Calibri"/>
        <family val="2"/>
        <scheme val="minor"/>
      </rPr>
      <t>LocalGovernment</t>
    </r>
    <r>
      <rPr>
        <sz val="10"/>
        <color theme="1"/>
        <rFont val="Calibri"/>
        <family val="2"/>
        <scheme val="minor"/>
      </rPr>
      <t xml:space="preserve"> - Local Government
</t>
    </r>
    <r>
      <rPr>
        <b/>
        <sz val="10"/>
        <color theme="1"/>
        <rFont val="Calibri"/>
        <family val="2"/>
        <scheme val="minor"/>
      </rPr>
      <t>CashDonations</t>
    </r>
    <r>
      <rPr>
        <sz val="10"/>
        <color theme="1"/>
        <rFont val="Calibri"/>
        <family val="2"/>
        <scheme val="minor"/>
      </rPr>
      <t xml:space="preserve"> - Cash Donations
</t>
    </r>
    <r>
      <rPr>
        <b/>
        <sz val="10"/>
        <color theme="1"/>
        <rFont val="Calibri"/>
        <family val="2"/>
        <scheme val="minor"/>
      </rPr>
      <t>UnitedWay</t>
    </r>
    <r>
      <rPr>
        <sz val="10"/>
        <color theme="1"/>
        <rFont val="Calibri"/>
        <family val="2"/>
        <scheme val="minor"/>
      </rPr>
      <t xml:space="preserve"> - United Way
</t>
    </r>
    <r>
      <rPr>
        <b/>
        <sz val="10"/>
        <color theme="1"/>
        <rFont val="Calibri"/>
        <family val="2"/>
        <scheme val="minor"/>
      </rPr>
      <t>PrivateInsurance</t>
    </r>
    <r>
      <rPr>
        <sz val="10"/>
        <color theme="1"/>
        <rFont val="Calibri"/>
        <family val="2"/>
        <scheme val="minor"/>
      </rPr>
      <t xml:space="preserve"> - Private Insurance
</t>
    </r>
    <r>
      <rPr>
        <b/>
        <sz val="10"/>
        <color theme="1"/>
        <rFont val="Calibri"/>
        <family val="2"/>
        <scheme val="minor"/>
      </rPr>
      <t>FamilyFees</t>
    </r>
    <r>
      <rPr>
        <sz val="10"/>
        <color theme="1"/>
        <rFont val="Calibri"/>
        <family val="2"/>
        <scheme val="minor"/>
      </rPr>
      <t xml:space="preserve"> - Family Fees
</t>
    </r>
    <r>
      <rPr>
        <b/>
        <sz val="10"/>
        <color theme="1"/>
        <rFont val="Calibri"/>
        <family val="2"/>
        <scheme val="minor"/>
      </rPr>
      <t>Other</t>
    </r>
    <r>
      <rPr>
        <sz val="10"/>
        <color theme="1"/>
        <rFont val="Calibri"/>
        <family val="2"/>
        <scheme val="minor"/>
      </rPr>
      <t xml:space="preserve"> - Other
</t>
    </r>
  </si>
  <si>
    <t>001603</t>
  </si>
  <si>
    <t>EarlyLearningLocalRevenueSource</t>
  </si>
  <si>
    <t>Early Learning Oldest Age Authorized to Serve</t>
  </si>
  <si>
    <t>The oldest age of children a class/group is authorized or licensed to serve. (Age is specified in months)</t>
  </si>
  <si>
    <t>001225</t>
  </si>
  <si>
    <t>EarlyLearningOIdestAgeAuthorizedToServe</t>
  </si>
  <si>
    <t>Early Learning -&gt; Licensing
Early Learning -&gt; Program Compliance
Early Learning -&gt; Program Quality
School Readiness</t>
  </si>
  <si>
    <t>Early Learning Other Federal Funding Sources</t>
  </si>
  <si>
    <t>The other contributing funding sources.</t>
  </si>
  <si>
    <r>
      <t>01</t>
    </r>
    <r>
      <rPr>
        <sz val="10"/>
        <color theme="1"/>
        <rFont val="Calibri"/>
        <family val="2"/>
        <scheme val="minor"/>
      </rPr>
      <t xml:space="preserve"> - Head Start
</t>
    </r>
    <r>
      <rPr>
        <b/>
        <sz val="10"/>
        <color theme="1"/>
        <rFont val="Calibri"/>
        <family val="2"/>
        <scheme val="minor"/>
      </rPr>
      <t>02</t>
    </r>
    <r>
      <rPr>
        <sz val="10"/>
        <color theme="1"/>
        <rFont val="Calibri"/>
        <family val="2"/>
        <scheme val="minor"/>
      </rPr>
      <t xml:space="preserve"> - Early Head Start
</t>
    </r>
    <r>
      <rPr>
        <b/>
        <sz val="10"/>
        <color theme="1"/>
        <rFont val="Calibri"/>
        <family val="2"/>
        <scheme val="minor"/>
      </rPr>
      <t>03</t>
    </r>
    <r>
      <rPr>
        <sz val="10"/>
        <color theme="1"/>
        <rFont val="Calibri"/>
        <family val="2"/>
        <scheme val="minor"/>
      </rPr>
      <t xml:space="preserve"> - Office of Child Care-CCDF
</t>
    </r>
    <r>
      <rPr>
        <b/>
        <sz val="10"/>
        <color theme="1"/>
        <rFont val="Calibri"/>
        <family val="2"/>
        <scheme val="minor"/>
      </rPr>
      <t>04</t>
    </r>
    <r>
      <rPr>
        <sz val="10"/>
        <color theme="1"/>
        <rFont val="Calibri"/>
        <family val="2"/>
        <scheme val="minor"/>
      </rPr>
      <t xml:space="preserve"> - Early Intervention Part C
</t>
    </r>
    <r>
      <rPr>
        <b/>
        <sz val="10"/>
        <color theme="1"/>
        <rFont val="Calibri"/>
        <family val="2"/>
        <scheme val="minor"/>
      </rPr>
      <t>05</t>
    </r>
    <r>
      <rPr>
        <sz val="10"/>
        <color theme="1"/>
        <rFont val="Calibri"/>
        <family val="2"/>
        <scheme val="minor"/>
      </rPr>
      <t xml:space="preserve"> - Special Education Preschool Part B 619
</t>
    </r>
    <r>
      <rPr>
        <b/>
        <sz val="10"/>
        <color theme="1"/>
        <rFont val="Calibri"/>
        <family val="2"/>
        <scheme val="minor"/>
      </rPr>
      <t>99</t>
    </r>
    <r>
      <rPr>
        <sz val="10"/>
        <color theme="1"/>
        <rFont val="Calibri"/>
        <family val="2"/>
        <scheme val="minor"/>
      </rPr>
      <t xml:space="preserve"> - Other
</t>
    </r>
  </si>
  <si>
    <t>001335</t>
  </si>
  <si>
    <t>EarlyLearningOtherFederalFundingSources</t>
  </si>
  <si>
    <t>Early Learning Outcome Measurement Level</t>
  </si>
  <si>
    <t>Use for outcome measures in early learning.</t>
  </si>
  <si>
    <r>
      <t>Baseline</t>
    </r>
    <r>
      <rPr>
        <sz val="10"/>
        <color theme="1"/>
        <rFont val="Calibri"/>
        <family val="2"/>
        <scheme val="minor"/>
      </rPr>
      <t xml:space="preserve"> - Baseline - at entry
</t>
    </r>
    <r>
      <rPr>
        <b/>
        <sz val="10"/>
        <color theme="1"/>
        <rFont val="Calibri"/>
        <family val="2"/>
        <scheme val="minor"/>
      </rPr>
      <t>AtExit</t>
    </r>
    <r>
      <rPr>
        <sz val="10"/>
        <color theme="1"/>
        <rFont val="Calibri"/>
        <family val="2"/>
        <scheme val="minor"/>
      </rPr>
      <t xml:space="preserve"> - At exit
</t>
    </r>
    <r>
      <rPr>
        <b/>
        <sz val="10"/>
        <color theme="1"/>
        <rFont val="Calibri"/>
        <family val="2"/>
        <scheme val="minor"/>
      </rPr>
      <t>No</t>
    </r>
    <r>
      <rPr>
        <sz val="10"/>
        <color theme="1"/>
        <rFont val="Calibri"/>
        <family val="2"/>
        <scheme val="minor"/>
      </rPr>
      <t xml:space="preserve"> - No
</t>
    </r>
    <r>
      <rPr>
        <b/>
        <sz val="10"/>
        <color theme="1"/>
        <rFont val="Calibri"/>
        <family val="2"/>
        <scheme val="minor"/>
      </rPr>
      <t>Other</t>
    </r>
    <r>
      <rPr>
        <sz val="10"/>
        <color theme="1"/>
        <rFont val="Calibri"/>
        <family val="2"/>
        <scheme val="minor"/>
      </rPr>
      <t xml:space="preserve"> - Other
</t>
    </r>
  </si>
  <si>
    <t>001336</t>
  </si>
  <si>
    <t>EarlyLearningOutcomeMeasurementLevel</t>
  </si>
  <si>
    <t>Early Learning Outcome Time Point</t>
  </si>
  <si>
    <t>The point in time for which the result is used for an outcome measure.</t>
  </si>
  <si>
    <r>
      <t>Baseline</t>
    </r>
    <r>
      <rPr>
        <sz val="10"/>
        <color theme="1"/>
        <rFont val="Calibri"/>
        <family val="2"/>
        <scheme val="minor"/>
      </rPr>
      <t xml:space="preserve"> - Baseline - at entry
</t>
    </r>
    <r>
      <rPr>
        <b/>
        <sz val="10"/>
        <color theme="1"/>
        <rFont val="Calibri"/>
        <family val="2"/>
        <scheme val="minor"/>
      </rPr>
      <t>AtExit</t>
    </r>
    <r>
      <rPr>
        <sz val="10"/>
        <color theme="1"/>
        <rFont val="Calibri"/>
        <family val="2"/>
        <scheme val="minor"/>
      </rPr>
      <t xml:space="preserve"> - At exit
</t>
    </r>
    <r>
      <rPr>
        <b/>
        <sz val="10"/>
        <color theme="1"/>
        <rFont val="Calibri"/>
        <family val="2"/>
        <scheme val="minor"/>
      </rPr>
      <t>NA</t>
    </r>
    <r>
      <rPr>
        <sz val="10"/>
        <color theme="1"/>
        <rFont val="Calibri"/>
        <family val="2"/>
        <scheme val="minor"/>
      </rPr>
      <t xml:space="preserve"> - Not applicable
</t>
    </r>
    <r>
      <rPr>
        <b/>
        <sz val="10"/>
        <color theme="1"/>
        <rFont val="Calibri"/>
        <family val="2"/>
        <scheme val="minor"/>
      </rPr>
      <t>Other</t>
    </r>
    <r>
      <rPr>
        <sz val="10"/>
        <color theme="1"/>
        <rFont val="Calibri"/>
        <family val="2"/>
        <scheme val="minor"/>
      </rPr>
      <t xml:space="preserve"> - Other
</t>
    </r>
  </si>
  <si>
    <t>001503</t>
  </si>
  <si>
    <t>EarlyLearningOutcomeTimePoint</t>
  </si>
  <si>
    <t>Early Learning Professional Development Topic Area</t>
  </si>
  <si>
    <t>The topical area of competence needed for Staff professional development.</t>
  </si>
  <si>
    <r>
      <t>01</t>
    </r>
    <r>
      <rPr>
        <sz val="10"/>
        <color theme="1"/>
        <rFont val="Calibri"/>
        <family val="2"/>
        <scheme val="minor"/>
      </rPr>
      <t xml:space="preserve"> - Child Growth and Development
</t>
    </r>
    <r>
      <rPr>
        <b/>
        <sz val="10"/>
        <color theme="1"/>
        <rFont val="Calibri"/>
        <family val="2"/>
        <scheme val="minor"/>
      </rPr>
      <t>02</t>
    </r>
    <r>
      <rPr>
        <sz val="10"/>
        <color theme="1"/>
        <rFont val="Calibri"/>
        <family val="2"/>
        <scheme val="minor"/>
      </rPr>
      <t xml:space="preserve"> - Health Safety and Nutrition
</t>
    </r>
    <r>
      <rPr>
        <b/>
        <sz val="10"/>
        <color theme="1"/>
        <rFont val="Calibri"/>
        <family val="2"/>
        <scheme val="minor"/>
      </rPr>
      <t>03</t>
    </r>
    <r>
      <rPr>
        <sz val="10"/>
        <color theme="1"/>
        <rFont val="Calibri"/>
        <family val="2"/>
        <scheme val="minor"/>
      </rPr>
      <t xml:space="preserve"> - Teaching and Learning
</t>
    </r>
    <r>
      <rPr>
        <b/>
        <sz val="10"/>
        <color theme="1"/>
        <rFont val="Calibri"/>
        <family val="2"/>
        <scheme val="minor"/>
      </rPr>
      <t>04</t>
    </r>
    <r>
      <rPr>
        <sz val="10"/>
        <color theme="1"/>
        <rFont val="Calibri"/>
        <family val="2"/>
        <scheme val="minor"/>
      </rPr>
      <t xml:space="preserve"> - Observing
</t>
    </r>
    <r>
      <rPr>
        <b/>
        <sz val="10"/>
        <color theme="1"/>
        <rFont val="Calibri"/>
        <family val="2"/>
        <scheme val="minor"/>
      </rPr>
      <t>05</t>
    </r>
    <r>
      <rPr>
        <sz val="10"/>
        <color theme="1"/>
        <rFont val="Calibri"/>
        <family val="2"/>
        <scheme val="minor"/>
      </rPr>
      <t xml:space="preserve"> - Documenting and Assessing Family and Community Relationships
</t>
    </r>
    <r>
      <rPr>
        <b/>
        <sz val="10"/>
        <color theme="1"/>
        <rFont val="Calibri"/>
        <family val="2"/>
        <scheme val="minor"/>
      </rPr>
      <t>06</t>
    </r>
    <r>
      <rPr>
        <sz val="10"/>
        <color theme="1"/>
        <rFont val="Calibri"/>
        <family val="2"/>
        <scheme val="minor"/>
      </rPr>
      <t xml:space="preserve"> - Administration and Management
</t>
    </r>
    <r>
      <rPr>
        <b/>
        <sz val="10"/>
        <color theme="1"/>
        <rFont val="Calibri"/>
        <family val="2"/>
        <scheme val="minor"/>
      </rPr>
      <t>07</t>
    </r>
    <r>
      <rPr>
        <sz val="10"/>
        <color theme="1"/>
        <rFont val="Calibri"/>
        <family val="2"/>
        <scheme val="minor"/>
      </rPr>
      <t xml:space="preserve"> - Early Childhood Education Profession and Policy
</t>
    </r>
    <r>
      <rPr>
        <b/>
        <sz val="10"/>
        <color theme="1"/>
        <rFont val="Calibri"/>
        <family val="2"/>
        <scheme val="minor"/>
      </rPr>
      <t>08</t>
    </r>
    <r>
      <rPr>
        <sz val="10"/>
        <color theme="1"/>
        <rFont val="Calibri"/>
        <family val="2"/>
        <scheme val="minor"/>
      </rPr>
      <t xml:space="preserve"> - Working with Diverse Populations
</t>
    </r>
    <r>
      <rPr>
        <b/>
        <sz val="10"/>
        <color theme="1"/>
        <rFont val="Calibri"/>
        <family val="2"/>
        <scheme val="minor"/>
      </rPr>
      <t>99</t>
    </r>
    <r>
      <rPr>
        <sz val="10"/>
        <color theme="1"/>
        <rFont val="Calibri"/>
        <family val="2"/>
        <scheme val="minor"/>
      </rPr>
      <t xml:space="preserve"> - Other
</t>
    </r>
  </si>
  <si>
    <t>001337</t>
  </si>
  <si>
    <t>EarlyLearningProfessionalDevelopmentTopicArea</t>
  </si>
  <si>
    <t>Early Learning Program Annual Operating Weeks</t>
  </si>
  <si>
    <t>The number of operating weeks per year for an early learning program.</t>
  </si>
  <si>
    <t>Early Learning -&gt; EL Class/Group
Early Learning -&gt; EL Organization -&gt; Organization Information</t>
  </si>
  <si>
    <t>Integer - between 0 and 52</t>
  </si>
  <si>
    <t>000825</t>
  </si>
  <si>
    <t>EarlyLearningProgramAnnualOperatingWeeks</t>
  </si>
  <si>
    <t>Early Learning Program Developmental Screening Status</t>
  </si>
  <si>
    <t>An indication of whether a program ensures that all children served by the program are receiving developmental screenings.</t>
  </si>
  <si>
    <t>Early Learning -&gt; EL Organization -&gt; Health Promotion</t>
  </si>
  <si>
    <t>000848</t>
  </si>
  <si>
    <t>EarlyLearningProgramDevelopmentalScreeningStatus</t>
  </si>
  <si>
    <t>Early Learning Program Eligibility Category</t>
  </si>
  <si>
    <t>Category under which the person is eligible for an early childhood program or service.</t>
  </si>
  <si>
    <r>
      <t>Age</t>
    </r>
    <r>
      <rPr>
        <sz val="10"/>
        <color theme="1"/>
        <rFont val="Calibri"/>
        <family val="2"/>
        <scheme val="minor"/>
      </rPr>
      <t xml:space="preserve"> - Age
</t>
    </r>
    <r>
      <rPr>
        <b/>
        <sz val="10"/>
        <color theme="1"/>
        <rFont val="Calibri"/>
        <family val="2"/>
        <scheme val="minor"/>
      </rPr>
      <t>FamilyIncome</t>
    </r>
    <r>
      <rPr>
        <sz val="10"/>
        <color theme="1"/>
        <rFont val="Calibri"/>
        <family val="2"/>
        <scheme val="minor"/>
      </rPr>
      <t xml:space="preserve"> - Family income
</t>
    </r>
    <r>
      <rPr>
        <b/>
        <sz val="10"/>
        <color theme="1"/>
        <rFont val="Calibri"/>
        <family val="2"/>
        <scheme val="minor"/>
      </rPr>
      <t>DisabilityStatus</t>
    </r>
    <r>
      <rPr>
        <sz val="10"/>
        <color theme="1"/>
        <rFont val="Calibri"/>
        <family val="2"/>
        <scheme val="minor"/>
      </rPr>
      <t xml:space="preserve"> - Disability Status
</t>
    </r>
    <r>
      <rPr>
        <b/>
        <sz val="10"/>
        <color theme="1"/>
        <rFont val="Calibri"/>
        <family val="2"/>
        <scheme val="minor"/>
      </rPr>
      <t>SSSI</t>
    </r>
    <r>
      <rPr>
        <sz val="10"/>
        <color theme="1"/>
        <rFont val="Calibri"/>
        <family val="2"/>
        <scheme val="minor"/>
      </rPr>
      <t xml:space="preserve"> - Supplemental social security income
</t>
    </r>
    <r>
      <rPr>
        <b/>
        <sz val="10"/>
        <color theme="1"/>
        <rFont val="Calibri"/>
        <family val="2"/>
        <scheme val="minor"/>
      </rPr>
      <t>WIC</t>
    </r>
    <r>
      <rPr>
        <sz val="10"/>
        <color theme="1"/>
        <rFont val="Calibri"/>
        <family val="2"/>
        <scheme val="minor"/>
      </rPr>
      <t xml:space="preserve"> - Women, infants, and children
</t>
    </r>
    <r>
      <rPr>
        <b/>
        <sz val="10"/>
        <color theme="1"/>
        <rFont val="Calibri"/>
        <family val="2"/>
        <scheme val="minor"/>
      </rPr>
      <t>TANF</t>
    </r>
    <r>
      <rPr>
        <sz val="10"/>
        <color theme="1"/>
        <rFont val="Calibri"/>
        <family val="2"/>
        <scheme val="minor"/>
      </rPr>
      <t xml:space="preserve"> - Temporary assistance for needy families
</t>
    </r>
    <r>
      <rPr>
        <b/>
        <sz val="10"/>
        <color theme="1"/>
        <rFont val="Calibri"/>
        <family val="2"/>
        <scheme val="minor"/>
      </rPr>
      <t>OtherPublicAssistance</t>
    </r>
    <r>
      <rPr>
        <sz val="10"/>
        <color theme="1"/>
        <rFont val="Calibri"/>
        <family val="2"/>
        <scheme val="minor"/>
      </rPr>
      <t xml:space="preserve"> - Other public assistance
</t>
    </r>
    <r>
      <rPr>
        <b/>
        <sz val="10"/>
        <color theme="1"/>
        <rFont val="Calibri"/>
        <family val="2"/>
        <scheme val="minor"/>
      </rPr>
      <t>Foster</t>
    </r>
    <r>
      <rPr>
        <sz val="10"/>
        <color theme="1"/>
        <rFont val="Calibri"/>
        <family val="2"/>
        <scheme val="minor"/>
      </rPr>
      <t xml:space="preserve"> - Foster
</t>
    </r>
    <r>
      <rPr>
        <b/>
        <sz val="10"/>
        <color theme="1"/>
        <rFont val="Calibri"/>
        <family val="2"/>
        <scheme val="minor"/>
      </rPr>
      <t>MilitaryFamily</t>
    </r>
    <r>
      <rPr>
        <sz val="10"/>
        <color theme="1"/>
        <rFont val="Calibri"/>
        <family val="2"/>
        <scheme val="minor"/>
      </rPr>
      <t xml:space="preserve"> - Military family
</t>
    </r>
    <r>
      <rPr>
        <b/>
        <sz val="10"/>
        <color theme="1"/>
        <rFont val="Calibri"/>
        <family val="2"/>
        <scheme val="minor"/>
      </rPr>
      <t>ELL</t>
    </r>
    <r>
      <rPr>
        <sz val="10"/>
        <color theme="1"/>
        <rFont val="Calibri"/>
        <family val="2"/>
        <scheme val="minor"/>
      </rPr>
      <t xml:space="preserve"> - Home language other than English
</t>
    </r>
    <r>
      <rPr>
        <b/>
        <sz val="10"/>
        <color theme="1"/>
        <rFont val="Calibri"/>
        <family val="2"/>
        <scheme val="minor"/>
      </rPr>
      <t>OtherFamilyRisk</t>
    </r>
    <r>
      <rPr>
        <sz val="10"/>
        <color theme="1"/>
        <rFont val="Calibri"/>
        <family val="2"/>
        <scheme val="minor"/>
      </rPr>
      <t xml:space="preserve"> - Other family risk factors
</t>
    </r>
    <r>
      <rPr>
        <b/>
        <sz val="10"/>
        <color theme="1"/>
        <rFont val="Calibri"/>
        <family val="2"/>
        <scheme val="minor"/>
      </rPr>
      <t>OtherChildRisk</t>
    </r>
    <r>
      <rPr>
        <sz val="10"/>
        <color theme="1"/>
        <rFont val="Calibri"/>
        <family val="2"/>
        <scheme val="minor"/>
      </rPr>
      <t xml:space="preserve"> - Other child risk factors
</t>
    </r>
    <r>
      <rPr>
        <b/>
        <sz val="10"/>
        <color theme="1"/>
        <rFont val="Calibri"/>
        <family val="2"/>
        <scheme val="minor"/>
      </rPr>
      <t>AtRisk</t>
    </r>
    <r>
      <rPr>
        <sz val="10"/>
        <color theme="1"/>
        <rFont val="Calibri"/>
        <family val="2"/>
        <scheme val="minor"/>
      </rPr>
      <t xml:space="preserve"> - At-risk of having a substantial developmental delay
</t>
    </r>
    <r>
      <rPr>
        <b/>
        <sz val="10"/>
        <color theme="1"/>
        <rFont val="Calibri"/>
        <family val="2"/>
        <scheme val="minor"/>
      </rPr>
      <t>Other</t>
    </r>
    <r>
      <rPr>
        <sz val="10"/>
        <color theme="1"/>
        <rFont val="Calibri"/>
        <family val="2"/>
        <scheme val="minor"/>
      </rPr>
      <t xml:space="preserve"> - Other
</t>
    </r>
  </si>
  <si>
    <t>Early Learning -&gt; EL Child -&gt; Eligibility</t>
  </si>
  <si>
    <t>000304</t>
  </si>
  <si>
    <t>EarlyLearningProgramEligibilityCategory</t>
  </si>
  <si>
    <t>Early Learning Program Eligibility Expiration Date</t>
  </si>
  <si>
    <t>The year, month, and day on which the child is no longer eligible for the Program.</t>
  </si>
  <si>
    <t>001338</t>
  </si>
  <si>
    <t>EarlyLearningProgramEligibilityExpirationDate</t>
  </si>
  <si>
    <t>Early Learning Program Eligibility Status</t>
  </si>
  <si>
    <t>The status of eligibility for the child.</t>
  </si>
  <si>
    <r>
      <t>Pending</t>
    </r>
    <r>
      <rPr>
        <sz val="10"/>
        <color theme="1"/>
        <rFont val="Calibri"/>
        <family val="2"/>
        <scheme val="minor"/>
      </rPr>
      <t xml:space="preserve"> - Pending
</t>
    </r>
    <r>
      <rPr>
        <b/>
        <sz val="10"/>
        <color theme="1"/>
        <rFont val="Calibri"/>
        <family val="2"/>
        <scheme val="minor"/>
      </rPr>
      <t>NotEligible</t>
    </r>
    <r>
      <rPr>
        <sz val="10"/>
        <color theme="1"/>
        <rFont val="Calibri"/>
        <family val="2"/>
        <scheme val="minor"/>
      </rPr>
      <t xml:space="preserve"> - Not found eligible
</t>
    </r>
    <r>
      <rPr>
        <b/>
        <sz val="10"/>
        <color theme="1"/>
        <rFont val="Calibri"/>
        <family val="2"/>
        <scheme val="minor"/>
      </rPr>
      <t>Eligible</t>
    </r>
    <r>
      <rPr>
        <sz val="10"/>
        <color theme="1"/>
        <rFont val="Calibri"/>
        <family val="2"/>
        <scheme val="minor"/>
      </rPr>
      <t xml:space="preserve"> - Found eligible
</t>
    </r>
    <r>
      <rPr>
        <b/>
        <sz val="10"/>
        <color theme="1"/>
        <rFont val="Calibri"/>
        <family val="2"/>
        <scheme val="minor"/>
      </rPr>
      <t>NotActive</t>
    </r>
    <r>
      <rPr>
        <sz val="10"/>
        <color theme="1"/>
        <rFont val="Calibri"/>
        <family val="2"/>
        <scheme val="minor"/>
      </rPr>
      <t xml:space="preserve"> - Not yet active
</t>
    </r>
  </si>
  <si>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</si>
  <si>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</si>
  <si>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</si>
  <si>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</si>
  <si>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</si>
  <si>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</si>
  <si>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</si>
  <si>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</si>
  <si>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</si>
  <si>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</si>
  <si>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</si>
  <si>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</si>
  <si>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</si>
  <si>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</si>
  <si>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</si>
  <si>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</si>
  <si>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r>
      <t>Unlicensed</t>
    </r>
    <r>
      <rPr>
        <sz val="10"/>
        <color theme="1"/>
        <rFont val="Calibri"/>
        <family val="2"/>
        <scheme val="minor"/>
      </rPr>
      <t xml:space="preserve"> - Unlicensed
</t>
    </r>
    <r>
      <rPr>
        <b/>
        <sz val="10"/>
        <color theme="1"/>
        <rFont val="Calibri"/>
        <family val="2"/>
        <scheme val="minor"/>
      </rPr>
      <t>ExemptRegulated</t>
    </r>
    <r>
      <rPr>
        <sz val="10"/>
        <color theme="1"/>
        <rFont val="Calibri"/>
        <family val="2"/>
        <scheme val="minor"/>
      </rPr>
      <t xml:space="preserve"> - Exempt - regulated
</t>
    </r>
    <r>
      <rPr>
        <b/>
        <sz val="10"/>
        <color theme="1"/>
        <rFont val="Calibri"/>
        <family val="2"/>
        <scheme val="minor"/>
      </rPr>
      <t>ExemptUnregulated</t>
    </r>
    <r>
      <rPr>
        <sz val="10"/>
        <color theme="1"/>
        <rFont val="Calibri"/>
        <family val="2"/>
        <scheme val="minor"/>
      </rPr>
      <t xml:space="preserve"> - Exempt - unregulated
</t>
    </r>
    <r>
      <rPr>
        <b/>
        <sz val="10"/>
        <color theme="1"/>
        <rFont val="Calibri"/>
        <family val="2"/>
        <scheme val="minor"/>
      </rPr>
      <t>Licensed</t>
    </r>
    <r>
      <rPr>
        <sz val="10"/>
        <color theme="1"/>
        <rFont val="Calibri"/>
        <family val="2"/>
        <scheme val="minor"/>
      </rPr>
      <t xml:space="preserve"> - Licensed
</t>
    </r>
  </si>
  <si>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</si>
  <si>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</si>
  <si>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</si>
  <si>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</si>
  <si>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</si>
  <si>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</si>
  <si>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</si>
  <si>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</si>
  <si>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r>
      <t>ABAAide</t>
    </r>
    <r>
      <rPr>
        <sz val="10"/>
        <color theme="1"/>
        <rFont val="Calibri"/>
        <family val="2"/>
        <scheme val="minor"/>
      </rPr>
      <t xml:space="preserve"> - Applied Behavior Analysis (ABA) Aide
</t>
    </r>
    <r>
      <rPr>
        <b/>
        <sz val="10"/>
        <color theme="1"/>
        <rFont val="Calibri"/>
        <family val="2"/>
        <scheme val="minor"/>
      </rPr>
      <t>Audiologist</t>
    </r>
    <r>
      <rPr>
        <sz val="10"/>
        <color theme="1"/>
        <rFont val="Calibri"/>
        <family val="2"/>
        <scheme val="minor"/>
      </rPr>
      <t xml:space="preserve"> - Audiologist
</t>
    </r>
    <r>
      <rPr>
        <b/>
        <sz val="10"/>
        <color theme="1"/>
        <rFont val="Calibri"/>
        <family val="2"/>
        <scheme val="minor"/>
      </rPr>
      <t>BCaBA</t>
    </r>
    <r>
      <rPr>
        <sz val="10"/>
        <color theme="1"/>
        <rFont val="Calibri"/>
        <family val="2"/>
        <scheme val="minor"/>
      </rPr>
      <t xml:space="preserve"> - Board Certified Assistant Behavior Analyst (BCaBA)
</t>
    </r>
    <r>
      <rPr>
        <b/>
        <sz val="10"/>
        <color theme="1"/>
        <rFont val="Calibri"/>
        <family val="2"/>
        <scheme val="minor"/>
      </rPr>
      <t>BCBA</t>
    </r>
    <r>
      <rPr>
        <sz val="10"/>
        <color theme="1"/>
        <rFont val="Calibri"/>
        <family val="2"/>
        <scheme val="minor"/>
      </rPr>
      <t xml:space="preserve"> - Board Certified Behavior Analyst (BCBA)
</t>
    </r>
    <r>
      <rPr>
        <b/>
        <sz val="10"/>
        <color theme="1"/>
        <rFont val="Calibri"/>
        <family val="2"/>
        <scheme val="minor"/>
      </rPr>
      <t>LowVisionSpecialist</t>
    </r>
    <r>
      <rPr>
        <sz val="10"/>
        <color theme="1"/>
        <rFont val="Calibri"/>
        <family val="2"/>
        <scheme val="minor"/>
      </rPr>
      <t xml:space="preserve"> - Certified Low Vision Specialist
</t>
    </r>
    <r>
      <rPr>
        <b/>
        <sz val="10"/>
        <color theme="1"/>
        <rFont val="Calibri"/>
        <family val="2"/>
        <scheme val="minor"/>
      </rPr>
      <t>OccupationalTherapyAssistant</t>
    </r>
    <r>
      <rPr>
        <sz val="10"/>
        <color theme="1"/>
        <rFont val="Calibri"/>
        <family val="2"/>
        <scheme val="minor"/>
      </rPr>
      <t xml:space="preserve"> - Certified Occupational Therapy Assistant
</t>
    </r>
    <r>
      <rPr>
        <b/>
        <sz val="10"/>
        <color theme="1"/>
        <rFont val="Calibri"/>
        <family val="2"/>
        <scheme val="minor"/>
      </rPr>
      <t>SocialWorker</t>
    </r>
    <r>
      <rPr>
        <sz val="10"/>
        <color theme="1"/>
        <rFont val="Calibri"/>
        <family val="2"/>
        <scheme val="minor"/>
      </rPr>
      <t xml:space="preserve"> - Clinical and Masters Social Worker
</t>
    </r>
    <r>
      <rPr>
        <b/>
        <sz val="10"/>
        <color theme="1"/>
        <rFont val="Calibri"/>
        <family val="2"/>
        <scheme val="minor"/>
      </rPr>
      <t>ContractStaff</t>
    </r>
    <r>
      <rPr>
        <sz val="10"/>
        <color theme="1"/>
        <rFont val="Calibri"/>
        <family val="2"/>
        <scheme val="minor"/>
      </rPr>
      <t xml:space="preserve"> - Contract Staff
</t>
    </r>
    <r>
      <rPr>
        <b/>
        <sz val="10"/>
        <color theme="1"/>
        <rFont val="Calibri"/>
        <family val="2"/>
        <scheme val="minor"/>
      </rPr>
      <t>HomeVisitor</t>
    </r>
    <r>
      <rPr>
        <sz val="10"/>
        <color theme="1"/>
        <rFont val="Calibri"/>
        <family val="2"/>
        <scheme val="minor"/>
      </rPr>
      <t xml:space="preserve"> - Home Visitor
</t>
    </r>
    <r>
      <rPr>
        <b/>
        <sz val="10"/>
        <color theme="1"/>
        <rFont val="Calibri"/>
        <family val="2"/>
        <scheme val="minor"/>
      </rPr>
      <t>Nurse</t>
    </r>
    <r>
      <rPr>
        <sz val="10"/>
        <color theme="1"/>
        <rFont val="Calibri"/>
        <family val="2"/>
        <scheme val="minor"/>
      </rPr>
      <t xml:space="preserve"> - Nurse (LPN, RN, NP)
</t>
    </r>
    <r>
      <rPr>
        <b/>
        <sz val="10"/>
        <color theme="1"/>
        <rFont val="Calibri"/>
        <family val="2"/>
        <scheme val="minor"/>
      </rPr>
      <t>OccupationalTherapist</t>
    </r>
    <r>
      <rPr>
        <sz val="10"/>
        <color theme="1"/>
        <rFont val="Calibri"/>
        <family val="2"/>
        <scheme val="minor"/>
      </rPr>
      <t xml:space="preserve"> - Occupational Therapist
</t>
    </r>
    <r>
      <rPr>
        <b/>
        <sz val="10"/>
        <color theme="1"/>
        <rFont val="Calibri"/>
        <family val="2"/>
        <scheme val="minor"/>
      </rPr>
      <t>Optometrist</t>
    </r>
    <r>
      <rPr>
        <sz val="10"/>
        <color theme="1"/>
        <rFont val="Calibri"/>
        <family val="2"/>
        <scheme val="minor"/>
      </rPr>
      <t xml:space="preserve"> - Optometrist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OtherPhysician</t>
    </r>
    <r>
      <rPr>
        <sz val="10"/>
        <color theme="1"/>
        <rFont val="Calibri"/>
        <family val="2"/>
        <scheme val="minor"/>
      </rPr>
      <t xml:space="preserve"> - Other Physician
</t>
    </r>
    <r>
      <rPr>
        <b/>
        <sz val="10"/>
        <color theme="1"/>
        <rFont val="Calibri"/>
        <family val="2"/>
        <scheme val="minor"/>
      </rPr>
      <t>OrientationMobilitySpecialist</t>
    </r>
    <r>
      <rPr>
        <sz val="10"/>
        <color theme="1"/>
        <rFont val="Calibri"/>
        <family val="2"/>
        <scheme val="minor"/>
      </rPr>
      <t xml:space="preserve"> - Orientation and Mobility Specialist
</t>
    </r>
    <r>
      <rPr>
        <b/>
        <sz val="10"/>
        <color theme="1"/>
        <rFont val="Calibri"/>
        <family val="2"/>
        <scheme val="minor"/>
      </rPr>
      <t>Pediatrician</t>
    </r>
    <r>
      <rPr>
        <sz val="10"/>
        <color theme="1"/>
        <rFont val="Calibri"/>
        <family val="2"/>
        <scheme val="minor"/>
      </rPr>
      <t xml:space="preserve"> - Pediatrician
</t>
    </r>
    <r>
      <rPr>
        <b/>
        <sz val="10"/>
        <color theme="1"/>
        <rFont val="Calibri"/>
        <family val="2"/>
        <scheme val="minor"/>
      </rPr>
      <t>PhysicalTherapist</t>
    </r>
    <r>
      <rPr>
        <sz val="10"/>
        <color theme="1"/>
        <rFont val="Calibri"/>
        <family val="2"/>
        <scheme val="minor"/>
      </rPr>
      <t xml:space="preserve"> - Physical Therapist/Physical Therapy Assistant
</t>
    </r>
    <r>
      <rPr>
        <b/>
        <sz val="10"/>
        <color theme="1"/>
        <rFont val="Calibri"/>
        <family val="2"/>
        <scheme val="minor"/>
      </rPr>
      <t>PhysicianAssistant</t>
    </r>
    <r>
      <rPr>
        <sz val="10"/>
        <color theme="1"/>
        <rFont val="Calibri"/>
        <family val="2"/>
        <scheme val="minor"/>
      </rPr>
      <t xml:space="preserve"> - Physician Assistant
</t>
    </r>
    <r>
      <rPr>
        <b/>
        <sz val="10"/>
        <color theme="1"/>
        <rFont val="Calibri"/>
        <family val="2"/>
        <scheme val="minor"/>
      </rPr>
      <t>Psychologists</t>
    </r>
    <r>
      <rPr>
        <sz val="10"/>
        <color theme="1"/>
        <rFont val="Calibri"/>
        <family val="2"/>
        <scheme val="minor"/>
      </rPr>
      <t xml:space="preserve"> - Psychologists
</t>
    </r>
    <r>
      <rPr>
        <b/>
        <sz val="10"/>
        <color theme="1"/>
        <rFont val="Calibri"/>
        <family val="2"/>
        <scheme val="minor"/>
      </rPr>
      <t>RegisteredNutritionist</t>
    </r>
    <r>
      <rPr>
        <sz val="10"/>
        <color theme="1"/>
        <rFont val="Calibri"/>
        <family val="2"/>
        <scheme val="minor"/>
      </rPr>
      <t xml:space="preserve"> - Registered or Certified Dietitian/Nutritionist
</t>
    </r>
    <r>
      <rPr>
        <b/>
        <sz val="10"/>
        <color theme="1"/>
        <rFont val="Calibri"/>
        <family val="2"/>
        <scheme val="minor"/>
      </rPr>
      <t>SchoolPsychologist</t>
    </r>
    <r>
      <rPr>
        <sz val="10"/>
        <color theme="1"/>
        <rFont val="Calibri"/>
        <family val="2"/>
        <scheme val="minor"/>
      </rPr>
      <t xml:space="preserve"> - School Psychologist
</t>
    </r>
    <r>
      <rPr>
        <b/>
        <sz val="10"/>
        <color theme="1"/>
        <rFont val="Calibri"/>
        <family val="2"/>
        <scheme val="minor"/>
      </rPr>
      <t>ServiceCoordinator</t>
    </r>
    <r>
      <rPr>
        <sz val="10"/>
        <color theme="1"/>
        <rFont val="Calibri"/>
        <family val="2"/>
        <scheme val="minor"/>
      </rPr>
      <t xml:space="preserve"> - Service Coordinator
</t>
    </r>
    <r>
      <rPr>
        <b/>
        <sz val="10"/>
        <color theme="1"/>
        <rFont val="Calibri"/>
        <family val="2"/>
        <scheme val="minor"/>
      </rPr>
      <t>SpecialEducationTeacher</t>
    </r>
    <r>
      <rPr>
        <sz val="10"/>
        <color theme="1"/>
        <rFont val="Calibri"/>
        <family val="2"/>
        <scheme val="minor"/>
      </rPr>
      <t xml:space="preserve"> - Special Education Teacher
</t>
    </r>
    <r>
      <rPr>
        <b/>
        <sz val="10"/>
        <color theme="1"/>
        <rFont val="Calibri"/>
        <family val="2"/>
        <scheme val="minor"/>
      </rPr>
      <t>SpeechPathologist</t>
    </r>
    <r>
      <rPr>
        <sz val="10"/>
        <color theme="1"/>
        <rFont val="Calibri"/>
        <family val="2"/>
        <scheme val="minor"/>
      </rPr>
      <t xml:space="preserve"> - Speech and Language Pathologist
</t>
    </r>
    <r>
      <rPr>
        <b/>
        <sz val="10"/>
        <color theme="1"/>
        <rFont val="Calibri"/>
        <family val="2"/>
        <scheme val="minor"/>
      </rPr>
      <t>TeacherOfLanguageDisabilities</t>
    </r>
    <r>
      <rPr>
        <sz val="10"/>
        <color theme="1"/>
        <rFont val="Calibri"/>
        <family val="2"/>
        <scheme val="minor"/>
      </rPr>
      <t xml:space="preserve"> - Teacher of Speech and Language Disabilities
</t>
    </r>
    <r>
      <rPr>
        <b/>
        <sz val="10"/>
        <color theme="1"/>
        <rFont val="Calibri"/>
        <family val="2"/>
        <scheme val="minor"/>
      </rPr>
      <t>TeacherOfVisuallyImpaired</t>
    </r>
    <r>
      <rPr>
        <sz val="10"/>
        <color theme="1"/>
        <rFont val="Calibri"/>
        <family val="2"/>
        <scheme val="minor"/>
      </rPr>
      <t xml:space="preserve"> - Teacher of the Blind and Visually Impaired
</t>
    </r>
    <r>
      <rPr>
        <b/>
        <sz val="10"/>
        <color theme="1"/>
        <rFont val="Calibri"/>
        <family val="2"/>
        <scheme val="minor"/>
      </rPr>
      <t>TeacherOfHearingImpaired</t>
    </r>
    <r>
      <rPr>
        <sz val="10"/>
        <color theme="1"/>
        <rFont val="Calibri"/>
        <family val="2"/>
        <scheme val="minor"/>
      </rPr>
      <t xml:space="preserve"> - Teacher of the Deaf and Hearing Impaired
</t>
    </r>
    <r>
      <rPr>
        <b/>
        <sz val="10"/>
        <color theme="1"/>
        <rFont val="Calibri"/>
        <family val="2"/>
        <scheme val="minor"/>
      </rPr>
      <t>VisionRehabTherapist</t>
    </r>
    <r>
      <rPr>
        <sz val="10"/>
        <color theme="1"/>
        <rFont val="Calibri"/>
        <family val="2"/>
        <scheme val="minor"/>
      </rPr>
      <t xml:space="preserve"> - Vision Rehabilitation Therapist
</t>
    </r>
  </si>
  <si>
    <t>001636</t>
  </si>
  <si>
    <t>EarlyLearningServiceProfessionalStaffClassification</t>
  </si>
  <si>
    <t>Early Learning Service Type</t>
  </si>
  <si>
    <t>A type of service provided to a child.</t>
  </si>
  <si>
    <r>
      <t>MentalHealth</t>
    </r>
    <r>
      <rPr>
        <sz val="10"/>
        <color theme="1"/>
        <rFont val="Calibri"/>
        <family val="2"/>
        <scheme val="minor"/>
      </rPr>
      <t xml:space="preserve"> - Mental health
</t>
    </r>
    <r>
      <rPr>
        <b/>
        <sz val="10"/>
        <color theme="1"/>
        <rFont val="Calibri"/>
        <family val="2"/>
        <scheme val="minor"/>
      </rPr>
      <t>Nutritional</t>
    </r>
    <r>
      <rPr>
        <sz val="10"/>
        <color theme="1"/>
        <rFont val="Calibri"/>
        <family val="2"/>
        <scheme val="minor"/>
      </rPr>
      <t xml:space="preserve"> - Nutritional
</t>
    </r>
    <r>
      <rPr>
        <b/>
        <sz val="10"/>
        <color theme="1"/>
        <rFont val="Calibri"/>
        <family val="2"/>
        <scheme val="minor"/>
      </rPr>
      <t>Educational</t>
    </r>
    <r>
      <rPr>
        <sz val="10"/>
        <color theme="1"/>
        <rFont val="Calibri"/>
        <family val="2"/>
        <scheme val="minor"/>
      </rPr>
      <t xml:space="preserve"> - Educational
</t>
    </r>
    <r>
      <rPr>
        <b/>
        <sz val="10"/>
        <color theme="1"/>
        <rFont val="Calibri"/>
        <family val="2"/>
        <scheme val="minor"/>
      </rPr>
      <t>PhysicalRehabilitation</t>
    </r>
    <r>
      <rPr>
        <sz val="10"/>
        <color theme="1"/>
        <rFont val="Calibri"/>
        <family val="2"/>
        <scheme val="minor"/>
      </rPr>
      <t xml:space="preserve"> - Physical rehabilitation
</t>
    </r>
    <r>
      <rPr>
        <b/>
        <sz val="10"/>
        <color theme="1"/>
        <rFont val="Calibri"/>
        <family val="2"/>
        <scheme val="minor"/>
      </rPr>
      <t>DentalHealth</t>
    </r>
    <r>
      <rPr>
        <sz val="10"/>
        <color theme="1"/>
        <rFont val="Calibri"/>
        <family val="2"/>
        <scheme val="minor"/>
      </rPr>
      <t xml:space="preserve"> - Dental Health
</t>
    </r>
    <r>
      <rPr>
        <b/>
        <sz val="10"/>
        <color theme="1"/>
        <rFont val="Calibri"/>
        <family val="2"/>
        <scheme val="minor"/>
      </rPr>
      <t>Other</t>
    </r>
    <r>
      <rPr>
        <sz val="10"/>
        <color theme="1"/>
        <rFont val="Calibri"/>
        <family val="2"/>
        <scheme val="minor"/>
      </rPr>
      <t xml:space="preserve"> - Other
</t>
    </r>
  </si>
  <si>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</si>
  <si>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</si>
  <si>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</si>
  <si>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</si>
  <si>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</si>
  <si>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</si>
  <si>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</si>
  <si>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Funds that originate at the State, and not from a federal or local source, that contribute to EL program.</t>
  </si>
  <si>
    <r>
      <t>StatePartCAppropriations</t>
    </r>
    <r>
      <rPr>
        <sz val="10"/>
        <color theme="1"/>
        <rFont val="Calibri"/>
        <family val="2"/>
        <scheme val="minor"/>
      </rPr>
      <t xml:space="preserve"> - State Part C Appropriations
</t>
    </r>
    <r>
      <rPr>
        <b/>
        <sz val="10"/>
        <color theme="1"/>
        <rFont val="Calibri"/>
        <family val="2"/>
        <scheme val="minor"/>
      </rPr>
      <t>StateGeneralFunds</t>
    </r>
    <r>
      <rPr>
        <sz val="10"/>
        <color theme="1"/>
        <rFont val="Calibri"/>
        <family val="2"/>
        <scheme val="minor"/>
      </rPr>
      <t xml:space="preserve"> - State General Funds
</t>
    </r>
    <r>
      <rPr>
        <b/>
        <sz val="10"/>
        <color theme="1"/>
        <rFont val="Calibri"/>
        <family val="2"/>
        <scheme val="minor"/>
      </rPr>
      <t>TitleVStateFunds</t>
    </r>
    <r>
      <rPr>
        <sz val="10"/>
        <color theme="1"/>
        <rFont val="Calibri"/>
        <family val="2"/>
        <scheme val="minor"/>
      </rPr>
      <t xml:space="preserve"> - Title V State Funds
</t>
    </r>
    <r>
      <rPr>
        <b/>
        <sz val="10"/>
        <color theme="1"/>
        <rFont val="Calibri"/>
        <family val="2"/>
        <scheme val="minor"/>
      </rPr>
      <t>CSHCNStateFunds</t>
    </r>
    <r>
      <rPr>
        <sz val="10"/>
        <color theme="1"/>
        <rFont val="Calibri"/>
        <family val="2"/>
        <scheme val="minor"/>
      </rPr>
      <t xml:space="preserve"> - CSHCN State Funds
</t>
    </r>
    <r>
      <rPr>
        <b/>
        <sz val="10"/>
        <color theme="1"/>
        <rFont val="Calibri"/>
        <family val="2"/>
        <scheme val="minor"/>
      </rPr>
      <t>StateSpecialEducationFunds</t>
    </r>
    <r>
      <rPr>
        <sz val="10"/>
        <color theme="1"/>
        <rFont val="Calibri"/>
        <family val="2"/>
        <scheme val="minor"/>
      </rPr>
      <t xml:space="preserve"> - State Special Education Funds
</t>
    </r>
    <r>
      <rPr>
        <b/>
        <sz val="10"/>
        <color theme="1"/>
        <rFont val="Calibri"/>
        <family val="2"/>
        <scheme val="minor"/>
      </rPr>
      <t>StateChildCareFunds</t>
    </r>
    <r>
      <rPr>
        <sz val="10"/>
        <color theme="1"/>
        <rFont val="Calibri"/>
        <family val="2"/>
        <scheme val="minor"/>
      </rPr>
      <t xml:space="preserve"> - State Child Care Funds
</t>
    </r>
    <r>
      <rPr>
        <b/>
        <sz val="10"/>
        <color theme="1"/>
        <rFont val="Calibri"/>
        <family val="2"/>
        <scheme val="minor"/>
      </rPr>
      <t>LotteryFunds</t>
    </r>
    <r>
      <rPr>
        <sz val="10"/>
        <color theme="1"/>
        <rFont val="Calibri"/>
        <family val="2"/>
        <scheme val="minor"/>
      </rPr>
      <t xml:space="preserve"> - Lottery Funds
</t>
    </r>
    <r>
      <rPr>
        <b/>
        <sz val="10"/>
        <color theme="1"/>
        <rFont val="Calibri"/>
        <family val="2"/>
        <scheme val="minor"/>
      </rPr>
      <t>TobaccoFunds</t>
    </r>
    <r>
      <rPr>
        <sz val="10"/>
        <color theme="1"/>
        <rFont val="Calibri"/>
        <family val="2"/>
        <scheme val="minor"/>
      </rPr>
      <t xml:space="preserve"> - Tobacco Funds
</t>
    </r>
    <r>
      <rPr>
        <b/>
        <sz val="10"/>
        <color theme="1"/>
        <rFont val="Calibri"/>
        <family val="2"/>
        <scheme val="minor"/>
      </rPr>
      <t>StateHomeVisiting</t>
    </r>
    <r>
      <rPr>
        <sz val="10"/>
        <color theme="1"/>
        <rFont val="Calibri"/>
        <family val="2"/>
        <scheme val="minor"/>
      </rPr>
      <t xml:space="preserve"> - State Home Visiting
</t>
    </r>
    <r>
      <rPr>
        <b/>
        <sz val="10"/>
        <color theme="1"/>
        <rFont val="Calibri"/>
        <family val="2"/>
        <scheme val="minor"/>
      </rPr>
      <t>StateDevelopmentalDisabilitiesFund</t>
    </r>
    <r>
      <rPr>
        <sz val="10"/>
        <color theme="1"/>
        <rFont val="Calibri"/>
        <family val="2"/>
        <scheme val="minor"/>
      </rPr>
      <t xml:space="preserve"> - State Developmental Disabilities Fund
</t>
    </r>
    <r>
      <rPr>
        <b/>
        <sz val="10"/>
        <color theme="1"/>
        <rFont val="Calibri"/>
        <family val="2"/>
        <scheme val="minor"/>
      </rPr>
      <t>StateMentalHealthFunds</t>
    </r>
    <r>
      <rPr>
        <sz val="10"/>
        <color theme="1"/>
        <rFont val="Calibri"/>
        <family val="2"/>
        <scheme val="minor"/>
      </rPr>
      <t xml:space="preserve"> - State Mental Health Funds
</t>
    </r>
    <r>
      <rPr>
        <b/>
        <sz val="10"/>
        <color theme="1"/>
        <rFont val="Calibri"/>
        <family val="2"/>
        <scheme val="minor"/>
      </rPr>
      <t>DeafBlindSchools</t>
    </r>
    <r>
      <rPr>
        <sz val="10"/>
        <color theme="1"/>
        <rFont val="Calibri"/>
        <family val="2"/>
        <scheme val="minor"/>
      </rPr>
      <t xml:space="preserve"> - Deaf Blind Schools
</t>
    </r>
    <r>
      <rPr>
        <b/>
        <sz val="10"/>
        <color theme="1"/>
        <rFont val="Calibri"/>
        <family val="2"/>
        <scheme val="minor"/>
      </rPr>
      <t>SSBGStateSupplement</t>
    </r>
    <r>
      <rPr>
        <sz val="10"/>
        <color theme="1"/>
        <rFont val="Calibri"/>
        <family val="2"/>
        <scheme val="minor"/>
      </rPr>
      <t xml:space="preserve"> - SSBG State Supplement
</t>
    </r>
    <r>
      <rPr>
        <b/>
        <sz val="10"/>
        <color theme="1"/>
        <rFont val="Calibri"/>
        <family val="2"/>
        <scheme val="minor"/>
      </rPr>
      <t>StatePreK</t>
    </r>
    <r>
      <rPr>
        <sz val="10"/>
        <color theme="1"/>
        <rFont val="Calibri"/>
        <family val="2"/>
        <scheme val="minor"/>
      </rPr>
      <t xml:space="preserve"> - State Pre-K
</t>
    </r>
    <r>
      <rPr>
        <b/>
        <sz val="10"/>
        <color theme="1"/>
        <rFont val="Calibri"/>
        <family val="2"/>
        <scheme val="minor"/>
      </rPr>
      <t>HeadStartStateSupplementalFund</t>
    </r>
    <r>
      <rPr>
        <sz val="10"/>
        <color theme="1"/>
        <rFont val="Calibri"/>
        <family val="2"/>
        <scheme val="minor"/>
      </rPr>
      <t xml:space="preserve"> - Head Start State Supplemental Fund
</t>
    </r>
    <r>
      <rPr>
        <b/>
        <sz val="10"/>
        <color theme="1"/>
        <rFont val="Calibri"/>
        <family val="2"/>
        <scheme val="minor"/>
      </rPr>
      <t>StatePublicEducationFund</t>
    </r>
    <r>
      <rPr>
        <sz val="10"/>
        <color theme="1"/>
        <rFont val="Calibri"/>
        <family val="2"/>
        <scheme val="minor"/>
      </rPr>
      <t xml:space="preserve"> - State Public Education Fund
</t>
    </r>
    <r>
      <rPr>
        <b/>
        <sz val="10"/>
        <color theme="1"/>
        <rFont val="Calibri"/>
        <family val="2"/>
        <scheme val="minor"/>
      </rPr>
      <t>OtherStateFunds</t>
    </r>
    <r>
      <rPr>
        <sz val="10"/>
        <color theme="1"/>
        <rFont val="Calibri"/>
        <family val="2"/>
        <scheme val="minor"/>
      </rPr>
      <t xml:space="preserve"> - Other State Funds
</t>
    </r>
  </si>
  <si>
    <t>001605</t>
  </si>
  <si>
    <t>EarlyLearningStateRevenueSource</t>
  </si>
  <si>
    <t>Early Learning Trainer Core Knowledge Area</t>
  </si>
  <si>
    <t>A description of the core knowledge expertise of a trainer of a professional development experience.</t>
  </si>
  <si>
    <r>
      <t>01</t>
    </r>
    <r>
      <rPr>
        <sz val="10"/>
        <color theme="1"/>
        <rFont val="Calibri"/>
        <family val="2"/>
        <scheme val="minor"/>
      </rPr>
      <t xml:space="preserve"> - Child growth and development
</t>
    </r>
    <r>
      <rPr>
        <b/>
        <sz val="10"/>
        <color theme="1"/>
        <rFont val="Calibri"/>
        <family val="2"/>
        <scheme val="minor"/>
      </rPr>
      <t>02</t>
    </r>
    <r>
      <rPr>
        <sz val="10"/>
        <color theme="1"/>
        <rFont val="Calibri"/>
        <family val="2"/>
        <scheme val="minor"/>
      </rPr>
      <t xml:space="preserve"> - Health safety and nutrition
</t>
    </r>
    <r>
      <rPr>
        <b/>
        <sz val="10"/>
        <color theme="1"/>
        <rFont val="Calibri"/>
        <family val="2"/>
        <scheme val="minor"/>
      </rPr>
      <t>03</t>
    </r>
    <r>
      <rPr>
        <sz val="10"/>
        <color theme="1"/>
        <rFont val="Calibri"/>
        <family val="2"/>
        <scheme val="minor"/>
      </rPr>
      <t xml:space="preserve"> - Teaching and learning
</t>
    </r>
    <r>
      <rPr>
        <b/>
        <sz val="10"/>
        <color theme="1"/>
        <rFont val="Calibri"/>
        <family val="2"/>
        <scheme val="minor"/>
      </rPr>
      <t>04</t>
    </r>
    <r>
      <rPr>
        <sz val="10"/>
        <color theme="1"/>
        <rFont val="Calibri"/>
        <family val="2"/>
        <scheme val="minor"/>
      </rPr>
      <t xml:space="preserve"> - Observing, documenting and assessing
</t>
    </r>
    <r>
      <rPr>
        <b/>
        <sz val="10"/>
        <color theme="1"/>
        <rFont val="Calibri"/>
        <family val="2"/>
        <scheme val="minor"/>
      </rPr>
      <t>05</t>
    </r>
    <r>
      <rPr>
        <sz val="10"/>
        <color theme="1"/>
        <rFont val="Calibri"/>
        <family val="2"/>
        <scheme val="minor"/>
      </rPr>
      <t xml:space="preserve"> - Family and community relationships
</t>
    </r>
    <r>
      <rPr>
        <b/>
        <sz val="10"/>
        <color theme="1"/>
        <rFont val="Calibri"/>
        <family val="2"/>
        <scheme val="minor"/>
      </rPr>
      <t>06</t>
    </r>
    <r>
      <rPr>
        <sz val="10"/>
        <color theme="1"/>
        <rFont val="Calibri"/>
        <family val="2"/>
        <scheme val="minor"/>
      </rPr>
      <t xml:space="preserve"> - Administration and management
</t>
    </r>
    <r>
      <rPr>
        <b/>
        <sz val="10"/>
        <color theme="1"/>
        <rFont val="Calibri"/>
        <family val="2"/>
        <scheme val="minor"/>
      </rPr>
      <t>07</t>
    </r>
    <r>
      <rPr>
        <sz val="10"/>
        <color theme="1"/>
        <rFont val="Calibri"/>
        <family val="2"/>
        <scheme val="minor"/>
      </rPr>
      <t xml:space="preserve"> - Early childhood education profession and policy
</t>
    </r>
    <r>
      <rPr>
        <b/>
        <sz val="10"/>
        <color theme="1"/>
        <rFont val="Calibri"/>
        <family val="2"/>
        <scheme val="minor"/>
      </rPr>
      <t>99</t>
    </r>
    <r>
      <rPr>
        <sz val="10"/>
        <color theme="1"/>
        <rFont val="Calibri"/>
        <family val="2"/>
        <scheme val="minor"/>
      </rPr>
      <t xml:space="preserve"> - Other
</t>
    </r>
  </si>
  <si>
    <t>Early Learning -&gt; EL Staff -&gt; Professional Development -&gt; Instructor
Early Learning -&gt; EL Staff -&gt; Professional Development Activity -&gt; Session
K12 -&gt; K12 Staff -&gt; Professional Development -&gt; Instructor</t>
  </si>
  <si>
    <t>001606</t>
  </si>
  <si>
    <t>EarlyLearningTrainerCoreKnowledgeArea</t>
  </si>
  <si>
    <t>Early Learning Youngest Age Authorized to Serve</t>
  </si>
  <si>
    <t>The youngest age of children a class/group is authorized or licensed to serve. (Age is specified in months)</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</si>
  <si>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</si>
  <si>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</si>
  <si>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</si>
  <si>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</si>
  <si>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</si>
  <si>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</si>
  <si>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</si>
  <si>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</si>
  <si>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</si>
  <si>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r>
      <t>1</t>
    </r>
    <r>
      <rPr>
        <sz val="10"/>
        <color theme="1"/>
        <rFont val="Calibri"/>
        <family val="2"/>
        <scheme val="minor"/>
      </rPr>
      <t xml:space="preserve"> - Counties in metro areas of 1 million population or more
</t>
    </r>
    <r>
      <rPr>
        <b/>
        <sz val="10"/>
        <color theme="1"/>
        <rFont val="Calibri"/>
        <family val="2"/>
        <scheme val="minor"/>
      </rPr>
      <t>2</t>
    </r>
    <r>
      <rPr>
        <sz val="10"/>
        <color theme="1"/>
        <rFont val="Calibri"/>
        <family val="2"/>
        <scheme val="minor"/>
      </rPr>
      <t xml:space="preserve"> - Counties in metro areas of 250,000 to 1 million population
</t>
    </r>
    <r>
      <rPr>
        <b/>
        <sz val="10"/>
        <color theme="1"/>
        <rFont val="Calibri"/>
        <family val="2"/>
        <scheme val="minor"/>
      </rPr>
      <t>3</t>
    </r>
    <r>
      <rPr>
        <sz val="10"/>
        <color theme="1"/>
        <rFont val="Calibri"/>
        <family val="2"/>
        <scheme val="minor"/>
      </rPr>
      <t xml:space="preserve"> - Counties in metro areas of fewer than 250,000 population
</t>
    </r>
    <r>
      <rPr>
        <b/>
        <sz val="10"/>
        <color theme="1"/>
        <rFont val="Calibri"/>
        <family val="2"/>
        <scheme val="minor"/>
      </rPr>
      <t>4</t>
    </r>
    <r>
      <rPr>
        <sz val="10"/>
        <color theme="1"/>
        <rFont val="Calibri"/>
        <family val="2"/>
        <scheme val="minor"/>
      </rPr>
      <t xml:space="preserve"> - Urban population of 20,000 or more, adjacent to a metro area
</t>
    </r>
    <r>
      <rPr>
        <b/>
        <sz val="10"/>
        <color theme="1"/>
        <rFont val="Calibri"/>
        <family val="2"/>
        <scheme val="minor"/>
      </rPr>
      <t>5</t>
    </r>
    <r>
      <rPr>
        <sz val="10"/>
        <color theme="1"/>
        <rFont val="Calibri"/>
        <family val="2"/>
        <scheme val="minor"/>
      </rPr>
      <t xml:space="preserve"> - Urban population of 20,000 or more, not adjacent to a metro area
</t>
    </r>
    <r>
      <rPr>
        <b/>
        <sz val="10"/>
        <color theme="1"/>
        <rFont val="Calibri"/>
        <family val="2"/>
        <scheme val="minor"/>
      </rPr>
      <t>6</t>
    </r>
    <r>
      <rPr>
        <sz val="10"/>
        <color theme="1"/>
        <rFont val="Calibri"/>
        <family val="2"/>
        <scheme val="minor"/>
      </rPr>
      <t xml:space="preserve"> - Urban population of 2,500 to 19,999, adjacent to a metro area
</t>
    </r>
    <r>
      <rPr>
        <b/>
        <sz val="10"/>
        <color theme="1"/>
        <rFont val="Calibri"/>
        <family val="2"/>
        <scheme val="minor"/>
      </rPr>
      <t>7</t>
    </r>
    <r>
      <rPr>
        <sz val="10"/>
        <color theme="1"/>
        <rFont val="Calibri"/>
        <family val="2"/>
        <scheme val="minor"/>
      </rPr>
      <t xml:space="preserve"> - Urban population of 2,500 to 19,999, not adjacent to a metro area
</t>
    </r>
    <r>
      <rPr>
        <b/>
        <sz val="10"/>
        <color theme="1"/>
        <rFont val="Calibri"/>
        <family val="2"/>
        <scheme val="minor"/>
      </rPr>
      <t>8</t>
    </r>
    <r>
      <rPr>
        <sz val="10"/>
        <color theme="1"/>
        <rFont val="Calibri"/>
        <family val="2"/>
        <scheme val="minor"/>
      </rPr>
      <t xml:space="preserve"> - Completely rural or less than 2,500 urban population, adjacent to a metro area
</t>
    </r>
    <r>
      <rPr>
        <b/>
        <sz val="10"/>
        <color theme="1"/>
        <rFont val="Calibri"/>
        <family val="2"/>
        <scheme val="minor"/>
      </rPr>
      <t>9</t>
    </r>
    <r>
      <rPr>
        <sz val="10"/>
        <color theme="1"/>
        <rFont val="Calibri"/>
        <family val="2"/>
        <scheme val="minor"/>
      </rPr>
      <t xml:space="preserve"> - Completely rural or less than 2,500 urban population, not adjacent to a metro area
</t>
    </r>
  </si>
  <si>
    <t>Early Learning -&gt; EL Organization -&gt; Directory</t>
  </si>
  <si>
    <t>000862</t>
  </si>
  <si>
    <t>ERS Rural-Urban Continuum Code</t>
  </si>
  <si>
    <t>ERSRuralUrbanContinuumCode</t>
  </si>
  <si>
    <t>Early Learning -&gt; Program Quality
Early Learning -&gt; Staff Quality</t>
  </si>
  <si>
    <t>Education Verification Method</t>
  </si>
  <si>
    <t>The method by which the formal education is verified.</t>
  </si>
  <si>
    <r>
      <t>OfficialTranscript</t>
    </r>
    <r>
      <rPr>
        <sz val="10"/>
        <color theme="1"/>
        <rFont val="Calibri"/>
        <family val="2"/>
        <scheme val="minor"/>
      </rPr>
      <t xml:space="preserve"> - Official transcript
</t>
    </r>
    <r>
      <rPr>
        <b/>
        <sz val="10"/>
        <color theme="1"/>
        <rFont val="Calibri"/>
        <family val="2"/>
        <scheme val="minor"/>
      </rPr>
      <t>TranscriptCopy</t>
    </r>
    <r>
      <rPr>
        <sz val="10"/>
        <color theme="1"/>
        <rFont val="Calibri"/>
        <family val="2"/>
        <scheme val="minor"/>
      </rPr>
      <t xml:space="preserve"> - Transcript copy
</t>
    </r>
    <r>
      <rPr>
        <b/>
        <sz val="10"/>
        <color theme="1"/>
        <rFont val="Calibri"/>
        <family val="2"/>
        <scheme val="minor"/>
      </rPr>
      <t>DegreeCopy</t>
    </r>
    <r>
      <rPr>
        <sz val="10"/>
        <color theme="1"/>
        <rFont val="Calibri"/>
        <family val="2"/>
        <scheme val="minor"/>
      </rPr>
      <t xml:space="preserve"> - Degree copy
</t>
    </r>
    <r>
      <rPr>
        <b/>
        <sz val="10"/>
        <color theme="1"/>
        <rFont val="Calibri"/>
        <family val="2"/>
        <scheme val="minor"/>
      </rPr>
      <t>GradeReport</t>
    </r>
    <r>
      <rPr>
        <sz val="10"/>
        <color theme="1"/>
        <rFont val="Calibri"/>
        <family val="2"/>
        <scheme val="minor"/>
      </rPr>
      <t xml:space="preserve"> - Grade report
</t>
    </r>
    <r>
      <rPr>
        <b/>
        <sz val="10"/>
        <color theme="1"/>
        <rFont val="Calibri"/>
        <family val="2"/>
        <scheme val="minor"/>
      </rPr>
      <t>Other</t>
    </r>
    <r>
      <rPr>
        <sz val="10"/>
        <color theme="1"/>
        <rFont val="Calibri"/>
        <family val="2"/>
        <scheme val="minor"/>
      </rPr>
      <t xml:space="preserve"> - Other
</t>
    </r>
  </si>
  <si>
    <t>Adult Education -&gt; AE Staff -&gt; Education
Early Learning -&gt; EL Staff -&gt; Education
K12 -&gt; K12 Staff -&gt; Education</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</si>
  <si>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</si>
  <si>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</si>
  <si>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</si>
  <si>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</si>
  <si>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</si>
  <si>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</si>
  <si>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</si>
  <si>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</si>
  <si>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Adult Education -&gt; AE Staff -&gt; Contact -&gt; Email
Adult Education -&gt; AE Student -&gt; Contact -&gt; Email
Career and Technical -&gt; CTE Staff -&gt; Contact -&gt; Email
Career and Technical -&gt; CTE Student -&gt; Contact -&gt; Email
Early Learning -&gt; EL Organization -&gt; Contact -&gt; Email
Early Learning -&gt; EL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Staff -&gt; Contact -&gt; Email
Postsecondary -&gt; PS Student -&gt; Contact -&gt; Email
Workforce -&gt; Workforce Program Participant -&gt; Contact -&gt; Email</t>
  </si>
  <si>
    <t>Alphanumeric - between 7 and 128 characters</t>
  </si>
  <si>
    <t>000088</t>
  </si>
  <si>
    <t>Email Address</t>
  </si>
  <si>
    <t>ElectronicMailAddress</t>
  </si>
  <si>
    <t>Electronic Mail Address Type</t>
  </si>
  <si>
    <t>The type of electronic mail (e-mail) address listed for a person or organization.</t>
  </si>
  <si>
    <r>
      <t>Home</t>
    </r>
    <r>
      <rPr>
        <sz val="10"/>
        <color theme="1"/>
        <rFont val="Calibri"/>
        <family val="2"/>
        <scheme val="minor"/>
      </rPr>
      <t xml:space="preserve"> - Home/personal
</t>
    </r>
    <r>
      <rPr>
        <b/>
        <sz val="10"/>
        <color theme="1"/>
        <rFont val="Calibri"/>
        <family val="2"/>
        <scheme val="minor"/>
      </rPr>
      <t>Work</t>
    </r>
    <r>
      <rPr>
        <sz val="10"/>
        <color theme="1"/>
        <rFont val="Calibri"/>
        <family val="2"/>
        <scheme val="minor"/>
      </rPr>
      <t xml:space="preserve"> - Work
</t>
    </r>
    <r>
      <rPr>
        <b/>
        <sz val="10"/>
        <color theme="1"/>
        <rFont val="Calibri"/>
        <family val="2"/>
        <scheme val="minor"/>
      </rPr>
      <t>Organizational</t>
    </r>
    <r>
      <rPr>
        <sz val="10"/>
        <color theme="1"/>
        <rFont val="Calibri"/>
        <family val="2"/>
        <scheme val="minor"/>
      </rPr>
      <t xml:space="preserve"> - Organizational (school) address
</t>
    </r>
    <r>
      <rPr>
        <b/>
        <sz val="10"/>
        <color theme="1"/>
        <rFont val="Calibri"/>
        <family val="2"/>
        <scheme val="minor"/>
      </rPr>
      <t>Other</t>
    </r>
    <r>
      <rPr>
        <sz val="10"/>
        <color theme="1"/>
        <rFont val="Calibri"/>
        <family val="2"/>
        <scheme val="minor"/>
      </rPr>
      <t xml:space="preserve"> - Other
</t>
    </r>
  </si>
  <si>
    <t>000089</t>
  </si>
  <si>
    <t>Email Address Type</t>
  </si>
  <si>
    <t>ElectronicMailAddressType</t>
  </si>
  <si>
    <t>Elementary-Middle Additional Indicator Status</t>
  </si>
  <si>
    <t>An indication of whether the school or district met the Elementary/Middle Additional Indicator requirement in accordance with state definition for the purpose of determining Adequate Yearly Progress (AYP).</t>
  </si>
  <si>
    <r>
      <t>MetAdditionalIndicator</t>
    </r>
    <r>
      <rPr>
        <sz val="10"/>
        <color theme="1"/>
        <rFont val="Calibri"/>
        <family val="2"/>
        <scheme val="minor"/>
      </rPr>
      <t xml:space="preserve"> - Met Additional Indicator
</t>
    </r>
    <r>
      <rPr>
        <b/>
        <sz val="10"/>
        <color theme="1"/>
        <rFont val="Calibri"/>
        <family val="2"/>
        <scheme val="minor"/>
      </rPr>
      <t>DidNotMeet</t>
    </r>
    <r>
      <rPr>
        <sz val="10"/>
        <color theme="1"/>
        <rFont val="Calibri"/>
        <family val="2"/>
        <scheme val="minor"/>
      </rPr>
      <t xml:space="preserve"> - Did Not Meet
</t>
    </r>
    <r>
      <rPr>
        <b/>
        <sz val="10"/>
        <color theme="1"/>
        <rFont val="Calibri"/>
        <family val="2"/>
        <scheme val="minor"/>
      </rPr>
      <t>TooFewStudents</t>
    </r>
    <r>
      <rPr>
        <sz val="10"/>
        <color theme="1"/>
        <rFont val="Calibri"/>
        <family val="2"/>
        <scheme val="minor"/>
      </rPr>
      <t xml:space="preserve"> - Too Few Students
</t>
    </r>
    <r>
      <rPr>
        <b/>
        <sz val="10"/>
        <color theme="1"/>
        <rFont val="Calibri"/>
        <family val="2"/>
        <scheme val="minor"/>
      </rPr>
      <t>NoStudents</t>
    </r>
    <r>
      <rPr>
        <sz val="10"/>
        <color theme="1"/>
        <rFont val="Calibri"/>
        <family val="2"/>
        <scheme val="minor"/>
      </rPr>
      <t xml:space="preserve"> - No Students
</t>
    </r>
    <r>
      <rPr>
        <b/>
        <sz val="10"/>
        <color theme="1"/>
        <rFont val="Calibri"/>
        <family val="2"/>
        <scheme val="minor"/>
      </rPr>
      <t>NA</t>
    </r>
    <r>
      <rPr>
        <sz val="10"/>
        <color theme="1"/>
        <rFont val="Calibri"/>
        <family val="2"/>
        <scheme val="minor"/>
      </rPr>
      <t xml:space="preserve"> - Not applicable
</t>
    </r>
  </si>
  <si>
    <t>000091</t>
  </si>
  <si>
    <t>ElementaryMiddleAdditionalIndicatorStatus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</si>
  <si>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</si>
  <si>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</si>
  <si>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</si>
  <si>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</si>
  <si>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</si>
  <si>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</si>
  <si>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</si>
  <si>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</si>
  <si>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</si>
  <si>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</si>
  <si>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</si>
  <si>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</si>
  <si>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</si>
  <si>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</si>
  <si>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</si>
  <si>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</si>
  <si>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</si>
  <si>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</si>
  <si>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</si>
  <si>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r>
      <t>Free</t>
    </r>
    <r>
      <rPr>
        <sz val="10"/>
        <color theme="1"/>
        <rFont val="Calibri"/>
        <family val="2"/>
        <scheme val="minor"/>
      </rPr>
      <t xml:space="preserve"> - Free
</t>
    </r>
    <r>
      <rPr>
        <b/>
        <sz val="10"/>
        <color theme="1"/>
        <rFont val="Calibri"/>
        <family val="2"/>
        <scheme val="minor"/>
      </rPr>
      <t>FullPrice</t>
    </r>
    <r>
      <rPr>
        <sz val="10"/>
        <color theme="1"/>
        <rFont val="Calibri"/>
        <family val="2"/>
        <scheme val="minor"/>
      </rPr>
      <t xml:space="preserve"> - Full price
</t>
    </r>
    <r>
      <rPr>
        <b/>
        <sz val="10"/>
        <color theme="1"/>
        <rFont val="Calibri"/>
        <family val="2"/>
        <scheme val="minor"/>
      </rPr>
      <t>ReducedPrice</t>
    </r>
    <r>
      <rPr>
        <sz val="10"/>
        <color theme="1"/>
        <rFont val="Calibri"/>
        <family val="2"/>
        <scheme val="minor"/>
      </rPr>
      <t xml:space="preserve"> - Reduced price
</t>
    </r>
    <r>
      <rPr>
        <b/>
        <sz val="10"/>
        <color theme="1"/>
        <rFont val="Calibri"/>
        <family val="2"/>
        <scheme val="minor"/>
      </rPr>
      <t>Other</t>
    </r>
    <r>
      <rPr>
        <sz val="10"/>
        <color theme="1"/>
        <rFont val="Calibri"/>
        <family val="2"/>
        <scheme val="minor"/>
      </rPr>
      <t xml:space="preserve"> - Other
</t>
    </r>
  </si>
  <si>
    <t>000092</t>
  </si>
  <si>
    <t>EligibilityStatusForSchoolFoodServicePrograms</t>
  </si>
  <si>
    <t>Emergency Contact Indicator</t>
  </si>
  <si>
    <t>Indicates whether or not the person is a designated emergency contact for the learner.</t>
  </si>
  <si>
    <t>Early Learning -&gt; Parent/Guardian -&gt; Relationship
K12 -&gt; Parent/Guardian -&gt; Relationship</t>
  </si>
  <si>
    <t>001341</t>
  </si>
  <si>
    <t>EmergencyContactIndicator</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</si>
  <si>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</si>
  <si>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</si>
  <si>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 xml:space="preserve">Yes
Unknown
</t>
  </si>
  <si>
    <t>Adult Education -&gt; AE Student -&gt; Employment
K12 -&gt; K12 Student -&gt; Employment
Postsecondary -&gt; PS Student -&gt; Employment
Workforce -&gt; Quarterly Employment Record
Workforce -&gt; Workforce Program Participant -&gt; Employment</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</si>
  <si>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</si>
  <si>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</si>
  <si>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</si>
  <si>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</si>
  <si>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</si>
  <si>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</si>
  <si>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</si>
  <si>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</si>
  <si>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</si>
  <si>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</si>
  <si>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</si>
  <si>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</si>
  <si>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</si>
  <si>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</si>
  <si>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</si>
  <si>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</si>
  <si>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</si>
  <si>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Adult Education -&gt; AE Staff -&gt; Employment
Adult Education -&gt; AE Student -&gt; Employment
Early Learning -&gt; EL Staff -&gt; Employment
K12 -&gt; K12 Staff -&gt; Employment
K12 -&gt; K12 Student -&gt; Employment
Postsecondary -&gt; PS Staff -&gt; Employment
Postsecondary -&gt; PS Student -&gt; Employment
Workforce -&gt; Workforce Program Participant -&gt; Employment</t>
  </si>
  <si>
    <t>000795</t>
  </si>
  <si>
    <t>EmploymentEndDate</t>
  </si>
  <si>
    <t>Employment Location</t>
  </si>
  <si>
    <t>The state or other location in which an individual is found employed.</t>
  </si>
  <si>
    <r>
      <t>Other</t>
    </r>
    <r>
      <rPr>
        <sz val="10"/>
        <color theme="1"/>
        <rFont val="Calibri"/>
        <family val="2"/>
        <scheme val="minor"/>
      </rPr>
      <t xml:space="preserve"> - Other location
</t>
    </r>
    <r>
      <rPr>
        <b/>
        <sz val="10"/>
        <color theme="1"/>
        <rFont val="Calibri"/>
        <family val="2"/>
        <scheme val="minor"/>
      </rPr>
      <t>Multiple</t>
    </r>
    <r>
      <rPr>
        <sz val="10"/>
        <color theme="1"/>
        <rFont val="Calibri"/>
        <family val="2"/>
        <scheme val="minor"/>
      </rPr>
      <t xml:space="preserve"> - Multiple locations
</t>
    </r>
    <r>
      <rPr>
        <b/>
        <sz val="10"/>
        <color theme="1"/>
        <rFont val="Calibri"/>
        <family val="2"/>
        <scheme val="minor"/>
      </rPr>
      <t>AK</t>
    </r>
    <r>
      <rPr>
        <sz val="10"/>
        <color theme="1"/>
        <rFont val="Calibri"/>
        <family val="2"/>
        <scheme val="minor"/>
      </rPr>
      <t xml:space="preserve"> - Alaska
</t>
    </r>
    <r>
      <rPr>
        <b/>
        <sz val="10"/>
        <color theme="1"/>
        <rFont val="Calibri"/>
        <family val="2"/>
        <scheme val="minor"/>
      </rPr>
      <t>AL</t>
    </r>
    <r>
      <rPr>
        <sz val="10"/>
        <color theme="1"/>
        <rFont val="Calibri"/>
        <family val="2"/>
        <scheme val="minor"/>
      </rPr>
      <t xml:space="preserve"> - Alabama
</t>
    </r>
    <r>
      <rPr>
        <b/>
        <sz val="10"/>
        <color theme="1"/>
        <rFont val="Calibri"/>
        <family val="2"/>
        <scheme val="minor"/>
      </rPr>
      <t>AR</t>
    </r>
    <r>
      <rPr>
        <sz val="10"/>
        <color theme="1"/>
        <rFont val="Calibri"/>
        <family val="2"/>
        <scheme val="minor"/>
      </rPr>
      <t xml:space="preserve"> - Arkansas
</t>
    </r>
    <r>
      <rPr>
        <b/>
        <sz val="10"/>
        <color theme="1"/>
        <rFont val="Calibri"/>
        <family val="2"/>
        <scheme val="minor"/>
      </rPr>
      <t>AS</t>
    </r>
    <r>
      <rPr>
        <sz val="10"/>
        <color theme="1"/>
        <rFont val="Calibri"/>
        <family val="2"/>
        <scheme val="minor"/>
      </rPr>
      <t xml:space="preserve"> - American Samoa
</t>
    </r>
    <r>
      <rPr>
        <b/>
        <sz val="10"/>
        <color theme="1"/>
        <rFont val="Calibri"/>
        <family val="2"/>
        <scheme val="minor"/>
      </rPr>
      <t>AZ</t>
    </r>
    <r>
      <rPr>
        <sz val="10"/>
        <color theme="1"/>
        <rFont val="Calibri"/>
        <family val="2"/>
        <scheme val="minor"/>
      </rPr>
      <t xml:space="preserve"> - Arizona
</t>
    </r>
    <r>
      <rPr>
        <b/>
        <sz val="10"/>
        <color theme="1"/>
        <rFont val="Calibri"/>
        <family val="2"/>
        <scheme val="minor"/>
      </rPr>
      <t>CA</t>
    </r>
    <r>
      <rPr>
        <sz val="10"/>
        <color theme="1"/>
        <rFont val="Calibri"/>
        <family val="2"/>
        <scheme val="minor"/>
      </rPr>
      <t xml:space="preserve"> - California
</t>
    </r>
    <r>
      <rPr>
        <b/>
        <sz val="10"/>
        <color theme="1"/>
        <rFont val="Calibri"/>
        <family val="2"/>
        <scheme val="minor"/>
      </rPr>
      <t>CO</t>
    </r>
    <r>
      <rPr>
        <sz val="10"/>
        <color theme="1"/>
        <rFont val="Calibri"/>
        <family val="2"/>
        <scheme val="minor"/>
      </rPr>
      <t xml:space="preserve"> - Colorado
</t>
    </r>
    <r>
      <rPr>
        <b/>
        <sz val="10"/>
        <color theme="1"/>
        <rFont val="Calibri"/>
        <family val="2"/>
        <scheme val="minor"/>
      </rPr>
      <t>CT</t>
    </r>
    <r>
      <rPr>
        <sz val="10"/>
        <color theme="1"/>
        <rFont val="Calibri"/>
        <family val="2"/>
        <scheme val="minor"/>
      </rPr>
      <t xml:space="preserve"> - Connecticut
</t>
    </r>
    <r>
      <rPr>
        <b/>
        <sz val="10"/>
        <color theme="1"/>
        <rFont val="Calibri"/>
        <family val="2"/>
        <scheme val="minor"/>
      </rPr>
      <t>DC</t>
    </r>
    <r>
      <rPr>
        <sz val="10"/>
        <color theme="1"/>
        <rFont val="Calibri"/>
        <family val="2"/>
        <scheme val="minor"/>
      </rPr>
      <t xml:space="preserve"> - District of Columbia
</t>
    </r>
    <r>
      <rPr>
        <b/>
        <sz val="10"/>
        <color theme="1"/>
        <rFont val="Calibri"/>
        <family val="2"/>
        <scheme val="minor"/>
      </rPr>
      <t>DE</t>
    </r>
    <r>
      <rPr>
        <sz val="10"/>
        <color theme="1"/>
        <rFont val="Calibri"/>
        <family val="2"/>
        <scheme val="minor"/>
      </rPr>
      <t xml:space="preserve"> - Delaware
</t>
    </r>
    <r>
      <rPr>
        <b/>
        <sz val="10"/>
        <color theme="1"/>
        <rFont val="Calibri"/>
        <family val="2"/>
        <scheme val="minor"/>
      </rPr>
      <t>FL</t>
    </r>
    <r>
      <rPr>
        <sz val="10"/>
        <color theme="1"/>
        <rFont val="Calibri"/>
        <family val="2"/>
        <scheme val="minor"/>
      </rPr>
      <t xml:space="preserve"> - Florida
</t>
    </r>
    <r>
      <rPr>
        <b/>
        <sz val="10"/>
        <color theme="1"/>
        <rFont val="Calibri"/>
        <family val="2"/>
        <scheme val="minor"/>
      </rPr>
      <t>FM</t>
    </r>
    <r>
      <rPr>
        <sz val="10"/>
        <color theme="1"/>
        <rFont val="Calibri"/>
        <family val="2"/>
        <scheme val="minor"/>
      </rPr>
      <t xml:space="preserve"> - Federated States of Micronesia
</t>
    </r>
    <r>
      <rPr>
        <b/>
        <sz val="10"/>
        <color theme="1"/>
        <rFont val="Calibri"/>
        <family val="2"/>
        <scheme val="minor"/>
      </rPr>
      <t>GA</t>
    </r>
    <r>
      <rPr>
        <sz val="10"/>
        <color theme="1"/>
        <rFont val="Calibri"/>
        <family val="2"/>
        <scheme val="minor"/>
      </rPr>
      <t xml:space="preserve"> - Georgia
</t>
    </r>
    <r>
      <rPr>
        <b/>
        <sz val="10"/>
        <color theme="1"/>
        <rFont val="Calibri"/>
        <family val="2"/>
        <scheme val="minor"/>
      </rPr>
      <t>GU</t>
    </r>
    <r>
      <rPr>
        <sz val="10"/>
        <color theme="1"/>
        <rFont val="Calibri"/>
        <family val="2"/>
        <scheme val="minor"/>
      </rPr>
      <t xml:space="preserve"> - Guam
</t>
    </r>
    <r>
      <rPr>
        <b/>
        <sz val="10"/>
        <color theme="1"/>
        <rFont val="Calibri"/>
        <family val="2"/>
        <scheme val="minor"/>
      </rPr>
      <t>HI</t>
    </r>
    <r>
      <rPr>
        <sz val="10"/>
        <color theme="1"/>
        <rFont val="Calibri"/>
        <family val="2"/>
        <scheme val="minor"/>
      </rPr>
      <t xml:space="preserve"> - Hawaii
</t>
    </r>
    <r>
      <rPr>
        <b/>
        <sz val="10"/>
        <color theme="1"/>
        <rFont val="Calibri"/>
        <family val="2"/>
        <scheme val="minor"/>
      </rPr>
      <t>IA</t>
    </r>
    <r>
      <rPr>
        <sz val="10"/>
        <color theme="1"/>
        <rFont val="Calibri"/>
        <family val="2"/>
        <scheme val="minor"/>
      </rPr>
      <t xml:space="preserve"> - Iowa
</t>
    </r>
    <r>
      <rPr>
        <b/>
        <sz val="10"/>
        <color theme="1"/>
        <rFont val="Calibri"/>
        <family val="2"/>
        <scheme val="minor"/>
      </rPr>
      <t>ID</t>
    </r>
    <r>
      <rPr>
        <sz val="10"/>
        <color theme="1"/>
        <rFont val="Calibri"/>
        <family val="2"/>
        <scheme val="minor"/>
      </rPr>
      <t xml:space="preserve"> - Idaho
</t>
    </r>
    <r>
      <rPr>
        <b/>
        <sz val="10"/>
        <color theme="1"/>
        <rFont val="Calibri"/>
        <family val="2"/>
        <scheme val="minor"/>
      </rPr>
      <t>IL</t>
    </r>
    <r>
      <rPr>
        <sz val="10"/>
        <color theme="1"/>
        <rFont val="Calibri"/>
        <family val="2"/>
        <scheme val="minor"/>
      </rPr>
      <t xml:space="preserve"> - Illinois
</t>
    </r>
    <r>
      <rPr>
        <b/>
        <sz val="10"/>
        <color theme="1"/>
        <rFont val="Calibri"/>
        <family val="2"/>
        <scheme val="minor"/>
      </rPr>
      <t>IN</t>
    </r>
    <r>
      <rPr>
        <sz val="10"/>
        <color theme="1"/>
        <rFont val="Calibri"/>
        <family val="2"/>
        <scheme val="minor"/>
      </rPr>
      <t xml:space="preserve"> - Indiana
</t>
    </r>
    <r>
      <rPr>
        <b/>
        <sz val="10"/>
        <color theme="1"/>
        <rFont val="Calibri"/>
        <family val="2"/>
        <scheme val="minor"/>
      </rPr>
      <t>KS</t>
    </r>
    <r>
      <rPr>
        <sz val="10"/>
        <color theme="1"/>
        <rFont val="Calibri"/>
        <family val="2"/>
        <scheme val="minor"/>
      </rPr>
      <t xml:space="preserve"> - Kansas
</t>
    </r>
    <r>
      <rPr>
        <b/>
        <sz val="10"/>
        <color theme="1"/>
        <rFont val="Calibri"/>
        <family val="2"/>
        <scheme val="minor"/>
      </rPr>
      <t>KY</t>
    </r>
    <r>
      <rPr>
        <sz val="10"/>
        <color theme="1"/>
        <rFont val="Calibri"/>
        <family val="2"/>
        <scheme val="minor"/>
      </rPr>
      <t xml:space="preserve"> - Kentucky
</t>
    </r>
    <r>
      <rPr>
        <b/>
        <sz val="10"/>
        <color theme="1"/>
        <rFont val="Calibri"/>
        <family val="2"/>
        <scheme val="minor"/>
      </rPr>
      <t>LA</t>
    </r>
    <r>
      <rPr>
        <sz val="10"/>
        <color theme="1"/>
        <rFont val="Calibri"/>
        <family val="2"/>
        <scheme val="minor"/>
      </rPr>
      <t xml:space="preserve"> - Louisiana
</t>
    </r>
    <r>
      <rPr>
        <b/>
        <sz val="10"/>
        <color theme="1"/>
        <rFont val="Calibri"/>
        <family val="2"/>
        <scheme val="minor"/>
      </rPr>
      <t>MA</t>
    </r>
    <r>
      <rPr>
        <sz val="10"/>
        <color theme="1"/>
        <rFont val="Calibri"/>
        <family val="2"/>
        <scheme val="minor"/>
      </rPr>
      <t xml:space="preserve"> - Massachusetts
</t>
    </r>
    <r>
      <rPr>
        <b/>
        <sz val="10"/>
        <color theme="1"/>
        <rFont val="Calibri"/>
        <family val="2"/>
        <scheme val="minor"/>
      </rPr>
      <t>MD</t>
    </r>
    <r>
      <rPr>
        <sz val="10"/>
        <color theme="1"/>
        <rFont val="Calibri"/>
        <family val="2"/>
        <scheme val="minor"/>
      </rPr>
      <t xml:space="preserve"> - Maryland
</t>
    </r>
    <r>
      <rPr>
        <b/>
        <sz val="10"/>
        <color theme="1"/>
        <rFont val="Calibri"/>
        <family val="2"/>
        <scheme val="minor"/>
      </rPr>
      <t>ME</t>
    </r>
    <r>
      <rPr>
        <sz val="10"/>
        <color theme="1"/>
        <rFont val="Calibri"/>
        <family val="2"/>
        <scheme val="minor"/>
      </rPr>
      <t xml:space="preserve"> - Maine
</t>
    </r>
    <r>
      <rPr>
        <b/>
        <sz val="10"/>
        <color theme="1"/>
        <rFont val="Calibri"/>
        <family val="2"/>
        <scheme val="minor"/>
      </rPr>
      <t>MH</t>
    </r>
    <r>
      <rPr>
        <sz val="10"/>
        <color theme="1"/>
        <rFont val="Calibri"/>
        <family val="2"/>
        <scheme val="minor"/>
      </rPr>
      <t xml:space="preserve"> - Marshall Islands
</t>
    </r>
    <r>
      <rPr>
        <b/>
        <sz val="10"/>
        <color theme="1"/>
        <rFont val="Calibri"/>
        <family val="2"/>
        <scheme val="minor"/>
      </rPr>
      <t>MI</t>
    </r>
    <r>
      <rPr>
        <sz val="10"/>
        <color theme="1"/>
        <rFont val="Calibri"/>
        <family val="2"/>
        <scheme val="minor"/>
      </rPr>
      <t xml:space="preserve"> - Michigan
</t>
    </r>
    <r>
      <rPr>
        <b/>
        <sz val="10"/>
        <color theme="1"/>
        <rFont val="Calibri"/>
        <family val="2"/>
        <scheme val="minor"/>
      </rPr>
      <t>MN</t>
    </r>
    <r>
      <rPr>
        <sz val="10"/>
        <color theme="1"/>
        <rFont val="Calibri"/>
        <family val="2"/>
        <scheme val="minor"/>
      </rPr>
      <t xml:space="preserve"> - Minnesota
</t>
    </r>
    <r>
      <rPr>
        <b/>
        <sz val="10"/>
        <color theme="1"/>
        <rFont val="Calibri"/>
        <family val="2"/>
        <scheme val="minor"/>
      </rPr>
      <t>MO</t>
    </r>
    <r>
      <rPr>
        <sz val="10"/>
        <color theme="1"/>
        <rFont val="Calibri"/>
        <family val="2"/>
        <scheme val="minor"/>
      </rPr>
      <t xml:space="preserve"> - Missouri
</t>
    </r>
    <r>
      <rPr>
        <b/>
        <sz val="10"/>
        <color theme="1"/>
        <rFont val="Calibri"/>
        <family val="2"/>
        <scheme val="minor"/>
      </rPr>
      <t>MP</t>
    </r>
    <r>
      <rPr>
        <sz val="10"/>
        <color theme="1"/>
        <rFont val="Calibri"/>
        <family val="2"/>
        <scheme val="minor"/>
      </rPr>
      <t xml:space="preserve"> - Northern Marianas
</t>
    </r>
    <r>
      <rPr>
        <b/>
        <sz val="10"/>
        <color theme="1"/>
        <rFont val="Calibri"/>
        <family val="2"/>
        <scheme val="minor"/>
      </rPr>
      <t>MS</t>
    </r>
    <r>
      <rPr>
        <sz val="10"/>
        <color theme="1"/>
        <rFont val="Calibri"/>
        <family val="2"/>
        <scheme val="minor"/>
      </rPr>
      <t xml:space="preserve"> - Mississippi
</t>
    </r>
    <r>
      <rPr>
        <b/>
        <sz val="10"/>
        <color theme="1"/>
        <rFont val="Calibri"/>
        <family val="2"/>
        <scheme val="minor"/>
      </rPr>
      <t>MT</t>
    </r>
    <r>
      <rPr>
        <sz val="10"/>
        <color theme="1"/>
        <rFont val="Calibri"/>
        <family val="2"/>
        <scheme val="minor"/>
      </rPr>
      <t xml:space="preserve"> - Montana
</t>
    </r>
    <r>
      <rPr>
        <b/>
        <sz val="10"/>
        <color theme="1"/>
        <rFont val="Calibri"/>
        <family val="2"/>
        <scheme val="minor"/>
      </rPr>
      <t>NC</t>
    </r>
    <r>
      <rPr>
        <sz val="10"/>
        <color theme="1"/>
        <rFont val="Calibri"/>
        <family val="2"/>
        <scheme val="minor"/>
      </rPr>
      <t xml:space="preserve"> - North Carolina
</t>
    </r>
    <r>
      <rPr>
        <b/>
        <sz val="10"/>
        <color theme="1"/>
        <rFont val="Calibri"/>
        <family val="2"/>
        <scheme val="minor"/>
      </rPr>
      <t>ND</t>
    </r>
    <r>
      <rPr>
        <sz val="10"/>
        <color theme="1"/>
        <rFont val="Calibri"/>
        <family val="2"/>
        <scheme val="minor"/>
      </rPr>
      <t xml:space="preserve"> - North Dakota
</t>
    </r>
    <r>
      <rPr>
        <b/>
        <sz val="10"/>
        <color theme="1"/>
        <rFont val="Calibri"/>
        <family val="2"/>
        <scheme val="minor"/>
      </rPr>
      <t>NE</t>
    </r>
    <r>
      <rPr>
        <sz val="10"/>
        <color theme="1"/>
        <rFont val="Calibri"/>
        <family val="2"/>
        <scheme val="minor"/>
      </rPr>
      <t xml:space="preserve"> - Nebraska
</t>
    </r>
    <r>
      <rPr>
        <b/>
        <sz val="10"/>
        <color theme="1"/>
        <rFont val="Calibri"/>
        <family val="2"/>
        <scheme val="minor"/>
      </rPr>
      <t>NH</t>
    </r>
    <r>
      <rPr>
        <sz val="10"/>
        <color theme="1"/>
        <rFont val="Calibri"/>
        <family val="2"/>
        <scheme val="minor"/>
      </rPr>
      <t xml:space="preserve"> - New Hampshire
</t>
    </r>
    <r>
      <rPr>
        <b/>
        <sz val="10"/>
        <color theme="1"/>
        <rFont val="Calibri"/>
        <family val="2"/>
        <scheme val="minor"/>
      </rPr>
      <t>NJ</t>
    </r>
    <r>
      <rPr>
        <sz val="10"/>
        <color theme="1"/>
        <rFont val="Calibri"/>
        <family val="2"/>
        <scheme val="minor"/>
      </rPr>
      <t xml:space="preserve"> - New Jersey
</t>
    </r>
    <r>
      <rPr>
        <b/>
        <sz val="10"/>
        <color theme="1"/>
        <rFont val="Calibri"/>
        <family val="2"/>
        <scheme val="minor"/>
      </rPr>
      <t>NM</t>
    </r>
    <r>
      <rPr>
        <sz val="10"/>
        <color theme="1"/>
        <rFont val="Calibri"/>
        <family val="2"/>
        <scheme val="minor"/>
      </rPr>
      <t xml:space="preserve"> - New Mexico
</t>
    </r>
    <r>
      <rPr>
        <b/>
        <sz val="10"/>
        <color theme="1"/>
        <rFont val="Calibri"/>
        <family val="2"/>
        <scheme val="minor"/>
      </rPr>
      <t>NV</t>
    </r>
    <r>
      <rPr>
        <sz val="10"/>
        <color theme="1"/>
        <rFont val="Calibri"/>
        <family val="2"/>
        <scheme val="minor"/>
      </rPr>
      <t xml:space="preserve"> - Nevada
</t>
    </r>
    <r>
      <rPr>
        <b/>
        <sz val="10"/>
        <color theme="1"/>
        <rFont val="Calibri"/>
        <family val="2"/>
        <scheme val="minor"/>
      </rPr>
      <t>NY</t>
    </r>
    <r>
      <rPr>
        <sz val="10"/>
        <color theme="1"/>
        <rFont val="Calibri"/>
        <family val="2"/>
        <scheme val="minor"/>
      </rPr>
      <t xml:space="preserve"> - New York
</t>
    </r>
    <r>
      <rPr>
        <b/>
        <sz val="10"/>
        <color theme="1"/>
        <rFont val="Calibri"/>
        <family val="2"/>
        <scheme val="minor"/>
      </rPr>
      <t>OH</t>
    </r>
    <r>
      <rPr>
        <sz val="10"/>
        <color theme="1"/>
        <rFont val="Calibri"/>
        <family val="2"/>
        <scheme val="minor"/>
      </rPr>
      <t xml:space="preserve"> - Ohio
</t>
    </r>
    <r>
      <rPr>
        <b/>
        <sz val="10"/>
        <color theme="1"/>
        <rFont val="Calibri"/>
        <family val="2"/>
        <scheme val="minor"/>
      </rPr>
      <t>OK</t>
    </r>
    <r>
      <rPr>
        <sz val="10"/>
        <color theme="1"/>
        <rFont val="Calibri"/>
        <family val="2"/>
        <scheme val="minor"/>
      </rPr>
      <t xml:space="preserve"> - Oklahoma
</t>
    </r>
    <r>
      <rPr>
        <b/>
        <sz val="10"/>
        <color theme="1"/>
        <rFont val="Calibri"/>
        <family val="2"/>
        <scheme val="minor"/>
      </rPr>
      <t>OR</t>
    </r>
    <r>
      <rPr>
        <sz val="10"/>
        <color theme="1"/>
        <rFont val="Calibri"/>
        <family val="2"/>
        <scheme val="minor"/>
      </rPr>
      <t xml:space="preserve"> - Oregon
</t>
    </r>
    <r>
      <rPr>
        <b/>
        <sz val="10"/>
        <color theme="1"/>
        <rFont val="Calibri"/>
        <family val="2"/>
        <scheme val="minor"/>
      </rPr>
      <t>PA</t>
    </r>
    <r>
      <rPr>
        <sz val="10"/>
        <color theme="1"/>
        <rFont val="Calibri"/>
        <family val="2"/>
        <scheme val="minor"/>
      </rPr>
      <t xml:space="preserve"> - Pennsylvania
</t>
    </r>
    <r>
      <rPr>
        <b/>
        <sz val="10"/>
        <color theme="1"/>
        <rFont val="Calibri"/>
        <family val="2"/>
        <scheme val="minor"/>
      </rPr>
      <t>PR</t>
    </r>
    <r>
      <rPr>
        <sz val="10"/>
        <color theme="1"/>
        <rFont val="Calibri"/>
        <family val="2"/>
        <scheme val="minor"/>
      </rPr>
      <t xml:space="preserve"> - Puerto Rico
</t>
    </r>
    <r>
      <rPr>
        <b/>
        <sz val="10"/>
        <color theme="1"/>
        <rFont val="Calibri"/>
        <family val="2"/>
        <scheme val="minor"/>
      </rPr>
      <t>PW</t>
    </r>
    <r>
      <rPr>
        <sz val="10"/>
        <color theme="1"/>
        <rFont val="Calibri"/>
        <family val="2"/>
        <scheme val="minor"/>
      </rPr>
      <t xml:space="preserve"> - Palau
</t>
    </r>
    <r>
      <rPr>
        <b/>
        <sz val="10"/>
        <color theme="1"/>
        <rFont val="Calibri"/>
        <family val="2"/>
        <scheme val="minor"/>
      </rPr>
      <t>RI</t>
    </r>
    <r>
      <rPr>
        <sz val="10"/>
        <color theme="1"/>
        <rFont val="Calibri"/>
        <family val="2"/>
        <scheme val="minor"/>
      </rPr>
      <t xml:space="preserve"> - Rhode Island
</t>
    </r>
    <r>
      <rPr>
        <b/>
        <sz val="10"/>
        <color theme="1"/>
        <rFont val="Calibri"/>
        <family val="2"/>
        <scheme val="minor"/>
      </rPr>
      <t>SC</t>
    </r>
    <r>
      <rPr>
        <sz val="10"/>
        <color theme="1"/>
        <rFont val="Calibri"/>
        <family val="2"/>
        <scheme val="minor"/>
      </rPr>
      <t xml:space="preserve"> - South Carolina
</t>
    </r>
    <r>
      <rPr>
        <b/>
        <sz val="10"/>
        <color theme="1"/>
        <rFont val="Calibri"/>
        <family val="2"/>
        <scheme val="minor"/>
      </rPr>
      <t>SD</t>
    </r>
    <r>
      <rPr>
        <sz val="10"/>
        <color theme="1"/>
        <rFont val="Calibri"/>
        <family val="2"/>
        <scheme val="minor"/>
      </rPr>
      <t xml:space="preserve"> - South Dakota
</t>
    </r>
    <r>
      <rPr>
        <b/>
        <sz val="10"/>
        <color theme="1"/>
        <rFont val="Calibri"/>
        <family val="2"/>
        <scheme val="minor"/>
      </rPr>
      <t>TN</t>
    </r>
    <r>
      <rPr>
        <sz val="10"/>
        <color theme="1"/>
        <rFont val="Calibri"/>
        <family val="2"/>
        <scheme val="minor"/>
      </rPr>
      <t xml:space="preserve"> - Tennessee
</t>
    </r>
    <r>
      <rPr>
        <b/>
        <sz val="10"/>
        <color theme="1"/>
        <rFont val="Calibri"/>
        <family val="2"/>
        <scheme val="minor"/>
      </rPr>
      <t>TX</t>
    </r>
    <r>
      <rPr>
        <sz val="10"/>
        <color theme="1"/>
        <rFont val="Calibri"/>
        <family val="2"/>
        <scheme val="minor"/>
      </rPr>
      <t xml:space="preserve"> - Texas
</t>
    </r>
    <r>
      <rPr>
        <b/>
        <sz val="10"/>
        <color theme="1"/>
        <rFont val="Calibri"/>
        <family val="2"/>
        <scheme val="minor"/>
      </rPr>
      <t>UT</t>
    </r>
    <r>
      <rPr>
        <sz val="10"/>
        <color theme="1"/>
        <rFont val="Calibri"/>
        <family val="2"/>
        <scheme val="minor"/>
      </rPr>
      <t xml:space="preserve"> - Utah
</t>
    </r>
    <r>
      <rPr>
        <b/>
        <sz val="10"/>
        <color theme="1"/>
        <rFont val="Calibri"/>
        <family val="2"/>
        <scheme val="minor"/>
      </rPr>
      <t>VA</t>
    </r>
    <r>
      <rPr>
        <sz val="10"/>
        <color theme="1"/>
        <rFont val="Calibri"/>
        <family val="2"/>
        <scheme val="minor"/>
      </rPr>
      <t xml:space="preserve"> - Virginia
</t>
    </r>
    <r>
      <rPr>
        <b/>
        <sz val="10"/>
        <color theme="1"/>
        <rFont val="Calibri"/>
        <family val="2"/>
        <scheme val="minor"/>
      </rPr>
      <t>VI</t>
    </r>
    <r>
      <rPr>
        <sz val="10"/>
        <color theme="1"/>
        <rFont val="Calibri"/>
        <family val="2"/>
        <scheme val="minor"/>
      </rPr>
      <t xml:space="preserve"> - Virgin Islands
</t>
    </r>
    <r>
      <rPr>
        <b/>
        <sz val="10"/>
        <color theme="1"/>
        <rFont val="Calibri"/>
        <family val="2"/>
        <scheme val="minor"/>
      </rPr>
      <t>VT</t>
    </r>
    <r>
      <rPr>
        <sz val="10"/>
        <color theme="1"/>
        <rFont val="Calibri"/>
        <family val="2"/>
        <scheme val="minor"/>
      </rPr>
      <t xml:space="preserve"> - Vermont
</t>
    </r>
    <r>
      <rPr>
        <b/>
        <sz val="10"/>
        <color theme="1"/>
        <rFont val="Calibri"/>
        <family val="2"/>
        <scheme val="minor"/>
      </rPr>
      <t>WA</t>
    </r>
    <r>
      <rPr>
        <sz val="10"/>
        <color theme="1"/>
        <rFont val="Calibri"/>
        <family val="2"/>
        <scheme val="minor"/>
      </rPr>
      <t xml:space="preserve"> - Washington
</t>
    </r>
    <r>
      <rPr>
        <b/>
        <sz val="10"/>
        <color theme="1"/>
        <rFont val="Calibri"/>
        <family val="2"/>
        <scheme val="minor"/>
      </rPr>
      <t>WI</t>
    </r>
    <r>
      <rPr>
        <sz val="10"/>
        <color theme="1"/>
        <rFont val="Calibri"/>
        <family val="2"/>
        <scheme val="minor"/>
      </rPr>
      <t xml:space="preserve"> - Wisconsin
</t>
    </r>
    <r>
      <rPr>
        <b/>
        <sz val="10"/>
        <color theme="1"/>
        <rFont val="Calibri"/>
        <family val="2"/>
        <scheme val="minor"/>
      </rPr>
      <t>WV</t>
    </r>
    <r>
      <rPr>
        <sz val="10"/>
        <color theme="1"/>
        <rFont val="Calibri"/>
        <family val="2"/>
        <scheme val="minor"/>
      </rPr>
      <t xml:space="preserve"> - West Virginia
</t>
    </r>
    <r>
      <rPr>
        <b/>
        <sz val="10"/>
        <color theme="1"/>
        <rFont val="Calibri"/>
        <family val="2"/>
        <scheme val="minor"/>
      </rPr>
      <t>WY</t>
    </r>
    <r>
      <rPr>
        <sz val="10"/>
        <color theme="1"/>
        <rFont val="Calibri"/>
        <family val="2"/>
        <scheme val="minor"/>
      </rPr>
      <t xml:space="preserve"> - Wyoming
</t>
    </r>
  </si>
  <si>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</si>
  <si>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</si>
  <si>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</si>
  <si>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</si>
  <si>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</si>
  <si>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Adult Education -&gt; AE Student -&gt; Employment
Credentials -&gt; Credential Definition
K12 -&gt; K12 Student -&gt; Employment
Postsecondary -&gt; PS Student -&gt; Employment
Workforce -&gt; Quarterly Employment Record
Workforce -&gt; Workforce Program Participant -&gt; Employment</t>
  </si>
  <si>
    <t>001064</t>
  </si>
  <si>
    <t>EmploymentNAICSCode</t>
  </si>
  <si>
    <t>Employment Record Administrative Data Source</t>
  </si>
  <si>
    <t>Administrative data source of information used to collect employment and earnings-related data.</t>
  </si>
  <si>
    <r>
      <t>01</t>
    </r>
    <r>
      <rPr>
        <sz val="10"/>
        <color theme="1"/>
        <rFont val="Calibri"/>
        <family val="2"/>
        <scheme val="minor"/>
      </rPr>
      <t xml:space="preserve"> - State UI Wage Records
</t>
    </r>
    <r>
      <rPr>
        <b/>
        <sz val="10"/>
        <color theme="1"/>
        <rFont val="Calibri"/>
        <family val="2"/>
        <scheme val="minor"/>
      </rPr>
      <t>02</t>
    </r>
    <r>
      <rPr>
        <sz val="10"/>
        <color theme="1"/>
        <rFont val="Calibri"/>
        <family val="2"/>
        <scheme val="minor"/>
      </rPr>
      <t xml:space="preserve"> - Wage Record Interchange System (WRIS II)
</t>
    </r>
    <r>
      <rPr>
        <b/>
        <sz val="10"/>
        <color theme="1"/>
        <rFont val="Calibri"/>
        <family val="2"/>
        <scheme val="minor"/>
      </rPr>
      <t>03</t>
    </r>
    <r>
      <rPr>
        <sz val="10"/>
        <color theme="1"/>
        <rFont val="Calibri"/>
        <family val="2"/>
        <scheme val="minor"/>
      </rPr>
      <t xml:space="preserve"> - Federal Employment Data Exchange System (FEDES)
</t>
    </r>
    <r>
      <rPr>
        <b/>
        <sz val="10"/>
        <color theme="1"/>
        <rFont val="Calibri"/>
        <family val="2"/>
        <scheme val="minor"/>
      </rPr>
      <t>04</t>
    </r>
    <r>
      <rPr>
        <sz val="10"/>
        <color theme="1"/>
        <rFont val="Calibri"/>
        <family val="2"/>
        <scheme val="minor"/>
      </rPr>
      <t xml:space="preserve"> - Other
</t>
    </r>
  </si>
  <si>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</si>
  <si>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</si>
  <si>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</si>
  <si>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</si>
  <si>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</si>
  <si>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</si>
  <si>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</si>
  <si>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</si>
  <si>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</si>
  <si>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</si>
  <si>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</si>
  <si>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000992</t>
  </si>
  <si>
    <t>EmploymentRecordReferencePeriodStartDate</t>
  </si>
  <si>
    <t>Employment Separation Reason</t>
  </si>
  <si>
    <t>Adult Education -&gt; AE Staff -&gt; Employment (added)
Career and Technical -&gt; CTE Staff -&gt; Employment (added)
Early Learning -&gt; EL Staff -&gt; Employment
K12 -&gt; K12 Staff -&gt; Employment
Postsecondary -&gt; PS Staff -&gt; Employment (added)</t>
  </si>
  <si>
    <t>000620</t>
  </si>
  <si>
    <t>EmploymentSeparationReason</t>
  </si>
  <si>
    <t>Employment Separation Type</t>
  </si>
  <si>
    <t>A designation of the type of separation occurring between a person and the organization.</t>
  </si>
  <si>
    <r>
      <t>Involuntary</t>
    </r>
    <r>
      <rPr>
        <sz val="10"/>
        <color theme="1"/>
        <rFont val="Calibri"/>
        <family val="2"/>
        <scheme val="minor"/>
      </rPr>
      <t xml:space="preserve"> - Involuntary separation
</t>
    </r>
    <r>
      <rPr>
        <b/>
        <sz val="10"/>
        <color theme="1"/>
        <rFont val="Calibri"/>
        <family val="2"/>
        <scheme val="minor"/>
      </rPr>
      <t>MutualAgreement</t>
    </r>
    <r>
      <rPr>
        <sz val="10"/>
        <color theme="1"/>
        <rFont val="Calibri"/>
        <family val="2"/>
        <scheme val="minor"/>
      </rPr>
      <t xml:space="preserve"> - Mutual agreement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Voluntary</t>
    </r>
    <r>
      <rPr>
        <sz val="10"/>
        <color theme="1"/>
        <rFont val="Calibri"/>
        <family val="2"/>
        <scheme val="minor"/>
      </rPr>
      <t xml:space="preserve"> - Voluntary separation
</t>
    </r>
  </si>
  <si>
    <t>Early Learning -&gt; EL Staff -&gt; Employment
K12 -&gt; K12 Staff -&gt; Employment</t>
  </si>
  <si>
    <t>000621</t>
  </si>
  <si>
    <t>EmploymentSeparationType</t>
  </si>
  <si>
    <t>Employment Start Date</t>
  </si>
  <si>
    <t>The year, month and day on which a person began self-employment or employment with an organization or institution.</t>
  </si>
  <si>
    <t>000346</t>
  </si>
  <si>
    <t>EmploymentStartDate</t>
  </si>
  <si>
    <t>Early Learning -&gt; Staff Quality
Early Learning -&gt; Workforce Development</t>
  </si>
  <si>
    <t>Employment Status</t>
  </si>
  <si>
    <r>
      <t>01384</t>
    </r>
    <r>
      <rPr>
        <sz val="10"/>
        <color theme="1"/>
        <rFont val="Calibri"/>
        <family val="2"/>
        <scheme val="minor"/>
      </rPr>
      <t xml:space="preserve"> - Contingent upon funding
</t>
    </r>
    <r>
      <rPr>
        <b/>
        <sz val="10"/>
        <color theme="1"/>
        <rFont val="Calibri"/>
        <family val="2"/>
        <scheme val="minor"/>
      </rPr>
      <t>01379</t>
    </r>
    <r>
      <rPr>
        <sz val="10"/>
        <color theme="1"/>
        <rFont val="Calibri"/>
        <family val="2"/>
        <scheme val="minor"/>
      </rPr>
      <t xml:space="preserve"> - Contractual
</t>
    </r>
    <r>
      <rPr>
        <b/>
        <sz val="10"/>
        <color theme="1"/>
        <rFont val="Calibri"/>
        <family val="2"/>
        <scheme val="minor"/>
      </rPr>
      <t>06071</t>
    </r>
    <r>
      <rPr>
        <sz val="10"/>
        <color theme="1"/>
        <rFont val="Calibri"/>
        <family val="2"/>
        <scheme val="minor"/>
      </rPr>
      <t xml:space="preserve"> - Employed or affiliated with outside agency part-time
</t>
    </r>
    <r>
      <rPr>
        <b/>
        <sz val="10"/>
        <color theme="1"/>
        <rFont val="Calibri"/>
        <family val="2"/>
        <scheme val="minor"/>
      </rPr>
      <t>01383</t>
    </r>
    <r>
      <rPr>
        <sz val="10"/>
        <color theme="1"/>
        <rFont val="Calibri"/>
        <family val="2"/>
        <scheme val="minor"/>
      </rPr>
      <t xml:space="preserve"> - Employed or affiliated with outside organization
</t>
    </r>
    <r>
      <rPr>
        <b/>
        <sz val="10"/>
        <color theme="1"/>
        <rFont val="Calibri"/>
        <family val="2"/>
        <scheme val="minor"/>
      </rPr>
      <t>01385</t>
    </r>
    <r>
      <rPr>
        <sz val="10"/>
        <color theme="1"/>
        <rFont val="Calibri"/>
        <family val="2"/>
        <scheme val="minor"/>
      </rPr>
      <t xml:space="preserve"> - Non-contractual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01378</t>
    </r>
    <r>
      <rPr>
        <sz val="10"/>
        <color theme="1"/>
        <rFont val="Calibri"/>
        <family val="2"/>
        <scheme val="minor"/>
      </rPr>
      <t xml:space="preserve"> - Probationary
</t>
    </r>
    <r>
      <rPr>
        <b/>
        <sz val="10"/>
        <color theme="1"/>
        <rFont val="Calibri"/>
        <family val="2"/>
        <scheme val="minor"/>
      </rPr>
      <t>06070</t>
    </r>
    <r>
      <rPr>
        <sz val="10"/>
        <color theme="1"/>
        <rFont val="Calibri"/>
        <family val="2"/>
        <scheme val="minor"/>
      </rPr>
      <t xml:space="preserve"> - Self-employed part-time
</t>
    </r>
    <r>
      <rPr>
        <b/>
        <sz val="10"/>
        <color theme="1"/>
        <rFont val="Calibri"/>
        <family val="2"/>
        <scheme val="minor"/>
      </rPr>
      <t>01380</t>
    </r>
    <r>
      <rPr>
        <sz val="10"/>
        <color theme="1"/>
        <rFont val="Calibri"/>
        <family val="2"/>
        <scheme val="minor"/>
      </rPr>
      <t xml:space="preserve"> - Substitute/temporary
</t>
    </r>
    <r>
      <rPr>
        <b/>
        <sz val="10"/>
        <color theme="1"/>
        <rFont val="Calibri"/>
        <family val="2"/>
        <scheme val="minor"/>
      </rPr>
      <t>01381</t>
    </r>
    <r>
      <rPr>
        <sz val="10"/>
        <color theme="1"/>
        <rFont val="Calibri"/>
        <family val="2"/>
        <scheme val="minor"/>
      </rPr>
      <t xml:space="preserve"> - Tenured or permanent
</t>
    </r>
    <r>
      <rPr>
        <b/>
        <sz val="10"/>
        <color theme="1"/>
        <rFont val="Calibri"/>
        <family val="2"/>
        <scheme val="minor"/>
      </rPr>
      <t>01382</t>
    </r>
    <r>
      <rPr>
        <sz val="10"/>
        <color theme="1"/>
        <rFont val="Calibri"/>
        <family val="2"/>
        <scheme val="minor"/>
      </rPr>
      <t xml:space="preserve"> - Volunteer/no contract
</t>
    </r>
  </si>
  <si>
    <t>000347</t>
  </si>
  <si>
    <t>EmploymentStatus</t>
  </si>
  <si>
    <t>Employment Status While Enrolled</t>
  </si>
  <si>
    <t>An indication of the individual's employment status while enrolled.</t>
  </si>
  <si>
    <r>
      <t>01</t>
    </r>
    <r>
      <rPr>
        <sz val="10"/>
        <color theme="1"/>
        <rFont val="Calibri"/>
        <family val="2"/>
        <scheme val="minor"/>
      </rPr>
      <t xml:space="preserve"> - Full-time
</t>
    </r>
    <r>
      <rPr>
        <b/>
        <sz val="10"/>
        <color theme="1"/>
        <rFont val="Calibri"/>
        <family val="2"/>
        <scheme val="minor"/>
      </rPr>
      <t>02</t>
    </r>
    <r>
      <rPr>
        <sz val="10"/>
        <color theme="1"/>
        <rFont val="Calibri"/>
        <family val="2"/>
        <scheme val="minor"/>
      </rPr>
      <t xml:space="preserve"> - Less than full-time but at least half-time
</t>
    </r>
    <r>
      <rPr>
        <b/>
        <sz val="10"/>
        <color theme="1"/>
        <rFont val="Calibri"/>
        <family val="2"/>
        <scheme val="minor"/>
      </rPr>
      <t>03</t>
    </r>
    <r>
      <rPr>
        <sz val="10"/>
        <color theme="1"/>
        <rFont val="Calibri"/>
        <family val="2"/>
        <scheme val="minor"/>
      </rPr>
      <t xml:space="preserve"> - Less than half-time
</t>
    </r>
  </si>
  <si>
    <t>Postsecondary -&gt; PS Student -&gt; Employment</t>
  </si>
  <si>
    <t>001343</t>
  </si>
  <si>
    <t>EmploymentStatusWhileEnrolled</t>
  </si>
  <si>
    <t>End of Term Status</t>
  </si>
  <si>
    <t>The nature of the student's progress at the end of a given school term.</t>
  </si>
  <si>
    <r>
      <t>Promotion</t>
    </r>
    <r>
      <rPr>
        <sz val="10"/>
        <color theme="1"/>
        <rFont val="Calibri"/>
        <family val="2"/>
        <scheme val="minor"/>
      </rPr>
      <t xml:space="preserve"> - Promotion
</t>
    </r>
    <r>
      <rPr>
        <b/>
        <sz val="10"/>
        <color theme="1"/>
        <rFont val="Calibri"/>
        <family val="2"/>
        <scheme val="minor"/>
      </rPr>
      <t>Retention</t>
    </r>
    <r>
      <rPr>
        <sz val="10"/>
        <color theme="1"/>
        <rFont val="Calibri"/>
        <family val="2"/>
        <scheme val="minor"/>
      </rPr>
      <t xml:space="preserve"> - Retention
</t>
    </r>
  </si>
  <si>
    <t>000093</t>
  </si>
  <si>
    <t>EndOfTermStatus</t>
  </si>
  <si>
    <t>End Time</t>
  </si>
  <si>
    <t>The ending hour, minute and second.</t>
  </si>
  <si>
    <t>K12 -&gt; Calendar -&gt; Event
K12 -&gt; K12 Student -&gt; Attendance</t>
  </si>
  <si>
    <t>001920</t>
  </si>
  <si>
    <t>EndTime</t>
  </si>
  <si>
    <t>English Learner Exit Date</t>
  </si>
  <si>
    <t>The year, month and day a student classified as an English Learner exited the English Learner program.</t>
  </si>
  <si>
    <t>Removed</t>
  </si>
  <si>
    <t>Marked "English Learner Exit Date" as "Removed". Use element "Program Participation Exit Date" instead.</t>
  </si>
  <si>
    <t>000570</t>
  </si>
  <si>
    <t>LEP Exit Date</t>
  </si>
  <si>
    <t>EnglishLearnerExitDate</t>
  </si>
  <si>
    <t>English Learner Status</t>
  </si>
  <si>
    <t>In coordination with the state's definition based on Section 8101(20) of the ESEA, as amended by the ESSA, the term 'English learner', when used with respect to an individual, means an individual: (A) who is aged 3 through 21; (B) who is enrolled or preparing to enroll in an elementary school or a secondary school; (C) (i) who was not born in the United States or whose native languages are languages other than English; (ii) (I) who is a Native American or Alaska Native, or a native resident of the outlying areas; and (II) who comes from an environment where a language other than English has had a significant impact on the individual's level of English language proficiency; or (iii) who is migratory, whose native language is a language other than English, and who come from an environment where a language other than English is dominant; and (D) whose difficulties in speaking, reading, writing, or understanding the English language may be sufficient to deny the individual (i) the ability to meet the challenging State academic standards; (ii) the ability to successfully achieve in classrooms where the language of instruction is English; or (iii) the opportunity to participate fully in society.</t>
  </si>
  <si>
    <t>Early Learning -&gt; EL Child -&gt; Disability
K12 -&gt; K12 Student -&gt; English Learner</t>
  </si>
  <si>
    <t>To be classified as an English learner, an individual must be A, B, and (C or D). For C, an individual can be i, ii, or iii. If C-ii, the individual must be I and II. For D, an individual must be denied i or ii or iii and must be determined by a valid assessment.</t>
  </si>
  <si>
    <t>000180</t>
  </si>
  <si>
    <t>LEP Status</t>
  </si>
  <si>
    <t>EnglishLearnerStatus</t>
  </si>
  <si>
    <t>Enrollment Date</t>
  </si>
  <si>
    <t>The year, month and day on which a person is considered officially enrolled in the program.</t>
  </si>
  <si>
    <t>Adult Education -&gt; AE Student -&gt; Program Participation
Early Learning -&gt; EL Child -&gt; Enrollment</t>
  </si>
  <si>
    <t>000324</t>
  </si>
  <si>
    <t>EnrollmentDate</t>
  </si>
  <si>
    <t>Enrollment Entry Date</t>
  </si>
  <si>
    <t>The month, day, and year on which a person enters and begins to receive instructional services in a school, institution, program, or class-section during a given session.</t>
  </si>
  <si>
    <t>Early Learning -&gt; EL Child -&gt; Enrollment
K12 -&gt; Course Section -&gt; Enrollment
K12 -&gt; K12 Student -&gt; Enrollment
Postsecondary -&gt; PS Student -&gt; Institution Enrollment</t>
  </si>
  <si>
    <t>000097</t>
  </si>
  <si>
    <t>EnrollmentEntryDate</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</si>
  <si>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</si>
  <si>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Enrollment Exit Date</t>
  </si>
  <si>
    <t>The year, month and day on which the student officially withdrew or graduated, i.e. the date on which the student's enrollment ended.</t>
  </si>
  <si>
    <t>Adult Education -&gt; AE Student -&gt; Program Participation
Early Learning -&gt; EL Child -&gt; Enrollment
K12 -&gt; K12 Student -&gt; Enrollment
Postsecondary -&gt; PS Student -&gt; Institution Enrollment</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</si>
  <si>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</si>
  <si>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</si>
  <si>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</si>
  <si>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</si>
  <si>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</si>
  <si>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</si>
  <si>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</si>
  <si>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</si>
  <si>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</si>
  <si>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r>
      <t>01812</t>
    </r>
    <r>
      <rPr>
        <sz val="10"/>
        <color theme="1"/>
        <rFont val="Calibri"/>
        <family val="2"/>
        <scheme val="minor"/>
      </rPr>
      <t xml:space="preserve"> - Concurrently enrolled
</t>
    </r>
    <r>
      <rPr>
        <b/>
        <sz val="10"/>
        <color theme="1"/>
        <rFont val="Calibri"/>
        <family val="2"/>
        <scheme val="minor"/>
      </rPr>
      <t>01811</t>
    </r>
    <r>
      <rPr>
        <sz val="10"/>
        <color theme="1"/>
        <rFont val="Calibri"/>
        <family val="2"/>
        <scheme val="minor"/>
      </rPr>
      <t xml:space="preserve"> - Currently enrolled
</t>
    </r>
    <r>
      <rPr>
        <b/>
        <sz val="10"/>
        <color theme="1"/>
        <rFont val="Calibri"/>
        <family val="2"/>
        <scheme val="minor"/>
      </rPr>
      <t>01810</t>
    </r>
    <r>
      <rPr>
        <sz val="10"/>
        <color theme="1"/>
        <rFont val="Calibri"/>
        <family val="2"/>
        <scheme val="minor"/>
      </rPr>
      <t xml:space="preserve"> - Previously enrolled
</t>
    </r>
    <r>
      <rPr>
        <b/>
        <sz val="10"/>
        <color theme="1"/>
        <rFont val="Calibri"/>
        <family val="2"/>
        <scheme val="minor"/>
      </rPr>
      <t>01813</t>
    </r>
    <r>
      <rPr>
        <sz val="10"/>
        <color theme="1"/>
        <rFont val="Calibri"/>
        <family val="2"/>
        <scheme val="minor"/>
      </rPr>
      <t xml:space="preserve"> - Transferring (will enroll)
</t>
    </r>
  </si>
  <si>
    <t>000094</t>
  </si>
  <si>
    <t>EnrollmentStatus</t>
  </si>
  <si>
    <t>Entry Date into Postsecondary</t>
  </si>
  <si>
    <t>The year, month and day on which a person entered and began to receive instructional services at a postsecondary institution for the first time after completing high school (or its equivalent).</t>
  </si>
  <si>
    <t>000098</t>
  </si>
  <si>
    <t>EntryDateIntoPostsecondary</t>
  </si>
  <si>
    <t>Persistence and Attainment of Nontraditional Students
Postsecondary Education -&gt; IPEDS
Postsecondary Education -&gt; Transition</t>
  </si>
  <si>
    <t>Entry Grade Level</t>
  </si>
  <si>
    <t>The grade level or primary instructional level at which a student enters and receives services in a school or an educational institution during a given academic session.</t>
  </si>
  <si>
    <r>
      <t>IT</t>
    </r>
    <r>
      <rPr>
        <sz val="10"/>
        <color theme="1"/>
        <rFont val="Calibri"/>
        <family val="2"/>
        <scheme val="minor"/>
      </rPr>
      <t xml:space="preserve"> - Infant/toddler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PS</t>
    </r>
    <r>
      <rPr>
        <sz val="10"/>
        <color theme="1"/>
        <rFont val="Calibri"/>
        <family val="2"/>
        <scheme val="minor"/>
      </rPr>
      <t xml:space="preserve"> - Postsecondary
</t>
    </r>
    <r>
      <rPr>
        <b/>
        <sz val="10"/>
        <color theme="1"/>
        <rFont val="Calibri"/>
        <family val="2"/>
        <scheme val="minor"/>
      </rPr>
      <t>UG</t>
    </r>
    <r>
      <rPr>
        <sz val="10"/>
        <color theme="1"/>
        <rFont val="Calibri"/>
        <family val="2"/>
        <scheme val="minor"/>
      </rPr>
      <t xml:space="preserve"> - Ungraded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AE</t>
    </r>
    <r>
      <rPr>
        <sz val="10"/>
        <color theme="1"/>
        <rFont val="Calibri"/>
        <family val="2"/>
        <scheme val="minor"/>
      </rPr>
      <t xml:space="preserve"> - Adult Education
</t>
    </r>
  </si>
  <si>
    <t>Adult Education -&gt; AE Student -&gt; Program Participation
K12 -&gt; K12 Student -&gt; Enrollment</t>
  </si>
  <si>
    <t>000100</t>
  </si>
  <si>
    <t>EntryGradeLevel</t>
  </si>
  <si>
    <t>Entry Type</t>
  </si>
  <si>
    <t>The process by which a student enters a school during a given academic session.</t>
  </si>
  <si>
    <r>
      <t>01821</t>
    </r>
    <r>
      <rPr>
        <sz val="10"/>
        <color theme="1"/>
        <rFont val="Calibri"/>
        <family val="2"/>
        <scheme val="minor"/>
      </rPr>
      <t xml:space="preserve"> - Transfer from a public school in the same local education agency
</t>
    </r>
    <r>
      <rPr>
        <b/>
        <sz val="10"/>
        <color theme="1"/>
        <rFont val="Calibri"/>
        <family val="2"/>
        <scheme val="minor"/>
      </rPr>
      <t>01822</t>
    </r>
    <r>
      <rPr>
        <sz val="10"/>
        <color theme="1"/>
        <rFont val="Calibri"/>
        <family val="2"/>
        <scheme val="minor"/>
      </rPr>
      <t xml:space="preserve"> - Transfer from a public school in a different local education agency in the same state
</t>
    </r>
    <r>
      <rPr>
        <b/>
        <sz val="10"/>
        <color theme="1"/>
        <rFont val="Calibri"/>
        <family val="2"/>
        <scheme val="minor"/>
      </rPr>
      <t>01823</t>
    </r>
    <r>
      <rPr>
        <sz val="10"/>
        <color theme="1"/>
        <rFont val="Calibri"/>
        <family val="2"/>
        <scheme val="minor"/>
      </rPr>
      <t xml:space="preserve"> - Transfer from a public school in a different state
</t>
    </r>
    <r>
      <rPr>
        <b/>
        <sz val="10"/>
        <color theme="1"/>
        <rFont val="Calibri"/>
        <family val="2"/>
        <scheme val="minor"/>
      </rPr>
      <t>01824</t>
    </r>
    <r>
      <rPr>
        <sz val="10"/>
        <color theme="1"/>
        <rFont val="Calibri"/>
        <family val="2"/>
        <scheme val="minor"/>
      </rPr>
      <t xml:space="preserve"> - Transfer from a private, non-religiously-affiliated school in the same local education agency
</t>
    </r>
    <r>
      <rPr>
        <b/>
        <sz val="10"/>
        <color theme="1"/>
        <rFont val="Calibri"/>
        <family val="2"/>
        <scheme val="minor"/>
      </rPr>
      <t>01825</t>
    </r>
    <r>
      <rPr>
        <sz val="10"/>
        <color theme="1"/>
        <rFont val="Calibri"/>
        <family val="2"/>
        <scheme val="minor"/>
      </rPr>
      <t xml:space="preserve"> - Transfer from a private, non-religiously-affiliated school in a different LEA in the same state
</t>
    </r>
    <r>
      <rPr>
        <b/>
        <sz val="10"/>
        <color theme="1"/>
        <rFont val="Calibri"/>
        <family val="2"/>
        <scheme val="minor"/>
      </rPr>
      <t>01826</t>
    </r>
    <r>
      <rPr>
        <sz val="10"/>
        <color theme="1"/>
        <rFont val="Calibri"/>
        <family val="2"/>
        <scheme val="minor"/>
      </rPr>
      <t xml:space="preserve"> - Transfer from a private, non-religiously-affiliated school in a different state
</t>
    </r>
    <r>
      <rPr>
        <b/>
        <sz val="10"/>
        <color theme="1"/>
        <rFont val="Calibri"/>
        <family val="2"/>
        <scheme val="minor"/>
      </rPr>
      <t>01827</t>
    </r>
    <r>
      <rPr>
        <sz val="10"/>
        <color theme="1"/>
        <rFont val="Calibri"/>
        <family val="2"/>
        <scheme val="minor"/>
      </rPr>
      <t xml:space="preserve"> - Transfer from a private, religiously-affiliated school in the same local education agency
</t>
    </r>
    <r>
      <rPr>
        <b/>
        <sz val="10"/>
        <color theme="1"/>
        <rFont val="Calibri"/>
        <family val="2"/>
        <scheme val="minor"/>
      </rPr>
      <t>01828</t>
    </r>
    <r>
      <rPr>
        <sz val="10"/>
        <color theme="1"/>
        <rFont val="Calibri"/>
        <family val="2"/>
        <scheme val="minor"/>
      </rPr>
      <t xml:space="preserve"> - Transfer from a private, religiously-affiliated school in a different LEA in the same state
</t>
    </r>
    <r>
      <rPr>
        <b/>
        <sz val="10"/>
        <color theme="1"/>
        <rFont val="Calibri"/>
        <family val="2"/>
        <scheme val="minor"/>
      </rPr>
      <t>01829</t>
    </r>
    <r>
      <rPr>
        <sz val="10"/>
        <color theme="1"/>
        <rFont val="Calibri"/>
        <family val="2"/>
        <scheme val="minor"/>
      </rPr>
      <t xml:space="preserve"> - Transfer from a private, religiously-affiliated school in a different state
</t>
    </r>
    <r>
      <rPr>
        <b/>
        <sz val="10"/>
        <color theme="1"/>
        <rFont val="Calibri"/>
        <family val="2"/>
        <scheme val="minor"/>
      </rPr>
      <t>01830</t>
    </r>
    <r>
      <rPr>
        <sz val="10"/>
        <color theme="1"/>
        <rFont val="Calibri"/>
        <family val="2"/>
        <scheme val="minor"/>
      </rPr>
      <t xml:space="preserve"> - Transfer from a school outside of the country
</t>
    </r>
    <r>
      <rPr>
        <b/>
        <sz val="10"/>
        <color theme="1"/>
        <rFont val="Calibri"/>
        <family val="2"/>
        <scheme val="minor"/>
      </rPr>
      <t>01831</t>
    </r>
    <r>
      <rPr>
        <sz val="10"/>
        <color theme="1"/>
        <rFont val="Calibri"/>
        <family val="2"/>
        <scheme val="minor"/>
      </rPr>
      <t xml:space="preserve"> - Transfer from an institution
</t>
    </r>
    <r>
      <rPr>
        <b/>
        <sz val="10"/>
        <color theme="1"/>
        <rFont val="Calibri"/>
        <family val="2"/>
        <scheme val="minor"/>
      </rPr>
      <t>01832</t>
    </r>
    <r>
      <rPr>
        <sz val="10"/>
        <color theme="1"/>
        <rFont val="Calibri"/>
        <family val="2"/>
        <scheme val="minor"/>
      </rPr>
      <t xml:space="preserve"> - Transfer from a charter school
</t>
    </r>
    <r>
      <rPr>
        <b/>
        <sz val="10"/>
        <color theme="1"/>
        <rFont val="Calibri"/>
        <family val="2"/>
        <scheme val="minor"/>
      </rPr>
      <t>01833</t>
    </r>
    <r>
      <rPr>
        <sz val="10"/>
        <color theme="1"/>
        <rFont val="Calibri"/>
        <family val="2"/>
        <scheme val="minor"/>
      </rPr>
      <t xml:space="preserve"> - Transfer from home schooling
</t>
    </r>
    <r>
      <rPr>
        <b/>
        <sz val="10"/>
        <color theme="1"/>
        <rFont val="Calibri"/>
        <family val="2"/>
        <scheme val="minor"/>
      </rPr>
      <t>01835</t>
    </r>
    <r>
      <rPr>
        <sz val="10"/>
        <color theme="1"/>
        <rFont val="Calibri"/>
        <family val="2"/>
        <scheme val="minor"/>
      </rPr>
      <t xml:space="preserve"> - Re-entry from the same school with no interruption of schooling
</t>
    </r>
    <r>
      <rPr>
        <b/>
        <sz val="10"/>
        <color theme="1"/>
        <rFont val="Calibri"/>
        <family val="2"/>
        <scheme val="minor"/>
      </rPr>
      <t>01836</t>
    </r>
    <r>
      <rPr>
        <sz val="10"/>
        <color theme="1"/>
        <rFont val="Calibri"/>
        <family val="2"/>
        <scheme val="minor"/>
      </rPr>
      <t xml:space="preserve"> - Re-entry after a voluntary withdrawal
</t>
    </r>
    <r>
      <rPr>
        <b/>
        <sz val="10"/>
        <color theme="1"/>
        <rFont val="Calibri"/>
        <family val="2"/>
        <scheme val="minor"/>
      </rPr>
      <t>01837</t>
    </r>
    <r>
      <rPr>
        <sz val="10"/>
        <color theme="1"/>
        <rFont val="Calibri"/>
        <family val="2"/>
        <scheme val="minor"/>
      </rPr>
      <t xml:space="preserve"> - Re-entry after an involuntary withdrawal
</t>
    </r>
    <r>
      <rPr>
        <b/>
        <sz val="10"/>
        <color theme="1"/>
        <rFont val="Calibri"/>
        <family val="2"/>
        <scheme val="minor"/>
      </rPr>
      <t>01838</t>
    </r>
    <r>
      <rPr>
        <sz val="10"/>
        <color theme="1"/>
        <rFont val="Calibri"/>
        <family val="2"/>
        <scheme val="minor"/>
      </rPr>
      <t xml:space="preserve"> - Original entry into a United States school
</t>
    </r>
    <r>
      <rPr>
        <b/>
        <sz val="10"/>
        <color theme="1"/>
        <rFont val="Calibri"/>
        <family val="2"/>
        <scheme val="minor"/>
      </rPr>
      <t>01839</t>
    </r>
    <r>
      <rPr>
        <sz val="10"/>
        <color theme="1"/>
        <rFont val="Calibri"/>
        <family val="2"/>
        <scheme val="minor"/>
      </rPr>
      <t xml:space="preserve"> - Original entry into a United States school from a foreign country with no interruption in schooling
</t>
    </r>
    <r>
      <rPr>
        <b/>
        <sz val="10"/>
        <color theme="1"/>
        <rFont val="Calibri"/>
        <family val="2"/>
        <scheme val="minor"/>
      </rPr>
      <t>01840</t>
    </r>
    <r>
      <rPr>
        <sz val="10"/>
        <color theme="1"/>
        <rFont val="Calibri"/>
        <family val="2"/>
        <scheme val="minor"/>
      </rPr>
      <t xml:space="preserve"> - Original entry into a United States school from a foreign country with an interruption in schooling
</t>
    </r>
    <r>
      <rPr>
        <b/>
        <sz val="10"/>
        <color theme="1"/>
        <rFont val="Calibri"/>
        <family val="2"/>
        <scheme val="minor"/>
      </rPr>
      <t>09999</t>
    </r>
    <r>
      <rPr>
        <sz val="10"/>
        <color theme="1"/>
        <rFont val="Calibri"/>
        <family val="2"/>
        <scheme val="minor"/>
      </rPr>
      <t xml:space="preserve"> - Other
</t>
    </r>
  </si>
  <si>
    <t>000099</t>
  </si>
  <si>
    <t>EntryType</t>
  </si>
  <si>
    <t>Exit Grade Level</t>
  </si>
  <si>
    <t>The grade level or primary instructional level at which a student exits a school, program, or an educational institution.</t>
  </si>
  <si>
    <r>
      <t>IT</t>
    </r>
    <r>
      <rPr>
        <sz val="10"/>
        <color theme="1"/>
        <rFont val="Calibri"/>
        <family val="2"/>
        <scheme val="minor"/>
      </rPr>
      <t xml:space="preserve"> - Infant/toddler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PS</t>
    </r>
    <r>
      <rPr>
        <sz val="10"/>
        <color theme="1"/>
        <rFont val="Calibri"/>
        <family val="2"/>
        <scheme val="minor"/>
      </rPr>
      <t xml:space="preserve"> - Postsecondary
</t>
    </r>
    <r>
      <rPr>
        <b/>
        <sz val="10"/>
        <color theme="1"/>
        <rFont val="Calibri"/>
        <family val="2"/>
        <scheme val="minor"/>
      </rPr>
      <t>UG</t>
    </r>
    <r>
      <rPr>
        <sz val="10"/>
        <color theme="1"/>
        <rFont val="Calibri"/>
        <family val="2"/>
        <scheme val="minor"/>
      </rPr>
      <t xml:space="preserve"> - Ungraded
</t>
    </r>
    <r>
      <rPr>
        <b/>
        <sz val="10"/>
        <color theme="1"/>
        <rFont val="Calibri"/>
        <family val="2"/>
        <scheme val="minor"/>
      </rPr>
      <t>Other</t>
    </r>
    <r>
      <rPr>
        <sz val="10"/>
        <color theme="1"/>
        <rFont val="Calibri"/>
        <family val="2"/>
        <scheme val="minor"/>
      </rPr>
      <t xml:space="preserve"> - Other
</t>
    </r>
  </si>
  <si>
    <t>001210</t>
  </si>
  <si>
    <t>ExitGradeLevel</t>
  </si>
  <si>
    <t>Exit or Withdrawal Status</t>
  </si>
  <si>
    <t>An indication as to whether an instance of student exit/withdrawal is considered to be of a permanent or temporary nature.</t>
  </si>
  <si>
    <r>
      <t>Permanent</t>
    </r>
    <r>
      <rPr>
        <sz val="10"/>
        <color theme="1"/>
        <rFont val="Calibri"/>
        <family val="2"/>
        <scheme val="minor"/>
      </rPr>
      <t xml:space="preserve"> - Permanent
</t>
    </r>
    <r>
      <rPr>
        <b/>
        <sz val="10"/>
        <color theme="1"/>
        <rFont val="Calibri"/>
        <family val="2"/>
        <scheme val="minor"/>
      </rPr>
      <t>Temporary</t>
    </r>
    <r>
      <rPr>
        <sz val="10"/>
        <color theme="1"/>
        <rFont val="Calibri"/>
        <family val="2"/>
        <scheme val="minor"/>
      </rPr>
      <t xml:space="preserve"> - Temporary
</t>
    </r>
  </si>
  <si>
    <t>K12 -&gt; Course Section -&gt; Enrollment
K12 -&gt; K12 Student -&gt; Enrollment</t>
  </si>
  <si>
    <t>000108</t>
  </si>
  <si>
    <t>ExitOrWithdrawalStatus</t>
  </si>
  <si>
    <t>Exit or Withdrawal Type</t>
  </si>
  <si>
    <t>The circumstances under which the student exited from membership in an educational institution.</t>
  </si>
  <si>
    <r>
      <t>01907</t>
    </r>
    <r>
      <rPr>
        <sz val="10"/>
        <color theme="1"/>
        <rFont val="Calibri"/>
        <family val="2"/>
        <scheme val="minor"/>
      </rPr>
      <t xml:space="preserve"> - Student is in a different public school in the same local education agency
</t>
    </r>
    <r>
      <rPr>
        <b/>
        <sz val="10"/>
        <color theme="1"/>
        <rFont val="Calibri"/>
        <family val="2"/>
        <scheme val="minor"/>
      </rPr>
      <t>01908</t>
    </r>
    <r>
      <rPr>
        <sz val="10"/>
        <color theme="1"/>
        <rFont val="Calibri"/>
        <family val="2"/>
        <scheme val="minor"/>
      </rPr>
      <t xml:space="preserve"> - Transferred to a public school in a different local education agency in the same state
</t>
    </r>
    <r>
      <rPr>
        <b/>
        <sz val="10"/>
        <color theme="1"/>
        <rFont val="Calibri"/>
        <family val="2"/>
        <scheme val="minor"/>
      </rPr>
      <t>01909</t>
    </r>
    <r>
      <rPr>
        <sz val="10"/>
        <color theme="1"/>
        <rFont val="Calibri"/>
        <family val="2"/>
        <scheme val="minor"/>
      </rPr>
      <t xml:space="preserve"> - Transferred to a public school in a different state
</t>
    </r>
    <r>
      <rPr>
        <b/>
        <sz val="10"/>
        <color theme="1"/>
        <rFont val="Calibri"/>
        <family val="2"/>
        <scheme val="minor"/>
      </rPr>
      <t>01910</t>
    </r>
    <r>
      <rPr>
        <sz val="10"/>
        <color theme="1"/>
        <rFont val="Calibri"/>
        <family val="2"/>
        <scheme val="minor"/>
      </rPr>
      <t xml:space="preserve"> - Transferred to a private, non-religiously-affiliated school within the geographic boundaries as the same local education agency
</t>
    </r>
    <r>
      <rPr>
        <b/>
        <sz val="10"/>
        <color theme="1"/>
        <rFont val="Calibri"/>
        <family val="2"/>
        <scheme val="minor"/>
      </rPr>
      <t>01911</t>
    </r>
    <r>
      <rPr>
        <sz val="10"/>
        <color theme="1"/>
        <rFont val="Calibri"/>
        <family val="2"/>
        <scheme val="minor"/>
      </rPr>
      <t xml:space="preserve"> - Transferred to a private, non-religiously-affiliated school within the geographic boundaries of a different LEA in the same state
</t>
    </r>
    <r>
      <rPr>
        <b/>
        <sz val="10"/>
        <color theme="1"/>
        <rFont val="Calibri"/>
        <family val="2"/>
        <scheme val="minor"/>
      </rPr>
      <t>01912</t>
    </r>
    <r>
      <rPr>
        <sz val="10"/>
        <color theme="1"/>
        <rFont val="Calibri"/>
        <family val="2"/>
        <scheme val="minor"/>
      </rPr>
      <t xml:space="preserve"> - Transferred to a private, non-religiously-affiliated school in a different state
</t>
    </r>
    <r>
      <rPr>
        <b/>
        <sz val="10"/>
        <color theme="1"/>
        <rFont val="Calibri"/>
        <family val="2"/>
        <scheme val="minor"/>
      </rPr>
      <t>01913</t>
    </r>
    <r>
      <rPr>
        <sz val="10"/>
        <color theme="1"/>
        <rFont val="Calibri"/>
        <family val="2"/>
        <scheme val="minor"/>
      </rPr>
      <t xml:space="preserve"> - Transferred to a private, religiously-affiliated school within the geographic boundaries of the same local education agency
</t>
    </r>
    <r>
      <rPr>
        <b/>
        <sz val="10"/>
        <color theme="1"/>
        <rFont val="Calibri"/>
        <family val="2"/>
        <scheme val="minor"/>
      </rPr>
      <t>01914</t>
    </r>
    <r>
      <rPr>
        <sz val="10"/>
        <color theme="1"/>
        <rFont val="Calibri"/>
        <family val="2"/>
        <scheme val="minor"/>
      </rPr>
      <t xml:space="preserve"> - Transferred to a private, religiously-affiliated school within the geographic boundaries of a different LEA in the same state
</t>
    </r>
    <r>
      <rPr>
        <b/>
        <sz val="10"/>
        <color theme="1"/>
        <rFont val="Calibri"/>
        <family val="2"/>
        <scheme val="minor"/>
      </rPr>
      <t>01915</t>
    </r>
    <r>
      <rPr>
        <sz val="10"/>
        <color theme="1"/>
        <rFont val="Calibri"/>
        <family val="2"/>
        <scheme val="minor"/>
      </rPr>
      <t xml:space="preserve"> - Transferred to a private, religiously-affiliated school in a different state
</t>
    </r>
    <r>
      <rPr>
        <b/>
        <sz val="10"/>
        <color theme="1"/>
        <rFont val="Calibri"/>
        <family val="2"/>
        <scheme val="minor"/>
      </rPr>
      <t>01916</t>
    </r>
    <r>
      <rPr>
        <sz val="10"/>
        <color theme="1"/>
        <rFont val="Calibri"/>
        <family val="2"/>
        <scheme val="minor"/>
      </rPr>
      <t xml:space="preserve"> - Transferred to a school outside of the country
</t>
    </r>
    <r>
      <rPr>
        <b/>
        <sz val="10"/>
        <color theme="1"/>
        <rFont val="Calibri"/>
        <family val="2"/>
        <scheme val="minor"/>
      </rPr>
      <t>01917</t>
    </r>
    <r>
      <rPr>
        <sz val="10"/>
        <color theme="1"/>
        <rFont val="Calibri"/>
        <family val="2"/>
        <scheme val="minor"/>
      </rPr>
      <t xml:space="preserve"> - Transferred to an institution
</t>
    </r>
    <r>
      <rPr>
        <b/>
        <sz val="10"/>
        <color theme="1"/>
        <rFont val="Calibri"/>
        <family val="2"/>
        <scheme val="minor"/>
      </rPr>
      <t>01918</t>
    </r>
    <r>
      <rPr>
        <sz val="10"/>
        <color theme="1"/>
        <rFont val="Calibri"/>
        <family val="2"/>
        <scheme val="minor"/>
      </rPr>
      <t xml:space="preserve"> - Transferred to home schooling
</t>
    </r>
    <r>
      <rPr>
        <b/>
        <sz val="10"/>
        <color theme="1"/>
        <rFont val="Calibri"/>
        <family val="2"/>
        <scheme val="minor"/>
      </rPr>
      <t>01919</t>
    </r>
    <r>
      <rPr>
        <sz val="10"/>
        <color theme="1"/>
        <rFont val="Calibri"/>
        <family val="2"/>
        <scheme val="minor"/>
      </rPr>
      <t xml:space="preserve"> - Transferred to a charter school in a different LEA in the state
</t>
    </r>
    <r>
      <rPr>
        <b/>
        <sz val="10"/>
        <color theme="1"/>
        <rFont val="Calibri"/>
        <family val="2"/>
        <scheme val="minor"/>
      </rPr>
      <t>01921</t>
    </r>
    <r>
      <rPr>
        <sz val="10"/>
        <color theme="1"/>
        <rFont val="Calibri"/>
        <family val="2"/>
        <scheme val="minor"/>
      </rPr>
      <t xml:space="preserve"> - Graduated with regular, advanced, International Baccalaureate, or other type of diploma
</t>
    </r>
    <r>
      <rPr>
        <b/>
        <sz val="10"/>
        <color theme="1"/>
        <rFont val="Calibri"/>
        <family val="2"/>
        <scheme val="minor"/>
      </rPr>
      <t>01922</t>
    </r>
    <r>
      <rPr>
        <sz val="10"/>
        <color theme="1"/>
        <rFont val="Calibri"/>
        <family val="2"/>
        <scheme val="minor"/>
      </rPr>
      <t xml:space="preserve"> - Completed school with other credentials
</t>
    </r>
    <r>
      <rPr>
        <b/>
        <sz val="10"/>
        <color theme="1"/>
        <rFont val="Calibri"/>
        <family val="2"/>
        <scheme val="minor"/>
      </rPr>
      <t>01924</t>
    </r>
    <r>
      <rPr>
        <sz val="10"/>
        <color theme="1"/>
        <rFont val="Calibri"/>
        <family val="2"/>
        <scheme val="minor"/>
      </rPr>
      <t xml:space="preserve"> - Withdrawn due to illness
</t>
    </r>
    <r>
      <rPr>
        <b/>
        <sz val="10"/>
        <color theme="1"/>
        <rFont val="Calibri"/>
        <family val="2"/>
        <scheme val="minor"/>
      </rPr>
      <t>01925</t>
    </r>
    <r>
      <rPr>
        <sz val="10"/>
        <color theme="1"/>
        <rFont val="Calibri"/>
        <family val="2"/>
        <scheme val="minor"/>
      </rPr>
      <t xml:space="preserve"> - Expelled or involuntarily withdrawn
</t>
    </r>
    <r>
      <rPr>
        <b/>
        <sz val="10"/>
        <color theme="1"/>
        <rFont val="Calibri"/>
        <family val="2"/>
        <scheme val="minor"/>
      </rPr>
      <t>01926</t>
    </r>
    <r>
      <rPr>
        <sz val="10"/>
        <color theme="1"/>
        <rFont val="Calibri"/>
        <family val="2"/>
        <scheme val="minor"/>
      </rPr>
      <t xml:space="preserve"> - Reached maximum age for services
</t>
    </r>
    <r>
      <rPr>
        <b/>
        <sz val="10"/>
        <color theme="1"/>
        <rFont val="Calibri"/>
        <family val="2"/>
        <scheme val="minor"/>
      </rPr>
      <t>01927</t>
    </r>
    <r>
      <rPr>
        <sz val="10"/>
        <color theme="1"/>
        <rFont val="Calibri"/>
        <family val="2"/>
        <scheme val="minor"/>
      </rPr>
      <t xml:space="preserve"> - Discontinued schooling
</t>
    </r>
    <r>
      <rPr>
        <b/>
        <sz val="10"/>
        <color theme="1"/>
        <rFont val="Calibri"/>
        <family val="2"/>
        <scheme val="minor"/>
      </rPr>
      <t>01928</t>
    </r>
    <r>
      <rPr>
        <sz val="10"/>
        <color theme="1"/>
        <rFont val="Calibri"/>
        <family val="2"/>
        <scheme val="minor"/>
      </rPr>
      <t xml:space="preserve"> - Completed grade 12, but did not meet all graduation requirements
</t>
    </r>
    <r>
      <rPr>
        <b/>
        <sz val="10"/>
        <color theme="1"/>
        <rFont val="Calibri"/>
        <family val="2"/>
        <scheme val="minor"/>
      </rPr>
      <t>01930</t>
    </r>
    <r>
      <rPr>
        <sz val="10"/>
        <color theme="1"/>
        <rFont val="Calibri"/>
        <family val="2"/>
        <scheme val="minor"/>
      </rPr>
      <t xml:space="preserve"> - Enrolled in a postsecondary early admission program
</t>
    </r>
    <r>
      <rPr>
        <b/>
        <sz val="10"/>
        <color theme="1"/>
        <rFont val="Calibri"/>
        <family val="2"/>
        <scheme val="minor"/>
      </rPr>
      <t>01931</t>
    </r>
    <r>
      <rPr>
        <sz val="10"/>
        <color theme="1"/>
        <rFont val="Calibri"/>
        <family val="2"/>
        <scheme val="minor"/>
      </rPr>
      <t xml:space="preserve"> - Not enrolled, unknown status
</t>
    </r>
    <r>
      <rPr>
        <b/>
        <sz val="10"/>
        <color theme="1"/>
        <rFont val="Calibri"/>
        <family val="2"/>
        <scheme val="minor"/>
      </rPr>
      <t>03499</t>
    </r>
    <r>
      <rPr>
        <sz val="10"/>
        <color theme="1"/>
        <rFont val="Calibri"/>
        <family val="2"/>
        <scheme val="minor"/>
      </rPr>
      <t xml:space="preserve"> - Student is in the same LEA, receiving education services, but is not assigned to a particular school
</t>
    </r>
    <r>
      <rPr>
        <b/>
        <sz val="10"/>
        <color theme="1"/>
        <rFont val="Calibri"/>
        <family val="2"/>
        <scheme val="minor"/>
      </rPr>
      <t>03502</t>
    </r>
    <r>
      <rPr>
        <sz val="10"/>
        <color theme="1"/>
        <rFont val="Calibri"/>
        <family val="2"/>
        <scheme val="minor"/>
      </rPr>
      <t xml:space="preserve"> - Not enrolled, eligible to return
</t>
    </r>
    <r>
      <rPr>
        <b/>
        <sz val="10"/>
        <color theme="1"/>
        <rFont val="Calibri"/>
        <family val="2"/>
        <scheme val="minor"/>
      </rPr>
      <t>03503</t>
    </r>
    <r>
      <rPr>
        <sz val="10"/>
        <color theme="1"/>
        <rFont val="Calibri"/>
        <family val="2"/>
        <scheme val="minor"/>
      </rPr>
      <t xml:space="preserve"> - Enrolled in a foreign exchange program
</t>
    </r>
    <r>
      <rPr>
        <b/>
        <sz val="10"/>
        <color theme="1"/>
        <rFont val="Calibri"/>
        <family val="2"/>
        <scheme val="minor"/>
      </rPr>
      <t>03505</t>
    </r>
    <r>
      <rPr>
        <sz val="10"/>
        <color theme="1"/>
        <rFont val="Calibri"/>
        <family val="2"/>
        <scheme val="minor"/>
      </rPr>
      <t xml:space="preserve"> - Exited
</t>
    </r>
    <r>
      <rPr>
        <b/>
        <sz val="10"/>
        <color theme="1"/>
        <rFont val="Calibri"/>
        <family val="2"/>
        <scheme val="minor"/>
      </rPr>
      <t>03508</t>
    </r>
    <r>
      <rPr>
        <sz val="10"/>
        <color theme="1"/>
        <rFont val="Calibri"/>
        <family val="2"/>
        <scheme val="minor"/>
      </rPr>
      <t xml:space="preserve"> - Student is in a charter school managed by the same local education agency
</t>
    </r>
    <r>
      <rPr>
        <b/>
        <sz val="10"/>
        <color theme="1"/>
        <rFont val="Calibri"/>
        <family val="2"/>
        <scheme val="minor"/>
      </rPr>
      <t>03509</t>
    </r>
    <r>
      <rPr>
        <sz val="10"/>
        <color theme="1"/>
        <rFont val="Calibri"/>
        <family val="2"/>
        <scheme val="minor"/>
      </rPr>
      <t xml:space="preserve"> - Completed with a state-recognized equivalency certificate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73060</t>
    </r>
    <r>
      <rPr>
        <sz val="10"/>
        <color theme="1"/>
        <rFont val="Calibri"/>
        <family val="2"/>
        <scheme val="minor"/>
      </rPr>
      <t xml:space="preserve"> - Officially withdrew and enrolled in ABE, adult secondary education, or adult ESL program
</t>
    </r>
    <r>
      <rPr>
        <b/>
        <sz val="10"/>
        <color theme="1"/>
        <rFont val="Calibri"/>
        <family val="2"/>
        <scheme val="minor"/>
      </rPr>
      <t>73061</t>
    </r>
    <r>
      <rPr>
        <sz val="10"/>
        <color theme="1"/>
        <rFont val="Calibri"/>
        <family val="2"/>
        <scheme val="minor"/>
      </rPr>
      <t xml:space="preserve"> - Officially withdrew and enrolled in a workforce training program
</t>
    </r>
    <r>
      <rPr>
        <b/>
        <sz val="10"/>
        <color theme="1"/>
        <rFont val="Calibri"/>
        <family val="2"/>
        <scheme val="minor"/>
      </rPr>
      <t>73064</t>
    </r>
    <r>
      <rPr>
        <sz val="10"/>
        <color theme="1"/>
        <rFont val="Calibri"/>
        <family val="2"/>
        <scheme val="minor"/>
      </rPr>
      <t xml:space="preserve"> - Died
</t>
    </r>
    <r>
      <rPr>
        <b/>
        <sz val="10"/>
        <color theme="1"/>
        <rFont val="Calibri"/>
        <family val="2"/>
        <scheme val="minor"/>
      </rPr>
      <t>73065</t>
    </r>
    <r>
      <rPr>
        <sz val="10"/>
        <color theme="1"/>
        <rFont val="Calibri"/>
        <family val="2"/>
        <scheme val="minor"/>
      </rPr>
      <t xml:space="preserve"> - Permanently incapacitated
</t>
    </r>
    <r>
      <rPr>
        <b/>
        <sz val="10"/>
        <color theme="1"/>
        <rFont val="Calibri"/>
        <family val="2"/>
        <scheme val="minor"/>
      </rPr>
      <t>73062</t>
    </r>
    <r>
      <rPr>
        <sz val="10"/>
        <color theme="1"/>
        <rFont val="Calibri"/>
        <family val="2"/>
        <scheme val="minor"/>
      </rPr>
      <t xml:space="preserve"> - Student is expected to return to the same school
</t>
    </r>
    <r>
      <rPr>
        <b/>
        <sz val="10"/>
        <color theme="1"/>
        <rFont val="Calibri"/>
        <family val="2"/>
        <scheme val="minor"/>
      </rPr>
      <t>73063</t>
    </r>
    <r>
      <rPr>
        <sz val="10"/>
        <color theme="1"/>
        <rFont val="Calibri"/>
        <family val="2"/>
        <scheme val="minor"/>
      </rPr>
      <t xml:space="preserve"> - Transferred to a charter school in a different state
</t>
    </r>
  </si>
  <si>
    <t>Updated option set to remove duplicates, disaggregate options and further clarify descriptions.</t>
  </si>
  <si>
    <t>The purpose of this element is to track the circumstances related to an exit from membership. There are multiple use cases related to this element, some for longitudinal purposes, some for funding, some for live transactional systems. The descriptions and definitions are intended to meet those needs. Four often misunderstood options are explained below:</t>
  </si>
  <si>
    <t>000110</t>
  </si>
  <si>
    <t>ExitOrWithdrawalType</t>
  </si>
  <si>
    <t>K-12 -&gt; EDFacts
K-12 -&gt; LEA-to-LEA Student Record Exchange
K-12 -&gt; LEA-to-SEA Student Record Exchange</t>
  </si>
  <si>
    <t>1. 09999 - Other. Other is intended to indicate that CEDS has not yet defined a circumstance in which this exit occurred.</t>
  </si>
  <si>
    <t>2. 03505 - Exited. Unlike "09999 - Other", the "Exited" option is intended to be used for administrative purposes such as a mid-year grade level change.</t>
  </si>
  <si>
    <t>3. 01931 - Not enrolled, unknown status. This is to be used as a placeholder while additional exit information is collected or to track students who are known to have Discontinued Schooling (dropped out) separate from students whose whereabouts are unknown.</t>
  </si>
  <si>
    <t>4. 03502 - Not enrolled, eligible to return. Different than the 01931 code, the status of this student is not unknown; however, the institution is required to exit the student from membership for an extended period. It is expected the student will reenroll in the same institution following this extended period.</t>
  </si>
  <si>
    <t>Exit Reason</t>
  </si>
  <si>
    <t>The documented or assumed reason a student is no longer being served by a special program.</t>
  </si>
  <si>
    <r>
      <t>06262</t>
    </r>
    <r>
      <rPr>
        <sz val="10"/>
        <color theme="1"/>
        <rFont val="Calibri"/>
        <family val="2"/>
        <scheme val="minor"/>
      </rPr>
      <t xml:space="preserve"> - Attempts to contact the parent and/or child were unsuccessful
</t>
    </r>
    <r>
      <rPr>
        <b/>
        <sz val="10"/>
        <color theme="1"/>
        <rFont val="Calibri"/>
        <family val="2"/>
        <scheme val="minor"/>
      </rPr>
      <t>02226</t>
    </r>
    <r>
      <rPr>
        <sz val="10"/>
        <color theme="1"/>
        <rFont val="Calibri"/>
        <family val="2"/>
        <scheme val="minor"/>
      </rPr>
      <t xml:space="preserve"> - Completion of IFSP prior to reaching maximum age for Part C
</t>
    </r>
    <r>
      <rPr>
        <b/>
        <sz val="10"/>
        <color theme="1"/>
        <rFont val="Calibri"/>
        <family val="2"/>
        <scheme val="minor"/>
      </rPr>
      <t>01923</t>
    </r>
    <r>
      <rPr>
        <sz val="10"/>
        <color theme="1"/>
        <rFont val="Calibri"/>
        <family val="2"/>
        <scheme val="minor"/>
      </rPr>
      <t xml:space="preserve"> - Died or is permanently incapacitated
</t>
    </r>
    <r>
      <rPr>
        <b/>
        <sz val="10"/>
        <color theme="1"/>
        <rFont val="Calibri"/>
        <family val="2"/>
        <scheme val="minor"/>
      </rPr>
      <t>01927</t>
    </r>
    <r>
      <rPr>
        <sz val="10"/>
        <color theme="1"/>
        <rFont val="Calibri"/>
        <family val="2"/>
        <scheme val="minor"/>
      </rPr>
      <t xml:space="preserve"> - Discontinued schooling
</t>
    </r>
    <r>
      <rPr>
        <b/>
        <sz val="10"/>
        <color theme="1"/>
        <rFont val="Calibri"/>
        <family val="2"/>
        <scheme val="minor"/>
      </rPr>
      <t>02222</t>
    </r>
    <r>
      <rPr>
        <sz val="10"/>
        <color theme="1"/>
        <rFont val="Calibri"/>
        <family val="2"/>
        <scheme val="minor"/>
      </rPr>
      <t xml:space="preserve"> - Discontinued schooling, not special education
</t>
    </r>
    <r>
      <rPr>
        <b/>
        <sz val="10"/>
        <color theme="1"/>
        <rFont val="Calibri"/>
        <family val="2"/>
        <scheme val="minor"/>
      </rPr>
      <t>02221</t>
    </r>
    <r>
      <rPr>
        <sz val="10"/>
        <color theme="1"/>
        <rFont val="Calibri"/>
        <family val="2"/>
        <scheme val="minor"/>
      </rPr>
      <t xml:space="preserve"> - Discontinued schooling, special education only
</t>
    </r>
    <r>
      <rPr>
        <b/>
        <sz val="10"/>
        <color theme="1"/>
        <rFont val="Calibri"/>
        <family val="2"/>
        <scheme val="minor"/>
      </rPr>
      <t>02227</t>
    </r>
    <r>
      <rPr>
        <sz val="10"/>
        <color theme="1"/>
        <rFont val="Calibri"/>
        <family val="2"/>
        <scheme val="minor"/>
      </rPr>
      <t xml:space="preserve"> - Eligible for IDEA, Part B
</t>
    </r>
    <r>
      <rPr>
        <b/>
        <sz val="10"/>
        <color theme="1"/>
        <rFont val="Calibri"/>
        <family val="2"/>
        <scheme val="minor"/>
      </rPr>
      <t>02224</t>
    </r>
    <r>
      <rPr>
        <sz val="10"/>
        <color theme="1"/>
        <rFont val="Calibri"/>
        <family val="2"/>
        <scheme val="minor"/>
      </rPr>
      <t xml:space="preserve"> - Expulsion
</t>
    </r>
    <r>
      <rPr>
        <b/>
        <sz val="10"/>
        <color theme="1"/>
        <rFont val="Calibri"/>
        <family val="2"/>
        <scheme val="minor"/>
      </rPr>
      <t>02212</t>
    </r>
    <r>
      <rPr>
        <sz val="10"/>
        <color theme="1"/>
        <rFont val="Calibri"/>
        <family val="2"/>
        <scheme val="minor"/>
      </rPr>
      <t xml:space="preserve"> - Graduated with a high school diploma
</t>
    </r>
    <r>
      <rPr>
        <b/>
        <sz val="10"/>
        <color theme="1"/>
        <rFont val="Calibri"/>
        <family val="2"/>
        <scheme val="minor"/>
      </rPr>
      <t>02231</t>
    </r>
    <r>
      <rPr>
        <sz val="10"/>
        <color theme="1"/>
        <rFont val="Calibri"/>
        <family val="2"/>
        <scheme val="minor"/>
      </rPr>
      <t xml:space="preserve"> - Moved out of state
</t>
    </r>
    <r>
      <rPr>
        <b/>
        <sz val="10"/>
        <color theme="1"/>
        <rFont val="Calibri"/>
        <family val="2"/>
        <scheme val="minor"/>
      </rPr>
      <t>02216</t>
    </r>
    <r>
      <rPr>
        <sz val="10"/>
        <color theme="1"/>
        <rFont val="Calibri"/>
        <family val="2"/>
        <scheme val="minor"/>
      </rPr>
      <t xml:space="preserve"> - No longer receiving special education
</t>
    </r>
    <r>
      <rPr>
        <b/>
        <sz val="10"/>
        <color theme="1"/>
        <rFont val="Calibri"/>
        <family val="2"/>
        <scheme val="minor"/>
      </rPr>
      <t>73075</t>
    </r>
    <r>
      <rPr>
        <sz val="10"/>
        <color theme="1"/>
        <rFont val="Calibri"/>
        <family val="2"/>
        <scheme val="minor"/>
      </rPr>
      <t xml:space="preserve"> - Moved within the US, not known to be continuing
</t>
    </r>
    <r>
      <rPr>
        <b/>
        <sz val="10"/>
        <color theme="1"/>
        <rFont val="Calibri"/>
        <family val="2"/>
        <scheme val="minor"/>
      </rPr>
      <t>06261</t>
    </r>
    <r>
      <rPr>
        <sz val="10"/>
        <color theme="1"/>
        <rFont val="Calibri"/>
        <family val="2"/>
        <scheme val="minor"/>
      </rPr>
      <t xml:space="preserve"> - Not eligible for Part B, exit with no referrals
</t>
    </r>
    <r>
      <rPr>
        <b/>
        <sz val="10"/>
        <color theme="1"/>
        <rFont val="Calibri"/>
        <family val="2"/>
        <scheme val="minor"/>
      </rPr>
      <t>02228</t>
    </r>
    <r>
      <rPr>
        <sz val="10"/>
        <color theme="1"/>
        <rFont val="Calibri"/>
        <family val="2"/>
        <scheme val="minor"/>
      </rPr>
      <t xml:space="preserve"> - Not eligible for Part B, exit with referrals to other programs
</t>
    </r>
    <r>
      <rPr>
        <b/>
        <sz val="10"/>
        <color theme="1"/>
        <rFont val="Calibri"/>
        <family val="2"/>
        <scheme val="minor"/>
      </rPr>
      <t>02230</t>
    </r>
    <r>
      <rPr>
        <sz val="10"/>
        <color theme="1"/>
        <rFont val="Calibri"/>
        <family val="2"/>
        <scheme val="minor"/>
      </rPr>
      <t xml:space="preserve"> - Part B eligibility not determined
</t>
    </r>
    <r>
      <rPr>
        <b/>
        <sz val="10"/>
        <color theme="1"/>
        <rFont val="Calibri"/>
        <family val="2"/>
        <scheme val="minor"/>
      </rPr>
      <t>02214</t>
    </r>
    <r>
      <rPr>
        <sz val="10"/>
        <color theme="1"/>
        <rFont val="Calibri"/>
        <family val="2"/>
        <scheme val="minor"/>
      </rPr>
      <t xml:space="preserve"> - Program completion
</t>
    </r>
    <r>
      <rPr>
        <b/>
        <sz val="10"/>
        <color theme="1"/>
        <rFont val="Calibri"/>
        <family val="2"/>
        <scheme val="minor"/>
      </rPr>
      <t>02225</t>
    </r>
    <r>
      <rPr>
        <sz val="10"/>
        <color theme="1"/>
        <rFont val="Calibri"/>
        <family val="2"/>
        <scheme val="minor"/>
      </rPr>
      <t xml:space="preserve"> - Program discontinued
</t>
    </r>
    <r>
      <rPr>
        <b/>
        <sz val="10"/>
        <color theme="1"/>
        <rFont val="Calibri"/>
        <family val="2"/>
        <scheme val="minor"/>
      </rPr>
      <t>02215</t>
    </r>
    <r>
      <rPr>
        <sz val="10"/>
        <color theme="1"/>
        <rFont val="Calibri"/>
        <family val="2"/>
        <scheme val="minor"/>
      </rPr>
      <t xml:space="preserve"> - Reached maximum age
</t>
    </r>
    <r>
      <rPr>
        <b/>
        <sz val="10"/>
        <color theme="1"/>
        <rFont val="Calibri"/>
        <family val="2"/>
        <scheme val="minor"/>
      </rPr>
      <t>02213</t>
    </r>
    <r>
      <rPr>
        <sz val="10"/>
        <color theme="1"/>
        <rFont val="Calibri"/>
        <family val="2"/>
        <scheme val="minor"/>
      </rPr>
      <t xml:space="preserve"> - Received certificate of completion, modified diploma, or finished IEP requirements
</t>
    </r>
    <r>
      <rPr>
        <b/>
        <sz val="10"/>
        <color theme="1"/>
        <rFont val="Calibri"/>
        <family val="2"/>
        <scheme val="minor"/>
      </rPr>
      <t>02217</t>
    </r>
    <r>
      <rPr>
        <sz val="10"/>
        <color theme="1"/>
        <rFont val="Calibri"/>
        <family val="2"/>
        <scheme val="minor"/>
      </rPr>
      <t xml:space="preserve"> - Refused services
</t>
    </r>
    <r>
      <rPr>
        <b/>
        <sz val="10"/>
        <color theme="1"/>
        <rFont val="Calibri"/>
        <family val="2"/>
        <scheme val="minor"/>
      </rPr>
      <t>73076</t>
    </r>
    <r>
      <rPr>
        <sz val="10"/>
        <color theme="1"/>
        <rFont val="Calibri"/>
        <family val="2"/>
        <scheme val="minor"/>
      </rPr>
      <t xml:space="preserve"> - Student data claimed in error/never attended
</t>
    </r>
    <r>
      <rPr>
        <b/>
        <sz val="10"/>
        <color theme="1"/>
        <rFont val="Calibri"/>
        <family val="2"/>
        <scheme val="minor"/>
      </rPr>
      <t>73078</t>
    </r>
    <r>
      <rPr>
        <sz val="10"/>
        <color theme="1"/>
        <rFont val="Calibri"/>
        <family val="2"/>
        <scheme val="minor"/>
      </rPr>
      <t xml:space="preserve"> - Student moved to another country, may or may not be continuing
</t>
    </r>
    <r>
      <rPr>
        <b/>
        <sz val="10"/>
        <color theme="1"/>
        <rFont val="Calibri"/>
        <family val="2"/>
        <scheme val="minor"/>
      </rPr>
      <t>73079</t>
    </r>
    <r>
      <rPr>
        <sz val="10"/>
        <color theme="1"/>
        <rFont val="Calibri"/>
        <family val="2"/>
        <scheme val="minor"/>
      </rPr>
      <t xml:space="preserve"> - Student with disabilities remaining in school to receive transitional services
</t>
    </r>
    <r>
      <rPr>
        <b/>
        <sz val="10"/>
        <color theme="1"/>
        <rFont val="Calibri"/>
        <family val="2"/>
        <scheme val="minor"/>
      </rPr>
      <t>02220</t>
    </r>
    <r>
      <rPr>
        <sz val="10"/>
        <color theme="1"/>
        <rFont val="Calibri"/>
        <family val="2"/>
        <scheme val="minor"/>
      </rPr>
      <t xml:space="preserve"> - Suspended from school
</t>
    </r>
    <r>
      <rPr>
        <b/>
        <sz val="10"/>
        <color theme="1"/>
        <rFont val="Calibri"/>
        <family val="2"/>
        <scheme val="minor"/>
      </rPr>
      <t>02406</t>
    </r>
    <r>
      <rPr>
        <sz val="10"/>
        <color theme="1"/>
        <rFont val="Calibri"/>
        <family val="2"/>
        <scheme val="minor"/>
      </rPr>
      <t xml:space="preserve"> - Transferred to another district or school, known not to be continuing in program/service
</t>
    </r>
    <r>
      <rPr>
        <b/>
        <sz val="10"/>
        <color theme="1"/>
        <rFont val="Calibri"/>
        <family val="2"/>
        <scheme val="minor"/>
      </rPr>
      <t>02218</t>
    </r>
    <r>
      <rPr>
        <sz val="10"/>
        <color theme="1"/>
        <rFont val="Calibri"/>
        <family val="2"/>
        <scheme val="minor"/>
      </rPr>
      <t xml:space="preserve"> - Transferred to another district or school, known to be continuing in program/service
</t>
    </r>
    <r>
      <rPr>
        <b/>
        <sz val="10"/>
        <color theme="1"/>
        <rFont val="Calibri"/>
        <family val="2"/>
        <scheme val="minor"/>
      </rPr>
      <t>02219</t>
    </r>
    <r>
      <rPr>
        <sz val="10"/>
        <color theme="1"/>
        <rFont val="Calibri"/>
        <family val="2"/>
        <scheme val="minor"/>
      </rPr>
      <t xml:space="preserve"> - Transferred to another district or school, not known to be continuing in program/service
</t>
    </r>
    <r>
      <rPr>
        <b/>
        <sz val="10"/>
        <color theme="1"/>
        <rFont val="Calibri"/>
        <family val="2"/>
        <scheme val="minor"/>
      </rPr>
      <t>73077</t>
    </r>
    <r>
      <rPr>
        <sz val="10"/>
        <color theme="1"/>
        <rFont val="Calibri"/>
        <family val="2"/>
        <scheme val="minor"/>
      </rPr>
      <t xml:space="preserve"> - Transferred to a juvenile or adult correctional facility where educational services are not provided
</t>
    </r>
    <r>
      <rPr>
        <b/>
        <sz val="10"/>
        <color theme="1"/>
        <rFont val="Calibri"/>
        <family val="2"/>
        <scheme val="minor"/>
      </rPr>
      <t>02233</t>
    </r>
    <r>
      <rPr>
        <sz val="10"/>
        <color theme="1"/>
        <rFont val="Calibri"/>
        <family val="2"/>
        <scheme val="minor"/>
      </rPr>
      <t xml:space="preserve"> - Unknown reason
</t>
    </r>
    <r>
      <rPr>
        <b/>
        <sz val="10"/>
        <color theme="1"/>
        <rFont val="Calibri"/>
        <family val="2"/>
        <scheme val="minor"/>
      </rPr>
      <t>02232</t>
    </r>
    <r>
      <rPr>
        <sz val="10"/>
        <color theme="1"/>
        <rFont val="Calibri"/>
        <family val="2"/>
        <scheme val="minor"/>
      </rPr>
      <t xml:space="preserve"> - Withdrawal by a parent (or guardian)
</t>
    </r>
    <r>
      <rPr>
        <b/>
        <sz val="10"/>
        <color theme="1"/>
        <rFont val="Calibri"/>
        <family val="2"/>
        <scheme val="minor"/>
      </rPr>
      <t>09999</t>
    </r>
    <r>
      <rPr>
        <sz val="10"/>
        <color theme="1"/>
        <rFont val="Calibri"/>
        <family val="2"/>
        <scheme val="minor"/>
      </rPr>
      <t xml:space="preserve"> - Other
</t>
    </r>
  </si>
  <si>
    <t>Early Learning -&gt; EL Child -&gt; Enrollment
Early Learning -&gt; EL Child -&gt; Program
K12 -&gt; K12 Student -&gt;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</si>
  <si>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</si>
  <si>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</si>
  <si>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</si>
  <si>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</si>
  <si>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Facilities -&gt; Facility -&gt; Identification
K12 -&gt; LEA -&gt; Directory</t>
  </si>
  <si>
    <t>000504</t>
  </si>
  <si>
    <t>FacilitiesIdentifier</t>
  </si>
  <si>
    <t>Facilities Management Emergency Type</t>
  </si>
  <si>
    <t>The type of abnormal and urgent circumstances that disrupt the normal operation of the building, threaten the health and safety of the occupants, or require an emergency response.</t>
  </si>
  <si>
    <r>
      <t>02882</t>
    </r>
    <r>
      <rPr>
        <sz val="10"/>
        <color theme="1"/>
        <rFont val="Calibri"/>
        <family val="2"/>
        <scheme val="minor"/>
      </rPr>
      <t xml:space="preserve"> - Act of violence
</t>
    </r>
    <r>
      <rPr>
        <b/>
        <sz val="10"/>
        <color theme="1"/>
        <rFont val="Calibri"/>
        <family val="2"/>
        <scheme val="minor"/>
      </rPr>
      <t>02880</t>
    </r>
    <r>
      <rPr>
        <sz val="10"/>
        <color theme="1"/>
        <rFont val="Calibri"/>
        <family val="2"/>
        <scheme val="minor"/>
      </rPr>
      <t xml:space="preserve"> - Bomb threat
</t>
    </r>
    <r>
      <rPr>
        <b/>
        <sz val="10"/>
        <color theme="1"/>
        <rFont val="Calibri"/>
        <family val="2"/>
        <scheme val="minor"/>
      </rPr>
      <t>02888</t>
    </r>
    <r>
      <rPr>
        <sz val="10"/>
        <color theme="1"/>
        <rFont val="Calibri"/>
        <family val="2"/>
        <scheme val="minor"/>
      </rPr>
      <t xml:space="preserve"> - Debris flows or mudslide
</t>
    </r>
    <r>
      <rPr>
        <b/>
        <sz val="10"/>
        <color theme="1"/>
        <rFont val="Calibri"/>
        <family val="2"/>
        <scheme val="minor"/>
      </rPr>
      <t>02886</t>
    </r>
    <r>
      <rPr>
        <sz val="10"/>
        <color theme="1"/>
        <rFont val="Calibri"/>
        <family val="2"/>
        <scheme val="minor"/>
      </rPr>
      <t xml:space="preserve"> - Earthquake
</t>
    </r>
    <r>
      <rPr>
        <b/>
        <sz val="10"/>
        <color theme="1"/>
        <rFont val="Calibri"/>
        <family val="2"/>
        <scheme val="minor"/>
      </rPr>
      <t>02895</t>
    </r>
    <r>
      <rPr>
        <sz val="10"/>
        <color theme="1"/>
        <rFont val="Calibri"/>
        <family val="2"/>
        <scheme val="minor"/>
      </rPr>
      <t xml:space="preserve"> - Emergency shelter need
</t>
    </r>
    <r>
      <rPr>
        <b/>
        <sz val="10"/>
        <color theme="1"/>
        <rFont val="Calibri"/>
        <family val="2"/>
        <scheme val="minor"/>
      </rPr>
      <t>02892</t>
    </r>
    <r>
      <rPr>
        <sz val="10"/>
        <color theme="1"/>
        <rFont val="Calibri"/>
        <family val="2"/>
        <scheme val="minor"/>
      </rPr>
      <t xml:space="preserve"> - Extreme heat
</t>
    </r>
    <r>
      <rPr>
        <b/>
        <sz val="10"/>
        <color theme="1"/>
        <rFont val="Calibri"/>
        <family val="2"/>
        <scheme val="minor"/>
      </rPr>
      <t>02878</t>
    </r>
    <r>
      <rPr>
        <sz val="10"/>
        <color theme="1"/>
        <rFont val="Calibri"/>
        <family val="2"/>
        <scheme val="minor"/>
      </rPr>
      <t xml:space="preserve"> - Fire
</t>
    </r>
    <r>
      <rPr>
        <b/>
        <sz val="10"/>
        <color theme="1"/>
        <rFont val="Calibri"/>
        <family val="2"/>
        <scheme val="minor"/>
      </rPr>
      <t>02897</t>
    </r>
    <r>
      <rPr>
        <sz val="10"/>
        <color theme="1"/>
        <rFont val="Calibri"/>
        <family val="2"/>
        <scheme val="minor"/>
      </rPr>
      <t xml:space="preserve"> - Flood
</t>
    </r>
    <r>
      <rPr>
        <b/>
        <sz val="10"/>
        <color theme="1"/>
        <rFont val="Calibri"/>
        <family val="2"/>
        <scheme val="minor"/>
      </rPr>
      <t>02894</t>
    </r>
    <r>
      <rPr>
        <sz val="10"/>
        <color theme="1"/>
        <rFont val="Calibri"/>
        <family val="2"/>
        <scheme val="minor"/>
      </rPr>
      <t xml:space="preserve"> - Gas leak
</t>
    </r>
    <r>
      <rPr>
        <b/>
        <sz val="10"/>
        <color theme="1"/>
        <rFont val="Calibri"/>
        <family val="2"/>
        <scheme val="minor"/>
      </rPr>
      <t>02883</t>
    </r>
    <r>
      <rPr>
        <sz val="10"/>
        <color theme="1"/>
        <rFont val="Calibri"/>
        <family val="2"/>
        <scheme val="minor"/>
      </rPr>
      <t xml:space="preserve"> - Hostage
</t>
    </r>
    <r>
      <rPr>
        <b/>
        <sz val="10"/>
        <color theme="1"/>
        <rFont val="Calibri"/>
        <family val="2"/>
        <scheme val="minor"/>
      </rPr>
      <t>02884</t>
    </r>
    <r>
      <rPr>
        <sz val="10"/>
        <color theme="1"/>
        <rFont val="Calibri"/>
        <family val="2"/>
        <scheme val="minor"/>
      </rPr>
      <t xml:space="preserve"> - Hurricane and tropical storm
</t>
    </r>
    <r>
      <rPr>
        <b/>
        <sz val="10"/>
        <color theme="1"/>
        <rFont val="Calibri"/>
        <family val="2"/>
        <scheme val="minor"/>
      </rPr>
      <t>02893</t>
    </r>
    <r>
      <rPr>
        <sz val="10"/>
        <color theme="1"/>
        <rFont val="Calibri"/>
        <family val="2"/>
        <scheme val="minor"/>
      </rPr>
      <t xml:space="preserve"> - Major chemical emergency
</t>
    </r>
    <r>
      <rPr>
        <b/>
        <sz val="10"/>
        <color theme="1"/>
        <rFont val="Calibri"/>
        <family val="2"/>
        <scheme val="minor"/>
      </rPr>
      <t>02881</t>
    </r>
    <r>
      <rPr>
        <sz val="10"/>
        <color theme="1"/>
        <rFont val="Calibri"/>
        <family val="2"/>
        <scheme val="minor"/>
      </rPr>
      <t xml:space="preserve"> - Terrorism
</t>
    </r>
    <r>
      <rPr>
        <b/>
        <sz val="10"/>
        <color theme="1"/>
        <rFont val="Calibri"/>
        <family val="2"/>
        <scheme val="minor"/>
      </rPr>
      <t>02879</t>
    </r>
    <r>
      <rPr>
        <sz val="10"/>
        <color theme="1"/>
        <rFont val="Calibri"/>
        <family val="2"/>
        <scheme val="minor"/>
      </rPr>
      <t xml:space="preserve"> - Theft
</t>
    </r>
    <r>
      <rPr>
        <b/>
        <sz val="10"/>
        <color theme="1"/>
        <rFont val="Calibri"/>
        <family val="2"/>
        <scheme val="minor"/>
      </rPr>
      <t>02885</t>
    </r>
    <r>
      <rPr>
        <sz val="10"/>
        <color theme="1"/>
        <rFont val="Calibri"/>
        <family val="2"/>
        <scheme val="minor"/>
      </rPr>
      <t xml:space="preserve"> - Thunderstorm - severe
</t>
    </r>
    <r>
      <rPr>
        <b/>
        <sz val="10"/>
        <color theme="1"/>
        <rFont val="Calibri"/>
        <family val="2"/>
        <scheme val="minor"/>
      </rPr>
      <t>02896</t>
    </r>
    <r>
      <rPr>
        <sz val="10"/>
        <color theme="1"/>
        <rFont val="Calibri"/>
        <family val="2"/>
        <scheme val="minor"/>
      </rPr>
      <t xml:space="preserve"> - Tornado
</t>
    </r>
    <r>
      <rPr>
        <b/>
        <sz val="10"/>
        <color theme="1"/>
        <rFont val="Calibri"/>
        <family val="2"/>
        <scheme val="minor"/>
      </rPr>
      <t>02889</t>
    </r>
    <r>
      <rPr>
        <sz val="10"/>
        <color theme="1"/>
        <rFont val="Calibri"/>
        <family val="2"/>
        <scheme val="minor"/>
      </rPr>
      <t xml:space="preserve"> - Tsunami
</t>
    </r>
    <r>
      <rPr>
        <b/>
        <sz val="10"/>
        <color theme="1"/>
        <rFont val="Calibri"/>
        <family val="2"/>
        <scheme val="minor"/>
      </rPr>
      <t>02890</t>
    </r>
    <r>
      <rPr>
        <sz val="10"/>
        <color theme="1"/>
        <rFont val="Calibri"/>
        <family val="2"/>
        <scheme val="minor"/>
      </rPr>
      <t xml:space="preserve"> - Volcano
</t>
    </r>
    <r>
      <rPr>
        <b/>
        <sz val="10"/>
        <color theme="1"/>
        <rFont val="Calibri"/>
        <family val="2"/>
        <scheme val="minor"/>
      </rPr>
      <t>02891</t>
    </r>
    <r>
      <rPr>
        <sz val="10"/>
        <color theme="1"/>
        <rFont val="Calibri"/>
        <family val="2"/>
        <scheme val="minor"/>
      </rPr>
      <t xml:space="preserve"> - Wildfire - surface, ground, or crown fire
</t>
    </r>
    <r>
      <rPr>
        <b/>
        <sz val="10"/>
        <color theme="1"/>
        <rFont val="Calibri"/>
        <family val="2"/>
        <scheme val="minor"/>
      </rPr>
      <t>02887</t>
    </r>
    <r>
      <rPr>
        <sz val="10"/>
        <color theme="1"/>
        <rFont val="Calibri"/>
        <family val="2"/>
        <scheme val="minor"/>
      </rPr>
      <t xml:space="preserve"> - Winter storm
</t>
    </r>
    <r>
      <rPr>
        <b/>
        <sz val="10"/>
        <color theme="1"/>
        <rFont val="Calibri"/>
        <family val="2"/>
        <scheme val="minor"/>
      </rPr>
      <t>09999</t>
    </r>
    <r>
      <rPr>
        <sz val="10"/>
        <color theme="1"/>
        <rFont val="Calibri"/>
        <family val="2"/>
        <scheme val="minor"/>
      </rPr>
      <t xml:space="preserve"> - Other
</t>
    </r>
  </si>
  <si>
    <t>001871</t>
  </si>
  <si>
    <t>FacilitiesManagementEmergencyType</t>
  </si>
  <si>
    <t>Facilities Mandate Authority Type</t>
  </si>
  <si>
    <t>The authority that mandates through law, regulation, or standard that pertains to a specific mandate.</t>
  </si>
  <si>
    <r>
      <t>13390</t>
    </r>
    <r>
      <rPr>
        <sz val="10"/>
        <color theme="1"/>
        <rFont val="Calibri"/>
        <family val="2"/>
        <scheme val="minor"/>
      </rPr>
      <t xml:space="preserve"> - District/Local
</t>
    </r>
    <r>
      <rPr>
        <b/>
        <sz val="10"/>
        <color theme="1"/>
        <rFont val="Calibri"/>
        <family val="2"/>
        <scheme val="minor"/>
      </rPr>
      <t>00859</t>
    </r>
    <r>
      <rPr>
        <sz val="10"/>
        <color theme="1"/>
        <rFont val="Calibri"/>
        <family val="2"/>
        <scheme val="minor"/>
      </rPr>
      <t xml:space="preserve"> - Federal
</t>
    </r>
    <r>
      <rPr>
        <b/>
        <sz val="10"/>
        <color theme="1"/>
        <rFont val="Calibri"/>
        <family val="2"/>
        <scheme val="minor"/>
      </rPr>
      <t>00391</t>
    </r>
    <r>
      <rPr>
        <sz val="10"/>
        <color theme="1"/>
        <rFont val="Calibri"/>
        <family val="2"/>
        <scheme val="minor"/>
      </rPr>
      <t xml:space="preserve"> - State
</t>
    </r>
  </si>
  <si>
    <t>001885</t>
  </si>
  <si>
    <t>FacilitiesMandateAuthorityType</t>
  </si>
  <si>
    <t>Facilities Plan Description</t>
  </si>
  <si>
    <t>A description of the management and accountability plan.</t>
  </si>
  <si>
    <t>001882</t>
  </si>
  <si>
    <t>FacilitiesPlanDescription</t>
  </si>
  <si>
    <t>Facilities Plan Type</t>
  </si>
  <si>
    <t>The type of management and accountability plan.</t>
  </si>
  <si>
    <r>
      <t>02828</t>
    </r>
    <r>
      <rPr>
        <sz val="10"/>
        <color theme="1"/>
        <rFont val="Calibri"/>
        <family val="2"/>
        <scheme val="minor"/>
      </rPr>
      <t xml:space="preserve"> - Capital improvement plan
</t>
    </r>
    <r>
      <rPr>
        <b/>
        <sz val="10"/>
        <color theme="1"/>
        <rFont val="Calibri"/>
        <family val="2"/>
        <scheme val="minor"/>
      </rPr>
      <t>02827</t>
    </r>
    <r>
      <rPr>
        <sz val="10"/>
        <color theme="1"/>
        <rFont val="Calibri"/>
        <family val="2"/>
        <scheme val="minor"/>
      </rPr>
      <t xml:space="preserve"> - Educational facilities master plan
</t>
    </r>
    <r>
      <rPr>
        <b/>
        <sz val="10"/>
        <color theme="1"/>
        <rFont val="Calibri"/>
        <family val="2"/>
        <scheme val="minor"/>
      </rPr>
      <t>02825</t>
    </r>
    <r>
      <rPr>
        <sz val="10"/>
        <color theme="1"/>
        <rFont val="Calibri"/>
        <family val="2"/>
        <scheme val="minor"/>
      </rPr>
      <t xml:space="preserve"> - Emergency response plan
</t>
    </r>
    <r>
      <rPr>
        <b/>
        <sz val="10"/>
        <color theme="1"/>
        <rFont val="Calibri"/>
        <family val="2"/>
        <scheme val="minor"/>
      </rPr>
      <t>02829</t>
    </r>
    <r>
      <rPr>
        <sz val="10"/>
        <color theme="1"/>
        <rFont val="Calibri"/>
        <family val="2"/>
        <scheme val="minor"/>
      </rPr>
      <t xml:space="preserve"> - Energy management plan
</t>
    </r>
    <r>
      <rPr>
        <b/>
        <sz val="10"/>
        <color theme="1"/>
        <rFont val="Calibri"/>
        <family val="2"/>
        <scheme val="minor"/>
      </rPr>
      <t>02830</t>
    </r>
    <r>
      <rPr>
        <sz val="10"/>
        <color theme="1"/>
        <rFont val="Calibri"/>
        <family val="2"/>
        <scheme val="minor"/>
      </rPr>
      <t xml:space="preserve"> - Hazardous materials management plan
</t>
    </r>
    <r>
      <rPr>
        <b/>
        <sz val="10"/>
        <color theme="1"/>
        <rFont val="Calibri"/>
        <family val="2"/>
        <scheme val="minor"/>
      </rPr>
      <t>02826</t>
    </r>
    <r>
      <rPr>
        <sz val="10"/>
        <color theme="1"/>
        <rFont val="Calibri"/>
        <family val="2"/>
        <scheme val="minor"/>
      </rPr>
      <t xml:space="preserve"> - Maintenance plan
</t>
    </r>
    <r>
      <rPr>
        <b/>
        <sz val="10"/>
        <color theme="1"/>
        <rFont val="Calibri"/>
        <family val="2"/>
        <scheme val="minor"/>
      </rPr>
      <t>09999</t>
    </r>
    <r>
      <rPr>
        <sz val="10"/>
        <color theme="1"/>
        <rFont val="Calibri"/>
        <family val="2"/>
        <scheme val="minor"/>
      </rPr>
      <t xml:space="preserve"> - Other
</t>
    </r>
  </si>
  <si>
    <t>001883</t>
  </si>
  <si>
    <t>FacilitiesPlanType</t>
  </si>
  <si>
    <t>Facility Acquisition Date</t>
  </si>
  <si>
    <t>The date the property/facility was acquired.</t>
  </si>
  <si>
    <t>001768</t>
  </si>
  <si>
    <t>FacilityAcquisitionDate</t>
  </si>
  <si>
    <t>Facility Addition Year</t>
  </si>
  <si>
    <t>The year the construction on the addition was completed.</t>
  </si>
  <si>
    <t>001769</t>
  </si>
  <si>
    <t>FacilityAdditionYear</t>
  </si>
  <si>
    <t>Facility Applicable Federal Mandate Type</t>
  </si>
  <si>
    <t>The particular federal law, regulation, or standard that pertains to a school facility.</t>
  </si>
  <si>
    <r>
      <t>02584</t>
    </r>
    <r>
      <rPr>
        <sz val="10"/>
        <color theme="1"/>
        <rFont val="Calibri"/>
        <family val="2"/>
        <scheme val="minor"/>
      </rPr>
      <t xml:space="preserve"> - Americans with Disabilities Act (ADA)
</t>
    </r>
    <r>
      <rPr>
        <b/>
        <sz val="10"/>
        <color theme="1"/>
        <rFont val="Calibri"/>
        <family val="2"/>
        <scheme val="minor"/>
      </rPr>
      <t>02588</t>
    </r>
    <r>
      <rPr>
        <sz val="10"/>
        <color theme="1"/>
        <rFont val="Calibri"/>
        <family val="2"/>
        <scheme val="minor"/>
      </rPr>
      <t xml:space="preserve"> - Asbestos Hazardous Emergency Response Act (AHERA)
</t>
    </r>
    <r>
      <rPr>
        <b/>
        <sz val="10"/>
        <color theme="1"/>
        <rFont val="Calibri"/>
        <family val="2"/>
        <scheme val="minor"/>
      </rPr>
      <t>02585</t>
    </r>
    <r>
      <rPr>
        <sz val="10"/>
        <color theme="1"/>
        <rFont val="Calibri"/>
        <family val="2"/>
        <scheme val="minor"/>
      </rPr>
      <t xml:space="preserve"> - Individuals with Disabilities Education Act (IDEA)
</t>
    </r>
    <r>
      <rPr>
        <b/>
        <sz val="10"/>
        <color theme="1"/>
        <rFont val="Calibri"/>
        <family val="2"/>
        <scheme val="minor"/>
      </rPr>
      <t>02587</t>
    </r>
    <r>
      <rPr>
        <sz val="10"/>
        <color theme="1"/>
        <rFont val="Calibri"/>
        <family val="2"/>
        <scheme val="minor"/>
      </rPr>
      <t xml:space="preserve"> - Lead Contamination Control Act
</t>
    </r>
    <r>
      <rPr>
        <b/>
        <sz val="10"/>
        <color theme="1"/>
        <rFont val="Calibri"/>
        <family val="2"/>
        <scheme val="minor"/>
      </rPr>
      <t>02586</t>
    </r>
    <r>
      <rPr>
        <sz val="10"/>
        <color theme="1"/>
        <rFont val="Calibri"/>
        <family val="2"/>
        <scheme val="minor"/>
      </rPr>
      <t xml:space="preserve"> - Safe Drinking Water Act
</t>
    </r>
    <r>
      <rPr>
        <b/>
        <sz val="10"/>
        <color theme="1"/>
        <rFont val="Calibri"/>
        <family val="2"/>
        <scheme val="minor"/>
      </rPr>
      <t>09999</t>
    </r>
    <r>
      <rPr>
        <sz val="10"/>
        <color theme="1"/>
        <rFont val="Calibri"/>
        <family val="2"/>
        <scheme val="minor"/>
      </rPr>
      <t xml:space="preserve"> - Other
</t>
    </r>
  </si>
  <si>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</si>
  <si>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</si>
  <si>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</si>
  <si>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</si>
  <si>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</si>
  <si>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</si>
  <si>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</si>
  <si>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The type of systematic review or audit of facility quality, management, decision making processes, controls, schedule and cost.</t>
  </si>
  <si>
    <r>
      <t>02979</t>
    </r>
    <r>
      <rPr>
        <sz val="10"/>
        <color theme="1"/>
        <rFont val="Calibri"/>
        <family val="2"/>
        <scheme val="minor"/>
      </rPr>
      <t xml:space="preserve"> - Building commissioning
</t>
    </r>
    <r>
      <rPr>
        <b/>
        <sz val="10"/>
        <color theme="1"/>
        <rFont val="Calibri"/>
        <family val="2"/>
        <scheme val="minor"/>
      </rPr>
      <t>02977</t>
    </r>
    <r>
      <rPr>
        <sz val="10"/>
        <color theme="1"/>
        <rFont val="Calibri"/>
        <family val="2"/>
        <scheme val="minor"/>
      </rPr>
      <t xml:space="preserve"> - Financial audit
</t>
    </r>
    <r>
      <rPr>
        <b/>
        <sz val="10"/>
        <color theme="1"/>
        <rFont val="Calibri"/>
        <family val="2"/>
        <scheme val="minor"/>
      </rPr>
      <t>02980</t>
    </r>
    <r>
      <rPr>
        <sz val="10"/>
        <color theme="1"/>
        <rFont val="Calibri"/>
        <family val="2"/>
        <scheme val="minor"/>
      </rPr>
      <t xml:space="preserve"> - Fiscal audit
</t>
    </r>
    <r>
      <rPr>
        <b/>
        <sz val="10"/>
        <color theme="1"/>
        <rFont val="Calibri"/>
        <family val="2"/>
        <scheme val="minor"/>
      </rPr>
      <t>02976</t>
    </r>
    <r>
      <rPr>
        <sz val="10"/>
        <color theme="1"/>
        <rFont val="Calibri"/>
        <family val="2"/>
        <scheme val="minor"/>
      </rPr>
      <t xml:space="preserve"> - Management audit
</t>
    </r>
    <r>
      <rPr>
        <b/>
        <sz val="10"/>
        <color theme="1"/>
        <rFont val="Calibri"/>
        <family val="2"/>
        <scheme val="minor"/>
      </rPr>
      <t>02978</t>
    </r>
    <r>
      <rPr>
        <sz val="10"/>
        <color theme="1"/>
        <rFont val="Calibri"/>
        <family val="2"/>
        <scheme val="minor"/>
      </rPr>
      <t xml:space="preserve"> - Performance audit
</t>
    </r>
    <r>
      <rPr>
        <b/>
        <sz val="10"/>
        <color theme="1"/>
        <rFont val="Calibri"/>
        <family val="2"/>
        <scheme val="minor"/>
      </rPr>
      <t>13688</t>
    </r>
    <r>
      <rPr>
        <sz val="10"/>
        <color theme="1"/>
        <rFont val="Calibri"/>
        <family val="2"/>
        <scheme val="minor"/>
      </rPr>
      <t xml:space="preserve"> - Post Occupancy Evaluation
</t>
    </r>
    <r>
      <rPr>
        <b/>
        <sz val="10"/>
        <color theme="1"/>
        <rFont val="Calibri"/>
        <family val="2"/>
        <scheme val="minor"/>
      </rPr>
      <t>02981</t>
    </r>
    <r>
      <rPr>
        <sz val="10"/>
        <color theme="1"/>
        <rFont val="Calibri"/>
        <family val="2"/>
        <scheme val="minor"/>
      </rPr>
      <t xml:space="preserve"> - Process audit
</t>
    </r>
    <r>
      <rPr>
        <b/>
        <sz val="10"/>
        <color theme="1"/>
        <rFont val="Calibri"/>
        <family val="2"/>
        <scheme val="minor"/>
      </rPr>
      <t>13687</t>
    </r>
    <r>
      <rPr>
        <sz val="10"/>
        <color theme="1"/>
        <rFont val="Calibri"/>
        <family val="2"/>
        <scheme val="minor"/>
      </rPr>
      <t xml:space="preserve"> - Retro-commissioning
</t>
    </r>
    <r>
      <rPr>
        <b/>
        <sz val="10"/>
        <color theme="1"/>
        <rFont val="Calibri"/>
        <family val="2"/>
        <scheme val="minor"/>
      </rPr>
      <t>09999</t>
    </r>
    <r>
      <rPr>
        <sz val="10"/>
        <color theme="1"/>
        <rFont val="Calibri"/>
        <family val="2"/>
        <scheme val="minor"/>
      </rPr>
      <t xml:space="preserve"> - Other
</t>
    </r>
  </si>
  <si>
    <t>001864</t>
  </si>
  <si>
    <t>FacilityAuditType</t>
  </si>
  <si>
    <t>Facility Block Number Area</t>
  </si>
  <si>
    <t>The informal description of location sometimes used in rural areas, for example, "from the highway to the railroad tracks."</t>
  </si>
  <si>
    <t>001774</t>
  </si>
  <si>
    <t>BNA</t>
  </si>
  <si>
    <t>FacilityBlockNumberArea</t>
  </si>
  <si>
    <t>Facility Building Name</t>
  </si>
  <si>
    <t>The full, legally accepted or popularly accepted name of a building.</t>
  </si>
  <si>
    <t>001205</t>
  </si>
  <si>
    <t>FacilityBuildingName</t>
  </si>
  <si>
    <t>Facility Building Permanency</t>
  </si>
  <si>
    <t>An indication of whether the building is built for permanent use in the same location or is relocatable.</t>
  </si>
  <si>
    <r>
      <t>02432</t>
    </r>
    <r>
      <rPr>
        <sz val="10"/>
        <color theme="1"/>
        <rFont val="Calibri"/>
        <family val="2"/>
        <scheme val="minor"/>
      </rPr>
      <t xml:space="preserve"> - Nonpermanent building
</t>
    </r>
    <r>
      <rPr>
        <b/>
        <sz val="10"/>
        <color theme="1"/>
        <rFont val="Calibri"/>
        <family val="2"/>
        <scheme val="minor"/>
      </rPr>
      <t>02431</t>
    </r>
    <r>
      <rPr>
        <sz val="10"/>
        <color theme="1"/>
        <rFont val="Calibri"/>
        <family val="2"/>
        <scheme val="minor"/>
      </rPr>
      <t xml:space="preserve"> - Permanent building
</t>
    </r>
  </si>
  <si>
    <t>001770</t>
  </si>
  <si>
    <t>FacilityBuildingPermanency</t>
  </si>
  <si>
    <t>Facility Capital Program Management Type</t>
  </si>
  <si>
    <t>The type of management organization for planning, design, and construction of major capital projects.</t>
  </si>
  <si>
    <r>
      <t>02913</t>
    </r>
    <r>
      <rPr>
        <sz val="10"/>
        <color theme="1"/>
        <rFont val="Calibri"/>
        <family val="2"/>
        <scheme val="minor"/>
      </rPr>
      <t xml:space="preserve"> - District management
</t>
    </r>
    <r>
      <rPr>
        <b/>
        <sz val="10"/>
        <color theme="1"/>
        <rFont val="Calibri"/>
        <family val="2"/>
        <scheme val="minor"/>
      </rPr>
      <t>02824</t>
    </r>
    <r>
      <rPr>
        <sz val="10"/>
        <color theme="1"/>
        <rFont val="Calibri"/>
        <family val="2"/>
        <scheme val="minor"/>
      </rPr>
      <t xml:space="preserve"> - Nonschool public agency management
</t>
    </r>
    <r>
      <rPr>
        <b/>
        <sz val="10"/>
        <color theme="1"/>
        <rFont val="Calibri"/>
        <family val="2"/>
        <scheme val="minor"/>
      </rPr>
      <t>02823</t>
    </r>
    <r>
      <rPr>
        <sz val="10"/>
        <color theme="1"/>
        <rFont val="Calibri"/>
        <family val="2"/>
        <scheme val="minor"/>
      </rPr>
      <t xml:space="preserve"> - Private management
</t>
    </r>
    <r>
      <rPr>
        <b/>
        <sz val="10"/>
        <color theme="1"/>
        <rFont val="Calibri"/>
        <family val="2"/>
        <scheme val="minor"/>
      </rPr>
      <t>09999</t>
    </r>
    <r>
      <rPr>
        <sz val="10"/>
        <color theme="1"/>
        <rFont val="Calibri"/>
        <family val="2"/>
        <scheme val="minor"/>
      </rPr>
      <t xml:space="preserve"> - Other
</t>
    </r>
  </si>
  <si>
    <t>001872</t>
  </si>
  <si>
    <t>FacilityCapitalProgramManagementType</t>
  </si>
  <si>
    <t>Facility Census Tract</t>
  </si>
  <si>
    <t>The census tract number of the school site.</t>
  </si>
  <si>
    <t>Integer - exactly 11 digits</t>
  </si>
  <si>
    <t>001779</t>
  </si>
  <si>
    <t>FacilityCensusTract</t>
  </si>
  <si>
    <t>Facility Compliance Agency Type</t>
  </si>
  <si>
    <t>The type of agency that has ultimate responsibility for the compliance determination.</t>
  </si>
  <si>
    <r>
      <t>00865</t>
    </r>
    <r>
      <rPr>
        <sz val="10"/>
        <color theme="1"/>
        <rFont val="Calibri"/>
        <family val="2"/>
        <scheme val="minor"/>
      </rPr>
      <t xml:space="preserve"> - Charter board
</t>
    </r>
    <r>
      <rPr>
        <b/>
        <sz val="10"/>
        <color theme="1"/>
        <rFont val="Calibri"/>
        <family val="2"/>
        <scheme val="minor"/>
      </rPr>
      <t>13652</t>
    </r>
    <r>
      <rPr>
        <sz val="10"/>
        <color theme="1"/>
        <rFont val="Calibri"/>
        <family val="2"/>
        <scheme val="minor"/>
      </rPr>
      <t xml:space="preserve"> - Federal Agency
</t>
    </r>
    <r>
      <rPr>
        <b/>
        <sz val="10"/>
        <color theme="1"/>
        <rFont val="Calibri"/>
        <family val="2"/>
        <scheme val="minor"/>
      </rPr>
      <t>00862</t>
    </r>
    <r>
      <rPr>
        <sz val="10"/>
        <color theme="1"/>
        <rFont val="Calibri"/>
        <family val="2"/>
        <scheme val="minor"/>
      </rPr>
      <t xml:space="preserve"> - Local (e.g., school board, city council, municipal board)
</t>
    </r>
    <r>
      <rPr>
        <b/>
        <sz val="10"/>
        <color theme="1"/>
        <rFont val="Calibri"/>
        <family val="2"/>
        <scheme val="minor"/>
      </rPr>
      <t>00864</t>
    </r>
    <r>
      <rPr>
        <sz val="10"/>
        <color theme="1"/>
        <rFont val="Calibri"/>
        <family val="2"/>
        <scheme val="minor"/>
      </rPr>
      <t xml:space="preserve"> - Private/Religious
</t>
    </r>
    <r>
      <rPr>
        <b/>
        <sz val="10"/>
        <color theme="1"/>
        <rFont val="Calibri"/>
        <family val="2"/>
        <scheme val="minor"/>
      </rPr>
      <t>00214</t>
    </r>
    <r>
      <rPr>
        <sz val="10"/>
        <color theme="1"/>
        <rFont val="Calibri"/>
        <family val="2"/>
        <scheme val="minor"/>
      </rPr>
      <t xml:space="preserve"> - Regional or intermediate educational agency
</t>
    </r>
    <r>
      <rPr>
        <b/>
        <sz val="10"/>
        <color theme="1"/>
        <rFont val="Calibri"/>
        <family val="2"/>
        <scheme val="minor"/>
      </rPr>
      <t>00860</t>
    </r>
    <r>
      <rPr>
        <sz val="10"/>
        <color theme="1"/>
        <rFont val="Calibri"/>
        <family val="2"/>
        <scheme val="minor"/>
      </rPr>
      <t xml:space="preserve"> - State agency
</t>
    </r>
  </si>
  <si>
    <t>001867</t>
  </si>
  <si>
    <t>FacilityComplianceAgencyType</t>
  </si>
  <si>
    <t>Facility Compliance Determination Date</t>
  </si>
  <si>
    <t>The month, day, and year that the school, building, site, system, component, equipment, or fixture compliance status was determined.</t>
  </si>
  <si>
    <t>001837</t>
  </si>
  <si>
    <t>FacilityComplianceDeterminationDate</t>
  </si>
  <si>
    <t>Facility Compliance Name</t>
  </si>
  <si>
    <t>The name of the inspection or process that indicates conformity to the requirements or standards specified in federal, state, or local standards or codes.</t>
  </si>
  <si>
    <t>001838</t>
  </si>
  <si>
    <t>FacilityComplianceName</t>
  </si>
  <si>
    <t>Facility Compliance Status</t>
  </si>
  <si>
    <t>An indication of whether the school, building, site, system, component, equipment, vehicle, or fixture conforms to the requirements or standards specified in federal, state, or local standards or codes or other officially required guidelines or regulations.</t>
  </si>
  <si>
    <r>
      <t>02570</t>
    </r>
    <r>
      <rPr>
        <sz val="10"/>
        <color theme="1"/>
        <rFont val="Calibri"/>
        <family val="2"/>
        <scheme val="minor"/>
      </rPr>
      <t xml:space="preserve"> - In compliance
</t>
    </r>
    <r>
      <rPr>
        <b/>
        <sz val="10"/>
        <color theme="1"/>
        <rFont val="Calibri"/>
        <family val="2"/>
        <scheme val="minor"/>
      </rPr>
      <t>02571</t>
    </r>
    <r>
      <rPr>
        <sz val="10"/>
        <color theme="1"/>
        <rFont val="Calibri"/>
        <family val="2"/>
        <scheme val="minor"/>
      </rPr>
      <t xml:space="preserve"> - Not in compliance
</t>
    </r>
    <r>
      <rPr>
        <b/>
        <sz val="10"/>
        <color theme="1"/>
        <rFont val="Calibri"/>
        <family val="2"/>
        <scheme val="minor"/>
      </rPr>
      <t>02572</t>
    </r>
    <r>
      <rPr>
        <sz val="10"/>
        <color theme="1"/>
        <rFont val="Calibri"/>
        <family val="2"/>
        <scheme val="minor"/>
      </rPr>
      <t xml:space="preserve"> - Planned compliance
</t>
    </r>
    <r>
      <rPr>
        <b/>
        <sz val="10"/>
        <color theme="1"/>
        <rFont val="Calibri"/>
        <family val="2"/>
        <scheme val="minor"/>
      </rPr>
      <t>02573</t>
    </r>
    <r>
      <rPr>
        <sz val="10"/>
        <color theme="1"/>
        <rFont val="Calibri"/>
        <family val="2"/>
        <scheme val="minor"/>
      </rPr>
      <t xml:space="preserve"> - Waived compliance
</t>
    </r>
  </si>
  <si>
    <t>001792</t>
  </si>
  <si>
    <t>FacilityComplianceStatus</t>
  </si>
  <si>
    <t>Facility Component Deficiency Description</t>
  </si>
  <si>
    <t>A description of the component, system, or finish that needs replacement, repair, or maintenance to perform at an optimal level.</t>
  </si>
  <si>
    <t>001839</t>
  </si>
  <si>
    <t>FacilityComponentDeficiencyDescription</t>
  </si>
  <si>
    <t>Facility Component Identification Code</t>
  </si>
  <si>
    <t>A unique number or alphanumeric code assigned to a component by a school, school system, state, or other agency or entity.</t>
  </si>
  <si>
    <t>001840</t>
  </si>
  <si>
    <t>FacilityComponentIdentificationCode</t>
  </si>
  <si>
    <t>Facility Construction Date</t>
  </si>
  <si>
    <t>The month, day, and year on which construction of a building, addition, or improvement was completed.</t>
  </si>
  <si>
    <t>001780</t>
  </si>
  <si>
    <t>FacilityConstructionDate</t>
  </si>
  <si>
    <t>Facility Construction Date Type</t>
  </si>
  <si>
    <t>Designation of the nature of the construction completion date.</t>
  </si>
  <si>
    <r>
      <t>02420</t>
    </r>
    <r>
      <rPr>
        <sz val="10"/>
        <color theme="1"/>
        <rFont val="Calibri"/>
        <family val="2"/>
        <scheme val="minor"/>
      </rPr>
      <t xml:space="preserve"> - Actual
</t>
    </r>
    <r>
      <rPr>
        <b/>
        <sz val="10"/>
        <color theme="1"/>
        <rFont val="Calibri"/>
        <family val="2"/>
        <scheme val="minor"/>
      </rPr>
      <t>02421</t>
    </r>
    <r>
      <rPr>
        <sz val="10"/>
        <color theme="1"/>
        <rFont val="Calibri"/>
        <family val="2"/>
        <scheme val="minor"/>
      </rPr>
      <t xml:space="preserve"> - Estimated
</t>
    </r>
  </si>
  <si>
    <t>001781</t>
  </si>
  <si>
    <t>FacilityConstructionDateType</t>
  </si>
  <si>
    <t>Facility Construction Material Type</t>
  </si>
  <si>
    <t>The primary material used for the construction of a building.</t>
  </si>
  <si>
    <r>
      <t>02430</t>
    </r>
    <r>
      <rPr>
        <sz val="10"/>
        <color theme="1"/>
        <rFont val="Calibri"/>
        <family val="2"/>
        <scheme val="minor"/>
      </rPr>
      <t xml:space="preserve"> - Adobe
</t>
    </r>
    <r>
      <rPr>
        <b/>
        <sz val="10"/>
        <color theme="1"/>
        <rFont val="Calibri"/>
        <family val="2"/>
        <scheme val="minor"/>
      </rPr>
      <t>02428</t>
    </r>
    <r>
      <rPr>
        <sz val="10"/>
        <color theme="1"/>
        <rFont val="Calibri"/>
        <family val="2"/>
        <scheme val="minor"/>
      </rPr>
      <t xml:space="preserve"> - Aluminum
</t>
    </r>
    <r>
      <rPr>
        <b/>
        <sz val="10"/>
        <color theme="1"/>
        <rFont val="Calibri"/>
        <family val="2"/>
        <scheme val="minor"/>
      </rPr>
      <t>02424</t>
    </r>
    <r>
      <rPr>
        <sz val="10"/>
        <color theme="1"/>
        <rFont val="Calibri"/>
        <family val="2"/>
        <scheme val="minor"/>
      </rPr>
      <t xml:space="preserve"> - Block
</t>
    </r>
    <r>
      <rPr>
        <b/>
        <sz val="10"/>
        <color theme="1"/>
        <rFont val="Calibri"/>
        <family val="2"/>
        <scheme val="minor"/>
      </rPr>
      <t>02422</t>
    </r>
    <r>
      <rPr>
        <sz val="10"/>
        <color theme="1"/>
        <rFont val="Calibri"/>
        <family val="2"/>
        <scheme val="minor"/>
      </rPr>
      <t xml:space="preserve"> - Brick
</t>
    </r>
    <r>
      <rPr>
        <b/>
        <sz val="10"/>
        <color theme="1"/>
        <rFont val="Calibri"/>
        <family val="2"/>
        <scheme val="minor"/>
      </rPr>
      <t>02423</t>
    </r>
    <r>
      <rPr>
        <sz val="10"/>
        <color theme="1"/>
        <rFont val="Calibri"/>
        <family val="2"/>
        <scheme val="minor"/>
      </rPr>
      <t xml:space="preserve"> - Brick veneer
</t>
    </r>
    <r>
      <rPr>
        <b/>
        <sz val="10"/>
        <color theme="1"/>
        <rFont val="Calibri"/>
        <family val="2"/>
        <scheme val="minor"/>
      </rPr>
      <t>02426</t>
    </r>
    <r>
      <rPr>
        <sz val="10"/>
        <color theme="1"/>
        <rFont val="Calibri"/>
        <family val="2"/>
        <scheme val="minor"/>
      </rPr>
      <t xml:space="preserve"> - Concrete
</t>
    </r>
    <r>
      <rPr>
        <b/>
        <sz val="10"/>
        <color theme="1"/>
        <rFont val="Calibri"/>
        <family val="2"/>
        <scheme val="minor"/>
      </rPr>
      <t>02427</t>
    </r>
    <r>
      <rPr>
        <sz val="10"/>
        <color theme="1"/>
        <rFont val="Calibri"/>
        <family val="2"/>
        <scheme val="minor"/>
      </rPr>
      <t xml:space="preserve"> - Prefabricated
</t>
    </r>
    <r>
      <rPr>
        <b/>
        <sz val="10"/>
        <color theme="1"/>
        <rFont val="Calibri"/>
        <family val="2"/>
        <scheme val="minor"/>
      </rPr>
      <t>02429</t>
    </r>
    <r>
      <rPr>
        <sz val="10"/>
        <color theme="1"/>
        <rFont val="Calibri"/>
        <family val="2"/>
        <scheme val="minor"/>
      </rPr>
      <t xml:space="preserve"> - Steel
</t>
    </r>
    <r>
      <rPr>
        <b/>
        <sz val="10"/>
        <color theme="1"/>
        <rFont val="Calibri"/>
        <family val="2"/>
        <scheme val="minor"/>
      </rPr>
      <t>02425</t>
    </r>
    <r>
      <rPr>
        <sz val="10"/>
        <color theme="1"/>
        <rFont val="Calibri"/>
        <family val="2"/>
        <scheme val="minor"/>
      </rPr>
      <t xml:space="preserve"> - Wood frame
</t>
    </r>
    <r>
      <rPr>
        <b/>
        <sz val="10"/>
        <color theme="1"/>
        <rFont val="Calibri"/>
        <family val="2"/>
        <scheme val="minor"/>
      </rPr>
      <t>09999</t>
    </r>
    <r>
      <rPr>
        <sz val="10"/>
        <color theme="1"/>
        <rFont val="Calibri"/>
        <family val="2"/>
        <scheme val="minor"/>
      </rPr>
      <t xml:space="preserve"> - Other
</t>
    </r>
  </si>
  <si>
    <t>001782</t>
  </si>
  <si>
    <t>FacilityConstructionMaterialType</t>
  </si>
  <si>
    <t>Facility Construction Year</t>
  </si>
  <si>
    <t>The year the building was first constructed.</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</si>
  <si>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</si>
  <si>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</si>
  <si>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</si>
  <si>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</si>
  <si>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</si>
  <si>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</si>
  <si>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</si>
  <si>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The estimated cost to bring systems, components, finishes, fixtures, or equipment to a state of good repair.</t>
  </si>
  <si>
    <t>001841</t>
  </si>
  <si>
    <t>FacilityEstimatedCostToEliminateDeferredMaintenance</t>
  </si>
  <si>
    <t>Facility Expected Life</t>
  </si>
  <si>
    <t>The time, in years, of the expected useful life of a facility for the purposes of depreciation.</t>
  </si>
  <si>
    <t>001783</t>
  </si>
  <si>
    <t>FacilityExpectedLife</t>
  </si>
  <si>
    <t>Facility Federal Mandate Interest Type</t>
  </si>
  <si>
    <t>The area of interest controlled by a federal law, regulation, or standard that pertains to a school facility.</t>
  </si>
  <si>
    <r>
      <t>02579</t>
    </r>
    <r>
      <rPr>
        <sz val="10"/>
        <color theme="1"/>
        <rFont val="Calibri"/>
        <family val="2"/>
        <scheme val="minor"/>
      </rPr>
      <t xml:space="preserve"> - Asbestos contamination
</t>
    </r>
    <r>
      <rPr>
        <b/>
        <sz val="10"/>
        <color theme="1"/>
        <rFont val="Calibri"/>
        <family val="2"/>
        <scheme val="minor"/>
      </rPr>
      <t>75026</t>
    </r>
    <r>
      <rPr>
        <sz val="10"/>
        <color theme="1"/>
        <rFont val="Calibri"/>
        <family val="2"/>
        <scheme val="minor"/>
      </rPr>
      <t xml:space="preserve"> - Child nutrition
</t>
    </r>
    <r>
      <rPr>
        <b/>
        <sz val="10"/>
        <color theme="1"/>
        <rFont val="Calibri"/>
        <family val="2"/>
        <scheme val="minor"/>
      </rPr>
      <t>02577</t>
    </r>
    <r>
      <rPr>
        <sz val="10"/>
        <color theme="1"/>
        <rFont val="Calibri"/>
        <family val="2"/>
        <scheme val="minor"/>
      </rPr>
      <t xml:space="preserve"> - Drinking water safety
</t>
    </r>
    <r>
      <rPr>
        <b/>
        <sz val="10"/>
        <color theme="1"/>
        <rFont val="Calibri"/>
        <family val="2"/>
        <scheme val="minor"/>
      </rPr>
      <t>02574</t>
    </r>
    <r>
      <rPr>
        <sz val="10"/>
        <color theme="1"/>
        <rFont val="Calibri"/>
        <family val="2"/>
        <scheme val="minor"/>
      </rPr>
      <t xml:space="preserve"> - Facility accessibility and usability for individuals with disabilities
</t>
    </r>
    <r>
      <rPr>
        <b/>
        <sz val="10"/>
        <color theme="1"/>
        <rFont val="Calibri"/>
        <family val="2"/>
        <scheme val="minor"/>
      </rPr>
      <t>02580</t>
    </r>
    <r>
      <rPr>
        <sz val="10"/>
        <color theme="1"/>
        <rFont val="Calibri"/>
        <family val="2"/>
        <scheme val="minor"/>
      </rPr>
      <t xml:space="preserve"> - Hazardous materials
</t>
    </r>
    <r>
      <rPr>
        <b/>
        <sz val="10"/>
        <color theme="1"/>
        <rFont val="Calibri"/>
        <family val="2"/>
        <scheme val="minor"/>
      </rPr>
      <t>02575</t>
    </r>
    <r>
      <rPr>
        <sz val="10"/>
        <color theme="1"/>
        <rFont val="Calibri"/>
        <family val="2"/>
        <scheme val="minor"/>
      </rPr>
      <t xml:space="preserve"> - Indoor air quality
</t>
    </r>
    <r>
      <rPr>
        <b/>
        <sz val="10"/>
        <color theme="1"/>
        <rFont val="Calibri"/>
        <family val="2"/>
        <scheme val="minor"/>
      </rPr>
      <t>02583</t>
    </r>
    <r>
      <rPr>
        <sz val="10"/>
        <color theme="1"/>
        <rFont val="Calibri"/>
        <family val="2"/>
        <scheme val="minor"/>
      </rPr>
      <t xml:space="preserve"> - Integrated pest control
</t>
    </r>
    <r>
      <rPr>
        <b/>
        <sz val="10"/>
        <color theme="1"/>
        <rFont val="Calibri"/>
        <family val="2"/>
        <scheme val="minor"/>
      </rPr>
      <t>02578</t>
    </r>
    <r>
      <rPr>
        <sz val="10"/>
        <color theme="1"/>
        <rFont val="Calibri"/>
        <family val="2"/>
        <scheme val="minor"/>
      </rPr>
      <t xml:space="preserve"> - Lead contamination
</t>
    </r>
    <r>
      <rPr>
        <b/>
        <sz val="10"/>
        <color theme="1"/>
        <rFont val="Calibri"/>
        <family val="2"/>
        <scheme val="minor"/>
      </rPr>
      <t>02582</t>
    </r>
    <r>
      <rPr>
        <sz val="10"/>
        <color theme="1"/>
        <rFont val="Calibri"/>
        <family val="2"/>
        <scheme val="minor"/>
      </rPr>
      <t xml:space="preserve"> - Material Safety Data Sheet (MSDS)
</t>
    </r>
    <r>
      <rPr>
        <b/>
        <sz val="10"/>
        <color theme="1"/>
        <rFont val="Calibri"/>
        <family val="2"/>
        <scheme val="minor"/>
      </rPr>
      <t>03264</t>
    </r>
    <r>
      <rPr>
        <sz val="10"/>
        <color theme="1"/>
        <rFont val="Calibri"/>
        <family val="2"/>
        <scheme val="minor"/>
      </rPr>
      <t xml:space="preserve"> - National School Lunch Act
</t>
    </r>
    <r>
      <rPr>
        <b/>
        <sz val="10"/>
        <color theme="1"/>
        <rFont val="Calibri"/>
        <family val="2"/>
        <scheme val="minor"/>
      </rPr>
      <t>02576</t>
    </r>
    <r>
      <rPr>
        <sz val="10"/>
        <color theme="1"/>
        <rFont val="Calibri"/>
        <family val="2"/>
        <scheme val="minor"/>
      </rPr>
      <t xml:space="preserve"> - Radon contamination
</t>
    </r>
    <r>
      <rPr>
        <b/>
        <sz val="10"/>
        <color theme="1"/>
        <rFont val="Calibri"/>
        <family val="2"/>
        <scheme val="minor"/>
      </rPr>
      <t>02581</t>
    </r>
    <r>
      <rPr>
        <sz val="10"/>
        <color theme="1"/>
        <rFont val="Calibri"/>
        <family val="2"/>
        <scheme val="minor"/>
      </rPr>
      <t xml:space="preserve"> - Underground storage tank
</t>
    </r>
    <r>
      <rPr>
        <b/>
        <sz val="10"/>
        <color theme="1"/>
        <rFont val="Calibri"/>
        <family val="2"/>
        <scheme val="minor"/>
      </rPr>
      <t>09999</t>
    </r>
    <r>
      <rPr>
        <sz val="10"/>
        <color theme="1"/>
        <rFont val="Calibri"/>
        <family val="2"/>
        <scheme val="minor"/>
      </rPr>
      <t xml:space="preserve"> - Other
</t>
    </r>
  </si>
  <si>
    <t>001797</t>
  </si>
  <si>
    <t>FacilityFederalMandateInterestType</t>
  </si>
  <si>
    <t>Facility Financing Fee Type</t>
  </si>
  <si>
    <t>The type of fee that one must pay when getting a mortgage.</t>
  </si>
  <si>
    <r>
      <t>13717</t>
    </r>
    <r>
      <rPr>
        <sz val="10"/>
        <color theme="1"/>
        <rFont val="Calibri"/>
        <family val="2"/>
        <scheme val="minor"/>
      </rPr>
      <t xml:space="preserve"> - Application fee
</t>
    </r>
    <r>
      <rPr>
        <b/>
        <sz val="10"/>
        <color theme="1"/>
        <rFont val="Calibri"/>
        <family val="2"/>
        <scheme val="minor"/>
      </rPr>
      <t>13718</t>
    </r>
    <r>
      <rPr>
        <sz val="10"/>
        <color theme="1"/>
        <rFont val="Calibri"/>
        <family val="2"/>
        <scheme val="minor"/>
      </rPr>
      <t xml:space="preserve"> - Legal fee
</t>
    </r>
    <r>
      <rPr>
        <b/>
        <sz val="10"/>
        <color theme="1"/>
        <rFont val="Calibri"/>
        <family val="2"/>
        <scheme val="minor"/>
      </rPr>
      <t>13719</t>
    </r>
    <r>
      <rPr>
        <sz val="10"/>
        <color theme="1"/>
        <rFont val="Calibri"/>
        <family val="2"/>
        <scheme val="minor"/>
      </rPr>
      <t xml:space="preserve"> - Origination fee
</t>
    </r>
  </si>
  <si>
    <t>Facilities -&gt; Facility -&gt; Budget and Finance</t>
  </si>
  <si>
    <t>001886</t>
  </si>
  <si>
    <t>FacilityFinancingFeeType</t>
  </si>
  <si>
    <t>Facility Furnishings Type</t>
  </si>
  <si>
    <t>Moveable assets that are provided so the building or interior assets can be utilized by occupants for their intended purposes.</t>
  </si>
  <si>
    <r>
      <t>00103</t>
    </r>
    <r>
      <rPr>
        <sz val="10"/>
        <color theme="1"/>
        <rFont val="Calibri"/>
        <family val="2"/>
        <scheme val="minor"/>
      </rPr>
      <t xml:space="preserve"> - Administrative office
</t>
    </r>
    <r>
      <rPr>
        <b/>
        <sz val="10"/>
        <color theme="1"/>
        <rFont val="Calibri"/>
        <family val="2"/>
        <scheme val="minor"/>
      </rPr>
      <t>02792</t>
    </r>
    <r>
      <rPr>
        <sz val="10"/>
        <color theme="1"/>
        <rFont val="Calibri"/>
        <family val="2"/>
        <scheme val="minor"/>
      </rPr>
      <t xml:space="preserve"> - Cafeteria
</t>
    </r>
    <r>
      <rPr>
        <b/>
        <sz val="10"/>
        <color theme="1"/>
        <rFont val="Calibri"/>
        <family val="2"/>
        <scheme val="minor"/>
      </rPr>
      <t>03014</t>
    </r>
    <r>
      <rPr>
        <sz val="10"/>
        <color theme="1"/>
        <rFont val="Calibri"/>
        <family val="2"/>
        <scheme val="minor"/>
      </rPr>
      <t xml:space="preserve"> - Classroom
</t>
    </r>
    <r>
      <rPr>
        <b/>
        <sz val="10"/>
        <color theme="1"/>
        <rFont val="Calibri"/>
        <family val="2"/>
        <scheme val="minor"/>
      </rPr>
      <t>00309</t>
    </r>
    <r>
      <rPr>
        <sz val="10"/>
        <color theme="1"/>
        <rFont val="Calibri"/>
        <family val="2"/>
        <scheme val="minor"/>
      </rPr>
      <t xml:space="preserve"> - Occupational therapy
</t>
    </r>
    <r>
      <rPr>
        <b/>
        <sz val="10"/>
        <color theme="1"/>
        <rFont val="Calibri"/>
        <family val="2"/>
        <scheme val="minor"/>
      </rPr>
      <t>00559</t>
    </r>
    <r>
      <rPr>
        <sz val="10"/>
        <color theme="1"/>
        <rFont val="Calibri"/>
        <family val="2"/>
        <scheme val="minor"/>
      </rPr>
      <t xml:space="preserve"> - Physical education
</t>
    </r>
    <r>
      <rPr>
        <b/>
        <sz val="10"/>
        <color theme="1"/>
        <rFont val="Calibri"/>
        <family val="2"/>
        <scheme val="minor"/>
      </rPr>
      <t>00313</t>
    </r>
    <r>
      <rPr>
        <sz val="10"/>
        <color theme="1"/>
        <rFont val="Calibri"/>
        <family val="2"/>
        <scheme val="minor"/>
      </rPr>
      <t xml:space="preserve"> - Physical therapy
</t>
    </r>
  </si>
  <si>
    <t>001820</t>
  </si>
  <si>
    <t>FacilityFurnishingsType</t>
  </si>
  <si>
    <t>Facility Hazardous Condition Expected Remediation Date</t>
  </si>
  <si>
    <t>The month, day, and year by which a hazardous condition of a site or building is expected to be remediated.</t>
  </si>
  <si>
    <t>001842</t>
  </si>
  <si>
    <t>FacilityHazardousConditionExpectedRemediationDate</t>
  </si>
  <si>
    <t>Facility Hazardous Materials or Condition Type</t>
  </si>
  <si>
    <t>The type of hazardous materials or conditions tested for at a site or building.</t>
  </si>
  <si>
    <r>
      <t>02898</t>
    </r>
    <r>
      <rPr>
        <sz val="10"/>
        <color theme="1"/>
        <rFont val="Calibri"/>
        <family val="2"/>
        <scheme val="minor"/>
      </rPr>
      <t xml:space="preserve"> - Asbestos
</t>
    </r>
    <r>
      <rPr>
        <b/>
        <sz val="10"/>
        <color theme="1"/>
        <rFont val="Calibri"/>
        <family val="2"/>
        <scheme val="minor"/>
      </rPr>
      <t>13656</t>
    </r>
    <r>
      <rPr>
        <sz val="10"/>
        <color theme="1"/>
        <rFont val="Calibri"/>
        <family val="2"/>
        <scheme val="minor"/>
      </rPr>
      <t xml:space="preserve"> - Carbon Monoxide
</t>
    </r>
    <r>
      <rPr>
        <b/>
        <sz val="10"/>
        <color theme="1"/>
        <rFont val="Calibri"/>
        <family val="2"/>
        <scheme val="minor"/>
      </rPr>
      <t>13657</t>
    </r>
    <r>
      <rPr>
        <sz val="10"/>
        <color theme="1"/>
        <rFont val="Calibri"/>
        <family val="2"/>
        <scheme val="minor"/>
      </rPr>
      <t xml:space="preserve"> - Chlorofluorocarbons
</t>
    </r>
    <r>
      <rPr>
        <b/>
        <sz val="10"/>
        <color theme="1"/>
        <rFont val="Calibri"/>
        <family val="2"/>
        <scheme val="minor"/>
      </rPr>
      <t>13658</t>
    </r>
    <r>
      <rPr>
        <sz val="10"/>
        <color theme="1"/>
        <rFont val="Calibri"/>
        <family val="2"/>
        <scheme val="minor"/>
      </rPr>
      <t xml:space="preserve"> - Concentrated animal feeding operations (CAFOs)
</t>
    </r>
    <r>
      <rPr>
        <b/>
        <sz val="10"/>
        <color theme="1"/>
        <rFont val="Calibri"/>
        <family val="2"/>
        <scheme val="minor"/>
      </rPr>
      <t>13659</t>
    </r>
    <r>
      <rPr>
        <sz val="10"/>
        <color theme="1"/>
        <rFont val="Calibri"/>
        <family val="2"/>
        <scheme val="minor"/>
      </rPr>
      <t xml:space="preserve"> - Criteria Air Pollutants
</t>
    </r>
    <r>
      <rPr>
        <b/>
        <sz val="10"/>
        <color theme="1"/>
        <rFont val="Calibri"/>
        <family val="2"/>
        <scheme val="minor"/>
      </rPr>
      <t>13660</t>
    </r>
    <r>
      <rPr>
        <sz val="10"/>
        <color theme="1"/>
        <rFont val="Calibri"/>
        <family val="2"/>
        <scheme val="minor"/>
      </rPr>
      <t xml:space="preserve"> - Drip Lines
</t>
    </r>
    <r>
      <rPr>
        <b/>
        <sz val="10"/>
        <color theme="1"/>
        <rFont val="Calibri"/>
        <family val="2"/>
        <scheme val="minor"/>
      </rPr>
      <t>13661</t>
    </r>
    <r>
      <rPr>
        <sz val="10"/>
        <color theme="1"/>
        <rFont val="Calibri"/>
        <family val="2"/>
        <scheme val="minor"/>
      </rPr>
      <t xml:space="preserve"> - Ground Level Ozone
</t>
    </r>
    <r>
      <rPr>
        <b/>
        <sz val="10"/>
        <color theme="1"/>
        <rFont val="Calibri"/>
        <family val="2"/>
        <scheme val="minor"/>
      </rPr>
      <t>13662</t>
    </r>
    <r>
      <rPr>
        <sz val="10"/>
        <color theme="1"/>
        <rFont val="Calibri"/>
        <family val="2"/>
        <scheme val="minor"/>
      </rPr>
      <t xml:space="preserve"> - Hazardous Air Pollutants
</t>
    </r>
    <r>
      <rPr>
        <b/>
        <sz val="10"/>
        <color theme="1"/>
        <rFont val="Calibri"/>
        <family val="2"/>
        <scheme val="minor"/>
      </rPr>
      <t>13663</t>
    </r>
    <r>
      <rPr>
        <sz val="10"/>
        <color theme="1"/>
        <rFont val="Calibri"/>
        <family val="2"/>
        <scheme val="minor"/>
      </rPr>
      <t xml:space="preserve"> - Hazardous, industrial, or municipal waste sites
</t>
    </r>
    <r>
      <rPr>
        <b/>
        <sz val="10"/>
        <color theme="1"/>
        <rFont val="Calibri"/>
        <family val="2"/>
        <scheme val="minor"/>
      </rPr>
      <t>13664</t>
    </r>
    <r>
      <rPr>
        <sz val="10"/>
        <color theme="1"/>
        <rFont val="Calibri"/>
        <family val="2"/>
        <scheme val="minor"/>
      </rPr>
      <t xml:space="preserve"> - Hydrochlorofluorocarbons
</t>
    </r>
    <r>
      <rPr>
        <b/>
        <sz val="10"/>
        <color theme="1"/>
        <rFont val="Calibri"/>
        <family val="2"/>
        <scheme val="minor"/>
      </rPr>
      <t>02899</t>
    </r>
    <r>
      <rPr>
        <sz val="10"/>
        <color theme="1"/>
        <rFont val="Calibri"/>
        <family val="2"/>
        <scheme val="minor"/>
      </rPr>
      <t xml:space="preserve"> - Lead
</t>
    </r>
    <r>
      <rPr>
        <b/>
        <sz val="10"/>
        <color theme="1"/>
        <rFont val="Calibri"/>
        <family val="2"/>
        <scheme val="minor"/>
      </rPr>
      <t>13665</t>
    </r>
    <r>
      <rPr>
        <sz val="10"/>
        <color theme="1"/>
        <rFont val="Calibri"/>
        <family val="2"/>
        <scheme val="minor"/>
      </rPr>
      <t xml:space="preserve"> - Mercury
</t>
    </r>
    <r>
      <rPr>
        <b/>
        <sz val="10"/>
        <color theme="1"/>
        <rFont val="Calibri"/>
        <family val="2"/>
        <scheme val="minor"/>
      </rPr>
      <t>13666</t>
    </r>
    <r>
      <rPr>
        <sz val="10"/>
        <color theme="1"/>
        <rFont val="Calibri"/>
        <family val="2"/>
        <scheme val="minor"/>
      </rPr>
      <t xml:space="preserve"> - Methane
</t>
    </r>
    <r>
      <rPr>
        <b/>
        <sz val="10"/>
        <color theme="1"/>
        <rFont val="Calibri"/>
        <family val="2"/>
        <scheme val="minor"/>
      </rPr>
      <t>02900</t>
    </r>
    <r>
      <rPr>
        <sz val="10"/>
        <color theme="1"/>
        <rFont val="Calibri"/>
        <family val="2"/>
        <scheme val="minor"/>
      </rPr>
      <t xml:space="preserve"> - Mold
</t>
    </r>
    <r>
      <rPr>
        <b/>
        <sz val="10"/>
        <color theme="1"/>
        <rFont val="Calibri"/>
        <family val="2"/>
        <scheme val="minor"/>
      </rPr>
      <t>13667</t>
    </r>
    <r>
      <rPr>
        <sz val="10"/>
        <color theme="1"/>
        <rFont val="Calibri"/>
        <family val="2"/>
        <scheme val="minor"/>
      </rPr>
      <t xml:space="preserve"> - Nitrogen Oxides
</t>
    </r>
    <r>
      <rPr>
        <b/>
        <sz val="10"/>
        <color theme="1"/>
        <rFont val="Calibri"/>
        <family val="2"/>
        <scheme val="minor"/>
      </rPr>
      <t>13668</t>
    </r>
    <r>
      <rPr>
        <sz val="10"/>
        <color theme="1"/>
        <rFont val="Calibri"/>
        <family val="2"/>
        <scheme val="minor"/>
      </rPr>
      <t xml:space="preserve"> - Particulate Matter
</t>
    </r>
    <r>
      <rPr>
        <b/>
        <sz val="10"/>
        <color theme="1"/>
        <rFont val="Calibri"/>
        <family val="2"/>
        <scheme val="minor"/>
      </rPr>
      <t>02903</t>
    </r>
    <r>
      <rPr>
        <sz val="10"/>
        <color theme="1"/>
        <rFont val="Calibri"/>
        <family val="2"/>
        <scheme val="minor"/>
      </rPr>
      <t xml:space="preserve"> - Pesticides
</t>
    </r>
    <r>
      <rPr>
        <b/>
        <sz val="10"/>
        <color theme="1"/>
        <rFont val="Calibri"/>
        <family val="2"/>
        <scheme val="minor"/>
      </rPr>
      <t>13669</t>
    </r>
    <r>
      <rPr>
        <sz val="10"/>
        <color theme="1"/>
        <rFont val="Calibri"/>
        <family val="2"/>
        <scheme val="minor"/>
      </rPr>
      <t xml:space="preserve"> - Polychlorinated biphenyls (PCBs)
</t>
    </r>
    <r>
      <rPr>
        <b/>
        <sz val="10"/>
        <color theme="1"/>
        <rFont val="Calibri"/>
        <family val="2"/>
        <scheme val="minor"/>
      </rPr>
      <t>13670</t>
    </r>
    <r>
      <rPr>
        <sz val="10"/>
        <color theme="1"/>
        <rFont val="Calibri"/>
        <family val="2"/>
        <scheme val="minor"/>
      </rPr>
      <t xml:space="preserve"> - Propellants
</t>
    </r>
    <r>
      <rPr>
        <b/>
        <sz val="10"/>
        <color theme="1"/>
        <rFont val="Calibri"/>
        <family val="2"/>
        <scheme val="minor"/>
      </rPr>
      <t>02902</t>
    </r>
    <r>
      <rPr>
        <sz val="10"/>
        <color theme="1"/>
        <rFont val="Calibri"/>
        <family val="2"/>
        <scheme val="minor"/>
      </rPr>
      <t xml:space="preserve"> - Radon
</t>
    </r>
    <r>
      <rPr>
        <b/>
        <sz val="10"/>
        <color theme="1"/>
        <rFont val="Calibri"/>
        <family val="2"/>
        <scheme val="minor"/>
      </rPr>
      <t>13671</t>
    </r>
    <r>
      <rPr>
        <sz val="10"/>
        <color theme="1"/>
        <rFont val="Calibri"/>
        <family val="2"/>
        <scheme val="minor"/>
      </rPr>
      <t xml:space="preserve"> - Refrigerants
</t>
    </r>
    <r>
      <rPr>
        <b/>
        <sz val="10"/>
        <color theme="1"/>
        <rFont val="Calibri"/>
        <family val="2"/>
        <scheme val="minor"/>
      </rPr>
      <t>13672</t>
    </r>
    <r>
      <rPr>
        <sz val="10"/>
        <color theme="1"/>
        <rFont val="Calibri"/>
        <family val="2"/>
        <scheme val="minor"/>
      </rPr>
      <t xml:space="preserve"> - Sediment, sludge, reuse material
</t>
    </r>
    <r>
      <rPr>
        <b/>
        <sz val="10"/>
        <color theme="1"/>
        <rFont val="Calibri"/>
        <family val="2"/>
        <scheme val="minor"/>
      </rPr>
      <t>13673</t>
    </r>
    <r>
      <rPr>
        <sz val="10"/>
        <color theme="1"/>
        <rFont val="Calibri"/>
        <family val="2"/>
        <scheme val="minor"/>
      </rPr>
      <t xml:space="preserve"> - Sulfur dioxide
</t>
    </r>
    <r>
      <rPr>
        <b/>
        <sz val="10"/>
        <color theme="1"/>
        <rFont val="Calibri"/>
        <family val="2"/>
        <scheme val="minor"/>
      </rPr>
      <t>02901</t>
    </r>
    <r>
      <rPr>
        <sz val="10"/>
        <color theme="1"/>
        <rFont val="Calibri"/>
        <family val="2"/>
        <scheme val="minor"/>
      </rPr>
      <t xml:space="preserve"> - Underground storage tanks (USTs)
</t>
    </r>
    <r>
      <rPr>
        <b/>
        <sz val="10"/>
        <color theme="1"/>
        <rFont val="Calibri"/>
        <family val="2"/>
        <scheme val="minor"/>
      </rPr>
      <t>13674</t>
    </r>
    <r>
      <rPr>
        <sz val="10"/>
        <color theme="1"/>
        <rFont val="Calibri"/>
        <family val="2"/>
        <scheme val="minor"/>
      </rPr>
      <t xml:space="preserve"> - Vapor intrusion
</t>
    </r>
    <r>
      <rPr>
        <b/>
        <sz val="10"/>
        <color theme="1"/>
        <rFont val="Calibri"/>
        <family val="2"/>
        <scheme val="minor"/>
      </rPr>
      <t>13675</t>
    </r>
    <r>
      <rPr>
        <sz val="10"/>
        <color theme="1"/>
        <rFont val="Calibri"/>
        <family val="2"/>
        <scheme val="minor"/>
      </rPr>
      <t xml:space="preserve"> - Volatile organic compounds
</t>
    </r>
    <r>
      <rPr>
        <b/>
        <sz val="10"/>
        <color theme="1"/>
        <rFont val="Calibri"/>
        <family val="2"/>
        <scheme val="minor"/>
      </rPr>
      <t>09999</t>
    </r>
    <r>
      <rPr>
        <sz val="10"/>
        <color theme="1"/>
        <rFont val="Calibri"/>
        <family val="2"/>
        <scheme val="minor"/>
      </rPr>
      <t xml:space="preserve"> - Other
</t>
    </r>
  </si>
  <si>
    <t>001874</t>
  </si>
  <si>
    <t>FacilityHazardousMaterialsOrConditionType</t>
  </si>
  <si>
    <t>Facility Inspection Score Result Description</t>
  </si>
  <si>
    <t>The description of a meaningful raw score of statistical expression of the performance on an inspection.</t>
  </si>
  <si>
    <t>001846</t>
  </si>
  <si>
    <t>FacilityInspectionScoreResultDescription</t>
  </si>
  <si>
    <t>Facility Inspection Violation Description</t>
  </si>
  <si>
    <t>A description of the standard violation(s) found in the inspection.</t>
  </si>
  <si>
    <t>001847</t>
  </si>
  <si>
    <t>FacilityInspectionViolationDescription</t>
  </si>
  <si>
    <t>Facility Joint Development Type</t>
  </si>
  <si>
    <t>The type of development where two or more entities partner to plan, site, design, and/or build a new school or renovate an existing school to better support the joint use of the building and/or land.</t>
  </si>
  <si>
    <r>
      <t>13690</t>
    </r>
    <r>
      <rPr>
        <sz val="10"/>
        <color theme="1"/>
        <rFont val="Calibri"/>
        <family val="2"/>
        <scheme val="minor"/>
      </rPr>
      <t xml:space="preserve"> - Dedicated
</t>
    </r>
    <r>
      <rPr>
        <b/>
        <sz val="10"/>
        <color theme="1"/>
        <rFont val="Calibri"/>
        <family val="2"/>
        <scheme val="minor"/>
      </rPr>
      <t>13689</t>
    </r>
    <r>
      <rPr>
        <sz val="10"/>
        <color theme="1"/>
        <rFont val="Calibri"/>
        <family val="2"/>
        <scheme val="minor"/>
      </rPr>
      <t xml:space="preserve"> - Shared
</t>
    </r>
  </si>
  <si>
    <t>001875</t>
  </si>
  <si>
    <t>FacilityJointDevelopmentType</t>
  </si>
  <si>
    <t>Facility Lease Amount</t>
  </si>
  <si>
    <t>The amount of money the school must pay to rent the facility that it is in.</t>
  </si>
  <si>
    <t>001887</t>
  </si>
  <si>
    <t>FacilityLeaseAmount</t>
  </si>
  <si>
    <t>Facility Lease Amount Category</t>
  </si>
  <si>
    <t>The category of payment that a school must pay to rent the facility that it is in.</t>
  </si>
  <si>
    <r>
      <t>13720</t>
    </r>
    <r>
      <rPr>
        <sz val="10"/>
        <color theme="1"/>
        <rFont val="Calibri"/>
        <family val="2"/>
        <scheme val="minor"/>
      </rPr>
      <t xml:space="preserve"> - Base rent
</t>
    </r>
    <r>
      <rPr>
        <b/>
        <sz val="10"/>
        <color theme="1"/>
        <rFont val="Calibri"/>
        <family val="2"/>
        <scheme val="minor"/>
      </rPr>
      <t>13721</t>
    </r>
    <r>
      <rPr>
        <sz val="10"/>
        <color theme="1"/>
        <rFont val="Calibri"/>
        <family val="2"/>
        <scheme val="minor"/>
      </rPr>
      <t xml:space="preserve"> - Credit
</t>
    </r>
    <r>
      <rPr>
        <b/>
        <sz val="10"/>
        <color theme="1"/>
        <rFont val="Calibri"/>
        <family val="2"/>
        <scheme val="minor"/>
      </rPr>
      <t>13722</t>
    </r>
    <r>
      <rPr>
        <sz val="10"/>
        <color theme="1"/>
        <rFont val="Calibri"/>
        <family val="2"/>
        <scheme val="minor"/>
      </rPr>
      <t xml:space="preserve"> - Escalator
</t>
    </r>
  </si>
  <si>
    <t>001888</t>
  </si>
  <si>
    <t>FacilityLeaseAmountCategory</t>
  </si>
  <si>
    <t>Facility Lease Type</t>
  </si>
  <si>
    <t>The type of agreement that allows the use and possession of a school, building, or other facility from a third party in return for a regularly scheduled installment payment over an agreed-upon period.</t>
  </si>
  <si>
    <r>
      <t>13723</t>
    </r>
    <r>
      <rPr>
        <sz val="10"/>
        <color theme="1"/>
        <rFont val="Calibri"/>
        <family val="2"/>
        <scheme val="minor"/>
      </rPr>
      <t xml:space="preserve"> - Building lease
</t>
    </r>
    <r>
      <rPr>
        <b/>
        <sz val="10"/>
        <color theme="1"/>
        <rFont val="Calibri"/>
        <family val="2"/>
        <scheme val="minor"/>
      </rPr>
      <t>13724</t>
    </r>
    <r>
      <rPr>
        <sz val="10"/>
        <color theme="1"/>
        <rFont val="Calibri"/>
        <family val="2"/>
        <scheme val="minor"/>
      </rPr>
      <t xml:space="preserve"> - Ground lease
</t>
    </r>
    <r>
      <rPr>
        <b/>
        <sz val="10"/>
        <color theme="1"/>
        <rFont val="Calibri"/>
        <family val="2"/>
        <scheme val="minor"/>
      </rPr>
      <t>13725</t>
    </r>
    <r>
      <rPr>
        <sz val="10"/>
        <color theme="1"/>
        <rFont val="Calibri"/>
        <family val="2"/>
        <scheme val="minor"/>
      </rPr>
      <t xml:space="preserve"> - Lease build to suit
</t>
    </r>
    <r>
      <rPr>
        <b/>
        <sz val="10"/>
        <color theme="1"/>
        <rFont val="Calibri"/>
        <family val="2"/>
        <scheme val="minor"/>
      </rPr>
      <t>13726</t>
    </r>
    <r>
      <rPr>
        <sz val="10"/>
        <color theme="1"/>
        <rFont val="Calibri"/>
        <family val="2"/>
        <scheme val="minor"/>
      </rPr>
      <t xml:space="preserve"> - Lease shell with significant leasehold improvements
</t>
    </r>
    <r>
      <rPr>
        <b/>
        <sz val="10"/>
        <color theme="1"/>
        <rFont val="Calibri"/>
        <family val="2"/>
        <scheme val="minor"/>
      </rPr>
      <t>13727</t>
    </r>
    <r>
      <rPr>
        <sz val="10"/>
        <color theme="1"/>
        <rFont val="Calibri"/>
        <family val="2"/>
        <scheme val="minor"/>
      </rPr>
      <t xml:space="preserve"> - Triple-net lease
</t>
    </r>
  </si>
  <si>
    <t>001889</t>
  </si>
  <si>
    <t>FacilityLeaseType</t>
  </si>
  <si>
    <t>Facility Licensing Status</t>
  </si>
  <si>
    <t>The status of the facility license.</t>
  </si>
  <si>
    <r>
      <t>Regulated</t>
    </r>
    <r>
      <rPr>
        <sz val="10"/>
        <color theme="1"/>
        <rFont val="Calibri"/>
        <family val="2"/>
        <scheme val="minor"/>
      </rPr>
      <t xml:space="preserve"> - Regulated
</t>
    </r>
    <r>
      <rPr>
        <b/>
        <sz val="10"/>
        <color theme="1"/>
        <rFont val="Calibri"/>
        <family val="2"/>
        <scheme val="minor"/>
      </rPr>
      <t>Unregulated</t>
    </r>
    <r>
      <rPr>
        <sz val="10"/>
        <color theme="1"/>
        <rFont val="Calibri"/>
        <family val="2"/>
        <scheme val="minor"/>
      </rPr>
      <t xml:space="preserve"> - Unregulated
</t>
    </r>
    <r>
      <rPr>
        <b/>
        <sz val="10"/>
        <color theme="1"/>
        <rFont val="Calibri"/>
        <family val="2"/>
        <scheme val="minor"/>
      </rPr>
      <t>Exempt</t>
    </r>
    <r>
      <rPr>
        <sz val="10"/>
        <color theme="1"/>
        <rFont val="Calibri"/>
        <family val="2"/>
        <scheme val="minor"/>
      </rPr>
      <t xml:space="preserve"> - Exempt
</t>
    </r>
  </si>
  <si>
    <t>000984</t>
  </si>
  <si>
    <t>FacilityLicensingStatus</t>
  </si>
  <si>
    <t>Facility Location of Hazardous Materials</t>
  </si>
  <si>
    <t>The location at which the identified hazardous material is found.</t>
  </si>
  <si>
    <t>001808</t>
  </si>
  <si>
    <t>FacilityLocationOfHazardousMaterials</t>
  </si>
  <si>
    <t>Facility Maintenance Standard Type</t>
  </si>
  <si>
    <t>The standard for maintenance of a component, system, or building.</t>
  </si>
  <si>
    <r>
      <t>02989</t>
    </r>
    <r>
      <rPr>
        <sz val="10"/>
        <color theme="1"/>
        <rFont val="Calibri"/>
        <family val="2"/>
        <scheme val="minor"/>
      </rPr>
      <t xml:space="preserve"> - Emergency maintenance repair
</t>
    </r>
    <r>
      <rPr>
        <b/>
        <sz val="10"/>
        <color theme="1"/>
        <rFont val="Calibri"/>
        <family val="2"/>
        <scheme val="minor"/>
      </rPr>
      <t>02839</t>
    </r>
    <r>
      <rPr>
        <sz val="10"/>
        <color theme="1"/>
        <rFont val="Calibri"/>
        <family val="2"/>
        <scheme val="minor"/>
      </rPr>
      <t xml:space="preserve"> - Predictive
</t>
    </r>
    <r>
      <rPr>
        <b/>
        <sz val="10"/>
        <color theme="1"/>
        <rFont val="Calibri"/>
        <family val="2"/>
        <scheme val="minor"/>
      </rPr>
      <t>02838</t>
    </r>
    <r>
      <rPr>
        <sz val="10"/>
        <color theme="1"/>
        <rFont val="Calibri"/>
        <family val="2"/>
        <scheme val="minor"/>
      </rPr>
      <t xml:space="preserve"> - Preventive
</t>
    </r>
    <r>
      <rPr>
        <b/>
        <sz val="10"/>
        <color theme="1"/>
        <rFont val="Calibri"/>
        <family val="2"/>
        <scheme val="minor"/>
      </rPr>
      <t>02837</t>
    </r>
    <r>
      <rPr>
        <sz val="10"/>
        <color theme="1"/>
        <rFont val="Calibri"/>
        <family val="2"/>
        <scheme val="minor"/>
      </rPr>
      <t xml:space="preserve"> - Routine
</t>
    </r>
    <r>
      <rPr>
        <b/>
        <sz val="10"/>
        <color theme="1"/>
        <rFont val="Calibri"/>
        <family val="2"/>
        <scheme val="minor"/>
      </rPr>
      <t>02836</t>
    </r>
    <r>
      <rPr>
        <sz val="10"/>
        <color theme="1"/>
        <rFont val="Calibri"/>
        <family val="2"/>
        <scheme val="minor"/>
      </rPr>
      <t xml:space="preserve"> - Run to fail
</t>
    </r>
  </si>
  <si>
    <t>001876</t>
  </si>
  <si>
    <t>FacilityMaintenanceStandardType</t>
  </si>
  <si>
    <t>Facility Mortgage Interest Amount</t>
  </si>
  <si>
    <t>The amount the borrower pays the lender to compensate the lender for the use of money to purchase a building or facility.</t>
  </si>
  <si>
    <t>001890</t>
  </si>
  <si>
    <t>FacilityMortgageInterestAmount</t>
  </si>
  <si>
    <t>Facility Mortgage Interest Type</t>
  </si>
  <si>
    <t>The type of interest paid on a mortgage to the lender to compensate the lender for the use of money to purchase a building or facility.</t>
  </si>
  <si>
    <r>
      <t>13730</t>
    </r>
    <r>
      <rPr>
        <sz val="10"/>
        <color theme="1"/>
        <rFont val="Calibri"/>
        <family val="2"/>
        <scheme val="minor"/>
      </rPr>
      <t xml:space="preserve"> - Add-on interest
</t>
    </r>
    <r>
      <rPr>
        <b/>
        <sz val="10"/>
        <color theme="1"/>
        <rFont val="Calibri"/>
        <family val="2"/>
        <scheme val="minor"/>
      </rPr>
      <t>13731</t>
    </r>
    <r>
      <rPr>
        <sz val="10"/>
        <color theme="1"/>
        <rFont val="Calibri"/>
        <family val="2"/>
        <scheme val="minor"/>
      </rPr>
      <t xml:space="preserve"> - Adjustable-Rate Mortgage (ARM)
</t>
    </r>
    <r>
      <rPr>
        <b/>
        <sz val="10"/>
        <color theme="1"/>
        <rFont val="Calibri"/>
        <family val="2"/>
        <scheme val="minor"/>
      </rPr>
      <t>13732</t>
    </r>
    <r>
      <rPr>
        <sz val="10"/>
        <color theme="1"/>
        <rFont val="Calibri"/>
        <family val="2"/>
        <scheme val="minor"/>
      </rPr>
      <t xml:space="preserve"> - Balloon Mortgage
</t>
    </r>
    <r>
      <rPr>
        <b/>
        <sz val="10"/>
        <color theme="1"/>
        <rFont val="Calibri"/>
        <family val="2"/>
        <scheme val="minor"/>
      </rPr>
      <t>13733</t>
    </r>
    <r>
      <rPr>
        <sz val="10"/>
        <color theme="1"/>
        <rFont val="Calibri"/>
        <family val="2"/>
        <scheme val="minor"/>
      </rPr>
      <t xml:space="preserve"> - Deferred Interest
</t>
    </r>
    <r>
      <rPr>
        <b/>
        <sz val="10"/>
        <color theme="1"/>
        <rFont val="Calibri"/>
        <family val="2"/>
        <scheme val="minor"/>
      </rPr>
      <t>13734</t>
    </r>
    <r>
      <rPr>
        <sz val="10"/>
        <color theme="1"/>
        <rFont val="Calibri"/>
        <family val="2"/>
        <scheme val="minor"/>
      </rPr>
      <t xml:space="preserve"> - Fixed Payment Mortgage
</t>
    </r>
    <r>
      <rPr>
        <b/>
        <sz val="10"/>
        <color theme="1"/>
        <rFont val="Calibri"/>
        <family val="2"/>
        <scheme val="minor"/>
      </rPr>
      <t>13735</t>
    </r>
    <r>
      <rPr>
        <sz val="10"/>
        <color theme="1"/>
        <rFont val="Calibri"/>
        <family val="2"/>
        <scheme val="minor"/>
      </rPr>
      <t xml:space="preserve"> - Fixed-rate Mortgage
</t>
    </r>
    <r>
      <rPr>
        <b/>
        <sz val="10"/>
        <color theme="1"/>
        <rFont val="Calibri"/>
        <family val="2"/>
        <scheme val="minor"/>
      </rPr>
      <t>13736</t>
    </r>
    <r>
      <rPr>
        <sz val="10"/>
        <color theme="1"/>
        <rFont val="Calibri"/>
        <family val="2"/>
        <scheme val="minor"/>
      </rPr>
      <t xml:space="preserve"> - Floating Rate
</t>
    </r>
    <r>
      <rPr>
        <b/>
        <sz val="10"/>
        <color theme="1"/>
        <rFont val="Calibri"/>
        <family val="2"/>
        <scheme val="minor"/>
      </rPr>
      <t>13737</t>
    </r>
    <r>
      <rPr>
        <sz val="10"/>
        <color theme="1"/>
        <rFont val="Calibri"/>
        <family val="2"/>
        <scheme val="minor"/>
      </rPr>
      <t xml:space="preserve"> - Fully Amortizing Mortgage
</t>
    </r>
    <r>
      <rPr>
        <b/>
        <sz val="10"/>
        <color theme="1"/>
        <rFont val="Calibri"/>
        <family val="2"/>
        <scheme val="minor"/>
      </rPr>
      <t>13738</t>
    </r>
    <r>
      <rPr>
        <sz val="10"/>
        <color theme="1"/>
        <rFont val="Calibri"/>
        <family val="2"/>
        <scheme val="minor"/>
      </rPr>
      <t xml:space="preserve"> - Graduated-payment Mortgage (GPM)
</t>
    </r>
    <r>
      <rPr>
        <b/>
        <sz val="10"/>
        <color theme="1"/>
        <rFont val="Calibri"/>
        <family val="2"/>
        <scheme val="minor"/>
      </rPr>
      <t>13739</t>
    </r>
    <r>
      <rPr>
        <sz val="10"/>
        <color theme="1"/>
        <rFont val="Calibri"/>
        <family val="2"/>
        <scheme val="minor"/>
      </rPr>
      <t xml:space="preserve"> - Interest-only loan
</t>
    </r>
    <r>
      <rPr>
        <b/>
        <sz val="10"/>
        <color theme="1"/>
        <rFont val="Calibri"/>
        <family val="2"/>
        <scheme val="minor"/>
      </rPr>
      <t>13740</t>
    </r>
    <r>
      <rPr>
        <sz val="10"/>
        <color theme="1"/>
        <rFont val="Calibri"/>
        <family val="2"/>
        <scheme val="minor"/>
      </rPr>
      <t xml:space="preserve"> - Open-end Mortgage
</t>
    </r>
  </si>
  <si>
    <t>001891</t>
  </si>
  <si>
    <t>FacilityMortgageInterestType</t>
  </si>
  <si>
    <t>Facility Mortgage Type</t>
  </si>
  <si>
    <t>The status of a mortgage as it relates to priority of payment.</t>
  </si>
  <si>
    <r>
      <t>13741</t>
    </r>
    <r>
      <rPr>
        <sz val="10"/>
        <color theme="1"/>
        <rFont val="Calibri"/>
        <family val="2"/>
        <scheme val="minor"/>
      </rPr>
      <t xml:space="preserve"> - Junior Mortgage
</t>
    </r>
    <r>
      <rPr>
        <b/>
        <sz val="10"/>
        <color theme="1"/>
        <rFont val="Calibri"/>
        <family val="2"/>
        <scheme val="minor"/>
      </rPr>
      <t>13742</t>
    </r>
    <r>
      <rPr>
        <sz val="10"/>
        <color theme="1"/>
        <rFont val="Calibri"/>
        <family val="2"/>
        <scheme val="minor"/>
      </rPr>
      <t xml:space="preserve"> - Multiple
</t>
    </r>
    <r>
      <rPr>
        <b/>
        <sz val="10"/>
        <color theme="1"/>
        <rFont val="Calibri"/>
        <family val="2"/>
        <scheme val="minor"/>
      </rPr>
      <t>13743</t>
    </r>
    <r>
      <rPr>
        <sz val="10"/>
        <color theme="1"/>
        <rFont val="Calibri"/>
        <family val="2"/>
        <scheme val="minor"/>
      </rPr>
      <t xml:space="preserve"> - Senior or first mortgage
</t>
    </r>
  </si>
  <si>
    <t>001892</t>
  </si>
  <si>
    <t>FacilityMortgageType</t>
  </si>
  <si>
    <t>Facility Naturally Occurring Hazard Type</t>
  </si>
  <si>
    <t>Type of natural hazard that can affect the health, safety and operation of school facilities and their occupants.</t>
  </si>
  <si>
    <r>
      <t>13678</t>
    </r>
    <r>
      <rPr>
        <sz val="10"/>
        <color theme="1"/>
        <rFont val="Calibri"/>
        <family val="2"/>
        <scheme val="minor"/>
      </rPr>
      <t xml:space="preserve"> - Arsenic
</t>
    </r>
    <r>
      <rPr>
        <b/>
        <sz val="10"/>
        <color theme="1"/>
        <rFont val="Calibri"/>
        <family val="2"/>
        <scheme val="minor"/>
      </rPr>
      <t>13679</t>
    </r>
    <r>
      <rPr>
        <sz val="10"/>
        <color theme="1"/>
        <rFont val="Calibri"/>
        <family val="2"/>
        <scheme val="minor"/>
      </rPr>
      <t xml:space="preserve"> - Earthquake prone area
</t>
    </r>
    <r>
      <rPr>
        <b/>
        <sz val="10"/>
        <color theme="1"/>
        <rFont val="Calibri"/>
        <family val="2"/>
        <scheme val="minor"/>
      </rPr>
      <t>13680</t>
    </r>
    <r>
      <rPr>
        <sz val="10"/>
        <color theme="1"/>
        <rFont val="Calibri"/>
        <family val="2"/>
        <scheme val="minor"/>
      </rPr>
      <t xml:space="preserve"> - Floodplain
</t>
    </r>
    <r>
      <rPr>
        <b/>
        <sz val="10"/>
        <color theme="1"/>
        <rFont val="Calibri"/>
        <family val="2"/>
        <scheme val="minor"/>
      </rPr>
      <t>13681</t>
    </r>
    <r>
      <rPr>
        <sz val="10"/>
        <color theme="1"/>
        <rFont val="Calibri"/>
        <family val="2"/>
        <scheme val="minor"/>
      </rPr>
      <t xml:space="preserve"> - Liquefaction, landslide areas
</t>
    </r>
    <r>
      <rPr>
        <b/>
        <sz val="10"/>
        <color theme="1"/>
        <rFont val="Calibri"/>
        <family val="2"/>
        <scheme val="minor"/>
      </rPr>
      <t>13682</t>
    </r>
    <r>
      <rPr>
        <sz val="10"/>
        <color theme="1"/>
        <rFont val="Calibri"/>
        <family val="2"/>
        <scheme val="minor"/>
      </rPr>
      <t xml:space="preserve"> - Naturally Occurring Asbestos (NOA)
</t>
    </r>
    <r>
      <rPr>
        <b/>
        <sz val="10"/>
        <color theme="1"/>
        <rFont val="Calibri"/>
        <family val="2"/>
        <scheme val="minor"/>
      </rPr>
      <t>13683</t>
    </r>
    <r>
      <rPr>
        <sz val="10"/>
        <color theme="1"/>
        <rFont val="Calibri"/>
        <family val="2"/>
        <scheme val="minor"/>
      </rPr>
      <t xml:space="preserve"> - Sinkholes, Karst terrain
</t>
    </r>
  </si>
  <si>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</si>
  <si>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</si>
  <si>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</si>
  <si>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</si>
  <si>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</si>
  <si>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</si>
  <si>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Facility Operations Management Type</t>
  </si>
  <si>
    <t>The type of management arrangements whereby a district oversees and manages its facilities operations.</t>
  </si>
  <si>
    <r>
      <t>02821</t>
    </r>
    <r>
      <rPr>
        <sz val="10"/>
        <color theme="1"/>
        <rFont val="Calibri"/>
        <family val="2"/>
        <scheme val="minor"/>
      </rPr>
      <t xml:space="preserve"> - District and private sector management
</t>
    </r>
    <r>
      <rPr>
        <b/>
        <sz val="10"/>
        <color theme="1"/>
        <rFont val="Calibri"/>
        <family val="2"/>
        <scheme val="minor"/>
      </rPr>
      <t>02822</t>
    </r>
    <r>
      <rPr>
        <sz val="10"/>
        <color theme="1"/>
        <rFont val="Calibri"/>
        <family val="2"/>
        <scheme val="minor"/>
      </rPr>
      <t xml:space="preserve"> - Nonschool public sector management
</t>
    </r>
    <r>
      <rPr>
        <b/>
        <sz val="10"/>
        <color theme="1"/>
        <rFont val="Calibri"/>
        <family val="2"/>
        <scheme val="minor"/>
      </rPr>
      <t>02820</t>
    </r>
    <r>
      <rPr>
        <sz val="10"/>
        <color theme="1"/>
        <rFont val="Calibri"/>
        <family val="2"/>
        <scheme val="minor"/>
      </rPr>
      <t xml:space="preserve"> - Private sector management
</t>
    </r>
    <r>
      <rPr>
        <b/>
        <sz val="10"/>
        <color theme="1"/>
        <rFont val="Calibri"/>
        <family val="2"/>
        <scheme val="minor"/>
      </rPr>
      <t>02819</t>
    </r>
    <r>
      <rPr>
        <sz val="10"/>
        <color theme="1"/>
        <rFont val="Calibri"/>
        <family val="2"/>
        <scheme val="minor"/>
      </rPr>
      <t xml:space="preserve"> - School district management
</t>
    </r>
    <r>
      <rPr>
        <b/>
        <sz val="10"/>
        <color theme="1"/>
        <rFont val="Calibri"/>
        <family val="2"/>
        <scheme val="minor"/>
      </rPr>
      <t>09999</t>
    </r>
    <r>
      <rPr>
        <sz val="10"/>
        <color theme="1"/>
        <rFont val="Calibri"/>
        <family val="2"/>
        <scheme val="minor"/>
      </rPr>
      <t xml:space="preserve"> - Other
</t>
    </r>
  </si>
  <si>
    <t>001873</t>
  </si>
  <si>
    <t>FacilityOperationsManagementType</t>
  </si>
  <si>
    <t>Facility Ownership Indicator</t>
  </si>
  <si>
    <t>Indicates the public or private entity holds legal title to the building and/or site.</t>
  </si>
  <si>
    <t>001906</t>
  </si>
  <si>
    <t>FacilityOwnershipIndicator</t>
  </si>
  <si>
    <t>Facility Profit Status</t>
  </si>
  <si>
    <t>An indication of the for-profit status of a facility.</t>
  </si>
  <si>
    <r>
      <t>ForProfit</t>
    </r>
    <r>
      <rPr>
        <sz val="10"/>
        <color theme="1"/>
        <rFont val="Calibri"/>
        <family val="2"/>
        <scheme val="minor"/>
      </rPr>
      <t xml:space="preserve"> - For-profit facility
</t>
    </r>
    <r>
      <rPr>
        <b/>
        <sz val="10"/>
        <color theme="1"/>
        <rFont val="Calibri"/>
        <family val="2"/>
        <scheme val="minor"/>
      </rPr>
      <t>NonProfit</t>
    </r>
    <r>
      <rPr>
        <sz val="10"/>
        <color theme="1"/>
        <rFont val="Calibri"/>
        <family val="2"/>
        <scheme val="minor"/>
      </rPr>
      <t xml:space="preserve"> - Non-profit facility
</t>
    </r>
    <r>
      <rPr>
        <b/>
        <sz val="10"/>
        <color theme="1"/>
        <rFont val="Calibri"/>
        <family val="2"/>
        <scheme val="minor"/>
      </rPr>
      <t>GovernmentRun</t>
    </r>
    <r>
      <rPr>
        <sz val="10"/>
        <color theme="1"/>
        <rFont val="Calibri"/>
        <family val="2"/>
        <scheme val="minor"/>
      </rPr>
      <t xml:space="preserve"> - Government run facility
</t>
    </r>
  </si>
  <si>
    <t>Early Learning -&gt; EL Organization -&gt; Facility</t>
  </si>
  <si>
    <t>000834</t>
  </si>
  <si>
    <t>FacilityProfitStatus</t>
  </si>
  <si>
    <t>Facility Replacement Value</t>
  </si>
  <si>
    <t>The estimated cost of replacing a facility using current per square foot estimates of total project costs.</t>
  </si>
  <si>
    <t>001784</t>
  </si>
  <si>
    <t>FacilityReplacementValue</t>
  </si>
  <si>
    <t>Facility Site Area</t>
  </si>
  <si>
    <t>The total number of acres in a continuous piece of land, to the nearest tenth, including undeveloped areas as well as areas occupied by buildings, walks, drives, parking facilities, and other improvements.</t>
  </si>
  <si>
    <t>Numeric - up to 1 digit after decimal place</t>
  </si>
  <si>
    <t>001773</t>
  </si>
  <si>
    <t>FacilitySiteArea</t>
  </si>
  <si>
    <t>Facility Site Identifier</t>
  </si>
  <si>
    <t>The lot and square number, or equivalent unique municipal number identification, of a parcel of land.</t>
  </si>
  <si>
    <t>001786</t>
  </si>
  <si>
    <t>FacilitySiteIdentifier</t>
  </si>
  <si>
    <t>Facility Site Improvement Location Type</t>
  </si>
  <si>
    <t>The type of location of the designed and constructed improvements made to a site.</t>
  </si>
  <si>
    <r>
      <t>02434</t>
    </r>
    <r>
      <rPr>
        <sz val="10"/>
        <color theme="1"/>
        <rFont val="Calibri"/>
        <family val="2"/>
        <scheme val="minor"/>
      </rPr>
      <t xml:space="preserve"> - Athletic field - Natural
</t>
    </r>
    <r>
      <rPr>
        <b/>
        <sz val="10"/>
        <color theme="1"/>
        <rFont val="Calibri"/>
        <family val="2"/>
        <scheme val="minor"/>
      </rPr>
      <t>02438</t>
    </r>
    <r>
      <rPr>
        <sz val="10"/>
        <color theme="1"/>
        <rFont val="Calibri"/>
        <family val="2"/>
        <scheme val="minor"/>
      </rPr>
      <t xml:space="preserve"> - Drop-off/driveway
</t>
    </r>
    <r>
      <rPr>
        <b/>
        <sz val="10"/>
        <color theme="1"/>
        <rFont val="Calibri"/>
        <family val="2"/>
        <scheme val="minor"/>
      </rPr>
      <t>02526</t>
    </r>
    <r>
      <rPr>
        <sz val="10"/>
        <color theme="1"/>
        <rFont val="Calibri"/>
        <family val="2"/>
        <scheme val="minor"/>
      </rPr>
      <t xml:space="preserve"> - Fencing enclosures
</t>
    </r>
    <r>
      <rPr>
        <b/>
        <sz val="10"/>
        <color theme="1"/>
        <rFont val="Calibri"/>
        <family val="2"/>
        <scheme val="minor"/>
      </rPr>
      <t>02437</t>
    </r>
    <r>
      <rPr>
        <sz val="10"/>
        <color theme="1"/>
        <rFont val="Calibri"/>
        <family val="2"/>
        <scheme val="minor"/>
      </rPr>
      <t xml:space="preserve"> - Hardscape game area
</t>
    </r>
    <r>
      <rPr>
        <b/>
        <sz val="10"/>
        <color theme="1"/>
        <rFont val="Calibri"/>
        <family val="2"/>
        <scheme val="minor"/>
      </rPr>
      <t>02436</t>
    </r>
    <r>
      <rPr>
        <sz val="10"/>
        <color theme="1"/>
        <rFont val="Calibri"/>
        <family val="2"/>
        <scheme val="minor"/>
      </rPr>
      <t xml:space="preserve"> - Hardscape play area
</t>
    </r>
    <r>
      <rPr>
        <b/>
        <sz val="10"/>
        <color theme="1"/>
        <rFont val="Calibri"/>
        <family val="2"/>
        <scheme val="minor"/>
      </rPr>
      <t>02443</t>
    </r>
    <r>
      <rPr>
        <sz val="10"/>
        <color theme="1"/>
        <rFont val="Calibri"/>
        <family val="2"/>
        <scheme val="minor"/>
      </rPr>
      <t xml:space="preserve"> - Landscaping
</t>
    </r>
    <r>
      <rPr>
        <b/>
        <sz val="10"/>
        <color theme="1"/>
        <rFont val="Calibri"/>
        <family val="2"/>
        <scheme val="minor"/>
      </rPr>
      <t>02435</t>
    </r>
    <r>
      <rPr>
        <sz val="10"/>
        <color theme="1"/>
        <rFont val="Calibri"/>
        <family val="2"/>
        <scheme val="minor"/>
      </rPr>
      <t xml:space="preserve"> - Outdoor classroom
</t>
    </r>
    <r>
      <rPr>
        <b/>
        <sz val="10"/>
        <color theme="1"/>
        <rFont val="Calibri"/>
        <family val="2"/>
        <scheme val="minor"/>
      </rPr>
      <t>02524</t>
    </r>
    <r>
      <rPr>
        <sz val="10"/>
        <color theme="1"/>
        <rFont val="Calibri"/>
        <family val="2"/>
        <scheme val="minor"/>
      </rPr>
      <t xml:space="preserve"> - Parking area
</t>
    </r>
    <r>
      <rPr>
        <b/>
        <sz val="10"/>
        <color theme="1"/>
        <rFont val="Calibri"/>
        <family val="2"/>
        <scheme val="minor"/>
      </rPr>
      <t>02433</t>
    </r>
    <r>
      <rPr>
        <sz val="10"/>
        <color theme="1"/>
        <rFont val="Calibri"/>
        <family val="2"/>
        <scheme val="minor"/>
      </rPr>
      <t xml:space="preserve"> - Playground
</t>
    </r>
    <r>
      <rPr>
        <b/>
        <sz val="10"/>
        <color theme="1"/>
        <rFont val="Calibri"/>
        <family val="2"/>
        <scheme val="minor"/>
      </rPr>
      <t>02440</t>
    </r>
    <r>
      <rPr>
        <sz val="10"/>
        <color theme="1"/>
        <rFont val="Calibri"/>
        <family val="2"/>
        <scheme val="minor"/>
      </rPr>
      <t xml:space="preserve"> - Retaining walls
</t>
    </r>
    <r>
      <rPr>
        <b/>
        <sz val="10"/>
        <color theme="1"/>
        <rFont val="Calibri"/>
        <family val="2"/>
        <scheme val="minor"/>
      </rPr>
      <t>02439</t>
    </r>
    <r>
      <rPr>
        <sz val="10"/>
        <color theme="1"/>
        <rFont val="Calibri"/>
        <family val="2"/>
        <scheme val="minor"/>
      </rPr>
      <t xml:space="preserve"> - Septic fields
</t>
    </r>
    <r>
      <rPr>
        <b/>
        <sz val="10"/>
        <color theme="1"/>
        <rFont val="Calibri"/>
        <family val="2"/>
        <scheme val="minor"/>
      </rPr>
      <t>02441</t>
    </r>
    <r>
      <rPr>
        <sz val="10"/>
        <color theme="1"/>
        <rFont val="Calibri"/>
        <family val="2"/>
        <scheme val="minor"/>
      </rPr>
      <t xml:space="preserve"> - Sidewalks
</t>
    </r>
    <r>
      <rPr>
        <b/>
        <sz val="10"/>
        <color theme="1"/>
        <rFont val="Calibri"/>
        <family val="2"/>
        <scheme val="minor"/>
      </rPr>
      <t>02442</t>
    </r>
    <r>
      <rPr>
        <sz val="10"/>
        <color theme="1"/>
        <rFont val="Calibri"/>
        <family val="2"/>
        <scheme val="minor"/>
      </rPr>
      <t xml:space="preserve"> - Stairs and ramps
</t>
    </r>
    <r>
      <rPr>
        <b/>
        <sz val="10"/>
        <color theme="1"/>
        <rFont val="Calibri"/>
        <family val="2"/>
        <scheme val="minor"/>
      </rPr>
      <t>02444</t>
    </r>
    <r>
      <rPr>
        <sz val="10"/>
        <color theme="1"/>
        <rFont val="Calibri"/>
        <family val="2"/>
        <scheme val="minor"/>
      </rPr>
      <t xml:space="preserve"> - Water filtration system
</t>
    </r>
    <r>
      <rPr>
        <b/>
        <sz val="10"/>
        <color theme="1"/>
        <rFont val="Calibri"/>
        <family val="2"/>
        <scheme val="minor"/>
      </rPr>
      <t>09999</t>
    </r>
    <r>
      <rPr>
        <sz val="10"/>
        <color theme="1"/>
        <rFont val="Calibri"/>
        <family val="2"/>
        <scheme val="minor"/>
      </rPr>
      <t xml:space="preserve"> - Other
</t>
    </r>
  </si>
  <si>
    <t>001787</t>
  </si>
  <si>
    <t>FacilitySiteImprovementLocationType</t>
  </si>
  <si>
    <t>Facility Site Outdoor Area Type</t>
  </si>
  <si>
    <t>The designated constructed outdoor area on a public school site.</t>
  </si>
  <si>
    <r>
      <t>13566</t>
    </r>
    <r>
      <rPr>
        <sz val="10"/>
        <color theme="1"/>
        <rFont val="Calibri"/>
        <family val="2"/>
        <scheme val="minor"/>
      </rPr>
      <t xml:space="preserve"> - Athletic field - Artificial
</t>
    </r>
    <r>
      <rPr>
        <b/>
        <sz val="10"/>
        <color theme="1"/>
        <rFont val="Calibri"/>
        <family val="2"/>
        <scheme val="minor"/>
      </rPr>
      <t>02434</t>
    </r>
    <r>
      <rPr>
        <sz val="10"/>
        <color theme="1"/>
        <rFont val="Calibri"/>
        <family val="2"/>
        <scheme val="minor"/>
      </rPr>
      <t xml:space="preserve"> - Athletic field - Natural
</t>
    </r>
    <r>
      <rPr>
        <b/>
        <sz val="10"/>
        <color theme="1"/>
        <rFont val="Calibri"/>
        <family val="2"/>
        <scheme val="minor"/>
      </rPr>
      <t>02438</t>
    </r>
    <r>
      <rPr>
        <sz val="10"/>
        <color theme="1"/>
        <rFont val="Calibri"/>
        <family val="2"/>
        <scheme val="minor"/>
      </rPr>
      <t xml:space="preserve"> - Drop-off/driveway
</t>
    </r>
    <r>
      <rPr>
        <b/>
        <sz val="10"/>
        <color theme="1"/>
        <rFont val="Calibri"/>
        <family val="2"/>
        <scheme val="minor"/>
      </rPr>
      <t>02526</t>
    </r>
    <r>
      <rPr>
        <sz val="10"/>
        <color theme="1"/>
        <rFont val="Calibri"/>
        <family val="2"/>
        <scheme val="minor"/>
      </rPr>
      <t xml:space="preserve"> - Fencing enclosures
</t>
    </r>
    <r>
      <rPr>
        <b/>
        <sz val="10"/>
        <color theme="1"/>
        <rFont val="Calibri"/>
        <family val="2"/>
        <scheme val="minor"/>
      </rPr>
      <t>02437</t>
    </r>
    <r>
      <rPr>
        <sz val="10"/>
        <color theme="1"/>
        <rFont val="Calibri"/>
        <family val="2"/>
        <scheme val="minor"/>
      </rPr>
      <t xml:space="preserve"> - Hardscape game area
</t>
    </r>
    <r>
      <rPr>
        <b/>
        <sz val="10"/>
        <color theme="1"/>
        <rFont val="Calibri"/>
        <family val="2"/>
        <scheme val="minor"/>
      </rPr>
      <t>02436</t>
    </r>
    <r>
      <rPr>
        <sz val="10"/>
        <color theme="1"/>
        <rFont val="Calibri"/>
        <family val="2"/>
        <scheme val="minor"/>
      </rPr>
      <t xml:space="preserve"> - Hardscape play area
</t>
    </r>
    <r>
      <rPr>
        <b/>
        <sz val="10"/>
        <color theme="1"/>
        <rFont val="Calibri"/>
        <family val="2"/>
        <scheme val="minor"/>
      </rPr>
      <t>02443</t>
    </r>
    <r>
      <rPr>
        <sz val="10"/>
        <color theme="1"/>
        <rFont val="Calibri"/>
        <family val="2"/>
        <scheme val="minor"/>
      </rPr>
      <t xml:space="preserve"> - Landscaping
</t>
    </r>
    <r>
      <rPr>
        <b/>
        <sz val="10"/>
        <color theme="1"/>
        <rFont val="Calibri"/>
        <family val="2"/>
        <scheme val="minor"/>
      </rPr>
      <t>02524</t>
    </r>
    <r>
      <rPr>
        <sz val="10"/>
        <color theme="1"/>
        <rFont val="Calibri"/>
        <family val="2"/>
        <scheme val="minor"/>
      </rPr>
      <t xml:space="preserve"> - Parking area
</t>
    </r>
    <r>
      <rPr>
        <b/>
        <sz val="10"/>
        <color theme="1"/>
        <rFont val="Calibri"/>
        <family val="2"/>
        <scheme val="minor"/>
      </rPr>
      <t>02433</t>
    </r>
    <r>
      <rPr>
        <sz val="10"/>
        <color theme="1"/>
        <rFont val="Calibri"/>
        <family val="2"/>
        <scheme val="minor"/>
      </rPr>
      <t xml:space="preserve"> - Playground
</t>
    </r>
    <r>
      <rPr>
        <b/>
        <sz val="10"/>
        <color theme="1"/>
        <rFont val="Calibri"/>
        <family val="2"/>
        <scheme val="minor"/>
      </rPr>
      <t>02440</t>
    </r>
    <r>
      <rPr>
        <sz val="10"/>
        <color theme="1"/>
        <rFont val="Calibri"/>
        <family val="2"/>
        <scheme val="minor"/>
      </rPr>
      <t xml:space="preserve"> - Retaining walls
</t>
    </r>
    <r>
      <rPr>
        <b/>
        <sz val="10"/>
        <color theme="1"/>
        <rFont val="Calibri"/>
        <family val="2"/>
        <scheme val="minor"/>
      </rPr>
      <t>13567</t>
    </r>
    <r>
      <rPr>
        <sz val="10"/>
        <color theme="1"/>
        <rFont val="Calibri"/>
        <family val="2"/>
        <scheme val="minor"/>
      </rPr>
      <t xml:space="preserve"> - Semi-permeable game area
</t>
    </r>
    <r>
      <rPr>
        <b/>
        <sz val="10"/>
        <color theme="1"/>
        <rFont val="Calibri"/>
        <family val="2"/>
        <scheme val="minor"/>
      </rPr>
      <t>02439</t>
    </r>
    <r>
      <rPr>
        <sz val="10"/>
        <color theme="1"/>
        <rFont val="Calibri"/>
        <family val="2"/>
        <scheme val="minor"/>
      </rPr>
      <t xml:space="preserve"> - Septic fields
</t>
    </r>
    <r>
      <rPr>
        <b/>
        <sz val="10"/>
        <color theme="1"/>
        <rFont val="Calibri"/>
        <family val="2"/>
        <scheme val="minor"/>
      </rPr>
      <t>02441</t>
    </r>
    <r>
      <rPr>
        <sz val="10"/>
        <color theme="1"/>
        <rFont val="Calibri"/>
        <family val="2"/>
        <scheme val="minor"/>
      </rPr>
      <t xml:space="preserve"> - Sidewalks
</t>
    </r>
    <r>
      <rPr>
        <b/>
        <sz val="10"/>
        <color theme="1"/>
        <rFont val="Calibri"/>
        <family val="2"/>
        <scheme val="minor"/>
      </rPr>
      <t>13568</t>
    </r>
    <r>
      <rPr>
        <sz val="10"/>
        <color theme="1"/>
        <rFont val="Calibri"/>
        <family val="2"/>
        <scheme val="minor"/>
      </rPr>
      <t xml:space="preserve"> - Softscape game area
</t>
    </r>
    <r>
      <rPr>
        <b/>
        <sz val="10"/>
        <color theme="1"/>
        <rFont val="Calibri"/>
        <family val="2"/>
        <scheme val="minor"/>
      </rPr>
      <t>13569</t>
    </r>
    <r>
      <rPr>
        <sz val="10"/>
        <color theme="1"/>
        <rFont val="Calibri"/>
        <family val="2"/>
        <scheme val="minor"/>
      </rPr>
      <t xml:space="preserve"> - Softscape play area
</t>
    </r>
    <r>
      <rPr>
        <b/>
        <sz val="10"/>
        <color theme="1"/>
        <rFont val="Calibri"/>
        <family val="2"/>
        <scheme val="minor"/>
      </rPr>
      <t>02442</t>
    </r>
    <r>
      <rPr>
        <sz val="10"/>
        <color theme="1"/>
        <rFont val="Calibri"/>
        <family val="2"/>
        <scheme val="minor"/>
      </rPr>
      <t xml:space="preserve"> - Stairs and ramps
</t>
    </r>
    <r>
      <rPr>
        <b/>
        <sz val="10"/>
        <color theme="1"/>
        <rFont val="Calibri"/>
        <family val="2"/>
        <scheme val="minor"/>
      </rPr>
      <t>02444</t>
    </r>
    <r>
      <rPr>
        <sz val="10"/>
        <color theme="1"/>
        <rFont val="Calibri"/>
        <family val="2"/>
        <scheme val="minor"/>
      </rPr>
      <t xml:space="preserve"> - Water filtration system
</t>
    </r>
  </si>
  <si>
    <t>001830</t>
  </si>
  <si>
    <t>FacilitySiteOutdoorAreaType</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</si>
  <si>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</si>
  <si>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</si>
  <si>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</si>
  <si>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</si>
  <si>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</si>
  <si>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</si>
  <si>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r>
      <t>02633</t>
    </r>
    <r>
      <rPr>
        <sz val="10"/>
        <color theme="1"/>
        <rFont val="Calibri"/>
        <family val="2"/>
        <scheme val="minor"/>
      </rPr>
      <t xml:space="preserve"> - Administration
</t>
    </r>
    <r>
      <rPr>
        <b/>
        <sz val="10"/>
        <color theme="1"/>
        <rFont val="Calibri"/>
        <family val="2"/>
        <scheme val="minor"/>
      </rPr>
      <t>02634</t>
    </r>
    <r>
      <rPr>
        <sz val="10"/>
        <color theme="1"/>
        <rFont val="Calibri"/>
        <family val="2"/>
        <scheme val="minor"/>
      </rPr>
      <t xml:space="preserve"> - Assembly
</t>
    </r>
    <r>
      <rPr>
        <b/>
        <sz val="10"/>
        <color theme="1"/>
        <rFont val="Calibri"/>
        <family val="2"/>
        <scheme val="minor"/>
      </rPr>
      <t>02631</t>
    </r>
    <r>
      <rPr>
        <sz val="10"/>
        <color theme="1"/>
        <rFont val="Calibri"/>
        <family val="2"/>
        <scheme val="minor"/>
      </rPr>
      <t xml:space="preserve"> - Athletic
</t>
    </r>
    <r>
      <rPr>
        <b/>
        <sz val="10"/>
        <color theme="1"/>
        <rFont val="Calibri"/>
        <family val="2"/>
        <scheme val="minor"/>
      </rPr>
      <t>02628</t>
    </r>
    <r>
      <rPr>
        <sz val="10"/>
        <color theme="1"/>
        <rFont val="Calibri"/>
        <family val="2"/>
        <scheme val="minor"/>
      </rPr>
      <t xml:space="preserve"> - Basic classroom
</t>
    </r>
    <r>
      <rPr>
        <b/>
        <sz val="10"/>
        <color theme="1"/>
        <rFont val="Calibri"/>
        <family val="2"/>
        <scheme val="minor"/>
      </rPr>
      <t>02635</t>
    </r>
    <r>
      <rPr>
        <sz val="10"/>
        <color theme="1"/>
        <rFont val="Calibri"/>
        <family val="2"/>
        <scheme val="minor"/>
      </rPr>
      <t xml:space="preserve"> - Corridors
</t>
    </r>
    <r>
      <rPr>
        <b/>
        <sz val="10"/>
        <color theme="1"/>
        <rFont val="Calibri"/>
        <family val="2"/>
        <scheme val="minor"/>
      </rPr>
      <t>02639</t>
    </r>
    <r>
      <rPr>
        <sz val="10"/>
        <color theme="1"/>
        <rFont val="Calibri"/>
        <family val="2"/>
        <scheme val="minor"/>
      </rPr>
      <t xml:space="preserve"> - Dormitory room
</t>
    </r>
    <r>
      <rPr>
        <b/>
        <sz val="10"/>
        <color theme="1"/>
        <rFont val="Calibri"/>
        <family val="2"/>
        <scheme val="minor"/>
      </rPr>
      <t>02638</t>
    </r>
    <r>
      <rPr>
        <sz val="10"/>
        <color theme="1"/>
        <rFont val="Calibri"/>
        <family val="2"/>
        <scheme val="minor"/>
      </rPr>
      <t xml:space="preserve"> - Food service
</t>
    </r>
    <r>
      <rPr>
        <b/>
        <sz val="10"/>
        <color theme="1"/>
        <rFont val="Calibri"/>
        <family val="2"/>
        <scheme val="minor"/>
      </rPr>
      <t>02630</t>
    </r>
    <r>
      <rPr>
        <sz val="10"/>
        <color theme="1"/>
        <rFont val="Calibri"/>
        <family val="2"/>
        <scheme val="minor"/>
      </rPr>
      <t xml:space="preserve"> - Library/media
</t>
    </r>
    <r>
      <rPr>
        <b/>
        <sz val="10"/>
        <color theme="1"/>
        <rFont val="Calibri"/>
        <family val="2"/>
        <scheme val="minor"/>
      </rPr>
      <t>02773</t>
    </r>
    <r>
      <rPr>
        <sz val="10"/>
        <color theme="1"/>
        <rFont val="Calibri"/>
        <family val="2"/>
        <scheme val="minor"/>
      </rPr>
      <t xml:space="preserve"> - Multi-purpose room
</t>
    </r>
    <r>
      <rPr>
        <b/>
        <sz val="10"/>
        <color theme="1"/>
        <rFont val="Calibri"/>
        <family val="2"/>
        <scheme val="minor"/>
      </rPr>
      <t>02636</t>
    </r>
    <r>
      <rPr>
        <sz val="10"/>
        <color theme="1"/>
        <rFont val="Calibri"/>
        <family val="2"/>
        <scheme val="minor"/>
      </rPr>
      <t xml:space="preserve"> - Operational support
</t>
    </r>
    <r>
      <rPr>
        <b/>
        <sz val="10"/>
        <color theme="1"/>
        <rFont val="Calibri"/>
        <family val="2"/>
        <scheme val="minor"/>
      </rPr>
      <t>03017</t>
    </r>
    <r>
      <rPr>
        <sz val="10"/>
        <color theme="1"/>
        <rFont val="Calibri"/>
        <family val="2"/>
        <scheme val="minor"/>
      </rPr>
      <t xml:space="preserve"> - Restroom
</t>
    </r>
    <r>
      <rPr>
        <b/>
        <sz val="10"/>
        <color theme="1"/>
        <rFont val="Calibri"/>
        <family val="2"/>
        <scheme val="minor"/>
      </rPr>
      <t>02629</t>
    </r>
    <r>
      <rPr>
        <sz val="10"/>
        <color theme="1"/>
        <rFont val="Calibri"/>
        <family val="2"/>
        <scheme val="minor"/>
      </rPr>
      <t xml:space="preserve"> - Specialty classroom
</t>
    </r>
    <r>
      <rPr>
        <b/>
        <sz val="10"/>
        <color theme="1"/>
        <rFont val="Calibri"/>
        <family val="2"/>
        <scheme val="minor"/>
      </rPr>
      <t>02637</t>
    </r>
    <r>
      <rPr>
        <sz val="10"/>
        <color theme="1"/>
        <rFont val="Calibri"/>
        <family val="2"/>
        <scheme val="minor"/>
      </rPr>
      <t xml:space="preserve"> - Storage
</t>
    </r>
    <r>
      <rPr>
        <b/>
        <sz val="10"/>
        <color theme="1"/>
        <rFont val="Calibri"/>
        <family val="2"/>
        <scheme val="minor"/>
      </rPr>
      <t>02788</t>
    </r>
    <r>
      <rPr>
        <sz val="10"/>
        <color theme="1"/>
        <rFont val="Calibri"/>
        <family val="2"/>
        <scheme val="minor"/>
      </rPr>
      <t xml:space="preserve"> - Storage - hazardous materials
</t>
    </r>
    <r>
      <rPr>
        <b/>
        <sz val="10"/>
        <color theme="1"/>
        <rFont val="Calibri"/>
        <family val="2"/>
        <scheme val="minor"/>
      </rPr>
      <t>02632</t>
    </r>
    <r>
      <rPr>
        <sz val="10"/>
        <color theme="1"/>
        <rFont val="Calibri"/>
        <family val="2"/>
        <scheme val="minor"/>
      </rPr>
      <t xml:space="preserve"> - Student support
</t>
    </r>
    <r>
      <rPr>
        <b/>
        <sz val="10"/>
        <color theme="1"/>
        <rFont val="Calibri"/>
        <family val="2"/>
        <scheme val="minor"/>
      </rPr>
      <t>09999</t>
    </r>
    <r>
      <rPr>
        <sz val="10"/>
        <color theme="1"/>
        <rFont val="Calibri"/>
        <family val="2"/>
        <scheme val="minor"/>
      </rPr>
      <t xml:space="preserve"> - Other
</t>
    </r>
  </si>
  <si>
    <t>001208</t>
  </si>
  <si>
    <t>FacilitySpaceUseType</t>
  </si>
  <si>
    <t>Facility Standard Type</t>
  </si>
  <si>
    <t>An indication of the district or state requirements or guidelines for the design and construction of school facilities.</t>
  </si>
  <si>
    <r>
      <t>02622</t>
    </r>
    <r>
      <rPr>
        <sz val="10"/>
        <color theme="1"/>
        <rFont val="Calibri"/>
        <family val="2"/>
        <scheme val="minor"/>
      </rPr>
      <t xml:space="preserve"> - Design guidelines
</t>
    </r>
    <r>
      <rPr>
        <b/>
        <sz val="10"/>
        <color theme="1"/>
        <rFont val="Calibri"/>
        <family val="2"/>
        <scheme val="minor"/>
      </rPr>
      <t>02626</t>
    </r>
    <r>
      <rPr>
        <sz val="10"/>
        <color theme="1"/>
        <rFont val="Calibri"/>
        <family val="2"/>
        <scheme val="minor"/>
      </rPr>
      <t xml:space="preserve"> - Energy performance standards
</t>
    </r>
    <r>
      <rPr>
        <b/>
        <sz val="10"/>
        <color theme="1"/>
        <rFont val="Calibri"/>
        <family val="2"/>
        <scheme val="minor"/>
      </rPr>
      <t>13628</t>
    </r>
    <r>
      <rPr>
        <sz val="10"/>
        <color theme="1"/>
        <rFont val="Calibri"/>
        <family val="2"/>
        <scheme val="minor"/>
      </rPr>
      <t xml:space="preserve"> - Environmental Standards
</t>
    </r>
    <r>
      <rPr>
        <b/>
        <sz val="10"/>
        <color theme="1"/>
        <rFont val="Calibri"/>
        <family val="2"/>
        <scheme val="minor"/>
      </rPr>
      <t>02625</t>
    </r>
    <r>
      <rPr>
        <sz val="10"/>
        <color theme="1"/>
        <rFont val="Calibri"/>
        <family val="2"/>
        <scheme val="minor"/>
      </rPr>
      <t xml:space="preserve"> - Health and safety standards
</t>
    </r>
    <r>
      <rPr>
        <b/>
        <sz val="10"/>
        <color theme="1"/>
        <rFont val="Calibri"/>
        <family val="2"/>
        <scheme val="minor"/>
      </rPr>
      <t>02624</t>
    </r>
    <r>
      <rPr>
        <sz val="10"/>
        <color theme="1"/>
        <rFont val="Calibri"/>
        <family val="2"/>
        <scheme val="minor"/>
      </rPr>
      <t xml:space="preserve"> - Master construction specifications
</t>
    </r>
    <r>
      <rPr>
        <b/>
        <sz val="10"/>
        <color theme="1"/>
        <rFont val="Calibri"/>
        <family val="2"/>
        <scheme val="minor"/>
      </rPr>
      <t>02627</t>
    </r>
    <r>
      <rPr>
        <sz val="10"/>
        <color theme="1"/>
        <rFont val="Calibri"/>
        <family val="2"/>
        <scheme val="minor"/>
      </rPr>
      <t xml:space="preserve"> - Site selection guidelines
</t>
    </r>
    <r>
      <rPr>
        <b/>
        <sz val="10"/>
        <color theme="1"/>
        <rFont val="Calibri"/>
        <family val="2"/>
        <scheme val="minor"/>
      </rPr>
      <t>02623</t>
    </r>
    <r>
      <rPr>
        <sz val="10"/>
        <color theme="1"/>
        <rFont val="Calibri"/>
        <family val="2"/>
        <scheme val="minor"/>
      </rPr>
      <t xml:space="preserve"> - Space standards
</t>
    </r>
    <r>
      <rPr>
        <b/>
        <sz val="10"/>
        <color theme="1"/>
        <rFont val="Calibri"/>
        <family val="2"/>
        <scheme val="minor"/>
      </rPr>
      <t>09999</t>
    </r>
    <r>
      <rPr>
        <sz val="10"/>
        <color theme="1"/>
        <rFont val="Calibri"/>
        <family val="2"/>
        <scheme val="minor"/>
      </rPr>
      <t xml:space="preserve"> - Other
</t>
    </r>
  </si>
  <si>
    <t>001884</t>
  </si>
  <si>
    <t>FacilityStandardType</t>
  </si>
  <si>
    <t>Facility State or Local Mandate Interest Type</t>
  </si>
  <si>
    <t>The area of interest controlled by a law, rule, regulation, or standard of state and local governments that pertains to public school facilities.</t>
  </si>
  <si>
    <r>
      <t>02594</t>
    </r>
    <r>
      <rPr>
        <sz val="10"/>
        <color theme="1"/>
        <rFont val="Calibri"/>
        <family val="2"/>
        <scheme val="minor"/>
      </rPr>
      <t xml:space="preserve"> - Acreage standards
</t>
    </r>
    <r>
      <rPr>
        <b/>
        <sz val="10"/>
        <color theme="1"/>
        <rFont val="Calibri"/>
        <family val="2"/>
        <scheme val="minor"/>
      </rPr>
      <t>02589</t>
    </r>
    <r>
      <rPr>
        <sz val="10"/>
        <color theme="1"/>
        <rFont val="Calibri"/>
        <family val="2"/>
        <scheme val="minor"/>
      </rPr>
      <t xml:space="preserve"> - Building code
</t>
    </r>
    <r>
      <rPr>
        <b/>
        <sz val="10"/>
        <color theme="1"/>
        <rFont val="Calibri"/>
        <family val="2"/>
        <scheme val="minor"/>
      </rPr>
      <t>02593</t>
    </r>
    <r>
      <rPr>
        <sz val="10"/>
        <color theme="1"/>
        <rFont val="Calibri"/>
        <family val="2"/>
        <scheme val="minor"/>
      </rPr>
      <t xml:space="preserve"> - Design standards
</t>
    </r>
    <r>
      <rPr>
        <b/>
        <sz val="10"/>
        <color theme="1"/>
        <rFont val="Calibri"/>
        <family val="2"/>
        <scheme val="minor"/>
      </rPr>
      <t>02598</t>
    </r>
    <r>
      <rPr>
        <sz val="10"/>
        <color theme="1"/>
        <rFont val="Calibri"/>
        <family val="2"/>
        <scheme val="minor"/>
      </rPr>
      <t xml:space="preserve"> - Earthquake standards
</t>
    </r>
    <r>
      <rPr>
        <b/>
        <sz val="10"/>
        <color theme="1"/>
        <rFont val="Calibri"/>
        <family val="2"/>
        <scheme val="minor"/>
      </rPr>
      <t>02590</t>
    </r>
    <r>
      <rPr>
        <sz val="10"/>
        <color theme="1"/>
        <rFont val="Calibri"/>
        <family val="2"/>
        <scheme val="minor"/>
      </rPr>
      <t xml:space="preserve"> - Fire code
</t>
    </r>
    <r>
      <rPr>
        <b/>
        <sz val="10"/>
        <color theme="1"/>
        <rFont val="Calibri"/>
        <family val="2"/>
        <scheme val="minor"/>
      </rPr>
      <t>02592</t>
    </r>
    <r>
      <rPr>
        <sz val="10"/>
        <color theme="1"/>
        <rFont val="Calibri"/>
        <family val="2"/>
        <scheme val="minor"/>
      </rPr>
      <t xml:space="preserve"> - Flood control
</t>
    </r>
    <r>
      <rPr>
        <b/>
        <sz val="10"/>
        <color theme="1"/>
        <rFont val="Calibri"/>
        <family val="2"/>
        <scheme val="minor"/>
      </rPr>
      <t>03265</t>
    </r>
    <r>
      <rPr>
        <sz val="10"/>
        <color theme="1"/>
        <rFont val="Calibri"/>
        <family val="2"/>
        <scheme val="minor"/>
      </rPr>
      <t xml:space="preserve"> - Food safety standards
</t>
    </r>
    <r>
      <rPr>
        <b/>
        <sz val="10"/>
        <color theme="1"/>
        <rFont val="Calibri"/>
        <family val="2"/>
        <scheme val="minor"/>
      </rPr>
      <t>02591</t>
    </r>
    <r>
      <rPr>
        <sz val="10"/>
        <color theme="1"/>
        <rFont val="Calibri"/>
        <family val="2"/>
        <scheme val="minor"/>
      </rPr>
      <t xml:space="preserve"> - Health code
</t>
    </r>
    <r>
      <rPr>
        <b/>
        <sz val="10"/>
        <color theme="1"/>
        <rFont val="Calibri"/>
        <family val="2"/>
        <scheme val="minor"/>
      </rPr>
      <t>02596</t>
    </r>
    <r>
      <rPr>
        <sz val="10"/>
        <color theme="1"/>
        <rFont val="Calibri"/>
        <family val="2"/>
        <scheme val="minor"/>
      </rPr>
      <t xml:space="preserve"> - Historic preservation requirements
</t>
    </r>
    <r>
      <rPr>
        <b/>
        <sz val="10"/>
        <color theme="1"/>
        <rFont val="Calibri"/>
        <family val="2"/>
        <scheme val="minor"/>
      </rPr>
      <t>02597</t>
    </r>
    <r>
      <rPr>
        <sz val="10"/>
        <color theme="1"/>
        <rFont val="Calibri"/>
        <family val="2"/>
        <scheme val="minor"/>
      </rPr>
      <t xml:space="preserve"> - Occupational health and safety code
</t>
    </r>
    <r>
      <rPr>
        <b/>
        <sz val="10"/>
        <color theme="1"/>
        <rFont val="Calibri"/>
        <family val="2"/>
        <scheme val="minor"/>
      </rPr>
      <t>02595</t>
    </r>
    <r>
      <rPr>
        <sz val="10"/>
        <color theme="1"/>
        <rFont val="Calibri"/>
        <family val="2"/>
        <scheme val="minor"/>
      </rPr>
      <t xml:space="preserve"> - Standard educational specifications
</t>
    </r>
    <r>
      <rPr>
        <b/>
        <sz val="10"/>
        <color theme="1"/>
        <rFont val="Calibri"/>
        <family val="2"/>
        <scheme val="minor"/>
      </rPr>
      <t>09999</t>
    </r>
    <r>
      <rPr>
        <sz val="10"/>
        <color theme="1"/>
        <rFont val="Calibri"/>
        <family val="2"/>
        <scheme val="minor"/>
      </rPr>
      <t xml:space="preserve"> - Other
</t>
    </r>
  </si>
  <si>
    <t>001805</t>
  </si>
  <si>
    <t>FacilityStateOrLocalMandateInterestType</t>
  </si>
  <si>
    <t>Facility State or Local Mandate Name</t>
  </si>
  <si>
    <t>The specific law, rule, regulation, or standard of a state or local government that pertains to public school facilities.</t>
  </si>
  <si>
    <t>001806</t>
  </si>
  <si>
    <t>FacilityStateOrLocalMandateName</t>
  </si>
  <si>
    <t>Facility System or Component Condition</t>
  </si>
  <si>
    <t>The rating of the system or component functions under the demands of its regular operation.</t>
  </si>
  <si>
    <r>
      <t>02563</t>
    </r>
    <r>
      <rPr>
        <sz val="10"/>
        <color theme="1"/>
        <rFont val="Calibri"/>
        <family val="2"/>
        <scheme val="minor"/>
      </rPr>
      <t xml:space="preserve"> - Adequate system or component condition
</t>
    </r>
    <r>
      <rPr>
        <b/>
        <sz val="10"/>
        <color theme="1"/>
        <rFont val="Calibri"/>
        <family val="2"/>
        <scheme val="minor"/>
      </rPr>
      <t>02567</t>
    </r>
    <r>
      <rPr>
        <sz val="10"/>
        <color theme="1"/>
        <rFont val="Calibri"/>
        <family val="2"/>
        <scheme val="minor"/>
      </rPr>
      <t xml:space="preserve"> - Emergency system or component condition
</t>
    </r>
    <r>
      <rPr>
        <b/>
        <sz val="10"/>
        <color theme="1"/>
        <rFont val="Calibri"/>
        <family val="2"/>
        <scheme val="minor"/>
      </rPr>
      <t>02561</t>
    </r>
    <r>
      <rPr>
        <sz val="10"/>
        <color theme="1"/>
        <rFont val="Calibri"/>
        <family val="2"/>
        <scheme val="minor"/>
      </rPr>
      <t xml:space="preserve"> - Excellent System or Component Condition
</t>
    </r>
    <r>
      <rPr>
        <b/>
        <sz val="10"/>
        <color theme="1"/>
        <rFont val="Calibri"/>
        <family val="2"/>
        <scheme val="minor"/>
      </rPr>
      <t>02564</t>
    </r>
    <r>
      <rPr>
        <sz val="10"/>
        <color theme="1"/>
        <rFont val="Calibri"/>
        <family val="2"/>
        <scheme val="minor"/>
      </rPr>
      <t xml:space="preserve"> - Fair System or Component Condition
</t>
    </r>
    <r>
      <rPr>
        <b/>
        <sz val="10"/>
        <color theme="1"/>
        <rFont val="Calibri"/>
        <family val="2"/>
        <scheme val="minor"/>
      </rPr>
      <t>02562</t>
    </r>
    <r>
      <rPr>
        <sz val="10"/>
        <color theme="1"/>
        <rFont val="Calibri"/>
        <family val="2"/>
        <scheme val="minor"/>
      </rPr>
      <t xml:space="preserve"> - Good System or Component Condition
</t>
    </r>
    <r>
      <rPr>
        <b/>
        <sz val="10"/>
        <color theme="1"/>
        <rFont val="Calibri"/>
        <family val="2"/>
        <scheme val="minor"/>
      </rPr>
      <t>02983</t>
    </r>
    <r>
      <rPr>
        <sz val="10"/>
        <color theme="1"/>
        <rFont val="Calibri"/>
        <family val="2"/>
        <scheme val="minor"/>
      </rPr>
      <t xml:space="preserve"> - Nonoperable system or component condition
</t>
    </r>
    <r>
      <rPr>
        <b/>
        <sz val="10"/>
        <color theme="1"/>
        <rFont val="Calibri"/>
        <family val="2"/>
        <scheme val="minor"/>
      </rPr>
      <t>02565</t>
    </r>
    <r>
      <rPr>
        <sz val="10"/>
        <color theme="1"/>
        <rFont val="Calibri"/>
        <family val="2"/>
        <scheme val="minor"/>
      </rPr>
      <t xml:space="preserve"> - Poor System or Component Condition
</t>
    </r>
    <r>
      <rPr>
        <b/>
        <sz val="10"/>
        <color theme="1"/>
        <rFont val="Calibri"/>
        <family val="2"/>
        <scheme val="minor"/>
      </rPr>
      <t>02566</t>
    </r>
    <r>
      <rPr>
        <sz val="10"/>
        <color theme="1"/>
        <rFont val="Calibri"/>
        <family val="2"/>
        <scheme val="minor"/>
      </rPr>
      <t xml:space="preserve"> - Urgent building system or component condition
</t>
    </r>
  </si>
  <si>
    <t>001793</t>
  </si>
  <si>
    <t>FacilitySystemOrComponentCondition</t>
  </si>
  <si>
    <t>Facility Total Assessed Value</t>
  </si>
  <si>
    <t>The total assessed value of property that constitutes the basis for public borrowing.</t>
  </si>
  <si>
    <t>001896</t>
  </si>
  <si>
    <t>FacilityTotalAssessedValue</t>
  </si>
  <si>
    <t>Facility Utility Provider Type</t>
  </si>
  <si>
    <t>An indication of how utilities are supplied to a site or a building by a company or provider.</t>
  </si>
  <si>
    <r>
      <t>02852</t>
    </r>
    <r>
      <rPr>
        <sz val="10"/>
        <color theme="1"/>
        <rFont val="Calibri"/>
        <family val="2"/>
        <scheme val="minor"/>
      </rPr>
      <t xml:space="preserve"> - Purchased
</t>
    </r>
    <r>
      <rPr>
        <b/>
        <sz val="10"/>
        <color theme="1"/>
        <rFont val="Calibri"/>
        <family val="2"/>
        <scheme val="minor"/>
      </rPr>
      <t>02851</t>
    </r>
    <r>
      <rPr>
        <sz val="10"/>
        <color theme="1"/>
        <rFont val="Calibri"/>
        <family val="2"/>
        <scheme val="minor"/>
      </rPr>
      <t xml:space="preserve"> - Self-generated
</t>
    </r>
  </si>
  <si>
    <t>001878</t>
  </si>
  <si>
    <t>FacilityUtilityProviderType</t>
  </si>
  <si>
    <t>Facility Utility Type</t>
  </si>
  <si>
    <t>The type of utility used in the operation of a facility.</t>
  </si>
  <si>
    <r>
      <t>02840</t>
    </r>
    <r>
      <rPr>
        <sz val="10"/>
        <color theme="1"/>
        <rFont val="Calibri"/>
        <family val="2"/>
        <scheme val="minor"/>
      </rPr>
      <t xml:space="preserve"> - Electricity
</t>
    </r>
    <r>
      <rPr>
        <b/>
        <sz val="10"/>
        <color theme="1"/>
        <rFont val="Calibri"/>
        <family val="2"/>
        <scheme val="minor"/>
      </rPr>
      <t>02990</t>
    </r>
    <r>
      <rPr>
        <sz val="10"/>
        <color theme="1"/>
        <rFont val="Calibri"/>
        <family val="2"/>
        <scheme val="minor"/>
      </rPr>
      <t xml:space="preserve"> - Internet service
</t>
    </r>
    <r>
      <rPr>
        <b/>
        <sz val="10"/>
        <color theme="1"/>
        <rFont val="Calibri"/>
        <family val="2"/>
        <scheme val="minor"/>
      </rPr>
      <t>02841</t>
    </r>
    <r>
      <rPr>
        <sz val="10"/>
        <color theme="1"/>
        <rFont val="Calibri"/>
        <family val="2"/>
        <scheme val="minor"/>
      </rPr>
      <t xml:space="preserve"> - Natural gas
</t>
    </r>
    <r>
      <rPr>
        <b/>
        <sz val="10"/>
        <color theme="1"/>
        <rFont val="Calibri"/>
        <family val="2"/>
        <scheme val="minor"/>
      </rPr>
      <t>02842</t>
    </r>
    <r>
      <rPr>
        <sz val="10"/>
        <color theme="1"/>
        <rFont val="Calibri"/>
        <family val="2"/>
        <scheme val="minor"/>
      </rPr>
      <t xml:space="preserve"> - Oil
</t>
    </r>
    <r>
      <rPr>
        <b/>
        <sz val="10"/>
        <color theme="1"/>
        <rFont val="Calibri"/>
        <family val="2"/>
        <scheme val="minor"/>
      </rPr>
      <t>13685</t>
    </r>
    <r>
      <rPr>
        <sz val="10"/>
        <color theme="1"/>
        <rFont val="Calibri"/>
        <family val="2"/>
        <scheme val="minor"/>
      </rPr>
      <t xml:space="preserve"> - Recycling
</t>
    </r>
    <r>
      <rPr>
        <b/>
        <sz val="10"/>
        <color theme="1"/>
        <rFont val="Calibri"/>
        <family val="2"/>
        <scheme val="minor"/>
      </rPr>
      <t>02844</t>
    </r>
    <r>
      <rPr>
        <sz val="10"/>
        <color theme="1"/>
        <rFont val="Calibri"/>
        <family val="2"/>
        <scheme val="minor"/>
      </rPr>
      <t xml:space="preserve"> - Sewer
</t>
    </r>
    <r>
      <rPr>
        <b/>
        <sz val="10"/>
        <color theme="1"/>
        <rFont val="Calibri"/>
        <family val="2"/>
        <scheme val="minor"/>
      </rPr>
      <t>02845</t>
    </r>
    <r>
      <rPr>
        <sz val="10"/>
        <color theme="1"/>
        <rFont val="Calibri"/>
        <family val="2"/>
        <scheme val="minor"/>
      </rPr>
      <t xml:space="preserve"> - Telephone
</t>
    </r>
    <r>
      <rPr>
        <b/>
        <sz val="10"/>
        <color theme="1"/>
        <rFont val="Calibri"/>
        <family val="2"/>
        <scheme val="minor"/>
      </rPr>
      <t>13686</t>
    </r>
    <r>
      <rPr>
        <sz val="10"/>
        <color theme="1"/>
        <rFont val="Calibri"/>
        <family val="2"/>
        <scheme val="minor"/>
      </rPr>
      <t xml:space="preserve"> - Waste
</t>
    </r>
    <r>
      <rPr>
        <b/>
        <sz val="10"/>
        <color theme="1"/>
        <rFont val="Calibri"/>
        <family val="2"/>
        <scheme val="minor"/>
      </rPr>
      <t>02843</t>
    </r>
    <r>
      <rPr>
        <sz val="10"/>
        <color theme="1"/>
        <rFont val="Calibri"/>
        <family val="2"/>
        <scheme val="minor"/>
      </rPr>
      <t xml:space="preserve"> - Water
</t>
    </r>
    <r>
      <rPr>
        <b/>
        <sz val="10"/>
        <color theme="1"/>
        <rFont val="Calibri"/>
        <family val="2"/>
        <scheme val="minor"/>
      </rPr>
      <t>09999</t>
    </r>
    <r>
      <rPr>
        <sz val="10"/>
        <color theme="1"/>
        <rFont val="Calibri"/>
        <family val="2"/>
        <scheme val="minor"/>
      </rPr>
      <t xml:space="preserve"> - Other
</t>
    </r>
  </si>
  <si>
    <t>001879</t>
  </si>
  <si>
    <t>FacilityUtilityType</t>
  </si>
  <si>
    <t>Faculty and Administration Performance Level</t>
  </si>
  <si>
    <t>The levels used in district evaluation systems for assigning teacher or principal performance ratings.</t>
  </si>
  <si>
    <r>
      <t>FAL1</t>
    </r>
    <r>
      <rPr>
        <sz val="10"/>
        <color theme="1"/>
        <rFont val="Calibri"/>
        <family val="2"/>
        <scheme val="minor"/>
      </rPr>
      <t xml:space="preserve"> - Level 1 (lowest level)
</t>
    </r>
    <r>
      <rPr>
        <b/>
        <sz val="10"/>
        <color theme="1"/>
        <rFont val="Calibri"/>
        <family val="2"/>
        <scheme val="minor"/>
      </rPr>
      <t>FAL2</t>
    </r>
    <r>
      <rPr>
        <sz val="10"/>
        <color theme="1"/>
        <rFont val="Calibri"/>
        <family val="2"/>
        <scheme val="minor"/>
      </rPr>
      <t xml:space="preserve"> - Level 2
</t>
    </r>
    <r>
      <rPr>
        <b/>
        <sz val="10"/>
        <color theme="1"/>
        <rFont val="Calibri"/>
        <family val="2"/>
        <scheme val="minor"/>
      </rPr>
      <t>FAL3</t>
    </r>
    <r>
      <rPr>
        <sz val="10"/>
        <color theme="1"/>
        <rFont val="Calibri"/>
        <family val="2"/>
        <scheme val="minor"/>
      </rPr>
      <t xml:space="preserve"> - Level 3
</t>
    </r>
    <r>
      <rPr>
        <b/>
        <sz val="10"/>
        <color theme="1"/>
        <rFont val="Calibri"/>
        <family val="2"/>
        <scheme val="minor"/>
      </rPr>
      <t>FAL4</t>
    </r>
    <r>
      <rPr>
        <sz val="10"/>
        <color theme="1"/>
        <rFont val="Calibri"/>
        <family val="2"/>
        <scheme val="minor"/>
      </rPr>
      <t xml:space="preserve"> - Level 4
</t>
    </r>
    <r>
      <rPr>
        <b/>
        <sz val="10"/>
        <color theme="1"/>
        <rFont val="Calibri"/>
        <family val="2"/>
        <scheme val="minor"/>
      </rPr>
      <t>FAL5</t>
    </r>
    <r>
      <rPr>
        <sz val="10"/>
        <color theme="1"/>
        <rFont val="Calibri"/>
        <family val="2"/>
        <scheme val="minor"/>
      </rPr>
      <t xml:space="preserve"> - Level 5
</t>
    </r>
    <r>
      <rPr>
        <b/>
        <sz val="10"/>
        <color theme="1"/>
        <rFont val="Calibri"/>
        <family val="2"/>
        <scheme val="minor"/>
      </rPr>
      <t>FAL6</t>
    </r>
    <r>
      <rPr>
        <sz val="10"/>
        <color theme="1"/>
        <rFont val="Calibri"/>
        <family val="2"/>
        <scheme val="minor"/>
      </rPr>
      <t xml:space="preserve"> - Level 6 (highest level)
</t>
    </r>
    <r>
      <rPr>
        <b/>
        <sz val="10"/>
        <color theme="1"/>
        <rFont val="Calibri"/>
        <family val="2"/>
        <scheme val="minor"/>
      </rPr>
      <t>EVALNR</t>
    </r>
    <r>
      <rPr>
        <sz val="10"/>
        <color theme="1"/>
        <rFont val="Calibri"/>
        <family val="2"/>
        <scheme val="minor"/>
      </rPr>
      <t xml:space="preserve"> - Evaluated, not ranked
</t>
    </r>
  </si>
  <si>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</si>
  <si>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</si>
  <si>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</si>
  <si>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</si>
  <si>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</si>
  <si>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</si>
  <si>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</si>
  <si>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</si>
  <si>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</si>
  <si>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</si>
  <si>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</si>
  <si>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</si>
  <si>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</si>
  <si>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</si>
  <si>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Early Learning -&gt; EL Family -&gt; Identification</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</si>
  <si>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</si>
  <si>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</si>
  <si>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</si>
  <si>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</si>
  <si>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Early Learning -&gt; EL Family -&gt; Family/Household Information</t>
  </si>
  <si>
    <t>Family Income is calculated based on the method specified by “Income Calculation Method.”</t>
  </si>
  <si>
    <t>000332</t>
  </si>
  <si>
    <t>FamilyIncome</t>
  </si>
  <si>
    <t>Federal Program Code</t>
  </si>
  <si>
    <t>The unique five-digit number assigned to each federal program as listed in the Catalog of Federal Domestic Assistance (CFDA) Programs. See http://www.cfda.gov/.</t>
  </si>
  <si>
    <t>Early Learning -&gt; EL Child -&gt; Finance
Early Learning -&gt; EL Organization -&gt; Finance
K12 -&gt; K12 School -&gt; Federal Funds
K12 -&gt; LEA -&gt; Federal Funds
K12 -&gt; SEA -&gt; Federal Funds</t>
  </si>
  <si>
    <t>Numeric - up to 2 digits before and 3 digits after decimal place</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</si>
  <si>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</si>
  <si>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</si>
  <si>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</si>
  <si>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</si>
  <si>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Early Learning -&gt; Early Learning Program
K12 -&gt; K12 School -&gt; Federal Funds
K12 -&gt; LEA -&gt; Federal Funds
K12 -&gt; SEA -&gt; Federal Funds</t>
  </si>
  <si>
    <t>000549</t>
  </si>
  <si>
    <t>FederalProgramsFundingAllocation</t>
  </si>
  <si>
    <t>Federal Programs Funding Allocation Type</t>
  </si>
  <si>
    <t>The type of federal program funding allocation or distribution made.</t>
  </si>
  <si>
    <r>
      <t>RETAINED</t>
    </r>
    <r>
      <rPr>
        <sz val="10"/>
        <color theme="1"/>
        <rFont val="Calibri"/>
        <family val="2"/>
        <scheme val="minor"/>
      </rPr>
      <t xml:space="preserve"> - Retained by SEA for program administration, etc.
</t>
    </r>
    <r>
      <rPr>
        <b/>
        <sz val="10"/>
        <color theme="1"/>
        <rFont val="Calibri"/>
        <family val="2"/>
        <scheme val="minor"/>
      </rPr>
      <t>TRANSFER</t>
    </r>
    <r>
      <rPr>
        <sz val="10"/>
        <color theme="1"/>
        <rFont val="Calibri"/>
        <family val="2"/>
        <scheme val="minor"/>
      </rPr>
      <t xml:space="preserve"> - Transferred to another state agency
</t>
    </r>
    <r>
      <rPr>
        <b/>
        <sz val="10"/>
        <color theme="1"/>
        <rFont val="Calibri"/>
        <family val="2"/>
        <scheme val="minor"/>
      </rPr>
      <t>DISTNONLEA</t>
    </r>
    <r>
      <rPr>
        <sz val="10"/>
        <color theme="1"/>
        <rFont val="Calibri"/>
        <family val="2"/>
        <scheme val="minor"/>
      </rPr>
      <t xml:space="preserve"> - Distributed to entities other than LEAs
</t>
    </r>
    <r>
      <rPr>
        <b/>
        <sz val="10"/>
        <color theme="1"/>
        <rFont val="Calibri"/>
        <family val="2"/>
        <scheme val="minor"/>
      </rPr>
      <t>UNALLOC</t>
    </r>
    <r>
      <rPr>
        <sz val="10"/>
        <color theme="1"/>
        <rFont val="Calibri"/>
        <family val="2"/>
        <scheme val="minor"/>
      </rPr>
      <t xml:space="preserve"> - Unallocated or returned funds
</t>
    </r>
  </si>
  <si>
    <t>000548</t>
  </si>
  <si>
    <t>FederalProgramsFundingAllocationType</t>
  </si>
  <si>
    <t>Federal School Code</t>
  </si>
  <si>
    <t>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</si>
  <si>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See http://www.ifap.ed.gov/fedschcodelist/attachments/1112FedSchoolCodeList.xls</t>
  </si>
  <si>
    <t>Alphanumeric - exactly 6 characters in length</t>
  </si>
  <si>
    <t>000111</t>
  </si>
  <si>
    <t>FederalSchoolCode</t>
  </si>
  <si>
    <t>Financial Account Category</t>
  </si>
  <si>
    <t>A label for a grouping of financial accounts, based on type and purpose.</t>
  </si>
  <si>
    <r>
      <t>Assets</t>
    </r>
    <r>
      <rPr>
        <sz val="10"/>
        <color theme="1"/>
        <rFont val="Calibri"/>
        <family val="2"/>
        <scheme val="minor"/>
      </rPr>
      <t xml:space="preserve"> - Assets
</t>
    </r>
    <r>
      <rPr>
        <b/>
        <sz val="10"/>
        <color theme="1"/>
        <rFont val="Calibri"/>
        <family val="2"/>
        <scheme val="minor"/>
      </rPr>
      <t>Liabilities</t>
    </r>
    <r>
      <rPr>
        <sz val="10"/>
        <color theme="1"/>
        <rFont val="Calibri"/>
        <family val="2"/>
        <scheme val="minor"/>
      </rPr>
      <t xml:space="preserve"> - Liabilities
</t>
    </r>
    <r>
      <rPr>
        <b/>
        <sz val="10"/>
        <color theme="1"/>
        <rFont val="Calibri"/>
        <family val="2"/>
        <scheme val="minor"/>
      </rPr>
      <t>Equity</t>
    </r>
    <r>
      <rPr>
        <sz val="10"/>
        <color theme="1"/>
        <rFont val="Calibri"/>
        <family val="2"/>
        <scheme val="minor"/>
      </rPr>
      <t xml:space="preserve"> - Equity
</t>
    </r>
    <r>
      <rPr>
        <b/>
        <sz val="10"/>
        <color theme="1"/>
        <rFont val="Calibri"/>
        <family val="2"/>
        <scheme val="minor"/>
      </rPr>
      <t>Revenue</t>
    </r>
    <r>
      <rPr>
        <sz val="10"/>
        <color theme="1"/>
        <rFont val="Calibri"/>
        <family val="2"/>
        <scheme val="minor"/>
      </rPr>
      <t xml:space="preserve"> - Revenue and Other Financing Sources
</t>
    </r>
    <r>
      <rPr>
        <b/>
        <sz val="10"/>
        <color theme="1"/>
        <rFont val="Calibri"/>
        <family val="2"/>
        <scheme val="minor"/>
      </rPr>
      <t>Expenditures</t>
    </r>
    <r>
      <rPr>
        <sz val="10"/>
        <color theme="1"/>
        <rFont val="Calibri"/>
        <family val="2"/>
        <scheme val="minor"/>
      </rPr>
      <t xml:space="preserve"> - Expenditures
</t>
    </r>
  </si>
  <si>
    <t>K12 -&gt; K12 School -&gt; Finance
K12 -&gt; LEA -&gt; Finance
K12 -&gt; Program -&gt; Finance
K12 -&gt; SEA -&gt; Finance
Postsecondary -&gt; PS Institution -&gt; Finance</t>
  </si>
  <si>
    <t>001345</t>
  </si>
  <si>
    <t>FinancialAccountCategory</t>
  </si>
  <si>
    <t>Financial Account Description</t>
  </si>
  <si>
    <t>The description for the financial account in an educational institution’s accounting system.</t>
  </si>
  <si>
    <t>001346</t>
  </si>
  <si>
    <t>FinancialAccountDescription</t>
  </si>
  <si>
    <t>Financial Account K12 Balance Sheet Code</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</si>
  <si>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</si>
  <si>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r>
      <t>101</t>
    </r>
    <r>
      <rPr>
        <sz val="10"/>
        <color theme="1"/>
        <rFont val="Calibri"/>
        <family val="2"/>
        <scheme val="minor"/>
      </rPr>
      <t xml:space="preserve"> - Cash in Bank
</t>
    </r>
    <r>
      <rPr>
        <b/>
        <sz val="10"/>
        <color theme="1"/>
        <rFont val="Calibri"/>
        <family val="2"/>
        <scheme val="minor"/>
      </rPr>
      <t>102</t>
    </r>
    <r>
      <rPr>
        <sz val="10"/>
        <color theme="1"/>
        <rFont val="Calibri"/>
        <family val="2"/>
        <scheme val="minor"/>
      </rPr>
      <t xml:space="preserve"> - Cash on Hand
</t>
    </r>
    <r>
      <rPr>
        <b/>
        <sz val="10"/>
        <color theme="1"/>
        <rFont val="Calibri"/>
        <family val="2"/>
        <scheme val="minor"/>
      </rPr>
      <t>103</t>
    </r>
    <r>
      <rPr>
        <sz val="10"/>
        <color theme="1"/>
        <rFont val="Calibri"/>
        <family val="2"/>
        <scheme val="minor"/>
      </rPr>
      <t xml:space="preserve"> - Petty Cash
</t>
    </r>
    <r>
      <rPr>
        <b/>
        <sz val="10"/>
        <color theme="1"/>
        <rFont val="Calibri"/>
        <family val="2"/>
        <scheme val="minor"/>
      </rPr>
      <t>104</t>
    </r>
    <r>
      <rPr>
        <sz val="10"/>
        <color theme="1"/>
        <rFont val="Calibri"/>
        <family val="2"/>
        <scheme val="minor"/>
      </rPr>
      <t xml:space="preserve"> - Change Cash
</t>
    </r>
    <r>
      <rPr>
        <b/>
        <sz val="10"/>
        <color theme="1"/>
        <rFont val="Calibri"/>
        <family val="2"/>
        <scheme val="minor"/>
      </rPr>
      <t>105</t>
    </r>
    <r>
      <rPr>
        <sz val="10"/>
        <color theme="1"/>
        <rFont val="Calibri"/>
        <family val="2"/>
        <scheme val="minor"/>
      </rPr>
      <t xml:space="preserve"> - Cash With Fiscal Agents
</t>
    </r>
    <r>
      <rPr>
        <b/>
        <sz val="10"/>
        <color theme="1"/>
        <rFont val="Calibri"/>
        <family val="2"/>
        <scheme val="minor"/>
      </rPr>
      <t>111</t>
    </r>
    <r>
      <rPr>
        <sz val="10"/>
        <color theme="1"/>
        <rFont val="Calibri"/>
        <family val="2"/>
        <scheme val="minor"/>
      </rPr>
      <t xml:space="preserve"> - Investments
</t>
    </r>
    <r>
      <rPr>
        <b/>
        <sz val="10"/>
        <color theme="1"/>
        <rFont val="Calibri"/>
        <family val="2"/>
        <scheme val="minor"/>
      </rPr>
      <t>112</t>
    </r>
    <r>
      <rPr>
        <sz val="10"/>
        <color theme="1"/>
        <rFont val="Calibri"/>
        <family val="2"/>
        <scheme val="minor"/>
      </rPr>
      <t xml:space="preserve"> - Unamortized Premiums on Investments
</t>
    </r>
    <r>
      <rPr>
        <b/>
        <sz val="10"/>
        <color theme="1"/>
        <rFont val="Calibri"/>
        <family val="2"/>
        <scheme val="minor"/>
      </rPr>
      <t>113</t>
    </r>
    <r>
      <rPr>
        <sz val="10"/>
        <color theme="1"/>
        <rFont val="Calibri"/>
        <family val="2"/>
        <scheme val="minor"/>
      </rPr>
      <t xml:space="preserve"> - Unamortized Discounts on Investments (Credit)
</t>
    </r>
    <r>
      <rPr>
        <b/>
        <sz val="10"/>
        <color theme="1"/>
        <rFont val="Calibri"/>
        <family val="2"/>
        <scheme val="minor"/>
      </rPr>
      <t>114</t>
    </r>
    <r>
      <rPr>
        <sz val="10"/>
        <color theme="1"/>
        <rFont val="Calibri"/>
        <family val="2"/>
        <scheme val="minor"/>
      </rPr>
      <t xml:space="preserve"> - Interest Receivable on Investments
</t>
    </r>
    <r>
      <rPr>
        <b/>
        <sz val="10"/>
        <color theme="1"/>
        <rFont val="Calibri"/>
        <family val="2"/>
        <scheme val="minor"/>
      </rPr>
      <t>115</t>
    </r>
    <r>
      <rPr>
        <sz val="10"/>
        <color theme="1"/>
        <rFont val="Calibri"/>
        <family val="2"/>
        <scheme val="minor"/>
      </rPr>
      <t xml:space="preserve"> - Accrued Interest on Investments Purchased
</t>
    </r>
    <r>
      <rPr>
        <b/>
        <sz val="10"/>
        <color theme="1"/>
        <rFont val="Calibri"/>
        <family val="2"/>
        <scheme val="minor"/>
      </rPr>
      <t>121</t>
    </r>
    <r>
      <rPr>
        <sz val="10"/>
        <color theme="1"/>
        <rFont val="Calibri"/>
        <family val="2"/>
        <scheme val="minor"/>
      </rPr>
      <t xml:space="preserve"> - Taxes Receivable
</t>
    </r>
    <r>
      <rPr>
        <b/>
        <sz val="10"/>
        <color theme="1"/>
        <rFont val="Calibri"/>
        <family val="2"/>
        <scheme val="minor"/>
      </rPr>
      <t>122</t>
    </r>
    <r>
      <rPr>
        <sz val="10"/>
        <color theme="1"/>
        <rFont val="Calibri"/>
        <family val="2"/>
        <scheme val="minor"/>
      </rPr>
      <t xml:space="preserve"> - Allowance for Uncollectible Taxes (Credit)
</t>
    </r>
    <r>
      <rPr>
        <b/>
        <sz val="10"/>
        <color theme="1"/>
        <rFont val="Calibri"/>
        <family val="2"/>
        <scheme val="minor"/>
      </rPr>
      <t>131</t>
    </r>
    <r>
      <rPr>
        <sz val="10"/>
        <color theme="1"/>
        <rFont val="Calibri"/>
        <family val="2"/>
        <scheme val="minor"/>
      </rPr>
      <t xml:space="preserve"> - Interfund Loans Receivable
</t>
    </r>
    <r>
      <rPr>
        <b/>
        <sz val="10"/>
        <color theme="1"/>
        <rFont val="Calibri"/>
        <family val="2"/>
        <scheme val="minor"/>
      </rPr>
      <t>132</t>
    </r>
    <r>
      <rPr>
        <sz val="10"/>
        <color theme="1"/>
        <rFont val="Calibri"/>
        <family val="2"/>
        <scheme val="minor"/>
      </rPr>
      <t xml:space="preserve"> - Interfund Accounts Receivable
</t>
    </r>
    <r>
      <rPr>
        <b/>
        <sz val="10"/>
        <color theme="1"/>
        <rFont val="Calibri"/>
        <family val="2"/>
        <scheme val="minor"/>
      </rPr>
      <t>141</t>
    </r>
    <r>
      <rPr>
        <sz val="10"/>
        <color theme="1"/>
        <rFont val="Calibri"/>
        <family val="2"/>
        <scheme val="minor"/>
      </rPr>
      <t xml:space="preserve"> - Intergovernmental Accounts Receivable
</t>
    </r>
    <r>
      <rPr>
        <b/>
        <sz val="10"/>
        <color theme="1"/>
        <rFont val="Calibri"/>
        <family val="2"/>
        <scheme val="minor"/>
      </rPr>
      <t>151</t>
    </r>
    <r>
      <rPr>
        <sz val="10"/>
        <color theme="1"/>
        <rFont val="Calibri"/>
        <family val="2"/>
        <scheme val="minor"/>
      </rPr>
      <t xml:space="preserve"> - Loans Receivable
</t>
    </r>
    <r>
      <rPr>
        <b/>
        <sz val="10"/>
        <color theme="1"/>
        <rFont val="Calibri"/>
        <family val="2"/>
        <scheme val="minor"/>
      </rPr>
      <t>152</t>
    </r>
    <r>
      <rPr>
        <sz val="10"/>
        <color theme="1"/>
        <rFont val="Calibri"/>
        <family val="2"/>
        <scheme val="minor"/>
      </rPr>
      <t xml:space="preserve"> - Allowance for Uncollectible Loans (Credit)
</t>
    </r>
    <r>
      <rPr>
        <b/>
        <sz val="10"/>
        <color theme="1"/>
        <rFont val="Calibri"/>
        <family val="2"/>
        <scheme val="minor"/>
      </rPr>
      <t>153</t>
    </r>
    <r>
      <rPr>
        <sz val="10"/>
        <color theme="1"/>
        <rFont val="Calibri"/>
        <family val="2"/>
        <scheme val="minor"/>
      </rPr>
      <t xml:space="preserve"> - Other Accounts Receivable
</t>
    </r>
    <r>
      <rPr>
        <b/>
        <sz val="10"/>
        <color theme="1"/>
        <rFont val="Calibri"/>
        <family val="2"/>
        <scheme val="minor"/>
      </rPr>
      <t>154</t>
    </r>
    <r>
      <rPr>
        <sz val="10"/>
        <color theme="1"/>
        <rFont val="Calibri"/>
        <family val="2"/>
        <scheme val="minor"/>
      </rPr>
      <t xml:space="preserve"> - Allowance for Uncollectible Accounts Receivable (Credit)
</t>
    </r>
    <r>
      <rPr>
        <b/>
        <sz val="10"/>
        <color theme="1"/>
        <rFont val="Calibri"/>
        <family val="2"/>
        <scheme val="minor"/>
      </rPr>
      <t>171</t>
    </r>
    <r>
      <rPr>
        <sz val="10"/>
        <color theme="1"/>
        <rFont val="Calibri"/>
        <family val="2"/>
        <scheme val="minor"/>
      </rPr>
      <t xml:space="preserve"> - Inventories for Consumption
</t>
    </r>
    <r>
      <rPr>
        <b/>
        <sz val="10"/>
        <color theme="1"/>
        <rFont val="Calibri"/>
        <family val="2"/>
        <scheme val="minor"/>
      </rPr>
      <t>172</t>
    </r>
    <r>
      <rPr>
        <sz val="10"/>
        <color theme="1"/>
        <rFont val="Calibri"/>
        <family val="2"/>
        <scheme val="minor"/>
      </rPr>
      <t xml:space="preserve"> - Inventories for Resale
</t>
    </r>
    <r>
      <rPr>
        <b/>
        <sz val="10"/>
        <color theme="1"/>
        <rFont val="Calibri"/>
        <family val="2"/>
        <scheme val="minor"/>
      </rPr>
      <t>181</t>
    </r>
    <r>
      <rPr>
        <sz val="10"/>
        <color theme="1"/>
        <rFont val="Calibri"/>
        <family val="2"/>
        <scheme val="minor"/>
      </rPr>
      <t xml:space="preserve"> - Prepaid Items
</t>
    </r>
    <r>
      <rPr>
        <b/>
        <sz val="10"/>
        <color theme="1"/>
        <rFont val="Calibri"/>
        <family val="2"/>
        <scheme val="minor"/>
      </rPr>
      <t>191</t>
    </r>
    <r>
      <rPr>
        <sz val="10"/>
        <color theme="1"/>
        <rFont val="Calibri"/>
        <family val="2"/>
        <scheme val="minor"/>
      </rPr>
      <t xml:space="preserve"> - Deposits
</t>
    </r>
    <r>
      <rPr>
        <b/>
        <sz val="10"/>
        <color theme="1"/>
        <rFont val="Calibri"/>
        <family val="2"/>
        <scheme val="minor"/>
      </rPr>
      <t>193</t>
    </r>
    <r>
      <rPr>
        <sz val="10"/>
        <color theme="1"/>
        <rFont val="Calibri"/>
        <family val="2"/>
        <scheme val="minor"/>
      </rPr>
      <t xml:space="preserve"> - Bond Insurance Costs
</t>
    </r>
    <r>
      <rPr>
        <b/>
        <sz val="10"/>
        <color theme="1"/>
        <rFont val="Calibri"/>
        <family val="2"/>
        <scheme val="minor"/>
      </rPr>
      <t>194</t>
    </r>
    <r>
      <rPr>
        <sz val="10"/>
        <color theme="1"/>
        <rFont val="Calibri"/>
        <family val="2"/>
        <scheme val="minor"/>
      </rPr>
      <t xml:space="preserve"> - Premium and Discount on Issuance of Bonds
</t>
    </r>
    <r>
      <rPr>
        <b/>
        <sz val="10"/>
        <color theme="1"/>
        <rFont val="Calibri"/>
        <family val="2"/>
        <scheme val="minor"/>
      </rPr>
      <t>199</t>
    </r>
    <r>
      <rPr>
        <sz val="10"/>
        <color theme="1"/>
        <rFont val="Calibri"/>
        <family val="2"/>
        <scheme val="minor"/>
      </rPr>
      <t xml:space="preserve"> - Other Current Assets
</t>
    </r>
    <r>
      <rPr>
        <b/>
        <sz val="10"/>
        <color theme="1"/>
        <rFont val="Calibri"/>
        <family val="2"/>
        <scheme val="minor"/>
      </rPr>
      <t>200</t>
    </r>
    <r>
      <rPr>
        <sz val="10"/>
        <color theme="1"/>
        <rFont val="Calibri"/>
        <family val="2"/>
        <scheme val="minor"/>
      </rPr>
      <t xml:space="preserve"> - Capital Assets
</t>
    </r>
    <r>
      <rPr>
        <b/>
        <sz val="10"/>
        <color theme="1"/>
        <rFont val="Calibri"/>
        <family val="2"/>
        <scheme val="minor"/>
      </rPr>
      <t>211</t>
    </r>
    <r>
      <rPr>
        <sz val="10"/>
        <color theme="1"/>
        <rFont val="Calibri"/>
        <family val="2"/>
        <scheme val="minor"/>
      </rPr>
      <t xml:space="preserve"> - Land and Land Improvements
</t>
    </r>
    <r>
      <rPr>
        <b/>
        <sz val="10"/>
        <color theme="1"/>
        <rFont val="Calibri"/>
        <family val="2"/>
        <scheme val="minor"/>
      </rPr>
      <t>221</t>
    </r>
    <r>
      <rPr>
        <sz val="10"/>
        <color theme="1"/>
        <rFont val="Calibri"/>
        <family val="2"/>
        <scheme val="minor"/>
      </rPr>
      <t xml:space="preserve"> - Site Improvements
</t>
    </r>
    <r>
      <rPr>
        <b/>
        <sz val="10"/>
        <color theme="1"/>
        <rFont val="Calibri"/>
        <family val="2"/>
        <scheme val="minor"/>
      </rPr>
      <t>222</t>
    </r>
    <r>
      <rPr>
        <sz val="10"/>
        <color theme="1"/>
        <rFont val="Calibri"/>
        <family val="2"/>
        <scheme val="minor"/>
      </rPr>
      <t xml:space="preserve"> - Accumulated Depreciation on Site Improvements
</t>
    </r>
    <r>
      <rPr>
        <b/>
        <sz val="10"/>
        <color theme="1"/>
        <rFont val="Calibri"/>
        <family val="2"/>
        <scheme val="minor"/>
      </rPr>
      <t>231</t>
    </r>
    <r>
      <rPr>
        <sz val="10"/>
        <color theme="1"/>
        <rFont val="Calibri"/>
        <family val="2"/>
        <scheme val="minor"/>
      </rPr>
      <t xml:space="preserve"> - Buildings and Building Improvements
</t>
    </r>
    <r>
      <rPr>
        <b/>
        <sz val="10"/>
        <color theme="1"/>
        <rFont val="Calibri"/>
        <family val="2"/>
        <scheme val="minor"/>
      </rPr>
      <t>232</t>
    </r>
    <r>
      <rPr>
        <sz val="10"/>
        <color theme="1"/>
        <rFont val="Calibri"/>
        <family val="2"/>
        <scheme val="minor"/>
      </rPr>
      <t xml:space="preserve"> - Accumulated Depreciation on Buildings and Building Improvements
</t>
    </r>
    <r>
      <rPr>
        <b/>
        <sz val="10"/>
        <color theme="1"/>
        <rFont val="Calibri"/>
        <family val="2"/>
        <scheme val="minor"/>
      </rPr>
      <t>241</t>
    </r>
    <r>
      <rPr>
        <sz val="10"/>
        <color theme="1"/>
        <rFont val="Calibri"/>
        <family val="2"/>
        <scheme val="minor"/>
      </rPr>
      <t xml:space="preserve"> - Machinery and Equipment
</t>
    </r>
    <r>
      <rPr>
        <b/>
        <sz val="10"/>
        <color theme="1"/>
        <rFont val="Calibri"/>
        <family val="2"/>
        <scheme val="minor"/>
      </rPr>
      <t>242</t>
    </r>
    <r>
      <rPr>
        <sz val="10"/>
        <color theme="1"/>
        <rFont val="Calibri"/>
        <family val="2"/>
        <scheme val="minor"/>
      </rPr>
      <t xml:space="preserve"> - Accumulated Depreciation on Machinery and Equipment
</t>
    </r>
    <r>
      <rPr>
        <b/>
        <sz val="10"/>
        <color theme="1"/>
        <rFont val="Calibri"/>
        <family val="2"/>
        <scheme val="minor"/>
      </rPr>
      <t>251</t>
    </r>
    <r>
      <rPr>
        <sz val="10"/>
        <color theme="1"/>
        <rFont val="Calibri"/>
        <family val="2"/>
        <scheme val="minor"/>
      </rPr>
      <t xml:space="preserve"> - Works of Art and Historical Treasures
</t>
    </r>
    <r>
      <rPr>
        <b/>
        <sz val="10"/>
        <color theme="1"/>
        <rFont val="Calibri"/>
        <family val="2"/>
        <scheme val="minor"/>
      </rPr>
      <t>252</t>
    </r>
    <r>
      <rPr>
        <sz val="10"/>
        <color theme="1"/>
        <rFont val="Calibri"/>
        <family val="2"/>
        <scheme val="minor"/>
      </rPr>
      <t xml:space="preserve"> - Accumulated Depreciation on Works of Art and Historical Collections
</t>
    </r>
    <r>
      <rPr>
        <b/>
        <sz val="10"/>
        <color theme="1"/>
        <rFont val="Calibri"/>
        <family val="2"/>
        <scheme val="minor"/>
      </rPr>
      <t>261</t>
    </r>
    <r>
      <rPr>
        <sz val="10"/>
        <color theme="1"/>
        <rFont val="Calibri"/>
        <family val="2"/>
        <scheme val="minor"/>
      </rPr>
      <t xml:space="preserve"> - Infrastructure
</t>
    </r>
    <r>
      <rPr>
        <b/>
        <sz val="10"/>
        <color theme="1"/>
        <rFont val="Calibri"/>
        <family val="2"/>
        <scheme val="minor"/>
      </rPr>
      <t>262</t>
    </r>
    <r>
      <rPr>
        <sz val="10"/>
        <color theme="1"/>
        <rFont val="Calibri"/>
        <family val="2"/>
        <scheme val="minor"/>
      </rPr>
      <t xml:space="preserve"> - Accumulated Depreciation on Infrastructure
</t>
    </r>
    <r>
      <rPr>
        <b/>
        <sz val="10"/>
        <color theme="1"/>
        <rFont val="Calibri"/>
        <family val="2"/>
        <scheme val="minor"/>
      </rPr>
      <t>271</t>
    </r>
    <r>
      <rPr>
        <sz val="10"/>
        <color theme="1"/>
        <rFont val="Calibri"/>
        <family val="2"/>
        <scheme val="minor"/>
      </rPr>
      <t xml:space="preserve"> - Construction in Progress
</t>
    </r>
    <r>
      <rPr>
        <b/>
        <sz val="10"/>
        <color theme="1"/>
        <rFont val="Calibri"/>
        <family val="2"/>
        <scheme val="minor"/>
      </rPr>
      <t>281</t>
    </r>
    <r>
      <rPr>
        <sz val="10"/>
        <color theme="1"/>
        <rFont val="Calibri"/>
        <family val="2"/>
        <scheme val="minor"/>
      </rPr>
      <t xml:space="preserve"> - Intangible Assets
</t>
    </r>
    <r>
      <rPr>
        <b/>
        <sz val="10"/>
        <color theme="1"/>
        <rFont val="Calibri"/>
        <family val="2"/>
        <scheme val="minor"/>
      </rPr>
      <t>282</t>
    </r>
    <r>
      <rPr>
        <sz val="10"/>
        <color theme="1"/>
        <rFont val="Calibri"/>
        <family val="2"/>
        <scheme val="minor"/>
      </rPr>
      <t xml:space="preserve"> - Accumulated Amortization of Intangible Assets
</t>
    </r>
    <r>
      <rPr>
        <b/>
        <sz val="10"/>
        <color theme="1"/>
        <rFont val="Calibri"/>
        <family val="2"/>
        <scheme val="minor"/>
      </rPr>
      <t>300</t>
    </r>
    <r>
      <rPr>
        <sz val="10"/>
        <color theme="1"/>
        <rFont val="Calibri"/>
        <family val="2"/>
        <scheme val="minor"/>
      </rPr>
      <t xml:space="preserve"> - Deferred Outflows of Resources
</t>
    </r>
    <r>
      <rPr>
        <b/>
        <sz val="10"/>
        <color theme="1"/>
        <rFont val="Calibri"/>
        <family val="2"/>
        <scheme val="minor"/>
      </rPr>
      <t>401</t>
    </r>
    <r>
      <rPr>
        <sz val="10"/>
        <color theme="1"/>
        <rFont val="Calibri"/>
        <family val="2"/>
        <scheme val="minor"/>
      </rPr>
      <t xml:space="preserve"> - Interfund Loans Payable
</t>
    </r>
    <r>
      <rPr>
        <b/>
        <sz val="10"/>
        <color theme="1"/>
        <rFont val="Calibri"/>
        <family val="2"/>
        <scheme val="minor"/>
      </rPr>
      <t>402</t>
    </r>
    <r>
      <rPr>
        <sz val="10"/>
        <color theme="1"/>
        <rFont val="Calibri"/>
        <family val="2"/>
        <scheme val="minor"/>
      </rPr>
      <t xml:space="preserve"> - Interfund Accounts Payable
</t>
    </r>
    <r>
      <rPr>
        <b/>
        <sz val="10"/>
        <color theme="1"/>
        <rFont val="Calibri"/>
        <family val="2"/>
        <scheme val="minor"/>
      </rPr>
      <t>411</t>
    </r>
    <r>
      <rPr>
        <sz val="10"/>
        <color theme="1"/>
        <rFont val="Calibri"/>
        <family val="2"/>
        <scheme val="minor"/>
      </rPr>
      <t xml:space="preserve"> - Intergovernmental Accounts Payable
</t>
    </r>
    <r>
      <rPr>
        <b/>
        <sz val="10"/>
        <color theme="1"/>
        <rFont val="Calibri"/>
        <family val="2"/>
        <scheme val="minor"/>
      </rPr>
      <t>421</t>
    </r>
    <r>
      <rPr>
        <sz val="10"/>
        <color theme="1"/>
        <rFont val="Calibri"/>
        <family val="2"/>
        <scheme val="minor"/>
      </rPr>
      <t xml:space="preserve"> - Accounts Payable
</t>
    </r>
    <r>
      <rPr>
        <b/>
        <sz val="10"/>
        <color theme="1"/>
        <rFont val="Calibri"/>
        <family val="2"/>
        <scheme val="minor"/>
      </rPr>
      <t>422</t>
    </r>
    <r>
      <rPr>
        <sz val="10"/>
        <color theme="1"/>
        <rFont val="Calibri"/>
        <family val="2"/>
        <scheme val="minor"/>
      </rPr>
      <t xml:space="preserve"> - Judgments Payable
</t>
    </r>
    <r>
      <rPr>
        <b/>
        <sz val="10"/>
        <color theme="1"/>
        <rFont val="Calibri"/>
        <family val="2"/>
        <scheme val="minor"/>
      </rPr>
      <t>423</t>
    </r>
    <r>
      <rPr>
        <sz val="10"/>
        <color theme="1"/>
        <rFont val="Calibri"/>
        <family val="2"/>
        <scheme val="minor"/>
      </rPr>
      <t xml:space="preserve"> - Warrants Payable
</t>
    </r>
    <r>
      <rPr>
        <b/>
        <sz val="10"/>
        <color theme="1"/>
        <rFont val="Calibri"/>
        <family val="2"/>
        <scheme val="minor"/>
      </rPr>
      <t>431</t>
    </r>
    <r>
      <rPr>
        <sz val="10"/>
        <color theme="1"/>
        <rFont val="Calibri"/>
        <family val="2"/>
        <scheme val="minor"/>
      </rPr>
      <t xml:space="preserve"> - Contracts Payable
</t>
    </r>
    <r>
      <rPr>
        <b/>
        <sz val="10"/>
        <color theme="1"/>
        <rFont val="Calibri"/>
        <family val="2"/>
        <scheme val="minor"/>
      </rPr>
      <t>432</t>
    </r>
    <r>
      <rPr>
        <sz val="10"/>
        <color theme="1"/>
        <rFont val="Calibri"/>
        <family val="2"/>
        <scheme val="minor"/>
      </rPr>
      <t xml:space="preserve"> - Construction Contracts Payable-Retainage
</t>
    </r>
    <r>
      <rPr>
        <b/>
        <sz val="10"/>
        <color theme="1"/>
        <rFont val="Calibri"/>
        <family val="2"/>
        <scheme val="minor"/>
      </rPr>
      <t>433</t>
    </r>
    <r>
      <rPr>
        <sz val="10"/>
        <color theme="1"/>
        <rFont val="Calibri"/>
        <family val="2"/>
        <scheme val="minor"/>
      </rPr>
      <t xml:space="preserve"> - Construction Contracts Payable
</t>
    </r>
    <r>
      <rPr>
        <b/>
        <sz val="10"/>
        <color theme="1"/>
        <rFont val="Calibri"/>
        <family val="2"/>
        <scheme val="minor"/>
      </rPr>
      <t>441</t>
    </r>
    <r>
      <rPr>
        <sz val="10"/>
        <color theme="1"/>
        <rFont val="Calibri"/>
        <family val="2"/>
        <scheme val="minor"/>
      </rPr>
      <t xml:space="preserve"> - Matured Bonds Payable
</t>
    </r>
    <r>
      <rPr>
        <b/>
        <sz val="10"/>
        <color theme="1"/>
        <rFont val="Calibri"/>
        <family val="2"/>
        <scheme val="minor"/>
      </rPr>
      <t>442</t>
    </r>
    <r>
      <rPr>
        <sz val="10"/>
        <color theme="1"/>
        <rFont val="Calibri"/>
        <family val="2"/>
        <scheme val="minor"/>
      </rPr>
      <t xml:space="preserve"> - Bonds Payable-Current
</t>
    </r>
    <r>
      <rPr>
        <b/>
        <sz val="10"/>
        <color theme="1"/>
        <rFont val="Calibri"/>
        <family val="2"/>
        <scheme val="minor"/>
      </rPr>
      <t>443</t>
    </r>
    <r>
      <rPr>
        <sz val="10"/>
        <color theme="1"/>
        <rFont val="Calibri"/>
        <family val="2"/>
        <scheme val="minor"/>
      </rPr>
      <t xml:space="preserve"> - Unamortized Premiums on Issuance of Bonds
</t>
    </r>
    <r>
      <rPr>
        <b/>
        <sz val="10"/>
        <color theme="1"/>
        <rFont val="Calibri"/>
        <family val="2"/>
        <scheme val="minor"/>
      </rPr>
      <t>451</t>
    </r>
    <r>
      <rPr>
        <sz val="10"/>
        <color theme="1"/>
        <rFont val="Calibri"/>
        <family val="2"/>
        <scheme val="minor"/>
      </rPr>
      <t xml:space="preserve"> - Loans Payable
</t>
    </r>
    <r>
      <rPr>
        <b/>
        <sz val="10"/>
        <color theme="1"/>
        <rFont val="Calibri"/>
        <family val="2"/>
        <scheme val="minor"/>
      </rPr>
      <t>452</t>
    </r>
    <r>
      <rPr>
        <sz val="10"/>
        <color theme="1"/>
        <rFont val="Calibri"/>
        <family val="2"/>
        <scheme val="minor"/>
      </rPr>
      <t xml:space="preserve"> - Lease Obligations-Current
</t>
    </r>
    <r>
      <rPr>
        <b/>
        <sz val="10"/>
        <color theme="1"/>
        <rFont val="Calibri"/>
        <family val="2"/>
        <scheme val="minor"/>
      </rPr>
      <t>455</t>
    </r>
    <r>
      <rPr>
        <sz val="10"/>
        <color theme="1"/>
        <rFont val="Calibri"/>
        <family val="2"/>
        <scheme val="minor"/>
      </rPr>
      <t xml:space="preserve"> - Interest Payable
</t>
    </r>
    <r>
      <rPr>
        <b/>
        <sz val="10"/>
        <color theme="1"/>
        <rFont val="Calibri"/>
        <family val="2"/>
        <scheme val="minor"/>
      </rPr>
      <t>461</t>
    </r>
    <r>
      <rPr>
        <sz val="10"/>
        <color theme="1"/>
        <rFont val="Calibri"/>
        <family val="2"/>
        <scheme val="minor"/>
      </rPr>
      <t xml:space="preserve"> - Accrued Salaries and Benefits
</t>
    </r>
    <r>
      <rPr>
        <b/>
        <sz val="10"/>
        <color theme="1"/>
        <rFont val="Calibri"/>
        <family val="2"/>
        <scheme val="minor"/>
      </rPr>
      <t>471</t>
    </r>
    <r>
      <rPr>
        <sz val="10"/>
        <color theme="1"/>
        <rFont val="Calibri"/>
        <family val="2"/>
        <scheme val="minor"/>
      </rPr>
      <t xml:space="preserve"> - Payroll Deductions and Withholdings
</t>
    </r>
    <r>
      <rPr>
        <b/>
        <sz val="10"/>
        <color theme="1"/>
        <rFont val="Calibri"/>
        <family val="2"/>
        <scheme val="minor"/>
      </rPr>
      <t>472</t>
    </r>
    <r>
      <rPr>
        <sz val="10"/>
        <color theme="1"/>
        <rFont val="Calibri"/>
        <family val="2"/>
        <scheme val="minor"/>
      </rPr>
      <t xml:space="preserve"> - Compensated Absences-Current
</t>
    </r>
    <r>
      <rPr>
        <b/>
        <sz val="10"/>
        <color theme="1"/>
        <rFont val="Calibri"/>
        <family val="2"/>
        <scheme val="minor"/>
      </rPr>
      <t>473</t>
    </r>
    <r>
      <rPr>
        <sz val="10"/>
        <color theme="1"/>
        <rFont val="Calibri"/>
        <family val="2"/>
        <scheme val="minor"/>
      </rPr>
      <t xml:space="preserve"> - Accrued Annual Requirement Contribution Liability
</t>
    </r>
    <r>
      <rPr>
        <b/>
        <sz val="10"/>
        <color theme="1"/>
        <rFont val="Calibri"/>
        <family val="2"/>
        <scheme val="minor"/>
      </rPr>
      <t>481</t>
    </r>
    <r>
      <rPr>
        <sz val="10"/>
        <color theme="1"/>
        <rFont val="Calibri"/>
        <family val="2"/>
        <scheme val="minor"/>
      </rPr>
      <t xml:space="preserve"> - Advances from Grantors
</t>
    </r>
    <r>
      <rPr>
        <b/>
        <sz val="10"/>
        <color theme="1"/>
        <rFont val="Calibri"/>
        <family val="2"/>
        <scheme val="minor"/>
      </rPr>
      <t>491</t>
    </r>
    <r>
      <rPr>
        <sz val="10"/>
        <color theme="1"/>
        <rFont val="Calibri"/>
        <family val="2"/>
        <scheme val="minor"/>
      </rPr>
      <t xml:space="preserve"> - Deposits Payable
</t>
    </r>
    <r>
      <rPr>
        <b/>
        <sz val="10"/>
        <color theme="1"/>
        <rFont val="Calibri"/>
        <family val="2"/>
        <scheme val="minor"/>
      </rPr>
      <t>499</t>
    </r>
    <r>
      <rPr>
        <sz val="10"/>
        <color theme="1"/>
        <rFont val="Calibri"/>
        <family val="2"/>
        <scheme val="minor"/>
      </rPr>
      <t xml:space="preserve"> - Other Current Liabilities
</t>
    </r>
    <r>
      <rPr>
        <b/>
        <sz val="10"/>
        <color theme="1"/>
        <rFont val="Calibri"/>
        <family val="2"/>
        <scheme val="minor"/>
      </rPr>
      <t>500</t>
    </r>
    <r>
      <rPr>
        <sz val="10"/>
        <color theme="1"/>
        <rFont val="Calibri"/>
        <family val="2"/>
        <scheme val="minor"/>
      </rPr>
      <t xml:space="preserve"> - Long-Term Liabilities
</t>
    </r>
    <r>
      <rPr>
        <b/>
        <sz val="10"/>
        <color theme="1"/>
        <rFont val="Calibri"/>
        <family val="2"/>
        <scheme val="minor"/>
      </rPr>
      <t>511</t>
    </r>
    <r>
      <rPr>
        <sz val="10"/>
        <color theme="1"/>
        <rFont val="Calibri"/>
        <family val="2"/>
        <scheme val="minor"/>
      </rPr>
      <t xml:space="preserve"> - Bonds Payable
</t>
    </r>
    <r>
      <rPr>
        <b/>
        <sz val="10"/>
        <color theme="1"/>
        <rFont val="Calibri"/>
        <family val="2"/>
        <scheme val="minor"/>
      </rPr>
      <t>512</t>
    </r>
    <r>
      <rPr>
        <sz val="10"/>
        <color theme="1"/>
        <rFont val="Calibri"/>
        <family val="2"/>
        <scheme val="minor"/>
      </rPr>
      <t xml:space="preserve"> - Accreted Interest
</t>
    </r>
    <r>
      <rPr>
        <b/>
        <sz val="10"/>
        <color theme="1"/>
        <rFont val="Calibri"/>
        <family val="2"/>
        <scheme val="minor"/>
      </rPr>
      <t>513</t>
    </r>
    <r>
      <rPr>
        <sz val="10"/>
        <color theme="1"/>
        <rFont val="Calibri"/>
        <family val="2"/>
        <scheme val="minor"/>
      </rPr>
      <t xml:space="preserve"> - Unamortized Gains/Losses on Debt Refundings
</t>
    </r>
    <r>
      <rPr>
        <b/>
        <sz val="10"/>
        <color theme="1"/>
        <rFont val="Calibri"/>
        <family val="2"/>
        <scheme val="minor"/>
      </rPr>
      <t>521</t>
    </r>
    <r>
      <rPr>
        <sz val="10"/>
        <color theme="1"/>
        <rFont val="Calibri"/>
        <family val="2"/>
        <scheme val="minor"/>
      </rPr>
      <t xml:space="preserve"> - Loans Payable
</t>
    </r>
    <r>
      <rPr>
        <b/>
        <sz val="10"/>
        <color theme="1"/>
        <rFont val="Calibri"/>
        <family val="2"/>
        <scheme val="minor"/>
      </rPr>
      <t>531</t>
    </r>
    <r>
      <rPr>
        <sz val="10"/>
        <color theme="1"/>
        <rFont val="Calibri"/>
        <family val="2"/>
        <scheme val="minor"/>
      </rPr>
      <t xml:space="preserve"> - Capital Lease Obligations
</t>
    </r>
    <r>
      <rPr>
        <b/>
        <sz val="10"/>
        <color theme="1"/>
        <rFont val="Calibri"/>
        <family val="2"/>
        <scheme val="minor"/>
      </rPr>
      <t>551</t>
    </r>
    <r>
      <rPr>
        <sz val="10"/>
        <color theme="1"/>
        <rFont val="Calibri"/>
        <family val="2"/>
        <scheme val="minor"/>
      </rPr>
      <t xml:space="preserve"> - Compensated Absences
</t>
    </r>
    <r>
      <rPr>
        <b/>
        <sz val="10"/>
        <color theme="1"/>
        <rFont val="Calibri"/>
        <family val="2"/>
        <scheme val="minor"/>
      </rPr>
      <t>553</t>
    </r>
    <r>
      <rPr>
        <sz val="10"/>
        <color theme="1"/>
        <rFont val="Calibri"/>
        <family val="2"/>
        <scheme val="minor"/>
      </rPr>
      <t xml:space="preserve"> - Special Termination Benefits
</t>
    </r>
    <r>
      <rPr>
        <b/>
        <sz val="10"/>
        <color theme="1"/>
        <rFont val="Calibri"/>
        <family val="2"/>
        <scheme val="minor"/>
      </rPr>
      <t>561</t>
    </r>
    <r>
      <rPr>
        <sz val="10"/>
        <color theme="1"/>
        <rFont val="Calibri"/>
        <family val="2"/>
        <scheme val="minor"/>
      </rPr>
      <t xml:space="preserve"> - Arbitrage Rebate Liability
</t>
    </r>
    <r>
      <rPr>
        <b/>
        <sz val="10"/>
        <color theme="1"/>
        <rFont val="Calibri"/>
        <family val="2"/>
        <scheme val="minor"/>
      </rPr>
      <t>590</t>
    </r>
    <r>
      <rPr>
        <sz val="10"/>
        <color theme="1"/>
        <rFont val="Calibri"/>
        <family val="2"/>
        <scheme val="minor"/>
      </rPr>
      <t xml:space="preserve"> - Other Long-Term Liabilities
</t>
    </r>
    <r>
      <rPr>
        <b/>
        <sz val="10"/>
        <color theme="1"/>
        <rFont val="Calibri"/>
        <family val="2"/>
        <scheme val="minor"/>
      </rPr>
      <t>600</t>
    </r>
    <r>
      <rPr>
        <sz val="10"/>
        <color theme="1"/>
        <rFont val="Calibri"/>
        <family val="2"/>
        <scheme val="minor"/>
      </rPr>
      <t xml:space="preserve"> - Deferred Inflows of Resources
</t>
    </r>
    <r>
      <rPr>
        <b/>
        <sz val="10"/>
        <color theme="1"/>
        <rFont val="Calibri"/>
        <family val="2"/>
        <scheme val="minor"/>
      </rPr>
      <t>710</t>
    </r>
    <r>
      <rPr>
        <sz val="10"/>
        <color theme="1"/>
        <rFont val="Calibri"/>
        <family val="2"/>
        <scheme val="minor"/>
      </rPr>
      <t xml:space="preserve"> - Nonspendable Fund Balance
</t>
    </r>
    <r>
      <rPr>
        <b/>
        <sz val="10"/>
        <color theme="1"/>
        <rFont val="Calibri"/>
        <family val="2"/>
        <scheme val="minor"/>
      </rPr>
      <t>720</t>
    </r>
    <r>
      <rPr>
        <sz val="10"/>
        <color theme="1"/>
        <rFont val="Calibri"/>
        <family val="2"/>
        <scheme val="minor"/>
      </rPr>
      <t xml:space="preserve"> - Restricted Fund Balance
</t>
    </r>
    <r>
      <rPr>
        <b/>
        <sz val="10"/>
        <color theme="1"/>
        <rFont val="Calibri"/>
        <family val="2"/>
        <scheme val="minor"/>
      </rPr>
      <t>730</t>
    </r>
    <r>
      <rPr>
        <sz val="10"/>
        <color theme="1"/>
        <rFont val="Calibri"/>
        <family val="2"/>
        <scheme val="minor"/>
      </rPr>
      <t xml:space="preserve"> - Committed Fund Balance
</t>
    </r>
    <r>
      <rPr>
        <b/>
        <sz val="10"/>
        <color theme="1"/>
        <rFont val="Calibri"/>
        <family val="2"/>
        <scheme val="minor"/>
      </rPr>
      <t>740</t>
    </r>
    <r>
      <rPr>
        <sz val="10"/>
        <color theme="1"/>
        <rFont val="Calibri"/>
        <family val="2"/>
        <scheme val="minor"/>
      </rPr>
      <t xml:space="preserve"> - Assigned Fund Balance
</t>
    </r>
    <r>
      <rPr>
        <b/>
        <sz val="10"/>
        <color theme="1"/>
        <rFont val="Calibri"/>
        <family val="2"/>
        <scheme val="minor"/>
      </rPr>
      <t>750</t>
    </r>
    <r>
      <rPr>
        <sz val="10"/>
        <color theme="1"/>
        <rFont val="Calibri"/>
        <family val="2"/>
        <scheme val="minor"/>
      </rPr>
      <t xml:space="preserve"> - Unassigned Fund Balance
</t>
    </r>
    <r>
      <rPr>
        <b/>
        <sz val="10"/>
        <color theme="1"/>
        <rFont val="Calibri"/>
        <family val="2"/>
        <scheme val="minor"/>
      </rPr>
      <t>760</t>
    </r>
    <r>
      <rPr>
        <sz val="10"/>
        <color theme="1"/>
        <rFont val="Calibri"/>
        <family val="2"/>
        <scheme val="minor"/>
      </rPr>
      <t xml:space="preserve"> - Net Investment in Capital Assets
</t>
    </r>
    <r>
      <rPr>
        <b/>
        <sz val="10"/>
        <color theme="1"/>
        <rFont val="Calibri"/>
        <family val="2"/>
        <scheme val="minor"/>
      </rPr>
      <t>770</t>
    </r>
    <r>
      <rPr>
        <sz val="10"/>
        <color theme="1"/>
        <rFont val="Calibri"/>
        <family val="2"/>
        <scheme val="minor"/>
      </rPr>
      <t xml:space="preserve"> - Restricted Net Position
</t>
    </r>
    <r>
      <rPr>
        <b/>
        <sz val="10"/>
        <color theme="1"/>
        <rFont val="Calibri"/>
        <family val="2"/>
        <scheme val="minor"/>
      </rPr>
      <t>780</t>
    </r>
    <r>
      <rPr>
        <sz val="10"/>
        <color theme="1"/>
        <rFont val="Calibri"/>
        <family val="2"/>
        <scheme val="minor"/>
      </rPr>
      <t xml:space="preserve"> - Unrestricted Net Position
</t>
    </r>
  </si>
  <si>
    <t>K12 -&gt; K12 School -&gt; Finance
K12 -&gt; LEA -&gt; Finance
K12 -&gt; Program -&gt; Finance
K12 -&gt; SEA -&gt; Finance</t>
  </si>
  <si>
    <t>Based on codes specified in the NCES Handbook "Financial Accounting for Local and State School Systems: 2014 Edition".</t>
  </si>
  <si>
    <t>001353</t>
  </si>
  <si>
    <t>FinancialAccountK12BalanceSheetCode</t>
  </si>
  <si>
    <t>Financial Account K12 Fund Classification</t>
  </si>
  <si>
    <t>A fund is a separate fiscal and accounting entity with a self-balancing set of accounts recording cash and other financial resources, together with all related liabilities and residual equities or balances or changes therein.</t>
  </si>
  <si>
    <r>
      <t>1</t>
    </r>
    <r>
      <rPr>
        <sz val="10"/>
        <color theme="1"/>
        <rFont val="Calibri"/>
        <family val="2"/>
        <scheme val="minor"/>
      </rPr>
      <t xml:space="preserve"> - General Fund
</t>
    </r>
    <r>
      <rPr>
        <b/>
        <sz val="10"/>
        <color theme="1"/>
        <rFont val="Calibri"/>
        <family val="2"/>
        <scheme val="minor"/>
      </rPr>
      <t>2</t>
    </r>
    <r>
      <rPr>
        <sz val="10"/>
        <color theme="1"/>
        <rFont val="Calibri"/>
        <family val="2"/>
        <scheme val="minor"/>
      </rPr>
      <t xml:space="preserve"> - Special Revenue Funds
</t>
    </r>
    <r>
      <rPr>
        <b/>
        <sz val="10"/>
        <color theme="1"/>
        <rFont val="Calibri"/>
        <family val="2"/>
        <scheme val="minor"/>
      </rPr>
      <t>3</t>
    </r>
    <r>
      <rPr>
        <sz val="10"/>
        <color theme="1"/>
        <rFont val="Calibri"/>
        <family val="2"/>
        <scheme val="minor"/>
      </rPr>
      <t xml:space="preserve"> - Capital Projects Funds
</t>
    </r>
    <r>
      <rPr>
        <b/>
        <sz val="10"/>
        <color theme="1"/>
        <rFont val="Calibri"/>
        <family val="2"/>
        <scheme val="minor"/>
      </rPr>
      <t>4</t>
    </r>
    <r>
      <rPr>
        <sz val="10"/>
        <color theme="1"/>
        <rFont val="Calibri"/>
        <family val="2"/>
        <scheme val="minor"/>
      </rPr>
      <t xml:space="preserve"> - Debt Service Funds
</t>
    </r>
    <r>
      <rPr>
        <b/>
        <sz val="10"/>
        <color theme="1"/>
        <rFont val="Calibri"/>
        <family val="2"/>
        <scheme val="minor"/>
      </rPr>
      <t>5</t>
    </r>
    <r>
      <rPr>
        <sz val="10"/>
        <color theme="1"/>
        <rFont val="Calibri"/>
        <family val="2"/>
        <scheme val="minor"/>
      </rPr>
      <t xml:space="preserve"> - Permanent Funds
</t>
    </r>
    <r>
      <rPr>
        <b/>
        <sz val="10"/>
        <color theme="1"/>
        <rFont val="Calibri"/>
        <family val="2"/>
        <scheme val="minor"/>
      </rPr>
      <t>6</t>
    </r>
    <r>
      <rPr>
        <sz val="10"/>
        <color theme="1"/>
        <rFont val="Calibri"/>
        <family val="2"/>
        <scheme val="minor"/>
      </rPr>
      <t xml:space="preserve"> - Enterprise Funds
</t>
    </r>
    <r>
      <rPr>
        <b/>
        <sz val="10"/>
        <color theme="1"/>
        <rFont val="Calibri"/>
        <family val="2"/>
        <scheme val="minor"/>
      </rPr>
      <t>7</t>
    </r>
    <r>
      <rPr>
        <sz val="10"/>
        <color theme="1"/>
        <rFont val="Calibri"/>
        <family val="2"/>
        <scheme val="minor"/>
      </rPr>
      <t xml:space="preserve"> - Internal Service Funds
</t>
    </r>
    <r>
      <rPr>
        <b/>
        <sz val="10"/>
        <color theme="1"/>
        <rFont val="Calibri"/>
        <family val="2"/>
        <scheme val="minor"/>
      </rPr>
      <t>8</t>
    </r>
    <r>
      <rPr>
        <sz val="10"/>
        <color theme="1"/>
        <rFont val="Calibri"/>
        <family val="2"/>
        <scheme val="minor"/>
      </rPr>
      <t xml:space="preserve"> - Trust Funds
</t>
    </r>
    <r>
      <rPr>
        <b/>
        <sz val="10"/>
        <color theme="1"/>
        <rFont val="Calibri"/>
        <family val="2"/>
        <scheme val="minor"/>
      </rPr>
      <t>9</t>
    </r>
    <r>
      <rPr>
        <sz val="10"/>
        <color theme="1"/>
        <rFont val="Calibri"/>
        <family val="2"/>
        <scheme val="minor"/>
      </rPr>
      <t xml:space="preserve"> - Agency Funds
</t>
    </r>
  </si>
  <si>
    <t>001347</t>
  </si>
  <si>
    <t>FinancialAccountK12FundClassification</t>
  </si>
  <si>
    <t>Financial Account K12 Program Code</t>
  </si>
  <si>
    <t>A program is a plan of activities and procedures designed to accomplish a predetermined objective or set of objectives. The program classification provides the school district with a framework to classify instructional and other expenditures by program to determine cost.</t>
  </si>
  <si>
    <r>
      <t>100</t>
    </r>
    <r>
      <rPr>
        <sz val="10"/>
        <color theme="1"/>
        <rFont val="Calibri"/>
        <family val="2"/>
        <scheme val="minor"/>
      </rPr>
      <t xml:space="preserve"> - Regular Elementary/Secondary Education Programs
</t>
    </r>
    <r>
      <rPr>
        <b/>
        <sz val="10"/>
        <color theme="1"/>
        <rFont val="Calibri"/>
        <family val="2"/>
        <scheme val="minor"/>
      </rPr>
      <t>200</t>
    </r>
    <r>
      <rPr>
        <sz val="10"/>
        <color theme="1"/>
        <rFont val="Calibri"/>
        <family val="2"/>
        <scheme val="minor"/>
      </rPr>
      <t xml:space="preserve"> - Special Programs
</t>
    </r>
    <r>
      <rPr>
        <b/>
        <sz val="10"/>
        <color theme="1"/>
        <rFont val="Calibri"/>
        <family val="2"/>
        <scheme val="minor"/>
      </rPr>
      <t>300</t>
    </r>
    <r>
      <rPr>
        <sz val="10"/>
        <color theme="1"/>
        <rFont val="Calibri"/>
        <family val="2"/>
        <scheme val="minor"/>
      </rPr>
      <t xml:space="preserve"> - Vocational and Technical Programs
</t>
    </r>
    <r>
      <rPr>
        <b/>
        <sz val="10"/>
        <color theme="1"/>
        <rFont val="Calibri"/>
        <family val="2"/>
        <scheme val="minor"/>
      </rPr>
      <t>400</t>
    </r>
    <r>
      <rPr>
        <sz val="10"/>
        <color theme="1"/>
        <rFont val="Calibri"/>
        <family val="2"/>
        <scheme val="minor"/>
      </rPr>
      <t xml:space="preserve"> - Other Instructional Programs—Elementary/Secondary
</t>
    </r>
    <r>
      <rPr>
        <b/>
        <sz val="10"/>
        <color theme="1"/>
        <rFont val="Calibri"/>
        <family val="2"/>
        <scheme val="minor"/>
      </rPr>
      <t>500</t>
    </r>
    <r>
      <rPr>
        <sz val="10"/>
        <color theme="1"/>
        <rFont val="Calibri"/>
        <family val="2"/>
        <scheme val="minor"/>
      </rPr>
      <t xml:space="preserve"> - Nonpublic School Programs
</t>
    </r>
    <r>
      <rPr>
        <b/>
        <sz val="10"/>
        <color theme="1"/>
        <rFont val="Calibri"/>
        <family val="2"/>
        <scheme val="minor"/>
      </rPr>
      <t>600</t>
    </r>
    <r>
      <rPr>
        <sz val="10"/>
        <color theme="1"/>
        <rFont val="Calibri"/>
        <family val="2"/>
        <scheme val="minor"/>
      </rPr>
      <t xml:space="preserve"> - Adult/Continuing Education Programs
</t>
    </r>
    <r>
      <rPr>
        <b/>
        <sz val="10"/>
        <color theme="1"/>
        <rFont val="Calibri"/>
        <family val="2"/>
        <scheme val="minor"/>
      </rPr>
      <t>700</t>
    </r>
    <r>
      <rPr>
        <sz val="10"/>
        <color theme="1"/>
        <rFont val="Calibri"/>
        <family val="2"/>
        <scheme val="minor"/>
      </rPr>
      <t xml:space="preserve"> - Community/Junior College Education Programs
</t>
    </r>
    <r>
      <rPr>
        <b/>
        <sz val="10"/>
        <color theme="1"/>
        <rFont val="Calibri"/>
        <family val="2"/>
        <scheme val="minor"/>
      </rPr>
      <t>800</t>
    </r>
    <r>
      <rPr>
        <sz val="10"/>
        <color theme="1"/>
        <rFont val="Calibri"/>
        <family val="2"/>
        <scheme val="minor"/>
      </rPr>
      <t xml:space="preserve"> - Community Services Programs
</t>
    </r>
    <r>
      <rPr>
        <b/>
        <sz val="10"/>
        <color theme="1"/>
        <rFont val="Calibri"/>
        <family val="2"/>
        <scheme val="minor"/>
      </rPr>
      <t>900</t>
    </r>
    <r>
      <rPr>
        <sz val="10"/>
        <color theme="1"/>
        <rFont val="Calibri"/>
        <family val="2"/>
        <scheme val="minor"/>
      </rPr>
      <t xml:space="preserve"> - Cocurricular and Extracurricular Activities
</t>
    </r>
  </si>
  <si>
    <t>001349</t>
  </si>
  <si>
    <t>FinancialAccountK12ProgramCode</t>
  </si>
  <si>
    <t>Financial Account K12 Revenue Code</t>
  </si>
  <si>
    <t>These codes are for recording revenue and other receivables by source. Major revenue categories have codes ending in 00 and are further subdivided.</t>
  </si>
  <si>
    <r>
      <t>1000</t>
    </r>
    <r>
      <rPr>
        <sz val="10"/>
        <color theme="1"/>
        <rFont val="Calibri"/>
        <family val="2"/>
        <scheme val="minor"/>
      </rPr>
      <t xml:space="preserve"> - Revenue From Local Sources
</t>
    </r>
    <r>
      <rPr>
        <b/>
        <sz val="10"/>
        <color theme="1"/>
        <rFont val="Calibri"/>
        <family val="2"/>
        <scheme val="minor"/>
      </rPr>
      <t>1100</t>
    </r>
    <r>
      <rPr>
        <sz val="10"/>
        <color theme="1"/>
        <rFont val="Calibri"/>
        <family val="2"/>
        <scheme val="minor"/>
      </rPr>
      <t xml:space="preserve"> - Taxes Levied/Assessed by the School District
</t>
    </r>
    <r>
      <rPr>
        <b/>
        <sz val="10"/>
        <color theme="1"/>
        <rFont val="Calibri"/>
        <family val="2"/>
        <scheme val="minor"/>
      </rPr>
      <t>1110</t>
    </r>
    <r>
      <rPr>
        <sz val="10"/>
        <color theme="1"/>
        <rFont val="Calibri"/>
        <family val="2"/>
        <scheme val="minor"/>
      </rPr>
      <t xml:space="preserve"> - Ad Valorem Taxes (Levied/Assessed by School Districts)
</t>
    </r>
    <r>
      <rPr>
        <b/>
        <sz val="10"/>
        <color theme="1"/>
        <rFont val="Calibri"/>
        <family val="2"/>
        <scheme val="minor"/>
      </rPr>
      <t>1120</t>
    </r>
    <r>
      <rPr>
        <sz val="10"/>
        <color theme="1"/>
        <rFont val="Calibri"/>
        <family val="2"/>
        <scheme val="minor"/>
      </rPr>
      <t xml:space="preserve"> - Sales and Use Taxes (Levied/Assessed by School Districts)
</t>
    </r>
    <r>
      <rPr>
        <b/>
        <sz val="10"/>
        <color theme="1"/>
        <rFont val="Calibri"/>
        <family val="2"/>
        <scheme val="minor"/>
      </rPr>
      <t>1130</t>
    </r>
    <r>
      <rPr>
        <sz val="10"/>
        <color theme="1"/>
        <rFont val="Calibri"/>
        <family val="2"/>
        <scheme val="minor"/>
      </rPr>
      <t xml:space="preserve"> - Income Taxes (Levied/Assessed by School Districts)
</t>
    </r>
    <r>
      <rPr>
        <b/>
        <sz val="10"/>
        <color theme="1"/>
        <rFont val="Calibri"/>
        <family val="2"/>
        <scheme val="minor"/>
      </rPr>
      <t>1140</t>
    </r>
    <r>
      <rPr>
        <sz val="10"/>
        <color theme="1"/>
        <rFont val="Calibri"/>
        <family val="2"/>
        <scheme val="minor"/>
      </rPr>
      <t xml:space="preserve"> - Penalties and Interest on Taxes (Levied/Assessed by School Districts)
</t>
    </r>
    <r>
      <rPr>
        <b/>
        <sz val="10"/>
        <color theme="1"/>
        <rFont val="Calibri"/>
        <family val="2"/>
        <scheme val="minor"/>
      </rPr>
      <t>1190</t>
    </r>
    <r>
      <rPr>
        <sz val="10"/>
        <color theme="1"/>
        <rFont val="Calibri"/>
        <family val="2"/>
        <scheme val="minor"/>
      </rPr>
      <t xml:space="preserve"> - Other Taxes (Levied/Assessed by School Districts)
</t>
    </r>
    <r>
      <rPr>
        <b/>
        <sz val="10"/>
        <color theme="1"/>
        <rFont val="Calibri"/>
        <family val="2"/>
        <scheme val="minor"/>
      </rPr>
      <t>1200</t>
    </r>
    <r>
      <rPr>
        <sz val="10"/>
        <color theme="1"/>
        <rFont val="Calibri"/>
        <family val="2"/>
        <scheme val="minor"/>
      </rPr>
      <t xml:space="preserve"> - Revenue from Local Governmental Units Other Than School Districts
</t>
    </r>
    <r>
      <rPr>
        <b/>
        <sz val="10"/>
        <color theme="1"/>
        <rFont val="Calibri"/>
        <family val="2"/>
        <scheme val="minor"/>
      </rPr>
      <t>1210</t>
    </r>
    <r>
      <rPr>
        <sz val="10"/>
        <color theme="1"/>
        <rFont val="Calibri"/>
        <family val="2"/>
        <scheme val="minor"/>
      </rPr>
      <t xml:space="preserve"> - Ad Valorem Taxes (Received from Other Government Units)
</t>
    </r>
    <r>
      <rPr>
        <b/>
        <sz val="10"/>
        <color theme="1"/>
        <rFont val="Calibri"/>
        <family val="2"/>
        <scheme val="minor"/>
      </rPr>
      <t>1220</t>
    </r>
    <r>
      <rPr>
        <sz val="10"/>
        <color theme="1"/>
        <rFont val="Calibri"/>
        <family val="2"/>
        <scheme val="minor"/>
      </rPr>
      <t xml:space="preserve"> - Sales and Use Tax (Received from Other Government Units)
</t>
    </r>
    <r>
      <rPr>
        <b/>
        <sz val="10"/>
        <color theme="1"/>
        <rFont val="Calibri"/>
        <family val="2"/>
        <scheme val="minor"/>
      </rPr>
      <t>1230</t>
    </r>
    <r>
      <rPr>
        <sz val="10"/>
        <color theme="1"/>
        <rFont val="Calibri"/>
        <family val="2"/>
        <scheme val="minor"/>
      </rPr>
      <t xml:space="preserve"> - Income Taxes (Received from Other Government Units)
</t>
    </r>
    <r>
      <rPr>
        <b/>
        <sz val="10"/>
        <color theme="1"/>
        <rFont val="Calibri"/>
        <family val="2"/>
        <scheme val="minor"/>
      </rPr>
      <t>1240</t>
    </r>
    <r>
      <rPr>
        <sz val="10"/>
        <color theme="1"/>
        <rFont val="Calibri"/>
        <family val="2"/>
        <scheme val="minor"/>
      </rPr>
      <t xml:space="preserve"> - Penalties and Interest on Taxes (Received from Other Government Units)
</t>
    </r>
    <r>
      <rPr>
        <b/>
        <sz val="10"/>
        <color theme="1"/>
        <rFont val="Calibri"/>
        <family val="2"/>
        <scheme val="minor"/>
      </rPr>
      <t>1280</t>
    </r>
    <r>
      <rPr>
        <sz val="10"/>
        <color theme="1"/>
        <rFont val="Calibri"/>
        <family val="2"/>
        <scheme val="minor"/>
      </rPr>
      <t xml:space="preserve"> - Revenue in Lieu of Taxes (Received from Other Government Units)
</t>
    </r>
    <r>
      <rPr>
        <b/>
        <sz val="10"/>
        <color theme="1"/>
        <rFont val="Calibri"/>
        <family val="2"/>
        <scheme val="minor"/>
      </rPr>
      <t>1290</t>
    </r>
    <r>
      <rPr>
        <sz val="10"/>
        <color theme="1"/>
        <rFont val="Calibri"/>
        <family val="2"/>
        <scheme val="minor"/>
      </rPr>
      <t xml:space="preserve"> - Other Taxes (Received from Other Government Units)
</t>
    </r>
    <r>
      <rPr>
        <b/>
        <sz val="10"/>
        <color theme="1"/>
        <rFont val="Calibri"/>
        <family val="2"/>
        <scheme val="minor"/>
      </rPr>
      <t>1300</t>
    </r>
    <r>
      <rPr>
        <sz val="10"/>
        <color theme="1"/>
        <rFont val="Calibri"/>
        <family val="2"/>
        <scheme val="minor"/>
      </rPr>
      <t xml:space="preserve"> - Tuition
</t>
    </r>
    <r>
      <rPr>
        <b/>
        <sz val="10"/>
        <color theme="1"/>
        <rFont val="Calibri"/>
        <family val="2"/>
        <scheme val="minor"/>
      </rPr>
      <t>1310</t>
    </r>
    <r>
      <rPr>
        <sz val="10"/>
        <color theme="1"/>
        <rFont val="Calibri"/>
        <family val="2"/>
        <scheme val="minor"/>
      </rPr>
      <t xml:space="preserve"> - Tuition From Individuals
</t>
    </r>
    <r>
      <rPr>
        <b/>
        <sz val="10"/>
        <color theme="1"/>
        <rFont val="Calibri"/>
        <family val="2"/>
        <scheme val="minor"/>
      </rPr>
      <t>1311</t>
    </r>
    <r>
      <rPr>
        <sz val="10"/>
        <color theme="1"/>
        <rFont val="Calibri"/>
        <family val="2"/>
        <scheme val="minor"/>
      </rPr>
      <t xml:space="preserve"> - Tuition from Individuals Excluding Summer School
</t>
    </r>
    <r>
      <rPr>
        <b/>
        <sz val="10"/>
        <color theme="1"/>
        <rFont val="Calibri"/>
        <family val="2"/>
        <scheme val="minor"/>
      </rPr>
      <t>1312</t>
    </r>
    <r>
      <rPr>
        <sz val="10"/>
        <color theme="1"/>
        <rFont val="Calibri"/>
        <family val="2"/>
        <scheme val="minor"/>
      </rPr>
      <t xml:space="preserve"> - Tuition from Individuals for Summer School
</t>
    </r>
    <r>
      <rPr>
        <b/>
        <sz val="10"/>
        <color theme="1"/>
        <rFont val="Calibri"/>
        <family val="2"/>
        <scheme val="minor"/>
      </rPr>
      <t>1320</t>
    </r>
    <r>
      <rPr>
        <sz val="10"/>
        <color theme="1"/>
        <rFont val="Calibri"/>
        <family val="2"/>
        <scheme val="minor"/>
      </rPr>
      <t xml:space="preserve"> - Tuition from Other Government Sources Within the State
</t>
    </r>
    <r>
      <rPr>
        <b/>
        <sz val="10"/>
        <color theme="1"/>
        <rFont val="Calibri"/>
        <family val="2"/>
        <scheme val="minor"/>
      </rPr>
      <t>1321</t>
    </r>
    <r>
      <rPr>
        <sz val="10"/>
        <color theme="1"/>
        <rFont val="Calibri"/>
        <family val="2"/>
        <scheme val="minor"/>
      </rPr>
      <t xml:space="preserve"> - Tuition from Other School Districts Within the State
</t>
    </r>
    <r>
      <rPr>
        <b/>
        <sz val="10"/>
        <color theme="1"/>
        <rFont val="Calibri"/>
        <family val="2"/>
        <scheme val="minor"/>
      </rPr>
      <t>1322</t>
    </r>
    <r>
      <rPr>
        <sz val="10"/>
        <color theme="1"/>
        <rFont val="Calibri"/>
        <family val="2"/>
        <scheme val="minor"/>
      </rPr>
      <t xml:space="preserve"> - Tuition from Other Government Sources Excluding School Districts Within the State
</t>
    </r>
    <r>
      <rPr>
        <b/>
        <sz val="10"/>
        <color theme="1"/>
        <rFont val="Calibri"/>
        <family val="2"/>
        <scheme val="minor"/>
      </rPr>
      <t>1330</t>
    </r>
    <r>
      <rPr>
        <sz val="10"/>
        <color theme="1"/>
        <rFont val="Calibri"/>
        <family val="2"/>
        <scheme val="minor"/>
      </rPr>
      <t xml:space="preserve"> - Tuition from Other Government Sources Outside the State
</t>
    </r>
    <r>
      <rPr>
        <b/>
        <sz val="10"/>
        <color theme="1"/>
        <rFont val="Calibri"/>
        <family val="2"/>
        <scheme val="minor"/>
      </rPr>
      <t>1331</t>
    </r>
    <r>
      <rPr>
        <sz val="10"/>
        <color theme="1"/>
        <rFont val="Calibri"/>
        <family val="2"/>
        <scheme val="minor"/>
      </rPr>
      <t xml:space="preserve"> - Tuition from School Districts Outside the State
</t>
    </r>
    <r>
      <rPr>
        <b/>
        <sz val="10"/>
        <color theme="1"/>
        <rFont val="Calibri"/>
        <family val="2"/>
        <scheme val="minor"/>
      </rPr>
      <t>1340</t>
    </r>
    <r>
      <rPr>
        <sz val="10"/>
        <color theme="1"/>
        <rFont val="Calibri"/>
        <family val="2"/>
        <scheme val="minor"/>
      </rPr>
      <t xml:space="preserve"> - Tuition from Other Private Sources (Other Than Individuals)
</t>
    </r>
    <r>
      <rPr>
        <b/>
        <sz val="10"/>
        <color theme="1"/>
        <rFont val="Calibri"/>
        <family val="2"/>
        <scheme val="minor"/>
      </rPr>
      <t>1350</t>
    </r>
    <r>
      <rPr>
        <sz val="10"/>
        <color theme="1"/>
        <rFont val="Calibri"/>
        <family val="2"/>
        <scheme val="minor"/>
      </rPr>
      <t xml:space="preserve"> - Tuition from the State/Other School Districts for Voucher Program Students
</t>
    </r>
    <r>
      <rPr>
        <b/>
        <sz val="10"/>
        <color theme="1"/>
        <rFont val="Calibri"/>
        <family val="2"/>
        <scheme val="minor"/>
      </rPr>
      <t>1400</t>
    </r>
    <r>
      <rPr>
        <sz val="10"/>
        <color theme="1"/>
        <rFont val="Calibri"/>
        <family val="2"/>
        <scheme val="minor"/>
      </rPr>
      <t xml:space="preserve"> - Transportation Fees
</t>
    </r>
    <r>
      <rPr>
        <b/>
        <sz val="10"/>
        <color theme="1"/>
        <rFont val="Calibri"/>
        <family val="2"/>
        <scheme val="minor"/>
      </rPr>
      <t>1410</t>
    </r>
    <r>
      <rPr>
        <sz val="10"/>
        <color theme="1"/>
        <rFont val="Calibri"/>
        <family val="2"/>
        <scheme val="minor"/>
      </rPr>
      <t xml:space="preserve"> - Transportation Fees from Individuals
</t>
    </r>
    <r>
      <rPr>
        <b/>
        <sz val="10"/>
        <color theme="1"/>
        <rFont val="Calibri"/>
        <family val="2"/>
        <scheme val="minor"/>
      </rPr>
      <t>1420</t>
    </r>
    <r>
      <rPr>
        <sz val="10"/>
        <color theme="1"/>
        <rFont val="Calibri"/>
        <family val="2"/>
        <scheme val="minor"/>
      </rPr>
      <t xml:space="preserve"> - Transportation Fees from Other Government Sources Within the State
</t>
    </r>
    <r>
      <rPr>
        <b/>
        <sz val="10"/>
        <color theme="1"/>
        <rFont val="Calibri"/>
        <family val="2"/>
        <scheme val="minor"/>
      </rPr>
      <t>1421</t>
    </r>
    <r>
      <rPr>
        <sz val="10"/>
        <color theme="1"/>
        <rFont val="Calibri"/>
        <family val="2"/>
        <scheme val="minor"/>
      </rPr>
      <t xml:space="preserve"> - Transportation Fees from Other School Districts Within the State
</t>
    </r>
    <r>
      <rPr>
        <b/>
        <sz val="10"/>
        <color theme="1"/>
        <rFont val="Calibri"/>
        <family val="2"/>
        <scheme val="minor"/>
      </rPr>
      <t>1422</t>
    </r>
    <r>
      <rPr>
        <sz val="10"/>
        <color theme="1"/>
        <rFont val="Calibri"/>
        <family val="2"/>
        <scheme val="minor"/>
      </rPr>
      <t xml:space="preserve"> - Transportation Fees from Other Government Sources Excluding School Districts Within the State
</t>
    </r>
    <r>
      <rPr>
        <b/>
        <sz val="10"/>
        <color theme="1"/>
        <rFont val="Calibri"/>
        <family val="2"/>
        <scheme val="minor"/>
      </rPr>
      <t>1430</t>
    </r>
    <r>
      <rPr>
        <sz val="10"/>
        <color theme="1"/>
        <rFont val="Calibri"/>
        <family val="2"/>
        <scheme val="minor"/>
      </rPr>
      <t xml:space="preserve"> - Transportation Fees from Other Government Sources Outside the State
</t>
    </r>
    <r>
      <rPr>
        <b/>
        <sz val="10"/>
        <color theme="1"/>
        <rFont val="Calibri"/>
        <family val="2"/>
        <scheme val="minor"/>
      </rPr>
      <t>1431</t>
    </r>
    <r>
      <rPr>
        <sz val="10"/>
        <color theme="1"/>
        <rFont val="Calibri"/>
        <family val="2"/>
        <scheme val="minor"/>
      </rPr>
      <t xml:space="preserve"> - Transportation Fees from Other School Districts Outside the State
</t>
    </r>
    <r>
      <rPr>
        <b/>
        <sz val="10"/>
        <color theme="1"/>
        <rFont val="Calibri"/>
        <family val="2"/>
        <scheme val="minor"/>
      </rPr>
      <t>1440</t>
    </r>
    <r>
      <rPr>
        <sz val="10"/>
        <color theme="1"/>
        <rFont val="Calibri"/>
        <family val="2"/>
        <scheme val="minor"/>
      </rPr>
      <t xml:space="preserve"> - Transportation Fees from Other Private Sources (other than individuals)
</t>
    </r>
    <r>
      <rPr>
        <b/>
        <sz val="10"/>
        <color theme="1"/>
        <rFont val="Calibri"/>
        <family val="2"/>
        <scheme val="minor"/>
      </rPr>
      <t>1500</t>
    </r>
    <r>
      <rPr>
        <sz val="10"/>
        <color theme="1"/>
        <rFont val="Calibri"/>
        <family val="2"/>
        <scheme val="minor"/>
      </rPr>
      <t xml:space="preserve"> - Investment Income
</t>
    </r>
    <r>
      <rPr>
        <b/>
        <sz val="10"/>
        <color theme="1"/>
        <rFont val="Calibri"/>
        <family val="2"/>
        <scheme val="minor"/>
      </rPr>
      <t>1510</t>
    </r>
    <r>
      <rPr>
        <sz val="10"/>
        <color theme="1"/>
        <rFont val="Calibri"/>
        <family val="2"/>
        <scheme val="minor"/>
      </rPr>
      <t xml:space="preserve"> - Interest on Investments
</t>
    </r>
    <r>
      <rPr>
        <b/>
        <sz val="10"/>
        <color theme="1"/>
        <rFont val="Calibri"/>
        <family val="2"/>
        <scheme val="minor"/>
      </rPr>
      <t>1520</t>
    </r>
    <r>
      <rPr>
        <sz val="10"/>
        <color theme="1"/>
        <rFont val="Calibri"/>
        <family val="2"/>
        <scheme val="minor"/>
      </rPr>
      <t xml:space="preserve"> - Dividends on Investments
</t>
    </r>
    <r>
      <rPr>
        <b/>
        <sz val="10"/>
        <color theme="1"/>
        <rFont val="Calibri"/>
        <family val="2"/>
        <scheme val="minor"/>
      </rPr>
      <t>1530</t>
    </r>
    <r>
      <rPr>
        <sz val="10"/>
        <color theme="1"/>
        <rFont val="Calibri"/>
        <family val="2"/>
        <scheme val="minor"/>
      </rPr>
      <t xml:space="preserve"> - Net Increase in the Fair Value of Investments
</t>
    </r>
    <r>
      <rPr>
        <b/>
        <sz val="10"/>
        <color theme="1"/>
        <rFont val="Calibri"/>
        <family val="2"/>
        <scheme val="minor"/>
      </rPr>
      <t>1531</t>
    </r>
    <r>
      <rPr>
        <sz val="10"/>
        <color theme="1"/>
        <rFont val="Calibri"/>
        <family val="2"/>
        <scheme val="minor"/>
      </rPr>
      <t xml:space="preserve"> - Realized Gains (Losses) on Investments
</t>
    </r>
    <r>
      <rPr>
        <b/>
        <sz val="10"/>
        <color theme="1"/>
        <rFont val="Calibri"/>
        <family val="2"/>
        <scheme val="minor"/>
      </rPr>
      <t>1532</t>
    </r>
    <r>
      <rPr>
        <sz val="10"/>
        <color theme="1"/>
        <rFont val="Calibri"/>
        <family val="2"/>
        <scheme val="minor"/>
      </rPr>
      <t xml:space="preserve"> - Unrealized Gains (Losses) on Investments
</t>
    </r>
    <r>
      <rPr>
        <b/>
        <sz val="10"/>
        <color theme="1"/>
        <rFont val="Calibri"/>
        <family val="2"/>
        <scheme val="minor"/>
      </rPr>
      <t>1540</t>
    </r>
    <r>
      <rPr>
        <sz val="10"/>
        <color theme="1"/>
        <rFont val="Calibri"/>
        <family val="2"/>
        <scheme val="minor"/>
      </rPr>
      <t xml:space="preserve"> - Investment Income from Real Property
</t>
    </r>
    <r>
      <rPr>
        <b/>
        <sz val="10"/>
        <color theme="1"/>
        <rFont val="Calibri"/>
        <family val="2"/>
        <scheme val="minor"/>
      </rPr>
      <t>1600</t>
    </r>
    <r>
      <rPr>
        <sz val="10"/>
        <color theme="1"/>
        <rFont val="Calibri"/>
        <family val="2"/>
        <scheme val="minor"/>
      </rPr>
      <t xml:space="preserve"> - Food Services
</t>
    </r>
    <r>
      <rPr>
        <b/>
        <sz val="10"/>
        <color theme="1"/>
        <rFont val="Calibri"/>
        <family val="2"/>
        <scheme val="minor"/>
      </rPr>
      <t>1610</t>
    </r>
    <r>
      <rPr>
        <sz val="10"/>
        <color theme="1"/>
        <rFont val="Calibri"/>
        <family val="2"/>
        <scheme val="minor"/>
      </rPr>
      <t xml:space="preserve"> - Daily Sales-Reimbursable Programs
</t>
    </r>
    <r>
      <rPr>
        <b/>
        <sz val="10"/>
        <color theme="1"/>
        <rFont val="Calibri"/>
        <family val="2"/>
        <scheme val="minor"/>
      </rPr>
      <t>1611</t>
    </r>
    <r>
      <rPr>
        <sz val="10"/>
        <color theme="1"/>
        <rFont val="Calibri"/>
        <family val="2"/>
        <scheme val="minor"/>
      </rPr>
      <t xml:space="preserve"> - Daily Sales-School Lunch Program
</t>
    </r>
    <r>
      <rPr>
        <b/>
        <sz val="10"/>
        <color theme="1"/>
        <rFont val="Calibri"/>
        <family val="2"/>
        <scheme val="minor"/>
      </rPr>
      <t>1612</t>
    </r>
    <r>
      <rPr>
        <sz val="10"/>
        <color theme="1"/>
        <rFont val="Calibri"/>
        <family val="2"/>
        <scheme val="minor"/>
      </rPr>
      <t xml:space="preserve"> - Daily Sales-School Breakfast Program
</t>
    </r>
    <r>
      <rPr>
        <b/>
        <sz val="10"/>
        <color theme="1"/>
        <rFont val="Calibri"/>
        <family val="2"/>
        <scheme val="minor"/>
      </rPr>
      <t>1613</t>
    </r>
    <r>
      <rPr>
        <sz val="10"/>
        <color theme="1"/>
        <rFont val="Calibri"/>
        <family val="2"/>
        <scheme val="minor"/>
      </rPr>
      <t xml:space="preserve"> - Daily Sales-Special Milk Program
</t>
    </r>
    <r>
      <rPr>
        <b/>
        <sz val="10"/>
        <color theme="1"/>
        <rFont val="Calibri"/>
        <family val="2"/>
        <scheme val="minor"/>
      </rPr>
      <t>1614</t>
    </r>
    <r>
      <rPr>
        <sz val="10"/>
        <color theme="1"/>
        <rFont val="Calibri"/>
        <family val="2"/>
        <scheme val="minor"/>
      </rPr>
      <t xml:space="preserve"> - Daily Sales-After-School Programs
</t>
    </r>
    <r>
      <rPr>
        <b/>
        <sz val="10"/>
        <color theme="1"/>
        <rFont val="Calibri"/>
        <family val="2"/>
        <scheme val="minor"/>
      </rPr>
      <t>1620</t>
    </r>
    <r>
      <rPr>
        <sz val="10"/>
        <color theme="1"/>
        <rFont val="Calibri"/>
        <family val="2"/>
        <scheme val="minor"/>
      </rPr>
      <t xml:space="preserve"> - Daily Sales-Nonreimbursable Programs
</t>
    </r>
    <r>
      <rPr>
        <b/>
        <sz val="10"/>
        <color theme="1"/>
        <rFont val="Calibri"/>
        <family val="2"/>
        <scheme val="minor"/>
      </rPr>
      <t>1630</t>
    </r>
    <r>
      <rPr>
        <sz val="10"/>
        <color theme="1"/>
        <rFont val="Calibri"/>
        <family val="2"/>
        <scheme val="minor"/>
      </rPr>
      <t xml:space="preserve"> - Special Functions
</t>
    </r>
    <r>
      <rPr>
        <b/>
        <sz val="10"/>
        <color theme="1"/>
        <rFont val="Calibri"/>
        <family val="2"/>
        <scheme val="minor"/>
      </rPr>
      <t>1650</t>
    </r>
    <r>
      <rPr>
        <sz val="10"/>
        <color theme="1"/>
        <rFont val="Calibri"/>
        <family val="2"/>
        <scheme val="minor"/>
      </rPr>
      <t xml:space="preserve"> - Daily Sales-Summer Food Programs
</t>
    </r>
    <r>
      <rPr>
        <b/>
        <sz val="10"/>
        <color theme="1"/>
        <rFont val="Calibri"/>
        <family val="2"/>
        <scheme val="minor"/>
      </rPr>
      <t>1700</t>
    </r>
    <r>
      <rPr>
        <sz val="10"/>
        <color theme="1"/>
        <rFont val="Calibri"/>
        <family val="2"/>
        <scheme val="minor"/>
      </rPr>
      <t xml:space="preserve"> - District Activities
</t>
    </r>
    <r>
      <rPr>
        <b/>
        <sz val="10"/>
        <color theme="1"/>
        <rFont val="Calibri"/>
        <family val="2"/>
        <scheme val="minor"/>
      </rPr>
      <t>1710</t>
    </r>
    <r>
      <rPr>
        <sz val="10"/>
        <color theme="1"/>
        <rFont val="Calibri"/>
        <family val="2"/>
        <scheme val="minor"/>
      </rPr>
      <t xml:space="preserve"> - Admissions
</t>
    </r>
    <r>
      <rPr>
        <b/>
        <sz val="10"/>
        <color theme="1"/>
        <rFont val="Calibri"/>
        <family val="2"/>
        <scheme val="minor"/>
      </rPr>
      <t>1720</t>
    </r>
    <r>
      <rPr>
        <sz val="10"/>
        <color theme="1"/>
        <rFont val="Calibri"/>
        <family val="2"/>
        <scheme val="minor"/>
      </rPr>
      <t xml:space="preserve"> - Bookstore Sales
</t>
    </r>
    <r>
      <rPr>
        <b/>
        <sz val="10"/>
        <color theme="1"/>
        <rFont val="Calibri"/>
        <family val="2"/>
        <scheme val="minor"/>
      </rPr>
      <t>1730</t>
    </r>
    <r>
      <rPr>
        <sz val="10"/>
        <color theme="1"/>
        <rFont val="Calibri"/>
        <family val="2"/>
        <scheme val="minor"/>
      </rPr>
      <t xml:space="preserve"> - Student Organization Membership Dues and Fees
</t>
    </r>
    <r>
      <rPr>
        <b/>
        <sz val="10"/>
        <color theme="1"/>
        <rFont val="Calibri"/>
        <family val="2"/>
        <scheme val="minor"/>
      </rPr>
      <t>1740</t>
    </r>
    <r>
      <rPr>
        <sz val="10"/>
        <color theme="1"/>
        <rFont val="Calibri"/>
        <family val="2"/>
        <scheme val="minor"/>
      </rPr>
      <t xml:space="preserve"> - Fees
</t>
    </r>
    <r>
      <rPr>
        <b/>
        <sz val="10"/>
        <color theme="1"/>
        <rFont val="Calibri"/>
        <family val="2"/>
        <scheme val="minor"/>
      </rPr>
      <t>1750</t>
    </r>
    <r>
      <rPr>
        <sz val="10"/>
        <color theme="1"/>
        <rFont val="Calibri"/>
        <family val="2"/>
        <scheme val="minor"/>
      </rPr>
      <t xml:space="preserve"> - Revenue From Enterprise Activities
</t>
    </r>
    <r>
      <rPr>
        <b/>
        <sz val="10"/>
        <color theme="1"/>
        <rFont val="Calibri"/>
        <family val="2"/>
        <scheme val="minor"/>
      </rPr>
      <t>1790</t>
    </r>
    <r>
      <rPr>
        <sz val="10"/>
        <color theme="1"/>
        <rFont val="Calibri"/>
        <family val="2"/>
        <scheme val="minor"/>
      </rPr>
      <t xml:space="preserve"> - Other Activity Income
</t>
    </r>
    <r>
      <rPr>
        <b/>
        <sz val="10"/>
        <color theme="1"/>
        <rFont val="Calibri"/>
        <family val="2"/>
        <scheme val="minor"/>
      </rPr>
      <t>1800</t>
    </r>
    <r>
      <rPr>
        <sz val="10"/>
        <color theme="1"/>
        <rFont val="Calibri"/>
        <family val="2"/>
        <scheme val="minor"/>
      </rPr>
      <t xml:space="preserve"> - Revenue From Community Services Activities
</t>
    </r>
    <r>
      <rPr>
        <b/>
        <sz val="10"/>
        <color theme="1"/>
        <rFont val="Calibri"/>
        <family val="2"/>
        <scheme val="minor"/>
      </rPr>
      <t>1900</t>
    </r>
    <r>
      <rPr>
        <sz val="10"/>
        <color theme="1"/>
        <rFont val="Calibri"/>
        <family val="2"/>
        <scheme val="minor"/>
      </rPr>
      <t xml:space="preserve"> - Other Revenue From Local Sources
</t>
    </r>
    <r>
      <rPr>
        <b/>
        <sz val="10"/>
        <color theme="1"/>
        <rFont val="Calibri"/>
        <family val="2"/>
        <scheme val="minor"/>
      </rPr>
      <t>1910</t>
    </r>
    <r>
      <rPr>
        <sz val="10"/>
        <color theme="1"/>
        <rFont val="Calibri"/>
        <family val="2"/>
        <scheme val="minor"/>
      </rPr>
      <t xml:space="preserve"> - Rentals
</t>
    </r>
    <r>
      <rPr>
        <b/>
        <sz val="10"/>
        <color theme="1"/>
        <rFont val="Calibri"/>
        <family val="2"/>
        <scheme val="minor"/>
      </rPr>
      <t>1920</t>
    </r>
    <r>
      <rPr>
        <sz val="10"/>
        <color theme="1"/>
        <rFont val="Calibri"/>
        <family val="2"/>
        <scheme val="minor"/>
      </rPr>
      <t xml:space="preserve"> - Contributions and Donations From Private Sources
</t>
    </r>
    <r>
      <rPr>
        <b/>
        <sz val="10"/>
        <color theme="1"/>
        <rFont val="Calibri"/>
        <family val="2"/>
        <scheme val="minor"/>
      </rPr>
      <t>1930</t>
    </r>
    <r>
      <rPr>
        <sz val="10"/>
        <color theme="1"/>
        <rFont val="Calibri"/>
        <family val="2"/>
        <scheme val="minor"/>
      </rPr>
      <t xml:space="preserve"> - Gains or Losses on the Sale of Capital Assets
</t>
    </r>
    <r>
      <rPr>
        <b/>
        <sz val="10"/>
        <color theme="1"/>
        <rFont val="Calibri"/>
        <family val="2"/>
        <scheme val="minor"/>
      </rPr>
      <t>1940</t>
    </r>
    <r>
      <rPr>
        <sz val="10"/>
        <color theme="1"/>
        <rFont val="Calibri"/>
        <family val="2"/>
        <scheme val="minor"/>
      </rPr>
      <t xml:space="preserve"> - Textbook Sales and Rentals
</t>
    </r>
    <r>
      <rPr>
        <b/>
        <sz val="10"/>
        <color theme="1"/>
        <rFont val="Calibri"/>
        <family val="2"/>
        <scheme val="minor"/>
      </rPr>
      <t>1941</t>
    </r>
    <r>
      <rPr>
        <sz val="10"/>
        <color theme="1"/>
        <rFont val="Calibri"/>
        <family val="2"/>
        <scheme val="minor"/>
      </rPr>
      <t xml:space="preserve"> - Textbook Sales
</t>
    </r>
    <r>
      <rPr>
        <b/>
        <sz val="10"/>
        <color theme="1"/>
        <rFont val="Calibri"/>
        <family val="2"/>
        <scheme val="minor"/>
      </rPr>
      <t>1942</t>
    </r>
    <r>
      <rPr>
        <sz val="10"/>
        <color theme="1"/>
        <rFont val="Calibri"/>
        <family val="2"/>
        <scheme val="minor"/>
      </rPr>
      <t xml:space="preserve"> - Textbook Rentals
</t>
    </r>
    <r>
      <rPr>
        <b/>
        <sz val="10"/>
        <color theme="1"/>
        <rFont val="Calibri"/>
        <family val="2"/>
        <scheme val="minor"/>
      </rPr>
      <t>1950</t>
    </r>
    <r>
      <rPr>
        <sz val="10"/>
        <color theme="1"/>
        <rFont val="Calibri"/>
        <family val="2"/>
        <scheme val="minor"/>
      </rPr>
      <t xml:space="preserve"> - Miscellaneous Revenues From Other School Districts
</t>
    </r>
    <r>
      <rPr>
        <b/>
        <sz val="10"/>
        <color theme="1"/>
        <rFont val="Calibri"/>
        <family val="2"/>
        <scheme val="minor"/>
      </rPr>
      <t>1951</t>
    </r>
    <r>
      <rPr>
        <sz val="10"/>
        <color theme="1"/>
        <rFont val="Calibri"/>
        <family val="2"/>
        <scheme val="minor"/>
      </rPr>
      <t xml:space="preserve"> - Miscellaneous Revenue from Other School Districts Within the State
</t>
    </r>
    <r>
      <rPr>
        <b/>
        <sz val="10"/>
        <color theme="1"/>
        <rFont val="Calibri"/>
        <family val="2"/>
        <scheme val="minor"/>
      </rPr>
      <t>1952</t>
    </r>
    <r>
      <rPr>
        <sz val="10"/>
        <color theme="1"/>
        <rFont val="Calibri"/>
        <family val="2"/>
        <scheme val="minor"/>
      </rPr>
      <t xml:space="preserve"> - Miscellaneous Revenue from Other School Districts Outside the State
</t>
    </r>
    <r>
      <rPr>
        <b/>
        <sz val="10"/>
        <color theme="1"/>
        <rFont val="Calibri"/>
        <family val="2"/>
        <scheme val="minor"/>
      </rPr>
      <t>1960</t>
    </r>
    <r>
      <rPr>
        <sz val="10"/>
        <color theme="1"/>
        <rFont val="Calibri"/>
        <family val="2"/>
        <scheme val="minor"/>
      </rPr>
      <t xml:space="preserve"> - Miscellaneous Revenues from Other Local Governmental Units
</t>
    </r>
    <r>
      <rPr>
        <b/>
        <sz val="10"/>
        <color theme="1"/>
        <rFont val="Calibri"/>
        <family val="2"/>
        <scheme val="minor"/>
      </rPr>
      <t>1970</t>
    </r>
    <r>
      <rPr>
        <sz val="10"/>
        <color theme="1"/>
        <rFont val="Calibri"/>
        <family val="2"/>
        <scheme val="minor"/>
      </rPr>
      <t xml:space="preserve"> - Revenues From Other Departments in the Agency
</t>
    </r>
    <r>
      <rPr>
        <b/>
        <sz val="10"/>
        <color theme="1"/>
        <rFont val="Calibri"/>
        <family val="2"/>
        <scheme val="minor"/>
      </rPr>
      <t>1980</t>
    </r>
    <r>
      <rPr>
        <sz val="10"/>
        <color theme="1"/>
        <rFont val="Calibri"/>
        <family val="2"/>
        <scheme val="minor"/>
      </rPr>
      <t xml:space="preserve"> - Refund of Prior Year's Expenditures
</t>
    </r>
    <r>
      <rPr>
        <b/>
        <sz val="10"/>
        <color theme="1"/>
        <rFont val="Calibri"/>
        <family val="2"/>
        <scheme val="minor"/>
      </rPr>
      <t>1990</t>
    </r>
    <r>
      <rPr>
        <sz val="10"/>
        <color theme="1"/>
        <rFont val="Calibri"/>
        <family val="2"/>
        <scheme val="minor"/>
      </rPr>
      <t xml:space="preserve"> - Miscellaneous Local Revenue
</t>
    </r>
    <r>
      <rPr>
        <b/>
        <sz val="10"/>
        <color theme="1"/>
        <rFont val="Calibri"/>
        <family val="2"/>
        <scheme val="minor"/>
      </rPr>
      <t>2000</t>
    </r>
    <r>
      <rPr>
        <sz val="10"/>
        <color theme="1"/>
        <rFont val="Calibri"/>
        <family val="2"/>
        <scheme val="minor"/>
      </rPr>
      <t xml:space="preserve"> - Revenue From Intermediate Sources
</t>
    </r>
    <r>
      <rPr>
        <b/>
        <sz val="10"/>
        <color theme="1"/>
        <rFont val="Calibri"/>
        <family val="2"/>
        <scheme val="minor"/>
      </rPr>
      <t>2100</t>
    </r>
    <r>
      <rPr>
        <sz val="10"/>
        <color theme="1"/>
        <rFont val="Calibri"/>
        <family val="2"/>
        <scheme val="minor"/>
      </rPr>
      <t xml:space="preserve"> - Unrestricted Grants-in-Aid
</t>
    </r>
    <r>
      <rPr>
        <b/>
        <sz val="10"/>
        <color theme="1"/>
        <rFont val="Calibri"/>
        <family val="2"/>
        <scheme val="minor"/>
      </rPr>
      <t>2200</t>
    </r>
    <r>
      <rPr>
        <sz val="10"/>
        <color theme="1"/>
        <rFont val="Calibri"/>
        <family val="2"/>
        <scheme val="minor"/>
      </rPr>
      <t xml:space="preserve"> - Restricted Grants-in-Aid
</t>
    </r>
    <r>
      <rPr>
        <b/>
        <sz val="10"/>
        <color theme="1"/>
        <rFont val="Calibri"/>
        <family val="2"/>
        <scheme val="minor"/>
      </rPr>
      <t>2800</t>
    </r>
    <r>
      <rPr>
        <sz val="10"/>
        <color theme="1"/>
        <rFont val="Calibri"/>
        <family val="2"/>
        <scheme val="minor"/>
      </rPr>
      <t xml:space="preserve"> - Revenue in Lieu of Taxes
</t>
    </r>
    <r>
      <rPr>
        <b/>
        <sz val="10"/>
        <color theme="1"/>
        <rFont val="Calibri"/>
        <family val="2"/>
        <scheme val="minor"/>
      </rPr>
      <t>2900</t>
    </r>
    <r>
      <rPr>
        <sz val="10"/>
        <color theme="1"/>
        <rFont val="Calibri"/>
        <family val="2"/>
        <scheme val="minor"/>
      </rPr>
      <t xml:space="preserve"> - Revenue for/on Behalf of the School District
</t>
    </r>
    <r>
      <rPr>
        <b/>
        <sz val="10"/>
        <color theme="1"/>
        <rFont val="Calibri"/>
        <family val="2"/>
        <scheme val="minor"/>
      </rPr>
      <t>3000</t>
    </r>
    <r>
      <rPr>
        <sz val="10"/>
        <color theme="1"/>
        <rFont val="Calibri"/>
        <family val="2"/>
        <scheme val="minor"/>
      </rPr>
      <t xml:space="preserve"> - Revenue From State Sources
</t>
    </r>
    <r>
      <rPr>
        <b/>
        <sz val="10"/>
        <color theme="1"/>
        <rFont val="Calibri"/>
        <family val="2"/>
        <scheme val="minor"/>
      </rPr>
      <t>3100</t>
    </r>
    <r>
      <rPr>
        <sz val="10"/>
        <color theme="1"/>
        <rFont val="Calibri"/>
        <family val="2"/>
        <scheme val="minor"/>
      </rPr>
      <t xml:space="preserve"> - Unrestricted Grants-in-Aid
</t>
    </r>
    <r>
      <rPr>
        <b/>
        <sz val="10"/>
        <color theme="1"/>
        <rFont val="Calibri"/>
        <family val="2"/>
        <scheme val="minor"/>
      </rPr>
      <t>3200</t>
    </r>
    <r>
      <rPr>
        <sz val="10"/>
        <color theme="1"/>
        <rFont val="Calibri"/>
        <family val="2"/>
        <scheme val="minor"/>
      </rPr>
      <t xml:space="preserve"> - Restricted Grants-in-Aid
</t>
    </r>
    <r>
      <rPr>
        <b/>
        <sz val="10"/>
        <color theme="1"/>
        <rFont val="Calibri"/>
        <family val="2"/>
        <scheme val="minor"/>
      </rPr>
      <t>3700</t>
    </r>
    <r>
      <rPr>
        <sz val="10"/>
        <color theme="1"/>
        <rFont val="Calibri"/>
        <family val="2"/>
        <scheme val="minor"/>
      </rPr>
      <t xml:space="preserve"> - State Grants Through Intermediate Sources
</t>
    </r>
    <r>
      <rPr>
        <b/>
        <sz val="10"/>
        <color theme="1"/>
        <rFont val="Calibri"/>
        <family val="2"/>
        <scheme val="minor"/>
      </rPr>
      <t>3800</t>
    </r>
    <r>
      <rPr>
        <sz val="10"/>
        <color theme="1"/>
        <rFont val="Calibri"/>
        <family val="2"/>
        <scheme val="minor"/>
      </rPr>
      <t xml:space="preserve"> - Revenue in Lieu of Taxes
</t>
    </r>
    <r>
      <rPr>
        <b/>
        <sz val="10"/>
        <color theme="1"/>
        <rFont val="Calibri"/>
        <family val="2"/>
        <scheme val="minor"/>
      </rPr>
      <t>3900</t>
    </r>
    <r>
      <rPr>
        <sz val="10"/>
        <color theme="1"/>
        <rFont val="Calibri"/>
        <family val="2"/>
        <scheme val="minor"/>
      </rPr>
      <t xml:space="preserve"> - Revenue for/on Behalf of the School District
</t>
    </r>
    <r>
      <rPr>
        <b/>
        <sz val="10"/>
        <color theme="1"/>
        <rFont val="Calibri"/>
        <family val="2"/>
        <scheme val="minor"/>
      </rPr>
      <t>4000</t>
    </r>
    <r>
      <rPr>
        <sz val="10"/>
        <color theme="1"/>
        <rFont val="Calibri"/>
        <family val="2"/>
        <scheme val="minor"/>
      </rPr>
      <t xml:space="preserve"> - Revenue From Federal Sources
</t>
    </r>
    <r>
      <rPr>
        <b/>
        <sz val="10"/>
        <color theme="1"/>
        <rFont val="Calibri"/>
        <family val="2"/>
        <scheme val="minor"/>
      </rPr>
      <t>4100</t>
    </r>
    <r>
      <rPr>
        <sz val="10"/>
        <color theme="1"/>
        <rFont val="Calibri"/>
        <family val="2"/>
        <scheme val="minor"/>
      </rPr>
      <t xml:space="preserve"> - Unrestricted Grants-in-Aid Direct from the Federal Government
</t>
    </r>
    <r>
      <rPr>
        <b/>
        <sz val="10"/>
        <color theme="1"/>
        <rFont val="Calibri"/>
        <family val="2"/>
        <scheme val="minor"/>
      </rPr>
      <t>4200</t>
    </r>
    <r>
      <rPr>
        <sz val="10"/>
        <color theme="1"/>
        <rFont val="Calibri"/>
        <family val="2"/>
        <scheme val="minor"/>
      </rPr>
      <t xml:space="preserve"> - Unrestricted Grants-in-Aid from the Federal Government Through the State
</t>
    </r>
    <r>
      <rPr>
        <b/>
        <sz val="10"/>
        <color theme="1"/>
        <rFont val="Calibri"/>
        <family val="2"/>
        <scheme val="minor"/>
      </rPr>
      <t>4300</t>
    </r>
    <r>
      <rPr>
        <sz val="10"/>
        <color theme="1"/>
        <rFont val="Calibri"/>
        <family val="2"/>
        <scheme val="minor"/>
      </rPr>
      <t xml:space="preserve"> - Restricted Grants-in-Aid Direct From the Federal Government
</t>
    </r>
    <r>
      <rPr>
        <b/>
        <sz val="10"/>
        <color theme="1"/>
        <rFont val="Calibri"/>
        <family val="2"/>
        <scheme val="minor"/>
      </rPr>
      <t>4500</t>
    </r>
    <r>
      <rPr>
        <sz val="10"/>
        <color theme="1"/>
        <rFont val="Calibri"/>
        <family val="2"/>
        <scheme val="minor"/>
      </rPr>
      <t xml:space="preserve"> - Restricted Grants-in-Aid From the Federal Government Through the State
</t>
    </r>
    <r>
      <rPr>
        <b/>
        <sz val="10"/>
        <color theme="1"/>
        <rFont val="Calibri"/>
        <family val="2"/>
        <scheme val="minor"/>
      </rPr>
      <t>4700</t>
    </r>
    <r>
      <rPr>
        <sz val="10"/>
        <color theme="1"/>
        <rFont val="Calibri"/>
        <family val="2"/>
        <scheme val="minor"/>
      </rPr>
      <t xml:space="preserve"> - Grants-in-Aid From the Federal Government Through Other Intermediate Agencies
</t>
    </r>
    <r>
      <rPr>
        <b/>
        <sz val="10"/>
        <color theme="1"/>
        <rFont val="Calibri"/>
        <family val="2"/>
        <scheme val="minor"/>
      </rPr>
      <t>4800</t>
    </r>
    <r>
      <rPr>
        <sz val="10"/>
        <color theme="1"/>
        <rFont val="Calibri"/>
        <family val="2"/>
        <scheme val="minor"/>
      </rPr>
      <t xml:space="preserve"> - Revenue in Lieu of Taxes
</t>
    </r>
    <r>
      <rPr>
        <b/>
        <sz val="10"/>
        <color theme="1"/>
        <rFont val="Calibri"/>
        <family val="2"/>
        <scheme val="minor"/>
      </rPr>
      <t>4900</t>
    </r>
    <r>
      <rPr>
        <sz val="10"/>
        <color theme="1"/>
        <rFont val="Calibri"/>
        <family val="2"/>
        <scheme val="minor"/>
      </rPr>
      <t xml:space="preserve"> - Revenue for/on Behalf of the School District
</t>
    </r>
    <r>
      <rPr>
        <b/>
        <sz val="10"/>
        <color theme="1"/>
        <rFont val="Calibri"/>
        <family val="2"/>
        <scheme val="minor"/>
      </rPr>
      <t>5000</t>
    </r>
    <r>
      <rPr>
        <sz val="10"/>
        <color theme="1"/>
        <rFont val="Calibri"/>
        <family val="2"/>
        <scheme val="minor"/>
      </rPr>
      <t xml:space="preserve"> - Other Financing Sources
</t>
    </r>
    <r>
      <rPr>
        <b/>
        <sz val="10"/>
        <color theme="1"/>
        <rFont val="Calibri"/>
        <family val="2"/>
        <scheme val="minor"/>
      </rPr>
      <t>5100</t>
    </r>
    <r>
      <rPr>
        <sz val="10"/>
        <color theme="1"/>
        <rFont val="Calibri"/>
        <family val="2"/>
        <scheme val="minor"/>
      </rPr>
      <t xml:space="preserve"> - Issuance of Bonds
</t>
    </r>
    <r>
      <rPr>
        <b/>
        <sz val="10"/>
        <color theme="1"/>
        <rFont val="Calibri"/>
        <family val="2"/>
        <scheme val="minor"/>
      </rPr>
      <t>5110</t>
    </r>
    <r>
      <rPr>
        <sz val="10"/>
        <color theme="1"/>
        <rFont val="Calibri"/>
        <family val="2"/>
        <scheme val="minor"/>
      </rPr>
      <t xml:space="preserve"> - Bond Principal
</t>
    </r>
    <r>
      <rPr>
        <b/>
        <sz val="10"/>
        <color theme="1"/>
        <rFont val="Calibri"/>
        <family val="2"/>
        <scheme val="minor"/>
      </rPr>
      <t>5120</t>
    </r>
    <r>
      <rPr>
        <sz val="10"/>
        <color theme="1"/>
        <rFont val="Calibri"/>
        <family val="2"/>
        <scheme val="minor"/>
      </rPr>
      <t xml:space="preserve"> - Premium on the Issuance of Bonds
</t>
    </r>
    <r>
      <rPr>
        <b/>
        <sz val="10"/>
        <color theme="1"/>
        <rFont val="Calibri"/>
        <family val="2"/>
        <scheme val="minor"/>
      </rPr>
      <t>5200</t>
    </r>
    <r>
      <rPr>
        <sz val="10"/>
        <color theme="1"/>
        <rFont val="Calibri"/>
        <family val="2"/>
        <scheme val="minor"/>
      </rPr>
      <t xml:space="preserve"> - Fund Transfers In
</t>
    </r>
    <r>
      <rPr>
        <b/>
        <sz val="10"/>
        <color theme="1"/>
        <rFont val="Calibri"/>
        <family val="2"/>
        <scheme val="minor"/>
      </rPr>
      <t>5300</t>
    </r>
    <r>
      <rPr>
        <sz val="10"/>
        <color theme="1"/>
        <rFont val="Calibri"/>
        <family val="2"/>
        <scheme val="minor"/>
      </rPr>
      <t xml:space="preserve"> - Proceeds From the Disposal of Real or Personal Property
</t>
    </r>
    <r>
      <rPr>
        <b/>
        <sz val="10"/>
        <color theme="1"/>
        <rFont val="Calibri"/>
        <family val="2"/>
        <scheme val="minor"/>
      </rPr>
      <t>5400</t>
    </r>
    <r>
      <rPr>
        <sz val="10"/>
        <color theme="1"/>
        <rFont val="Calibri"/>
        <family val="2"/>
        <scheme val="minor"/>
      </rPr>
      <t xml:space="preserve"> - Loan Proceeds
</t>
    </r>
    <r>
      <rPr>
        <b/>
        <sz val="10"/>
        <color theme="1"/>
        <rFont val="Calibri"/>
        <family val="2"/>
        <scheme val="minor"/>
      </rPr>
      <t>5500</t>
    </r>
    <r>
      <rPr>
        <sz val="10"/>
        <color theme="1"/>
        <rFont val="Calibri"/>
        <family val="2"/>
        <scheme val="minor"/>
      </rPr>
      <t xml:space="preserve"> - Capital Lease Proceeds
</t>
    </r>
    <r>
      <rPr>
        <b/>
        <sz val="10"/>
        <color theme="1"/>
        <rFont val="Calibri"/>
        <family val="2"/>
        <scheme val="minor"/>
      </rPr>
      <t>5600</t>
    </r>
    <r>
      <rPr>
        <sz val="10"/>
        <color theme="1"/>
        <rFont val="Calibri"/>
        <family val="2"/>
        <scheme val="minor"/>
      </rPr>
      <t xml:space="preserve"> - Other Long-Term Debt Proceeds
</t>
    </r>
    <r>
      <rPr>
        <b/>
        <sz val="10"/>
        <color theme="1"/>
        <rFont val="Calibri"/>
        <family val="2"/>
        <scheme val="minor"/>
      </rPr>
      <t>6000</t>
    </r>
    <r>
      <rPr>
        <sz val="10"/>
        <color theme="1"/>
        <rFont val="Calibri"/>
        <family val="2"/>
        <scheme val="minor"/>
      </rPr>
      <t xml:space="preserve"> - Other Revenue Items
</t>
    </r>
    <r>
      <rPr>
        <b/>
        <sz val="10"/>
        <color theme="1"/>
        <rFont val="Calibri"/>
        <family val="2"/>
        <scheme val="minor"/>
      </rPr>
      <t>6100</t>
    </r>
    <r>
      <rPr>
        <sz val="10"/>
        <color theme="1"/>
        <rFont val="Calibri"/>
        <family val="2"/>
        <scheme val="minor"/>
      </rPr>
      <t xml:space="preserve"> - Capital Contributions
</t>
    </r>
    <r>
      <rPr>
        <b/>
        <sz val="10"/>
        <color theme="1"/>
        <rFont val="Calibri"/>
        <family val="2"/>
        <scheme val="minor"/>
      </rPr>
      <t>6200</t>
    </r>
    <r>
      <rPr>
        <sz val="10"/>
        <color theme="1"/>
        <rFont val="Calibri"/>
        <family val="2"/>
        <scheme val="minor"/>
      </rPr>
      <t xml:space="preserve"> - Amortization of Premium on Issuance of Bonds
</t>
    </r>
    <r>
      <rPr>
        <b/>
        <sz val="10"/>
        <color theme="1"/>
        <rFont val="Calibri"/>
        <family val="2"/>
        <scheme val="minor"/>
      </rPr>
      <t>6300</t>
    </r>
    <r>
      <rPr>
        <sz val="10"/>
        <color theme="1"/>
        <rFont val="Calibri"/>
        <family val="2"/>
        <scheme val="minor"/>
      </rPr>
      <t xml:space="preserve"> - Special Items
</t>
    </r>
    <r>
      <rPr>
        <b/>
        <sz val="10"/>
        <color theme="1"/>
        <rFont val="Calibri"/>
        <family val="2"/>
        <scheme val="minor"/>
      </rPr>
      <t>6400</t>
    </r>
    <r>
      <rPr>
        <sz val="10"/>
        <color theme="1"/>
        <rFont val="Calibri"/>
        <family val="2"/>
        <scheme val="minor"/>
      </rPr>
      <t xml:space="preserve"> - Extraordinary Items
</t>
    </r>
  </si>
  <si>
    <t>Early Learning -&gt; Early Learning Program
K12 -&gt; K12 School -&gt; Finance
K12 -&gt; LEA -&gt; Finance
K12 -&gt; Program -&gt; Finance
K12 -&gt; SEA -&gt; Finance</t>
  </si>
  <si>
    <t>001468</t>
  </si>
  <si>
    <t>FinancialAccountK12RevenueCode</t>
  </si>
  <si>
    <t>Early Learning: If related to an "in kind" contribution use codes 1920 or 100.</t>
  </si>
  <si>
    <t>Financial Account Name</t>
  </si>
  <si>
    <t>The name given to the financial account in an educational institution’s accounting system.</t>
  </si>
  <si>
    <t>001348</t>
  </si>
  <si>
    <t>FinancialAccountName</t>
  </si>
  <si>
    <t>Financial Account Number</t>
  </si>
  <si>
    <t>A number given to a financial account within a local source accounting system. The number may be a concatenation of a standard prefix for the type of account with digits added that have specific meaning within the local system.</t>
  </si>
  <si>
    <t>001554</t>
  </si>
  <si>
    <t>FinancialAccountNumber</t>
  </si>
  <si>
    <t>Financial Account Program Name</t>
  </si>
  <si>
    <t>The name given to the program area in an educational institution's accounting system.</t>
  </si>
  <si>
    <t>001645</t>
  </si>
  <si>
    <t>FinancialAccountProgramName</t>
  </si>
  <si>
    <t>Financial Account Program Number</t>
  </si>
  <si>
    <t>A number given to a program area within an educational institution's accounting system.</t>
  </si>
  <si>
    <t>001646</t>
  </si>
  <si>
    <t>FinancialAccountProgramNumber</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</si>
  <si>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</si>
  <si>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</si>
  <si>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</si>
  <si>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</si>
  <si>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</si>
  <si>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</si>
  <si>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</si>
  <si>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</si>
  <si>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</si>
  <si>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</si>
  <si>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</si>
  <si>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</si>
  <si>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</si>
  <si>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</si>
  <si>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</si>
  <si>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</si>
  <si>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</si>
  <si>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</si>
  <si>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</si>
  <si>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</si>
  <si>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</si>
  <si>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</si>
  <si>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</si>
  <si>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Any applicant who submits any one of the institutionally required financial aid applications/forms, such as the Free Application for Federal Student Aid (FAFSA).</t>
  </si>
  <si>
    <t>Postsecondary -&gt; PS Student -&gt; Financial Aid</t>
  </si>
  <si>
    <t>Common Data Set definition.</t>
  </si>
  <si>
    <t>000763</t>
  </si>
  <si>
    <t>FinancialAidApplicant</t>
  </si>
  <si>
    <t>Element should be used in combination with Financial Aid Applicant Type.</t>
  </si>
  <si>
    <t>Financial Aid Application Type</t>
  </si>
  <si>
    <t>The type of financial application completed by an individual.</t>
  </si>
  <si>
    <r>
      <t>FAFSA</t>
    </r>
    <r>
      <rPr>
        <sz val="10"/>
        <color theme="1"/>
        <rFont val="Calibri"/>
        <family val="2"/>
        <scheme val="minor"/>
      </rPr>
      <t xml:space="preserve"> - Free Application for Federal Student Aid (FAFSA)
</t>
    </r>
    <r>
      <rPr>
        <b/>
        <sz val="10"/>
        <color theme="1"/>
        <rFont val="Calibri"/>
        <family val="2"/>
        <scheme val="minor"/>
      </rPr>
      <t>StateApplication</t>
    </r>
    <r>
      <rPr>
        <sz val="10"/>
        <color theme="1"/>
        <rFont val="Calibri"/>
        <family val="2"/>
        <scheme val="minor"/>
      </rPr>
      <t xml:space="preserve"> - State Application
</t>
    </r>
    <r>
      <rPr>
        <b/>
        <sz val="10"/>
        <color theme="1"/>
        <rFont val="Calibri"/>
        <family val="2"/>
        <scheme val="minor"/>
      </rPr>
      <t>InstitutionApplication</t>
    </r>
    <r>
      <rPr>
        <sz val="10"/>
        <color theme="1"/>
        <rFont val="Calibri"/>
        <family val="2"/>
        <scheme val="minor"/>
      </rPr>
      <t xml:space="preserve"> - Institution Application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None</t>
    </r>
    <r>
      <rPr>
        <sz val="10"/>
        <color theme="1"/>
        <rFont val="Calibri"/>
        <family val="2"/>
        <scheme val="minor"/>
      </rPr>
      <t xml:space="preserve"> - None
</t>
    </r>
  </si>
  <si>
    <t>Common Data Set definition. This element may be repeated multiple times.</t>
  </si>
  <si>
    <t>001223</t>
  </si>
  <si>
    <t>FinancialAidApplicationType</t>
  </si>
  <si>
    <t>Financial Aid Award Amount</t>
  </si>
  <si>
    <t>The amount of financial aid awarded to a person for the term/year.</t>
  </si>
  <si>
    <t>Linked to financial aid award type.</t>
  </si>
  <si>
    <t>000112</t>
  </si>
  <si>
    <t>FinancialAidAwardAmount</t>
  </si>
  <si>
    <t>Postsecondary Education -&gt; Common Data Set
Postsecondary Education -&gt; Complete College America
Postsecondary Education -&gt; IPEDS</t>
  </si>
  <si>
    <t>Note: For any given individual this cluster of fields may be repeated multiple times.</t>
  </si>
  <si>
    <t>Financial Aid Award Status</t>
  </si>
  <si>
    <t>An indication of whether the financial aid type being reported is aid that has been awarded, accepted or dispersed.</t>
  </si>
  <si>
    <r>
      <t>Awarded</t>
    </r>
    <r>
      <rPr>
        <sz val="10"/>
        <color theme="1"/>
        <rFont val="Calibri"/>
        <family val="2"/>
        <scheme val="minor"/>
      </rPr>
      <t xml:space="preserve"> - Awarded
</t>
    </r>
    <r>
      <rPr>
        <b/>
        <sz val="10"/>
        <color theme="1"/>
        <rFont val="Calibri"/>
        <family val="2"/>
        <scheme val="minor"/>
      </rPr>
      <t>Accepted</t>
    </r>
    <r>
      <rPr>
        <sz val="10"/>
        <color theme="1"/>
        <rFont val="Calibri"/>
        <family val="2"/>
        <scheme val="minor"/>
      </rPr>
      <t xml:space="preserve"> - Accepted
</t>
    </r>
    <r>
      <rPr>
        <b/>
        <sz val="10"/>
        <color theme="1"/>
        <rFont val="Calibri"/>
        <family val="2"/>
        <scheme val="minor"/>
      </rPr>
      <t>Disbursed</t>
    </r>
    <r>
      <rPr>
        <sz val="10"/>
        <color theme="1"/>
        <rFont val="Calibri"/>
        <family val="2"/>
        <scheme val="minor"/>
      </rPr>
      <t xml:space="preserve"> - Disbursed
</t>
    </r>
    <r>
      <rPr>
        <b/>
        <sz val="10"/>
        <color theme="1"/>
        <rFont val="Calibri"/>
        <family val="2"/>
        <scheme val="minor"/>
      </rPr>
      <t>Declined</t>
    </r>
    <r>
      <rPr>
        <sz val="10"/>
        <color theme="1"/>
        <rFont val="Calibri"/>
        <family val="2"/>
        <scheme val="minor"/>
      </rPr>
      <t xml:space="preserve"> - Declined
</t>
    </r>
  </si>
  <si>
    <t>Linked to financial aid type, financial aid amount.</t>
  </si>
  <si>
    <t>000363</t>
  </si>
  <si>
    <t>FinancialAidAwardStatus</t>
  </si>
  <si>
    <t>Note: For any given individual this field may be repeated multiple times.</t>
  </si>
  <si>
    <t>Financial Aid Award Type</t>
  </si>
  <si>
    <t>The classification of financial aid awarded to a person for the academic term/year.</t>
  </si>
  <si>
    <r>
      <t>PellGrants</t>
    </r>
    <r>
      <rPr>
        <sz val="10"/>
        <color theme="1"/>
        <rFont val="Calibri"/>
        <family val="2"/>
        <scheme val="minor"/>
      </rPr>
      <t xml:space="preserve"> - Pell grants
</t>
    </r>
    <r>
      <rPr>
        <b/>
        <sz val="10"/>
        <color theme="1"/>
        <rFont val="Calibri"/>
        <family val="2"/>
        <scheme val="minor"/>
      </rPr>
      <t>OtherFederalGrants</t>
    </r>
    <r>
      <rPr>
        <sz val="10"/>
        <color theme="1"/>
        <rFont val="Calibri"/>
        <family val="2"/>
        <scheme val="minor"/>
      </rPr>
      <t xml:space="preserve"> - Other federal grants
</t>
    </r>
    <r>
      <rPr>
        <b/>
        <sz val="10"/>
        <color theme="1"/>
        <rFont val="Calibri"/>
        <family val="2"/>
        <scheme val="minor"/>
      </rPr>
      <t>StateAndLocalGrants</t>
    </r>
    <r>
      <rPr>
        <sz val="10"/>
        <color theme="1"/>
        <rFont val="Calibri"/>
        <family val="2"/>
        <scheme val="minor"/>
      </rPr>
      <t xml:space="preserve"> - State and local grants
</t>
    </r>
    <r>
      <rPr>
        <b/>
        <sz val="10"/>
        <color theme="1"/>
        <rFont val="Calibri"/>
        <family val="2"/>
        <scheme val="minor"/>
      </rPr>
      <t>InstitutionalGrants</t>
    </r>
    <r>
      <rPr>
        <sz val="10"/>
        <color theme="1"/>
        <rFont val="Calibri"/>
        <family val="2"/>
        <scheme val="minor"/>
      </rPr>
      <t xml:space="preserve"> - Institutional grants
</t>
    </r>
    <r>
      <rPr>
        <b/>
        <sz val="10"/>
        <color theme="1"/>
        <rFont val="Calibri"/>
        <family val="2"/>
        <scheme val="minor"/>
      </rPr>
      <t>PrivateGrants</t>
    </r>
    <r>
      <rPr>
        <sz val="10"/>
        <color theme="1"/>
        <rFont val="Calibri"/>
        <family val="2"/>
        <scheme val="minor"/>
      </rPr>
      <t xml:space="preserve"> - Private grants
</t>
    </r>
    <r>
      <rPr>
        <b/>
        <sz val="10"/>
        <color theme="1"/>
        <rFont val="Calibri"/>
        <family val="2"/>
        <scheme val="minor"/>
      </rPr>
      <t>OtherGrants</t>
    </r>
    <r>
      <rPr>
        <sz val="10"/>
        <color theme="1"/>
        <rFont val="Calibri"/>
        <family val="2"/>
        <scheme val="minor"/>
      </rPr>
      <t xml:space="preserve"> - Other grants
</t>
    </r>
    <r>
      <rPr>
        <b/>
        <sz val="10"/>
        <color theme="1"/>
        <rFont val="Calibri"/>
        <family val="2"/>
        <scheme val="minor"/>
      </rPr>
      <t>Assistantships</t>
    </r>
    <r>
      <rPr>
        <sz val="10"/>
        <color theme="1"/>
        <rFont val="Calibri"/>
        <family val="2"/>
        <scheme val="minor"/>
      </rPr>
      <t xml:space="preserve"> - Assistantships
</t>
    </r>
    <r>
      <rPr>
        <b/>
        <sz val="10"/>
        <color theme="1"/>
        <rFont val="Calibri"/>
        <family val="2"/>
        <scheme val="minor"/>
      </rPr>
      <t>FederalScholarships</t>
    </r>
    <r>
      <rPr>
        <sz val="10"/>
        <color theme="1"/>
        <rFont val="Calibri"/>
        <family val="2"/>
        <scheme val="minor"/>
      </rPr>
      <t xml:space="preserve"> - Federal scholarships
</t>
    </r>
    <r>
      <rPr>
        <b/>
        <sz val="10"/>
        <color theme="1"/>
        <rFont val="Calibri"/>
        <family val="2"/>
        <scheme val="minor"/>
      </rPr>
      <t>StateAndLocalScholarships</t>
    </r>
    <r>
      <rPr>
        <sz val="10"/>
        <color theme="1"/>
        <rFont val="Calibri"/>
        <family val="2"/>
        <scheme val="minor"/>
      </rPr>
      <t xml:space="preserve"> - State and local scholarships
</t>
    </r>
    <r>
      <rPr>
        <b/>
        <sz val="10"/>
        <color theme="1"/>
        <rFont val="Calibri"/>
        <family val="2"/>
        <scheme val="minor"/>
      </rPr>
      <t>InstitutionalScholarships</t>
    </r>
    <r>
      <rPr>
        <sz val="10"/>
        <color theme="1"/>
        <rFont val="Calibri"/>
        <family val="2"/>
        <scheme val="minor"/>
      </rPr>
      <t xml:space="preserve"> - Institutional scholarships
</t>
    </r>
    <r>
      <rPr>
        <b/>
        <sz val="10"/>
        <color theme="1"/>
        <rFont val="Calibri"/>
        <family val="2"/>
        <scheme val="minor"/>
      </rPr>
      <t>PrivateScholarships</t>
    </r>
    <r>
      <rPr>
        <sz val="10"/>
        <color theme="1"/>
        <rFont val="Calibri"/>
        <family val="2"/>
        <scheme val="minor"/>
      </rPr>
      <t xml:space="preserve"> - Private scholarships
</t>
    </r>
    <r>
      <rPr>
        <b/>
        <sz val="10"/>
        <color theme="1"/>
        <rFont val="Calibri"/>
        <family val="2"/>
        <scheme val="minor"/>
      </rPr>
      <t>OtherScholarships</t>
    </r>
    <r>
      <rPr>
        <sz val="10"/>
        <color theme="1"/>
        <rFont val="Calibri"/>
        <family val="2"/>
        <scheme val="minor"/>
      </rPr>
      <t xml:space="preserve"> - Other scholarships
</t>
    </r>
    <r>
      <rPr>
        <b/>
        <sz val="10"/>
        <color theme="1"/>
        <rFont val="Calibri"/>
        <family val="2"/>
        <scheme val="minor"/>
      </rPr>
      <t>FederalSubsidizedLoans</t>
    </r>
    <r>
      <rPr>
        <sz val="10"/>
        <color theme="1"/>
        <rFont val="Calibri"/>
        <family val="2"/>
        <scheme val="minor"/>
      </rPr>
      <t xml:space="preserve"> - Federal subsidized loans
</t>
    </r>
    <r>
      <rPr>
        <b/>
        <sz val="10"/>
        <color theme="1"/>
        <rFont val="Calibri"/>
        <family val="2"/>
        <scheme val="minor"/>
      </rPr>
      <t>FederalUnsubsidizedLoans</t>
    </r>
    <r>
      <rPr>
        <sz val="10"/>
        <color theme="1"/>
        <rFont val="Calibri"/>
        <family val="2"/>
        <scheme val="minor"/>
      </rPr>
      <t xml:space="preserve"> - Federal unsubsidized loans
</t>
    </r>
    <r>
      <rPr>
        <b/>
        <sz val="10"/>
        <color theme="1"/>
        <rFont val="Calibri"/>
        <family val="2"/>
        <scheme val="minor"/>
      </rPr>
      <t>PrivateLoans</t>
    </r>
    <r>
      <rPr>
        <sz val="10"/>
        <color theme="1"/>
        <rFont val="Calibri"/>
        <family val="2"/>
        <scheme val="minor"/>
      </rPr>
      <t xml:space="preserve"> - Private loans
</t>
    </r>
    <r>
      <rPr>
        <b/>
        <sz val="10"/>
        <color theme="1"/>
        <rFont val="Calibri"/>
        <family val="2"/>
        <scheme val="minor"/>
      </rPr>
      <t>StateLoans</t>
    </r>
    <r>
      <rPr>
        <sz val="10"/>
        <color theme="1"/>
        <rFont val="Calibri"/>
        <family val="2"/>
        <scheme val="minor"/>
      </rPr>
      <t xml:space="preserve"> - State loans
</t>
    </r>
    <r>
      <rPr>
        <b/>
        <sz val="10"/>
        <color theme="1"/>
        <rFont val="Calibri"/>
        <family val="2"/>
        <scheme val="minor"/>
      </rPr>
      <t>InstitutionalLoans</t>
    </r>
    <r>
      <rPr>
        <sz val="10"/>
        <color theme="1"/>
        <rFont val="Calibri"/>
        <family val="2"/>
        <scheme val="minor"/>
      </rPr>
      <t xml:space="preserve"> - Institutional loans
</t>
    </r>
    <r>
      <rPr>
        <b/>
        <sz val="10"/>
        <color theme="1"/>
        <rFont val="Calibri"/>
        <family val="2"/>
        <scheme val="minor"/>
      </rPr>
      <t>ParentPLUSLoans</t>
    </r>
    <r>
      <rPr>
        <sz val="10"/>
        <color theme="1"/>
        <rFont val="Calibri"/>
        <family val="2"/>
        <scheme val="minor"/>
      </rPr>
      <t xml:space="preserve"> - Parent PLUS loans
</t>
    </r>
    <r>
      <rPr>
        <b/>
        <sz val="10"/>
        <color theme="1"/>
        <rFont val="Calibri"/>
        <family val="2"/>
        <scheme val="minor"/>
      </rPr>
      <t>OtherLoans</t>
    </r>
    <r>
      <rPr>
        <sz val="10"/>
        <color theme="1"/>
        <rFont val="Calibri"/>
        <family val="2"/>
        <scheme val="minor"/>
      </rPr>
      <t xml:space="preserve"> - Other loans
</t>
    </r>
    <r>
      <rPr>
        <b/>
        <sz val="10"/>
        <color theme="1"/>
        <rFont val="Calibri"/>
        <family val="2"/>
        <scheme val="minor"/>
      </rPr>
      <t>StateWork</t>
    </r>
    <r>
      <rPr>
        <sz val="10"/>
        <color theme="1"/>
        <rFont val="Calibri"/>
        <family val="2"/>
        <scheme val="minor"/>
      </rPr>
      <t xml:space="preserve"> - State work
</t>
    </r>
    <r>
      <rPr>
        <b/>
        <sz val="10"/>
        <color theme="1"/>
        <rFont val="Calibri"/>
        <family val="2"/>
        <scheme val="minor"/>
      </rPr>
      <t>FederalWorkStudy</t>
    </r>
    <r>
      <rPr>
        <sz val="10"/>
        <color theme="1"/>
        <rFont val="Calibri"/>
        <family val="2"/>
        <scheme val="minor"/>
      </rPr>
      <t xml:space="preserve"> - Federal work study
</t>
    </r>
    <r>
      <rPr>
        <b/>
        <sz val="10"/>
        <color theme="1"/>
        <rFont val="Calibri"/>
        <family val="2"/>
        <scheme val="minor"/>
      </rPr>
      <t>OtherOnCampusWork</t>
    </r>
    <r>
      <rPr>
        <sz val="10"/>
        <color theme="1"/>
        <rFont val="Calibri"/>
        <family val="2"/>
        <scheme val="minor"/>
      </rPr>
      <t xml:space="preserve"> - Other on-campus work
</t>
    </r>
  </si>
  <si>
    <t>Linked to financial aid type.</t>
  </si>
  <si>
    <t>000113</t>
  </si>
  <si>
    <t>FinancialAidAwardType</t>
  </si>
  <si>
    <t>Financial Aid Income Level</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</si>
  <si>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</si>
  <si>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001352</t>
  </si>
  <si>
    <t>FinancialAidIncomeLevel</t>
  </si>
  <si>
    <t>Financial Aid Veteran’s Benefit Status</t>
  </si>
  <si>
    <t>An indication of whether a person is receiving Veteran's benefits.</t>
  </si>
  <si>
    <r>
      <t>VeteranReceivingBenefits</t>
    </r>
    <r>
      <rPr>
        <sz val="10"/>
        <color theme="1"/>
        <rFont val="Calibri"/>
        <family val="2"/>
        <scheme val="minor"/>
      </rPr>
      <t xml:space="preserve"> - Veteran receiving benefits
</t>
    </r>
    <r>
      <rPr>
        <b/>
        <sz val="10"/>
        <color theme="1"/>
        <rFont val="Calibri"/>
        <family val="2"/>
        <scheme val="minor"/>
      </rPr>
      <t>VeteranDoesNotReceiveBenefits</t>
    </r>
    <r>
      <rPr>
        <sz val="10"/>
        <color theme="1"/>
        <rFont val="Calibri"/>
        <family val="2"/>
        <scheme val="minor"/>
      </rPr>
      <t xml:space="preserve"> - Veteran does not receive benefits
</t>
    </r>
    <r>
      <rPr>
        <b/>
        <sz val="10"/>
        <color theme="1"/>
        <rFont val="Calibri"/>
        <family val="2"/>
        <scheme val="minor"/>
      </rPr>
      <t>DependentReceivingBenefits</t>
    </r>
    <r>
      <rPr>
        <sz val="10"/>
        <color theme="1"/>
        <rFont val="Calibri"/>
        <family val="2"/>
        <scheme val="minor"/>
      </rPr>
      <t xml:space="preserve"> - Dependent receiving benefits
</t>
    </r>
  </si>
  <si>
    <t>001609</t>
  </si>
  <si>
    <t>FinancialAidVeteransBenefitStatus</t>
  </si>
  <si>
    <t>Financial Aid Veteran’s Benefit Type</t>
  </si>
  <si>
    <t>The type of Veteran's benefits a person is receiving.</t>
  </si>
  <si>
    <r>
      <t>Post911GIBill</t>
    </r>
    <r>
      <rPr>
        <sz val="10"/>
        <color theme="1"/>
        <rFont val="Calibri"/>
        <family val="2"/>
        <scheme val="minor"/>
      </rPr>
      <t xml:space="preserve"> - Post-9/11 GI Bill
</t>
    </r>
    <r>
      <rPr>
        <b/>
        <sz val="10"/>
        <color theme="1"/>
        <rFont val="Calibri"/>
        <family val="2"/>
        <scheme val="minor"/>
      </rPr>
      <t>DODTuitionAssistance</t>
    </r>
    <r>
      <rPr>
        <sz val="10"/>
        <color theme="1"/>
        <rFont val="Calibri"/>
        <family val="2"/>
        <scheme val="minor"/>
      </rPr>
      <t xml:space="preserve"> - Department of Defense Tuition Assistance
</t>
    </r>
  </si>
  <si>
    <t>001610</t>
  </si>
  <si>
    <t>FinancialAidVeteransBenefitType</t>
  </si>
  <si>
    <t>Financial Aid Year Designator</t>
  </si>
  <si>
    <t>The school year for which the student's financial aid application and award data apply. Generally, this is the 12-month period from July 1 to June 30.</t>
  </si>
  <si>
    <t>001611</t>
  </si>
  <si>
    <t>FinancialAidYearDesignator</t>
  </si>
  <si>
    <t>Financial Expenditure K12 Function Code</t>
  </si>
  <si>
    <t>The function describes the activity for which a service or material object is acquired. The functions of a school district are classified into five broad areas: instruction, support services, operation of noninstructional services, facilities acquisition and construction, and debt service. Functions are further classified into sub functions.</t>
  </si>
  <si>
    <r>
      <t>1000</t>
    </r>
    <r>
      <rPr>
        <sz val="10"/>
        <color theme="1"/>
        <rFont val="Calibri"/>
        <family val="2"/>
        <scheme val="minor"/>
      </rPr>
      <t xml:space="preserve"> - Instruction
</t>
    </r>
    <r>
      <rPr>
        <b/>
        <sz val="10"/>
        <color theme="1"/>
        <rFont val="Calibri"/>
        <family val="2"/>
        <scheme val="minor"/>
      </rPr>
      <t>2000</t>
    </r>
    <r>
      <rPr>
        <sz val="10"/>
        <color theme="1"/>
        <rFont val="Calibri"/>
        <family val="2"/>
        <scheme val="minor"/>
      </rPr>
      <t xml:space="preserve"> - Support Services
</t>
    </r>
    <r>
      <rPr>
        <b/>
        <sz val="10"/>
        <color theme="1"/>
        <rFont val="Calibri"/>
        <family val="2"/>
        <scheme val="minor"/>
      </rPr>
      <t>2100</t>
    </r>
    <r>
      <rPr>
        <sz val="10"/>
        <color theme="1"/>
        <rFont val="Calibri"/>
        <family val="2"/>
        <scheme val="minor"/>
      </rPr>
      <t xml:space="preserve"> - Support Services-Students
</t>
    </r>
    <r>
      <rPr>
        <b/>
        <sz val="10"/>
        <color theme="1"/>
        <rFont val="Calibri"/>
        <family val="2"/>
        <scheme val="minor"/>
      </rPr>
      <t>2110</t>
    </r>
    <r>
      <rPr>
        <sz val="10"/>
        <color theme="1"/>
        <rFont val="Calibri"/>
        <family val="2"/>
        <scheme val="minor"/>
      </rPr>
      <t xml:space="preserve"> - Attendance and Social Work Services
</t>
    </r>
    <r>
      <rPr>
        <b/>
        <sz val="10"/>
        <color theme="1"/>
        <rFont val="Calibri"/>
        <family val="2"/>
        <scheme val="minor"/>
      </rPr>
      <t>2120</t>
    </r>
    <r>
      <rPr>
        <sz val="10"/>
        <color theme="1"/>
        <rFont val="Calibri"/>
        <family val="2"/>
        <scheme val="minor"/>
      </rPr>
      <t xml:space="preserve"> - Guidance Services
</t>
    </r>
    <r>
      <rPr>
        <b/>
        <sz val="10"/>
        <color theme="1"/>
        <rFont val="Calibri"/>
        <family val="2"/>
        <scheme val="minor"/>
      </rPr>
      <t>2130</t>
    </r>
    <r>
      <rPr>
        <sz val="10"/>
        <color theme="1"/>
        <rFont val="Calibri"/>
        <family val="2"/>
        <scheme val="minor"/>
      </rPr>
      <t xml:space="preserve"> - Health Services
</t>
    </r>
    <r>
      <rPr>
        <b/>
        <sz val="10"/>
        <color theme="1"/>
        <rFont val="Calibri"/>
        <family val="2"/>
        <scheme val="minor"/>
      </rPr>
      <t>2140</t>
    </r>
    <r>
      <rPr>
        <sz val="10"/>
        <color theme="1"/>
        <rFont val="Calibri"/>
        <family val="2"/>
        <scheme val="minor"/>
      </rPr>
      <t xml:space="preserve"> - Psychological Services
</t>
    </r>
    <r>
      <rPr>
        <b/>
        <sz val="10"/>
        <color theme="1"/>
        <rFont val="Calibri"/>
        <family val="2"/>
        <scheme val="minor"/>
      </rPr>
      <t>2150</t>
    </r>
    <r>
      <rPr>
        <sz val="10"/>
        <color theme="1"/>
        <rFont val="Calibri"/>
        <family val="2"/>
        <scheme val="minor"/>
      </rPr>
      <t xml:space="preserve"> - Speech Pathology and Audiology Services
</t>
    </r>
    <r>
      <rPr>
        <b/>
        <sz val="10"/>
        <color theme="1"/>
        <rFont val="Calibri"/>
        <family val="2"/>
        <scheme val="minor"/>
      </rPr>
      <t>2160</t>
    </r>
    <r>
      <rPr>
        <sz val="10"/>
        <color theme="1"/>
        <rFont val="Calibri"/>
        <family val="2"/>
        <scheme val="minor"/>
      </rPr>
      <t xml:space="preserve"> - Occupational Therapy-Related Services
</t>
    </r>
    <r>
      <rPr>
        <b/>
        <sz val="10"/>
        <color theme="1"/>
        <rFont val="Calibri"/>
        <family val="2"/>
        <scheme val="minor"/>
      </rPr>
      <t>2170</t>
    </r>
    <r>
      <rPr>
        <sz val="10"/>
        <color theme="1"/>
        <rFont val="Calibri"/>
        <family val="2"/>
        <scheme val="minor"/>
      </rPr>
      <t xml:space="preserve"> - Physical Therapy-Related Services
</t>
    </r>
    <r>
      <rPr>
        <b/>
        <sz val="10"/>
        <color theme="1"/>
        <rFont val="Calibri"/>
        <family val="2"/>
        <scheme val="minor"/>
      </rPr>
      <t>2180</t>
    </r>
    <r>
      <rPr>
        <sz val="10"/>
        <color theme="1"/>
        <rFont val="Calibri"/>
        <family val="2"/>
        <scheme val="minor"/>
      </rPr>
      <t xml:space="preserve"> - Visually Impaired/Vision Services
</t>
    </r>
    <r>
      <rPr>
        <b/>
        <sz val="10"/>
        <color theme="1"/>
        <rFont val="Calibri"/>
        <family val="2"/>
        <scheme val="minor"/>
      </rPr>
      <t>2190</t>
    </r>
    <r>
      <rPr>
        <sz val="10"/>
        <color theme="1"/>
        <rFont val="Calibri"/>
        <family val="2"/>
        <scheme val="minor"/>
      </rPr>
      <t xml:space="preserve"> - Other Support Services-Student
</t>
    </r>
    <r>
      <rPr>
        <b/>
        <sz val="10"/>
        <color theme="1"/>
        <rFont val="Calibri"/>
        <family val="2"/>
        <scheme val="minor"/>
      </rPr>
      <t>2200</t>
    </r>
    <r>
      <rPr>
        <sz val="10"/>
        <color theme="1"/>
        <rFont val="Calibri"/>
        <family val="2"/>
        <scheme val="minor"/>
      </rPr>
      <t xml:space="preserve"> - Support Services-Instruction
</t>
    </r>
    <r>
      <rPr>
        <b/>
        <sz val="10"/>
        <color theme="1"/>
        <rFont val="Calibri"/>
        <family val="2"/>
        <scheme val="minor"/>
      </rPr>
      <t>2210</t>
    </r>
    <r>
      <rPr>
        <sz val="10"/>
        <color theme="1"/>
        <rFont val="Calibri"/>
        <family val="2"/>
        <scheme val="minor"/>
      </rPr>
      <t xml:space="preserve"> - Improvement of Instruction
</t>
    </r>
    <r>
      <rPr>
        <b/>
        <sz val="10"/>
        <color theme="1"/>
        <rFont val="Calibri"/>
        <family val="2"/>
        <scheme val="minor"/>
      </rPr>
      <t>2212</t>
    </r>
    <r>
      <rPr>
        <sz val="10"/>
        <color theme="1"/>
        <rFont val="Calibri"/>
        <family val="2"/>
        <scheme val="minor"/>
      </rPr>
      <t xml:space="preserve"> - Instruction and Curriculum Development
</t>
    </r>
    <r>
      <rPr>
        <b/>
        <sz val="10"/>
        <color theme="1"/>
        <rFont val="Calibri"/>
        <family val="2"/>
        <scheme val="minor"/>
      </rPr>
      <t>2213</t>
    </r>
    <r>
      <rPr>
        <sz val="10"/>
        <color theme="1"/>
        <rFont val="Calibri"/>
        <family val="2"/>
        <scheme val="minor"/>
      </rPr>
      <t xml:space="preserve"> - Instructional Staff Training
</t>
    </r>
    <r>
      <rPr>
        <b/>
        <sz val="10"/>
        <color theme="1"/>
        <rFont val="Calibri"/>
        <family val="2"/>
        <scheme val="minor"/>
      </rPr>
      <t>2219</t>
    </r>
    <r>
      <rPr>
        <sz val="10"/>
        <color theme="1"/>
        <rFont val="Calibri"/>
        <family val="2"/>
        <scheme val="minor"/>
      </rPr>
      <t xml:space="preserve"> - Other Improvement of Instruction Services
</t>
    </r>
    <r>
      <rPr>
        <b/>
        <sz val="10"/>
        <color theme="1"/>
        <rFont val="Calibri"/>
        <family val="2"/>
        <scheme val="minor"/>
      </rPr>
      <t>2220</t>
    </r>
    <r>
      <rPr>
        <sz val="10"/>
        <color theme="1"/>
        <rFont val="Calibri"/>
        <family val="2"/>
        <scheme val="minor"/>
      </rPr>
      <t xml:space="preserve"> - Library/Media Services
</t>
    </r>
    <r>
      <rPr>
        <b/>
        <sz val="10"/>
        <color theme="1"/>
        <rFont val="Calibri"/>
        <family val="2"/>
        <scheme val="minor"/>
      </rPr>
      <t>2230</t>
    </r>
    <r>
      <rPr>
        <sz val="10"/>
        <color theme="1"/>
        <rFont val="Calibri"/>
        <family val="2"/>
        <scheme val="minor"/>
      </rPr>
      <t xml:space="preserve"> - Instruction-Related Technology
</t>
    </r>
    <r>
      <rPr>
        <b/>
        <sz val="10"/>
        <color theme="1"/>
        <rFont val="Calibri"/>
        <family val="2"/>
        <scheme val="minor"/>
      </rPr>
      <t>2240</t>
    </r>
    <r>
      <rPr>
        <sz val="10"/>
        <color theme="1"/>
        <rFont val="Calibri"/>
        <family val="2"/>
        <scheme val="minor"/>
      </rPr>
      <t xml:space="preserve"> - Academic Student Assessment
</t>
    </r>
    <r>
      <rPr>
        <b/>
        <sz val="10"/>
        <color theme="1"/>
        <rFont val="Calibri"/>
        <family val="2"/>
        <scheme val="minor"/>
      </rPr>
      <t>2290</t>
    </r>
    <r>
      <rPr>
        <sz val="10"/>
        <color theme="1"/>
        <rFont val="Calibri"/>
        <family val="2"/>
        <scheme val="minor"/>
      </rPr>
      <t xml:space="preserve"> - Other Support Services-Instructional Staff
</t>
    </r>
    <r>
      <rPr>
        <b/>
        <sz val="10"/>
        <color theme="1"/>
        <rFont val="Calibri"/>
        <family val="2"/>
        <scheme val="minor"/>
      </rPr>
      <t>2300</t>
    </r>
    <r>
      <rPr>
        <sz val="10"/>
        <color theme="1"/>
        <rFont val="Calibri"/>
        <family val="2"/>
        <scheme val="minor"/>
      </rPr>
      <t xml:space="preserve"> - Support Services-General Administration
</t>
    </r>
    <r>
      <rPr>
        <b/>
        <sz val="10"/>
        <color theme="1"/>
        <rFont val="Calibri"/>
        <family val="2"/>
        <scheme val="minor"/>
      </rPr>
      <t>2310</t>
    </r>
    <r>
      <rPr>
        <sz val="10"/>
        <color theme="1"/>
        <rFont val="Calibri"/>
        <family val="2"/>
        <scheme val="minor"/>
      </rPr>
      <t xml:space="preserve"> - Board of Education
</t>
    </r>
    <r>
      <rPr>
        <b/>
        <sz val="10"/>
        <color theme="1"/>
        <rFont val="Calibri"/>
        <family val="2"/>
        <scheme val="minor"/>
      </rPr>
      <t>2320</t>
    </r>
    <r>
      <rPr>
        <sz val="10"/>
        <color theme="1"/>
        <rFont val="Calibri"/>
        <family val="2"/>
        <scheme val="minor"/>
      </rPr>
      <t xml:space="preserve"> - Executive Administration
</t>
    </r>
    <r>
      <rPr>
        <b/>
        <sz val="10"/>
        <color theme="1"/>
        <rFont val="Calibri"/>
        <family val="2"/>
        <scheme val="minor"/>
      </rPr>
      <t>2400</t>
    </r>
    <r>
      <rPr>
        <sz val="10"/>
        <color theme="1"/>
        <rFont val="Calibri"/>
        <family val="2"/>
        <scheme val="minor"/>
      </rPr>
      <t xml:space="preserve"> - Support Services-School Administration
</t>
    </r>
    <r>
      <rPr>
        <b/>
        <sz val="10"/>
        <color theme="1"/>
        <rFont val="Calibri"/>
        <family val="2"/>
        <scheme val="minor"/>
      </rPr>
      <t>2410</t>
    </r>
    <r>
      <rPr>
        <sz val="10"/>
        <color theme="1"/>
        <rFont val="Calibri"/>
        <family val="2"/>
        <scheme val="minor"/>
      </rPr>
      <t xml:space="preserve"> - Office of the Principal
</t>
    </r>
    <r>
      <rPr>
        <b/>
        <sz val="10"/>
        <color theme="1"/>
        <rFont val="Calibri"/>
        <family val="2"/>
        <scheme val="minor"/>
      </rPr>
      <t>2490</t>
    </r>
    <r>
      <rPr>
        <sz val="10"/>
        <color theme="1"/>
        <rFont val="Calibri"/>
        <family val="2"/>
        <scheme val="minor"/>
      </rPr>
      <t xml:space="preserve"> - Other Support Services-School Administration
</t>
    </r>
    <r>
      <rPr>
        <b/>
        <sz val="10"/>
        <color theme="1"/>
        <rFont val="Calibri"/>
        <family val="2"/>
        <scheme val="minor"/>
      </rPr>
      <t>2500</t>
    </r>
    <r>
      <rPr>
        <sz val="10"/>
        <color theme="1"/>
        <rFont val="Calibri"/>
        <family val="2"/>
        <scheme val="minor"/>
      </rPr>
      <t xml:space="preserve"> - Central Services
</t>
    </r>
    <r>
      <rPr>
        <b/>
        <sz val="10"/>
        <color theme="1"/>
        <rFont val="Calibri"/>
        <family val="2"/>
        <scheme val="minor"/>
      </rPr>
      <t>2510</t>
    </r>
    <r>
      <rPr>
        <sz val="10"/>
        <color theme="1"/>
        <rFont val="Calibri"/>
        <family val="2"/>
        <scheme val="minor"/>
      </rPr>
      <t xml:space="preserve"> - Fiscal Services
</t>
    </r>
    <r>
      <rPr>
        <b/>
        <sz val="10"/>
        <color theme="1"/>
        <rFont val="Calibri"/>
        <family val="2"/>
        <scheme val="minor"/>
      </rPr>
      <t>2520</t>
    </r>
    <r>
      <rPr>
        <sz val="10"/>
        <color theme="1"/>
        <rFont val="Calibri"/>
        <family val="2"/>
        <scheme val="minor"/>
      </rPr>
      <t xml:space="preserve"> - Purchasing, Warehousing, and Distributing Services
</t>
    </r>
    <r>
      <rPr>
        <b/>
        <sz val="10"/>
        <color theme="1"/>
        <rFont val="Calibri"/>
        <family val="2"/>
        <scheme val="minor"/>
      </rPr>
      <t>2530</t>
    </r>
    <r>
      <rPr>
        <sz val="10"/>
        <color theme="1"/>
        <rFont val="Calibri"/>
        <family val="2"/>
        <scheme val="minor"/>
      </rPr>
      <t xml:space="preserve"> - Printing, Publishing, and Duplicating Services
</t>
    </r>
    <r>
      <rPr>
        <b/>
        <sz val="10"/>
        <color theme="1"/>
        <rFont val="Calibri"/>
        <family val="2"/>
        <scheme val="minor"/>
      </rPr>
      <t>2540</t>
    </r>
    <r>
      <rPr>
        <sz val="10"/>
        <color theme="1"/>
        <rFont val="Calibri"/>
        <family val="2"/>
        <scheme val="minor"/>
      </rPr>
      <t xml:space="preserve"> - Planning, Research, Development, and Evaluation Services
</t>
    </r>
    <r>
      <rPr>
        <b/>
        <sz val="10"/>
        <color theme="1"/>
        <rFont val="Calibri"/>
        <family val="2"/>
        <scheme val="minor"/>
      </rPr>
      <t>2560</t>
    </r>
    <r>
      <rPr>
        <sz val="10"/>
        <color theme="1"/>
        <rFont val="Calibri"/>
        <family val="2"/>
        <scheme val="minor"/>
      </rPr>
      <t xml:space="preserve"> - Public Information Services
</t>
    </r>
    <r>
      <rPr>
        <b/>
        <sz val="10"/>
        <color theme="1"/>
        <rFont val="Calibri"/>
        <family val="2"/>
        <scheme val="minor"/>
      </rPr>
      <t>2570</t>
    </r>
    <r>
      <rPr>
        <sz val="10"/>
        <color theme="1"/>
        <rFont val="Calibri"/>
        <family val="2"/>
        <scheme val="minor"/>
      </rPr>
      <t xml:space="preserve"> - Personnel Services
</t>
    </r>
    <r>
      <rPr>
        <b/>
        <sz val="10"/>
        <color theme="1"/>
        <rFont val="Calibri"/>
        <family val="2"/>
        <scheme val="minor"/>
      </rPr>
      <t>2580</t>
    </r>
    <r>
      <rPr>
        <sz val="10"/>
        <color theme="1"/>
        <rFont val="Calibri"/>
        <family val="2"/>
        <scheme val="minor"/>
      </rPr>
      <t xml:space="preserve"> - Administrative Technology Services
</t>
    </r>
    <r>
      <rPr>
        <b/>
        <sz val="10"/>
        <color theme="1"/>
        <rFont val="Calibri"/>
        <family val="2"/>
        <scheme val="minor"/>
      </rPr>
      <t>2590</t>
    </r>
    <r>
      <rPr>
        <sz val="10"/>
        <color theme="1"/>
        <rFont val="Calibri"/>
        <family val="2"/>
        <scheme val="minor"/>
      </rPr>
      <t xml:space="preserve"> - Other Support Services-Central Services
</t>
    </r>
    <r>
      <rPr>
        <b/>
        <sz val="10"/>
        <color theme="1"/>
        <rFont val="Calibri"/>
        <family val="2"/>
        <scheme val="minor"/>
      </rPr>
      <t>2600</t>
    </r>
    <r>
      <rPr>
        <sz val="10"/>
        <color theme="1"/>
        <rFont val="Calibri"/>
        <family val="2"/>
        <scheme val="minor"/>
      </rPr>
      <t xml:space="preserve"> - Operation and Maintenance of Plant
</t>
    </r>
    <r>
      <rPr>
        <b/>
        <sz val="10"/>
        <color theme="1"/>
        <rFont val="Calibri"/>
        <family val="2"/>
        <scheme val="minor"/>
      </rPr>
      <t>2610</t>
    </r>
    <r>
      <rPr>
        <sz val="10"/>
        <color theme="1"/>
        <rFont val="Calibri"/>
        <family val="2"/>
        <scheme val="minor"/>
      </rPr>
      <t xml:space="preserve"> - Operation of Buildings
</t>
    </r>
    <r>
      <rPr>
        <b/>
        <sz val="10"/>
        <color theme="1"/>
        <rFont val="Calibri"/>
        <family val="2"/>
        <scheme val="minor"/>
      </rPr>
      <t>2620</t>
    </r>
    <r>
      <rPr>
        <sz val="10"/>
        <color theme="1"/>
        <rFont val="Calibri"/>
        <family val="2"/>
        <scheme val="minor"/>
      </rPr>
      <t xml:space="preserve"> - Maintenance of Buildings
</t>
    </r>
    <r>
      <rPr>
        <b/>
        <sz val="10"/>
        <color theme="1"/>
        <rFont val="Calibri"/>
        <family val="2"/>
        <scheme val="minor"/>
      </rPr>
      <t>2630</t>
    </r>
    <r>
      <rPr>
        <sz val="10"/>
        <color theme="1"/>
        <rFont val="Calibri"/>
        <family val="2"/>
        <scheme val="minor"/>
      </rPr>
      <t xml:space="preserve"> - Care and Upkeep of Grounds
</t>
    </r>
    <r>
      <rPr>
        <b/>
        <sz val="10"/>
        <color theme="1"/>
        <rFont val="Calibri"/>
        <family val="2"/>
        <scheme val="minor"/>
      </rPr>
      <t>2640</t>
    </r>
    <r>
      <rPr>
        <sz val="10"/>
        <color theme="1"/>
        <rFont val="Calibri"/>
        <family val="2"/>
        <scheme val="minor"/>
      </rPr>
      <t xml:space="preserve"> - Care and Upkeep of Equipment
</t>
    </r>
    <r>
      <rPr>
        <b/>
        <sz val="10"/>
        <color theme="1"/>
        <rFont val="Calibri"/>
        <family val="2"/>
        <scheme val="minor"/>
      </rPr>
      <t>2650</t>
    </r>
    <r>
      <rPr>
        <sz val="10"/>
        <color theme="1"/>
        <rFont val="Calibri"/>
        <family val="2"/>
        <scheme val="minor"/>
      </rPr>
      <t xml:space="preserve"> - Vehicle Operation and Maintenance (Other Than Student Transportation Vehicles)
</t>
    </r>
    <r>
      <rPr>
        <b/>
        <sz val="10"/>
        <color theme="1"/>
        <rFont val="Calibri"/>
        <family val="2"/>
        <scheme val="minor"/>
      </rPr>
      <t>2660</t>
    </r>
    <r>
      <rPr>
        <sz val="10"/>
        <color theme="1"/>
        <rFont val="Calibri"/>
        <family val="2"/>
        <scheme val="minor"/>
      </rPr>
      <t xml:space="preserve"> - Security
</t>
    </r>
    <r>
      <rPr>
        <b/>
        <sz val="10"/>
        <color theme="1"/>
        <rFont val="Calibri"/>
        <family val="2"/>
        <scheme val="minor"/>
      </rPr>
      <t>2670</t>
    </r>
    <r>
      <rPr>
        <sz val="10"/>
        <color theme="1"/>
        <rFont val="Calibri"/>
        <family val="2"/>
        <scheme val="minor"/>
      </rPr>
      <t xml:space="preserve"> - Safety
</t>
    </r>
    <r>
      <rPr>
        <b/>
        <sz val="10"/>
        <color theme="1"/>
        <rFont val="Calibri"/>
        <family val="2"/>
        <scheme val="minor"/>
      </rPr>
      <t>2680</t>
    </r>
    <r>
      <rPr>
        <sz val="10"/>
        <color theme="1"/>
        <rFont val="Calibri"/>
        <family val="2"/>
        <scheme val="minor"/>
      </rPr>
      <t xml:space="preserve"> - Other Operation and Maintenance of Plant
</t>
    </r>
    <r>
      <rPr>
        <b/>
        <sz val="10"/>
        <color theme="1"/>
        <rFont val="Calibri"/>
        <family val="2"/>
        <scheme val="minor"/>
      </rPr>
      <t>2700</t>
    </r>
    <r>
      <rPr>
        <sz val="10"/>
        <color theme="1"/>
        <rFont val="Calibri"/>
        <family val="2"/>
        <scheme val="minor"/>
      </rPr>
      <t xml:space="preserve"> - Student Transportation
</t>
    </r>
    <r>
      <rPr>
        <b/>
        <sz val="10"/>
        <color theme="1"/>
        <rFont val="Calibri"/>
        <family val="2"/>
        <scheme val="minor"/>
      </rPr>
      <t>2710</t>
    </r>
    <r>
      <rPr>
        <sz val="10"/>
        <color theme="1"/>
        <rFont val="Calibri"/>
        <family val="2"/>
        <scheme val="minor"/>
      </rPr>
      <t xml:space="preserve"> - Vehicle Operation
</t>
    </r>
    <r>
      <rPr>
        <b/>
        <sz val="10"/>
        <color theme="1"/>
        <rFont val="Calibri"/>
        <family val="2"/>
        <scheme val="minor"/>
      </rPr>
      <t>2720</t>
    </r>
    <r>
      <rPr>
        <sz val="10"/>
        <color theme="1"/>
        <rFont val="Calibri"/>
        <family val="2"/>
        <scheme val="minor"/>
      </rPr>
      <t xml:space="preserve"> - Monitoring Services
</t>
    </r>
    <r>
      <rPr>
        <b/>
        <sz val="10"/>
        <color theme="1"/>
        <rFont val="Calibri"/>
        <family val="2"/>
        <scheme val="minor"/>
      </rPr>
      <t>2730</t>
    </r>
    <r>
      <rPr>
        <sz val="10"/>
        <color theme="1"/>
        <rFont val="Calibri"/>
        <family val="2"/>
        <scheme val="minor"/>
      </rPr>
      <t xml:space="preserve"> - Vehicle Servicing and Maintenance
</t>
    </r>
    <r>
      <rPr>
        <b/>
        <sz val="10"/>
        <color theme="1"/>
        <rFont val="Calibri"/>
        <family val="2"/>
        <scheme val="minor"/>
      </rPr>
      <t>2790</t>
    </r>
    <r>
      <rPr>
        <sz val="10"/>
        <color theme="1"/>
        <rFont val="Calibri"/>
        <family val="2"/>
        <scheme val="minor"/>
      </rPr>
      <t xml:space="preserve"> - Other Student Transportation Services
</t>
    </r>
    <r>
      <rPr>
        <b/>
        <sz val="10"/>
        <color theme="1"/>
        <rFont val="Calibri"/>
        <family val="2"/>
        <scheme val="minor"/>
      </rPr>
      <t>2900</t>
    </r>
    <r>
      <rPr>
        <sz val="10"/>
        <color theme="1"/>
        <rFont val="Calibri"/>
        <family val="2"/>
        <scheme val="minor"/>
      </rPr>
      <t xml:space="preserve"> - Other Support Services
</t>
    </r>
    <r>
      <rPr>
        <b/>
        <sz val="10"/>
        <color theme="1"/>
        <rFont val="Calibri"/>
        <family val="2"/>
        <scheme val="minor"/>
      </rPr>
      <t>3000</t>
    </r>
    <r>
      <rPr>
        <sz val="10"/>
        <color theme="1"/>
        <rFont val="Calibri"/>
        <family val="2"/>
        <scheme val="minor"/>
      </rPr>
      <t xml:space="preserve"> - Operation of Noninstructional Services
</t>
    </r>
    <r>
      <rPr>
        <b/>
        <sz val="10"/>
        <color theme="1"/>
        <rFont val="Calibri"/>
        <family val="2"/>
        <scheme val="minor"/>
      </rPr>
      <t>3100</t>
    </r>
    <r>
      <rPr>
        <sz val="10"/>
        <color theme="1"/>
        <rFont val="Calibri"/>
        <family val="2"/>
        <scheme val="minor"/>
      </rPr>
      <t xml:space="preserve"> - Food Services Operations
</t>
    </r>
    <r>
      <rPr>
        <b/>
        <sz val="10"/>
        <color theme="1"/>
        <rFont val="Calibri"/>
        <family val="2"/>
        <scheme val="minor"/>
      </rPr>
      <t>3200</t>
    </r>
    <r>
      <rPr>
        <sz val="10"/>
        <color theme="1"/>
        <rFont val="Calibri"/>
        <family val="2"/>
        <scheme val="minor"/>
      </rPr>
      <t xml:space="preserve"> - Enterprise Operations
</t>
    </r>
    <r>
      <rPr>
        <b/>
        <sz val="10"/>
        <color theme="1"/>
        <rFont val="Calibri"/>
        <family val="2"/>
        <scheme val="minor"/>
      </rPr>
      <t>3300</t>
    </r>
    <r>
      <rPr>
        <sz val="10"/>
        <color theme="1"/>
        <rFont val="Calibri"/>
        <family val="2"/>
        <scheme val="minor"/>
      </rPr>
      <t xml:space="preserve"> - Community Services Operations
</t>
    </r>
    <r>
      <rPr>
        <b/>
        <sz val="10"/>
        <color theme="1"/>
        <rFont val="Calibri"/>
        <family val="2"/>
        <scheme val="minor"/>
      </rPr>
      <t>4000</t>
    </r>
    <r>
      <rPr>
        <sz val="10"/>
        <color theme="1"/>
        <rFont val="Calibri"/>
        <family val="2"/>
        <scheme val="minor"/>
      </rPr>
      <t xml:space="preserve"> - Facilities Acquisition and Construction
</t>
    </r>
    <r>
      <rPr>
        <b/>
        <sz val="10"/>
        <color theme="1"/>
        <rFont val="Calibri"/>
        <family val="2"/>
        <scheme val="minor"/>
      </rPr>
      <t>4100</t>
    </r>
    <r>
      <rPr>
        <sz val="10"/>
        <color theme="1"/>
        <rFont val="Calibri"/>
        <family val="2"/>
        <scheme val="minor"/>
      </rPr>
      <t xml:space="preserve"> - Land Acquisition
</t>
    </r>
    <r>
      <rPr>
        <b/>
        <sz val="10"/>
        <color theme="1"/>
        <rFont val="Calibri"/>
        <family val="2"/>
        <scheme val="minor"/>
      </rPr>
      <t>4200</t>
    </r>
    <r>
      <rPr>
        <sz val="10"/>
        <color theme="1"/>
        <rFont val="Calibri"/>
        <family val="2"/>
        <scheme val="minor"/>
      </rPr>
      <t xml:space="preserve"> - Land Improvement
</t>
    </r>
    <r>
      <rPr>
        <b/>
        <sz val="10"/>
        <color theme="1"/>
        <rFont val="Calibri"/>
        <family val="2"/>
        <scheme val="minor"/>
      </rPr>
      <t>4300</t>
    </r>
    <r>
      <rPr>
        <sz val="10"/>
        <color theme="1"/>
        <rFont val="Calibri"/>
        <family val="2"/>
        <scheme val="minor"/>
      </rPr>
      <t xml:space="preserve"> - Architecture and Engineering
</t>
    </r>
    <r>
      <rPr>
        <b/>
        <sz val="10"/>
        <color theme="1"/>
        <rFont val="Calibri"/>
        <family val="2"/>
        <scheme val="minor"/>
      </rPr>
      <t>4400</t>
    </r>
    <r>
      <rPr>
        <sz val="10"/>
        <color theme="1"/>
        <rFont val="Calibri"/>
        <family val="2"/>
        <scheme val="minor"/>
      </rPr>
      <t xml:space="preserve"> - Educational Specifications Development
</t>
    </r>
    <r>
      <rPr>
        <b/>
        <sz val="10"/>
        <color theme="1"/>
        <rFont val="Calibri"/>
        <family val="2"/>
        <scheme val="minor"/>
      </rPr>
      <t>4500</t>
    </r>
    <r>
      <rPr>
        <sz val="10"/>
        <color theme="1"/>
        <rFont val="Calibri"/>
        <family val="2"/>
        <scheme val="minor"/>
      </rPr>
      <t xml:space="preserve"> - Building Acquisition and Construction
</t>
    </r>
    <r>
      <rPr>
        <b/>
        <sz val="10"/>
        <color theme="1"/>
        <rFont val="Calibri"/>
        <family val="2"/>
        <scheme val="minor"/>
      </rPr>
      <t>4600</t>
    </r>
    <r>
      <rPr>
        <sz val="10"/>
        <color theme="1"/>
        <rFont val="Calibri"/>
        <family val="2"/>
        <scheme val="minor"/>
      </rPr>
      <t xml:space="preserve"> - Site Improvements
</t>
    </r>
    <r>
      <rPr>
        <b/>
        <sz val="10"/>
        <color theme="1"/>
        <rFont val="Calibri"/>
        <family val="2"/>
        <scheme val="minor"/>
      </rPr>
      <t>4700</t>
    </r>
    <r>
      <rPr>
        <sz val="10"/>
        <color theme="1"/>
        <rFont val="Calibri"/>
        <family val="2"/>
        <scheme val="minor"/>
      </rPr>
      <t xml:space="preserve"> - Building Improvements
</t>
    </r>
    <r>
      <rPr>
        <b/>
        <sz val="10"/>
        <color theme="1"/>
        <rFont val="Calibri"/>
        <family val="2"/>
        <scheme val="minor"/>
      </rPr>
      <t>4900</t>
    </r>
    <r>
      <rPr>
        <sz val="10"/>
        <color theme="1"/>
        <rFont val="Calibri"/>
        <family val="2"/>
        <scheme val="minor"/>
      </rPr>
      <t xml:space="preserve"> - Other Facilities Acquisition and Construction
</t>
    </r>
    <r>
      <rPr>
        <b/>
        <sz val="10"/>
        <color theme="1"/>
        <rFont val="Calibri"/>
        <family val="2"/>
        <scheme val="minor"/>
      </rPr>
      <t>5000</t>
    </r>
    <r>
      <rPr>
        <sz val="10"/>
        <color theme="1"/>
        <rFont val="Calibri"/>
        <family val="2"/>
        <scheme val="minor"/>
      </rPr>
      <t xml:space="preserve"> - Debt Service
</t>
    </r>
  </si>
  <si>
    <t>001354</t>
  </si>
  <si>
    <t>FinancialExpenditureK12FunctionCode</t>
  </si>
  <si>
    <t>Financial Expenditure K12 Level of Instruction Code</t>
  </si>
  <si>
    <t>This classification permits expenditures to be segregated by instructional level.</t>
  </si>
  <si>
    <r>
      <t>10</t>
    </r>
    <r>
      <rPr>
        <sz val="10"/>
        <color theme="1"/>
        <rFont val="Calibri"/>
        <family val="2"/>
        <scheme val="minor"/>
      </rPr>
      <t xml:space="preserve"> - Elementary
</t>
    </r>
    <r>
      <rPr>
        <b/>
        <sz val="10"/>
        <color theme="1"/>
        <rFont val="Calibri"/>
        <family val="2"/>
        <scheme val="minor"/>
      </rPr>
      <t>11</t>
    </r>
    <r>
      <rPr>
        <sz val="10"/>
        <color theme="1"/>
        <rFont val="Calibri"/>
        <family val="2"/>
        <scheme val="minor"/>
      </rPr>
      <t xml:space="preserve"> - Prekindergarten
</t>
    </r>
    <r>
      <rPr>
        <b/>
        <sz val="10"/>
        <color theme="1"/>
        <rFont val="Calibri"/>
        <family val="2"/>
        <scheme val="minor"/>
      </rPr>
      <t>12</t>
    </r>
    <r>
      <rPr>
        <sz val="10"/>
        <color theme="1"/>
        <rFont val="Calibri"/>
        <family val="2"/>
        <scheme val="minor"/>
      </rPr>
      <t xml:space="preserve"> - Kindergarten
</t>
    </r>
    <r>
      <rPr>
        <b/>
        <sz val="10"/>
        <color theme="1"/>
        <rFont val="Calibri"/>
        <family val="2"/>
        <scheme val="minor"/>
      </rPr>
      <t>19</t>
    </r>
    <r>
      <rPr>
        <sz val="10"/>
        <color theme="1"/>
        <rFont val="Calibri"/>
        <family val="2"/>
        <scheme val="minor"/>
      </rPr>
      <t xml:space="preserve"> - Other Elementary
</t>
    </r>
    <r>
      <rPr>
        <b/>
        <sz val="10"/>
        <color theme="1"/>
        <rFont val="Calibri"/>
        <family val="2"/>
        <scheme val="minor"/>
      </rPr>
      <t>20</t>
    </r>
    <r>
      <rPr>
        <sz val="10"/>
        <color theme="1"/>
        <rFont val="Calibri"/>
        <family val="2"/>
        <scheme val="minor"/>
      </rPr>
      <t xml:space="preserve"> - Middle
</t>
    </r>
    <r>
      <rPr>
        <b/>
        <sz val="10"/>
        <color theme="1"/>
        <rFont val="Calibri"/>
        <family val="2"/>
        <scheme val="minor"/>
      </rPr>
      <t>30</t>
    </r>
    <r>
      <rPr>
        <sz val="10"/>
        <color theme="1"/>
        <rFont val="Calibri"/>
        <family val="2"/>
        <scheme val="minor"/>
      </rPr>
      <t xml:space="preserve"> - Secondary
</t>
    </r>
    <r>
      <rPr>
        <b/>
        <sz val="10"/>
        <color theme="1"/>
        <rFont val="Calibri"/>
        <family val="2"/>
        <scheme val="minor"/>
      </rPr>
      <t>37</t>
    </r>
    <r>
      <rPr>
        <sz val="10"/>
        <color theme="1"/>
        <rFont val="Calibri"/>
        <family val="2"/>
        <scheme val="minor"/>
      </rPr>
      <t xml:space="preserve"> - Elementary and Secondary Combined
</t>
    </r>
    <r>
      <rPr>
        <b/>
        <sz val="10"/>
        <color theme="1"/>
        <rFont val="Calibri"/>
        <family val="2"/>
        <scheme val="minor"/>
      </rPr>
      <t>40</t>
    </r>
    <r>
      <rPr>
        <sz val="10"/>
        <color theme="1"/>
        <rFont val="Calibri"/>
        <family val="2"/>
        <scheme val="minor"/>
      </rPr>
      <t xml:space="preserve"> - Postsecondary
</t>
    </r>
    <r>
      <rPr>
        <b/>
        <sz val="10"/>
        <color theme="1"/>
        <rFont val="Calibri"/>
        <family val="2"/>
        <scheme val="minor"/>
      </rPr>
      <t>41</t>
    </r>
    <r>
      <rPr>
        <sz val="10"/>
        <color theme="1"/>
        <rFont val="Calibri"/>
        <family val="2"/>
        <scheme val="minor"/>
      </rPr>
      <t xml:space="preserve"> - Programs for Adult/Continuing
</t>
    </r>
    <r>
      <rPr>
        <b/>
        <sz val="10"/>
        <color theme="1"/>
        <rFont val="Calibri"/>
        <family val="2"/>
        <scheme val="minor"/>
      </rPr>
      <t>42</t>
    </r>
    <r>
      <rPr>
        <sz val="10"/>
        <color theme="1"/>
        <rFont val="Calibri"/>
        <family val="2"/>
        <scheme val="minor"/>
      </rPr>
      <t xml:space="preserve"> - Community/Junior College
</t>
    </r>
    <r>
      <rPr>
        <b/>
        <sz val="10"/>
        <color theme="1"/>
        <rFont val="Calibri"/>
        <family val="2"/>
        <scheme val="minor"/>
      </rPr>
      <t>50</t>
    </r>
    <r>
      <rPr>
        <sz val="10"/>
        <color theme="1"/>
        <rFont val="Calibri"/>
        <family val="2"/>
        <scheme val="minor"/>
      </rPr>
      <t xml:space="preserve"> - School Wide
</t>
    </r>
  </si>
  <si>
    <t>001555</t>
  </si>
  <si>
    <t>FinancialExpenditureK12LevelofInstructionCode</t>
  </si>
  <si>
    <t>Financial Expenditure K12 Object Code</t>
  </si>
  <si>
    <t>This classification is used to describe the service or commodity obtained as the result of a specific expenditure. Nine major object categories have codes ending in 00 and are further subdivided.</t>
  </si>
  <si>
    <r>
      <t>100</t>
    </r>
    <r>
      <rPr>
        <sz val="10"/>
        <color theme="1"/>
        <rFont val="Calibri"/>
        <family val="2"/>
        <scheme val="minor"/>
      </rPr>
      <t xml:space="preserve"> - Personal Services-Salaries
</t>
    </r>
    <r>
      <rPr>
        <b/>
        <sz val="10"/>
        <color theme="1"/>
        <rFont val="Calibri"/>
        <family val="2"/>
        <scheme val="minor"/>
      </rPr>
      <t>101</t>
    </r>
    <r>
      <rPr>
        <sz val="10"/>
        <color theme="1"/>
        <rFont val="Calibri"/>
        <family val="2"/>
        <scheme val="minor"/>
      </rPr>
      <t xml:space="preserve"> - Salaries Paid to Teachers
</t>
    </r>
    <r>
      <rPr>
        <b/>
        <sz val="10"/>
        <color theme="1"/>
        <rFont val="Calibri"/>
        <family val="2"/>
        <scheme val="minor"/>
      </rPr>
      <t>102</t>
    </r>
    <r>
      <rPr>
        <sz val="10"/>
        <color theme="1"/>
        <rFont val="Calibri"/>
        <family val="2"/>
        <scheme val="minor"/>
      </rPr>
      <t xml:space="preserve"> - Salaries Paid to Instructional Aides or Assistants
</t>
    </r>
    <r>
      <rPr>
        <b/>
        <sz val="10"/>
        <color theme="1"/>
        <rFont val="Calibri"/>
        <family val="2"/>
        <scheme val="minor"/>
      </rPr>
      <t>103</t>
    </r>
    <r>
      <rPr>
        <sz val="10"/>
        <color theme="1"/>
        <rFont val="Calibri"/>
        <family val="2"/>
        <scheme val="minor"/>
      </rPr>
      <t xml:space="preserve"> - Salaries Paid to Substitute Teachers
</t>
    </r>
    <r>
      <rPr>
        <b/>
        <sz val="10"/>
        <color theme="1"/>
        <rFont val="Calibri"/>
        <family val="2"/>
        <scheme val="minor"/>
      </rPr>
      <t>110</t>
    </r>
    <r>
      <rPr>
        <sz val="10"/>
        <color theme="1"/>
        <rFont val="Calibri"/>
        <family val="2"/>
        <scheme val="minor"/>
      </rPr>
      <t xml:space="preserve"> - Salaries of Regular Employees
</t>
    </r>
    <r>
      <rPr>
        <b/>
        <sz val="10"/>
        <color theme="1"/>
        <rFont val="Calibri"/>
        <family val="2"/>
        <scheme val="minor"/>
      </rPr>
      <t>111</t>
    </r>
    <r>
      <rPr>
        <sz val="10"/>
        <color theme="1"/>
        <rFont val="Calibri"/>
        <family val="2"/>
        <scheme val="minor"/>
      </rPr>
      <t xml:space="preserve"> - Salaries of Regular Employees Paid to Teachers
</t>
    </r>
    <r>
      <rPr>
        <b/>
        <sz val="10"/>
        <color theme="1"/>
        <rFont val="Calibri"/>
        <family val="2"/>
        <scheme val="minor"/>
      </rPr>
      <t>112</t>
    </r>
    <r>
      <rPr>
        <sz val="10"/>
        <color theme="1"/>
        <rFont val="Calibri"/>
        <family val="2"/>
        <scheme val="minor"/>
      </rPr>
      <t xml:space="preserve"> - Salaries of Regular Employees Paid to Instructional Aides and Assistants
</t>
    </r>
    <r>
      <rPr>
        <b/>
        <sz val="10"/>
        <color theme="1"/>
        <rFont val="Calibri"/>
        <family val="2"/>
        <scheme val="minor"/>
      </rPr>
      <t>113</t>
    </r>
    <r>
      <rPr>
        <sz val="10"/>
        <color theme="1"/>
        <rFont val="Calibri"/>
        <family val="2"/>
        <scheme val="minor"/>
      </rPr>
      <t xml:space="preserve"> - Salaries of Regular Employees Paid to Substitute Teachers
</t>
    </r>
    <r>
      <rPr>
        <b/>
        <sz val="10"/>
        <color theme="1"/>
        <rFont val="Calibri"/>
        <family val="2"/>
        <scheme val="minor"/>
      </rPr>
      <t>120</t>
    </r>
    <r>
      <rPr>
        <sz val="10"/>
        <color theme="1"/>
        <rFont val="Calibri"/>
        <family val="2"/>
        <scheme val="minor"/>
      </rPr>
      <t xml:space="preserve"> - Salaries of Temporary Employees
</t>
    </r>
    <r>
      <rPr>
        <b/>
        <sz val="10"/>
        <color theme="1"/>
        <rFont val="Calibri"/>
        <family val="2"/>
        <scheme val="minor"/>
      </rPr>
      <t>121</t>
    </r>
    <r>
      <rPr>
        <sz val="10"/>
        <color theme="1"/>
        <rFont val="Calibri"/>
        <family val="2"/>
        <scheme val="minor"/>
      </rPr>
      <t xml:space="preserve"> - Salaries of Temporary Employees Paid to Teachers
</t>
    </r>
    <r>
      <rPr>
        <b/>
        <sz val="10"/>
        <color theme="1"/>
        <rFont val="Calibri"/>
        <family val="2"/>
        <scheme val="minor"/>
      </rPr>
      <t>122</t>
    </r>
    <r>
      <rPr>
        <sz val="10"/>
        <color theme="1"/>
        <rFont val="Calibri"/>
        <family val="2"/>
        <scheme val="minor"/>
      </rPr>
      <t xml:space="preserve"> - Salaries of Temporary Employees Paid to Instructional Aides and Assistants
</t>
    </r>
    <r>
      <rPr>
        <b/>
        <sz val="10"/>
        <color theme="1"/>
        <rFont val="Calibri"/>
        <family val="2"/>
        <scheme val="minor"/>
      </rPr>
      <t>123</t>
    </r>
    <r>
      <rPr>
        <sz val="10"/>
        <color theme="1"/>
        <rFont val="Calibri"/>
        <family val="2"/>
        <scheme val="minor"/>
      </rPr>
      <t xml:space="preserve"> - Salaries of Temporary Employees Paid to Substitute Teachers
</t>
    </r>
    <r>
      <rPr>
        <b/>
        <sz val="10"/>
        <color theme="1"/>
        <rFont val="Calibri"/>
        <family val="2"/>
        <scheme val="minor"/>
      </rPr>
      <t>130</t>
    </r>
    <r>
      <rPr>
        <sz val="10"/>
        <color theme="1"/>
        <rFont val="Calibri"/>
        <family val="2"/>
        <scheme val="minor"/>
      </rPr>
      <t xml:space="preserve"> - Salaries for Overtime
</t>
    </r>
    <r>
      <rPr>
        <b/>
        <sz val="10"/>
        <color theme="1"/>
        <rFont val="Calibri"/>
        <family val="2"/>
        <scheme val="minor"/>
      </rPr>
      <t>131</t>
    </r>
    <r>
      <rPr>
        <sz val="10"/>
        <color theme="1"/>
        <rFont val="Calibri"/>
        <family val="2"/>
        <scheme val="minor"/>
      </rPr>
      <t xml:space="preserve"> - Salaries for Overtime Employees Paid to Teachers
</t>
    </r>
    <r>
      <rPr>
        <b/>
        <sz val="10"/>
        <color theme="1"/>
        <rFont val="Calibri"/>
        <family val="2"/>
        <scheme val="minor"/>
      </rPr>
      <t>132</t>
    </r>
    <r>
      <rPr>
        <sz val="10"/>
        <color theme="1"/>
        <rFont val="Calibri"/>
        <family val="2"/>
        <scheme val="minor"/>
      </rPr>
      <t xml:space="preserve"> - Salaries for Overtime Employees Paid to Instructional Aides and Assistants
</t>
    </r>
    <r>
      <rPr>
        <b/>
        <sz val="10"/>
        <color theme="1"/>
        <rFont val="Calibri"/>
        <family val="2"/>
        <scheme val="minor"/>
      </rPr>
      <t>133</t>
    </r>
    <r>
      <rPr>
        <sz val="10"/>
        <color theme="1"/>
        <rFont val="Calibri"/>
        <family val="2"/>
        <scheme val="minor"/>
      </rPr>
      <t xml:space="preserve"> - Salaries for Overtime Employees Paid to Substitute Teachers
</t>
    </r>
    <r>
      <rPr>
        <b/>
        <sz val="10"/>
        <color theme="1"/>
        <rFont val="Calibri"/>
        <family val="2"/>
        <scheme val="minor"/>
      </rPr>
      <t>140</t>
    </r>
    <r>
      <rPr>
        <sz val="10"/>
        <color theme="1"/>
        <rFont val="Calibri"/>
        <family val="2"/>
        <scheme val="minor"/>
      </rPr>
      <t xml:space="preserve"> - Salaries for Sabbatical Leave
</t>
    </r>
    <r>
      <rPr>
        <b/>
        <sz val="10"/>
        <color theme="1"/>
        <rFont val="Calibri"/>
        <family val="2"/>
        <scheme val="minor"/>
      </rPr>
      <t>141</t>
    </r>
    <r>
      <rPr>
        <sz val="10"/>
        <color theme="1"/>
        <rFont val="Calibri"/>
        <family val="2"/>
        <scheme val="minor"/>
      </rPr>
      <t xml:space="preserve"> - Salaries for Sabbatical Leave Paid to Teachers
</t>
    </r>
    <r>
      <rPr>
        <b/>
        <sz val="10"/>
        <color theme="1"/>
        <rFont val="Calibri"/>
        <family val="2"/>
        <scheme val="minor"/>
      </rPr>
      <t>142</t>
    </r>
    <r>
      <rPr>
        <sz val="10"/>
        <color theme="1"/>
        <rFont val="Calibri"/>
        <family val="2"/>
        <scheme val="minor"/>
      </rPr>
      <t xml:space="preserve"> - Salaries for Sabbatical Leave Paid to Instructional Aides and Assistants
</t>
    </r>
    <r>
      <rPr>
        <b/>
        <sz val="10"/>
        <color theme="1"/>
        <rFont val="Calibri"/>
        <family val="2"/>
        <scheme val="minor"/>
      </rPr>
      <t>143</t>
    </r>
    <r>
      <rPr>
        <sz val="10"/>
        <color theme="1"/>
        <rFont val="Calibri"/>
        <family val="2"/>
        <scheme val="minor"/>
      </rPr>
      <t xml:space="preserve"> - Salaries for Sabbatical Leave Paid to Substitute Teachers
</t>
    </r>
    <r>
      <rPr>
        <b/>
        <sz val="10"/>
        <color theme="1"/>
        <rFont val="Calibri"/>
        <family val="2"/>
        <scheme val="minor"/>
      </rPr>
      <t>150</t>
    </r>
    <r>
      <rPr>
        <sz val="10"/>
        <color theme="1"/>
        <rFont val="Calibri"/>
        <family val="2"/>
        <scheme val="minor"/>
      </rPr>
      <t xml:space="preserve"> - Additional Compensation Such as Bonuses or Incentives
</t>
    </r>
    <r>
      <rPr>
        <b/>
        <sz val="10"/>
        <color theme="1"/>
        <rFont val="Calibri"/>
        <family val="2"/>
        <scheme val="minor"/>
      </rPr>
      <t>151</t>
    </r>
    <r>
      <rPr>
        <sz val="10"/>
        <color theme="1"/>
        <rFont val="Calibri"/>
        <family val="2"/>
        <scheme val="minor"/>
      </rPr>
      <t xml:space="preserve"> - Additional Compensation Paid to Teachers
</t>
    </r>
    <r>
      <rPr>
        <b/>
        <sz val="10"/>
        <color theme="1"/>
        <rFont val="Calibri"/>
        <family val="2"/>
        <scheme val="minor"/>
      </rPr>
      <t>152</t>
    </r>
    <r>
      <rPr>
        <sz val="10"/>
        <color theme="1"/>
        <rFont val="Calibri"/>
        <family val="2"/>
        <scheme val="minor"/>
      </rPr>
      <t xml:space="preserve"> - Additional Compensation Paid to Instructional Aides and Assistants
</t>
    </r>
    <r>
      <rPr>
        <b/>
        <sz val="10"/>
        <color theme="1"/>
        <rFont val="Calibri"/>
        <family val="2"/>
        <scheme val="minor"/>
      </rPr>
      <t>153</t>
    </r>
    <r>
      <rPr>
        <sz val="10"/>
        <color theme="1"/>
        <rFont val="Calibri"/>
        <family val="2"/>
        <scheme val="minor"/>
      </rPr>
      <t xml:space="preserve"> - Additional Compensation Paid to Substitute Teachers
</t>
    </r>
    <r>
      <rPr>
        <b/>
        <sz val="10"/>
        <color theme="1"/>
        <rFont val="Calibri"/>
        <family val="2"/>
        <scheme val="minor"/>
      </rPr>
      <t>200</t>
    </r>
    <r>
      <rPr>
        <sz val="10"/>
        <color theme="1"/>
        <rFont val="Calibri"/>
        <family val="2"/>
        <scheme val="minor"/>
      </rPr>
      <t xml:space="preserve"> - Personal Services-Employee Benefits
</t>
    </r>
    <r>
      <rPr>
        <b/>
        <sz val="10"/>
        <color theme="1"/>
        <rFont val="Calibri"/>
        <family val="2"/>
        <scheme val="minor"/>
      </rPr>
      <t>201</t>
    </r>
    <r>
      <rPr>
        <sz val="10"/>
        <color theme="1"/>
        <rFont val="Calibri"/>
        <family val="2"/>
        <scheme val="minor"/>
      </rPr>
      <t xml:space="preserve"> - Employee Benefits for Teachers
</t>
    </r>
    <r>
      <rPr>
        <b/>
        <sz val="10"/>
        <color theme="1"/>
        <rFont val="Calibri"/>
        <family val="2"/>
        <scheme val="minor"/>
      </rPr>
      <t>202</t>
    </r>
    <r>
      <rPr>
        <sz val="10"/>
        <color theme="1"/>
        <rFont val="Calibri"/>
        <family val="2"/>
        <scheme val="minor"/>
      </rPr>
      <t xml:space="preserve"> - Employee Benefits for Instructional Aides or Assistants
</t>
    </r>
    <r>
      <rPr>
        <b/>
        <sz val="10"/>
        <color theme="1"/>
        <rFont val="Calibri"/>
        <family val="2"/>
        <scheme val="minor"/>
      </rPr>
      <t>203</t>
    </r>
    <r>
      <rPr>
        <sz val="10"/>
        <color theme="1"/>
        <rFont val="Calibri"/>
        <family val="2"/>
        <scheme val="minor"/>
      </rPr>
      <t xml:space="preserve"> - Employee Benefits for Substitute Teachers
</t>
    </r>
    <r>
      <rPr>
        <b/>
        <sz val="10"/>
        <color theme="1"/>
        <rFont val="Calibri"/>
        <family val="2"/>
        <scheme val="minor"/>
      </rPr>
      <t>210</t>
    </r>
    <r>
      <rPr>
        <sz val="10"/>
        <color theme="1"/>
        <rFont val="Calibri"/>
        <family val="2"/>
        <scheme val="minor"/>
      </rPr>
      <t xml:space="preserve"> - Group Insurance
</t>
    </r>
    <r>
      <rPr>
        <b/>
        <sz val="10"/>
        <color theme="1"/>
        <rFont val="Calibri"/>
        <family val="2"/>
        <scheme val="minor"/>
      </rPr>
      <t>211</t>
    </r>
    <r>
      <rPr>
        <sz val="10"/>
        <color theme="1"/>
        <rFont val="Calibri"/>
        <family val="2"/>
        <scheme val="minor"/>
      </rPr>
      <t xml:space="preserve"> - Group Insurance for Teachers
</t>
    </r>
    <r>
      <rPr>
        <b/>
        <sz val="10"/>
        <color theme="1"/>
        <rFont val="Calibri"/>
        <family val="2"/>
        <scheme val="minor"/>
      </rPr>
      <t>212</t>
    </r>
    <r>
      <rPr>
        <sz val="10"/>
        <color theme="1"/>
        <rFont val="Calibri"/>
        <family val="2"/>
        <scheme val="minor"/>
      </rPr>
      <t xml:space="preserve"> - Group Insurance for Instructional Aides or Assistants
</t>
    </r>
    <r>
      <rPr>
        <b/>
        <sz val="10"/>
        <color theme="1"/>
        <rFont val="Calibri"/>
        <family val="2"/>
        <scheme val="minor"/>
      </rPr>
      <t>213</t>
    </r>
    <r>
      <rPr>
        <sz val="10"/>
        <color theme="1"/>
        <rFont val="Calibri"/>
        <family val="2"/>
        <scheme val="minor"/>
      </rPr>
      <t xml:space="preserve"> - Group Insurance for Substitute Teachers
</t>
    </r>
    <r>
      <rPr>
        <b/>
        <sz val="10"/>
        <color theme="1"/>
        <rFont val="Calibri"/>
        <family val="2"/>
        <scheme val="minor"/>
      </rPr>
      <t>220</t>
    </r>
    <r>
      <rPr>
        <sz val="10"/>
        <color theme="1"/>
        <rFont val="Calibri"/>
        <family val="2"/>
        <scheme val="minor"/>
      </rPr>
      <t xml:space="preserve"> - Social Security Contributions
</t>
    </r>
    <r>
      <rPr>
        <b/>
        <sz val="10"/>
        <color theme="1"/>
        <rFont val="Calibri"/>
        <family val="2"/>
        <scheme val="minor"/>
      </rPr>
      <t>221</t>
    </r>
    <r>
      <rPr>
        <sz val="10"/>
        <color theme="1"/>
        <rFont val="Calibri"/>
        <family val="2"/>
        <scheme val="minor"/>
      </rPr>
      <t xml:space="preserve"> - Social Security Payments for Teachers
</t>
    </r>
    <r>
      <rPr>
        <b/>
        <sz val="10"/>
        <color theme="1"/>
        <rFont val="Calibri"/>
        <family val="2"/>
        <scheme val="minor"/>
      </rPr>
      <t>222</t>
    </r>
    <r>
      <rPr>
        <sz val="10"/>
        <color theme="1"/>
        <rFont val="Calibri"/>
        <family val="2"/>
        <scheme val="minor"/>
      </rPr>
      <t xml:space="preserve"> - Social Security Payments for Instructional Aides or Assistants
</t>
    </r>
    <r>
      <rPr>
        <b/>
        <sz val="10"/>
        <color theme="1"/>
        <rFont val="Calibri"/>
        <family val="2"/>
        <scheme val="minor"/>
      </rPr>
      <t>223</t>
    </r>
    <r>
      <rPr>
        <sz val="10"/>
        <color theme="1"/>
        <rFont val="Calibri"/>
        <family val="2"/>
        <scheme val="minor"/>
      </rPr>
      <t xml:space="preserve"> - Social Security Payments for Substitute Teachers
</t>
    </r>
    <r>
      <rPr>
        <b/>
        <sz val="10"/>
        <color theme="1"/>
        <rFont val="Calibri"/>
        <family val="2"/>
        <scheme val="minor"/>
      </rPr>
      <t>230</t>
    </r>
    <r>
      <rPr>
        <sz val="10"/>
        <color theme="1"/>
        <rFont val="Calibri"/>
        <family val="2"/>
        <scheme val="minor"/>
      </rPr>
      <t xml:space="preserve"> - Retirement Contributions
</t>
    </r>
    <r>
      <rPr>
        <b/>
        <sz val="10"/>
        <color theme="1"/>
        <rFont val="Calibri"/>
        <family val="2"/>
        <scheme val="minor"/>
      </rPr>
      <t>231</t>
    </r>
    <r>
      <rPr>
        <sz val="10"/>
        <color theme="1"/>
        <rFont val="Calibri"/>
        <family val="2"/>
        <scheme val="minor"/>
      </rPr>
      <t xml:space="preserve"> - Retirement Contributions for Teachers
</t>
    </r>
    <r>
      <rPr>
        <b/>
        <sz val="10"/>
        <color theme="1"/>
        <rFont val="Calibri"/>
        <family val="2"/>
        <scheme val="minor"/>
      </rPr>
      <t>232</t>
    </r>
    <r>
      <rPr>
        <sz val="10"/>
        <color theme="1"/>
        <rFont val="Calibri"/>
        <family val="2"/>
        <scheme val="minor"/>
      </rPr>
      <t xml:space="preserve"> - Retirement Contributions for Instructional Aides or Assistants
</t>
    </r>
    <r>
      <rPr>
        <b/>
        <sz val="10"/>
        <color theme="1"/>
        <rFont val="Calibri"/>
        <family val="2"/>
        <scheme val="minor"/>
      </rPr>
      <t>233</t>
    </r>
    <r>
      <rPr>
        <sz val="10"/>
        <color theme="1"/>
        <rFont val="Calibri"/>
        <family val="2"/>
        <scheme val="minor"/>
      </rPr>
      <t xml:space="preserve"> - Retirement Contributions for Substitute Teachers
</t>
    </r>
    <r>
      <rPr>
        <b/>
        <sz val="10"/>
        <color theme="1"/>
        <rFont val="Calibri"/>
        <family val="2"/>
        <scheme val="minor"/>
      </rPr>
      <t>240</t>
    </r>
    <r>
      <rPr>
        <sz val="10"/>
        <color theme="1"/>
        <rFont val="Calibri"/>
        <family val="2"/>
        <scheme val="minor"/>
      </rPr>
      <t xml:space="preserve"> - On-Behalf Payments
</t>
    </r>
    <r>
      <rPr>
        <b/>
        <sz val="10"/>
        <color theme="1"/>
        <rFont val="Calibri"/>
        <family val="2"/>
        <scheme val="minor"/>
      </rPr>
      <t>241</t>
    </r>
    <r>
      <rPr>
        <sz val="10"/>
        <color theme="1"/>
        <rFont val="Calibri"/>
        <family val="2"/>
        <scheme val="minor"/>
      </rPr>
      <t xml:space="preserve"> - On-Behalf Payments for Teachers
</t>
    </r>
    <r>
      <rPr>
        <b/>
        <sz val="10"/>
        <color theme="1"/>
        <rFont val="Calibri"/>
        <family val="2"/>
        <scheme val="minor"/>
      </rPr>
      <t>242</t>
    </r>
    <r>
      <rPr>
        <sz val="10"/>
        <color theme="1"/>
        <rFont val="Calibri"/>
        <family val="2"/>
        <scheme val="minor"/>
      </rPr>
      <t xml:space="preserve"> - On-Behalf Payments for Instructional Aides or Assistants
</t>
    </r>
    <r>
      <rPr>
        <b/>
        <sz val="10"/>
        <color theme="1"/>
        <rFont val="Calibri"/>
        <family val="2"/>
        <scheme val="minor"/>
      </rPr>
      <t>243</t>
    </r>
    <r>
      <rPr>
        <sz val="10"/>
        <color theme="1"/>
        <rFont val="Calibri"/>
        <family val="2"/>
        <scheme val="minor"/>
      </rPr>
      <t xml:space="preserve"> - On-Behalf Payments for Substitute Teachers
</t>
    </r>
    <r>
      <rPr>
        <b/>
        <sz val="10"/>
        <color theme="1"/>
        <rFont val="Calibri"/>
        <family val="2"/>
        <scheme val="minor"/>
      </rPr>
      <t>250</t>
    </r>
    <r>
      <rPr>
        <sz val="10"/>
        <color theme="1"/>
        <rFont val="Calibri"/>
        <family val="2"/>
        <scheme val="minor"/>
      </rPr>
      <t xml:space="preserve"> - Tuition Reimbursement
</t>
    </r>
    <r>
      <rPr>
        <b/>
        <sz val="10"/>
        <color theme="1"/>
        <rFont val="Calibri"/>
        <family val="2"/>
        <scheme val="minor"/>
      </rPr>
      <t>251</t>
    </r>
    <r>
      <rPr>
        <sz val="10"/>
        <color theme="1"/>
        <rFont val="Calibri"/>
        <family val="2"/>
        <scheme val="minor"/>
      </rPr>
      <t xml:space="preserve"> - Tuition Reimbursement for Teachers
</t>
    </r>
    <r>
      <rPr>
        <b/>
        <sz val="10"/>
        <color theme="1"/>
        <rFont val="Calibri"/>
        <family val="2"/>
        <scheme val="minor"/>
      </rPr>
      <t>252</t>
    </r>
    <r>
      <rPr>
        <sz val="10"/>
        <color theme="1"/>
        <rFont val="Calibri"/>
        <family val="2"/>
        <scheme val="minor"/>
      </rPr>
      <t xml:space="preserve"> - Tuition Reimbursement for Instructional Aides or Assistants
</t>
    </r>
    <r>
      <rPr>
        <b/>
        <sz val="10"/>
        <color theme="1"/>
        <rFont val="Calibri"/>
        <family val="2"/>
        <scheme val="minor"/>
      </rPr>
      <t>253</t>
    </r>
    <r>
      <rPr>
        <sz val="10"/>
        <color theme="1"/>
        <rFont val="Calibri"/>
        <family val="2"/>
        <scheme val="minor"/>
      </rPr>
      <t xml:space="preserve"> - Tuition Reimbursement for Substitute Teachers
</t>
    </r>
    <r>
      <rPr>
        <b/>
        <sz val="10"/>
        <color theme="1"/>
        <rFont val="Calibri"/>
        <family val="2"/>
        <scheme val="minor"/>
      </rPr>
      <t>260</t>
    </r>
    <r>
      <rPr>
        <sz val="10"/>
        <color theme="1"/>
        <rFont val="Calibri"/>
        <family val="2"/>
        <scheme val="minor"/>
      </rPr>
      <t xml:space="preserve"> - Unemployment Compensation
</t>
    </r>
    <r>
      <rPr>
        <b/>
        <sz val="10"/>
        <color theme="1"/>
        <rFont val="Calibri"/>
        <family val="2"/>
        <scheme val="minor"/>
      </rPr>
      <t>261</t>
    </r>
    <r>
      <rPr>
        <sz val="10"/>
        <color theme="1"/>
        <rFont val="Calibri"/>
        <family val="2"/>
        <scheme val="minor"/>
      </rPr>
      <t xml:space="preserve"> - Unemployment Compensation Paid for Teachers
</t>
    </r>
    <r>
      <rPr>
        <b/>
        <sz val="10"/>
        <color theme="1"/>
        <rFont val="Calibri"/>
        <family val="2"/>
        <scheme val="minor"/>
      </rPr>
      <t>262</t>
    </r>
    <r>
      <rPr>
        <sz val="10"/>
        <color theme="1"/>
        <rFont val="Calibri"/>
        <family val="2"/>
        <scheme val="minor"/>
      </rPr>
      <t xml:space="preserve"> - Unemployment Compensation Paid for Instructional Aides or Assistants
</t>
    </r>
    <r>
      <rPr>
        <b/>
        <sz val="10"/>
        <color theme="1"/>
        <rFont val="Calibri"/>
        <family val="2"/>
        <scheme val="minor"/>
      </rPr>
      <t>263</t>
    </r>
    <r>
      <rPr>
        <sz val="10"/>
        <color theme="1"/>
        <rFont val="Calibri"/>
        <family val="2"/>
        <scheme val="minor"/>
      </rPr>
      <t xml:space="preserve"> - Unemployment Compensation Paid for Substitute Teachers
</t>
    </r>
    <r>
      <rPr>
        <b/>
        <sz val="10"/>
        <color theme="1"/>
        <rFont val="Calibri"/>
        <family val="2"/>
        <scheme val="minor"/>
      </rPr>
      <t>270</t>
    </r>
    <r>
      <rPr>
        <sz val="10"/>
        <color theme="1"/>
        <rFont val="Calibri"/>
        <family val="2"/>
        <scheme val="minor"/>
      </rPr>
      <t xml:space="preserve"> - Workers' Compensation
</t>
    </r>
    <r>
      <rPr>
        <b/>
        <sz val="10"/>
        <color theme="1"/>
        <rFont val="Calibri"/>
        <family val="2"/>
        <scheme val="minor"/>
      </rPr>
      <t>271</t>
    </r>
    <r>
      <rPr>
        <sz val="10"/>
        <color theme="1"/>
        <rFont val="Calibri"/>
        <family val="2"/>
        <scheme val="minor"/>
      </rPr>
      <t xml:space="preserve"> - Worker's Compensation Paid for Teachers
</t>
    </r>
    <r>
      <rPr>
        <b/>
        <sz val="10"/>
        <color theme="1"/>
        <rFont val="Calibri"/>
        <family val="2"/>
        <scheme val="minor"/>
      </rPr>
      <t>272</t>
    </r>
    <r>
      <rPr>
        <sz val="10"/>
        <color theme="1"/>
        <rFont val="Calibri"/>
        <family val="2"/>
        <scheme val="minor"/>
      </rPr>
      <t xml:space="preserve"> - Worker's Compensation Paid for Instructional Aides or Assistants
</t>
    </r>
    <r>
      <rPr>
        <b/>
        <sz val="10"/>
        <color theme="1"/>
        <rFont val="Calibri"/>
        <family val="2"/>
        <scheme val="minor"/>
      </rPr>
      <t>273</t>
    </r>
    <r>
      <rPr>
        <sz val="10"/>
        <color theme="1"/>
        <rFont val="Calibri"/>
        <family val="2"/>
        <scheme val="minor"/>
      </rPr>
      <t xml:space="preserve"> - Worker's Compensation for Substitute Teachers
</t>
    </r>
    <r>
      <rPr>
        <b/>
        <sz val="10"/>
        <color theme="1"/>
        <rFont val="Calibri"/>
        <family val="2"/>
        <scheme val="minor"/>
      </rPr>
      <t>280</t>
    </r>
    <r>
      <rPr>
        <sz val="10"/>
        <color theme="1"/>
        <rFont val="Calibri"/>
        <family val="2"/>
        <scheme val="minor"/>
      </rPr>
      <t xml:space="preserve"> - Health Benefits
</t>
    </r>
    <r>
      <rPr>
        <b/>
        <sz val="10"/>
        <color theme="1"/>
        <rFont val="Calibri"/>
        <family val="2"/>
        <scheme val="minor"/>
      </rPr>
      <t>281</t>
    </r>
    <r>
      <rPr>
        <sz val="10"/>
        <color theme="1"/>
        <rFont val="Calibri"/>
        <family val="2"/>
        <scheme val="minor"/>
      </rPr>
      <t xml:space="preserve"> - Health Benefits Paid for Teachers
</t>
    </r>
    <r>
      <rPr>
        <b/>
        <sz val="10"/>
        <color theme="1"/>
        <rFont val="Calibri"/>
        <family val="2"/>
        <scheme val="minor"/>
      </rPr>
      <t>282</t>
    </r>
    <r>
      <rPr>
        <sz val="10"/>
        <color theme="1"/>
        <rFont val="Calibri"/>
        <family val="2"/>
        <scheme val="minor"/>
      </rPr>
      <t xml:space="preserve"> - Health Benefits Paid for Instructional Aides or Assistants
</t>
    </r>
    <r>
      <rPr>
        <b/>
        <sz val="10"/>
        <color theme="1"/>
        <rFont val="Calibri"/>
        <family val="2"/>
        <scheme val="minor"/>
      </rPr>
      <t>283</t>
    </r>
    <r>
      <rPr>
        <sz val="10"/>
        <color theme="1"/>
        <rFont val="Calibri"/>
        <family val="2"/>
        <scheme val="minor"/>
      </rPr>
      <t xml:space="preserve"> - Health Benefits Paid for Substitute Teachers
</t>
    </r>
    <r>
      <rPr>
        <b/>
        <sz val="10"/>
        <color theme="1"/>
        <rFont val="Calibri"/>
        <family val="2"/>
        <scheme val="minor"/>
      </rPr>
      <t>290</t>
    </r>
    <r>
      <rPr>
        <sz val="10"/>
        <color theme="1"/>
        <rFont val="Calibri"/>
        <family val="2"/>
        <scheme val="minor"/>
      </rPr>
      <t xml:space="preserve"> - Other Employee Benefits
</t>
    </r>
    <r>
      <rPr>
        <b/>
        <sz val="10"/>
        <color theme="1"/>
        <rFont val="Calibri"/>
        <family val="2"/>
        <scheme val="minor"/>
      </rPr>
      <t>291</t>
    </r>
    <r>
      <rPr>
        <sz val="10"/>
        <color theme="1"/>
        <rFont val="Calibri"/>
        <family val="2"/>
        <scheme val="minor"/>
      </rPr>
      <t xml:space="preserve"> - Other Employee Benefits Paid for Teachers
</t>
    </r>
    <r>
      <rPr>
        <b/>
        <sz val="10"/>
        <color theme="1"/>
        <rFont val="Calibri"/>
        <family val="2"/>
        <scheme val="minor"/>
      </rPr>
      <t>292</t>
    </r>
    <r>
      <rPr>
        <sz val="10"/>
        <color theme="1"/>
        <rFont val="Calibri"/>
        <family val="2"/>
        <scheme val="minor"/>
      </rPr>
      <t xml:space="preserve"> - Other Employee Benefits Paid for Instructional Aides or Assistants
</t>
    </r>
    <r>
      <rPr>
        <b/>
        <sz val="10"/>
        <color theme="1"/>
        <rFont val="Calibri"/>
        <family val="2"/>
        <scheme val="minor"/>
      </rPr>
      <t>293</t>
    </r>
    <r>
      <rPr>
        <sz val="10"/>
        <color theme="1"/>
        <rFont val="Calibri"/>
        <family val="2"/>
        <scheme val="minor"/>
      </rPr>
      <t xml:space="preserve"> - Other Employee Benefits for Substitute Teachers
</t>
    </r>
    <r>
      <rPr>
        <b/>
        <sz val="10"/>
        <color theme="1"/>
        <rFont val="Calibri"/>
        <family val="2"/>
        <scheme val="minor"/>
      </rPr>
      <t>300</t>
    </r>
    <r>
      <rPr>
        <sz val="10"/>
        <color theme="1"/>
        <rFont val="Calibri"/>
        <family val="2"/>
        <scheme val="minor"/>
      </rPr>
      <t xml:space="preserve"> - Purchased Professional and Technical Services
</t>
    </r>
    <r>
      <rPr>
        <b/>
        <sz val="10"/>
        <color theme="1"/>
        <rFont val="Calibri"/>
        <family val="2"/>
        <scheme val="minor"/>
      </rPr>
      <t>310</t>
    </r>
    <r>
      <rPr>
        <sz val="10"/>
        <color theme="1"/>
        <rFont val="Calibri"/>
        <family val="2"/>
        <scheme val="minor"/>
      </rPr>
      <t xml:space="preserve"> - Official/Administrative Services
</t>
    </r>
    <r>
      <rPr>
        <b/>
        <sz val="10"/>
        <color theme="1"/>
        <rFont val="Calibri"/>
        <family val="2"/>
        <scheme val="minor"/>
      </rPr>
      <t>320</t>
    </r>
    <r>
      <rPr>
        <sz val="10"/>
        <color theme="1"/>
        <rFont val="Calibri"/>
        <family val="2"/>
        <scheme val="minor"/>
      </rPr>
      <t xml:space="preserve"> - Professional Educational Services
</t>
    </r>
    <r>
      <rPr>
        <b/>
        <sz val="10"/>
        <color theme="1"/>
        <rFont val="Calibri"/>
        <family val="2"/>
        <scheme val="minor"/>
      </rPr>
      <t>330</t>
    </r>
    <r>
      <rPr>
        <sz val="10"/>
        <color theme="1"/>
        <rFont val="Calibri"/>
        <family val="2"/>
        <scheme val="minor"/>
      </rPr>
      <t xml:space="preserve"> - Employee Training and Development Services
</t>
    </r>
    <r>
      <rPr>
        <b/>
        <sz val="10"/>
        <color theme="1"/>
        <rFont val="Calibri"/>
        <family val="2"/>
        <scheme val="minor"/>
      </rPr>
      <t>340</t>
    </r>
    <r>
      <rPr>
        <sz val="10"/>
        <color theme="1"/>
        <rFont val="Calibri"/>
        <family val="2"/>
        <scheme val="minor"/>
      </rPr>
      <t xml:space="preserve"> - Other Professional Services
</t>
    </r>
    <r>
      <rPr>
        <b/>
        <sz val="10"/>
        <color theme="1"/>
        <rFont val="Calibri"/>
        <family val="2"/>
        <scheme val="minor"/>
      </rPr>
      <t>350</t>
    </r>
    <r>
      <rPr>
        <sz val="10"/>
        <color theme="1"/>
        <rFont val="Calibri"/>
        <family val="2"/>
        <scheme val="minor"/>
      </rPr>
      <t xml:space="preserve"> - Technical Services
</t>
    </r>
    <r>
      <rPr>
        <b/>
        <sz val="10"/>
        <color theme="1"/>
        <rFont val="Calibri"/>
        <family val="2"/>
        <scheme val="minor"/>
      </rPr>
      <t>351</t>
    </r>
    <r>
      <rPr>
        <sz val="10"/>
        <color theme="1"/>
        <rFont val="Calibri"/>
        <family val="2"/>
        <scheme val="minor"/>
      </rPr>
      <t xml:space="preserve"> - Data-Processing and Coding Services
</t>
    </r>
    <r>
      <rPr>
        <b/>
        <sz val="10"/>
        <color theme="1"/>
        <rFont val="Calibri"/>
        <family val="2"/>
        <scheme val="minor"/>
      </rPr>
      <t>352</t>
    </r>
    <r>
      <rPr>
        <sz val="10"/>
        <color theme="1"/>
        <rFont val="Calibri"/>
        <family val="2"/>
        <scheme val="minor"/>
      </rPr>
      <t xml:space="preserve"> - Other Technical Services
</t>
    </r>
    <r>
      <rPr>
        <b/>
        <sz val="10"/>
        <color theme="1"/>
        <rFont val="Calibri"/>
        <family val="2"/>
        <scheme val="minor"/>
      </rPr>
      <t>400</t>
    </r>
    <r>
      <rPr>
        <sz val="10"/>
        <color theme="1"/>
        <rFont val="Calibri"/>
        <family val="2"/>
        <scheme val="minor"/>
      </rPr>
      <t xml:space="preserve"> - Purchased Property Services
</t>
    </r>
    <r>
      <rPr>
        <b/>
        <sz val="10"/>
        <color theme="1"/>
        <rFont val="Calibri"/>
        <family val="2"/>
        <scheme val="minor"/>
      </rPr>
      <t>410</t>
    </r>
    <r>
      <rPr>
        <sz val="10"/>
        <color theme="1"/>
        <rFont val="Calibri"/>
        <family val="2"/>
        <scheme val="minor"/>
      </rPr>
      <t xml:space="preserve"> - Utility Services
</t>
    </r>
    <r>
      <rPr>
        <b/>
        <sz val="10"/>
        <color theme="1"/>
        <rFont val="Calibri"/>
        <family val="2"/>
        <scheme val="minor"/>
      </rPr>
      <t>420</t>
    </r>
    <r>
      <rPr>
        <sz val="10"/>
        <color theme="1"/>
        <rFont val="Calibri"/>
        <family val="2"/>
        <scheme val="minor"/>
      </rPr>
      <t xml:space="preserve"> - Cleaning Services
</t>
    </r>
    <r>
      <rPr>
        <b/>
        <sz val="10"/>
        <color theme="1"/>
        <rFont val="Calibri"/>
        <family val="2"/>
        <scheme val="minor"/>
      </rPr>
      <t>430</t>
    </r>
    <r>
      <rPr>
        <sz val="10"/>
        <color theme="1"/>
        <rFont val="Calibri"/>
        <family val="2"/>
        <scheme val="minor"/>
      </rPr>
      <t xml:space="preserve"> - Repairs and Maintenance Services
</t>
    </r>
    <r>
      <rPr>
        <b/>
        <sz val="10"/>
        <color theme="1"/>
        <rFont val="Calibri"/>
        <family val="2"/>
        <scheme val="minor"/>
      </rPr>
      <t>431</t>
    </r>
    <r>
      <rPr>
        <sz val="10"/>
        <color theme="1"/>
        <rFont val="Calibri"/>
        <family val="2"/>
        <scheme val="minor"/>
      </rPr>
      <t xml:space="preserve"> - Non-Technology-Related Repairs and Maintenance
</t>
    </r>
    <r>
      <rPr>
        <b/>
        <sz val="10"/>
        <color theme="1"/>
        <rFont val="Calibri"/>
        <family val="2"/>
        <scheme val="minor"/>
      </rPr>
      <t>432</t>
    </r>
    <r>
      <rPr>
        <sz val="10"/>
        <color theme="1"/>
        <rFont val="Calibri"/>
        <family val="2"/>
        <scheme val="minor"/>
      </rPr>
      <t xml:space="preserve"> - Technology-Related Repairs and Maintenance
</t>
    </r>
    <r>
      <rPr>
        <b/>
        <sz val="10"/>
        <color theme="1"/>
        <rFont val="Calibri"/>
        <family val="2"/>
        <scheme val="minor"/>
      </rPr>
      <t>440</t>
    </r>
    <r>
      <rPr>
        <sz val="10"/>
        <color theme="1"/>
        <rFont val="Calibri"/>
        <family val="2"/>
        <scheme val="minor"/>
      </rPr>
      <t xml:space="preserve"> - Rentals
</t>
    </r>
    <r>
      <rPr>
        <b/>
        <sz val="10"/>
        <color theme="1"/>
        <rFont val="Calibri"/>
        <family val="2"/>
        <scheme val="minor"/>
      </rPr>
      <t>441</t>
    </r>
    <r>
      <rPr>
        <sz val="10"/>
        <color theme="1"/>
        <rFont val="Calibri"/>
        <family val="2"/>
        <scheme val="minor"/>
      </rPr>
      <t xml:space="preserve"> - Rentals of Land and Buildings
</t>
    </r>
    <r>
      <rPr>
        <b/>
        <sz val="10"/>
        <color theme="1"/>
        <rFont val="Calibri"/>
        <family val="2"/>
        <scheme val="minor"/>
      </rPr>
      <t>442</t>
    </r>
    <r>
      <rPr>
        <sz val="10"/>
        <color theme="1"/>
        <rFont val="Calibri"/>
        <family val="2"/>
        <scheme val="minor"/>
      </rPr>
      <t xml:space="preserve"> - Rentals of Equipment and Vehicles
</t>
    </r>
    <r>
      <rPr>
        <b/>
        <sz val="10"/>
        <color theme="1"/>
        <rFont val="Calibri"/>
        <family val="2"/>
        <scheme val="minor"/>
      </rPr>
      <t>443</t>
    </r>
    <r>
      <rPr>
        <sz val="10"/>
        <color theme="1"/>
        <rFont val="Calibri"/>
        <family val="2"/>
        <scheme val="minor"/>
      </rPr>
      <t xml:space="preserve"> - Rentals of Computers and Related Equipment
</t>
    </r>
    <r>
      <rPr>
        <b/>
        <sz val="10"/>
        <color theme="1"/>
        <rFont val="Calibri"/>
        <family val="2"/>
        <scheme val="minor"/>
      </rPr>
      <t>450</t>
    </r>
    <r>
      <rPr>
        <sz val="10"/>
        <color theme="1"/>
        <rFont val="Calibri"/>
        <family val="2"/>
        <scheme val="minor"/>
      </rPr>
      <t xml:space="preserve"> - Construction Services
</t>
    </r>
    <r>
      <rPr>
        <b/>
        <sz val="10"/>
        <color theme="1"/>
        <rFont val="Calibri"/>
        <family val="2"/>
        <scheme val="minor"/>
      </rPr>
      <t>490</t>
    </r>
    <r>
      <rPr>
        <sz val="10"/>
        <color theme="1"/>
        <rFont val="Calibri"/>
        <family val="2"/>
        <scheme val="minor"/>
      </rPr>
      <t xml:space="preserve"> - Other Purchased Property Services
</t>
    </r>
    <r>
      <rPr>
        <b/>
        <sz val="10"/>
        <color theme="1"/>
        <rFont val="Calibri"/>
        <family val="2"/>
        <scheme val="minor"/>
      </rPr>
      <t>500</t>
    </r>
    <r>
      <rPr>
        <sz val="10"/>
        <color theme="1"/>
        <rFont val="Calibri"/>
        <family val="2"/>
        <scheme val="minor"/>
      </rPr>
      <t xml:space="preserve"> - Other Purchased Services
</t>
    </r>
    <r>
      <rPr>
        <b/>
        <sz val="10"/>
        <color theme="1"/>
        <rFont val="Calibri"/>
        <family val="2"/>
        <scheme val="minor"/>
      </rPr>
      <t>510</t>
    </r>
    <r>
      <rPr>
        <sz val="10"/>
        <color theme="1"/>
        <rFont val="Calibri"/>
        <family val="2"/>
        <scheme val="minor"/>
      </rPr>
      <t xml:space="preserve"> - Student Transportation Services
</t>
    </r>
    <r>
      <rPr>
        <b/>
        <sz val="10"/>
        <color theme="1"/>
        <rFont val="Calibri"/>
        <family val="2"/>
        <scheme val="minor"/>
      </rPr>
      <t>511</t>
    </r>
    <r>
      <rPr>
        <sz val="10"/>
        <color theme="1"/>
        <rFont val="Calibri"/>
        <family val="2"/>
        <scheme val="minor"/>
      </rPr>
      <t xml:space="preserve"> - Student Transportation Purchased From Another School District Within the State
</t>
    </r>
    <r>
      <rPr>
        <b/>
        <sz val="10"/>
        <color theme="1"/>
        <rFont val="Calibri"/>
        <family val="2"/>
        <scheme val="minor"/>
      </rPr>
      <t>512</t>
    </r>
    <r>
      <rPr>
        <sz val="10"/>
        <color theme="1"/>
        <rFont val="Calibri"/>
        <family val="2"/>
        <scheme val="minor"/>
      </rPr>
      <t xml:space="preserve"> - Student Transportation Purchased From Another School District Outside the State
</t>
    </r>
    <r>
      <rPr>
        <b/>
        <sz val="10"/>
        <color theme="1"/>
        <rFont val="Calibri"/>
        <family val="2"/>
        <scheme val="minor"/>
      </rPr>
      <t>519</t>
    </r>
    <r>
      <rPr>
        <sz val="10"/>
        <color theme="1"/>
        <rFont val="Calibri"/>
        <family val="2"/>
        <scheme val="minor"/>
      </rPr>
      <t xml:space="preserve"> - Student Transportation Purchased From Other Sources
</t>
    </r>
    <r>
      <rPr>
        <b/>
        <sz val="10"/>
        <color theme="1"/>
        <rFont val="Calibri"/>
        <family val="2"/>
        <scheme val="minor"/>
      </rPr>
      <t>520</t>
    </r>
    <r>
      <rPr>
        <sz val="10"/>
        <color theme="1"/>
        <rFont val="Calibri"/>
        <family val="2"/>
        <scheme val="minor"/>
      </rPr>
      <t xml:space="preserve"> - Insurance (Other Than Employee Benefits)
</t>
    </r>
    <r>
      <rPr>
        <b/>
        <sz val="10"/>
        <color theme="1"/>
        <rFont val="Calibri"/>
        <family val="2"/>
        <scheme val="minor"/>
      </rPr>
      <t>530</t>
    </r>
    <r>
      <rPr>
        <sz val="10"/>
        <color theme="1"/>
        <rFont val="Calibri"/>
        <family val="2"/>
        <scheme val="minor"/>
      </rPr>
      <t xml:space="preserve"> - Communications
</t>
    </r>
    <r>
      <rPr>
        <b/>
        <sz val="10"/>
        <color theme="1"/>
        <rFont val="Calibri"/>
        <family val="2"/>
        <scheme val="minor"/>
      </rPr>
      <t>540</t>
    </r>
    <r>
      <rPr>
        <sz val="10"/>
        <color theme="1"/>
        <rFont val="Calibri"/>
        <family val="2"/>
        <scheme val="minor"/>
      </rPr>
      <t xml:space="preserve"> - Advertising
</t>
    </r>
    <r>
      <rPr>
        <b/>
        <sz val="10"/>
        <color theme="1"/>
        <rFont val="Calibri"/>
        <family val="2"/>
        <scheme val="minor"/>
      </rPr>
      <t>550</t>
    </r>
    <r>
      <rPr>
        <sz val="10"/>
        <color theme="1"/>
        <rFont val="Calibri"/>
        <family val="2"/>
        <scheme val="minor"/>
      </rPr>
      <t xml:space="preserve"> - Printing and Binding
</t>
    </r>
    <r>
      <rPr>
        <b/>
        <sz val="10"/>
        <color theme="1"/>
        <rFont val="Calibri"/>
        <family val="2"/>
        <scheme val="minor"/>
      </rPr>
      <t>560</t>
    </r>
    <r>
      <rPr>
        <sz val="10"/>
        <color theme="1"/>
        <rFont val="Calibri"/>
        <family val="2"/>
        <scheme val="minor"/>
      </rPr>
      <t xml:space="preserve"> - Tuition
</t>
    </r>
    <r>
      <rPr>
        <b/>
        <sz val="10"/>
        <color theme="1"/>
        <rFont val="Calibri"/>
        <family val="2"/>
        <scheme val="minor"/>
      </rPr>
      <t>561</t>
    </r>
    <r>
      <rPr>
        <sz val="10"/>
        <color theme="1"/>
        <rFont val="Calibri"/>
        <family val="2"/>
        <scheme val="minor"/>
      </rPr>
      <t xml:space="preserve"> - Tuition to Other School Districts (Excluding Charter Schools) Within the State
</t>
    </r>
    <r>
      <rPr>
        <b/>
        <sz val="10"/>
        <color theme="1"/>
        <rFont val="Calibri"/>
        <family val="2"/>
        <scheme val="minor"/>
      </rPr>
      <t>562</t>
    </r>
    <r>
      <rPr>
        <sz val="10"/>
        <color theme="1"/>
        <rFont val="Calibri"/>
        <family val="2"/>
        <scheme val="minor"/>
      </rPr>
      <t xml:space="preserve"> - Tuition to Other School Districts (Including Charter Schools) Outside the State
</t>
    </r>
    <r>
      <rPr>
        <b/>
        <sz val="10"/>
        <color theme="1"/>
        <rFont val="Calibri"/>
        <family val="2"/>
        <scheme val="minor"/>
      </rPr>
      <t>563</t>
    </r>
    <r>
      <rPr>
        <sz val="10"/>
        <color theme="1"/>
        <rFont val="Calibri"/>
        <family val="2"/>
        <scheme val="minor"/>
      </rPr>
      <t xml:space="preserve"> - Tuition to Private Schools
</t>
    </r>
    <r>
      <rPr>
        <b/>
        <sz val="10"/>
        <color theme="1"/>
        <rFont val="Calibri"/>
        <family val="2"/>
        <scheme val="minor"/>
      </rPr>
      <t>564</t>
    </r>
    <r>
      <rPr>
        <sz val="10"/>
        <color theme="1"/>
        <rFont val="Calibri"/>
        <family val="2"/>
        <scheme val="minor"/>
      </rPr>
      <t xml:space="preserve"> - Tuition to Charter Schools Within the State
</t>
    </r>
    <r>
      <rPr>
        <b/>
        <sz val="10"/>
        <color theme="1"/>
        <rFont val="Calibri"/>
        <family val="2"/>
        <scheme val="minor"/>
      </rPr>
      <t>565</t>
    </r>
    <r>
      <rPr>
        <sz val="10"/>
        <color theme="1"/>
        <rFont val="Calibri"/>
        <family val="2"/>
        <scheme val="minor"/>
      </rPr>
      <t xml:space="preserve"> - Tuition to Postsecondary Schools
</t>
    </r>
    <r>
      <rPr>
        <b/>
        <sz val="10"/>
        <color theme="1"/>
        <rFont val="Calibri"/>
        <family val="2"/>
        <scheme val="minor"/>
      </rPr>
      <t>566</t>
    </r>
    <r>
      <rPr>
        <sz val="10"/>
        <color theme="1"/>
        <rFont val="Calibri"/>
        <family val="2"/>
        <scheme val="minor"/>
      </rPr>
      <t xml:space="preserve"> - Voucher Payments to Private Schools and to Other School Districts Outside the State
</t>
    </r>
    <r>
      <rPr>
        <b/>
        <sz val="10"/>
        <color theme="1"/>
        <rFont val="Calibri"/>
        <family val="2"/>
        <scheme val="minor"/>
      </rPr>
      <t>567</t>
    </r>
    <r>
      <rPr>
        <sz val="10"/>
        <color theme="1"/>
        <rFont val="Calibri"/>
        <family val="2"/>
        <scheme val="minor"/>
      </rPr>
      <t xml:space="preserve"> - Voucher Payments to School Districts, including Charter Schools, Within the State
</t>
    </r>
    <r>
      <rPr>
        <b/>
        <sz val="10"/>
        <color theme="1"/>
        <rFont val="Calibri"/>
        <family val="2"/>
        <scheme val="minor"/>
      </rPr>
      <t>568</t>
    </r>
    <r>
      <rPr>
        <sz val="10"/>
        <color theme="1"/>
        <rFont val="Calibri"/>
        <family val="2"/>
        <scheme val="minor"/>
      </rPr>
      <t xml:space="preserve"> - Voucher Payments Directly to Individuals
</t>
    </r>
    <r>
      <rPr>
        <b/>
        <sz val="10"/>
        <color theme="1"/>
        <rFont val="Calibri"/>
        <family val="2"/>
        <scheme val="minor"/>
      </rPr>
      <t>569</t>
    </r>
    <r>
      <rPr>
        <sz val="10"/>
        <color theme="1"/>
        <rFont val="Calibri"/>
        <family val="2"/>
        <scheme val="minor"/>
      </rPr>
      <t xml:space="preserve"> - Tuition-Other
</t>
    </r>
    <r>
      <rPr>
        <b/>
        <sz val="10"/>
        <color theme="1"/>
        <rFont val="Calibri"/>
        <family val="2"/>
        <scheme val="minor"/>
      </rPr>
      <t>570</t>
    </r>
    <r>
      <rPr>
        <sz val="10"/>
        <color theme="1"/>
        <rFont val="Calibri"/>
        <family val="2"/>
        <scheme val="minor"/>
      </rPr>
      <t xml:space="preserve"> - Food Service Management
</t>
    </r>
    <r>
      <rPr>
        <b/>
        <sz val="10"/>
        <color theme="1"/>
        <rFont val="Calibri"/>
        <family val="2"/>
        <scheme val="minor"/>
      </rPr>
      <t>580</t>
    </r>
    <r>
      <rPr>
        <sz val="10"/>
        <color theme="1"/>
        <rFont val="Calibri"/>
        <family val="2"/>
        <scheme val="minor"/>
      </rPr>
      <t xml:space="preserve"> - Travel
</t>
    </r>
    <r>
      <rPr>
        <b/>
        <sz val="10"/>
        <color theme="1"/>
        <rFont val="Calibri"/>
        <family val="2"/>
        <scheme val="minor"/>
      </rPr>
      <t>590</t>
    </r>
    <r>
      <rPr>
        <sz val="10"/>
        <color theme="1"/>
        <rFont val="Calibri"/>
        <family val="2"/>
        <scheme val="minor"/>
      </rPr>
      <t xml:space="preserve"> - Interagency Purchased Services
</t>
    </r>
    <r>
      <rPr>
        <b/>
        <sz val="10"/>
        <color theme="1"/>
        <rFont val="Calibri"/>
        <family val="2"/>
        <scheme val="minor"/>
      </rPr>
      <t>591</t>
    </r>
    <r>
      <rPr>
        <sz val="10"/>
        <color theme="1"/>
        <rFont val="Calibri"/>
        <family val="2"/>
        <scheme val="minor"/>
      </rPr>
      <t xml:space="preserve"> - Services Purchased From Another School District or Educational Services Agency Within the State
</t>
    </r>
    <r>
      <rPr>
        <b/>
        <sz val="10"/>
        <color theme="1"/>
        <rFont val="Calibri"/>
        <family val="2"/>
        <scheme val="minor"/>
      </rPr>
      <t>592</t>
    </r>
    <r>
      <rPr>
        <sz val="10"/>
        <color theme="1"/>
        <rFont val="Calibri"/>
        <family val="2"/>
        <scheme val="minor"/>
      </rPr>
      <t xml:space="preserve"> - Services Purchased From Another School District or Educational Services Agency Outside the State
</t>
    </r>
    <r>
      <rPr>
        <b/>
        <sz val="10"/>
        <color theme="1"/>
        <rFont val="Calibri"/>
        <family val="2"/>
        <scheme val="minor"/>
      </rPr>
      <t>600</t>
    </r>
    <r>
      <rPr>
        <sz val="10"/>
        <color theme="1"/>
        <rFont val="Calibri"/>
        <family val="2"/>
        <scheme val="minor"/>
      </rPr>
      <t xml:space="preserve"> - Supplies
</t>
    </r>
    <r>
      <rPr>
        <b/>
        <sz val="10"/>
        <color theme="1"/>
        <rFont val="Calibri"/>
        <family val="2"/>
        <scheme val="minor"/>
      </rPr>
      <t>610</t>
    </r>
    <r>
      <rPr>
        <sz val="10"/>
        <color theme="1"/>
        <rFont val="Calibri"/>
        <family val="2"/>
        <scheme val="minor"/>
      </rPr>
      <t xml:space="preserve"> - General Supplies
</t>
    </r>
    <r>
      <rPr>
        <b/>
        <sz val="10"/>
        <color theme="1"/>
        <rFont val="Calibri"/>
        <family val="2"/>
        <scheme val="minor"/>
      </rPr>
      <t>620</t>
    </r>
    <r>
      <rPr>
        <sz val="10"/>
        <color theme="1"/>
        <rFont val="Calibri"/>
        <family val="2"/>
        <scheme val="minor"/>
      </rPr>
      <t xml:space="preserve"> - Energy
</t>
    </r>
    <r>
      <rPr>
        <b/>
        <sz val="10"/>
        <color theme="1"/>
        <rFont val="Calibri"/>
        <family val="2"/>
        <scheme val="minor"/>
      </rPr>
      <t>621</t>
    </r>
    <r>
      <rPr>
        <sz val="10"/>
        <color theme="1"/>
        <rFont val="Calibri"/>
        <family val="2"/>
        <scheme val="minor"/>
      </rPr>
      <t xml:space="preserve"> - Natural Gas
</t>
    </r>
    <r>
      <rPr>
        <b/>
        <sz val="10"/>
        <color theme="1"/>
        <rFont val="Calibri"/>
        <family val="2"/>
        <scheme val="minor"/>
      </rPr>
      <t>622</t>
    </r>
    <r>
      <rPr>
        <sz val="10"/>
        <color theme="1"/>
        <rFont val="Calibri"/>
        <family val="2"/>
        <scheme val="minor"/>
      </rPr>
      <t xml:space="preserve"> - Electricity
</t>
    </r>
    <r>
      <rPr>
        <b/>
        <sz val="10"/>
        <color theme="1"/>
        <rFont val="Calibri"/>
        <family val="2"/>
        <scheme val="minor"/>
      </rPr>
      <t>623</t>
    </r>
    <r>
      <rPr>
        <sz val="10"/>
        <color theme="1"/>
        <rFont val="Calibri"/>
        <family val="2"/>
        <scheme val="minor"/>
      </rPr>
      <t xml:space="preserve"> - Bottled Gas
</t>
    </r>
    <r>
      <rPr>
        <b/>
        <sz val="10"/>
        <color theme="1"/>
        <rFont val="Calibri"/>
        <family val="2"/>
        <scheme val="minor"/>
      </rPr>
      <t>624</t>
    </r>
    <r>
      <rPr>
        <sz val="10"/>
        <color theme="1"/>
        <rFont val="Calibri"/>
        <family val="2"/>
        <scheme val="minor"/>
      </rPr>
      <t xml:space="preserve"> - Oil
</t>
    </r>
    <r>
      <rPr>
        <b/>
        <sz val="10"/>
        <color theme="1"/>
        <rFont val="Calibri"/>
        <family val="2"/>
        <scheme val="minor"/>
      </rPr>
      <t>625</t>
    </r>
    <r>
      <rPr>
        <sz val="10"/>
        <color theme="1"/>
        <rFont val="Calibri"/>
        <family val="2"/>
        <scheme val="minor"/>
      </rPr>
      <t xml:space="preserve"> - Coal
</t>
    </r>
    <r>
      <rPr>
        <b/>
        <sz val="10"/>
        <color theme="1"/>
        <rFont val="Calibri"/>
        <family val="2"/>
        <scheme val="minor"/>
      </rPr>
      <t>626</t>
    </r>
    <r>
      <rPr>
        <sz val="10"/>
        <color theme="1"/>
        <rFont val="Calibri"/>
        <family val="2"/>
        <scheme val="minor"/>
      </rPr>
      <t xml:space="preserve"> - Gasoline
</t>
    </r>
    <r>
      <rPr>
        <b/>
        <sz val="10"/>
        <color theme="1"/>
        <rFont val="Calibri"/>
        <family val="2"/>
        <scheme val="minor"/>
      </rPr>
      <t>629</t>
    </r>
    <r>
      <rPr>
        <sz val="10"/>
        <color theme="1"/>
        <rFont val="Calibri"/>
        <family val="2"/>
        <scheme val="minor"/>
      </rPr>
      <t xml:space="preserve"> - Other
</t>
    </r>
    <r>
      <rPr>
        <b/>
        <sz val="10"/>
        <color theme="1"/>
        <rFont val="Calibri"/>
        <family val="2"/>
        <scheme val="minor"/>
      </rPr>
      <t>630</t>
    </r>
    <r>
      <rPr>
        <sz val="10"/>
        <color theme="1"/>
        <rFont val="Calibri"/>
        <family val="2"/>
        <scheme val="minor"/>
      </rPr>
      <t xml:space="preserve"> - Food
</t>
    </r>
    <r>
      <rPr>
        <b/>
        <sz val="10"/>
        <color theme="1"/>
        <rFont val="Calibri"/>
        <family val="2"/>
        <scheme val="minor"/>
      </rPr>
      <t>640</t>
    </r>
    <r>
      <rPr>
        <sz val="10"/>
        <color theme="1"/>
        <rFont val="Calibri"/>
        <family val="2"/>
        <scheme val="minor"/>
      </rPr>
      <t xml:space="preserve"> - Books and Periodicals
</t>
    </r>
    <r>
      <rPr>
        <b/>
        <sz val="10"/>
        <color theme="1"/>
        <rFont val="Calibri"/>
        <family val="2"/>
        <scheme val="minor"/>
      </rPr>
      <t>650</t>
    </r>
    <r>
      <rPr>
        <sz val="10"/>
        <color theme="1"/>
        <rFont val="Calibri"/>
        <family val="2"/>
        <scheme val="minor"/>
      </rPr>
      <t xml:space="preserve"> - Supplies-Technology Related
</t>
    </r>
    <r>
      <rPr>
        <b/>
        <sz val="10"/>
        <color theme="1"/>
        <rFont val="Calibri"/>
        <family val="2"/>
        <scheme val="minor"/>
      </rPr>
      <t>700</t>
    </r>
    <r>
      <rPr>
        <sz val="10"/>
        <color theme="1"/>
        <rFont val="Calibri"/>
        <family val="2"/>
        <scheme val="minor"/>
      </rPr>
      <t xml:space="preserve"> - Property
</t>
    </r>
    <r>
      <rPr>
        <b/>
        <sz val="10"/>
        <color theme="1"/>
        <rFont val="Calibri"/>
        <family val="2"/>
        <scheme val="minor"/>
      </rPr>
      <t>710</t>
    </r>
    <r>
      <rPr>
        <sz val="10"/>
        <color theme="1"/>
        <rFont val="Calibri"/>
        <family val="2"/>
        <scheme val="minor"/>
      </rPr>
      <t xml:space="preserve"> - Land and Land Improvements
</t>
    </r>
    <r>
      <rPr>
        <b/>
        <sz val="10"/>
        <color theme="1"/>
        <rFont val="Calibri"/>
        <family val="2"/>
        <scheme val="minor"/>
      </rPr>
      <t>720</t>
    </r>
    <r>
      <rPr>
        <sz val="10"/>
        <color theme="1"/>
        <rFont val="Calibri"/>
        <family val="2"/>
        <scheme val="minor"/>
      </rPr>
      <t xml:space="preserve"> - Buildings
</t>
    </r>
    <r>
      <rPr>
        <b/>
        <sz val="10"/>
        <color theme="1"/>
        <rFont val="Calibri"/>
        <family val="2"/>
        <scheme val="minor"/>
      </rPr>
      <t>730</t>
    </r>
    <r>
      <rPr>
        <sz val="10"/>
        <color theme="1"/>
        <rFont val="Calibri"/>
        <family val="2"/>
        <scheme val="minor"/>
      </rPr>
      <t xml:space="preserve"> - Equipment
</t>
    </r>
    <r>
      <rPr>
        <b/>
        <sz val="10"/>
        <color theme="1"/>
        <rFont val="Calibri"/>
        <family val="2"/>
        <scheme val="minor"/>
      </rPr>
      <t>731</t>
    </r>
    <r>
      <rPr>
        <sz val="10"/>
        <color theme="1"/>
        <rFont val="Calibri"/>
        <family val="2"/>
        <scheme val="minor"/>
      </rPr>
      <t xml:space="preserve"> - Machinery
</t>
    </r>
    <r>
      <rPr>
        <b/>
        <sz val="10"/>
        <color theme="1"/>
        <rFont val="Calibri"/>
        <family val="2"/>
        <scheme val="minor"/>
      </rPr>
      <t>732</t>
    </r>
    <r>
      <rPr>
        <sz val="10"/>
        <color theme="1"/>
        <rFont val="Calibri"/>
        <family val="2"/>
        <scheme val="minor"/>
      </rPr>
      <t xml:space="preserve"> - Vehicles
</t>
    </r>
    <r>
      <rPr>
        <b/>
        <sz val="10"/>
        <color theme="1"/>
        <rFont val="Calibri"/>
        <family val="2"/>
        <scheme val="minor"/>
      </rPr>
      <t>733</t>
    </r>
    <r>
      <rPr>
        <sz val="10"/>
        <color theme="1"/>
        <rFont val="Calibri"/>
        <family val="2"/>
        <scheme val="minor"/>
      </rPr>
      <t xml:space="preserve"> - Furniture and Fixtures
</t>
    </r>
    <r>
      <rPr>
        <b/>
        <sz val="10"/>
        <color theme="1"/>
        <rFont val="Calibri"/>
        <family val="2"/>
        <scheme val="minor"/>
      </rPr>
      <t>734</t>
    </r>
    <r>
      <rPr>
        <sz val="10"/>
        <color theme="1"/>
        <rFont val="Calibri"/>
        <family val="2"/>
        <scheme val="minor"/>
      </rPr>
      <t xml:space="preserve"> - Technology-Related Hardware
</t>
    </r>
    <r>
      <rPr>
        <b/>
        <sz val="10"/>
        <color theme="1"/>
        <rFont val="Calibri"/>
        <family val="2"/>
        <scheme val="minor"/>
      </rPr>
      <t>735</t>
    </r>
    <r>
      <rPr>
        <sz val="10"/>
        <color theme="1"/>
        <rFont val="Calibri"/>
        <family val="2"/>
        <scheme val="minor"/>
      </rPr>
      <t xml:space="preserve"> - Technology Software
</t>
    </r>
    <r>
      <rPr>
        <b/>
        <sz val="10"/>
        <color theme="1"/>
        <rFont val="Calibri"/>
        <family val="2"/>
        <scheme val="minor"/>
      </rPr>
      <t>739</t>
    </r>
    <r>
      <rPr>
        <sz val="10"/>
        <color theme="1"/>
        <rFont val="Calibri"/>
        <family val="2"/>
        <scheme val="minor"/>
      </rPr>
      <t xml:space="preserve"> - Other Equipment
</t>
    </r>
    <r>
      <rPr>
        <b/>
        <sz val="10"/>
        <color theme="1"/>
        <rFont val="Calibri"/>
        <family val="2"/>
        <scheme val="minor"/>
      </rPr>
      <t>740</t>
    </r>
    <r>
      <rPr>
        <sz val="10"/>
        <color theme="1"/>
        <rFont val="Calibri"/>
        <family val="2"/>
        <scheme val="minor"/>
      </rPr>
      <t xml:space="preserve"> - Infrastructure
</t>
    </r>
    <r>
      <rPr>
        <b/>
        <sz val="10"/>
        <color theme="1"/>
        <rFont val="Calibri"/>
        <family val="2"/>
        <scheme val="minor"/>
      </rPr>
      <t>750</t>
    </r>
    <r>
      <rPr>
        <sz val="10"/>
        <color theme="1"/>
        <rFont val="Calibri"/>
        <family val="2"/>
        <scheme val="minor"/>
      </rPr>
      <t xml:space="preserve"> - Intangible Assets
</t>
    </r>
    <r>
      <rPr>
        <b/>
        <sz val="10"/>
        <color theme="1"/>
        <rFont val="Calibri"/>
        <family val="2"/>
        <scheme val="minor"/>
      </rPr>
      <t>790</t>
    </r>
    <r>
      <rPr>
        <sz val="10"/>
        <color theme="1"/>
        <rFont val="Calibri"/>
        <family val="2"/>
        <scheme val="minor"/>
      </rPr>
      <t xml:space="preserve"> - Depreciation and Amortization
</t>
    </r>
    <r>
      <rPr>
        <b/>
        <sz val="10"/>
        <color theme="1"/>
        <rFont val="Calibri"/>
        <family val="2"/>
        <scheme val="minor"/>
      </rPr>
      <t>800</t>
    </r>
    <r>
      <rPr>
        <sz val="10"/>
        <color theme="1"/>
        <rFont val="Calibri"/>
        <family val="2"/>
        <scheme val="minor"/>
      </rPr>
      <t xml:space="preserve"> - Debt Service and Miscellaneous
</t>
    </r>
    <r>
      <rPr>
        <b/>
        <sz val="10"/>
        <color theme="1"/>
        <rFont val="Calibri"/>
        <family val="2"/>
        <scheme val="minor"/>
      </rPr>
      <t>810</t>
    </r>
    <r>
      <rPr>
        <sz val="10"/>
        <color theme="1"/>
        <rFont val="Calibri"/>
        <family val="2"/>
        <scheme val="minor"/>
      </rPr>
      <t xml:space="preserve"> - Dues and Fees
</t>
    </r>
    <r>
      <rPr>
        <b/>
        <sz val="10"/>
        <color theme="1"/>
        <rFont val="Calibri"/>
        <family val="2"/>
        <scheme val="minor"/>
      </rPr>
      <t>820</t>
    </r>
    <r>
      <rPr>
        <sz val="10"/>
        <color theme="1"/>
        <rFont val="Calibri"/>
        <family val="2"/>
        <scheme val="minor"/>
      </rPr>
      <t xml:space="preserve"> - Judgments Against the School District
</t>
    </r>
    <r>
      <rPr>
        <b/>
        <sz val="10"/>
        <color theme="1"/>
        <rFont val="Calibri"/>
        <family val="2"/>
        <scheme val="minor"/>
      </rPr>
      <t>830</t>
    </r>
    <r>
      <rPr>
        <sz val="10"/>
        <color theme="1"/>
        <rFont val="Calibri"/>
        <family val="2"/>
        <scheme val="minor"/>
      </rPr>
      <t xml:space="preserve"> - Debt-Related Expenditures/Expenses
</t>
    </r>
    <r>
      <rPr>
        <b/>
        <sz val="10"/>
        <color theme="1"/>
        <rFont val="Calibri"/>
        <family val="2"/>
        <scheme val="minor"/>
      </rPr>
      <t>831</t>
    </r>
    <r>
      <rPr>
        <sz val="10"/>
        <color theme="1"/>
        <rFont val="Calibri"/>
        <family val="2"/>
        <scheme val="minor"/>
      </rPr>
      <t xml:space="preserve"> - Redemption of Principal
</t>
    </r>
    <r>
      <rPr>
        <b/>
        <sz val="10"/>
        <color theme="1"/>
        <rFont val="Calibri"/>
        <family val="2"/>
        <scheme val="minor"/>
      </rPr>
      <t>832</t>
    </r>
    <r>
      <rPr>
        <sz val="10"/>
        <color theme="1"/>
        <rFont val="Calibri"/>
        <family val="2"/>
        <scheme val="minor"/>
      </rPr>
      <t xml:space="preserve"> - Interest on Long-Term Debt
</t>
    </r>
    <r>
      <rPr>
        <b/>
        <sz val="10"/>
        <color theme="1"/>
        <rFont val="Calibri"/>
        <family val="2"/>
        <scheme val="minor"/>
      </rPr>
      <t>833</t>
    </r>
    <r>
      <rPr>
        <sz val="10"/>
        <color theme="1"/>
        <rFont val="Calibri"/>
        <family val="2"/>
        <scheme val="minor"/>
      </rPr>
      <t xml:space="preserve"> - Bond Issuance and Other Debt-Related Costs
</t>
    </r>
    <r>
      <rPr>
        <b/>
        <sz val="10"/>
        <color theme="1"/>
        <rFont val="Calibri"/>
        <family val="2"/>
        <scheme val="minor"/>
      </rPr>
      <t>834</t>
    </r>
    <r>
      <rPr>
        <sz val="10"/>
        <color theme="1"/>
        <rFont val="Calibri"/>
        <family val="2"/>
        <scheme val="minor"/>
      </rPr>
      <t xml:space="preserve"> - Amortization of Premium and Discount on Issuance of Bonds
</t>
    </r>
    <r>
      <rPr>
        <b/>
        <sz val="10"/>
        <color theme="1"/>
        <rFont val="Calibri"/>
        <family val="2"/>
        <scheme val="minor"/>
      </rPr>
      <t>835</t>
    </r>
    <r>
      <rPr>
        <sz val="10"/>
        <color theme="1"/>
        <rFont val="Calibri"/>
        <family val="2"/>
        <scheme val="minor"/>
      </rPr>
      <t xml:space="preserve"> - Interest on Short-Term Debt
</t>
    </r>
    <r>
      <rPr>
        <b/>
        <sz val="10"/>
        <color theme="1"/>
        <rFont val="Calibri"/>
        <family val="2"/>
        <scheme val="minor"/>
      </rPr>
      <t>890</t>
    </r>
    <r>
      <rPr>
        <sz val="10"/>
        <color theme="1"/>
        <rFont val="Calibri"/>
        <family val="2"/>
        <scheme val="minor"/>
      </rPr>
      <t xml:space="preserve"> - Miscellaneous Expenditures
</t>
    </r>
    <r>
      <rPr>
        <b/>
        <sz val="10"/>
        <color theme="1"/>
        <rFont val="Calibri"/>
        <family val="2"/>
        <scheme val="minor"/>
      </rPr>
      <t>900</t>
    </r>
    <r>
      <rPr>
        <sz val="10"/>
        <color theme="1"/>
        <rFont val="Calibri"/>
        <family val="2"/>
        <scheme val="minor"/>
      </rPr>
      <t xml:space="preserve"> - Other Items
</t>
    </r>
    <r>
      <rPr>
        <b/>
        <sz val="10"/>
        <color theme="1"/>
        <rFont val="Calibri"/>
        <family val="2"/>
        <scheme val="minor"/>
      </rPr>
      <t>910</t>
    </r>
    <r>
      <rPr>
        <sz val="10"/>
        <color theme="1"/>
        <rFont val="Calibri"/>
        <family val="2"/>
        <scheme val="minor"/>
      </rPr>
      <t xml:space="preserve"> - Fund Transfers Out
</t>
    </r>
    <r>
      <rPr>
        <b/>
        <sz val="10"/>
        <color theme="1"/>
        <rFont val="Calibri"/>
        <family val="2"/>
        <scheme val="minor"/>
      </rPr>
      <t>920</t>
    </r>
    <r>
      <rPr>
        <sz val="10"/>
        <color theme="1"/>
        <rFont val="Calibri"/>
        <family val="2"/>
        <scheme val="minor"/>
      </rPr>
      <t xml:space="preserve"> - Payments to Escrow Agents for Defeasance of Debt
</t>
    </r>
    <r>
      <rPr>
        <b/>
        <sz val="10"/>
        <color theme="1"/>
        <rFont val="Calibri"/>
        <family val="2"/>
        <scheme val="minor"/>
      </rPr>
      <t>925</t>
    </r>
    <r>
      <rPr>
        <sz val="10"/>
        <color theme="1"/>
        <rFont val="Calibri"/>
        <family val="2"/>
        <scheme val="minor"/>
      </rPr>
      <t xml:space="preserve"> - Discount on the Issuance of Bonds
</t>
    </r>
    <r>
      <rPr>
        <b/>
        <sz val="10"/>
        <color theme="1"/>
        <rFont val="Calibri"/>
        <family val="2"/>
        <scheme val="minor"/>
      </rPr>
      <t>930</t>
    </r>
    <r>
      <rPr>
        <sz val="10"/>
        <color theme="1"/>
        <rFont val="Calibri"/>
        <family val="2"/>
        <scheme val="minor"/>
      </rPr>
      <t xml:space="preserve"> - Net Decreases in the Fair Value of Investments
</t>
    </r>
    <r>
      <rPr>
        <b/>
        <sz val="10"/>
        <color theme="1"/>
        <rFont val="Calibri"/>
        <family val="2"/>
        <scheme val="minor"/>
      </rPr>
      <t>931</t>
    </r>
    <r>
      <rPr>
        <sz val="10"/>
        <color theme="1"/>
        <rFont val="Calibri"/>
        <family val="2"/>
        <scheme val="minor"/>
      </rPr>
      <t xml:space="preserve"> - Realized Losses on Investments
</t>
    </r>
    <r>
      <rPr>
        <b/>
        <sz val="10"/>
        <color theme="1"/>
        <rFont val="Calibri"/>
        <family val="2"/>
        <scheme val="minor"/>
      </rPr>
      <t>932</t>
    </r>
    <r>
      <rPr>
        <sz val="10"/>
        <color theme="1"/>
        <rFont val="Calibri"/>
        <family val="2"/>
        <scheme val="minor"/>
      </rPr>
      <t xml:space="preserve"> - Unrealized Losses on Investments
</t>
    </r>
    <r>
      <rPr>
        <b/>
        <sz val="10"/>
        <color theme="1"/>
        <rFont val="Calibri"/>
        <family val="2"/>
        <scheme val="minor"/>
      </rPr>
      <t>940</t>
    </r>
    <r>
      <rPr>
        <sz val="10"/>
        <color theme="1"/>
        <rFont val="Calibri"/>
        <family val="2"/>
        <scheme val="minor"/>
      </rPr>
      <t xml:space="preserve"> - Losses on the Sale of Capital Assets
</t>
    </r>
    <r>
      <rPr>
        <b/>
        <sz val="10"/>
        <color theme="1"/>
        <rFont val="Calibri"/>
        <family val="2"/>
        <scheme val="minor"/>
      </rPr>
      <t>950</t>
    </r>
    <r>
      <rPr>
        <sz val="10"/>
        <color theme="1"/>
        <rFont val="Calibri"/>
        <family val="2"/>
        <scheme val="minor"/>
      </rPr>
      <t xml:space="preserve"> - Special Items
</t>
    </r>
    <r>
      <rPr>
        <b/>
        <sz val="10"/>
        <color theme="1"/>
        <rFont val="Calibri"/>
        <family val="2"/>
        <scheme val="minor"/>
      </rPr>
      <t>960</t>
    </r>
    <r>
      <rPr>
        <sz val="10"/>
        <color theme="1"/>
        <rFont val="Calibri"/>
        <family val="2"/>
        <scheme val="minor"/>
      </rPr>
      <t xml:space="preserve"> - Extraordinary Items
</t>
    </r>
  </si>
  <si>
    <t>001355</t>
  </si>
  <si>
    <t>FinancialExpenditureK12ObjectCode</t>
  </si>
  <si>
    <t>Financial Expenditure K12 Project Reporting Code</t>
  </si>
  <si>
    <t>The project/reporting code permits school districts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</si>
  <si>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Based on the following code conventions specified in the NCES Handbook "Financial Accounting for Local and State School Systems: 2014 Edition":</t>
  </si>
  <si>
    <t>001556</t>
  </si>
  <si>
    <t>FinancialExpenditureK12ProjectReportingCode</t>
  </si>
  <si>
    <t>010 to 190 Local Projects. Expenditures that require specialized reporting and are funded from local sources.</t>
  </si>
  <si>
    <t>200 to 390 State Projects. Expenditures that require specialized reporting for categorically funded state programs.</t>
  </si>
  <si>
    <t>400 to 990 Federal Projects. Expenditures that require specialized reporting to the federal government directly or through the state.</t>
  </si>
  <si>
    <t>1000 Noncategorical. Expenditures that do not require specialized reporting.</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</si>
  <si>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</si>
  <si>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</si>
  <si>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</si>
  <si>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</si>
  <si>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</si>
  <si>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</si>
  <si>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</si>
  <si>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r>
      <t>Federal</t>
    </r>
    <r>
      <rPr>
        <sz val="10"/>
        <color theme="1"/>
        <rFont val="Calibri"/>
        <family val="2"/>
        <scheme val="minor"/>
      </rPr>
      <t xml:space="preserve"> - Federal
</t>
    </r>
    <r>
      <rPr>
        <b/>
        <sz val="10"/>
        <color theme="1"/>
        <rFont val="Calibri"/>
        <family val="2"/>
        <scheme val="minor"/>
      </rPr>
      <t>Institutional</t>
    </r>
    <r>
      <rPr>
        <sz val="10"/>
        <color theme="1"/>
        <rFont val="Calibri"/>
        <family val="2"/>
        <scheme val="minor"/>
      </rPr>
      <t xml:space="preserve"> - Institutional
</t>
    </r>
  </si>
  <si>
    <t>Element should be used in combination with Financial Need.</t>
  </si>
  <si>
    <t>001224</t>
  </si>
  <si>
    <t>FinancialNeedDeterminationMethodology</t>
  </si>
  <si>
    <t>Firearm Type</t>
  </si>
  <si>
    <t>The type of firearm.</t>
  </si>
  <si>
    <r>
      <t>Handguns</t>
    </r>
    <r>
      <rPr>
        <sz val="10"/>
        <color theme="1"/>
        <rFont val="Calibri"/>
        <family val="2"/>
        <scheme val="minor"/>
      </rPr>
      <t xml:space="preserve"> - Handguns
</t>
    </r>
    <r>
      <rPr>
        <b/>
        <sz val="10"/>
        <color theme="1"/>
        <rFont val="Calibri"/>
        <family val="2"/>
        <scheme val="minor"/>
      </rPr>
      <t>RiflesShotguns</t>
    </r>
    <r>
      <rPr>
        <sz val="10"/>
        <color theme="1"/>
        <rFont val="Calibri"/>
        <family val="2"/>
        <scheme val="minor"/>
      </rPr>
      <t xml:space="preserve"> - Rifles / Shotguns
</t>
    </r>
    <r>
      <rPr>
        <b/>
        <sz val="10"/>
        <color theme="1"/>
        <rFont val="Calibri"/>
        <family val="2"/>
        <scheme val="minor"/>
      </rPr>
      <t>Multiple</t>
    </r>
    <r>
      <rPr>
        <sz val="10"/>
        <color theme="1"/>
        <rFont val="Calibri"/>
        <family val="2"/>
        <scheme val="minor"/>
      </rPr>
      <t xml:space="preserve"> - More than one type of weapon or firearm
</t>
    </r>
    <r>
      <rPr>
        <b/>
        <sz val="10"/>
        <color theme="1"/>
        <rFont val="Calibri"/>
        <family val="2"/>
        <scheme val="minor"/>
      </rPr>
      <t>Other</t>
    </r>
    <r>
      <rPr>
        <sz val="10"/>
        <color theme="1"/>
        <rFont val="Calibri"/>
        <family val="2"/>
        <scheme val="minor"/>
      </rPr>
      <t xml:space="preserve"> - Other
</t>
    </r>
  </si>
  <si>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</si>
  <si>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</si>
  <si>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</si>
  <si>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</si>
  <si>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</si>
  <si>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</si>
  <si>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</si>
  <si>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</si>
  <si>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</si>
  <si>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</si>
  <si>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</si>
  <si>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</si>
  <si>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</si>
  <si>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</si>
  <si>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</si>
  <si>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</si>
  <si>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</si>
  <si>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</si>
  <si>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Adult Education -&gt; AE Staff -&gt; Identity -&gt; Name
Adult Education -&gt; AE Student -&gt; Identity -&gt; Name
Assessments -&gt; Assessment Result -&gt; Scorer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</si>
  <si>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Workforce Note: To collect data on workforce program participation, a data match will have to be negotiated between state agencies. The data match makes use of name, social security number, gender and ethnicity data.</t>
  </si>
  <si>
    <t>000115</t>
  </si>
  <si>
    <t>FirstName</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</si>
  <si>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</si>
  <si>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First Time Postsecondary Student</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</si>
  <si>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</si>
  <si>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</si>
  <si>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</si>
  <si>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</si>
  <si>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</si>
  <si>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</si>
  <si>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</si>
  <si>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</si>
  <si>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</si>
  <si>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</si>
  <si>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</si>
  <si>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</si>
  <si>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The year a school uses for budgeting, accounting, and reporting financials.</t>
  </si>
  <si>
    <t>001639</t>
  </si>
  <si>
    <t>FiscalYear</t>
  </si>
  <si>
    <t>Fraternity Participation Status</t>
  </si>
  <si>
    <t>Student is in membership of a chiefly social organization of men students at a college or university, usually designated by Greek letters.</t>
  </si>
  <si>
    <t>000761</t>
  </si>
  <si>
    <t>FraternityParticipationStatus</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</si>
  <si>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</si>
  <si>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</si>
  <si>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</si>
  <si>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</si>
  <si>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</si>
  <si>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</si>
  <si>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</si>
  <si>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</si>
  <si>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of Service</t>
  </si>
  <si>
    <t>The frequency at which a service is planned to occur.</t>
  </si>
  <si>
    <r>
      <t>Daily</t>
    </r>
    <r>
      <rPr>
        <sz val="10"/>
        <color theme="1"/>
        <rFont val="Calibri"/>
        <family val="2"/>
        <scheme val="minor"/>
      </rPr>
      <t xml:space="preserve"> - Daily
</t>
    </r>
    <r>
      <rPr>
        <b/>
        <sz val="10"/>
        <color theme="1"/>
        <rFont val="Calibri"/>
        <family val="2"/>
        <scheme val="minor"/>
      </rPr>
      <t>Weekly</t>
    </r>
    <r>
      <rPr>
        <sz val="10"/>
        <color theme="1"/>
        <rFont val="Calibri"/>
        <family val="2"/>
        <scheme val="minor"/>
      </rPr>
      <t xml:space="preserve"> - Weekly
</t>
    </r>
    <r>
      <rPr>
        <b/>
        <sz val="10"/>
        <color theme="1"/>
        <rFont val="Calibri"/>
        <family val="2"/>
        <scheme val="minor"/>
      </rPr>
      <t>Monthly</t>
    </r>
    <r>
      <rPr>
        <sz val="10"/>
        <color theme="1"/>
        <rFont val="Calibri"/>
        <family val="2"/>
        <scheme val="minor"/>
      </rPr>
      <t xml:space="preserve"> - Monthly
</t>
    </r>
    <r>
      <rPr>
        <b/>
        <sz val="10"/>
        <color theme="1"/>
        <rFont val="Calibri"/>
        <family val="2"/>
        <scheme val="minor"/>
      </rPr>
      <t>Quarterly</t>
    </r>
    <r>
      <rPr>
        <sz val="10"/>
        <color theme="1"/>
        <rFont val="Calibri"/>
        <family val="2"/>
        <scheme val="minor"/>
      </rPr>
      <t xml:space="preserve"> - Quarterly
</t>
    </r>
    <r>
      <rPr>
        <b/>
        <sz val="10"/>
        <color theme="1"/>
        <rFont val="Calibri"/>
        <family val="2"/>
        <scheme val="minor"/>
      </rPr>
      <t>Annually</t>
    </r>
    <r>
      <rPr>
        <sz val="10"/>
        <color theme="1"/>
        <rFont val="Calibri"/>
        <family val="2"/>
        <scheme val="minor"/>
      </rPr>
      <t xml:space="preserve"> - Annually
</t>
    </r>
    <r>
      <rPr>
        <b/>
        <sz val="10"/>
        <color theme="1"/>
        <rFont val="Calibri"/>
        <family val="2"/>
        <scheme val="minor"/>
      </rPr>
      <t>OneTime</t>
    </r>
    <r>
      <rPr>
        <sz val="10"/>
        <color theme="1"/>
        <rFont val="Calibri"/>
        <family val="2"/>
        <scheme val="minor"/>
      </rPr>
      <t xml:space="preserve"> - One Time
</t>
    </r>
  </si>
  <si>
    <t>001356</t>
  </si>
  <si>
    <t>FrequencyOfService</t>
  </si>
  <si>
    <t>Frequency Unit</t>
  </si>
  <si>
    <t>The unit of time by which a cycle is defined.</t>
  </si>
  <si>
    <r>
      <t>Minute</t>
    </r>
    <r>
      <rPr>
        <sz val="10"/>
        <color theme="1"/>
        <rFont val="Calibri"/>
        <family val="2"/>
        <scheme val="minor"/>
      </rPr>
      <t xml:space="preserve"> - Minute
</t>
    </r>
    <r>
      <rPr>
        <b/>
        <sz val="10"/>
        <color theme="1"/>
        <rFont val="Calibri"/>
        <family val="2"/>
        <scheme val="minor"/>
      </rPr>
      <t>Hour</t>
    </r>
    <r>
      <rPr>
        <sz val="10"/>
        <color theme="1"/>
        <rFont val="Calibri"/>
        <family val="2"/>
        <scheme val="minor"/>
      </rPr>
      <t xml:space="preserve"> - Hour
</t>
    </r>
    <r>
      <rPr>
        <b/>
        <sz val="10"/>
        <color theme="1"/>
        <rFont val="Calibri"/>
        <family val="2"/>
        <scheme val="minor"/>
      </rPr>
      <t>Day</t>
    </r>
    <r>
      <rPr>
        <sz val="10"/>
        <color theme="1"/>
        <rFont val="Calibri"/>
        <family val="2"/>
        <scheme val="minor"/>
      </rPr>
      <t xml:space="preserve"> - Day
</t>
    </r>
    <r>
      <rPr>
        <b/>
        <sz val="10"/>
        <color theme="1"/>
        <rFont val="Calibri"/>
        <family val="2"/>
        <scheme val="minor"/>
      </rPr>
      <t>Week</t>
    </r>
    <r>
      <rPr>
        <sz val="10"/>
        <color theme="1"/>
        <rFont val="Calibri"/>
        <family val="2"/>
        <scheme val="minor"/>
      </rPr>
      <t xml:space="preserve"> - Week
</t>
    </r>
    <r>
      <rPr>
        <b/>
        <sz val="10"/>
        <color theme="1"/>
        <rFont val="Calibri"/>
        <family val="2"/>
        <scheme val="minor"/>
      </rPr>
      <t>Month</t>
    </r>
    <r>
      <rPr>
        <sz val="10"/>
        <color theme="1"/>
        <rFont val="Calibri"/>
        <family val="2"/>
        <scheme val="minor"/>
      </rPr>
      <t xml:space="preserve"> - Month
</t>
    </r>
    <r>
      <rPr>
        <b/>
        <sz val="10"/>
        <color theme="1"/>
        <rFont val="Calibri"/>
        <family val="2"/>
        <scheme val="minor"/>
      </rPr>
      <t>Year</t>
    </r>
    <r>
      <rPr>
        <sz val="10"/>
        <color theme="1"/>
        <rFont val="Calibri"/>
        <family val="2"/>
        <scheme val="minor"/>
      </rPr>
      <t xml:space="preserve"> - Year
</t>
    </r>
  </si>
  <si>
    <t>001713</t>
  </si>
  <si>
    <t>FrequencyUnit</t>
  </si>
  <si>
    <t>Full Time Equivalency</t>
  </si>
  <si>
    <t>The time a person is enrolled, employed, involved, or participates in the organization, divided by the time the organization defines as full-time for that role.</t>
  </si>
  <si>
    <t>K12 -&gt; K12 Student -&gt; Enrollment (added)</t>
  </si>
  <si>
    <t>Numeric - up to 2 decimal places</t>
  </si>
  <si>
    <t>001921</t>
  </si>
  <si>
    <t>FullTimeEquivalency</t>
  </si>
  <si>
    <t>Full Year Expulsion</t>
  </si>
  <si>
    <t>An expulsion with or without services for a period of one full year (i.e., 365 days).</t>
  </si>
  <si>
    <t>000513</t>
  </si>
  <si>
    <t>FullYearExpulsion</t>
  </si>
  <si>
    <t>Full-Time Employee Benefits</t>
  </si>
  <si>
    <t>The benefits offered by a program/facility/employer for full-time staff.</t>
  </si>
  <si>
    <r>
      <t>01</t>
    </r>
    <r>
      <rPr>
        <sz val="10"/>
        <color theme="1"/>
        <rFont val="Calibri"/>
        <family val="2"/>
        <scheme val="minor"/>
      </rPr>
      <t xml:space="preserve"> - Health insurance
</t>
    </r>
    <r>
      <rPr>
        <b/>
        <sz val="10"/>
        <color theme="1"/>
        <rFont val="Calibri"/>
        <family val="2"/>
        <scheme val="minor"/>
      </rPr>
      <t>02</t>
    </r>
    <r>
      <rPr>
        <sz val="10"/>
        <color theme="1"/>
        <rFont val="Calibri"/>
        <family val="2"/>
        <scheme val="minor"/>
      </rPr>
      <t xml:space="preserve"> - Dental insurance
</t>
    </r>
    <r>
      <rPr>
        <b/>
        <sz val="10"/>
        <color theme="1"/>
        <rFont val="Calibri"/>
        <family val="2"/>
        <scheme val="minor"/>
      </rPr>
      <t>03</t>
    </r>
    <r>
      <rPr>
        <sz val="10"/>
        <color theme="1"/>
        <rFont val="Calibri"/>
        <family val="2"/>
        <scheme val="minor"/>
      </rPr>
      <t xml:space="preserve"> - Vision
</t>
    </r>
    <r>
      <rPr>
        <b/>
        <sz val="10"/>
        <color theme="1"/>
        <rFont val="Calibri"/>
        <family val="2"/>
        <scheme val="minor"/>
      </rPr>
      <t>04</t>
    </r>
    <r>
      <rPr>
        <sz val="10"/>
        <color theme="1"/>
        <rFont val="Calibri"/>
        <family val="2"/>
        <scheme val="minor"/>
      </rPr>
      <t xml:space="preserve"> - Disability insurance
</t>
    </r>
    <r>
      <rPr>
        <b/>
        <sz val="10"/>
        <color theme="1"/>
        <rFont val="Calibri"/>
        <family val="2"/>
        <scheme val="minor"/>
      </rPr>
      <t>05</t>
    </r>
    <r>
      <rPr>
        <sz val="10"/>
        <color theme="1"/>
        <rFont val="Calibri"/>
        <family val="2"/>
        <scheme val="minor"/>
      </rPr>
      <t xml:space="preserve"> - Retirement
</t>
    </r>
    <r>
      <rPr>
        <b/>
        <sz val="10"/>
        <color theme="1"/>
        <rFont val="Calibri"/>
        <family val="2"/>
        <scheme val="minor"/>
      </rPr>
      <t>06</t>
    </r>
    <r>
      <rPr>
        <sz val="10"/>
        <color theme="1"/>
        <rFont val="Calibri"/>
        <family val="2"/>
        <scheme val="minor"/>
      </rPr>
      <t xml:space="preserve"> - Professional membership fees paid
</t>
    </r>
    <r>
      <rPr>
        <b/>
        <sz val="10"/>
        <color theme="1"/>
        <rFont val="Calibri"/>
        <family val="2"/>
        <scheme val="minor"/>
      </rPr>
      <t>07</t>
    </r>
    <r>
      <rPr>
        <sz val="10"/>
        <color theme="1"/>
        <rFont val="Calibri"/>
        <family val="2"/>
        <scheme val="minor"/>
      </rPr>
      <t xml:space="preserve"> - Sick leave
</t>
    </r>
    <r>
      <rPr>
        <b/>
        <sz val="10"/>
        <color theme="1"/>
        <rFont val="Calibri"/>
        <family val="2"/>
        <scheme val="minor"/>
      </rPr>
      <t>08</t>
    </r>
    <r>
      <rPr>
        <sz val="10"/>
        <color theme="1"/>
        <rFont val="Calibri"/>
        <family val="2"/>
        <scheme val="minor"/>
      </rPr>
      <t xml:space="preserve"> - Leave
</t>
    </r>
    <r>
      <rPr>
        <b/>
        <sz val="10"/>
        <color theme="1"/>
        <rFont val="Calibri"/>
        <family val="2"/>
        <scheme val="minor"/>
      </rPr>
      <t>09</t>
    </r>
    <r>
      <rPr>
        <sz val="10"/>
        <color theme="1"/>
        <rFont val="Calibri"/>
        <family val="2"/>
        <scheme val="minor"/>
      </rPr>
      <t xml:space="preserve"> - Vacation
</t>
    </r>
    <r>
      <rPr>
        <b/>
        <sz val="10"/>
        <color theme="1"/>
        <rFont val="Calibri"/>
        <family val="2"/>
        <scheme val="minor"/>
      </rPr>
      <t>10</t>
    </r>
    <r>
      <rPr>
        <sz val="10"/>
        <color theme="1"/>
        <rFont val="Calibri"/>
        <family val="2"/>
        <scheme val="minor"/>
      </rPr>
      <t xml:space="preserve"> - Holiday
</t>
    </r>
    <r>
      <rPr>
        <b/>
        <sz val="10"/>
        <color theme="1"/>
        <rFont val="Calibri"/>
        <family val="2"/>
        <scheme val="minor"/>
      </rPr>
      <t>11</t>
    </r>
    <r>
      <rPr>
        <sz val="10"/>
        <color theme="1"/>
        <rFont val="Calibri"/>
        <family val="2"/>
        <scheme val="minor"/>
      </rPr>
      <t xml:space="preserve"> - Personal leave
</t>
    </r>
    <r>
      <rPr>
        <b/>
        <sz val="10"/>
        <color theme="1"/>
        <rFont val="Calibri"/>
        <family val="2"/>
        <scheme val="minor"/>
      </rPr>
      <t>12</t>
    </r>
    <r>
      <rPr>
        <sz val="10"/>
        <color theme="1"/>
        <rFont val="Calibri"/>
        <family val="2"/>
        <scheme val="minor"/>
      </rPr>
      <t xml:space="preserve"> - Family leave
</t>
    </r>
    <r>
      <rPr>
        <b/>
        <sz val="10"/>
        <color theme="1"/>
        <rFont val="Calibri"/>
        <family val="2"/>
        <scheme val="minor"/>
      </rPr>
      <t>13</t>
    </r>
    <r>
      <rPr>
        <sz val="10"/>
        <color theme="1"/>
        <rFont val="Calibri"/>
        <family val="2"/>
        <scheme val="minor"/>
      </rPr>
      <t xml:space="preserve"> - Bereavement leave
</t>
    </r>
    <r>
      <rPr>
        <b/>
        <sz val="10"/>
        <color theme="1"/>
        <rFont val="Calibri"/>
        <family val="2"/>
        <scheme val="minor"/>
      </rPr>
      <t>14</t>
    </r>
    <r>
      <rPr>
        <sz val="10"/>
        <color theme="1"/>
        <rFont val="Calibri"/>
        <family val="2"/>
        <scheme val="minor"/>
      </rPr>
      <t xml:space="preserve"> - Jury duty leave
</t>
    </r>
    <r>
      <rPr>
        <b/>
        <sz val="10"/>
        <color theme="1"/>
        <rFont val="Calibri"/>
        <family val="2"/>
        <scheme val="minor"/>
      </rPr>
      <t>15</t>
    </r>
    <r>
      <rPr>
        <sz val="10"/>
        <color theme="1"/>
        <rFont val="Calibri"/>
        <family val="2"/>
        <scheme val="minor"/>
      </rPr>
      <t xml:space="preserve"> - Life insurance
</t>
    </r>
    <r>
      <rPr>
        <b/>
        <sz val="10"/>
        <color theme="1"/>
        <rFont val="Calibri"/>
        <family val="2"/>
        <scheme val="minor"/>
      </rPr>
      <t>16</t>
    </r>
    <r>
      <rPr>
        <sz val="10"/>
        <color theme="1"/>
        <rFont val="Calibri"/>
        <family val="2"/>
        <scheme val="minor"/>
      </rPr>
      <t xml:space="preserve"> - Maternity leave
</t>
    </r>
    <r>
      <rPr>
        <b/>
        <sz val="10"/>
        <color theme="1"/>
        <rFont val="Calibri"/>
        <family val="2"/>
        <scheme val="minor"/>
      </rPr>
      <t>17</t>
    </r>
    <r>
      <rPr>
        <sz val="10"/>
        <color theme="1"/>
        <rFont val="Calibri"/>
        <family val="2"/>
        <scheme val="minor"/>
      </rPr>
      <t xml:space="preserve"> - Paternity leave
</t>
    </r>
    <r>
      <rPr>
        <b/>
        <sz val="10"/>
        <color theme="1"/>
        <rFont val="Calibri"/>
        <family val="2"/>
        <scheme val="minor"/>
      </rPr>
      <t>18</t>
    </r>
    <r>
      <rPr>
        <sz val="10"/>
        <color theme="1"/>
        <rFont val="Calibri"/>
        <family val="2"/>
        <scheme val="minor"/>
      </rPr>
      <t xml:space="preserve"> - Family medical leave
</t>
    </r>
    <r>
      <rPr>
        <b/>
        <sz val="10"/>
        <color theme="1"/>
        <rFont val="Calibri"/>
        <family val="2"/>
        <scheme val="minor"/>
      </rPr>
      <t>19</t>
    </r>
    <r>
      <rPr>
        <sz val="10"/>
        <color theme="1"/>
        <rFont val="Calibri"/>
        <family val="2"/>
        <scheme val="minor"/>
      </rPr>
      <t xml:space="preserve"> - Flex plan-dependent care
</t>
    </r>
    <r>
      <rPr>
        <b/>
        <sz val="10"/>
        <color theme="1"/>
        <rFont val="Calibri"/>
        <family val="2"/>
        <scheme val="minor"/>
      </rPr>
      <t>20</t>
    </r>
    <r>
      <rPr>
        <sz val="10"/>
        <color theme="1"/>
        <rFont val="Calibri"/>
        <family val="2"/>
        <scheme val="minor"/>
      </rPr>
      <t xml:space="preserve"> - Flex plan-medical (MSA/HSA)
</t>
    </r>
    <r>
      <rPr>
        <b/>
        <sz val="10"/>
        <color theme="1"/>
        <rFont val="Calibri"/>
        <family val="2"/>
        <scheme val="minor"/>
      </rPr>
      <t>21</t>
    </r>
    <r>
      <rPr>
        <sz val="10"/>
        <color theme="1"/>
        <rFont val="Calibri"/>
        <family val="2"/>
        <scheme val="minor"/>
      </rPr>
      <t xml:space="preserve"> - Transportation
</t>
    </r>
    <r>
      <rPr>
        <b/>
        <sz val="10"/>
        <color theme="1"/>
        <rFont val="Calibri"/>
        <family val="2"/>
        <scheme val="minor"/>
      </rPr>
      <t>22</t>
    </r>
    <r>
      <rPr>
        <sz val="10"/>
        <color theme="1"/>
        <rFont val="Calibri"/>
        <family val="2"/>
        <scheme val="minor"/>
      </rPr>
      <t xml:space="preserve"> - Parking
</t>
    </r>
    <r>
      <rPr>
        <b/>
        <sz val="10"/>
        <color theme="1"/>
        <rFont val="Calibri"/>
        <family val="2"/>
        <scheme val="minor"/>
      </rPr>
      <t>23</t>
    </r>
    <r>
      <rPr>
        <sz val="10"/>
        <color theme="1"/>
        <rFont val="Calibri"/>
        <family val="2"/>
        <scheme val="minor"/>
      </rPr>
      <t xml:space="preserve"> - Flex schedule/time
</t>
    </r>
    <r>
      <rPr>
        <b/>
        <sz val="10"/>
        <color theme="1"/>
        <rFont val="Calibri"/>
        <family val="2"/>
        <scheme val="minor"/>
      </rPr>
      <t>24</t>
    </r>
    <r>
      <rPr>
        <sz val="10"/>
        <color theme="1"/>
        <rFont val="Calibri"/>
        <family val="2"/>
        <scheme val="minor"/>
      </rPr>
      <t xml:space="preserve"> - Employee Assistance Program (EAP)
</t>
    </r>
    <r>
      <rPr>
        <b/>
        <sz val="10"/>
        <color theme="1"/>
        <rFont val="Calibri"/>
        <family val="2"/>
        <scheme val="minor"/>
      </rPr>
      <t>25</t>
    </r>
    <r>
      <rPr>
        <sz val="10"/>
        <color theme="1"/>
        <rFont val="Calibri"/>
        <family val="2"/>
        <scheme val="minor"/>
      </rPr>
      <t xml:space="preserve"> - Paid training
</t>
    </r>
    <r>
      <rPr>
        <b/>
        <sz val="10"/>
        <color theme="1"/>
        <rFont val="Calibri"/>
        <family val="2"/>
        <scheme val="minor"/>
      </rPr>
      <t>26</t>
    </r>
    <r>
      <rPr>
        <sz val="10"/>
        <color theme="1"/>
        <rFont val="Calibri"/>
        <family val="2"/>
        <scheme val="minor"/>
      </rPr>
      <t xml:space="preserve"> - Tuition reimbursement
</t>
    </r>
    <r>
      <rPr>
        <b/>
        <sz val="10"/>
        <color theme="1"/>
        <rFont val="Calibri"/>
        <family val="2"/>
        <scheme val="minor"/>
      </rPr>
      <t>27</t>
    </r>
    <r>
      <rPr>
        <sz val="10"/>
        <color theme="1"/>
        <rFont val="Calibri"/>
        <family val="2"/>
        <scheme val="minor"/>
      </rPr>
      <t xml:space="preserve"> - Child care fee assistance
</t>
    </r>
    <r>
      <rPr>
        <b/>
        <sz val="10"/>
        <color theme="1"/>
        <rFont val="Calibri"/>
        <family val="2"/>
        <scheme val="minor"/>
      </rPr>
      <t>28</t>
    </r>
    <r>
      <rPr>
        <sz val="10"/>
        <color theme="1"/>
        <rFont val="Calibri"/>
        <family val="2"/>
        <scheme val="minor"/>
      </rPr>
      <t xml:space="preserve"> - Bonus
</t>
    </r>
  </si>
  <si>
    <t>Early Learning -&gt; EL Organization -&gt; Organization Information
K12 -&gt; Organization -&gt; Organization Information (added)
Postsecondary -&gt; Organization -&gt; Organization Information (added)</t>
  </si>
  <si>
    <t>000866</t>
  </si>
  <si>
    <t>FullTimeEmployeeBenefits</t>
  </si>
  <si>
    <t>Full-time Status</t>
  </si>
  <si>
    <t>An indication of whether an individual is employed for a standard number of hours (as determined by civil or organizational policies) in a week, month, or other period of time.</t>
  </si>
  <si>
    <r>
      <t>Full-time</t>
    </r>
    <r>
      <rPr>
        <sz val="10"/>
        <color theme="1"/>
        <rFont val="Calibri"/>
        <family val="2"/>
        <scheme val="minor"/>
      </rPr>
      <t xml:space="preserve"> - Full-time
</t>
    </r>
    <r>
      <rPr>
        <b/>
        <sz val="10"/>
        <color theme="1"/>
        <rFont val="Calibri"/>
        <family val="2"/>
        <scheme val="minor"/>
      </rPr>
      <t>Part-time</t>
    </r>
    <r>
      <rPr>
        <sz val="10"/>
        <color theme="1"/>
        <rFont val="Calibri"/>
        <family val="2"/>
        <scheme val="minor"/>
      </rPr>
      <t xml:space="preserve"> - Part-time
</t>
    </r>
  </si>
  <si>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</si>
  <si>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000736</t>
  </si>
  <si>
    <t>FullTimeStatus</t>
  </si>
  <si>
    <t>Funds Transfer Amount</t>
  </si>
  <si>
    <t>The total amount of FY appropriated funds transferred from and to each eligible program.</t>
  </si>
  <si>
    <t>K12 -&gt; K12 School -&gt; Federal Funds
K12 -&gt; LEA -&gt; Federal Funds</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</si>
  <si>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</si>
  <si>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</si>
  <si>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</si>
  <si>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</si>
  <si>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</si>
  <si>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</si>
  <si>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</si>
  <si>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</si>
  <si>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Adult Education -&gt; AE Staff -&gt; Identity -&gt; Name
Adult Education -&gt; AE Student -&gt; Identity -&gt; Name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</si>
  <si>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Workforce</t>
  </si>
  <si>
    <t>000121</t>
  </si>
  <si>
    <t>GenerationCodeOrSuffix</t>
  </si>
  <si>
    <t>Early Learning -&gt; Staff Quality
K-12 -&gt; High School Generated Transcript
K-12 -&gt; LEA-to-LEA Student Record Exchange
K-12 -&gt; LEA-to-SEA Student Record Exchange
Postsecondary Education -&gt; Complete College America
Postsecondary Education -&gt; IPEDS</t>
  </si>
  <si>
    <t>Note: To collect data on workforce program participation, a data match will have to be negotiated between state agencies. The data match makes use of name, social security number, gender and ethnicity data.</t>
  </si>
  <si>
    <t>Gifted and Talented Indicator</t>
  </si>
  <si>
    <t>An indication that the student is participating in and served by a Gifted/Talented program.</t>
  </si>
  <si>
    <t>000122</t>
  </si>
  <si>
    <t>GiftedAndTalentedIndicator</t>
  </si>
  <si>
    <t>Goal Current Performance Description</t>
  </si>
  <si>
    <t>Current performance explanation related to the annual goal or short-term objectives.</t>
  </si>
  <si>
    <t>K12 -&gt; K12 Student -&gt; Individualized Program -&gt; Goal
K12 -&gt; K12 Student -&gt; Individualized Program -&gt; Progress Report -&gt; Goal</t>
  </si>
  <si>
    <t>001690</t>
  </si>
  <si>
    <t>GoalCurrentPerformanceDescription</t>
  </si>
  <si>
    <t>Goal Description</t>
  </si>
  <si>
    <t>A statement that describes the desired outcomes.</t>
  </si>
  <si>
    <t>Assessments -&gt; Goal
Early Learning -&gt; EL Child -&gt; Individualized Program -&gt; Goal
K12 -&gt; K12 Student -&gt; Individualized Program -&gt; Goal
K12 -&gt; K12 Student -&gt; Individualized Program -&gt; Progress Report -&gt; Goal</t>
  </si>
  <si>
    <t>000903</t>
  </si>
  <si>
    <t>GoalDescription</t>
  </si>
  <si>
    <t>Goal End Date</t>
  </si>
  <si>
    <t>The date on which the goal expires or has been achieved.</t>
  </si>
  <si>
    <t>For federal reporting use cases some codes are required to be reported and others are not. All CEDS Exit and End Dates represent the last day of the date range specified, such as the last day that a person was enrolled, participated, or received services.</t>
  </si>
  <si>
    <t>001166</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</si>
  <si>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</si>
  <si>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</si>
  <si>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</si>
  <si>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</si>
  <si>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</si>
  <si>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</si>
  <si>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</si>
  <si>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</si>
  <si>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</si>
  <si>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</si>
  <si>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</si>
  <si>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</si>
  <si>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</si>
  <si>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</si>
  <si>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</si>
  <si>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</si>
  <si>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</si>
  <si>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</si>
  <si>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</si>
  <si>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</si>
  <si>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</si>
  <si>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</si>
  <si>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</si>
  <si>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</si>
  <si>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</si>
  <si>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</si>
  <si>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</si>
  <si>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</si>
  <si>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</si>
  <si>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r>
      <t>Observationlog</t>
    </r>
    <r>
      <rPr>
        <sz val="10"/>
        <color theme="1"/>
        <rFont val="Calibri"/>
        <family val="2"/>
        <scheme val="minor"/>
      </rPr>
      <t xml:space="preserve"> - Observation log
</t>
    </r>
    <r>
      <rPr>
        <b/>
        <sz val="10"/>
        <color theme="1"/>
        <rFont val="Calibri"/>
        <family val="2"/>
        <scheme val="minor"/>
      </rPr>
      <t>Datacharts</t>
    </r>
    <r>
      <rPr>
        <sz val="10"/>
        <color theme="1"/>
        <rFont val="Calibri"/>
        <family val="2"/>
        <scheme val="minor"/>
      </rPr>
      <t xml:space="preserve"> - Data charts
</t>
    </r>
    <r>
      <rPr>
        <b/>
        <sz val="10"/>
        <color theme="1"/>
        <rFont val="Calibri"/>
        <family val="2"/>
        <scheme val="minor"/>
      </rPr>
      <t>Tests</t>
    </r>
    <r>
      <rPr>
        <sz val="10"/>
        <color theme="1"/>
        <rFont val="Calibri"/>
        <family val="2"/>
        <scheme val="minor"/>
      </rPr>
      <t xml:space="preserve"> - Tests
</t>
    </r>
    <r>
      <rPr>
        <b/>
        <sz val="10"/>
        <color theme="1"/>
        <rFont val="Calibri"/>
        <family val="2"/>
        <scheme val="minor"/>
      </rPr>
      <t>Other</t>
    </r>
    <r>
      <rPr>
        <sz val="10"/>
        <color theme="1"/>
        <rFont val="Calibri"/>
        <family val="2"/>
        <scheme val="minor"/>
      </rPr>
      <t xml:space="preserve"> - Other
</t>
    </r>
  </si>
  <si>
    <t>001697</t>
  </si>
  <si>
    <t>GoalMeasurementType</t>
  </si>
  <si>
    <t>Goal Start Date</t>
  </si>
  <si>
    <t>The date on which the goal becomes active.</t>
  </si>
  <si>
    <t>001165</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</si>
  <si>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</si>
  <si>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</si>
  <si>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</si>
  <si>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</si>
  <si>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</si>
  <si>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</si>
  <si>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</si>
  <si>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</si>
  <si>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r>
      <t>SatisfactoryProgress</t>
    </r>
    <r>
      <rPr>
        <sz val="10"/>
        <color theme="1"/>
        <rFont val="Calibri"/>
        <family val="2"/>
        <scheme val="minor"/>
      </rPr>
      <t xml:space="preserve"> - Satisfactory Progress
</t>
    </r>
    <r>
      <rPr>
        <b/>
        <sz val="10"/>
        <color theme="1"/>
        <rFont val="Calibri"/>
        <family val="2"/>
        <scheme val="minor"/>
      </rPr>
      <t>UnsatisfactoryProgress</t>
    </r>
    <r>
      <rPr>
        <sz val="10"/>
        <color theme="1"/>
        <rFont val="Calibri"/>
        <family val="2"/>
        <scheme val="minor"/>
      </rPr>
      <t xml:space="preserve"> - Unsatisfactory Progress
</t>
    </r>
    <r>
      <rPr>
        <b/>
        <sz val="10"/>
        <color theme="1"/>
        <rFont val="Calibri"/>
        <family val="2"/>
        <scheme val="minor"/>
      </rPr>
      <t>Completed</t>
    </r>
    <r>
      <rPr>
        <sz val="10"/>
        <color theme="1"/>
        <rFont val="Calibri"/>
        <family val="2"/>
        <scheme val="minor"/>
      </rPr>
      <t xml:space="preserve"> - Completed
</t>
    </r>
    <r>
      <rPr>
        <b/>
        <sz val="10"/>
        <color theme="1"/>
        <rFont val="Calibri"/>
        <family val="2"/>
        <scheme val="minor"/>
      </rPr>
      <t>Other</t>
    </r>
    <r>
      <rPr>
        <sz val="10"/>
        <color theme="1"/>
        <rFont val="Calibri"/>
        <family val="2"/>
        <scheme val="minor"/>
      </rPr>
      <t xml:space="preserve"> - Other
</t>
    </r>
  </si>
  <si>
    <t>001702</t>
  </si>
  <si>
    <t>GoalStatusType</t>
  </si>
  <si>
    <t>Goal Success Criteria</t>
  </si>
  <si>
    <t>One or more statements that describes the criteria used by teachers and students to check for attainment of a goal.</t>
  </si>
  <si>
    <t>000902</t>
  </si>
  <si>
    <t>GoalSuccessCriteria</t>
  </si>
  <si>
    <t>Goals for Attending Adult Education</t>
  </si>
  <si>
    <t>A person's reasons for attending an adult education class or program.</t>
  </si>
  <si>
    <r>
      <t>01</t>
    </r>
    <r>
      <rPr>
        <sz val="10"/>
        <color theme="1"/>
        <rFont val="Calibri"/>
        <family val="2"/>
        <scheme val="minor"/>
      </rPr>
      <t xml:space="preserve"> - Obtain a job
</t>
    </r>
    <r>
      <rPr>
        <b/>
        <sz val="10"/>
        <color theme="1"/>
        <rFont val="Calibri"/>
        <family val="2"/>
        <scheme val="minor"/>
      </rPr>
      <t>02</t>
    </r>
    <r>
      <rPr>
        <sz val="10"/>
        <color theme="1"/>
        <rFont val="Calibri"/>
        <family val="2"/>
        <scheme val="minor"/>
      </rPr>
      <t xml:space="preserve"> - Retain current job
</t>
    </r>
    <r>
      <rPr>
        <b/>
        <sz val="10"/>
        <color theme="1"/>
        <rFont val="Calibri"/>
        <family val="2"/>
        <scheme val="minor"/>
      </rPr>
      <t>03</t>
    </r>
    <r>
      <rPr>
        <sz val="10"/>
        <color theme="1"/>
        <rFont val="Calibri"/>
        <family val="2"/>
        <scheme val="minor"/>
      </rPr>
      <t xml:space="preserve"> - Earn a secondary school diploma or achieve GED certificate
</t>
    </r>
    <r>
      <rPr>
        <b/>
        <sz val="10"/>
        <color theme="1"/>
        <rFont val="Calibri"/>
        <family val="2"/>
        <scheme val="minor"/>
      </rPr>
      <t>04</t>
    </r>
    <r>
      <rPr>
        <sz val="10"/>
        <color theme="1"/>
        <rFont val="Calibri"/>
        <family val="2"/>
        <scheme val="minor"/>
      </rPr>
      <t xml:space="preserve"> - Enter postsecondary education or job training
</t>
    </r>
    <r>
      <rPr>
        <b/>
        <sz val="10"/>
        <color theme="1"/>
        <rFont val="Calibri"/>
        <family val="2"/>
        <scheme val="minor"/>
      </rPr>
      <t>05</t>
    </r>
    <r>
      <rPr>
        <sz val="10"/>
        <color theme="1"/>
        <rFont val="Calibri"/>
        <family val="2"/>
        <scheme val="minor"/>
      </rPr>
      <t xml:space="preserve"> - Improve basic literacy skills
</t>
    </r>
    <r>
      <rPr>
        <b/>
        <sz val="10"/>
        <color theme="1"/>
        <rFont val="Calibri"/>
        <family val="2"/>
        <scheme val="minor"/>
      </rPr>
      <t>06</t>
    </r>
    <r>
      <rPr>
        <sz val="10"/>
        <color theme="1"/>
        <rFont val="Calibri"/>
        <family val="2"/>
        <scheme val="minor"/>
      </rPr>
      <t xml:space="preserve"> - Improve English language skills
</t>
    </r>
    <r>
      <rPr>
        <b/>
        <sz val="10"/>
        <color theme="1"/>
        <rFont val="Calibri"/>
        <family val="2"/>
        <scheme val="minor"/>
      </rPr>
      <t>07</t>
    </r>
    <r>
      <rPr>
        <sz val="10"/>
        <color theme="1"/>
        <rFont val="Calibri"/>
        <family val="2"/>
        <scheme val="minor"/>
      </rPr>
      <t xml:space="preserve"> - Obtain citizenship skills
</t>
    </r>
    <r>
      <rPr>
        <b/>
        <sz val="10"/>
        <color theme="1"/>
        <rFont val="Calibri"/>
        <family val="2"/>
        <scheme val="minor"/>
      </rPr>
      <t>08</t>
    </r>
    <r>
      <rPr>
        <sz val="10"/>
        <color theme="1"/>
        <rFont val="Calibri"/>
        <family val="2"/>
        <scheme val="minor"/>
      </rPr>
      <t xml:space="preserve"> - Achieve work-based project learner goals
</t>
    </r>
    <r>
      <rPr>
        <b/>
        <sz val="10"/>
        <color theme="1"/>
        <rFont val="Calibri"/>
        <family val="2"/>
        <scheme val="minor"/>
      </rPr>
      <t>09</t>
    </r>
    <r>
      <rPr>
        <sz val="10"/>
        <color theme="1"/>
        <rFont val="Calibri"/>
        <family val="2"/>
        <scheme val="minor"/>
      </rPr>
      <t xml:space="preserve"> - Other personal goals
</t>
    </r>
  </si>
  <si>
    <t>001079</t>
  </si>
  <si>
    <t>GoalsForAttendingAdultEducation</t>
  </si>
  <si>
    <t>Grade Level When Assessed</t>
  </si>
  <si>
    <t>The grade or developmental level of a student when assessed.</t>
  </si>
  <si>
    <r>
      <t>IT</t>
    </r>
    <r>
      <rPr>
        <sz val="10"/>
        <color theme="1"/>
        <rFont val="Calibri"/>
        <family val="2"/>
        <scheme val="minor"/>
      </rPr>
      <t xml:space="preserve"> - Infant/toddler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PS</t>
    </r>
    <r>
      <rPr>
        <sz val="10"/>
        <color theme="1"/>
        <rFont val="Calibri"/>
        <family val="2"/>
        <scheme val="minor"/>
      </rPr>
      <t xml:space="preserve"> - Postsecondary
</t>
    </r>
    <r>
      <rPr>
        <b/>
        <sz val="10"/>
        <color theme="1"/>
        <rFont val="Calibri"/>
        <family val="2"/>
        <scheme val="minor"/>
      </rPr>
      <t>UG</t>
    </r>
    <r>
      <rPr>
        <sz val="10"/>
        <color theme="1"/>
        <rFont val="Calibri"/>
        <family val="2"/>
        <scheme val="minor"/>
      </rPr>
      <t xml:space="preserve"> - Ungraded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OutOfSchool</t>
    </r>
    <r>
      <rPr>
        <sz val="10"/>
        <color theme="1"/>
        <rFont val="Calibri"/>
        <family val="2"/>
        <scheme val="minor"/>
      </rPr>
      <t xml:space="preserve"> - Out of school
</t>
    </r>
  </si>
  <si>
    <t>000126</t>
  </si>
  <si>
    <t>GradeLevelWhenAssessed</t>
  </si>
  <si>
    <t>K-12 -&gt; High School Generated Transcript
K-12 -&gt; LEA Assessments
K-12 -&gt; LEA-to-LEA Student Record Exchange
K-12 -&gt; LEA-to-SEA Student Record Exchange
K-12 -&gt; SEA Assessments</t>
  </si>
  <si>
    <t>Grade Level When Course Taken</t>
  </si>
  <si>
    <t>Student's grade level at time of course.</t>
  </si>
  <si>
    <t>K12 -&gt; Course Section -&gt; Enrollment
K12 -&gt; K12 Student -&gt; Academic Record
K12 -&gt; K12 Student -&gt; Graduation Plan -&gt; Course</t>
  </si>
  <si>
    <t>000125</t>
  </si>
  <si>
    <t>GradeLevelWhenCourseTaken</t>
  </si>
  <si>
    <t>Grade Levels Approved</t>
  </si>
  <si>
    <t>The specific grade or combination of grades approved by an organization to be offered by an education institution.</t>
  </si>
  <si>
    <r>
      <t>IT</t>
    </r>
    <r>
      <rPr>
        <sz val="10"/>
        <color theme="1"/>
        <rFont val="Calibri"/>
        <family val="2"/>
        <scheme val="minor"/>
      </rPr>
      <t xml:space="preserve"> - Infant/toddler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PS</t>
    </r>
    <r>
      <rPr>
        <sz val="10"/>
        <color theme="1"/>
        <rFont val="Calibri"/>
        <family val="2"/>
        <scheme val="minor"/>
      </rPr>
      <t xml:space="preserve"> - Postsecondary
</t>
    </r>
    <r>
      <rPr>
        <b/>
        <sz val="10"/>
        <color theme="1"/>
        <rFont val="Calibri"/>
        <family val="2"/>
        <scheme val="minor"/>
      </rPr>
      <t>ABE</t>
    </r>
    <r>
      <rPr>
        <sz val="10"/>
        <color theme="1"/>
        <rFont val="Calibri"/>
        <family val="2"/>
        <scheme val="minor"/>
      </rPr>
      <t xml:space="preserve"> - Adult Basic Education
</t>
    </r>
    <r>
      <rPr>
        <b/>
        <sz val="10"/>
        <color theme="1"/>
        <rFont val="Calibri"/>
        <family val="2"/>
        <scheme val="minor"/>
      </rPr>
      <t>ASE</t>
    </r>
    <r>
      <rPr>
        <sz val="10"/>
        <color theme="1"/>
        <rFont val="Calibri"/>
        <family val="2"/>
        <scheme val="minor"/>
      </rPr>
      <t xml:space="preserve"> - Adult Secondary Education
</t>
    </r>
    <r>
      <rPr>
        <b/>
        <sz val="10"/>
        <color theme="1"/>
        <rFont val="Calibri"/>
        <family val="2"/>
        <scheme val="minor"/>
      </rPr>
      <t>AdultESL</t>
    </r>
    <r>
      <rPr>
        <sz val="10"/>
        <color theme="1"/>
        <rFont val="Calibri"/>
        <family val="2"/>
        <scheme val="minor"/>
      </rPr>
      <t xml:space="preserve"> - Adult English as a Second Language
</t>
    </r>
    <r>
      <rPr>
        <b/>
        <sz val="10"/>
        <color theme="1"/>
        <rFont val="Calibri"/>
        <family val="2"/>
        <scheme val="minor"/>
      </rPr>
      <t>UG</t>
    </r>
    <r>
      <rPr>
        <sz val="10"/>
        <color theme="1"/>
        <rFont val="Calibri"/>
        <family val="2"/>
        <scheme val="minor"/>
      </rPr>
      <t xml:space="preserve"> - Ungraded
</t>
    </r>
    <r>
      <rPr>
        <b/>
        <sz val="10"/>
        <color theme="1"/>
        <rFont val="Calibri"/>
        <family val="2"/>
        <scheme val="minor"/>
      </rPr>
      <t>Other</t>
    </r>
    <r>
      <rPr>
        <sz val="10"/>
        <color theme="1"/>
        <rFont val="Calibri"/>
        <family val="2"/>
        <scheme val="minor"/>
      </rPr>
      <t xml:space="preserve"> - Other
</t>
    </r>
  </si>
  <si>
    <t>K12 -&gt; K12 School -&gt; Directory (added)
K12 -&gt; LEA -&gt; Directory (added)</t>
  </si>
  <si>
    <t>001926</t>
  </si>
  <si>
    <t>GradeLevelsApproved</t>
  </si>
  <si>
    <t>Grade Point Average</t>
  </si>
  <si>
    <t>The value of the total quality points divided by the Credit Hours for Grade Point Average.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</si>
  <si>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</si>
  <si>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</si>
  <si>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</si>
  <si>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</si>
  <si>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K12 -&gt; K12 Student -&gt; Academic Record
Postsecondary -&gt; PS Applicant
Postsecondary -&gt; PS Student -&gt; Academic Record
Postsecondary -&gt; PS Student -&gt; K12 Transcript</t>
  </si>
  <si>
    <t>Related Connection; linked to Grade Point Average Weighted Indicator, High School Percentile, High School Rank, and Size of High School Graduating Class</t>
  </si>
  <si>
    <t>000128</t>
  </si>
  <si>
    <t>GPA - Cumulative</t>
  </si>
  <si>
    <t>GPACumulative</t>
  </si>
  <si>
    <t>College Readiness
K-12 -&gt; High School Feedback Report
K-12 -&gt; High School Generated Transcript
K-12 -&gt; LEA-to-LEA Student Record Exchange
K-12 -&gt; LEA-to-SEA Student Record Exchange
Postsecondary Education -&gt; Common Data Set
Postsecondary Education -&gt; Transition</t>
  </si>
  <si>
    <t>Grade Point Average Domain</t>
  </si>
  <si>
    <t>The domain to which the Grade Point Average is referencing.</t>
  </si>
  <si>
    <r>
      <t>HighSchool</t>
    </r>
    <r>
      <rPr>
        <sz val="10"/>
        <color theme="1"/>
        <rFont val="Calibri"/>
        <family val="2"/>
        <scheme val="minor"/>
      </rPr>
      <t xml:space="preserve"> - High School
</t>
    </r>
    <r>
      <rPr>
        <b/>
        <sz val="10"/>
        <color theme="1"/>
        <rFont val="Calibri"/>
        <family val="2"/>
        <scheme val="minor"/>
      </rPr>
      <t>PSUndergraduate</t>
    </r>
    <r>
      <rPr>
        <sz val="10"/>
        <color theme="1"/>
        <rFont val="Calibri"/>
        <family val="2"/>
        <scheme val="minor"/>
      </rPr>
      <t xml:space="preserve"> - Postsecondary Undergraduate
</t>
    </r>
    <r>
      <rPr>
        <b/>
        <sz val="10"/>
        <color theme="1"/>
        <rFont val="Calibri"/>
        <family val="2"/>
        <scheme val="minor"/>
      </rPr>
      <t>PSTransfer</t>
    </r>
    <r>
      <rPr>
        <sz val="10"/>
        <color theme="1"/>
        <rFont val="Calibri"/>
        <family val="2"/>
        <scheme val="minor"/>
      </rPr>
      <t xml:space="preserve"> - Postsecondary Transfer Institution
</t>
    </r>
    <r>
      <rPr>
        <b/>
        <sz val="10"/>
        <color theme="1"/>
        <rFont val="Calibri"/>
        <family val="2"/>
        <scheme val="minor"/>
      </rPr>
      <t>PSGraduate</t>
    </r>
    <r>
      <rPr>
        <sz val="10"/>
        <color theme="1"/>
        <rFont val="Calibri"/>
        <family val="2"/>
        <scheme val="minor"/>
      </rPr>
      <t xml:space="preserve"> - Postsecondary Graduate
</t>
    </r>
  </si>
  <si>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</si>
  <si>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</si>
  <si>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</si>
  <si>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</si>
  <si>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</si>
  <si>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</si>
  <si>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</si>
  <si>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</si>
  <si>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</si>
  <si>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</si>
  <si>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Grade Point Average is weighted or unweighted.</t>
  </si>
  <si>
    <r>
      <t>Weighted</t>
    </r>
    <r>
      <rPr>
        <sz val="10"/>
        <color theme="1"/>
        <rFont val="Calibri"/>
        <family val="2"/>
        <scheme val="minor"/>
      </rPr>
      <t xml:space="preserve"> - Weighted
</t>
    </r>
    <r>
      <rPr>
        <b/>
        <sz val="10"/>
        <color theme="1"/>
        <rFont val="Calibri"/>
        <family val="2"/>
        <scheme val="minor"/>
      </rPr>
      <t>Unweighted</t>
    </r>
    <r>
      <rPr>
        <sz val="10"/>
        <color theme="1"/>
        <rFont val="Calibri"/>
        <family val="2"/>
        <scheme val="minor"/>
      </rPr>
      <t xml:space="preserve"> - Unweighted
</t>
    </r>
  </si>
  <si>
    <t>K12 -&gt; K12 Student -&gt; Academic Record (added)
Postsecondary -&gt; PS Applicant
Postsecondary -&gt; PS Student -&gt; K12 Transcript</t>
  </si>
  <si>
    <t>Updated the element definition and option definition from "GPA" to "Grade Point Average" to reflect CEDS definition standards. Element applied to additional DES context.</t>
  </si>
  <si>
    <t>000123</t>
  </si>
  <si>
    <t>GPA Weighted Indicator</t>
  </si>
  <si>
    <t>GPAWeightedIndicator</t>
  </si>
  <si>
    <t>Postsecondary Education -&gt; Common Data Set
Postsecondary Education -&gt; Transition</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</si>
  <si>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</si>
  <si>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</si>
  <si>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</si>
  <si>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</si>
  <si>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</si>
  <si>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The scale of equivalents, if applicable, for grades awarded as indicators of performance in schoolwork. For example, numerical equivalents for letter grades used in determining a student's Grade Point Average (A=4, B=3, C=2, D=1 in a four-point system) or letter equivalents for percentage grades (90-100%=A, 80-90%=B, etc.)</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</si>
  <si>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</si>
  <si>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A list of "Academic Grade Qualifiers" is available from the Association of American Medical Colleges, 2450 N St., N.W., Washington, DC 20037</t>
  </si>
  <si>
    <t>000616</t>
  </si>
  <si>
    <t>GradeValueQualifier</t>
  </si>
  <si>
    <t>Grades Offered</t>
  </si>
  <si>
    <t>The specific grade or combination of grades offered by an education institution.</t>
  </si>
  <si>
    <t>K12 -&gt; K12 School -&gt; Directory
K12 -&gt; LEA -&gt; Directory (added)</t>
  </si>
  <si>
    <t>Element applied to additional DES context.</t>
  </si>
  <si>
    <t>000131</t>
  </si>
  <si>
    <t>GradesOffered</t>
  </si>
  <si>
    <t>Graduate Assistant IPEDS Occupation Category</t>
  </si>
  <si>
    <t>The Integrated Postsecondary Education Data System (IPEDS) occupational categories used to report graduate assistants.</t>
  </si>
  <si>
    <r>
      <t>01</t>
    </r>
    <r>
      <rPr>
        <sz val="10"/>
        <color theme="1"/>
        <rFont val="Calibri"/>
        <family val="2"/>
        <scheme val="minor"/>
      </rPr>
      <t xml:space="preserve"> - Teaching
</t>
    </r>
    <r>
      <rPr>
        <b/>
        <sz val="10"/>
        <color theme="1"/>
        <rFont val="Calibri"/>
        <family val="2"/>
        <scheme val="minor"/>
      </rPr>
      <t>02</t>
    </r>
    <r>
      <rPr>
        <sz val="10"/>
        <color theme="1"/>
        <rFont val="Calibri"/>
        <family val="2"/>
        <scheme val="minor"/>
      </rPr>
      <t xml:space="preserve"> - Research
</t>
    </r>
    <r>
      <rPr>
        <b/>
        <sz val="10"/>
        <color theme="1"/>
        <rFont val="Calibri"/>
        <family val="2"/>
        <scheme val="minor"/>
      </rPr>
      <t>03</t>
    </r>
    <r>
      <rPr>
        <sz val="10"/>
        <color theme="1"/>
        <rFont val="Calibri"/>
        <family val="2"/>
        <scheme val="minor"/>
      </rPr>
      <t xml:space="preserve"> - Management Occupations
</t>
    </r>
    <r>
      <rPr>
        <b/>
        <sz val="10"/>
        <color theme="1"/>
        <rFont val="Calibri"/>
        <family val="2"/>
        <scheme val="minor"/>
      </rPr>
      <t>04</t>
    </r>
    <r>
      <rPr>
        <sz val="10"/>
        <color theme="1"/>
        <rFont val="Calibri"/>
        <family val="2"/>
        <scheme val="minor"/>
      </rPr>
      <t xml:space="preserve"> - Business and Financial Occupations
</t>
    </r>
    <r>
      <rPr>
        <b/>
        <sz val="10"/>
        <color theme="1"/>
        <rFont val="Calibri"/>
        <family val="2"/>
        <scheme val="minor"/>
      </rPr>
      <t>05</t>
    </r>
    <r>
      <rPr>
        <sz val="10"/>
        <color theme="1"/>
        <rFont val="Calibri"/>
        <family val="2"/>
        <scheme val="minor"/>
      </rPr>
      <t xml:space="preserve"> - Computer, Engineering and Science Occupations
</t>
    </r>
    <r>
      <rPr>
        <b/>
        <sz val="10"/>
        <color theme="1"/>
        <rFont val="Calibri"/>
        <family val="2"/>
        <scheme val="minor"/>
      </rPr>
      <t>06</t>
    </r>
    <r>
      <rPr>
        <sz val="10"/>
        <color theme="1"/>
        <rFont val="Calibri"/>
        <family val="2"/>
        <scheme val="minor"/>
      </rPr>
      <t xml:space="preserve"> - Community Service, Legal, Arts and Media Occupations
</t>
    </r>
    <r>
      <rPr>
        <b/>
        <sz val="10"/>
        <color theme="1"/>
        <rFont val="Calibri"/>
        <family val="2"/>
        <scheme val="minor"/>
      </rPr>
      <t>07</t>
    </r>
    <r>
      <rPr>
        <sz val="10"/>
        <color theme="1"/>
        <rFont val="Calibri"/>
        <family val="2"/>
        <scheme val="minor"/>
      </rPr>
      <t xml:space="preserve"> - Library and Non-postsecondary Teaching
</t>
    </r>
    <r>
      <rPr>
        <b/>
        <sz val="10"/>
        <color theme="1"/>
        <rFont val="Calibri"/>
        <family val="2"/>
        <scheme val="minor"/>
      </rPr>
      <t>08</t>
    </r>
    <r>
      <rPr>
        <sz val="10"/>
        <color theme="1"/>
        <rFont val="Calibri"/>
        <family val="2"/>
        <scheme val="minor"/>
      </rPr>
      <t xml:space="preserve"> - Healthcare Practitioners and Technical Occupations
</t>
    </r>
  </si>
  <si>
    <t>000743</t>
  </si>
  <si>
    <t>GraduateAssistantIPEDSOccupationCategory</t>
  </si>
  <si>
    <t>Graduate Assistant Status</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</si>
  <si>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</si>
  <si>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000742</t>
  </si>
  <si>
    <t>GraduateAssistantStatus</t>
  </si>
  <si>
    <t>Graduate or Doctoral Exam Results Status</t>
  </si>
  <si>
    <t>The individual's status in completing exams required for graduate or doctoral degree programs.</t>
  </si>
  <si>
    <r>
      <t>NotRequired</t>
    </r>
    <r>
      <rPr>
        <sz val="10"/>
        <color theme="1"/>
        <rFont val="Calibri"/>
        <family val="2"/>
        <scheme val="minor"/>
      </rPr>
      <t xml:space="preserve"> - Exam not required
</t>
    </r>
    <r>
      <rPr>
        <b/>
        <sz val="10"/>
        <color theme="1"/>
        <rFont val="Calibri"/>
        <family val="2"/>
        <scheme val="minor"/>
      </rPr>
      <t>NotTaken</t>
    </r>
    <r>
      <rPr>
        <sz val="10"/>
        <color theme="1"/>
        <rFont val="Calibri"/>
        <family val="2"/>
        <scheme val="minor"/>
      </rPr>
      <t xml:space="preserve"> - Exam required but not taken
</t>
    </r>
    <r>
      <rPr>
        <b/>
        <sz val="10"/>
        <color theme="1"/>
        <rFont val="Calibri"/>
        <family val="2"/>
        <scheme val="minor"/>
      </rPr>
      <t>Waived</t>
    </r>
    <r>
      <rPr>
        <sz val="10"/>
        <color theme="1"/>
        <rFont val="Calibri"/>
        <family val="2"/>
        <scheme val="minor"/>
      </rPr>
      <t xml:space="preserve"> - Exam waived
</t>
    </r>
    <r>
      <rPr>
        <b/>
        <sz val="10"/>
        <color theme="1"/>
        <rFont val="Calibri"/>
        <family val="2"/>
        <scheme val="minor"/>
      </rPr>
      <t>Passed</t>
    </r>
    <r>
      <rPr>
        <sz val="10"/>
        <color theme="1"/>
        <rFont val="Calibri"/>
        <family val="2"/>
        <scheme val="minor"/>
      </rPr>
      <t xml:space="preserve"> - Exam taken and passed
</t>
    </r>
    <r>
      <rPr>
        <b/>
        <sz val="10"/>
        <color theme="1"/>
        <rFont val="Calibri"/>
        <family val="2"/>
        <scheme val="minor"/>
      </rPr>
      <t>Failed</t>
    </r>
    <r>
      <rPr>
        <sz val="10"/>
        <color theme="1"/>
        <rFont val="Calibri"/>
        <family val="2"/>
        <scheme val="minor"/>
      </rPr>
      <t xml:space="preserve"> - Exam taken and failed
</t>
    </r>
  </si>
  <si>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</si>
  <si>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</si>
  <si>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</si>
  <si>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</si>
  <si>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</si>
  <si>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</si>
  <si>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</si>
  <si>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</si>
  <si>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</si>
  <si>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</si>
  <si>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</si>
  <si>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</si>
  <si>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</si>
  <si>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r>
      <t>YesReportingOffenses</t>
    </r>
    <r>
      <rPr>
        <sz val="10"/>
        <color theme="1"/>
        <rFont val="Calibri"/>
        <family val="2"/>
        <scheme val="minor"/>
      </rPr>
      <t xml:space="preserve"> - Yes, with reporting of one or more students for an offense
</t>
    </r>
    <r>
      <rPr>
        <b/>
        <sz val="10"/>
        <color theme="1"/>
        <rFont val="Calibri"/>
        <family val="2"/>
        <scheme val="minor"/>
      </rPr>
      <t>YesNoReportedOffenses</t>
    </r>
    <r>
      <rPr>
        <sz val="10"/>
        <color theme="1"/>
        <rFont val="Calibri"/>
        <family val="2"/>
        <scheme val="minor"/>
      </rPr>
      <t xml:space="preserve"> - Yes, with no reported offenses
</t>
    </r>
    <r>
      <rPr>
        <b/>
        <sz val="10"/>
        <color theme="1"/>
        <rFont val="Calibri"/>
        <family val="2"/>
        <scheme val="minor"/>
      </rPr>
      <t>No</t>
    </r>
    <r>
      <rPr>
        <sz val="10"/>
        <color theme="1"/>
        <rFont val="Calibri"/>
        <family val="2"/>
        <scheme val="minor"/>
      </rPr>
      <t xml:space="preserve"> - No
</t>
    </r>
    <r>
      <rPr>
        <b/>
        <sz val="10"/>
        <color theme="1"/>
        <rFont val="Calibri"/>
        <family val="2"/>
        <scheme val="minor"/>
      </rPr>
      <t>NA</t>
    </r>
    <r>
      <rPr>
        <sz val="10"/>
        <color theme="1"/>
        <rFont val="Calibri"/>
        <family val="2"/>
        <scheme val="minor"/>
      </rPr>
      <t xml:space="preserve"> - Not applicable
</t>
    </r>
  </si>
  <si>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</si>
  <si>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</si>
  <si>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</si>
  <si>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</si>
  <si>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</si>
  <si>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</si>
  <si>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Hazardous Material or Condition Description</t>
  </si>
  <si>
    <t>A description of the seriousness a threat or hazardous material poses.</t>
  </si>
  <si>
    <t>001844</t>
  </si>
  <si>
    <t>HazardousMaterialOrConditionDescription</t>
  </si>
  <si>
    <t>Hazardous Material or Condition Testing Date</t>
  </si>
  <si>
    <t>The month, day, and year that the site or building is tested for a specific hazardous material.</t>
  </si>
  <si>
    <t>001845</t>
  </si>
  <si>
    <t>HazardousMaterialOrConditionTestingDate</t>
  </si>
  <si>
    <t>Health Screening Equipment Used</t>
  </si>
  <si>
    <t>The screening equipment used for the hearing screening or the method used for the vision screening</t>
  </si>
  <si>
    <t>001358</t>
  </si>
  <si>
    <t>HealthScreeningEquipmentUsed</t>
  </si>
  <si>
    <t>Health Screening Follow-up Recommendation</t>
  </si>
  <si>
    <t>Recommendations for follow-up after a health screening.</t>
  </si>
  <si>
    <t>001359</t>
  </si>
  <si>
    <t>HealthScreeningFollowUpRecommendation</t>
  </si>
  <si>
    <t>Hearing Screening Date</t>
  </si>
  <si>
    <t>The year, month and day of a hearing screening.</t>
  </si>
  <si>
    <t>Early Learning -&gt; EL Child -&gt; Health -&gt; Hearing
K12 -&gt; K12 Student -&gt; Health -&gt; Hearing</t>
  </si>
  <si>
    <t>000705</t>
  </si>
  <si>
    <t>HearingScreeningDate</t>
  </si>
  <si>
    <t>Hearing Screening Status</t>
  </si>
  <si>
    <t>Status of an examination used to measure a person's ability to perceive sounds.</t>
  </si>
  <si>
    <r>
      <t>Passed</t>
    </r>
    <r>
      <rPr>
        <sz val="10"/>
        <color theme="1"/>
        <rFont val="Calibri"/>
        <family val="2"/>
        <scheme val="minor"/>
      </rPr>
      <t xml:space="preserve"> - Passed
</t>
    </r>
    <r>
      <rPr>
        <b/>
        <sz val="10"/>
        <color theme="1"/>
        <rFont val="Calibri"/>
        <family val="2"/>
        <scheme val="minor"/>
      </rPr>
      <t>FurtherEvaluation</t>
    </r>
    <r>
      <rPr>
        <sz val="10"/>
        <color theme="1"/>
        <rFont val="Calibri"/>
        <family val="2"/>
        <scheme val="minor"/>
      </rPr>
      <t xml:space="preserve"> - Further Evaluation Needed
</t>
    </r>
  </si>
  <si>
    <t>000309</t>
  </si>
  <si>
    <t>HearingScreeningStatus</t>
  </si>
  <si>
    <t>High School Course Requirement</t>
  </si>
  <si>
    <t>An indication that this course credit is required for a high school diploma.</t>
  </si>
  <si>
    <t>Adult Education -&gt; Course Section -&gt; Course
Career and Technical -&gt; Course
Career and Technical -&gt; Course Section -&gt; Course
K12 -&gt; Course Section -&gt; Course
K12 -&gt; K12 Course
K12 -&gt; K12 Student -&gt; Graduation Plan -&gt; Course</t>
  </si>
  <si>
    <t>000137</t>
  </si>
  <si>
    <t>HighSchoolCourseRequirement</t>
  </si>
  <si>
    <t>High School Diploma Distinction Type</t>
  </si>
  <si>
    <t>The distinction of the diploma or credential that is awarded to a student in recognition of their completion of the curricular requirements.</t>
  </si>
  <si>
    <r>
      <t>Minimum</t>
    </r>
    <r>
      <rPr>
        <sz val="10"/>
        <color theme="1"/>
        <rFont val="Calibri"/>
        <family val="2"/>
        <scheme val="minor"/>
      </rPr>
      <t xml:space="preserve"> - Minimum
</t>
    </r>
    <r>
      <rPr>
        <b/>
        <sz val="10"/>
        <color theme="1"/>
        <rFont val="Calibri"/>
        <family val="2"/>
        <scheme val="minor"/>
      </rPr>
      <t>Recommended</t>
    </r>
    <r>
      <rPr>
        <sz val="10"/>
        <color theme="1"/>
        <rFont val="Calibri"/>
        <family val="2"/>
        <scheme val="minor"/>
      </rPr>
      <t xml:space="preserve"> - Recommended
</t>
    </r>
    <r>
      <rPr>
        <b/>
        <sz val="10"/>
        <color theme="1"/>
        <rFont val="Calibri"/>
        <family val="2"/>
        <scheme val="minor"/>
      </rPr>
      <t>Distinguished</t>
    </r>
    <r>
      <rPr>
        <sz val="10"/>
        <color theme="1"/>
        <rFont val="Calibri"/>
        <family val="2"/>
        <scheme val="minor"/>
      </rPr>
      <t xml:space="preserve"> - Distinguished
</t>
    </r>
    <r>
      <rPr>
        <b/>
        <sz val="10"/>
        <color theme="1"/>
        <rFont val="Calibri"/>
        <family val="2"/>
        <scheme val="minor"/>
      </rPr>
      <t>OpenEnrollment</t>
    </r>
    <r>
      <rPr>
        <sz val="10"/>
        <color theme="1"/>
        <rFont val="Calibri"/>
        <family val="2"/>
        <scheme val="minor"/>
      </rPr>
      <t xml:space="preserve"> - Open Enrollment
</t>
    </r>
    <r>
      <rPr>
        <b/>
        <sz val="10"/>
        <color theme="1"/>
        <rFont val="Calibri"/>
        <family val="2"/>
        <scheme val="minor"/>
      </rPr>
      <t>MagnaCumLaude</t>
    </r>
    <r>
      <rPr>
        <sz val="10"/>
        <color theme="1"/>
        <rFont val="Calibri"/>
        <family val="2"/>
        <scheme val="minor"/>
      </rPr>
      <t xml:space="preserve"> - Magna cum laude
</t>
    </r>
    <r>
      <rPr>
        <b/>
        <sz val="10"/>
        <color theme="1"/>
        <rFont val="Calibri"/>
        <family val="2"/>
        <scheme val="minor"/>
      </rPr>
      <t>SummaCumLaude</t>
    </r>
    <r>
      <rPr>
        <sz val="10"/>
        <color theme="1"/>
        <rFont val="Calibri"/>
        <family val="2"/>
        <scheme val="minor"/>
      </rPr>
      <t xml:space="preserve"> - Summa cum laude
</t>
    </r>
  </si>
  <si>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</si>
  <si>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000713</t>
  </si>
  <si>
    <t>HighSchoolDiplomaDistinctionType</t>
  </si>
  <si>
    <t>High School Diploma Type</t>
  </si>
  <si>
    <t>The type of diploma/credential that is awarded to a person in recognition of his/her completion of the curricular requirements.</t>
  </si>
  <si>
    <r>
      <t>00806</t>
    </r>
    <r>
      <rPr>
        <sz val="10"/>
        <color theme="1"/>
        <rFont val="Calibri"/>
        <family val="2"/>
        <scheme val="minor"/>
      </rPr>
      <t xml:space="preserve"> - Regular diploma
</t>
    </r>
    <r>
      <rPr>
        <b/>
        <sz val="10"/>
        <color theme="1"/>
        <rFont val="Calibri"/>
        <family val="2"/>
        <scheme val="minor"/>
      </rPr>
      <t>00807</t>
    </r>
    <r>
      <rPr>
        <sz val="10"/>
        <color theme="1"/>
        <rFont val="Calibri"/>
        <family val="2"/>
        <scheme val="minor"/>
      </rPr>
      <t xml:space="preserve"> - Endorsed/advanced diploma
</t>
    </r>
    <r>
      <rPr>
        <b/>
        <sz val="10"/>
        <color theme="1"/>
        <rFont val="Calibri"/>
        <family val="2"/>
        <scheme val="minor"/>
      </rPr>
      <t>00808</t>
    </r>
    <r>
      <rPr>
        <sz val="10"/>
        <color theme="1"/>
        <rFont val="Calibri"/>
        <family val="2"/>
        <scheme val="minor"/>
      </rPr>
      <t xml:space="preserve"> - Regents diploma
</t>
    </r>
    <r>
      <rPr>
        <b/>
        <sz val="10"/>
        <color theme="1"/>
        <rFont val="Calibri"/>
        <family val="2"/>
        <scheme val="minor"/>
      </rPr>
      <t>00809</t>
    </r>
    <r>
      <rPr>
        <sz val="10"/>
        <color theme="1"/>
        <rFont val="Calibri"/>
        <family val="2"/>
        <scheme val="minor"/>
      </rPr>
      <t xml:space="preserve"> - International Baccalaureate
</t>
    </r>
    <r>
      <rPr>
        <b/>
        <sz val="10"/>
        <color theme="1"/>
        <rFont val="Calibri"/>
        <family val="2"/>
        <scheme val="minor"/>
      </rPr>
      <t>00810</t>
    </r>
    <r>
      <rPr>
        <sz val="10"/>
        <color theme="1"/>
        <rFont val="Calibri"/>
        <family val="2"/>
        <scheme val="minor"/>
      </rPr>
      <t xml:space="preserve"> - Modified diploma
</t>
    </r>
    <r>
      <rPr>
        <b/>
        <sz val="10"/>
        <color theme="1"/>
        <rFont val="Calibri"/>
        <family val="2"/>
        <scheme val="minor"/>
      </rPr>
      <t>00811</t>
    </r>
    <r>
      <rPr>
        <sz val="10"/>
        <color theme="1"/>
        <rFont val="Calibri"/>
        <family val="2"/>
        <scheme val="minor"/>
      </rPr>
      <t xml:space="preserve"> - Other diploma
</t>
    </r>
    <r>
      <rPr>
        <b/>
        <sz val="10"/>
        <color theme="1"/>
        <rFont val="Calibri"/>
        <family val="2"/>
        <scheme val="minor"/>
      </rPr>
      <t>00812</t>
    </r>
    <r>
      <rPr>
        <sz val="10"/>
        <color theme="1"/>
        <rFont val="Calibri"/>
        <family val="2"/>
        <scheme val="minor"/>
      </rPr>
      <t xml:space="preserve"> - Alternative credential
</t>
    </r>
    <r>
      <rPr>
        <b/>
        <sz val="10"/>
        <color theme="1"/>
        <rFont val="Calibri"/>
        <family val="2"/>
        <scheme val="minor"/>
      </rPr>
      <t>00813</t>
    </r>
    <r>
      <rPr>
        <sz val="10"/>
        <color theme="1"/>
        <rFont val="Calibri"/>
        <family val="2"/>
        <scheme val="minor"/>
      </rPr>
      <t xml:space="preserve"> - Certificate of attendance
</t>
    </r>
    <r>
      <rPr>
        <b/>
        <sz val="10"/>
        <color theme="1"/>
        <rFont val="Calibri"/>
        <family val="2"/>
        <scheme val="minor"/>
      </rPr>
      <t>00814</t>
    </r>
    <r>
      <rPr>
        <sz val="10"/>
        <color theme="1"/>
        <rFont val="Calibri"/>
        <family val="2"/>
        <scheme val="minor"/>
      </rPr>
      <t xml:space="preserve"> - Certificate of completion
</t>
    </r>
    <r>
      <rPr>
        <b/>
        <sz val="10"/>
        <color theme="1"/>
        <rFont val="Calibri"/>
        <family val="2"/>
        <scheme val="minor"/>
      </rPr>
      <t>00815</t>
    </r>
    <r>
      <rPr>
        <sz val="10"/>
        <color theme="1"/>
        <rFont val="Calibri"/>
        <family val="2"/>
        <scheme val="minor"/>
      </rPr>
      <t xml:space="preserve"> - High school equivalency credential, other than GED
</t>
    </r>
    <r>
      <rPr>
        <b/>
        <sz val="10"/>
        <color theme="1"/>
        <rFont val="Calibri"/>
        <family val="2"/>
        <scheme val="minor"/>
      </rPr>
      <t>00816</t>
    </r>
    <r>
      <rPr>
        <sz val="10"/>
        <color theme="1"/>
        <rFont val="Calibri"/>
        <family val="2"/>
        <scheme val="minor"/>
      </rPr>
      <t xml:space="preserve"> - General Educational Development (GED) credential
</t>
    </r>
    <r>
      <rPr>
        <b/>
        <sz val="10"/>
        <color theme="1"/>
        <rFont val="Calibri"/>
        <family val="2"/>
        <scheme val="minor"/>
      </rPr>
      <t>00818</t>
    </r>
    <r>
      <rPr>
        <sz val="10"/>
        <color theme="1"/>
        <rFont val="Calibri"/>
        <family val="2"/>
        <scheme val="minor"/>
      </rPr>
      <t xml:space="preserve"> - Post graduate certificate (grade 13)
</t>
    </r>
    <r>
      <rPr>
        <b/>
        <sz val="10"/>
        <color theme="1"/>
        <rFont val="Calibri"/>
        <family val="2"/>
        <scheme val="minor"/>
      </rPr>
      <t>00819</t>
    </r>
    <r>
      <rPr>
        <sz val="10"/>
        <color theme="1"/>
        <rFont val="Calibri"/>
        <family val="2"/>
        <scheme val="minor"/>
      </rPr>
      <t xml:space="preserve"> - Career and Technical Education certificate
</t>
    </r>
  </si>
  <si>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</si>
  <si>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Use "Other Diploma" instead of "Other" option.</t>
  </si>
  <si>
    <t>000138</t>
  </si>
  <si>
    <t>HighSchoolDiplomaType</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</si>
  <si>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</si>
  <si>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High School Graduation Rate Indicator Status</t>
  </si>
  <si>
    <t>An indication of whether the school or district met the High School Graduation Rate requirement in accordance with state definition for the purposes of determining AYP.</t>
  </si>
  <si>
    <r>
      <t>MetGoal</t>
    </r>
    <r>
      <rPr>
        <sz val="10"/>
        <color theme="1"/>
        <rFont val="Calibri"/>
        <family val="2"/>
        <scheme val="minor"/>
      </rPr>
      <t xml:space="preserve"> - Met (Goal)
</t>
    </r>
    <r>
      <rPr>
        <b/>
        <sz val="10"/>
        <color theme="1"/>
        <rFont val="Calibri"/>
        <family val="2"/>
        <scheme val="minor"/>
      </rPr>
      <t>MetTarget</t>
    </r>
    <r>
      <rPr>
        <sz val="10"/>
        <color theme="1"/>
        <rFont val="Calibri"/>
        <family val="2"/>
        <scheme val="minor"/>
      </rPr>
      <t xml:space="preserve"> - Met (Target)
</t>
    </r>
    <r>
      <rPr>
        <b/>
        <sz val="10"/>
        <color theme="1"/>
        <rFont val="Calibri"/>
        <family val="2"/>
        <scheme val="minor"/>
      </rPr>
      <t>DidNotMeet</t>
    </r>
    <r>
      <rPr>
        <sz val="10"/>
        <color theme="1"/>
        <rFont val="Calibri"/>
        <family val="2"/>
        <scheme val="minor"/>
      </rPr>
      <t xml:space="preserve"> - Did Not Meet
</t>
    </r>
    <r>
      <rPr>
        <b/>
        <sz val="10"/>
        <color theme="1"/>
        <rFont val="Calibri"/>
        <family val="2"/>
        <scheme val="minor"/>
      </rPr>
      <t>TooFewStudents</t>
    </r>
    <r>
      <rPr>
        <sz val="10"/>
        <color theme="1"/>
        <rFont val="Calibri"/>
        <family val="2"/>
        <scheme val="minor"/>
      </rPr>
      <t xml:space="preserve"> - Too Few Students
</t>
    </r>
    <r>
      <rPr>
        <b/>
        <sz val="10"/>
        <color theme="1"/>
        <rFont val="Calibri"/>
        <family val="2"/>
        <scheme val="minor"/>
      </rPr>
      <t>NoStudents</t>
    </r>
    <r>
      <rPr>
        <sz val="10"/>
        <color theme="1"/>
        <rFont val="Calibri"/>
        <family val="2"/>
        <scheme val="minor"/>
      </rPr>
      <t xml:space="preserve"> - There are no students in a student subgroup. 
</t>
    </r>
    <r>
      <rPr>
        <b/>
        <sz val="10"/>
        <color theme="1"/>
        <rFont val="Calibri"/>
        <family val="2"/>
        <scheme val="minor"/>
      </rPr>
      <t>NA</t>
    </r>
    <r>
      <rPr>
        <sz val="10"/>
        <color theme="1"/>
        <rFont val="Calibri"/>
        <family val="2"/>
        <scheme val="minor"/>
      </rPr>
      <t xml:space="preserve"> - Not applicable
</t>
    </r>
  </si>
  <si>
    <t>000140</t>
  </si>
  <si>
    <t>HighSchoolGraduationRateIndicatorStatus</t>
  </si>
  <si>
    <t>High School Percentile</t>
  </si>
  <si>
    <t>The High School Rank divided by the Size of High School Graduating Class expressed as a percentage.</t>
  </si>
  <si>
    <t>Related Connection; linked to High School Grade Point Average Cumulative, Grade Point Average Weighted Indicator, High School Rank, and Size of High School Graduating Class</t>
  </si>
  <si>
    <t>000759</t>
  </si>
  <si>
    <t>HighSchoolPercentile</t>
  </si>
  <si>
    <t>0% to 99% (where 99% corresponds to the valedictorian, 0% to the bottom rank in the class)</t>
  </si>
  <si>
    <t>High School Student Class Rank</t>
  </si>
  <si>
    <t>The academic rank of a student in relation to his or her high school graduating class (e.g., 1, 2, 3) based on high school GPA.</t>
  </si>
  <si>
    <t>K12 -&gt; K12 Student -&gt; Academic Record
Postsecondary -&gt; PS Applicant</t>
  </si>
  <si>
    <t>000041</t>
  </si>
  <si>
    <t>HighSchoolStudentClassRank</t>
  </si>
  <si>
    <t>K-12 -&gt; High School Generated Transcript
K-12 -&gt; LEA-to-LEA Student Record Exchange
K-12 -&gt; LEA-to-SEA Student Record Exchange
Postsecondary Education -&gt; Common Data Set</t>
  </si>
  <si>
    <t>Higher Education Institution Accreditation Status</t>
  </si>
  <si>
    <t>An indication of the accreditation status of a higher education institution.</t>
  </si>
  <si>
    <r>
      <t>Regional</t>
    </r>
    <r>
      <rPr>
        <sz val="10"/>
        <color theme="1"/>
        <rFont val="Calibri"/>
        <family val="2"/>
        <scheme val="minor"/>
      </rPr>
      <t xml:space="preserve"> - Regionally accredited
</t>
    </r>
    <r>
      <rPr>
        <b/>
        <sz val="10"/>
        <color theme="1"/>
        <rFont val="Calibri"/>
        <family val="2"/>
        <scheme val="minor"/>
      </rPr>
      <t>Programmatic</t>
    </r>
    <r>
      <rPr>
        <sz val="10"/>
        <color theme="1"/>
        <rFont val="Calibri"/>
        <family val="2"/>
        <scheme val="minor"/>
      </rPr>
      <t xml:space="preserve"> - Programmatic accreditation
</t>
    </r>
    <r>
      <rPr>
        <b/>
        <sz val="10"/>
        <color theme="1"/>
        <rFont val="Calibri"/>
        <family val="2"/>
        <scheme val="minor"/>
      </rPr>
      <t>National</t>
    </r>
    <r>
      <rPr>
        <sz val="10"/>
        <color theme="1"/>
        <rFont val="Calibri"/>
        <family val="2"/>
        <scheme val="minor"/>
      </rPr>
      <t xml:space="preserve"> - Nationally accredited
</t>
    </r>
    <r>
      <rPr>
        <b/>
        <sz val="10"/>
        <color theme="1"/>
        <rFont val="Calibri"/>
        <family val="2"/>
        <scheme val="minor"/>
      </rPr>
      <t>Faith</t>
    </r>
    <r>
      <rPr>
        <sz val="10"/>
        <color theme="1"/>
        <rFont val="Calibri"/>
        <family val="2"/>
        <scheme val="minor"/>
      </rPr>
      <t xml:space="preserve"> - Faith
</t>
    </r>
    <r>
      <rPr>
        <b/>
        <sz val="10"/>
        <color theme="1"/>
        <rFont val="Calibri"/>
        <family val="2"/>
        <scheme val="minor"/>
      </rPr>
      <t>CareerRelated</t>
    </r>
    <r>
      <rPr>
        <sz val="10"/>
        <color theme="1"/>
        <rFont val="Calibri"/>
        <family val="2"/>
        <scheme val="minor"/>
      </rPr>
      <t xml:space="preserve"> - Career related
</t>
    </r>
    <r>
      <rPr>
        <b/>
        <sz val="10"/>
        <color theme="1"/>
        <rFont val="Calibri"/>
        <family val="2"/>
        <scheme val="minor"/>
      </rPr>
      <t>NotAccredited</t>
    </r>
    <r>
      <rPr>
        <sz val="10"/>
        <color theme="1"/>
        <rFont val="Calibri"/>
        <family val="2"/>
        <scheme val="minor"/>
      </rPr>
      <t xml:space="preserve"> - Not accredited
</t>
    </r>
  </si>
  <si>
    <t>000818</t>
  </si>
  <si>
    <t>HigherEducationInstitutionAccredidationStatus</t>
  </si>
  <si>
    <t>Highest Level of Education Completed</t>
  </si>
  <si>
    <t>The extent of formal instruction a person has received (e.g., the highest grade in school completed or its equivalent or the highest degree received).</t>
  </si>
  <si>
    <t>Adult Education -&gt; AE Staff -&gt; Credential
Adult Education -&gt; AE Staff -&gt; Education
Adult Education -&gt; AE Student -&gt; Academic Record
Early Learning -&gt; EL Staff -&gt; Education
Early Learning -&gt; Parent/Guardian -&gt; Education
K12 -&gt; K12 Staff -&gt; Credential or License
K12 -&gt; K12 Staff -&gt; Education</t>
  </si>
  <si>
    <t>000141</t>
  </si>
  <si>
    <t>HighestLevelOfEducationCompleted</t>
  </si>
  <si>
    <t>Early Learning -&gt; Program Compliance
Early Learning -&gt; Program Entry
Early Learning -&gt; Staff Quality
K-12 -&gt; Teacher Compensation Survey</t>
  </si>
  <si>
    <t>Highly Qualified Teacher Indicator</t>
  </si>
  <si>
    <t>An indication that the teacher has been classified as highly qualified based on assignment.</t>
  </si>
  <si>
    <r>
      <t>HighlyQualitifed</t>
    </r>
    <r>
      <rPr>
        <sz val="10"/>
        <color theme="1"/>
        <rFont val="Calibri"/>
        <family val="2"/>
        <scheme val="minor"/>
      </rPr>
      <t xml:space="preserve"> - Highly qualified
</t>
    </r>
    <r>
      <rPr>
        <b/>
        <sz val="10"/>
        <color theme="1"/>
        <rFont val="Calibri"/>
        <family val="2"/>
        <scheme val="minor"/>
      </rPr>
      <t>NotHighlyQualified</t>
    </r>
    <r>
      <rPr>
        <sz val="10"/>
        <color theme="1"/>
        <rFont val="Calibri"/>
        <family val="2"/>
        <scheme val="minor"/>
      </rPr>
      <t xml:space="preserve"> - Not highly qualified
</t>
    </r>
  </si>
  <si>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</si>
  <si>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</si>
  <si>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</si>
  <si>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</si>
  <si>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</si>
  <si>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Adult Education -&gt; AE Staff -&gt; Employment
Early Learning -&gt; EL Staff -&gt; Employment
K12 -&gt; K12 Staff -&gt; Employment
Postsecondary -&gt; PS Staff -&gt; Employment</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</si>
  <si>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</si>
  <si>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000143</t>
  </si>
  <si>
    <t>HireDate</t>
  </si>
  <si>
    <t>Early Learning -&gt; Program Compliance
Early Learning -&gt; Staff Quality
Early Learning -&gt; Workforce Development
K-12 -&gt; Teacher Compensation Survey
Postsecondary Education -&gt; IPEDS -&gt; HR</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</si>
  <si>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</si>
  <si>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</si>
  <si>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</si>
  <si>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</si>
  <si>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</si>
  <si>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person at the time the person was identified as homeless.</t>
  </si>
  <si>
    <r>
      <t>DoubledUp</t>
    </r>
    <r>
      <rPr>
        <sz val="10"/>
        <color theme="1"/>
        <rFont val="Calibri"/>
        <family val="2"/>
        <scheme val="minor"/>
      </rPr>
      <t xml:space="preserve"> - Doubled Up
</t>
    </r>
    <r>
      <rPr>
        <b/>
        <sz val="10"/>
        <color theme="1"/>
        <rFont val="Calibri"/>
        <family val="2"/>
        <scheme val="minor"/>
      </rPr>
      <t>Unsheltered</t>
    </r>
    <r>
      <rPr>
        <sz val="10"/>
        <color theme="1"/>
        <rFont val="Calibri"/>
        <family val="2"/>
        <scheme val="minor"/>
      </rPr>
      <t xml:space="preserve"> - Unsheltered
</t>
    </r>
    <r>
      <rPr>
        <b/>
        <sz val="10"/>
        <color theme="1"/>
        <rFont val="Calibri"/>
        <family val="2"/>
        <scheme val="minor"/>
      </rPr>
      <t>HotelMotel</t>
    </r>
    <r>
      <rPr>
        <sz val="10"/>
        <color theme="1"/>
        <rFont val="Calibri"/>
        <family val="2"/>
        <scheme val="minor"/>
      </rPr>
      <t xml:space="preserve"> - Hotels/Motels
</t>
    </r>
    <r>
      <rPr>
        <b/>
        <sz val="10"/>
        <color theme="1"/>
        <rFont val="Calibri"/>
        <family val="2"/>
        <scheme val="minor"/>
      </rPr>
      <t>Shelter</t>
    </r>
    <r>
      <rPr>
        <sz val="10"/>
        <color theme="1"/>
        <rFont val="Calibri"/>
        <family val="2"/>
        <scheme val="minor"/>
      </rPr>
      <t xml:space="preserve"> - Shelter
</t>
    </r>
    <r>
      <rPr>
        <b/>
        <sz val="10"/>
        <color theme="1"/>
        <rFont val="Calibri"/>
        <family val="2"/>
        <scheme val="minor"/>
      </rPr>
      <t>SheltersTransitionalHousing</t>
    </r>
    <r>
      <rPr>
        <sz val="10"/>
        <color theme="1"/>
        <rFont val="Calibri"/>
        <family val="2"/>
        <scheme val="minor"/>
      </rPr>
      <t xml:space="preserve"> - Shelters Transitional Housing
</t>
    </r>
    <r>
      <rPr>
        <b/>
        <sz val="10"/>
        <color theme="1"/>
        <rFont val="Calibri"/>
        <family val="2"/>
        <scheme val="minor"/>
      </rPr>
      <t>TransitionalHousing</t>
    </r>
    <r>
      <rPr>
        <sz val="10"/>
        <color theme="1"/>
        <rFont val="Calibri"/>
        <family val="2"/>
        <scheme val="minor"/>
      </rPr>
      <t xml:space="preserve"> - Transitional Housing
</t>
    </r>
  </si>
  <si>
    <t>Early Learning -&gt; EL Child -&gt; Homeless (added)
K12 -&gt; K12 Student -&gt; Homeless</t>
  </si>
  <si>
    <t>Updated option set to support EDFacts changes and disaggregate options to be more specific. Element applied to additional DES context.</t>
  </si>
  <si>
    <t>000146</t>
  </si>
  <si>
    <t>HomelessPrimaryNighttimeResidence</t>
  </si>
  <si>
    <t>Homeless Serviced Indicator</t>
  </si>
  <si>
    <t>An indication of whether homeless children and youth were served by a McKinney-Vento program in the state.</t>
  </si>
  <si>
    <t>Early Learning -&gt; EL Child -&gt; Homeless
K12 -&gt; K12 Student -&gt; Homeless</t>
  </si>
  <si>
    <t>000147</t>
  </si>
  <si>
    <t>HomelessServicedIndicator</t>
  </si>
  <si>
    <t>Homeless Unaccompanied Youth Status</t>
  </si>
  <si>
    <t>An indication that homeless youths were unaccompanied by parents or legal guardians.</t>
  </si>
  <si>
    <t>K12 -&gt; K12 Student -&gt; Homeless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</si>
  <si>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</si>
  <si>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</si>
  <si>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</si>
  <si>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</si>
  <si>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Early Learning -&gt; EL Child -&gt; Demographic
K12 -&gt; K12 Student -&gt; Homeless</t>
  </si>
  <si>
    <t>000149</t>
  </si>
  <si>
    <t>HomelessnessStatus</t>
  </si>
  <si>
    <t>Early Learning -&gt; Program Compliance
Early Learning -&gt; Program Entry
K-12 -&gt; EDFacts
K-12 -&gt; High School Generated Transcript
K-12 -&gt; LEA-to-LEA Student Record Exchange
K-12 -&gt; LEA-to-SEA Student Record Exchange</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</si>
  <si>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</si>
  <si>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</si>
  <si>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</si>
  <si>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</si>
  <si>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</si>
  <si>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</si>
  <si>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</si>
  <si>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</si>
  <si>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</si>
  <si>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</si>
  <si>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</si>
  <si>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</si>
  <si>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</si>
  <si>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</si>
  <si>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</si>
  <si>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</si>
  <si>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Disability Type</t>
  </si>
  <si>
    <t>A category of disability that describes a person’s impairment defined by the Individuals with Disabilities Education Act.</t>
  </si>
  <si>
    <r>
      <t>Autism</t>
    </r>
    <r>
      <rPr>
        <sz val="10"/>
        <color theme="1"/>
        <rFont val="Calibri"/>
        <family val="2"/>
        <scheme val="minor"/>
      </rPr>
      <t xml:space="preserve"> - Autism
</t>
    </r>
    <r>
      <rPr>
        <b/>
        <sz val="10"/>
        <color theme="1"/>
        <rFont val="Calibri"/>
        <family val="2"/>
        <scheme val="minor"/>
      </rPr>
      <t>Deafblindness</t>
    </r>
    <r>
      <rPr>
        <sz val="10"/>
        <color theme="1"/>
        <rFont val="Calibri"/>
        <family val="2"/>
        <scheme val="minor"/>
      </rPr>
      <t xml:space="preserve"> - Deaf-blindness
</t>
    </r>
    <r>
      <rPr>
        <b/>
        <sz val="10"/>
        <color theme="1"/>
        <rFont val="Calibri"/>
        <family val="2"/>
        <scheme val="minor"/>
      </rPr>
      <t>Deafness</t>
    </r>
    <r>
      <rPr>
        <sz val="10"/>
        <color theme="1"/>
        <rFont val="Calibri"/>
        <family val="2"/>
        <scheme val="minor"/>
      </rPr>
      <t xml:space="preserve"> - Deafness
</t>
    </r>
    <r>
      <rPr>
        <b/>
        <sz val="10"/>
        <color theme="1"/>
        <rFont val="Calibri"/>
        <family val="2"/>
        <scheme val="minor"/>
      </rPr>
      <t>Developmentaldelay</t>
    </r>
    <r>
      <rPr>
        <sz val="10"/>
        <color theme="1"/>
        <rFont val="Calibri"/>
        <family val="2"/>
        <scheme val="minor"/>
      </rPr>
      <t xml:space="preserve"> - Developmental delay
</t>
    </r>
    <r>
      <rPr>
        <b/>
        <sz val="10"/>
        <color theme="1"/>
        <rFont val="Calibri"/>
        <family val="2"/>
        <scheme val="minor"/>
      </rPr>
      <t>Emotionaldisturbance</t>
    </r>
    <r>
      <rPr>
        <sz val="10"/>
        <color theme="1"/>
        <rFont val="Calibri"/>
        <family val="2"/>
        <scheme val="minor"/>
      </rPr>
      <t xml:space="preserve"> - Emotional disturbance
</t>
    </r>
    <r>
      <rPr>
        <b/>
        <sz val="10"/>
        <color theme="1"/>
        <rFont val="Calibri"/>
        <family val="2"/>
        <scheme val="minor"/>
      </rPr>
      <t>Hearingimpairment</t>
    </r>
    <r>
      <rPr>
        <sz val="10"/>
        <color theme="1"/>
        <rFont val="Calibri"/>
        <family val="2"/>
        <scheme val="minor"/>
      </rPr>
      <t xml:space="preserve"> - Hearing impairment
</t>
    </r>
    <r>
      <rPr>
        <b/>
        <sz val="10"/>
        <color theme="1"/>
        <rFont val="Calibri"/>
        <family val="2"/>
        <scheme val="minor"/>
      </rPr>
      <t>Intellectualdisability</t>
    </r>
    <r>
      <rPr>
        <sz val="10"/>
        <color theme="1"/>
        <rFont val="Calibri"/>
        <family val="2"/>
        <scheme val="minor"/>
      </rPr>
      <t xml:space="preserve"> - Intellectual disability
</t>
    </r>
    <r>
      <rPr>
        <b/>
        <sz val="10"/>
        <color theme="1"/>
        <rFont val="Calibri"/>
        <family val="2"/>
        <scheme val="minor"/>
      </rPr>
      <t>Multipledisabilities</t>
    </r>
    <r>
      <rPr>
        <sz val="10"/>
        <color theme="1"/>
        <rFont val="Calibri"/>
        <family val="2"/>
        <scheme val="minor"/>
      </rPr>
      <t xml:space="preserve"> - Multiple disabilities
</t>
    </r>
    <r>
      <rPr>
        <b/>
        <sz val="10"/>
        <color theme="1"/>
        <rFont val="Calibri"/>
        <family val="2"/>
        <scheme val="minor"/>
      </rPr>
      <t>Orthopedicimpairment</t>
    </r>
    <r>
      <rPr>
        <sz val="10"/>
        <color theme="1"/>
        <rFont val="Calibri"/>
        <family val="2"/>
        <scheme val="minor"/>
      </rPr>
      <t xml:space="preserve"> - Orthopedic impairment
</t>
    </r>
    <r>
      <rPr>
        <b/>
        <sz val="10"/>
        <color theme="1"/>
        <rFont val="Calibri"/>
        <family val="2"/>
        <scheme val="minor"/>
      </rPr>
      <t>Otherhealthimpairment</t>
    </r>
    <r>
      <rPr>
        <sz val="10"/>
        <color theme="1"/>
        <rFont val="Calibri"/>
        <family val="2"/>
        <scheme val="minor"/>
      </rPr>
      <t xml:space="preserve"> - Other health impairment
</t>
    </r>
    <r>
      <rPr>
        <b/>
        <sz val="10"/>
        <color theme="1"/>
        <rFont val="Calibri"/>
        <family val="2"/>
        <scheme val="minor"/>
      </rPr>
      <t>Specificlearningdisability</t>
    </r>
    <r>
      <rPr>
        <sz val="10"/>
        <color theme="1"/>
        <rFont val="Calibri"/>
        <family val="2"/>
        <scheme val="minor"/>
      </rPr>
      <t xml:space="preserve"> - Specific learning disability
</t>
    </r>
    <r>
      <rPr>
        <b/>
        <sz val="10"/>
        <color theme="1"/>
        <rFont val="Calibri"/>
        <family val="2"/>
        <scheme val="minor"/>
      </rPr>
      <t>Speechlanguageimpairment</t>
    </r>
    <r>
      <rPr>
        <sz val="10"/>
        <color theme="1"/>
        <rFont val="Calibri"/>
        <family val="2"/>
        <scheme val="minor"/>
      </rPr>
      <t xml:space="preserve"> - Speech or language impairment
</t>
    </r>
    <r>
      <rPr>
        <b/>
        <sz val="10"/>
        <color theme="1"/>
        <rFont val="Calibri"/>
        <family val="2"/>
        <scheme val="minor"/>
      </rPr>
      <t>Traumaticbraininjury</t>
    </r>
    <r>
      <rPr>
        <sz val="10"/>
        <color theme="1"/>
        <rFont val="Calibri"/>
        <family val="2"/>
        <scheme val="minor"/>
      </rPr>
      <t xml:space="preserve"> - Traumatic brain injury
</t>
    </r>
    <r>
      <rPr>
        <b/>
        <sz val="10"/>
        <color theme="1"/>
        <rFont val="Calibri"/>
        <family val="2"/>
        <scheme val="minor"/>
      </rPr>
      <t>Visualimpairment</t>
    </r>
    <r>
      <rPr>
        <sz val="10"/>
        <color theme="1"/>
        <rFont val="Calibri"/>
        <family val="2"/>
        <scheme val="minor"/>
      </rPr>
      <t xml:space="preserve"> - Visual impairment
</t>
    </r>
  </si>
  <si>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</si>
  <si>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</si>
  <si>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</si>
  <si>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</si>
  <si>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IDEA Discipline Method for Firearms Incidents</t>
  </si>
  <si>
    <t>The methods used to discipline students who are children with disabilities (IDEA) involved in firearms and other outcomes of firearms incidents.</t>
  </si>
  <si>
    <r>
      <t>EXPMOD</t>
    </r>
    <r>
      <rPr>
        <sz val="10"/>
        <color theme="1"/>
        <rFont val="Calibri"/>
        <family val="2"/>
        <scheme val="minor"/>
      </rPr>
      <t xml:space="preserve"> - Expulsion modified to less than one year with educational services under IDEA
</t>
    </r>
    <r>
      <rPr>
        <b/>
        <sz val="10"/>
        <color theme="1"/>
        <rFont val="Calibri"/>
        <family val="2"/>
        <scheme val="minor"/>
      </rPr>
      <t>EXPNOTMOD</t>
    </r>
    <r>
      <rPr>
        <sz val="10"/>
        <color theme="1"/>
        <rFont val="Calibri"/>
        <family val="2"/>
        <scheme val="minor"/>
      </rPr>
      <t xml:space="preserve"> - One year expulsion with educational services under IDEA
</t>
    </r>
    <r>
      <rPr>
        <b/>
        <sz val="10"/>
        <color theme="1"/>
        <rFont val="Calibri"/>
        <family val="2"/>
        <scheme val="minor"/>
      </rPr>
      <t>REMOVEOTHER</t>
    </r>
    <r>
      <rPr>
        <sz val="10"/>
        <color theme="1"/>
        <rFont val="Calibri"/>
        <family val="2"/>
        <scheme val="minor"/>
      </rPr>
      <t xml:space="preserve"> - Other reasons such as death, withdrawal, or incarceration
</t>
    </r>
    <r>
      <rPr>
        <b/>
        <sz val="10"/>
        <color theme="1"/>
        <rFont val="Calibri"/>
        <family val="2"/>
        <scheme val="minor"/>
      </rPr>
      <t>OTHERDISACTION</t>
    </r>
    <r>
      <rPr>
        <sz val="10"/>
        <color theme="1"/>
        <rFont val="Calibri"/>
        <family val="2"/>
        <scheme val="minor"/>
      </rPr>
      <t xml:space="preserve"> - Another type of disciplinary action
</t>
    </r>
    <r>
      <rPr>
        <b/>
        <sz val="10"/>
        <color theme="1"/>
        <rFont val="Calibri"/>
        <family val="2"/>
        <scheme val="minor"/>
      </rPr>
      <t>NOACTION</t>
    </r>
    <r>
      <rPr>
        <sz val="10"/>
        <color theme="1"/>
        <rFont val="Calibri"/>
        <family val="2"/>
        <scheme val="minor"/>
      </rPr>
      <t xml:space="preserve"> - No disciplinary action taken
</t>
    </r>
  </si>
  <si>
    <t>000556</t>
  </si>
  <si>
    <t>IDEADisciplineMethodForFirearmsIncidents</t>
  </si>
  <si>
    <t>IDEA Educational Environment for Early Childhood</t>
  </si>
  <si>
    <t>The program in which children ages 3 through 5 attend and in which these children receive special education and related services.</t>
  </si>
  <si>
    <r>
      <t>REC09YOTHLOC</t>
    </r>
    <r>
      <rPr>
        <sz val="10"/>
        <color theme="1"/>
        <rFont val="Calibri"/>
        <family val="2"/>
        <scheme val="minor"/>
      </rPr>
      <t xml:space="preserve"> - Other location regular early childhood program (less than 10 hours)
</t>
    </r>
    <r>
      <rPr>
        <b/>
        <sz val="10"/>
        <color theme="1"/>
        <rFont val="Calibri"/>
        <family val="2"/>
        <scheme val="minor"/>
      </rPr>
      <t>REC10YOTHLOC</t>
    </r>
    <r>
      <rPr>
        <sz val="10"/>
        <color theme="1"/>
        <rFont val="Calibri"/>
        <family val="2"/>
        <scheme val="minor"/>
      </rPr>
      <t xml:space="preserve"> - Other location regular early childhood program (at least 10 hours)
</t>
    </r>
    <r>
      <rPr>
        <b/>
        <sz val="10"/>
        <color theme="1"/>
        <rFont val="Calibri"/>
        <family val="2"/>
        <scheme val="minor"/>
      </rPr>
      <t>REC09YSVCS</t>
    </r>
    <r>
      <rPr>
        <sz val="10"/>
        <color theme="1"/>
        <rFont val="Calibri"/>
        <family val="2"/>
        <scheme val="minor"/>
      </rPr>
      <t xml:space="preserve"> - Services regular early childhood program (less than 10 hours)
</t>
    </r>
    <r>
      <rPr>
        <b/>
        <sz val="10"/>
        <color theme="1"/>
        <rFont val="Calibri"/>
        <family val="2"/>
        <scheme val="minor"/>
      </rPr>
      <t>REC10YSVCS</t>
    </r>
    <r>
      <rPr>
        <sz val="10"/>
        <color theme="1"/>
        <rFont val="Calibri"/>
        <family val="2"/>
        <scheme val="minor"/>
      </rPr>
      <t xml:space="preserve"> - Services regular early childhood program (at least10 hours)
</t>
    </r>
    <r>
      <rPr>
        <b/>
        <sz val="10"/>
        <color theme="1"/>
        <rFont val="Calibri"/>
        <family val="2"/>
        <scheme val="minor"/>
      </rPr>
      <t>SC</t>
    </r>
    <r>
      <rPr>
        <sz val="10"/>
        <color theme="1"/>
        <rFont val="Calibri"/>
        <family val="2"/>
        <scheme val="minor"/>
      </rPr>
      <t xml:space="preserve"> - Separate special education class
</t>
    </r>
    <r>
      <rPr>
        <b/>
        <sz val="10"/>
        <color theme="1"/>
        <rFont val="Calibri"/>
        <family val="2"/>
        <scheme val="minor"/>
      </rPr>
      <t>SS</t>
    </r>
    <r>
      <rPr>
        <sz val="10"/>
        <color theme="1"/>
        <rFont val="Calibri"/>
        <family val="2"/>
        <scheme val="minor"/>
      </rPr>
      <t xml:space="preserve"> - Separate school
</t>
    </r>
    <r>
      <rPr>
        <b/>
        <sz val="10"/>
        <color theme="1"/>
        <rFont val="Calibri"/>
        <family val="2"/>
        <scheme val="minor"/>
      </rPr>
      <t>RF</t>
    </r>
    <r>
      <rPr>
        <sz val="10"/>
        <color theme="1"/>
        <rFont val="Calibri"/>
        <family val="2"/>
        <scheme val="minor"/>
      </rPr>
      <t xml:space="preserve"> - Residential Facility
</t>
    </r>
    <r>
      <rPr>
        <b/>
        <sz val="10"/>
        <color theme="1"/>
        <rFont val="Calibri"/>
        <family val="2"/>
        <scheme val="minor"/>
      </rPr>
      <t>H</t>
    </r>
    <r>
      <rPr>
        <sz val="10"/>
        <color theme="1"/>
        <rFont val="Calibri"/>
        <family val="2"/>
        <scheme val="minor"/>
      </rPr>
      <t xml:space="preserve"> - Home
</t>
    </r>
    <r>
      <rPr>
        <b/>
        <sz val="10"/>
        <color theme="1"/>
        <rFont val="Calibri"/>
        <family val="2"/>
        <scheme val="minor"/>
      </rPr>
      <t>SPL</t>
    </r>
    <r>
      <rPr>
        <sz val="10"/>
        <color theme="1"/>
        <rFont val="Calibri"/>
        <family val="2"/>
        <scheme val="minor"/>
      </rPr>
      <t xml:space="preserve"> - Service provider or other location not in any other category
</t>
    </r>
  </si>
  <si>
    <t>Early Learning -&gt; EL Child -&gt; Disability
Early Learning -&gt; EL Child -&gt; Enrollment
K12 -&gt; K12 Student -&gt; Individualized Program
K12 -&gt; K12 Student -&gt; Individualized Program -&gt; IDEA Placement</t>
  </si>
  <si>
    <t>000559</t>
  </si>
  <si>
    <t>IDEAEducationalEnvironmentForEarlyChildhood</t>
  </si>
  <si>
    <t>IDEA Educational Environment for School Age</t>
  </si>
  <si>
    <t>The setting in which children ages 6 through 21, receive special education and related services.</t>
  </si>
  <si>
    <r>
      <t>RC80</t>
    </r>
    <r>
      <rPr>
        <sz val="10"/>
        <color theme="1"/>
        <rFont val="Calibri"/>
        <family val="2"/>
        <scheme val="minor"/>
      </rPr>
      <t xml:space="preserve"> - Inside regular class 80% or more of the day
</t>
    </r>
    <r>
      <rPr>
        <b/>
        <sz val="10"/>
        <color theme="1"/>
        <rFont val="Calibri"/>
        <family val="2"/>
        <scheme val="minor"/>
      </rPr>
      <t>RC79TO40</t>
    </r>
    <r>
      <rPr>
        <sz val="10"/>
        <color theme="1"/>
        <rFont val="Calibri"/>
        <family val="2"/>
        <scheme val="minor"/>
      </rPr>
      <t xml:space="preserve"> - Inside regular class 40% through 79% of the day
</t>
    </r>
    <r>
      <rPr>
        <b/>
        <sz val="10"/>
        <color theme="1"/>
        <rFont val="Calibri"/>
        <family val="2"/>
        <scheme val="minor"/>
      </rPr>
      <t>RC39</t>
    </r>
    <r>
      <rPr>
        <sz val="10"/>
        <color theme="1"/>
        <rFont val="Calibri"/>
        <family val="2"/>
        <scheme val="minor"/>
      </rPr>
      <t xml:space="preserve"> - Inside regular class less than 40% of the day
</t>
    </r>
    <r>
      <rPr>
        <b/>
        <sz val="10"/>
        <color theme="1"/>
        <rFont val="Calibri"/>
        <family val="2"/>
        <scheme val="minor"/>
      </rPr>
      <t>SS</t>
    </r>
    <r>
      <rPr>
        <sz val="10"/>
        <color theme="1"/>
        <rFont val="Calibri"/>
        <family val="2"/>
        <scheme val="minor"/>
      </rPr>
      <t xml:space="preserve"> - Separate school
</t>
    </r>
    <r>
      <rPr>
        <b/>
        <sz val="10"/>
        <color theme="1"/>
        <rFont val="Calibri"/>
        <family val="2"/>
        <scheme val="minor"/>
      </rPr>
      <t>RF</t>
    </r>
    <r>
      <rPr>
        <sz val="10"/>
        <color theme="1"/>
        <rFont val="Calibri"/>
        <family val="2"/>
        <scheme val="minor"/>
      </rPr>
      <t xml:space="preserve"> - Residential facility
</t>
    </r>
    <r>
      <rPr>
        <b/>
        <sz val="10"/>
        <color theme="1"/>
        <rFont val="Calibri"/>
        <family val="2"/>
        <scheme val="minor"/>
      </rPr>
      <t>HH</t>
    </r>
    <r>
      <rPr>
        <sz val="10"/>
        <color theme="1"/>
        <rFont val="Calibri"/>
        <family val="2"/>
        <scheme val="minor"/>
      </rPr>
      <t xml:space="preserve"> - Homebound/hospital
</t>
    </r>
    <r>
      <rPr>
        <b/>
        <sz val="10"/>
        <color theme="1"/>
        <rFont val="Calibri"/>
        <family val="2"/>
        <scheme val="minor"/>
      </rPr>
      <t>CF</t>
    </r>
    <r>
      <rPr>
        <sz val="10"/>
        <color theme="1"/>
        <rFont val="Calibri"/>
        <family val="2"/>
        <scheme val="minor"/>
      </rPr>
      <t xml:space="preserve"> - Correctional facility
</t>
    </r>
    <r>
      <rPr>
        <b/>
        <sz val="10"/>
        <color theme="1"/>
        <rFont val="Calibri"/>
        <family val="2"/>
        <scheme val="minor"/>
      </rPr>
      <t>PPPS</t>
    </r>
    <r>
      <rPr>
        <sz val="10"/>
        <color theme="1"/>
        <rFont val="Calibri"/>
        <family val="2"/>
        <scheme val="minor"/>
      </rPr>
      <t xml:space="preserve"> - Parentally placed in private school
</t>
    </r>
  </si>
  <si>
    <t>Career and Technical -&gt; CTE Student -&gt; Disability
K12 -&gt; K12 Student -&gt; Disability
K12 -&gt; K12 Student -&gt; Individualized Program
K12 -&gt; K12 Student -&gt; Individualized Program -&gt; IDEA Placement</t>
  </si>
  <si>
    <t>000535</t>
  </si>
  <si>
    <t>IDEAEducationalEnvironmentForSchoolAge</t>
  </si>
  <si>
    <t>IDEA Eligibility Evaluation Category</t>
  </si>
  <si>
    <t>Category of evaluation used for IDEA eligibility.</t>
  </si>
  <si>
    <r>
      <t>AcademicAchievement</t>
    </r>
    <r>
      <rPr>
        <sz val="10"/>
        <color theme="1"/>
        <rFont val="Calibri"/>
        <family val="2"/>
        <scheme val="minor"/>
      </rPr>
      <t xml:space="preserve"> - Academic Achievement
</t>
    </r>
    <r>
      <rPr>
        <b/>
        <sz val="10"/>
        <color theme="1"/>
        <rFont val="Calibri"/>
        <family val="2"/>
        <scheme val="minor"/>
      </rPr>
      <t>Developmental</t>
    </r>
    <r>
      <rPr>
        <sz val="10"/>
        <color theme="1"/>
        <rFont val="Calibri"/>
        <family val="2"/>
        <scheme val="minor"/>
      </rPr>
      <t xml:space="preserve"> - Developmental
</t>
    </r>
    <r>
      <rPr>
        <b/>
        <sz val="10"/>
        <color theme="1"/>
        <rFont val="Calibri"/>
        <family val="2"/>
        <scheme val="minor"/>
      </rPr>
      <t>Motor</t>
    </r>
    <r>
      <rPr>
        <sz val="10"/>
        <color theme="1"/>
        <rFont val="Calibri"/>
        <family val="2"/>
        <scheme val="minor"/>
      </rPr>
      <t xml:space="preserve"> - Motor
</t>
    </r>
    <r>
      <rPr>
        <b/>
        <sz val="10"/>
        <color theme="1"/>
        <rFont val="Calibri"/>
        <family val="2"/>
        <scheme val="minor"/>
      </rPr>
      <t>FunctionalBehavior</t>
    </r>
    <r>
      <rPr>
        <sz val="10"/>
        <color theme="1"/>
        <rFont val="Calibri"/>
        <family val="2"/>
        <scheme val="minor"/>
      </rPr>
      <t xml:space="preserve"> - Functional Behavior
</t>
    </r>
    <r>
      <rPr>
        <b/>
        <sz val="10"/>
        <color theme="1"/>
        <rFont val="Calibri"/>
        <family val="2"/>
        <scheme val="minor"/>
      </rPr>
      <t>AdaptiveBehavior</t>
    </r>
    <r>
      <rPr>
        <sz val="10"/>
        <color theme="1"/>
        <rFont val="Calibri"/>
        <family val="2"/>
        <scheme val="minor"/>
      </rPr>
      <t xml:space="preserve"> - Adaptive Behavior
</t>
    </r>
    <r>
      <rPr>
        <b/>
        <sz val="10"/>
        <color theme="1"/>
        <rFont val="Calibri"/>
        <family val="2"/>
        <scheme val="minor"/>
      </rPr>
      <t>Transition</t>
    </r>
    <r>
      <rPr>
        <sz val="10"/>
        <color theme="1"/>
        <rFont val="Calibri"/>
        <family val="2"/>
        <scheme val="minor"/>
      </rPr>
      <t xml:space="preserve"> - Transition
</t>
    </r>
    <r>
      <rPr>
        <b/>
        <sz val="10"/>
        <color theme="1"/>
        <rFont val="Calibri"/>
        <family val="2"/>
        <scheme val="minor"/>
      </rPr>
      <t>Vocational</t>
    </r>
    <r>
      <rPr>
        <sz val="10"/>
        <color theme="1"/>
        <rFont val="Calibri"/>
        <family val="2"/>
        <scheme val="minor"/>
      </rPr>
      <t xml:space="preserve"> - Vocational
</t>
    </r>
    <r>
      <rPr>
        <b/>
        <sz val="10"/>
        <color theme="1"/>
        <rFont val="Calibri"/>
        <family val="2"/>
        <scheme val="minor"/>
      </rPr>
      <t>Communication</t>
    </r>
    <r>
      <rPr>
        <sz val="10"/>
        <color theme="1"/>
        <rFont val="Calibri"/>
        <family val="2"/>
        <scheme val="minor"/>
      </rPr>
      <t xml:space="preserve"> - Communication
</t>
    </r>
    <r>
      <rPr>
        <b/>
        <sz val="10"/>
        <color theme="1"/>
        <rFont val="Calibri"/>
        <family val="2"/>
        <scheme val="minor"/>
      </rPr>
      <t>Hearing</t>
    </r>
    <r>
      <rPr>
        <sz val="10"/>
        <color theme="1"/>
        <rFont val="Calibri"/>
        <family val="2"/>
        <scheme val="minor"/>
      </rPr>
      <t xml:space="preserve"> - Hearing
</t>
    </r>
    <r>
      <rPr>
        <b/>
        <sz val="10"/>
        <color theme="1"/>
        <rFont val="Calibri"/>
        <family val="2"/>
        <scheme val="minor"/>
      </rPr>
      <t>Vision</t>
    </r>
    <r>
      <rPr>
        <sz val="10"/>
        <color theme="1"/>
        <rFont val="Calibri"/>
        <family val="2"/>
        <scheme val="minor"/>
      </rPr>
      <t xml:space="preserve"> - Vision
</t>
    </r>
    <r>
      <rPr>
        <b/>
        <sz val="10"/>
        <color theme="1"/>
        <rFont val="Calibri"/>
        <family val="2"/>
        <scheme val="minor"/>
      </rPr>
      <t>O&amp;M</t>
    </r>
    <r>
      <rPr>
        <sz val="10"/>
        <color theme="1"/>
        <rFont val="Calibri"/>
        <family val="2"/>
        <scheme val="minor"/>
      </rPr>
      <t xml:space="preserve"> - Orientation and Mobility
</t>
    </r>
    <r>
      <rPr>
        <b/>
        <sz val="10"/>
        <color theme="1"/>
        <rFont val="Calibri"/>
        <family val="2"/>
        <scheme val="minor"/>
      </rPr>
      <t>Medical</t>
    </r>
    <r>
      <rPr>
        <sz val="10"/>
        <color theme="1"/>
        <rFont val="Calibri"/>
        <family val="2"/>
        <scheme val="minor"/>
      </rPr>
      <t xml:space="preserve"> - Medical
</t>
    </r>
    <r>
      <rPr>
        <b/>
        <sz val="10"/>
        <color theme="1"/>
        <rFont val="Calibri"/>
        <family val="2"/>
        <scheme val="minor"/>
      </rPr>
      <t>Language</t>
    </r>
    <r>
      <rPr>
        <sz val="10"/>
        <color theme="1"/>
        <rFont val="Calibri"/>
        <family val="2"/>
        <scheme val="minor"/>
      </rPr>
      <t xml:space="preserve"> - Language
</t>
    </r>
    <r>
      <rPr>
        <b/>
        <sz val="10"/>
        <color theme="1"/>
        <rFont val="Calibri"/>
        <family val="2"/>
        <scheme val="minor"/>
      </rPr>
      <t>Speech</t>
    </r>
    <r>
      <rPr>
        <sz val="10"/>
        <color theme="1"/>
        <rFont val="Calibri"/>
        <family val="2"/>
        <scheme val="minor"/>
      </rPr>
      <t xml:space="preserve"> - Speech
</t>
    </r>
    <r>
      <rPr>
        <b/>
        <sz val="10"/>
        <color theme="1"/>
        <rFont val="Calibri"/>
        <family val="2"/>
        <scheme val="minor"/>
      </rPr>
      <t>Cognitive</t>
    </r>
    <r>
      <rPr>
        <sz val="10"/>
        <color theme="1"/>
        <rFont val="Calibri"/>
        <family val="2"/>
        <scheme val="minor"/>
      </rPr>
      <t xml:space="preserve"> - Cognitive
</t>
    </r>
    <r>
      <rPr>
        <b/>
        <sz val="10"/>
        <color theme="1"/>
        <rFont val="Calibri"/>
        <family val="2"/>
        <scheme val="minor"/>
      </rPr>
      <t>Social/Emotional</t>
    </r>
    <r>
      <rPr>
        <sz val="10"/>
        <color theme="1"/>
        <rFont val="Calibri"/>
        <family val="2"/>
        <scheme val="minor"/>
      </rPr>
      <t xml:space="preserve"> - Social/Emotional
</t>
    </r>
    <r>
      <rPr>
        <b/>
        <sz val="10"/>
        <color theme="1"/>
        <rFont val="Calibri"/>
        <family val="2"/>
        <scheme val="minor"/>
      </rPr>
      <t>Other</t>
    </r>
    <r>
      <rPr>
        <sz val="10"/>
        <color theme="1"/>
        <rFont val="Calibri"/>
        <family val="2"/>
        <scheme val="minor"/>
      </rPr>
      <t xml:space="preserve"> - Other
</t>
    </r>
  </si>
  <si>
    <t>001729</t>
  </si>
  <si>
    <t>IDEAEligibilityEvaluationCategory</t>
  </si>
  <si>
    <t>IDEA IEP Status</t>
  </si>
  <si>
    <t>The status of an individualized services plan for a specified reporting period or on a specified date.</t>
  </si>
  <si>
    <r>
      <t>Active</t>
    </r>
    <r>
      <rPr>
        <sz val="10"/>
        <color theme="1"/>
        <rFont val="Calibri"/>
        <family val="2"/>
        <scheme val="minor"/>
      </rPr>
      <t xml:space="preserve"> - Active
</t>
    </r>
    <r>
      <rPr>
        <b/>
        <sz val="10"/>
        <color theme="1"/>
        <rFont val="Calibri"/>
        <family val="2"/>
        <scheme val="minor"/>
      </rPr>
      <t>Inactive</t>
    </r>
    <r>
      <rPr>
        <sz val="10"/>
        <color theme="1"/>
        <rFont val="Calibri"/>
        <family val="2"/>
        <scheme val="minor"/>
      </rPr>
      <t xml:space="preserve"> - Inactive
</t>
    </r>
    <r>
      <rPr>
        <b/>
        <sz val="10"/>
        <color theme="1"/>
        <rFont val="Calibri"/>
        <family val="2"/>
        <scheme val="minor"/>
      </rPr>
      <t>NotSelected</t>
    </r>
    <r>
      <rPr>
        <sz val="10"/>
        <color theme="1"/>
        <rFont val="Calibri"/>
        <family val="2"/>
        <scheme val="minor"/>
      </rPr>
      <t xml:space="preserve"> - Not Selected
</t>
    </r>
  </si>
  <si>
    <t>Early Learning -&gt; EL Child -&gt; Individualized Program</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</si>
  <si>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</si>
  <si>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</si>
  <si>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</si>
  <si>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</si>
  <si>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</si>
  <si>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</si>
  <si>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K-12 -&gt; Civil Rights Data Collection
K-12 -&gt; EDFacts
K-12 -&gt; LEA-to-LEA Student Record Exchange
K-12 -&gt; LEA-to-SEA Student Record Exchange</t>
  </si>
  <si>
    <t>IDEA Interim Removal</t>
  </si>
  <si>
    <t>The type of interim removal from current educational setting experienced by children with disabilities (IDEA).</t>
  </si>
  <si>
    <r>
      <t>REMDW</t>
    </r>
    <r>
      <rPr>
        <sz val="10"/>
        <color theme="1"/>
        <rFont val="Calibri"/>
        <family val="2"/>
        <scheme val="minor"/>
      </rPr>
      <t xml:space="preserve"> - Removal for drugs, weapons, or serious bodily injury
</t>
    </r>
    <r>
      <rPr>
        <b/>
        <sz val="10"/>
        <color theme="1"/>
        <rFont val="Calibri"/>
        <family val="2"/>
        <scheme val="minor"/>
      </rPr>
      <t>REMHO</t>
    </r>
    <r>
      <rPr>
        <sz val="10"/>
        <color theme="1"/>
        <rFont val="Calibri"/>
        <family val="2"/>
        <scheme val="minor"/>
      </rPr>
      <t xml:space="preserve"> - Removed based on a Hearing Officer finding
</t>
    </r>
  </si>
  <si>
    <t>000541</t>
  </si>
  <si>
    <t>IDEAInterimRemoval</t>
  </si>
  <si>
    <t>IDEA Interim Removal Reason</t>
  </si>
  <si>
    <t>The reasons why children with disabilities were unilaterally removed from their current educational placement to an interim alternative educational setting.</t>
  </si>
  <si>
    <r>
      <t>Drugs</t>
    </r>
    <r>
      <rPr>
        <sz val="10"/>
        <color theme="1"/>
        <rFont val="Calibri"/>
        <family val="2"/>
        <scheme val="minor"/>
      </rPr>
      <t xml:space="preserve"> - Drugs
</t>
    </r>
    <r>
      <rPr>
        <b/>
        <sz val="10"/>
        <color theme="1"/>
        <rFont val="Calibri"/>
        <family val="2"/>
        <scheme val="minor"/>
      </rPr>
      <t>Weapons</t>
    </r>
    <r>
      <rPr>
        <sz val="10"/>
        <color theme="1"/>
        <rFont val="Calibri"/>
        <family val="2"/>
        <scheme val="minor"/>
      </rPr>
      <t xml:space="preserve"> - Weapons
</t>
    </r>
    <r>
      <rPr>
        <b/>
        <sz val="10"/>
        <color theme="1"/>
        <rFont val="Calibri"/>
        <family val="2"/>
        <scheme val="minor"/>
      </rPr>
      <t>SeriousBodilyInjury</t>
    </r>
    <r>
      <rPr>
        <sz val="10"/>
        <color theme="1"/>
        <rFont val="Calibri"/>
        <family val="2"/>
        <scheme val="minor"/>
      </rPr>
      <t xml:space="preserve"> - Serious bodily injury
</t>
    </r>
  </si>
  <si>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</si>
  <si>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</si>
  <si>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</si>
  <si>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</si>
  <si>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</si>
  <si>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</si>
  <si>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</si>
  <si>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</si>
  <si>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r>
      <t>DevelopmentalDelay</t>
    </r>
    <r>
      <rPr>
        <sz val="10"/>
        <color theme="1"/>
        <rFont val="Calibri"/>
        <family val="2"/>
        <scheme val="minor"/>
      </rPr>
      <t xml:space="preserve"> - Developmental Delay
</t>
    </r>
    <r>
      <rPr>
        <b/>
        <sz val="10"/>
        <color theme="1"/>
        <rFont val="Calibri"/>
        <family val="2"/>
        <scheme val="minor"/>
      </rPr>
      <t>DiagnosedCondition</t>
    </r>
    <r>
      <rPr>
        <sz val="10"/>
        <color theme="1"/>
        <rFont val="Calibri"/>
        <family val="2"/>
        <scheme val="minor"/>
      </rPr>
      <t xml:space="preserve"> - Diagnosed Condition
</t>
    </r>
    <r>
      <rPr>
        <b/>
        <sz val="10"/>
        <color theme="1"/>
        <rFont val="Calibri"/>
        <family val="2"/>
        <scheme val="minor"/>
      </rPr>
      <t>AtRisk</t>
    </r>
    <r>
      <rPr>
        <sz val="10"/>
        <color theme="1"/>
        <rFont val="Calibri"/>
        <family val="2"/>
        <scheme val="minor"/>
      </rPr>
      <t xml:space="preserve"> - At-risk
</t>
    </r>
  </si>
  <si>
    <t>http://idea.ed.gov/part-c/statutes</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</si>
  <si>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</si>
  <si>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</si>
  <si>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</si>
  <si>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</si>
  <si>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</si>
  <si>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</si>
  <si>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</si>
  <si>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</si>
  <si>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</si>
  <si>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</si>
  <si>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</si>
  <si>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Indicates whether parents of a child potentially eligible for Part B preschool services have opted out of the impending notification to the local education agency.</t>
  </si>
  <si>
    <t>001363</t>
  </si>
  <si>
    <t>IDEAPartCToPartBNotificationOptOutIndicator</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</si>
  <si>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</si>
  <si>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</si>
  <si>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</si>
  <si>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</si>
  <si>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</si>
  <si>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Identification System for Assessment Form Section</t>
  </si>
  <si>
    <t>A coding scheme that is used for identification of an Assessment Form Section.</t>
  </si>
  <si>
    <t>001190</t>
  </si>
  <si>
    <t>IdentificationSystemForAssessmentFormSection</t>
  </si>
  <si>
    <t>IEP Alternative Assessment Rationale</t>
  </si>
  <si>
    <t>A statement of why— (A) The child cannot participate in the regular assessment; and (B) The particular alternate assessment selected is appropriate for the child.</t>
  </si>
  <si>
    <t>K12 -&gt; K12 Student -&gt; Individualized Program -&gt; Assessment</t>
  </si>
  <si>
    <t>001687</t>
  </si>
  <si>
    <t>IEPAlternativeAssessmentRationale</t>
  </si>
  <si>
    <t>IEP Authorization Document Type</t>
  </si>
  <si>
    <t>Type of Individualized Education Plan document authorized.</t>
  </si>
  <si>
    <r>
      <t>Placement</t>
    </r>
    <r>
      <rPr>
        <sz val="10"/>
        <color theme="1"/>
        <rFont val="Calibri"/>
        <family val="2"/>
        <scheme val="minor"/>
      </rPr>
      <t xml:space="preserve"> - Placement
</t>
    </r>
    <r>
      <rPr>
        <b/>
        <sz val="10"/>
        <color theme="1"/>
        <rFont val="Calibri"/>
        <family val="2"/>
        <scheme val="minor"/>
      </rPr>
      <t>Amendment</t>
    </r>
    <r>
      <rPr>
        <sz val="10"/>
        <color theme="1"/>
        <rFont val="Calibri"/>
        <family val="2"/>
        <scheme val="minor"/>
      </rPr>
      <t xml:space="preserve"> - Amendment
</t>
    </r>
    <r>
      <rPr>
        <b/>
        <sz val="10"/>
        <color theme="1"/>
        <rFont val="Calibri"/>
        <family val="2"/>
        <scheme val="minor"/>
      </rPr>
      <t>AnnualGoal</t>
    </r>
    <r>
      <rPr>
        <sz val="10"/>
        <color theme="1"/>
        <rFont val="Calibri"/>
        <family val="2"/>
        <scheme val="minor"/>
      </rPr>
      <t xml:space="preserve"> - Annual Goal
</t>
    </r>
    <r>
      <rPr>
        <b/>
        <sz val="10"/>
        <color theme="1"/>
        <rFont val="Calibri"/>
        <family val="2"/>
        <scheme val="minor"/>
      </rPr>
      <t>MeasurableObjective</t>
    </r>
    <r>
      <rPr>
        <sz val="10"/>
        <color theme="1"/>
        <rFont val="Calibri"/>
        <family val="2"/>
        <scheme val="minor"/>
      </rPr>
      <t xml:space="preserve"> - Measurable Objective
</t>
    </r>
    <r>
      <rPr>
        <b/>
        <sz val="10"/>
        <color theme="1"/>
        <rFont val="Calibri"/>
        <family val="2"/>
        <scheme val="minor"/>
      </rPr>
      <t>IEP</t>
    </r>
    <r>
      <rPr>
        <sz val="10"/>
        <color theme="1"/>
        <rFont val="Calibri"/>
        <family val="2"/>
        <scheme val="minor"/>
      </rPr>
      <t xml:space="preserve"> - IEP
</t>
    </r>
    <r>
      <rPr>
        <b/>
        <sz val="10"/>
        <color theme="1"/>
        <rFont val="Calibri"/>
        <family val="2"/>
        <scheme val="minor"/>
      </rPr>
      <t>Revoke</t>
    </r>
    <r>
      <rPr>
        <sz val="10"/>
        <color theme="1"/>
        <rFont val="Calibri"/>
        <family val="2"/>
        <scheme val="minor"/>
      </rPr>
      <t xml:space="preserve"> - Revoke
</t>
    </r>
  </si>
  <si>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</si>
  <si>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</si>
  <si>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</si>
  <si>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</si>
  <si>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</si>
  <si>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</si>
  <si>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</si>
  <si>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</si>
  <si>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</si>
  <si>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</si>
  <si>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</si>
  <si>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</si>
  <si>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r>
      <t>Initial</t>
    </r>
    <r>
      <rPr>
        <sz val="10"/>
        <color theme="1"/>
        <rFont val="Calibri"/>
        <family val="2"/>
        <scheme val="minor"/>
      </rPr>
      <t xml:space="preserve"> - Initial
</t>
    </r>
    <r>
      <rPr>
        <b/>
        <sz val="10"/>
        <color theme="1"/>
        <rFont val="Calibri"/>
        <family val="2"/>
        <scheme val="minor"/>
      </rPr>
      <t>Reevaluation</t>
    </r>
    <r>
      <rPr>
        <sz val="10"/>
        <color theme="1"/>
        <rFont val="Calibri"/>
        <family val="2"/>
        <scheme val="minor"/>
      </rPr>
      <t xml:space="preserve"> - Reevaluation
</t>
    </r>
  </si>
  <si>
    <t>001728</t>
  </si>
  <si>
    <t>IEPEligibilityEvaluationType</t>
  </si>
  <si>
    <t>IEP Goal Type</t>
  </si>
  <si>
    <t>Legal category for an IEP annual goal or short-term objectives.</t>
  </si>
  <si>
    <r>
      <t>Academic</t>
    </r>
    <r>
      <rPr>
        <sz val="10"/>
        <color theme="1"/>
        <rFont val="Calibri"/>
        <family val="2"/>
        <scheme val="minor"/>
      </rPr>
      <t xml:space="preserve"> - Academic
</t>
    </r>
    <r>
      <rPr>
        <b/>
        <sz val="10"/>
        <color theme="1"/>
        <rFont val="Calibri"/>
        <family val="2"/>
        <scheme val="minor"/>
      </rPr>
      <t>Functional</t>
    </r>
    <r>
      <rPr>
        <sz val="10"/>
        <color theme="1"/>
        <rFont val="Calibri"/>
        <family val="2"/>
        <scheme val="minor"/>
      </rPr>
      <t xml:space="preserve"> - Functional
</t>
    </r>
    <r>
      <rPr>
        <b/>
        <sz val="10"/>
        <color theme="1"/>
        <rFont val="Calibri"/>
        <family val="2"/>
        <scheme val="minor"/>
      </rPr>
      <t>Transitional</t>
    </r>
    <r>
      <rPr>
        <sz val="10"/>
        <color theme="1"/>
        <rFont val="Calibri"/>
        <family val="2"/>
        <scheme val="minor"/>
      </rPr>
      <t xml:space="preserve"> - Transitional
</t>
    </r>
  </si>
  <si>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</si>
  <si>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</si>
  <si>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</si>
  <si>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</si>
  <si>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</si>
  <si>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</si>
  <si>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</si>
  <si>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</si>
  <si>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</si>
  <si>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</si>
  <si>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</si>
  <si>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</si>
  <si>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</si>
  <si>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</si>
  <si>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</si>
  <si>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</si>
  <si>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</si>
  <si>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</si>
  <si>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</si>
  <si>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</si>
  <si>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</si>
  <si>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</si>
  <si>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</si>
  <si>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</si>
  <si>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</si>
  <si>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</si>
  <si>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</si>
  <si>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</si>
  <si>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</si>
  <si>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</si>
  <si>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</si>
  <si>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</si>
  <si>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</si>
  <si>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</si>
  <si>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</si>
  <si>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</si>
  <si>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Immunization Date</t>
  </si>
  <si>
    <t>The year, month and day of an immunization.</t>
  </si>
  <si>
    <t>Early Learning -&gt; EL Child -&gt; Health -&gt; Immunization
K12 -&gt; K12 Student -&gt; Health -&gt; Immunization</t>
  </si>
  <si>
    <t>000306</t>
  </si>
  <si>
    <t>ImmunizationDate</t>
  </si>
  <si>
    <t>Early Learning -&gt; Program Compliance
K-12 -&gt; LEA-to-LEA Student Record Exchange
K-12 -&gt; LEA-to-SEA Student Record Exchange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</si>
  <si>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</si>
  <si>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</si>
  <si>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</si>
  <si>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</si>
  <si>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</si>
  <si>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</si>
  <si>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</si>
  <si>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</si>
  <si>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</si>
  <si>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</si>
  <si>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r>
      <t>Diphtheria</t>
    </r>
    <r>
      <rPr>
        <sz val="10"/>
        <color theme="1"/>
        <rFont val="Calibri"/>
        <family val="2"/>
        <scheme val="minor"/>
      </rPr>
      <t xml:space="preserve"> - Diphtheria
</t>
    </r>
    <r>
      <rPr>
        <b/>
        <sz val="10"/>
        <color theme="1"/>
        <rFont val="Calibri"/>
        <family val="2"/>
        <scheme val="minor"/>
      </rPr>
      <t>HaemophilusInfluenzae</t>
    </r>
    <r>
      <rPr>
        <sz val="10"/>
        <color theme="1"/>
        <rFont val="Calibri"/>
        <family val="2"/>
        <scheme val="minor"/>
      </rPr>
      <t xml:space="preserve"> - Haemophilus Influenzae
</t>
    </r>
    <r>
      <rPr>
        <b/>
        <sz val="10"/>
        <color theme="1"/>
        <rFont val="Calibri"/>
        <family val="2"/>
        <scheme val="minor"/>
      </rPr>
      <t>HepatitisA</t>
    </r>
    <r>
      <rPr>
        <sz val="10"/>
        <color theme="1"/>
        <rFont val="Calibri"/>
        <family val="2"/>
        <scheme val="minor"/>
      </rPr>
      <t xml:space="preserve"> - Hepatitis A
</t>
    </r>
    <r>
      <rPr>
        <b/>
        <sz val="10"/>
        <color theme="1"/>
        <rFont val="Calibri"/>
        <family val="2"/>
        <scheme val="minor"/>
      </rPr>
      <t>HepatitisB</t>
    </r>
    <r>
      <rPr>
        <sz val="10"/>
        <color theme="1"/>
        <rFont val="Calibri"/>
        <family val="2"/>
        <scheme val="minor"/>
      </rPr>
      <t xml:space="preserve"> - Hepatitis B
</t>
    </r>
    <r>
      <rPr>
        <b/>
        <sz val="10"/>
        <color theme="1"/>
        <rFont val="Calibri"/>
        <family val="2"/>
        <scheme val="minor"/>
      </rPr>
      <t>InactivatedPoliovirus</t>
    </r>
    <r>
      <rPr>
        <sz val="10"/>
        <color theme="1"/>
        <rFont val="Calibri"/>
        <family val="2"/>
        <scheme val="minor"/>
      </rPr>
      <t xml:space="preserve"> - Inactivated Poliovirus
</t>
    </r>
    <r>
      <rPr>
        <b/>
        <sz val="10"/>
        <color theme="1"/>
        <rFont val="Calibri"/>
        <family val="2"/>
        <scheme val="minor"/>
      </rPr>
      <t>Influenza</t>
    </r>
    <r>
      <rPr>
        <sz val="10"/>
        <color theme="1"/>
        <rFont val="Calibri"/>
        <family val="2"/>
        <scheme val="minor"/>
      </rPr>
      <t xml:space="preserve"> - Influenza
</t>
    </r>
    <r>
      <rPr>
        <b/>
        <sz val="10"/>
        <color theme="1"/>
        <rFont val="Calibri"/>
        <family val="2"/>
        <scheme val="minor"/>
      </rPr>
      <t>Meningococcal</t>
    </r>
    <r>
      <rPr>
        <sz val="10"/>
        <color theme="1"/>
        <rFont val="Calibri"/>
        <family val="2"/>
        <scheme val="minor"/>
      </rPr>
      <t xml:space="preserve"> - Meningococcal
</t>
    </r>
    <r>
      <rPr>
        <b/>
        <sz val="10"/>
        <color theme="1"/>
        <rFont val="Calibri"/>
        <family val="2"/>
        <scheme val="minor"/>
      </rPr>
      <t>Mumps</t>
    </r>
    <r>
      <rPr>
        <sz val="10"/>
        <color theme="1"/>
        <rFont val="Calibri"/>
        <family val="2"/>
        <scheme val="minor"/>
      </rPr>
      <t xml:space="preserve"> - Mumps
</t>
    </r>
    <r>
      <rPr>
        <b/>
        <sz val="10"/>
        <color theme="1"/>
        <rFont val="Calibri"/>
        <family val="2"/>
        <scheme val="minor"/>
      </rPr>
      <t>Pertussis</t>
    </r>
    <r>
      <rPr>
        <sz val="10"/>
        <color theme="1"/>
        <rFont val="Calibri"/>
        <family val="2"/>
        <scheme val="minor"/>
      </rPr>
      <t xml:space="preserve"> - Pertussis (Whooping Cough)
</t>
    </r>
    <r>
      <rPr>
        <b/>
        <sz val="10"/>
        <color theme="1"/>
        <rFont val="Calibri"/>
        <family val="2"/>
        <scheme val="minor"/>
      </rPr>
      <t>Pneumococcal</t>
    </r>
    <r>
      <rPr>
        <sz val="10"/>
        <color theme="1"/>
        <rFont val="Calibri"/>
        <family val="2"/>
        <scheme val="minor"/>
      </rPr>
      <t xml:space="preserve"> - Pneumococcal
</t>
    </r>
    <r>
      <rPr>
        <b/>
        <sz val="10"/>
        <color theme="1"/>
        <rFont val="Calibri"/>
        <family val="2"/>
        <scheme val="minor"/>
      </rPr>
      <t>RhImmuneGlobulin</t>
    </r>
    <r>
      <rPr>
        <sz val="10"/>
        <color theme="1"/>
        <rFont val="Calibri"/>
        <family val="2"/>
        <scheme val="minor"/>
      </rPr>
      <t xml:space="preserve"> - Rh. Immune Globulin
</t>
    </r>
    <r>
      <rPr>
        <b/>
        <sz val="10"/>
        <color theme="1"/>
        <rFont val="Calibri"/>
        <family val="2"/>
        <scheme val="minor"/>
      </rPr>
      <t>Rotavirus</t>
    </r>
    <r>
      <rPr>
        <sz val="10"/>
        <color theme="1"/>
        <rFont val="Calibri"/>
        <family val="2"/>
        <scheme val="minor"/>
      </rPr>
      <t xml:space="preserve"> - Rotavirus
</t>
    </r>
    <r>
      <rPr>
        <b/>
        <sz val="10"/>
        <color theme="1"/>
        <rFont val="Calibri"/>
        <family val="2"/>
        <scheme val="minor"/>
      </rPr>
      <t>Rubella</t>
    </r>
    <r>
      <rPr>
        <sz val="10"/>
        <color theme="1"/>
        <rFont val="Calibri"/>
        <family val="2"/>
        <scheme val="minor"/>
      </rPr>
      <t xml:space="preserve"> - Rubella (German measles)
</t>
    </r>
    <r>
      <rPr>
        <b/>
        <sz val="10"/>
        <color theme="1"/>
        <rFont val="Calibri"/>
        <family val="2"/>
        <scheme val="minor"/>
      </rPr>
      <t>Rubeola</t>
    </r>
    <r>
      <rPr>
        <sz val="10"/>
        <color theme="1"/>
        <rFont val="Calibri"/>
        <family val="2"/>
        <scheme val="minor"/>
      </rPr>
      <t xml:space="preserve"> - Rubeola (Measles)
</t>
    </r>
    <r>
      <rPr>
        <b/>
        <sz val="10"/>
        <color theme="1"/>
        <rFont val="Calibri"/>
        <family val="2"/>
        <scheme val="minor"/>
      </rPr>
      <t>Smallpox</t>
    </r>
    <r>
      <rPr>
        <sz val="10"/>
        <color theme="1"/>
        <rFont val="Calibri"/>
        <family val="2"/>
        <scheme val="minor"/>
      </rPr>
      <t xml:space="preserve"> - Smallpox
</t>
    </r>
    <r>
      <rPr>
        <b/>
        <sz val="10"/>
        <color theme="1"/>
        <rFont val="Calibri"/>
        <family val="2"/>
        <scheme val="minor"/>
      </rPr>
      <t>Tetanus</t>
    </r>
    <r>
      <rPr>
        <sz val="10"/>
        <color theme="1"/>
        <rFont val="Calibri"/>
        <family val="2"/>
        <scheme val="minor"/>
      </rPr>
      <t xml:space="preserve"> - Tetanus
</t>
    </r>
    <r>
      <rPr>
        <b/>
        <sz val="10"/>
        <color theme="1"/>
        <rFont val="Calibri"/>
        <family val="2"/>
        <scheme val="minor"/>
      </rPr>
      <t>Tuberculosis</t>
    </r>
    <r>
      <rPr>
        <sz val="10"/>
        <color theme="1"/>
        <rFont val="Calibri"/>
        <family val="2"/>
        <scheme val="minor"/>
      </rPr>
      <t xml:space="preserve"> - Tuberculosis (BCG)
</t>
    </r>
    <r>
      <rPr>
        <b/>
        <sz val="10"/>
        <color theme="1"/>
        <rFont val="Calibri"/>
        <family val="2"/>
        <scheme val="minor"/>
      </rPr>
      <t>Varicella</t>
    </r>
    <r>
      <rPr>
        <sz val="10"/>
        <color theme="1"/>
        <rFont val="Calibri"/>
        <family val="2"/>
        <scheme val="minor"/>
      </rPr>
      <t xml:space="preserve"> - Varicella
</t>
    </r>
    <r>
      <rPr>
        <b/>
        <sz val="10"/>
        <color theme="1"/>
        <rFont val="Calibri"/>
        <family val="2"/>
        <scheme val="minor"/>
      </rPr>
      <t>ParentOptOut</t>
    </r>
    <r>
      <rPr>
        <sz val="10"/>
        <color theme="1"/>
        <rFont val="Calibri"/>
        <family val="2"/>
        <scheme val="minor"/>
      </rPr>
      <t xml:space="preserve"> - Parent opt-out
</t>
    </r>
  </si>
  <si>
    <t>001248</t>
  </si>
  <si>
    <t>ImmunizationType</t>
  </si>
  <si>
    <t>Incident Behavior</t>
  </si>
  <si>
    <t>Categories of behavior coded for use in describing an incident.</t>
  </si>
  <si>
    <r>
      <t>04618</t>
    </r>
    <r>
      <rPr>
        <sz val="10"/>
        <color theme="1"/>
        <rFont val="Calibri"/>
        <family val="2"/>
        <scheme val="minor"/>
      </rPr>
      <t xml:space="preserve"> - Alcohol
</t>
    </r>
    <r>
      <rPr>
        <b/>
        <sz val="10"/>
        <color theme="1"/>
        <rFont val="Calibri"/>
        <family val="2"/>
        <scheme val="minor"/>
      </rPr>
      <t>04625</t>
    </r>
    <r>
      <rPr>
        <sz val="10"/>
        <color theme="1"/>
        <rFont val="Calibri"/>
        <family val="2"/>
        <scheme val="minor"/>
      </rPr>
      <t xml:space="preserve"> - Arson
</t>
    </r>
    <r>
      <rPr>
        <b/>
        <sz val="10"/>
        <color theme="1"/>
        <rFont val="Calibri"/>
        <family val="2"/>
        <scheme val="minor"/>
      </rPr>
      <t>04626</t>
    </r>
    <r>
      <rPr>
        <sz val="10"/>
        <color theme="1"/>
        <rFont val="Calibri"/>
        <family val="2"/>
        <scheme val="minor"/>
      </rPr>
      <t xml:space="preserve"> - Attendance Policy Violation
</t>
    </r>
    <r>
      <rPr>
        <b/>
        <sz val="10"/>
        <color theme="1"/>
        <rFont val="Calibri"/>
        <family val="2"/>
        <scheme val="minor"/>
      </rPr>
      <t>04632</t>
    </r>
    <r>
      <rPr>
        <sz val="10"/>
        <color theme="1"/>
        <rFont val="Calibri"/>
        <family val="2"/>
        <scheme val="minor"/>
      </rPr>
      <t xml:space="preserve"> - Battery
</t>
    </r>
    <r>
      <rPr>
        <b/>
        <sz val="10"/>
        <color theme="1"/>
        <rFont val="Calibri"/>
        <family val="2"/>
        <scheme val="minor"/>
      </rPr>
      <t>04633</t>
    </r>
    <r>
      <rPr>
        <sz val="10"/>
        <color theme="1"/>
        <rFont val="Calibri"/>
        <family val="2"/>
        <scheme val="minor"/>
      </rPr>
      <t xml:space="preserve"> - Burglary/Breaking and Entering
</t>
    </r>
    <r>
      <rPr>
        <b/>
        <sz val="10"/>
        <color theme="1"/>
        <rFont val="Calibri"/>
        <family val="2"/>
        <scheme val="minor"/>
      </rPr>
      <t>04634</t>
    </r>
    <r>
      <rPr>
        <sz val="10"/>
        <color theme="1"/>
        <rFont val="Calibri"/>
        <family val="2"/>
        <scheme val="minor"/>
      </rPr>
      <t xml:space="preserve"> - Disorderly Conduct
</t>
    </r>
    <r>
      <rPr>
        <b/>
        <sz val="10"/>
        <color theme="1"/>
        <rFont val="Calibri"/>
        <family val="2"/>
        <scheme val="minor"/>
      </rPr>
      <t>04635</t>
    </r>
    <r>
      <rPr>
        <sz val="10"/>
        <color theme="1"/>
        <rFont val="Calibri"/>
        <family val="2"/>
        <scheme val="minor"/>
      </rPr>
      <t xml:space="preserve"> - Drugs Excluding Alcohol and Tobacco
</t>
    </r>
    <r>
      <rPr>
        <b/>
        <sz val="10"/>
        <color theme="1"/>
        <rFont val="Calibri"/>
        <family val="2"/>
        <scheme val="minor"/>
      </rPr>
      <t>04645</t>
    </r>
    <r>
      <rPr>
        <sz val="10"/>
        <color theme="1"/>
        <rFont val="Calibri"/>
        <family val="2"/>
        <scheme val="minor"/>
      </rPr>
      <t xml:space="preserve"> - Fighting
</t>
    </r>
    <r>
      <rPr>
        <b/>
        <sz val="10"/>
        <color theme="1"/>
        <rFont val="Calibri"/>
        <family val="2"/>
        <scheme val="minor"/>
      </rPr>
      <t>13354</t>
    </r>
    <r>
      <rPr>
        <sz val="10"/>
        <color theme="1"/>
        <rFont val="Calibri"/>
        <family val="2"/>
        <scheme val="minor"/>
      </rPr>
      <t xml:space="preserve"> - Harassment or bullying on the basis of disability
</t>
    </r>
    <r>
      <rPr>
        <b/>
        <sz val="10"/>
        <color theme="1"/>
        <rFont val="Calibri"/>
        <family val="2"/>
        <scheme val="minor"/>
      </rPr>
      <t>13355</t>
    </r>
    <r>
      <rPr>
        <sz val="10"/>
        <color theme="1"/>
        <rFont val="Calibri"/>
        <family val="2"/>
        <scheme val="minor"/>
      </rPr>
      <t xml:space="preserve"> - Harassment or bullying on the basis of race, color, or national origin
</t>
    </r>
    <r>
      <rPr>
        <b/>
        <sz val="10"/>
        <color theme="1"/>
        <rFont val="Calibri"/>
        <family val="2"/>
        <scheme val="minor"/>
      </rPr>
      <t>13356</t>
    </r>
    <r>
      <rPr>
        <sz val="10"/>
        <color theme="1"/>
        <rFont val="Calibri"/>
        <family val="2"/>
        <scheme val="minor"/>
      </rPr>
      <t xml:space="preserve"> - Harassment or bullying on the basis of sex
</t>
    </r>
    <r>
      <rPr>
        <b/>
        <sz val="10"/>
        <color theme="1"/>
        <rFont val="Calibri"/>
        <family val="2"/>
        <scheme val="minor"/>
      </rPr>
      <t>04646</t>
    </r>
    <r>
      <rPr>
        <sz val="10"/>
        <color theme="1"/>
        <rFont val="Calibri"/>
        <family val="2"/>
        <scheme val="minor"/>
      </rPr>
      <t xml:space="preserve"> - Harassment, Nonsexual
</t>
    </r>
    <r>
      <rPr>
        <b/>
        <sz val="10"/>
        <color theme="1"/>
        <rFont val="Calibri"/>
        <family val="2"/>
        <scheme val="minor"/>
      </rPr>
      <t>04650</t>
    </r>
    <r>
      <rPr>
        <sz val="10"/>
        <color theme="1"/>
        <rFont val="Calibri"/>
        <family val="2"/>
        <scheme val="minor"/>
      </rPr>
      <t xml:space="preserve"> - Harassment, Sexual
</t>
    </r>
    <r>
      <rPr>
        <b/>
        <sz val="10"/>
        <color theme="1"/>
        <rFont val="Calibri"/>
        <family val="2"/>
        <scheme val="minor"/>
      </rPr>
      <t>04651</t>
    </r>
    <r>
      <rPr>
        <sz val="10"/>
        <color theme="1"/>
        <rFont val="Calibri"/>
        <family val="2"/>
        <scheme val="minor"/>
      </rPr>
      <t xml:space="preserve"> - Homicide
</t>
    </r>
    <r>
      <rPr>
        <b/>
        <sz val="10"/>
        <color theme="1"/>
        <rFont val="Calibri"/>
        <family val="2"/>
        <scheme val="minor"/>
      </rPr>
      <t>04652</t>
    </r>
    <r>
      <rPr>
        <sz val="10"/>
        <color theme="1"/>
        <rFont val="Calibri"/>
        <family val="2"/>
        <scheme val="minor"/>
      </rPr>
      <t xml:space="preserve"> - Inappropriate Use of Medication
</t>
    </r>
    <r>
      <rPr>
        <b/>
        <sz val="10"/>
        <color theme="1"/>
        <rFont val="Calibri"/>
        <family val="2"/>
        <scheme val="minor"/>
      </rPr>
      <t>04659</t>
    </r>
    <r>
      <rPr>
        <sz val="10"/>
        <color theme="1"/>
        <rFont val="Calibri"/>
        <family val="2"/>
        <scheme val="minor"/>
      </rPr>
      <t xml:space="preserve"> - Insubordination
</t>
    </r>
    <r>
      <rPr>
        <b/>
        <sz val="10"/>
        <color theme="1"/>
        <rFont val="Calibri"/>
        <family val="2"/>
        <scheme val="minor"/>
      </rPr>
      <t>04660</t>
    </r>
    <r>
      <rPr>
        <sz val="10"/>
        <color theme="1"/>
        <rFont val="Calibri"/>
        <family val="2"/>
        <scheme val="minor"/>
      </rPr>
      <t xml:space="preserve"> - Kidnapping
</t>
    </r>
    <r>
      <rPr>
        <b/>
        <sz val="10"/>
        <color theme="1"/>
        <rFont val="Calibri"/>
        <family val="2"/>
        <scheme val="minor"/>
      </rPr>
      <t>04661</t>
    </r>
    <r>
      <rPr>
        <sz val="10"/>
        <color theme="1"/>
        <rFont val="Calibri"/>
        <family val="2"/>
        <scheme val="minor"/>
      </rPr>
      <t xml:space="preserve"> - Obscene Behavior
</t>
    </r>
    <r>
      <rPr>
        <b/>
        <sz val="10"/>
        <color theme="1"/>
        <rFont val="Calibri"/>
        <family val="2"/>
        <scheme val="minor"/>
      </rPr>
      <t>04669</t>
    </r>
    <r>
      <rPr>
        <sz val="10"/>
        <color theme="1"/>
        <rFont val="Calibri"/>
        <family val="2"/>
        <scheme val="minor"/>
      </rPr>
      <t xml:space="preserve"> - Physical Altercation, Minor
</t>
    </r>
    <r>
      <rPr>
        <b/>
        <sz val="10"/>
        <color theme="1"/>
        <rFont val="Calibri"/>
        <family val="2"/>
        <scheme val="minor"/>
      </rPr>
      <t>04670</t>
    </r>
    <r>
      <rPr>
        <sz val="10"/>
        <color theme="1"/>
        <rFont val="Calibri"/>
        <family val="2"/>
        <scheme val="minor"/>
      </rPr>
      <t xml:space="preserve"> - Robbery
</t>
    </r>
    <r>
      <rPr>
        <b/>
        <sz val="10"/>
        <color theme="1"/>
        <rFont val="Calibri"/>
        <family val="2"/>
        <scheme val="minor"/>
      </rPr>
      <t>04671</t>
    </r>
    <r>
      <rPr>
        <sz val="10"/>
        <color theme="1"/>
        <rFont val="Calibri"/>
        <family val="2"/>
        <scheme val="minor"/>
      </rPr>
      <t xml:space="preserve"> - School Threat
</t>
    </r>
    <r>
      <rPr>
        <b/>
        <sz val="10"/>
        <color theme="1"/>
        <rFont val="Calibri"/>
        <family val="2"/>
        <scheme val="minor"/>
      </rPr>
      <t>04677</t>
    </r>
    <r>
      <rPr>
        <sz val="10"/>
        <color theme="1"/>
        <rFont val="Calibri"/>
        <family val="2"/>
        <scheme val="minor"/>
      </rPr>
      <t xml:space="preserve"> - Sexual Battery (sexual assault)
</t>
    </r>
    <r>
      <rPr>
        <b/>
        <sz val="10"/>
        <color theme="1"/>
        <rFont val="Calibri"/>
        <family val="2"/>
        <scheme val="minor"/>
      </rPr>
      <t>04678</t>
    </r>
    <r>
      <rPr>
        <sz val="10"/>
        <color theme="1"/>
        <rFont val="Calibri"/>
        <family val="2"/>
        <scheme val="minor"/>
      </rPr>
      <t xml:space="preserve"> - Sexual Offenses, Other (lewd behavior, indecent exposure)
</t>
    </r>
    <r>
      <rPr>
        <b/>
        <sz val="10"/>
        <color theme="1"/>
        <rFont val="Calibri"/>
        <family val="2"/>
        <scheme val="minor"/>
      </rPr>
      <t>04682</t>
    </r>
    <r>
      <rPr>
        <sz val="10"/>
        <color theme="1"/>
        <rFont val="Calibri"/>
        <family val="2"/>
        <scheme val="minor"/>
      </rPr>
      <t xml:space="preserve"> - Theft
</t>
    </r>
    <r>
      <rPr>
        <b/>
        <sz val="10"/>
        <color theme="1"/>
        <rFont val="Calibri"/>
        <family val="2"/>
        <scheme val="minor"/>
      </rPr>
      <t>04686</t>
    </r>
    <r>
      <rPr>
        <sz val="10"/>
        <color theme="1"/>
        <rFont val="Calibri"/>
        <family val="2"/>
        <scheme val="minor"/>
      </rPr>
      <t xml:space="preserve"> - Threat/Intimidation
</t>
    </r>
    <r>
      <rPr>
        <b/>
        <sz val="10"/>
        <color theme="1"/>
        <rFont val="Calibri"/>
        <family val="2"/>
        <scheme val="minor"/>
      </rPr>
      <t>04692</t>
    </r>
    <r>
      <rPr>
        <sz val="10"/>
        <color theme="1"/>
        <rFont val="Calibri"/>
        <family val="2"/>
        <scheme val="minor"/>
      </rPr>
      <t xml:space="preserve"> - Tobacco Possession or Use
</t>
    </r>
    <r>
      <rPr>
        <b/>
        <sz val="10"/>
        <color theme="1"/>
        <rFont val="Calibri"/>
        <family val="2"/>
        <scheme val="minor"/>
      </rPr>
      <t>04699</t>
    </r>
    <r>
      <rPr>
        <sz val="10"/>
        <color theme="1"/>
        <rFont val="Calibri"/>
        <family val="2"/>
        <scheme val="minor"/>
      </rPr>
      <t xml:space="preserve"> - Trespassing
</t>
    </r>
    <r>
      <rPr>
        <b/>
        <sz val="10"/>
        <color theme="1"/>
        <rFont val="Calibri"/>
        <family val="2"/>
        <scheme val="minor"/>
      </rPr>
      <t>04700</t>
    </r>
    <r>
      <rPr>
        <sz val="10"/>
        <color theme="1"/>
        <rFont val="Calibri"/>
        <family val="2"/>
        <scheme val="minor"/>
      </rPr>
      <t xml:space="preserve"> - Vandalism
</t>
    </r>
    <r>
      <rPr>
        <b/>
        <sz val="10"/>
        <color theme="1"/>
        <rFont val="Calibri"/>
        <family val="2"/>
        <scheme val="minor"/>
      </rPr>
      <t>04704</t>
    </r>
    <r>
      <rPr>
        <sz val="10"/>
        <color theme="1"/>
        <rFont val="Calibri"/>
        <family val="2"/>
        <scheme val="minor"/>
      </rPr>
      <t xml:space="preserve"> - Violation of School Rules
</t>
    </r>
    <r>
      <rPr>
        <b/>
        <sz val="10"/>
        <color theme="1"/>
        <rFont val="Calibri"/>
        <family val="2"/>
        <scheme val="minor"/>
      </rPr>
      <t>04705</t>
    </r>
    <r>
      <rPr>
        <sz val="10"/>
        <color theme="1"/>
        <rFont val="Calibri"/>
        <family val="2"/>
        <scheme val="minor"/>
      </rPr>
      <t xml:space="preserve"> - Weapons Possession
</t>
    </r>
  </si>
  <si>
    <t>000509</t>
  </si>
  <si>
    <t>IncidentBehavior</t>
  </si>
  <si>
    <t>Incident Cost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</si>
  <si>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</si>
  <si>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</si>
  <si>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</si>
  <si>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</si>
  <si>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</si>
  <si>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</si>
  <si>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</si>
  <si>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</si>
  <si>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</si>
  <si>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</si>
  <si>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</si>
  <si>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</si>
  <si>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</si>
  <si>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</si>
  <si>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</si>
  <si>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</si>
  <si>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</si>
  <si>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r>
      <t>MajorInjury</t>
    </r>
    <r>
      <rPr>
        <sz val="10"/>
        <color theme="1"/>
        <rFont val="Calibri"/>
        <family val="2"/>
        <scheme val="minor"/>
      </rPr>
      <t xml:space="preserve"> - Major injury
</t>
    </r>
    <r>
      <rPr>
        <b/>
        <sz val="10"/>
        <color theme="1"/>
        <rFont val="Calibri"/>
        <family val="2"/>
        <scheme val="minor"/>
      </rPr>
      <t>MinorInjury</t>
    </r>
    <r>
      <rPr>
        <sz val="10"/>
        <color theme="1"/>
        <rFont val="Calibri"/>
        <family val="2"/>
        <scheme val="minor"/>
      </rPr>
      <t xml:space="preserve"> - Minor injury
</t>
    </r>
    <r>
      <rPr>
        <b/>
        <sz val="10"/>
        <color theme="1"/>
        <rFont val="Calibri"/>
        <family val="2"/>
        <scheme val="minor"/>
      </rPr>
      <t>NoInjury</t>
    </r>
    <r>
      <rPr>
        <sz val="10"/>
        <color theme="1"/>
        <rFont val="Calibri"/>
        <family val="2"/>
        <scheme val="minor"/>
      </rPr>
      <t xml:space="preserve"> - No injury
</t>
    </r>
    <r>
      <rPr>
        <b/>
        <sz val="10"/>
        <color theme="1"/>
        <rFont val="Calibri"/>
        <family val="2"/>
        <scheme val="minor"/>
      </rPr>
      <t>SeriousBodilyInjury</t>
    </r>
    <r>
      <rPr>
        <sz val="10"/>
        <color theme="1"/>
        <rFont val="Calibri"/>
        <family val="2"/>
        <scheme val="minor"/>
      </rPr>
      <t xml:space="preserve"> - Serious bodily injury
</t>
    </r>
    <r>
      <rPr>
        <b/>
        <sz val="10"/>
        <color theme="1"/>
        <rFont val="Calibri"/>
        <family val="2"/>
        <scheme val="minor"/>
      </rPr>
      <t>FatalInjury</t>
    </r>
    <r>
      <rPr>
        <sz val="10"/>
        <color theme="1"/>
        <rFont val="Calibri"/>
        <family val="2"/>
        <scheme val="minor"/>
      </rPr>
      <t xml:space="preserve"> - Fatal injury
</t>
    </r>
  </si>
  <si>
    <t>Incident Injury Type can be linked to any person involved in the incident.</t>
  </si>
  <si>
    <t>000510</t>
  </si>
  <si>
    <t>IncidentInjuryType</t>
  </si>
  <si>
    <t>Incident Location</t>
  </si>
  <si>
    <t>Identifies where the incident occurred and whether or not it occurred on campus.</t>
  </si>
  <si>
    <r>
      <t>03011</t>
    </r>
    <r>
      <rPr>
        <sz val="10"/>
        <color theme="1"/>
        <rFont val="Calibri"/>
        <family val="2"/>
        <scheme val="minor"/>
      </rPr>
      <t xml:space="preserve"> - On campus
</t>
    </r>
    <r>
      <rPr>
        <b/>
        <sz val="10"/>
        <color theme="1"/>
        <rFont val="Calibri"/>
        <family val="2"/>
        <scheme val="minor"/>
      </rPr>
      <t>03012</t>
    </r>
    <r>
      <rPr>
        <sz val="10"/>
        <color theme="1"/>
        <rFont val="Calibri"/>
        <family val="2"/>
        <scheme val="minor"/>
      </rPr>
      <t xml:space="preserve"> - Administrative offices area
</t>
    </r>
    <r>
      <rPr>
        <b/>
        <sz val="10"/>
        <color theme="1"/>
        <rFont val="Calibri"/>
        <family val="2"/>
        <scheme val="minor"/>
      </rPr>
      <t>03013</t>
    </r>
    <r>
      <rPr>
        <sz val="10"/>
        <color theme="1"/>
        <rFont val="Calibri"/>
        <family val="2"/>
        <scheme val="minor"/>
      </rPr>
      <t xml:space="preserve"> - Cafeteria area
</t>
    </r>
    <r>
      <rPr>
        <b/>
        <sz val="10"/>
        <color theme="1"/>
        <rFont val="Calibri"/>
        <family val="2"/>
        <scheme val="minor"/>
      </rPr>
      <t>03014</t>
    </r>
    <r>
      <rPr>
        <sz val="10"/>
        <color theme="1"/>
        <rFont val="Calibri"/>
        <family val="2"/>
        <scheme val="minor"/>
      </rPr>
      <t xml:space="preserve"> - Classroom
</t>
    </r>
    <r>
      <rPr>
        <b/>
        <sz val="10"/>
        <color theme="1"/>
        <rFont val="Calibri"/>
        <family val="2"/>
        <scheme val="minor"/>
      </rPr>
      <t>03015</t>
    </r>
    <r>
      <rPr>
        <sz val="10"/>
        <color theme="1"/>
        <rFont val="Calibri"/>
        <family val="2"/>
        <scheme val="minor"/>
      </rPr>
      <t xml:space="preserve"> - Hallway or stairs
</t>
    </r>
    <r>
      <rPr>
        <b/>
        <sz val="10"/>
        <color theme="1"/>
        <rFont val="Calibri"/>
        <family val="2"/>
        <scheme val="minor"/>
      </rPr>
      <t>03016</t>
    </r>
    <r>
      <rPr>
        <sz val="10"/>
        <color theme="1"/>
        <rFont val="Calibri"/>
        <family val="2"/>
        <scheme val="minor"/>
      </rPr>
      <t xml:space="preserve"> - Locker room or gym areas
</t>
    </r>
    <r>
      <rPr>
        <b/>
        <sz val="10"/>
        <color theme="1"/>
        <rFont val="Calibri"/>
        <family val="2"/>
        <scheme val="minor"/>
      </rPr>
      <t>03017</t>
    </r>
    <r>
      <rPr>
        <sz val="10"/>
        <color theme="1"/>
        <rFont val="Calibri"/>
        <family val="2"/>
        <scheme val="minor"/>
      </rPr>
      <t xml:space="preserve"> - Restroom
</t>
    </r>
    <r>
      <rPr>
        <b/>
        <sz val="10"/>
        <color theme="1"/>
        <rFont val="Calibri"/>
        <family val="2"/>
        <scheme val="minor"/>
      </rPr>
      <t>03018</t>
    </r>
    <r>
      <rPr>
        <sz val="10"/>
        <color theme="1"/>
        <rFont val="Calibri"/>
        <family val="2"/>
        <scheme val="minor"/>
      </rPr>
      <t xml:space="preserve"> - Library/media center
</t>
    </r>
    <r>
      <rPr>
        <b/>
        <sz val="10"/>
        <color theme="1"/>
        <rFont val="Calibri"/>
        <family val="2"/>
        <scheme val="minor"/>
      </rPr>
      <t>03019</t>
    </r>
    <r>
      <rPr>
        <sz val="10"/>
        <color theme="1"/>
        <rFont val="Calibri"/>
        <family val="2"/>
        <scheme val="minor"/>
      </rPr>
      <t xml:space="preserve"> - Computer lab
</t>
    </r>
    <r>
      <rPr>
        <b/>
        <sz val="10"/>
        <color theme="1"/>
        <rFont val="Calibri"/>
        <family val="2"/>
        <scheme val="minor"/>
      </rPr>
      <t>03020</t>
    </r>
    <r>
      <rPr>
        <sz val="10"/>
        <color theme="1"/>
        <rFont val="Calibri"/>
        <family val="2"/>
        <scheme val="minor"/>
      </rPr>
      <t xml:space="preserve"> - Auditorium
</t>
    </r>
    <r>
      <rPr>
        <b/>
        <sz val="10"/>
        <color theme="1"/>
        <rFont val="Calibri"/>
        <family val="2"/>
        <scheme val="minor"/>
      </rPr>
      <t>03021</t>
    </r>
    <r>
      <rPr>
        <sz val="10"/>
        <color theme="1"/>
        <rFont val="Calibri"/>
        <family val="2"/>
        <scheme val="minor"/>
      </rPr>
      <t xml:space="preserve"> - On-campus other inside area
</t>
    </r>
    <r>
      <rPr>
        <b/>
        <sz val="10"/>
        <color theme="1"/>
        <rFont val="Calibri"/>
        <family val="2"/>
        <scheme val="minor"/>
      </rPr>
      <t>03022</t>
    </r>
    <r>
      <rPr>
        <sz val="10"/>
        <color theme="1"/>
        <rFont val="Calibri"/>
        <family val="2"/>
        <scheme val="minor"/>
      </rPr>
      <t xml:space="preserve"> - Athletic field or playground
</t>
    </r>
    <r>
      <rPr>
        <b/>
        <sz val="10"/>
        <color theme="1"/>
        <rFont val="Calibri"/>
        <family val="2"/>
        <scheme val="minor"/>
      </rPr>
      <t>03023</t>
    </r>
    <r>
      <rPr>
        <sz val="10"/>
        <color theme="1"/>
        <rFont val="Calibri"/>
        <family val="2"/>
        <scheme val="minor"/>
      </rPr>
      <t xml:space="preserve"> - Stadium
</t>
    </r>
    <r>
      <rPr>
        <b/>
        <sz val="10"/>
        <color theme="1"/>
        <rFont val="Calibri"/>
        <family val="2"/>
        <scheme val="minor"/>
      </rPr>
      <t>03024</t>
    </r>
    <r>
      <rPr>
        <sz val="10"/>
        <color theme="1"/>
        <rFont val="Calibri"/>
        <family val="2"/>
        <scheme val="minor"/>
      </rPr>
      <t xml:space="preserve"> - Parking lot
</t>
    </r>
    <r>
      <rPr>
        <b/>
        <sz val="10"/>
        <color theme="1"/>
        <rFont val="Calibri"/>
        <family val="2"/>
        <scheme val="minor"/>
      </rPr>
      <t>03025</t>
    </r>
    <r>
      <rPr>
        <sz val="10"/>
        <color theme="1"/>
        <rFont val="Calibri"/>
        <family val="2"/>
        <scheme val="minor"/>
      </rPr>
      <t xml:space="preserve"> - On-campus other outside area
</t>
    </r>
    <r>
      <rPr>
        <b/>
        <sz val="10"/>
        <color theme="1"/>
        <rFont val="Calibri"/>
        <family val="2"/>
        <scheme val="minor"/>
      </rPr>
      <t>03026</t>
    </r>
    <r>
      <rPr>
        <sz val="10"/>
        <color theme="1"/>
        <rFont val="Calibri"/>
        <family val="2"/>
        <scheme val="minor"/>
      </rPr>
      <t xml:space="preserve"> - Off campus
</t>
    </r>
    <r>
      <rPr>
        <b/>
        <sz val="10"/>
        <color theme="1"/>
        <rFont val="Calibri"/>
        <family val="2"/>
        <scheme val="minor"/>
      </rPr>
      <t>03027</t>
    </r>
    <r>
      <rPr>
        <sz val="10"/>
        <color theme="1"/>
        <rFont val="Calibri"/>
        <family val="2"/>
        <scheme val="minor"/>
      </rPr>
      <t xml:space="preserve"> - Bus stop
</t>
    </r>
    <r>
      <rPr>
        <b/>
        <sz val="10"/>
        <color theme="1"/>
        <rFont val="Calibri"/>
        <family val="2"/>
        <scheme val="minor"/>
      </rPr>
      <t>03028</t>
    </r>
    <r>
      <rPr>
        <sz val="10"/>
        <color theme="1"/>
        <rFont val="Calibri"/>
        <family val="2"/>
        <scheme val="minor"/>
      </rPr>
      <t xml:space="preserve"> - School bus
</t>
    </r>
    <r>
      <rPr>
        <b/>
        <sz val="10"/>
        <color theme="1"/>
        <rFont val="Calibri"/>
        <family val="2"/>
        <scheme val="minor"/>
      </rPr>
      <t>03029</t>
    </r>
    <r>
      <rPr>
        <sz val="10"/>
        <color theme="1"/>
        <rFont val="Calibri"/>
        <family val="2"/>
        <scheme val="minor"/>
      </rPr>
      <t xml:space="preserve"> - Walking to or from school
</t>
    </r>
    <r>
      <rPr>
        <b/>
        <sz val="10"/>
        <color theme="1"/>
        <rFont val="Calibri"/>
        <family val="2"/>
        <scheme val="minor"/>
      </rPr>
      <t>03030</t>
    </r>
    <r>
      <rPr>
        <sz val="10"/>
        <color theme="1"/>
        <rFont val="Calibri"/>
        <family val="2"/>
        <scheme val="minor"/>
      </rPr>
      <t xml:space="preserve"> - Off-campus at other school
</t>
    </r>
    <r>
      <rPr>
        <b/>
        <sz val="10"/>
        <color theme="1"/>
        <rFont val="Calibri"/>
        <family val="2"/>
        <scheme val="minor"/>
      </rPr>
      <t>03031</t>
    </r>
    <r>
      <rPr>
        <sz val="10"/>
        <color theme="1"/>
        <rFont val="Calibri"/>
        <family val="2"/>
        <scheme val="minor"/>
      </rPr>
      <t xml:space="preserve"> - Off-campus at other school district facility
</t>
    </r>
    <r>
      <rPr>
        <b/>
        <sz val="10"/>
        <color theme="1"/>
        <rFont val="Calibri"/>
        <family val="2"/>
        <scheme val="minor"/>
      </rPr>
      <t>03413</t>
    </r>
    <r>
      <rPr>
        <sz val="10"/>
        <color theme="1"/>
        <rFont val="Calibri"/>
        <family val="2"/>
        <scheme val="minor"/>
      </rPr>
      <t xml:space="preserve"> - Online
</t>
    </r>
    <r>
      <rPr>
        <b/>
        <sz val="10"/>
        <color theme="1"/>
        <rFont val="Calibri"/>
        <family val="2"/>
        <scheme val="minor"/>
      </rPr>
      <t>13773</t>
    </r>
    <r>
      <rPr>
        <sz val="10"/>
        <color theme="1"/>
        <rFont val="Calibri"/>
        <family val="2"/>
        <scheme val="minor"/>
      </rPr>
      <t xml:space="preserve"> - Off-campus at a school sponsored activity
</t>
    </r>
    <r>
      <rPr>
        <b/>
        <sz val="10"/>
        <color theme="1"/>
        <rFont val="Calibri"/>
        <family val="2"/>
        <scheme val="minor"/>
      </rPr>
      <t>13774</t>
    </r>
    <r>
      <rPr>
        <sz val="10"/>
        <color theme="1"/>
        <rFont val="Calibri"/>
        <family val="2"/>
        <scheme val="minor"/>
      </rPr>
      <t xml:space="preserve"> - Off-campus at another location unrelated to school
</t>
    </r>
    <r>
      <rPr>
        <b/>
        <sz val="10"/>
        <color theme="1"/>
        <rFont val="Calibri"/>
        <family val="2"/>
        <scheme val="minor"/>
      </rPr>
      <t>09997</t>
    </r>
    <r>
      <rPr>
        <sz val="10"/>
        <color theme="1"/>
        <rFont val="Calibri"/>
        <family val="2"/>
        <scheme val="minor"/>
      </rPr>
      <t xml:space="preserve"> - Unknown
</t>
    </r>
  </si>
  <si>
    <t>000617</t>
  </si>
  <si>
    <t>IncidentLocation</t>
  </si>
  <si>
    <t>Incident Multiple Offense Type</t>
  </si>
  <si>
    <t>An indication of whether the offense was primary or secondary in nature when a single incident included more than one type of offense.</t>
  </si>
  <si>
    <r>
      <t>Primary</t>
    </r>
    <r>
      <rPr>
        <sz val="10"/>
        <color theme="1"/>
        <rFont val="Calibri"/>
        <family val="2"/>
        <scheme val="minor"/>
      </rPr>
      <t xml:space="preserve"> - Primary
</t>
    </r>
    <r>
      <rPr>
        <b/>
        <sz val="10"/>
        <color theme="1"/>
        <rFont val="Calibri"/>
        <family val="2"/>
        <scheme val="minor"/>
      </rPr>
      <t>Secondary</t>
    </r>
    <r>
      <rPr>
        <sz val="10"/>
        <color theme="1"/>
        <rFont val="Calibri"/>
        <family val="2"/>
        <scheme val="minor"/>
      </rPr>
      <t xml:space="preserve"> - Secondary
</t>
    </r>
  </si>
  <si>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</si>
  <si>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</si>
  <si>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</si>
  <si>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</si>
  <si>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</si>
  <si>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</si>
  <si>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</si>
  <si>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An indication of the occurrence of physical injury to the perpetrator(s) (participants) involved in the incident and‚ if so‚ the level of injury sustained.</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</si>
  <si>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</si>
  <si>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</si>
  <si>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</si>
  <si>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</si>
  <si>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r>
      <t>03041</t>
    </r>
    <r>
      <rPr>
        <sz val="10"/>
        <color theme="1"/>
        <rFont val="Calibri"/>
        <family val="2"/>
        <scheme val="minor"/>
      </rPr>
      <t xml:space="preserve"> - Administrator
</t>
    </r>
    <r>
      <rPr>
        <b/>
        <sz val="10"/>
        <color theme="1"/>
        <rFont val="Calibri"/>
        <family val="2"/>
        <scheme val="minor"/>
      </rPr>
      <t>13342</t>
    </r>
    <r>
      <rPr>
        <sz val="10"/>
        <color theme="1"/>
        <rFont val="Calibri"/>
        <family val="2"/>
        <scheme val="minor"/>
      </rPr>
      <t xml:space="preserve"> - All Other Support Staff
</t>
    </r>
    <r>
      <rPr>
        <b/>
        <sz val="10"/>
        <color theme="1"/>
        <rFont val="Calibri"/>
        <family val="2"/>
        <scheme val="minor"/>
      </rPr>
      <t>04723</t>
    </r>
    <r>
      <rPr>
        <sz val="10"/>
        <color theme="1"/>
        <rFont val="Calibri"/>
        <family val="2"/>
        <scheme val="minor"/>
      </rPr>
      <t xml:space="preserve"> - Athletic coach
</t>
    </r>
    <r>
      <rPr>
        <b/>
        <sz val="10"/>
        <color theme="1"/>
        <rFont val="Calibri"/>
        <family val="2"/>
        <scheme val="minor"/>
      </rPr>
      <t>04708</t>
    </r>
    <r>
      <rPr>
        <sz val="10"/>
        <color theme="1"/>
        <rFont val="Calibri"/>
        <family val="2"/>
        <scheme val="minor"/>
      </rPr>
      <t xml:space="preserve"> - Board of education/school board/board of trustees member
</t>
    </r>
    <r>
      <rPr>
        <b/>
        <sz val="10"/>
        <color theme="1"/>
        <rFont val="Calibri"/>
        <family val="2"/>
        <scheme val="minor"/>
      </rPr>
      <t>04864</t>
    </r>
    <r>
      <rPr>
        <sz val="10"/>
        <color theme="1"/>
        <rFont val="Calibri"/>
        <family val="2"/>
        <scheme val="minor"/>
      </rPr>
      <t xml:space="preserve"> - Bus driver
</t>
    </r>
    <r>
      <rPr>
        <b/>
        <sz val="10"/>
        <color theme="1"/>
        <rFont val="Calibri"/>
        <family val="2"/>
        <scheme val="minor"/>
      </rPr>
      <t>04877</t>
    </r>
    <r>
      <rPr>
        <sz val="10"/>
        <color theme="1"/>
        <rFont val="Calibri"/>
        <family val="2"/>
        <scheme val="minor"/>
      </rPr>
      <t xml:space="preserve"> - Cook/food preparer (food service staff)
</t>
    </r>
    <r>
      <rPr>
        <b/>
        <sz val="10"/>
        <color theme="1"/>
        <rFont val="Calibri"/>
        <family val="2"/>
        <scheme val="minor"/>
      </rPr>
      <t>04725</t>
    </r>
    <r>
      <rPr>
        <sz val="10"/>
        <color theme="1"/>
        <rFont val="Calibri"/>
        <family val="2"/>
        <scheme val="minor"/>
      </rPr>
      <t xml:space="preserve"> - Counselor
</t>
    </r>
    <r>
      <rPr>
        <b/>
        <sz val="10"/>
        <color theme="1"/>
        <rFont val="Calibri"/>
        <family val="2"/>
        <scheme val="minor"/>
      </rPr>
      <t>04878</t>
    </r>
    <r>
      <rPr>
        <sz val="10"/>
        <color theme="1"/>
        <rFont val="Calibri"/>
        <family val="2"/>
        <scheme val="minor"/>
      </rPr>
      <t xml:space="preserve"> - Custodian
</t>
    </r>
    <r>
      <rPr>
        <b/>
        <sz val="10"/>
        <color theme="1"/>
        <rFont val="Calibri"/>
        <family val="2"/>
        <scheme val="minor"/>
      </rPr>
      <t>04710</t>
    </r>
    <r>
      <rPr>
        <sz val="10"/>
        <color theme="1"/>
        <rFont val="Calibri"/>
        <family val="2"/>
        <scheme val="minor"/>
      </rPr>
      <t xml:space="preserve"> - Dean/dean of instructions/dean of students/dean of boys/dean of girls/dean of student activities
</t>
    </r>
    <r>
      <rPr>
        <b/>
        <sz val="10"/>
        <color theme="1"/>
        <rFont val="Calibri"/>
        <family val="2"/>
        <scheme val="minor"/>
      </rPr>
      <t>04712</t>
    </r>
    <r>
      <rPr>
        <sz val="10"/>
        <color theme="1"/>
        <rFont val="Calibri"/>
        <family val="2"/>
        <scheme val="minor"/>
      </rPr>
      <t xml:space="preserve"> - Deputy/associate/assistant superintendent/ commissioner
</t>
    </r>
    <r>
      <rPr>
        <b/>
        <sz val="10"/>
        <color theme="1"/>
        <rFont val="Calibri"/>
        <family val="2"/>
        <scheme val="minor"/>
      </rPr>
      <t>04711</t>
    </r>
    <r>
      <rPr>
        <sz val="10"/>
        <color theme="1"/>
        <rFont val="Calibri"/>
        <family val="2"/>
        <scheme val="minor"/>
      </rPr>
      <t xml:space="preserve"> - Deputy/associate/vice /assistant principal
</t>
    </r>
    <r>
      <rPr>
        <b/>
        <sz val="10"/>
        <color theme="1"/>
        <rFont val="Calibri"/>
        <family val="2"/>
        <scheme val="minor"/>
      </rPr>
      <t>03168</t>
    </r>
    <r>
      <rPr>
        <sz val="10"/>
        <color theme="1"/>
        <rFont val="Calibri"/>
        <family val="2"/>
        <scheme val="minor"/>
      </rPr>
      <t xml:space="preserve"> - Former student
</t>
    </r>
    <r>
      <rPr>
        <b/>
        <sz val="10"/>
        <color theme="1"/>
        <rFont val="Calibri"/>
        <family val="2"/>
        <scheme val="minor"/>
      </rPr>
      <t>03054</t>
    </r>
    <r>
      <rPr>
        <sz val="10"/>
        <color theme="1"/>
        <rFont val="Calibri"/>
        <family val="2"/>
        <scheme val="minor"/>
      </rPr>
      <t xml:space="preserve"> - Law enforcement officer
</t>
    </r>
    <r>
      <rPr>
        <b/>
        <sz val="10"/>
        <color theme="1"/>
        <rFont val="Calibri"/>
        <family val="2"/>
        <scheme val="minor"/>
      </rPr>
      <t>13335</t>
    </r>
    <r>
      <rPr>
        <sz val="10"/>
        <color theme="1"/>
        <rFont val="Calibri"/>
        <family val="2"/>
        <scheme val="minor"/>
      </rPr>
      <t xml:space="preserve"> - Librarians/Media Specialist
</t>
    </r>
    <r>
      <rPr>
        <b/>
        <sz val="10"/>
        <color theme="1"/>
        <rFont val="Calibri"/>
        <family val="2"/>
        <scheme val="minor"/>
      </rPr>
      <t>03055</t>
    </r>
    <r>
      <rPr>
        <sz val="10"/>
        <color theme="1"/>
        <rFont val="Calibri"/>
        <family val="2"/>
        <scheme val="minor"/>
      </rPr>
      <t xml:space="preserve"> - Municipal law enforcement officer assigned to the school
</t>
    </r>
    <r>
      <rPr>
        <b/>
        <sz val="10"/>
        <color theme="1"/>
        <rFont val="Calibri"/>
        <family val="2"/>
        <scheme val="minor"/>
      </rPr>
      <t>03056</t>
    </r>
    <r>
      <rPr>
        <sz val="10"/>
        <color theme="1"/>
        <rFont val="Calibri"/>
        <family val="2"/>
        <scheme val="minor"/>
      </rPr>
      <t xml:space="preserve"> - Municipal law enforcement officer not assigned to the school
</t>
    </r>
    <r>
      <rPr>
        <b/>
        <sz val="10"/>
        <color theme="1"/>
        <rFont val="Calibri"/>
        <family val="2"/>
        <scheme val="minor"/>
      </rPr>
      <t>03059</t>
    </r>
    <r>
      <rPr>
        <sz val="10"/>
        <color theme="1"/>
        <rFont val="Calibri"/>
        <family val="2"/>
        <scheme val="minor"/>
      </rPr>
      <t xml:space="preserve"> - Nonschool personnel
</t>
    </r>
    <r>
      <rPr>
        <b/>
        <sz val="10"/>
        <color theme="1"/>
        <rFont val="Calibri"/>
        <family val="2"/>
        <scheme val="minor"/>
      </rPr>
      <t>03061</t>
    </r>
    <r>
      <rPr>
        <sz val="10"/>
        <color theme="1"/>
        <rFont val="Calibri"/>
        <family val="2"/>
        <scheme val="minor"/>
      </rPr>
      <t xml:space="preserve"> - Other adult
</t>
    </r>
    <r>
      <rPr>
        <b/>
        <sz val="10"/>
        <color theme="1"/>
        <rFont val="Calibri"/>
        <family val="2"/>
        <scheme val="minor"/>
      </rPr>
      <t>03062</t>
    </r>
    <r>
      <rPr>
        <sz val="10"/>
        <color theme="1"/>
        <rFont val="Calibri"/>
        <family val="2"/>
        <scheme val="minor"/>
      </rPr>
      <t xml:space="preserve"> - Other nonstudent youth
</t>
    </r>
    <r>
      <rPr>
        <b/>
        <sz val="10"/>
        <color theme="1"/>
        <rFont val="Calibri"/>
        <family val="2"/>
        <scheme val="minor"/>
      </rPr>
      <t>13403</t>
    </r>
    <r>
      <rPr>
        <sz val="10"/>
        <color theme="1"/>
        <rFont val="Calibri"/>
        <family val="2"/>
        <scheme val="minor"/>
      </rPr>
      <t xml:space="preserve"> - Other Professional Staff
</t>
    </r>
    <r>
      <rPr>
        <b/>
        <sz val="10"/>
        <color theme="1"/>
        <rFont val="Calibri"/>
        <family val="2"/>
        <scheme val="minor"/>
      </rPr>
      <t>13333</t>
    </r>
    <r>
      <rPr>
        <sz val="10"/>
        <color theme="1"/>
        <rFont val="Calibri"/>
        <family val="2"/>
        <scheme val="minor"/>
      </rPr>
      <t xml:space="preserve"> - Paraprofessionals/Instructional Aide
</t>
    </r>
    <r>
      <rPr>
        <b/>
        <sz val="10"/>
        <color theme="1"/>
        <rFont val="Calibri"/>
        <family val="2"/>
        <scheme val="minor"/>
      </rPr>
      <t>00850</t>
    </r>
    <r>
      <rPr>
        <sz val="10"/>
        <color theme="1"/>
        <rFont val="Calibri"/>
        <family val="2"/>
        <scheme val="minor"/>
      </rPr>
      <t xml:space="preserve"> - Parent/guardian
</t>
    </r>
    <r>
      <rPr>
        <b/>
        <sz val="10"/>
        <color theme="1"/>
        <rFont val="Calibri"/>
        <family val="2"/>
        <scheme val="minor"/>
      </rPr>
      <t>04718</t>
    </r>
    <r>
      <rPr>
        <sz val="10"/>
        <color theme="1"/>
        <rFont val="Calibri"/>
        <family val="2"/>
        <scheme val="minor"/>
      </rPr>
      <t xml:space="preserve"> - Principal/headmaster/headmistress/head of school
</t>
    </r>
    <r>
      <rPr>
        <b/>
        <sz val="10"/>
        <color theme="1"/>
        <rFont val="Calibri"/>
        <family val="2"/>
        <scheme val="minor"/>
      </rPr>
      <t>03035</t>
    </r>
    <r>
      <rPr>
        <sz val="10"/>
        <color theme="1"/>
        <rFont val="Calibri"/>
        <family val="2"/>
        <scheme val="minor"/>
      </rPr>
      <t xml:space="preserve"> - Professional educational staff
</t>
    </r>
    <r>
      <rPr>
        <b/>
        <sz val="10"/>
        <color theme="1"/>
        <rFont val="Calibri"/>
        <family val="2"/>
        <scheme val="minor"/>
      </rPr>
      <t>04783</t>
    </r>
    <r>
      <rPr>
        <sz val="10"/>
        <color theme="1"/>
        <rFont val="Calibri"/>
        <family val="2"/>
        <scheme val="minor"/>
      </rPr>
      <t xml:space="preserve"> - Registered nurse
</t>
    </r>
    <r>
      <rPr>
        <b/>
        <sz val="10"/>
        <color theme="1"/>
        <rFont val="Calibri"/>
        <family val="2"/>
        <scheme val="minor"/>
      </rPr>
      <t>03060</t>
    </r>
    <r>
      <rPr>
        <sz val="10"/>
        <color theme="1"/>
        <rFont val="Calibri"/>
        <family val="2"/>
        <scheme val="minor"/>
      </rPr>
      <t xml:space="preserve"> - Representative of visiting school
</t>
    </r>
    <r>
      <rPr>
        <b/>
        <sz val="10"/>
        <color theme="1"/>
        <rFont val="Calibri"/>
        <family val="2"/>
        <scheme val="minor"/>
      </rPr>
      <t>13340</t>
    </r>
    <r>
      <rPr>
        <sz val="10"/>
        <color theme="1"/>
        <rFont val="Calibri"/>
        <family val="2"/>
        <scheme val="minor"/>
      </rPr>
      <t xml:space="preserve"> - School Administrative Support Staff
</t>
    </r>
    <r>
      <rPr>
        <b/>
        <sz val="10"/>
        <color theme="1"/>
        <rFont val="Calibri"/>
        <family val="2"/>
        <scheme val="minor"/>
      </rPr>
      <t>13334</t>
    </r>
    <r>
      <rPr>
        <sz val="10"/>
        <color theme="1"/>
        <rFont val="Calibri"/>
        <family val="2"/>
        <scheme val="minor"/>
      </rPr>
      <t xml:space="preserve"> - School Counselor
</t>
    </r>
    <r>
      <rPr>
        <b/>
        <sz val="10"/>
        <color theme="1"/>
        <rFont val="Calibri"/>
        <family val="2"/>
        <scheme val="minor"/>
      </rPr>
      <t>03057</t>
    </r>
    <r>
      <rPr>
        <sz val="10"/>
        <color theme="1"/>
        <rFont val="Calibri"/>
        <family val="2"/>
        <scheme val="minor"/>
      </rPr>
      <t xml:space="preserve"> - School district police officer assigned to the school
</t>
    </r>
    <r>
      <rPr>
        <b/>
        <sz val="10"/>
        <color theme="1"/>
        <rFont val="Calibri"/>
        <family val="2"/>
        <scheme val="minor"/>
      </rPr>
      <t>03058</t>
    </r>
    <r>
      <rPr>
        <sz val="10"/>
        <color theme="1"/>
        <rFont val="Calibri"/>
        <family val="2"/>
        <scheme val="minor"/>
      </rPr>
      <t xml:space="preserve"> - School district police officer not assigned to the school
</t>
    </r>
    <r>
      <rPr>
        <b/>
        <sz val="10"/>
        <color theme="1"/>
        <rFont val="Calibri"/>
        <family val="2"/>
        <scheme val="minor"/>
      </rPr>
      <t>04885</t>
    </r>
    <r>
      <rPr>
        <sz val="10"/>
        <color theme="1"/>
        <rFont val="Calibri"/>
        <family val="2"/>
        <scheme val="minor"/>
      </rPr>
      <t xml:space="preserve"> - Security guard
</t>
    </r>
    <r>
      <rPr>
        <b/>
        <sz val="10"/>
        <color theme="1"/>
        <rFont val="Calibri"/>
        <family val="2"/>
        <scheme val="minor"/>
      </rPr>
      <t>04788</t>
    </r>
    <r>
      <rPr>
        <sz val="10"/>
        <color theme="1"/>
        <rFont val="Calibri"/>
        <family val="2"/>
        <scheme val="minor"/>
      </rPr>
      <t xml:space="preserve"> - Social worker
</t>
    </r>
    <r>
      <rPr>
        <b/>
        <sz val="10"/>
        <color theme="1"/>
        <rFont val="Calibri"/>
        <family val="2"/>
        <scheme val="minor"/>
      </rPr>
      <t>03422</t>
    </r>
    <r>
      <rPr>
        <sz val="10"/>
        <color theme="1"/>
        <rFont val="Calibri"/>
        <family val="2"/>
        <scheme val="minor"/>
      </rPr>
      <t xml:space="preserve"> - Staff member
</t>
    </r>
    <r>
      <rPr>
        <b/>
        <sz val="10"/>
        <color theme="1"/>
        <rFont val="Calibri"/>
        <family val="2"/>
        <scheme val="minor"/>
      </rPr>
      <t>00126</t>
    </r>
    <r>
      <rPr>
        <sz val="10"/>
        <color theme="1"/>
        <rFont val="Calibri"/>
        <family val="2"/>
        <scheme val="minor"/>
      </rPr>
      <t xml:space="preserve"> - Student
</t>
    </r>
    <r>
      <rPr>
        <b/>
        <sz val="10"/>
        <color theme="1"/>
        <rFont val="Calibri"/>
        <family val="2"/>
        <scheme val="minor"/>
      </rPr>
      <t>04730</t>
    </r>
    <r>
      <rPr>
        <sz val="10"/>
        <color theme="1"/>
        <rFont val="Calibri"/>
        <family val="2"/>
        <scheme val="minor"/>
      </rPr>
      <t xml:space="preserve"> - Student activity advisor/non athletic coach
</t>
    </r>
    <r>
      <rPr>
        <b/>
        <sz val="10"/>
        <color theme="1"/>
        <rFont val="Calibri"/>
        <family val="2"/>
        <scheme val="minor"/>
      </rPr>
      <t>03033</t>
    </r>
    <r>
      <rPr>
        <sz val="10"/>
        <color theme="1"/>
        <rFont val="Calibri"/>
        <family val="2"/>
        <scheme val="minor"/>
      </rPr>
      <t xml:space="preserve"> - Student enrolled in another school
</t>
    </r>
    <r>
      <rPr>
        <b/>
        <sz val="10"/>
        <color theme="1"/>
        <rFont val="Calibri"/>
        <family val="2"/>
        <scheme val="minor"/>
      </rPr>
      <t>03032</t>
    </r>
    <r>
      <rPr>
        <sz val="10"/>
        <color theme="1"/>
        <rFont val="Calibri"/>
        <family val="2"/>
        <scheme val="minor"/>
      </rPr>
      <t xml:space="preserve"> - Student enrolled in the school where the incident occurred
</t>
    </r>
    <r>
      <rPr>
        <b/>
        <sz val="10"/>
        <color theme="1"/>
        <rFont val="Calibri"/>
        <family val="2"/>
        <scheme val="minor"/>
      </rPr>
      <t>03034</t>
    </r>
    <r>
      <rPr>
        <sz val="10"/>
        <color theme="1"/>
        <rFont val="Calibri"/>
        <family val="2"/>
        <scheme val="minor"/>
      </rPr>
      <t xml:space="preserve"> - Student expelled or involuntarily withdrawn
</t>
    </r>
    <r>
      <rPr>
        <b/>
        <sz val="10"/>
        <color theme="1"/>
        <rFont val="Calibri"/>
        <family val="2"/>
        <scheme val="minor"/>
      </rPr>
      <t>13782</t>
    </r>
    <r>
      <rPr>
        <sz val="10"/>
        <color theme="1"/>
        <rFont val="Calibri"/>
        <family val="2"/>
        <scheme val="minor"/>
      </rPr>
      <t xml:space="preserve"> - Substitute teacher
</t>
    </r>
    <r>
      <rPr>
        <b/>
        <sz val="10"/>
        <color theme="1"/>
        <rFont val="Calibri"/>
        <family val="2"/>
        <scheme val="minor"/>
      </rPr>
      <t>04721</t>
    </r>
    <r>
      <rPr>
        <sz val="10"/>
        <color theme="1"/>
        <rFont val="Calibri"/>
        <family val="2"/>
        <scheme val="minor"/>
      </rPr>
      <t xml:space="preserve"> - Superintendent/commissioner
</t>
    </r>
    <r>
      <rPr>
        <b/>
        <sz val="10"/>
        <color theme="1"/>
        <rFont val="Calibri"/>
        <family val="2"/>
        <scheme val="minor"/>
      </rPr>
      <t>04732</t>
    </r>
    <r>
      <rPr>
        <sz val="10"/>
        <color theme="1"/>
        <rFont val="Calibri"/>
        <family val="2"/>
        <scheme val="minor"/>
      </rPr>
      <t xml:space="preserve"> - Teacher
</t>
    </r>
    <r>
      <rPr>
        <b/>
        <sz val="10"/>
        <color theme="1"/>
        <rFont val="Calibri"/>
        <family val="2"/>
        <scheme val="minor"/>
      </rPr>
      <t>09997</t>
    </r>
    <r>
      <rPr>
        <sz val="10"/>
        <color theme="1"/>
        <rFont val="Calibri"/>
        <family val="2"/>
        <scheme val="minor"/>
      </rPr>
      <t xml:space="preserve"> - Unknown
</t>
    </r>
  </si>
  <si>
    <t>001372</t>
  </si>
  <si>
    <t>IncidentPerpetratorType</t>
  </si>
  <si>
    <t>Incident Person Role Type</t>
  </si>
  <si>
    <t>The role or type of participation of a person in a discipline incident.</t>
  </si>
  <si>
    <r>
      <t>Victim</t>
    </r>
    <r>
      <rPr>
        <sz val="10"/>
        <color theme="1"/>
        <rFont val="Calibri"/>
        <family val="2"/>
        <scheme val="minor"/>
      </rPr>
      <t xml:space="preserve"> - Victim
</t>
    </r>
    <r>
      <rPr>
        <b/>
        <sz val="10"/>
        <color theme="1"/>
        <rFont val="Calibri"/>
        <family val="2"/>
        <scheme val="minor"/>
      </rPr>
      <t>Perpetrator</t>
    </r>
    <r>
      <rPr>
        <sz val="10"/>
        <color theme="1"/>
        <rFont val="Calibri"/>
        <family val="2"/>
        <scheme val="minor"/>
      </rPr>
      <t xml:space="preserve"> - Perpetrator
</t>
    </r>
    <r>
      <rPr>
        <b/>
        <sz val="10"/>
        <color theme="1"/>
        <rFont val="Calibri"/>
        <family val="2"/>
        <scheme val="minor"/>
      </rPr>
      <t>Witness</t>
    </r>
    <r>
      <rPr>
        <sz val="10"/>
        <color theme="1"/>
        <rFont val="Calibri"/>
        <family val="2"/>
        <scheme val="minor"/>
      </rPr>
      <t xml:space="preserve"> - Witness
</t>
    </r>
    <r>
      <rPr>
        <b/>
        <sz val="10"/>
        <color theme="1"/>
        <rFont val="Calibri"/>
        <family val="2"/>
        <scheme val="minor"/>
      </rPr>
      <t>Reporter</t>
    </r>
    <r>
      <rPr>
        <sz val="10"/>
        <color theme="1"/>
        <rFont val="Calibri"/>
        <family val="2"/>
        <scheme val="minor"/>
      </rPr>
      <t xml:space="preserve"> - Reporter
</t>
    </r>
  </si>
  <si>
    <t>001373</t>
  </si>
  <si>
    <t>IncidentPersonRoleType</t>
  </si>
  <si>
    <t>Incident Regulation Violated Description</t>
  </si>
  <si>
    <t>A description of the rule‚ regulation‚ or standard that was violated when an incident occurred (e.g.‚ the identification of a relevant law‚ conduct standard‚ or acceptable use policy).</t>
  </si>
  <si>
    <t>001374</t>
  </si>
  <si>
    <t>IncidentRegulationViolatedDescription</t>
  </si>
  <si>
    <t>Incident Related to Disability Manifestation</t>
  </si>
  <si>
    <t>An indication whether a student’s behavior (offense) was a manifestation of‚ or related to‚ a disability condition.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</si>
  <si>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</si>
  <si>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</si>
  <si>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</si>
  <si>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</si>
  <si>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An indication that the school resource officer or any other law enforcement official was notified about the incident‚ regardless of whether official action is taken.</t>
  </si>
  <si>
    <t>001376</t>
  </si>
  <si>
    <t>IncidentReportedToLawEnforcementIndicator</t>
  </si>
  <si>
    <t>Incident Reporter Type</t>
  </si>
  <si>
    <t>Information on the type of person who reported the incident. When known and/or if useful, use a more specific option code (e.g., "Counselor" rather than "Professional Staff").</t>
  </si>
  <si>
    <r>
      <t>00126</t>
    </r>
    <r>
      <rPr>
        <sz val="10"/>
        <color theme="1"/>
        <rFont val="Calibri"/>
        <family val="2"/>
        <scheme val="minor"/>
      </rPr>
      <t xml:space="preserve"> - Student
</t>
    </r>
    <r>
      <rPr>
        <b/>
        <sz val="10"/>
        <color theme="1"/>
        <rFont val="Calibri"/>
        <family val="2"/>
        <scheme val="minor"/>
      </rPr>
      <t>03032</t>
    </r>
    <r>
      <rPr>
        <sz val="10"/>
        <color theme="1"/>
        <rFont val="Calibri"/>
        <family val="2"/>
        <scheme val="minor"/>
      </rPr>
      <t xml:space="preserve"> - Student enrolled in the school where the incident occurred
</t>
    </r>
    <r>
      <rPr>
        <b/>
        <sz val="10"/>
        <color theme="1"/>
        <rFont val="Calibri"/>
        <family val="2"/>
        <scheme val="minor"/>
      </rPr>
      <t>03033</t>
    </r>
    <r>
      <rPr>
        <sz val="10"/>
        <color theme="1"/>
        <rFont val="Calibri"/>
        <family val="2"/>
        <scheme val="minor"/>
      </rPr>
      <t xml:space="preserve"> - Student enrolled in another school
</t>
    </r>
    <r>
      <rPr>
        <b/>
        <sz val="10"/>
        <color theme="1"/>
        <rFont val="Calibri"/>
        <family val="2"/>
        <scheme val="minor"/>
      </rPr>
      <t>03034</t>
    </r>
    <r>
      <rPr>
        <sz val="10"/>
        <color theme="1"/>
        <rFont val="Calibri"/>
        <family val="2"/>
        <scheme val="minor"/>
      </rPr>
      <t xml:space="preserve"> - Student expelled or involuntarily withdrawn
</t>
    </r>
    <r>
      <rPr>
        <b/>
        <sz val="10"/>
        <color theme="1"/>
        <rFont val="Calibri"/>
        <family val="2"/>
        <scheme val="minor"/>
      </rPr>
      <t>03422</t>
    </r>
    <r>
      <rPr>
        <sz val="10"/>
        <color theme="1"/>
        <rFont val="Calibri"/>
        <family val="2"/>
        <scheme val="minor"/>
      </rPr>
      <t xml:space="preserve"> - Staff member
</t>
    </r>
    <r>
      <rPr>
        <b/>
        <sz val="10"/>
        <color theme="1"/>
        <rFont val="Calibri"/>
        <family val="2"/>
        <scheme val="minor"/>
      </rPr>
      <t>03035</t>
    </r>
    <r>
      <rPr>
        <sz val="10"/>
        <color theme="1"/>
        <rFont val="Calibri"/>
        <family val="2"/>
        <scheme val="minor"/>
      </rPr>
      <t xml:space="preserve"> - Professional educational staff
</t>
    </r>
    <r>
      <rPr>
        <b/>
        <sz val="10"/>
        <color theme="1"/>
        <rFont val="Calibri"/>
        <family val="2"/>
        <scheme val="minor"/>
      </rPr>
      <t>04732</t>
    </r>
    <r>
      <rPr>
        <sz val="10"/>
        <color theme="1"/>
        <rFont val="Calibri"/>
        <family val="2"/>
        <scheme val="minor"/>
      </rPr>
      <t xml:space="preserve"> - Teacher
</t>
    </r>
    <r>
      <rPr>
        <b/>
        <sz val="10"/>
        <color theme="1"/>
        <rFont val="Calibri"/>
        <family val="2"/>
        <scheme val="minor"/>
      </rPr>
      <t>13782</t>
    </r>
    <r>
      <rPr>
        <sz val="10"/>
        <color theme="1"/>
        <rFont val="Calibri"/>
        <family val="2"/>
        <scheme val="minor"/>
      </rPr>
      <t xml:space="preserve"> - Substitute teacher
</t>
    </r>
    <r>
      <rPr>
        <b/>
        <sz val="10"/>
        <color theme="1"/>
        <rFont val="Calibri"/>
        <family val="2"/>
        <scheme val="minor"/>
      </rPr>
      <t>13335</t>
    </r>
    <r>
      <rPr>
        <sz val="10"/>
        <color theme="1"/>
        <rFont val="Calibri"/>
        <family val="2"/>
        <scheme val="minor"/>
      </rPr>
      <t xml:space="preserve"> - Librarians/Media Specialist
</t>
    </r>
    <r>
      <rPr>
        <b/>
        <sz val="10"/>
        <color theme="1"/>
        <rFont val="Calibri"/>
        <family val="2"/>
        <scheme val="minor"/>
      </rPr>
      <t>04725</t>
    </r>
    <r>
      <rPr>
        <sz val="10"/>
        <color theme="1"/>
        <rFont val="Calibri"/>
        <family val="2"/>
        <scheme val="minor"/>
      </rPr>
      <t xml:space="preserve"> - Counselor
</t>
    </r>
    <r>
      <rPr>
        <b/>
        <sz val="10"/>
        <color theme="1"/>
        <rFont val="Calibri"/>
        <family val="2"/>
        <scheme val="minor"/>
      </rPr>
      <t>13334</t>
    </r>
    <r>
      <rPr>
        <sz val="10"/>
        <color theme="1"/>
        <rFont val="Calibri"/>
        <family val="2"/>
        <scheme val="minor"/>
      </rPr>
      <t xml:space="preserve"> - School Counselor
</t>
    </r>
    <r>
      <rPr>
        <b/>
        <sz val="10"/>
        <color theme="1"/>
        <rFont val="Calibri"/>
        <family val="2"/>
        <scheme val="minor"/>
      </rPr>
      <t>04723</t>
    </r>
    <r>
      <rPr>
        <sz val="10"/>
        <color theme="1"/>
        <rFont val="Calibri"/>
        <family val="2"/>
        <scheme val="minor"/>
      </rPr>
      <t xml:space="preserve"> - Athletic coach
</t>
    </r>
    <r>
      <rPr>
        <b/>
        <sz val="10"/>
        <color theme="1"/>
        <rFont val="Calibri"/>
        <family val="2"/>
        <scheme val="minor"/>
      </rPr>
      <t>04730</t>
    </r>
    <r>
      <rPr>
        <sz val="10"/>
        <color theme="1"/>
        <rFont val="Calibri"/>
        <family val="2"/>
        <scheme val="minor"/>
      </rPr>
      <t xml:space="preserve"> - Student activity advisor/non athletic coach
</t>
    </r>
    <r>
      <rPr>
        <b/>
        <sz val="10"/>
        <color theme="1"/>
        <rFont val="Calibri"/>
        <family val="2"/>
        <scheme val="minor"/>
      </rPr>
      <t>13403</t>
    </r>
    <r>
      <rPr>
        <sz val="10"/>
        <color theme="1"/>
        <rFont val="Calibri"/>
        <family val="2"/>
        <scheme val="minor"/>
      </rPr>
      <t xml:space="preserve"> - Other Professional Staff
</t>
    </r>
    <r>
      <rPr>
        <b/>
        <sz val="10"/>
        <color theme="1"/>
        <rFont val="Calibri"/>
        <family val="2"/>
        <scheme val="minor"/>
      </rPr>
      <t>04783</t>
    </r>
    <r>
      <rPr>
        <sz val="10"/>
        <color theme="1"/>
        <rFont val="Calibri"/>
        <family val="2"/>
        <scheme val="minor"/>
      </rPr>
      <t xml:space="preserve"> - Registered nurse
</t>
    </r>
    <r>
      <rPr>
        <b/>
        <sz val="10"/>
        <color theme="1"/>
        <rFont val="Calibri"/>
        <family val="2"/>
        <scheme val="minor"/>
      </rPr>
      <t>04788</t>
    </r>
    <r>
      <rPr>
        <sz val="10"/>
        <color theme="1"/>
        <rFont val="Calibri"/>
        <family val="2"/>
        <scheme val="minor"/>
      </rPr>
      <t xml:space="preserve"> - Social worker
</t>
    </r>
    <r>
      <rPr>
        <b/>
        <sz val="10"/>
        <color theme="1"/>
        <rFont val="Calibri"/>
        <family val="2"/>
        <scheme val="minor"/>
      </rPr>
      <t>03041</t>
    </r>
    <r>
      <rPr>
        <sz val="10"/>
        <color theme="1"/>
        <rFont val="Calibri"/>
        <family val="2"/>
        <scheme val="minor"/>
      </rPr>
      <t xml:space="preserve"> - Administrator
</t>
    </r>
    <r>
      <rPr>
        <b/>
        <sz val="10"/>
        <color theme="1"/>
        <rFont val="Calibri"/>
        <family val="2"/>
        <scheme val="minor"/>
      </rPr>
      <t>04718</t>
    </r>
    <r>
      <rPr>
        <sz val="10"/>
        <color theme="1"/>
        <rFont val="Calibri"/>
        <family val="2"/>
        <scheme val="minor"/>
      </rPr>
      <t xml:space="preserve"> - Principal/headmaster/headmistress/head of school
</t>
    </r>
    <r>
      <rPr>
        <b/>
        <sz val="10"/>
        <color theme="1"/>
        <rFont val="Calibri"/>
        <family val="2"/>
        <scheme val="minor"/>
      </rPr>
      <t>04711</t>
    </r>
    <r>
      <rPr>
        <sz val="10"/>
        <color theme="1"/>
        <rFont val="Calibri"/>
        <family val="2"/>
        <scheme val="minor"/>
      </rPr>
      <t xml:space="preserve"> - Deputy/associate/vice /assistant principal
</t>
    </r>
    <r>
      <rPr>
        <b/>
        <sz val="10"/>
        <color theme="1"/>
        <rFont val="Calibri"/>
        <family val="2"/>
        <scheme val="minor"/>
      </rPr>
      <t>04710</t>
    </r>
    <r>
      <rPr>
        <sz val="10"/>
        <color theme="1"/>
        <rFont val="Calibri"/>
        <family val="2"/>
        <scheme val="minor"/>
      </rPr>
      <t xml:space="preserve"> - Dean/dean of instructions/dean of students/dean of boys/dean of girls/dean of student activities
</t>
    </r>
    <r>
      <rPr>
        <b/>
        <sz val="10"/>
        <color theme="1"/>
        <rFont val="Calibri"/>
        <family val="2"/>
        <scheme val="minor"/>
      </rPr>
      <t>04721</t>
    </r>
    <r>
      <rPr>
        <sz val="10"/>
        <color theme="1"/>
        <rFont val="Calibri"/>
        <family val="2"/>
        <scheme val="minor"/>
      </rPr>
      <t xml:space="preserve"> - Superintendent/commissioner
</t>
    </r>
    <r>
      <rPr>
        <b/>
        <sz val="10"/>
        <color theme="1"/>
        <rFont val="Calibri"/>
        <family val="2"/>
        <scheme val="minor"/>
      </rPr>
      <t>04712</t>
    </r>
    <r>
      <rPr>
        <sz val="10"/>
        <color theme="1"/>
        <rFont val="Calibri"/>
        <family val="2"/>
        <scheme val="minor"/>
      </rPr>
      <t xml:space="preserve"> - Deputy/associate/assistant superintendent/ commissioner
</t>
    </r>
    <r>
      <rPr>
        <b/>
        <sz val="10"/>
        <color theme="1"/>
        <rFont val="Calibri"/>
        <family val="2"/>
        <scheme val="minor"/>
      </rPr>
      <t>04708</t>
    </r>
    <r>
      <rPr>
        <sz val="10"/>
        <color theme="1"/>
        <rFont val="Calibri"/>
        <family val="2"/>
        <scheme val="minor"/>
      </rPr>
      <t xml:space="preserve"> - Board of education/school board/board of trustees member
</t>
    </r>
    <r>
      <rPr>
        <b/>
        <sz val="10"/>
        <color theme="1"/>
        <rFont val="Calibri"/>
        <family val="2"/>
        <scheme val="minor"/>
      </rPr>
      <t>13342</t>
    </r>
    <r>
      <rPr>
        <sz val="10"/>
        <color theme="1"/>
        <rFont val="Calibri"/>
        <family val="2"/>
        <scheme val="minor"/>
      </rPr>
      <t xml:space="preserve"> - All Other Support Staff
</t>
    </r>
    <r>
      <rPr>
        <b/>
        <sz val="10"/>
        <color theme="1"/>
        <rFont val="Calibri"/>
        <family val="2"/>
        <scheme val="minor"/>
      </rPr>
      <t>04864</t>
    </r>
    <r>
      <rPr>
        <sz val="10"/>
        <color theme="1"/>
        <rFont val="Calibri"/>
        <family val="2"/>
        <scheme val="minor"/>
      </rPr>
      <t xml:space="preserve"> - Bus driver
</t>
    </r>
    <r>
      <rPr>
        <b/>
        <sz val="10"/>
        <color theme="1"/>
        <rFont val="Calibri"/>
        <family val="2"/>
        <scheme val="minor"/>
      </rPr>
      <t>13340</t>
    </r>
    <r>
      <rPr>
        <sz val="10"/>
        <color theme="1"/>
        <rFont val="Calibri"/>
        <family val="2"/>
        <scheme val="minor"/>
      </rPr>
      <t xml:space="preserve"> - School Administrative Support Staff
</t>
    </r>
    <r>
      <rPr>
        <b/>
        <sz val="10"/>
        <color theme="1"/>
        <rFont val="Calibri"/>
        <family val="2"/>
        <scheme val="minor"/>
      </rPr>
      <t>04878</t>
    </r>
    <r>
      <rPr>
        <sz val="10"/>
        <color theme="1"/>
        <rFont val="Calibri"/>
        <family val="2"/>
        <scheme val="minor"/>
      </rPr>
      <t xml:space="preserve"> - Custodian
</t>
    </r>
    <r>
      <rPr>
        <b/>
        <sz val="10"/>
        <color theme="1"/>
        <rFont val="Calibri"/>
        <family val="2"/>
        <scheme val="minor"/>
      </rPr>
      <t>04877</t>
    </r>
    <r>
      <rPr>
        <sz val="10"/>
        <color theme="1"/>
        <rFont val="Calibri"/>
        <family val="2"/>
        <scheme val="minor"/>
      </rPr>
      <t xml:space="preserve"> - Cook/food preparer (food service staff)
</t>
    </r>
    <r>
      <rPr>
        <b/>
        <sz val="10"/>
        <color theme="1"/>
        <rFont val="Calibri"/>
        <family val="2"/>
        <scheme val="minor"/>
      </rPr>
      <t>13333</t>
    </r>
    <r>
      <rPr>
        <sz val="10"/>
        <color theme="1"/>
        <rFont val="Calibri"/>
        <family val="2"/>
        <scheme val="minor"/>
      </rPr>
      <t xml:space="preserve"> - Paraprofessionals/Instructional Aide
</t>
    </r>
    <r>
      <rPr>
        <b/>
        <sz val="10"/>
        <color theme="1"/>
        <rFont val="Calibri"/>
        <family val="2"/>
        <scheme val="minor"/>
      </rPr>
      <t>04885</t>
    </r>
    <r>
      <rPr>
        <sz val="10"/>
        <color theme="1"/>
        <rFont val="Calibri"/>
        <family val="2"/>
        <scheme val="minor"/>
      </rPr>
      <t xml:space="preserve"> - Security guard
</t>
    </r>
    <r>
      <rPr>
        <b/>
        <sz val="10"/>
        <color theme="1"/>
        <rFont val="Calibri"/>
        <family val="2"/>
        <scheme val="minor"/>
      </rPr>
      <t>03054</t>
    </r>
    <r>
      <rPr>
        <sz val="10"/>
        <color theme="1"/>
        <rFont val="Calibri"/>
        <family val="2"/>
        <scheme val="minor"/>
      </rPr>
      <t xml:space="preserve"> - Law enforcement officer
</t>
    </r>
    <r>
      <rPr>
        <b/>
        <sz val="10"/>
        <color theme="1"/>
        <rFont val="Calibri"/>
        <family val="2"/>
        <scheme val="minor"/>
      </rPr>
      <t>03055</t>
    </r>
    <r>
      <rPr>
        <sz val="10"/>
        <color theme="1"/>
        <rFont val="Calibri"/>
        <family val="2"/>
        <scheme val="minor"/>
      </rPr>
      <t xml:space="preserve"> - Municipal law enforcement officer assigned to the school
</t>
    </r>
    <r>
      <rPr>
        <b/>
        <sz val="10"/>
        <color theme="1"/>
        <rFont val="Calibri"/>
        <family val="2"/>
        <scheme val="minor"/>
      </rPr>
      <t>03056</t>
    </r>
    <r>
      <rPr>
        <sz val="10"/>
        <color theme="1"/>
        <rFont val="Calibri"/>
        <family val="2"/>
        <scheme val="minor"/>
      </rPr>
      <t xml:space="preserve"> - Municipal law enforcement officer not assigned to the school
</t>
    </r>
    <r>
      <rPr>
        <b/>
        <sz val="10"/>
        <color theme="1"/>
        <rFont val="Calibri"/>
        <family val="2"/>
        <scheme val="minor"/>
      </rPr>
      <t>03057</t>
    </r>
    <r>
      <rPr>
        <sz val="10"/>
        <color theme="1"/>
        <rFont val="Calibri"/>
        <family val="2"/>
        <scheme val="minor"/>
      </rPr>
      <t xml:space="preserve"> - School district police officer assigned to the school
</t>
    </r>
    <r>
      <rPr>
        <b/>
        <sz val="10"/>
        <color theme="1"/>
        <rFont val="Calibri"/>
        <family val="2"/>
        <scheme val="minor"/>
      </rPr>
      <t>03058</t>
    </r>
    <r>
      <rPr>
        <sz val="10"/>
        <color theme="1"/>
        <rFont val="Calibri"/>
        <family val="2"/>
        <scheme val="minor"/>
      </rPr>
      <t xml:space="preserve"> - School district police officer not assigned to the school
</t>
    </r>
    <r>
      <rPr>
        <b/>
        <sz val="10"/>
        <color theme="1"/>
        <rFont val="Calibri"/>
        <family val="2"/>
        <scheme val="minor"/>
      </rPr>
      <t>03059</t>
    </r>
    <r>
      <rPr>
        <sz val="10"/>
        <color theme="1"/>
        <rFont val="Calibri"/>
        <family val="2"/>
        <scheme val="minor"/>
      </rPr>
      <t xml:space="preserve"> - Nonschool personnel
</t>
    </r>
    <r>
      <rPr>
        <b/>
        <sz val="10"/>
        <color theme="1"/>
        <rFont val="Calibri"/>
        <family val="2"/>
        <scheme val="minor"/>
      </rPr>
      <t>00850</t>
    </r>
    <r>
      <rPr>
        <sz val="10"/>
        <color theme="1"/>
        <rFont val="Calibri"/>
        <family val="2"/>
        <scheme val="minor"/>
      </rPr>
      <t xml:space="preserve"> - Parent/guardian
</t>
    </r>
    <r>
      <rPr>
        <b/>
        <sz val="10"/>
        <color theme="1"/>
        <rFont val="Calibri"/>
        <family val="2"/>
        <scheme val="minor"/>
      </rPr>
      <t>03060</t>
    </r>
    <r>
      <rPr>
        <sz val="10"/>
        <color theme="1"/>
        <rFont val="Calibri"/>
        <family val="2"/>
        <scheme val="minor"/>
      </rPr>
      <t xml:space="preserve"> - Representative of visiting school
</t>
    </r>
    <r>
      <rPr>
        <b/>
        <sz val="10"/>
        <color theme="1"/>
        <rFont val="Calibri"/>
        <family val="2"/>
        <scheme val="minor"/>
      </rPr>
      <t>03061</t>
    </r>
    <r>
      <rPr>
        <sz val="10"/>
        <color theme="1"/>
        <rFont val="Calibri"/>
        <family val="2"/>
        <scheme val="minor"/>
      </rPr>
      <t xml:space="preserve"> - Other adult
</t>
    </r>
    <r>
      <rPr>
        <b/>
        <sz val="10"/>
        <color theme="1"/>
        <rFont val="Calibri"/>
        <family val="2"/>
        <scheme val="minor"/>
      </rPr>
      <t>03168</t>
    </r>
    <r>
      <rPr>
        <sz val="10"/>
        <color theme="1"/>
        <rFont val="Calibri"/>
        <family val="2"/>
        <scheme val="minor"/>
      </rPr>
      <t xml:space="preserve"> - Former student
</t>
    </r>
    <r>
      <rPr>
        <b/>
        <sz val="10"/>
        <color theme="1"/>
        <rFont val="Calibri"/>
        <family val="2"/>
        <scheme val="minor"/>
      </rPr>
      <t>03062</t>
    </r>
    <r>
      <rPr>
        <sz val="10"/>
        <color theme="1"/>
        <rFont val="Calibri"/>
        <family val="2"/>
        <scheme val="minor"/>
      </rPr>
      <t xml:space="preserve"> - Other nonstudent youth
</t>
    </r>
    <r>
      <rPr>
        <b/>
        <sz val="10"/>
        <color theme="1"/>
        <rFont val="Calibri"/>
        <family val="2"/>
        <scheme val="minor"/>
      </rPr>
      <t>09997</t>
    </r>
    <r>
      <rPr>
        <sz val="10"/>
        <color theme="1"/>
        <rFont val="Calibri"/>
        <family val="2"/>
        <scheme val="minor"/>
      </rPr>
      <t xml:space="preserve"> - Unknown
</t>
    </r>
  </si>
  <si>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</si>
  <si>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</si>
  <si>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</si>
  <si>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</si>
  <si>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</si>
  <si>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</si>
  <si>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</si>
  <si>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</si>
  <si>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r>
      <t>13765</t>
    </r>
    <r>
      <rPr>
        <sz val="10"/>
        <color theme="1"/>
        <rFont val="Calibri"/>
        <family val="2"/>
        <scheme val="minor"/>
      </rPr>
      <t xml:space="preserve"> - After classes
</t>
    </r>
    <r>
      <rPr>
        <b/>
        <sz val="10"/>
        <color theme="1"/>
        <rFont val="Calibri"/>
        <family val="2"/>
        <scheme val="minor"/>
      </rPr>
      <t>13761</t>
    </r>
    <r>
      <rPr>
        <sz val="10"/>
        <color theme="1"/>
        <rFont val="Calibri"/>
        <family val="2"/>
        <scheme val="minor"/>
      </rPr>
      <t xml:space="preserve"> - Before classes
</t>
    </r>
    <r>
      <rPr>
        <b/>
        <sz val="10"/>
        <color theme="1"/>
        <rFont val="Calibri"/>
        <family val="2"/>
        <scheme val="minor"/>
      </rPr>
      <t>13762</t>
    </r>
    <r>
      <rPr>
        <sz val="10"/>
        <color theme="1"/>
        <rFont val="Calibri"/>
        <family val="2"/>
        <scheme val="minor"/>
      </rPr>
      <t xml:space="preserve"> - During class
</t>
    </r>
    <r>
      <rPr>
        <b/>
        <sz val="10"/>
        <color theme="1"/>
        <rFont val="Calibri"/>
        <family val="2"/>
        <scheme val="minor"/>
      </rPr>
      <t>13764</t>
    </r>
    <r>
      <rPr>
        <sz val="10"/>
        <color theme="1"/>
        <rFont val="Calibri"/>
        <family val="2"/>
        <scheme val="minor"/>
      </rPr>
      <t xml:space="preserve"> - During lunch/recess
</t>
    </r>
    <r>
      <rPr>
        <b/>
        <sz val="10"/>
        <color theme="1"/>
        <rFont val="Calibri"/>
        <family val="2"/>
        <scheme val="minor"/>
      </rPr>
      <t>13763</t>
    </r>
    <r>
      <rPr>
        <sz val="10"/>
        <color theme="1"/>
        <rFont val="Calibri"/>
        <family val="2"/>
        <scheme val="minor"/>
      </rPr>
      <t xml:space="preserve"> - During passing
</t>
    </r>
    <r>
      <rPr>
        <b/>
        <sz val="10"/>
        <color theme="1"/>
        <rFont val="Calibri"/>
        <family val="2"/>
        <scheme val="minor"/>
      </rPr>
      <t>13770</t>
    </r>
    <r>
      <rPr>
        <sz val="10"/>
        <color theme="1"/>
        <rFont val="Calibri"/>
        <family val="2"/>
        <scheme val="minor"/>
      </rPr>
      <t xml:space="preserve"> - Nonschool-sponsored activity
</t>
    </r>
    <r>
      <rPr>
        <b/>
        <sz val="10"/>
        <color theme="1"/>
        <rFont val="Calibri"/>
        <family val="2"/>
        <scheme val="minor"/>
      </rPr>
      <t>13768</t>
    </r>
    <r>
      <rPr>
        <sz val="10"/>
        <color theme="1"/>
        <rFont val="Calibri"/>
        <family val="2"/>
        <scheme val="minor"/>
      </rPr>
      <t xml:space="preserve"> - On the way from school
</t>
    </r>
    <r>
      <rPr>
        <b/>
        <sz val="10"/>
        <color theme="1"/>
        <rFont val="Calibri"/>
        <family val="2"/>
        <scheme val="minor"/>
      </rPr>
      <t>13767</t>
    </r>
    <r>
      <rPr>
        <sz val="10"/>
        <color theme="1"/>
        <rFont val="Calibri"/>
        <family val="2"/>
        <scheme val="minor"/>
      </rPr>
      <t xml:space="preserve"> - On the way to school
</t>
    </r>
    <r>
      <rPr>
        <b/>
        <sz val="10"/>
        <color theme="1"/>
        <rFont val="Calibri"/>
        <family val="2"/>
        <scheme val="minor"/>
      </rPr>
      <t>13766</t>
    </r>
    <r>
      <rPr>
        <sz val="10"/>
        <color theme="1"/>
        <rFont val="Calibri"/>
        <family val="2"/>
        <scheme val="minor"/>
      </rPr>
      <t xml:space="preserve"> - Other time during school hours
</t>
    </r>
    <r>
      <rPr>
        <b/>
        <sz val="10"/>
        <color theme="1"/>
        <rFont val="Calibri"/>
        <family val="2"/>
        <scheme val="minor"/>
      </rPr>
      <t>13771</t>
    </r>
    <r>
      <rPr>
        <sz val="10"/>
        <color theme="1"/>
        <rFont val="Calibri"/>
        <family val="2"/>
        <scheme val="minor"/>
      </rPr>
      <t xml:space="preserve"> - Other time outside school hours
</t>
    </r>
    <r>
      <rPr>
        <b/>
        <sz val="10"/>
        <color theme="1"/>
        <rFont val="Calibri"/>
        <family val="2"/>
        <scheme val="minor"/>
      </rPr>
      <t>13769</t>
    </r>
    <r>
      <rPr>
        <sz val="10"/>
        <color theme="1"/>
        <rFont val="Calibri"/>
        <family val="2"/>
        <scheme val="minor"/>
      </rPr>
      <t xml:space="preserve"> - School-sponsored activity
</t>
    </r>
    <r>
      <rPr>
        <b/>
        <sz val="10"/>
        <color theme="1"/>
        <rFont val="Calibri"/>
        <family val="2"/>
        <scheme val="minor"/>
      </rPr>
      <t>13772</t>
    </r>
    <r>
      <rPr>
        <sz val="10"/>
        <color theme="1"/>
        <rFont val="Calibri"/>
        <family val="2"/>
        <scheme val="minor"/>
      </rPr>
      <t xml:space="preserve"> - Unknown
</t>
    </r>
  </si>
  <si>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</si>
  <si>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</si>
  <si>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</si>
  <si>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</si>
  <si>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</si>
  <si>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</si>
  <si>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</si>
  <si>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</si>
  <si>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</si>
  <si>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</si>
  <si>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</si>
  <si>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</si>
  <si>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</si>
  <si>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</si>
  <si>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</si>
  <si>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Information on the type of individual who witnessed the incident and can give a firsthand account of an incident that was seen‚ heard‚ or experienced.</t>
  </si>
  <si>
    <t>001380</t>
  </si>
  <si>
    <t>IncidentWitnessType</t>
  </si>
  <si>
    <t>Included in Counted Family Size</t>
  </si>
  <si>
    <t>Denotes whether this family member is counted in the family size as it pertains to the federal poverty level</t>
  </si>
  <si>
    <t>Early Learning -&gt; EL Family -&gt; Family/Household Information
Early Learning -&gt; Parent/Guardian
Early Learning -&gt; Parent/Guardian -&gt; Relationship</t>
  </si>
  <si>
    <t>001612</t>
  </si>
  <si>
    <t>IncludedInCountedFamilySize</t>
  </si>
  <si>
    <t>Inclusive Setting Indicator</t>
  </si>
  <si>
    <t>Indicates that services are provided to the child in a place where children of all abilities learn together.</t>
  </si>
  <si>
    <t>Early Learning -&gt; EL Child -&gt; Program
Early Learning -&gt; EL Organization -&gt; Organization Information
K12 -&gt; K12 Student -&gt; Individualized Program
K12 -&gt; K12 Student -&gt; Individualized Program -&gt; IDEA Placement</t>
  </si>
  <si>
    <t>001634</t>
  </si>
  <si>
    <t>InclusiveSettingIndicator</t>
  </si>
  <si>
    <t>Income Calculation Method</t>
  </si>
  <si>
    <t>The calculation method used by a program to determine total family income.</t>
  </si>
  <si>
    <r>
      <t>HeadStart</t>
    </r>
    <r>
      <rPr>
        <sz val="10"/>
        <color theme="1"/>
        <rFont val="Calibri"/>
        <family val="2"/>
        <scheme val="minor"/>
      </rPr>
      <t xml:space="preserve"> - Head Start calculation
</t>
    </r>
    <r>
      <rPr>
        <b/>
        <sz val="10"/>
        <color theme="1"/>
        <rFont val="Calibri"/>
        <family val="2"/>
        <scheme val="minor"/>
      </rPr>
      <t>StateSpecific</t>
    </r>
    <r>
      <rPr>
        <sz val="10"/>
        <color theme="1"/>
        <rFont val="Calibri"/>
        <family val="2"/>
        <scheme val="minor"/>
      </rPr>
      <t xml:space="preserve"> - State-specific calculation
</t>
    </r>
  </si>
  <si>
    <t>000334</t>
  </si>
  <si>
    <t>IncomeCalculationMethod</t>
  </si>
  <si>
    <t>Increased Learning Time Type</t>
  </si>
  <si>
    <t>The types of increased learning time provided.</t>
  </si>
  <si>
    <r>
      <t>LongerSchoolYear</t>
    </r>
    <r>
      <rPr>
        <sz val="10"/>
        <color theme="1"/>
        <rFont val="Calibri"/>
        <family val="2"/>
        <scheme val="minor"/>
      </rPr>
      <t xml:space="preserve"> - Longer School Year
</t>
    </r>
    <r>
      <rPr>
        <b/>
        <sz val="10"/>
        <color theme="1"/>
        <rFont val="Calibri"/>
        <family val="2"/>
        <scheme val="minor"/>
      </rPr>
      <t>LongerSchoolDay</t>
    </r>
    <r>
      <rPr>
        <sz val="10"/>
        <color theme="1"/>
        <rFont val="Calibri"/>
        <family val="2"/>
        <scheme val="minor"/>
      </rPr>
      <t xml:space="preserve"> - Longer School Day
</t>
    </r>
    <r>
      <rPr>
        <b/>
        <sz val="10"/>
        <color theme="1"/>
        <rFont val="Calibri"/>
        <family val="2"/>
        <scheme val="minor"/>
      </rPr>
      <t>BeforeOrAfterSchool</t>
    </r>
    <r>
      <rPr>
        <sz val="10"/>
        <color theme="1"/>
        <rFont val="Calibri"/>
        <family val="2"/>
        <scheme val="minor"/>
      </rPr>
      <t xml:space="preserve"> - Before or After School
</t>
    </r>
    <r>
      <rPr>
        <b/>
        <sz val="10"/>
        <color theme="1"/>
        <rFont val="Calibri"/>
        <family val="2"/>
        <scheme val="minor"/>
      </rPr>
      <t>SummerSchool</t>
    </r>
    <r>
      <rPr>
        <sz val="10"/>
        <color theme="1"/>
        <rFont val="Calibri"/>
        <family val="2"/>
        <scheme val="minor"/>
      </rPr>
      <t xml:space="preserve"> - Summer School
</t>
    </r>
    <r>
      <rPr>
        <b/>
        <sz val="10"/>
        <color theme="1"/>
        <rFont val="Calibri"/>
        <family val="2"/>
        <scheme val="minor"/>
      </rPr>
      <t>WeekendSchool</t>
    </r>
    <r>
      <rPr>
        <sz val="10"/>
        <color theme="1"/>
        <rFont val="Calibri"/>
        <family val="2"/>
        <scheme val="minor"/>
      </rPr>
      <t xml:space="preserve"> - Weekend School
</t>
    </r>
    <r>
      <rPr>
        <b/>
        <sz val="10"/>
        <color theme="1"/>
        <rFont val="Calibri"/>
        <family val="2"/>
        <scheme val="minor"/>
      </rPr>
      <t>Other</t>
    </r>
    <r>
      <rPr>
        <sz val="10"/>
        <color theme="1"/>
        <rFont val="Calibri"/>
        <family val="2"/>
        <scheme val="minor"/>
      </rPr>
      <t xml:space="preserve"> - Other
</t>
    </r>
  </si>
  <si>
    <t>000164</t>
  </si>
  <si>
    <t>IncreasedLearningTimeType</t>
  </si>
  <si>
    <t>Indebtedness Amount Allowed</t>
  </si>
  <si>
    <t>The amount of indebtedness allowed by law to be carried by the school district.</t>
  </si>
  <si>
    <t>K12 -&gt; LEA -&gt; Finance</t>
  </si>
  <si>
    <t>001893</t>
  </si>
  <si>
    <t>IndebtednessAmountAllowed</t>
  </si>
  <si>
    <t>Individualized Program Accommodation Applicability</t>
  </si>
  <si>
    <t>Circumstances in which the accommodation or change to standards or practices will be applied.</t>
  </si>
  <si>
    <t>K12 -&gt; K12 Student -&gt; Individualized Program -&gt; Accommodation</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</si>
  <si>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</si>
  <si>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</si>
  <si>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</si>
  <si>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</si>
  <si>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</si>
  <si>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</si>
  <si>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Individualized Program Date</t>
  </si>
  <si>
    <t>The year, month and day on which the status of an individualized program for a student is significantly altered.</t>
  </si>
  <si>
    <t>Early Learning -&gt; EL Child -&gt; Individualized Program
K12 -&gt; K12 Student -&gt; Individualized Program</t>
  </si>
  <si>
    <t>001232</t>
  </si>
  <si>
    <t>IndividualizedProgramDate</t>
  </si>
  <si>
    <t>Individualized Program Inclusion Minutes Per Week</t>
  </si>
  <si>
    <t>The number of minutes per week that a student with disabilities is served in a special education setting separate from his or her non-disabled peers.</t>
  </si>
  <si>
    <t>Early Learning -&gt; EL Child -&gt; Individualized Program
K12 -&gt; K12 Student -&gt; Individualized Program
K12 -&gt; K12 Student -&gt; Individualized Program -&gt; IDEA Placement</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</si>
  <si>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</si>
  <si>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</si>
  <si>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</si>
  <si>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</si>
  <si>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</si>
  <si>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</si>
  <si>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</si>
  <si>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</si>
  <si>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</si>
  <si>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</si>
  <si>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</si>
  <si>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</si>
  <si>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r>
      <t>Daily</t>
    </r>
    <r>
      <rPr>
        <sz val="10"/>
        <color theme="1"/>
        <rFont val="Calibri"/>
        <family val="2"/>
        <scheme val="minor"/>
      </rPr>
      <t xml:space="preserve"> - Daily
</t>
    </r>
    <r>
      <rPr>
        <b/>
        <sz val="10"/>
        <color theme="1"/>
        <rFont val="Calibri"/>
        <family val="2"/>
        <scheme val="minor"/>
      </rPr>
      <t>Weekly</t>
    </r>
    <r>
      <rPr>
        <sz val="10"/>
        <color theme="1"/>
        <rFont val="Calibri"/>
        <family val="2"/>
        <scheme val="minor"/>
      </rPr>
      <t xml:space="preserve"> - Weekly
</t>
    </r>
    <r>
      <rPr>
        <b/>
        <sz val="10"/>
        <color theme="1"/>
        <rFont val="Calibri"/>
        <family val="2"/>
        <scheme val="minor"/>
      </rPr>
      <t>Biweekly</t>
    </r>
    <r>
      <rPr>
        <sz val="10"/>
        <color theme="1"/>
        <rFont val="Calibri"/>
        <family val="2"/>
        <scheme val="minor"/>
      </rPr>
      <t xml:space="preserve"> - Biweekly
</t>
    </r>
    <r>
      <rPr>
        <b/>
        <sz val="10"/>
        <color theme="1"/>
        <rFont val="Calibri"/>
        <family val="2"/>
        <scheme val="minor"/>
      </rPr>
      <t>Monthly</t>
    </r>
    <r>
      <rPr>
        <sz val="10"/>
        <color theme="1"/>
        <rFont val="Calibri"/>
        <family val="2"/>
        <scheme val="minor"/>
      </rPr>
      <t xml:space="preserve"> - Monthly
</t>
    </r>
    <r>
      <rPr>
        <b/>
        <sz val="10"/>
        <color theme="1"/>
        <rFont val="Calibri"/>
        <family val="2"/>
        <scheme val="minor"/>
      </rPr>
      <t>Bimonthly</t>
    </r>
    <r>
      <rPr>
        <sz val="10"/>
        <color theme="1"/>
        <rFont val="Calibri"/>
        <family val="2"/>
        <scheme val="minor"/>
      </rPr>
      <t xml:space="preserve"> - Bimonthly
</t>
    </r>
    <r>
      <rPr>
        <b/>
        <sz val="10"/>
        <color theme="1"/>
        <rFont val="Calibri"/>
        <family val="2"/>
        <scheme val="minor"/>
      </rPr>
      <t>Quarterly</t>
    </r>
    <r>
      <rPr>
        <sz val="10"/>
        <color theme="1"/>
        <rFont val="Calibri"/>
        <family val="2"/>
        <scheme val="minor"/>
      </rPr>
      <t xml:space="preserve"> - Quarterly
</t>
    </r>
    <r>
      <rPr>
        <b/>
        <sz val="10"/>
        <color theme="1"/>
        <rFont val="Calibri"/>
        <family val="2"/>
        <scheme val="minor"/>
      </rPr>
      <t>Semiannually</t>
    </r>
    <r>
      <rPr>
        <sz val="10"/>
        <color theme="1"/>
        <rFont val="Calibri"/>
        <family val="2"/>
        <scheme val="minor"/>
      </rPr>
      <t xml:space="preserve"> - Semiannually
</t>
    </r>
    <r>
      <rPr>
        <b/>
        <sz val="10"/>
        <color theme="1"/>
        <rFont val="Calibri"/>
        <family val="2"/>
        <scheme val="minor"/>
      </rPr>
      <t>Annually</t>
    </r>
    <r>
      <rPr>
        <sz val="10"/>
        <color theme="1"/>
        <rFont val="Calibri"/>
        <family val="2"/>
        <scheme val="minor"/>
      </rPr>
      <t xml:space="preserve"> - Annually
</t>
    </r>
    <r>
      <rPr>
        <b/>
        <sz val="10"/>
        <color theme="1"/>
        <rFont val="Calibri"/>
        <family val="2"/>
        <scheme val="minor"/>
      </rPr>
      <t>Other</t>
    </r>
    <r>
      <rPr>
        <sz val="10"/>
        <color theme="1"/>
        <rFont val="Calibri"/>
        <family val="2"/>
        <scheme val="minor"/>
      </rPr>
      <t xml:space="preserve"> - Other
</t>
    </r>
  </si>
  <si>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</si>
  <si>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</si>
  <si>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</si>
  <si>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</si>
  <si>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</si>
  <si>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</si>
  <si>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</si>
  <si>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</si>
  <si>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</si>
  <si>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r>
      <t>01</t>
    </r>
    <r>
      <rPr>
        <sz val="10"/>
        <color theme="1"/>
        <rFont val="Calibri"/>
        <family val="2"/>
        <scheme val="minor"/>
      </rPr>
      <t xml:space="preserve"> - Assistive technology services
</t>
    </r>
    <r>
      <rPr>
        <b/>
        <sz val="10"/>
        <color theme="1"/>
        <rFont val="Calibri"/>
        <family val="2"/>
        <scheme val="minor"/>
      </rPr>
      <t>02</t>
    </r>
    <r>
      <rPr>
        <sz val="10"/>
        <color theme="1"/>
        <rFont val="Calibri"/>
        <family val="2"/>
        <scheme val="minor"/>
      </rPr>
      <t xml:space="preserve"> - Audiology services
</t>
    </r>
    <r>
      <rPr>
        <b/>
        <sz val="10"/>
        <color theme="1"/>
        <rFont val="Calibri"/>
        <family val="2"/>
        <scheme val="minor"/>
      </rPr>
      <t>03</t>
    </r>
    <r>
      <rPr>
        <sz val="10"/>
        <color theme="1"/>
        <rFont val="Calibri"/>
        <family val="2"/>
        <scheme val="minor"/>
      </rPr>
      <t xml:space="preserve"> - Family training/counseling services
</t>
    </r>
    <r>
      <rPr>
        <b/>
        <sz val="10"/>
        <color theme="1"/>
        <rFont val="Calibri"/>
        <family val="2"/>
        <scheme val="minor"/>
      </rPr>
      <t>04</t>
    </r>
    <r>
      <rPr>
        <sz val="10"/>
        <color theme="1"/>
        <rFont val="Calibri"/>
        <family val="2"/>
        <scheme val="minor"/>
      </rPr>
      <t xml:space="preserve"> - Health services
</t>
    </r>
    <r>
      <rPr>
        <b/>
        <sz val="10"/>
        <color theme="1"/>
        <rFont val="Calibri"/>
        <family val="2"/>
        <scheme val="minor"/>
      </rPr>
      <t>05</t>
    </r>
    <r>
      <rPr>
        <sz val="10"/>
        <color theme="1"/>
        <rFont val="Calibri"/>
        <family val="2"/>
        <scheme val="minor"/>
      </rPr>
      <t xml:space="preserve"> - Medical services
</t>
    </r>
    <r>
      <rPr>
        <b/>
        <sz val="10"/>
        <color theme="1"/>
        <rFont val="Calibri"/>
        <family val="2"/>
        <scheme val="minor"/>
      </rPr>
      <t>06</t>
    </r>
    <r>
      <rPr>
        <sz val="10"/>
        <color theme="1"/>
        <rFont val="Calibri"/>
        <family val="2"/>
        <scheme val="minor"/>
      </rPr>
      <t xml:space="preserve"> - Nursing services
</t>
    </r>
    <r>
      <rPr>
        <b/>
        <sz val="10"/>
        <color theme="1"/>
        <rFont val="Calibri"/>
        <family val="2"/>
        <scheme val="minor"/>
      </rPr>
      <t>07</t>
    </r>
    <r>
      <rPr>
        <sz val="10"/>
        <color theme="1"/>
        <rFont val="Calibri"/>
        <family val="2"/>
        <scheme val="minor"/>
      </rPr>
      <t xml:space="preserve"> - Nutrition services
</t>
    </r>
    <r>
      <rPr>
        <b/>
        <sz val="10"/>
        <color theme="1"/>
        <rFont val="Calibri"/>
        <family val="2"/>
        <scheme val="minor"/>
      </rPr>
      <t>08</t>
    </r>
    <r>
      <rPr>
        <sz val="10"/>
        <color theme="1"/>
        <rFont val="Calibri"/>
        <family val="2"/>
        <scheme val="minor"/>
      </rPr>
      <t xml:space="preserve"> - Occupational therapy
</t>
    </r>
    <r>
      <rPr>
        <b/>
        <sz val="10"/>
        <color theme="1"/>
        <rFont val="Calibri"/>
        <family val="2"/>
        <scheme val="minor"/>
      </rPr>
      <t>09</t>
    </r>
    <r>
      <rPr>
        <sz val="10"/>
        <color theme="1"/>
        <rFont val="Calibri"/>
        <family val="2"/>
        <scheme val="minor"/>
      </rPr>
      <t xml:space="preserve"> - Physical therapy
</t>
    </r>
    <r>
      <rPr>
        <b/>
        <sz val="10"/>
        <color theme="1"/>
        <rFont val="Calibri"/>
        <family val="2"/>
        <scheme val="minor"/>
      </rPr>
      <t>10</t>
    </r>
    <r>
      <rPr>
        <sz val="10"/>
        <color theme="1"/>
        <rFont val="Calibri"/>
        <family val="2"/>
        <scheme val="minor"/>
      </rPr>
      <t xml:space="preserve"> - Psychological services
</t>
    </r>
    <r>
      <rPr>
        <b/>
        <sz val="10"/>
        <color theme="1"/>
        <rFont val="Calibri"/>
        <family val="2"/>
        <scheme val="minor"/>
      </rPr>
      <t>11</t>
    </r>
    <r>
      <rPr>
        <sz val="10"/>
        <color theme="1"/>
        <rFont val="Calibri"/>
        <family val="2"/>
        <scheme val="minor"/>
      </rPr>
      <t xml:space="preserve"> - Sign language and cued language services
</t>
    </r>
    <r>
      <rPr>
        <b/>
        <sz val="10"/>
        <color theme="1"/>
        <rFont val="Calibri"/>
        <family val="2"/>
        <scheme val="minor"/>
      </rPr>
      <t>12</t>
    </r>
    <r>
      <rPr>
        <sz val="10"/>
        <color theme="1"/>
        <rFont val="Calibri"/>
        <family val="2"/>
        <scheme val="minor"/>
      </rPr>
      <t xml:space="preserve"> - Service coordination
</t>
    </r>
    <r>
      <rPr>
        <b/>
        <sz val="10"/>
        <color theme="1"/>
        <rFont val="Calibri"/>
        <family val="2"/>
        <scheme val="minor"/>
      </rPr>
      <t>13</t>
    </r>
    <r>
      <rPr>
        <sz val="10"/>
        <color theme="1"/>
        <rFont val="Calibri"/>
        <family val="2"/>
        <scheme val="minor"/>
      </rPr>
      <t xml:space="preserve"> - Social work services
</t>
    </r>
    <r>
      <rPr>
        <b/>
        <sz val="10"/>
        <color theme="1"/>
        <rFont val="Calibri"/>
        <family val="2"/>
        <scheme val="minor"/>
      </rPr>
      <t>14</t>
    </r>
    <r>
      <rPr>
        <sz val="10"/>
        <color theme="1"/>
        <rFont val="Calibri"/>
        <family val="2"/>
        <scheme val="minor"/>
      </rPr>
      <t xml:space="preserve"> - Special instruction
</t>
    </r>
    <r>
      <rPr>
        <b/>
        <sz val="10"/>
        <color theme="1"/>
        <rFont val="Calibri"/>
        <family val="2"/>
        <scheme val="minor"/>
      </rPr>
      <t>15</t>
    </r>
    <r>
      <rPr>
        <sz val="10"/>
        <color theme="1"/>
        <rFont val="Calibri"/>
        <family val="2"/>
        <scheme val="minor"/>
      </rPr>
      <t xml:space="preserve"> - Speech-language pathology services
</t>
    </r>
    <r>
      <rPr>
        <b/>
        <sz val="10"/>
        <color theme="1"/>
        <rFont val="Calibri"/>
        <family val="2"/>
        <scheme val="minor"/>
      </rPr>
      <t>16</t>
    </r>
    <r>
      <rPr>
        <sz val="10"/>
        <color theme="1"/>
        <rFont val="Calibri"/>
        <family val="2"/>
        <scheme val="minor"/>
      </rPr>
      <t xml:space="preserve"> - Vision services
</t>
    </r>
    <r>
      <rPr>
        <b/>
        <sz val="10"/>
        <color theme="1"/>
        <rFont val="Calibri"/>
        <family val="2"/>
        <scheme val="minor"/>
      </rPr>
      <t>99</t>
    </r>
    <r>
      <rPr>
        <sz val="10"/>
        <color theme="1"/>
        <rFont val="Calibri"/>
        <family val="2"/>
        <scheme val="minor"/>
      </rPr>
      <t xml:space="preserve"> - Other
</t>
    </r>
  </si>
  <si>
    <t>001383</t>
  </si>
  <si>
    <t>IndividualizedProgramPlannedServiceType</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</si>
  <si>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</si>
  <si>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</si>
  <si>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</si>
  <si>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</si>
  <si>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</si>
  <si>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</si>
  <si>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</si>
  <si>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</si>
  <si>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</si>
  <si>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t>
  </si>
  <si>
    <t>The year, month and day on which the status of the service plan for a child is established or significantly altered.</t>
  </si>
  <si>
    <t>001236</t>
  </si>
  <si>
    <t>IndividualizedProgramServicePlanDate</t>
  </si>
  <si>
    <t>Individualized Program Service Plan Date Type</t>
  </si>
  <si>
    <t>An indication of the significance of a date to an individualized program.</t>
  </si>
  <si>
    <r>
      <t>Development</t>
    </r>
    <r>
      <rPr>
        <sz val="10"/>
        <color theme="1"/>
        <rFont val="Calibri"/>
        <family val="2"/>
        <scheme val="minor"/>
      </rPr>
      <t xml:space="preserve"> - Development date
</t>
    </r>
    <r>
      <rPr>
        <b/>
        <sz val="10"/>
        <color theme="1"/>
        <rFont val="Calibri"/>
        <family val="2"/>
        <scheme val="minor"/>
      </rPr>
      <t>Implementation</t>
    </r>
    <r>
      <rPr>
        <sz val="10"/>
        <color theme="1"/>
        <rFont val="Calibri"/>
        <family val="2"/>
        <scheme val="minor"/>
      </rPr>
      <t xml:space="preserve"> - Implementation date
</t>
    </r>
    <r>
      <rPr>
        <b/>
        <sz val="10"/>
        <color theme="1"/>
        <rFont val="Calibri"/>
        <family val="2"/>
        <scheme val="minor"/>
      </rPr>
      <t>TentativeRevision</t>
    </r>
    <r>
      <rPr>
        <sz val="10"/>
        <color theme="1"/>
        <rFont val="Calibri"/>
        <family val="2"/>
        <scheme val="minor"/>
      </rPr>
      <t xml:space="preserve"> - Tentative revision date
</t>
    </r>
    <r>
      <rPr>
        <b/>
        <sz val="10"/>
        <color theme="1"/>
        <rFont val="Calibri"/>
        <family val="2"/>
        <scheme val="minor"/>
      </rPr>
      <t>Revision</t>
    </r>
    <r>
      <rPr>
        <sz val="10"/>
        <color theme="1"/>
        <rFont val="Calibri"/>
        <family val="2"/>
        <scheme val="minor"/>
      </rPr>
      <t xml:space="preserve"> - Revision date
</t>
    </r>
    <r>
      <rPr>
        <b/>
        <sz val="10"/>
        <color theme="1"/>
        <rFont val="Calibri"/>
        <family val="2"/>
        <scheme val="minor"/>
      </rPr>
      <t>Other</t>
    </r>
    <r>
      <rPr>
        <sz val="10"/>
        <color theme="1"/>
        <rFont val="Calibri"/>
        <family val="2"/>
        <scheme val="minor"/>
      </rPr>
      <t xml:space="preserve"> - Other
</t>
    </r>
  </si>
  <si>
    <t>001231</t>
  </si>
  <si>
    <t>IndividualizedProgramDateType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</si>
  <si>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</si>
  <si>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</si>
  <si>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</si>
  <si>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</si>
  <si>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</si>
  <si>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</si>
  <si>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</si>
  <si>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</si>
  <si>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Meeting Location</t>
  </si>
  <si>
    <t>The place in which a child's service plan meeting is held.</t>
  </si>
  <si>
    <r>
      <t>02192</t>
    </r>
    <r>
      <rPr>
        <sz val="10"/>
        <color theme="1"/>
        <rFont val="Calibri"/>
        <family val="2"/>
        <scheme val="minor"/>
      </rPr>
      <t xml:space="preserve"> - Home
</t>
    </r>
    <r>
      <rPr>
        <b/>
        <sz val="10"/>
        <color theme="1"/>
        <rFont val="Calibri"/>
        <family val="2"/>
        <scheme val="minor"/>
      </rPr>
      <t>00754</t>
    </r>
    <r>
      <rPr>
        <sz val="10"/>
        <color theme="1"/>
        <rFont val="Calibri"/>
        <family val="2"/>
        <scheme val="minor"/>
      </rPr>
      <t xml:space="preserve"> - Hospital
</t>
    </r>
    <r>
      <rPr>
        <b/>
        <sz val="10"/>
        <color theme="1"/>
        <rFont val="Calibri"/>
        <family val="2"/>
        <scheme val="minor"/>
      </rPr>
      <t>06008</t>
    </r>
    <r>
      <rPr>
        <sz val="10"/>
        <color theme="1"/>
        <rFont val="Calibri"/>
        <family val="2"/>
        <scheme val="minor"/>
      </rPr>
      <t xml:space="preserve"> - Outpatient hospital
</t>
    </r>
    <r>
      <rPr>
        <b/>
        <sz val="10"/>
        <color theme="1"/>
        <rFont val="Calibri"/>
        <family val="2"/>
        <scheme val="minor"/>
      </rPr>
      <t>06009</t>
    </r>
    <r>
      <rPr>
        <sz val="10"/>
        <color theme="1"/>
        <rFont val="Calibri"/>
        <family val="2"/>
        <scheme val="minor"/>
      </rPr>
      <t xml:space="preserve"> - Ambulatory care center
</t>
    </r>
    <r>
      <rPr>
        <b/>
        <sz val="10"/>
        <color theme="1"/>
        <rFont val="Calibri"/>
        <family val="2"/>
        <scheme val="minor"/>
      </rPr>
      <t>06010</t>
    </r>
    <r>
      <rPr>
        <sz val="10"/>
        <color theme="1"/>
        <rFont val="Calibri"/>
        <family val="2"/>
        <scheme val="minor"/>
      </rPr>
      <t xml:space="preserve"> - Primary care health provider office
</t>
    </r>
    <r>
      <rPr>
        <b/>
        <sz val="10"/>
        <color theme="1"/>
        <rFont val="Calibri"/>
        <family val="2"/>
        <scheme val="minor"/>
      </rPr>
      <t>01535</t>
    </r>
    <r>
      <rPr>
        <sz val="10"/>
        <color theme="1"/>
        <rFont val="Calibri"/>
        <family val="2"/>
        <scheme val="minor"/>
      </rPr>
      <t xml:space="preserve"> - Child care
</t>
    </r>
    <r>
      <rPr>
        <b/>
        <sz val="10"/>
        <color theme="1"/>
        <rFont val="Calibri"/>
        <family val="2"/>
        <scheme val="minor"/>
      </rPr>
      <t>00127</t>
    </r>
    <r>
      <rPr>
        <sz val="10"/>
        <color theme="1"/>
        <rFont val="Calibri"/>
        <family val="2"/>
        <scheme val="minor"/>
      </rPr>
      <t xml:space="preserve"> - Early intervention classroom/center
</t>
    </r>
    <r>
      <rPr>
        <b/>
        <sz val="10"/>
        <color theme="1"/>
        <rFont val="Calibri"/>
        <family val="2"/>
        <scheme val="minor"/>
      </rPr>
      <t>00066</t>
    </r>
    <r>
      <rPr>
        <sz val="10"/>
        <color theme="1"/>
        <rFont val="Calibri"/>
        <family val="2"/>
        <scheme val="minor"/>
      </rPr>
      <t xml:space="preserve"> - Local education agency
</t>
    </r>
    <r>
      <rPr>
        <b/>
        <sz val="10"/>
        <color theme="1"/>
        <rFont val="Calibri"/>
        <family val="2"/>
        <scheme val="minor"/>
      </rPr>
      <t>06011</t>
    </r>
    <r>
      <rPr>
        <sz val="10"/>
        <color theme="1"/>
        <rFont val="Calibri"/>
        <family val="2"/>
        <scheme val="minor"/>
      </rPr>
      <t xml:space="preserve"> - Public health facility
</t>
    </r>
    <r>
      <rPr>
        <b/>
        <sz val="10"/>
        <color theme="1"/>
        <rFont val="Calibri"/>
        <family val="2"/>
        <scheme val="minor"/>
      </rPr>
      <t>06012</t>
    </r>
    <r>
      <rPr>
        <sz val="10"/>
        <color theme="1"/>
        <rFont val="Calibri"/>
        <family val="2"/>
        <scheme val="minor"/>
      </rPr>
      <t xml:space="preserve"> - Social service agency
</t>
    </r>
    <r>
      <rPr>
        <b/>
        <sz val="10"/>
        <color theme="1"/>
        <rFont val="Calibri"/>
        <family val="2"/>
        <scheme val="minor"/>
      </rPr>
      <t>06013</t>
    </r>
    <r>
      <rPr>
        <sz val="10"/>
        <color theme="1"/>
        <rFont val="Calibri"/>
        <family val="2"/>
        <scheme val="minor"/>
      </rPr>
      <t xml:space="preserve"> - Other health care provider location
</t>
    </r>
    <r>
      <rPr>
        <b/>
        <sz val="10"/>
        <color theme="1"/>
        <rFont val="Calibri"/>
        <family val="2"/>
        <scheme val="minor"/>
      </rPr>
      <t>00752</t>
    </r>
    <r>
      <rPr>
        <sz val="10"/>
        <color theme="1"/>
        <rFont val="Calibri"/>
        <family val="2"/>
        <scheme val="minor"/>
      </rPr>
      <t xml:space="preserve"> - Community facility
</t>
    </r>
    <r>
      <rPr>
        <b/>
        <sz val="10"/>
        <color theme="1"/>
        <rFont val="Calibri"/>
        <family val="2"/>
        <scheme val="minor"/>
      </rPr>
      <t>09999</t>
    </r>
    <r>
      <rPr>
        <sz val="10"/>
        <color theme="1"/>
        <rFont val="Calibri"/>
        <family val="2"/>
        <scheme val="minor"/>
      </rPr>
      <t xml:space="preserve"> - Other
</t>
    </r>
  </si>
  <si>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</si>
  <si>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</si>
  <si>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</si>
  <si>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</si>
  <si>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</si>
  <si>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</si>
  <si>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</si>
  <si>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</si>
  <si>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</si>
  <si>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</si>
  <si>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</si>
  <si>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</si>
  <si>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</si>
  <si>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</si>
  <si>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</si>
  <si>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</si>
  <si>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</si>
  <si>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r>
      <t>Daily</t>
    </r>
    <r>
      <rPr>
        <sz val="10"/>
        <color theme="1"/>
        <rFont val="Calibri"/>
        <family val="2"/>
        <scheme val="minor"/>
      </rPr>
      <t xml:space="preserve"> - Daily
</t>
    </r>
    <r>
      <rPr>
        <b/>
        <sz val="10"/>
        <color theme="1"/>
        <rFont val="Calibri"/>
        <family val="2"/>
        <scheme val="minor"/>
      </rPr>
      <t>Weekly</t>
    </r>
    <r>
      <rPr>
        <sz val="10"/>
        <color theme="1"/>
        <rFont val="Calibri"/>
        <family val="2"/>
        <scheme val="minor"/>
      </rPr>
      <t xml:space="preserve"> - Weekly
</t>
    </r>
    <r>
      <rPr>
        <b/>
        <sz val="10"/>
        <color theme="1"/>
        <rFont val="Calibri"/>
        <family val="2"/>
        <scheme val="minor"/>
      </rPr>
      <t>Monthly</t>
    </r>
    <r>
      <rPr>
        <sz val="10"/>
        <color theme="1"/>
        <rFont val="Calibri"/>
        <family val="2"/>
        <scheme val="minor"/>
      </rPr>
      <t xml:space="preserve"> - Monthly
</t>
    </r>
    <r>
      <rPr>
        <b/>
        <sz val="10"/>
        <color theme="1"/>
        <rFont val="Calibri"/>
        <family val="2"/>
        <scheme val="minor"/>
      </rPr>
      <t>Quarterly</t>
    </r>
    <r>
      <rPr>
        <sz val="10"/>
        <color theme="1"/>
        <rFont val="Calibri"/>
        <family val="2"/>
        <scheme val="minor"/>
      </rPr>
      <t xml:space="preserve"> - Quarterly
</t>
    </r>
    <r>
      <rPr>
        <b/>
        <sz val="10"/>
        <color theme="1"/>
        <rFont val="Calibri"/>
        <family val="2"/>
        <scheme val="minor"/>
      </rPr>
      <t>Term</t>
    </r>
    <r>
      <rPr>
        <sz val="10"/>
        <color theme="1"/>
        <rFont val="Calibri"/>
        <family val="2"/>
        <scheme val="minor"/>
      </rPr>
      <t xml:space="preserve"> - Term
</t>
    </r>
    <r>
      <rPr>
        <b/>
        <sz val="10"/>
        <color theme="1"/>
        <rFont val="Calibri"/>
        <family val="2"/>
        <scheme val="minor"/>
      </rPr>
      <t>Other</t>
    </r>
    <r>
      <rPr>
        <sz val="10"/>
        <color theme="1"/>
        <rFont val="Calibri"/>
        <family val="2"/>
        <scheme val="minor"/>
      </rPr>
      <t xml:space="preserve"> - Other
</t>
    </r>
  </si>
  <si>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</si>
  <si>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</si>
  <si>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</si>
  <si>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</si>
  <si>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r>
      <t>Reportcard</t>
    </r>
    <r>
      <rPr>
        <sz val="10"/>
        <color theme="1"/>
        <rFont val="Calibri"/>
        <family val="2"/>
        <scheme val="minor"/>
      </rPr>
      <t xml:space="preserve"> - Report card
</t>
    </r>
    <r>
      <rPr>
        <b/>
        <sz val="10"/>
        <color theme="1"/>
        <rFont val="Calibri"/>
        <family val="2"/>
        <scheme val="minor"/>
      </rPr>
      <t>Progressreports</t>
    </r>
    <r>
      <rPr>
        <sz val="10"/>
        <color theme="1"/>
        <rFont val="Calibri"/>
        <family val="2"/>
        <scheme val="minor"/>
      </rPr>
      <t xml:space="preserve"> - Progress reports
</t>
    </r>
    <r>
      <rPr>
        <b/>
        <sz val="10"/>
        <color theme="1"/>
        <rFont val="Calibri"/>
        <family val="2"/>
        <scheme val="minor"/>
      </rPr>
      <t>Parentconference</t>
    </r>
    <r>
      <rPr>
        <sz val="10"/>
        <color theme="1"/>
        <rFont val="Calibri"/>
        <family val="2"/>
        <scheme val="minor"/>
      </rPr>
      <t xml:space="preserve"> - Parent conference
</t>
    </r>
    <r>
      <rPr>
        <b/>
        <sz val="10"/>
        <color theme="1"/>
        <rFont val="Calibri"/>
        <family val="2"/>
        <scheme val="minor"/>
      </rPr>
      <t>Other</t>
    </r>
    <r>
      <rPr>
        <sz val="10"/>
        <color theme="1"/>
        <rFont val="Calibri"/>
        <family val="2"/>
        <scheme val="minor"/>
      </rPr>
      <t xml:space="preserve"> - Other
</t>
    </r>
  </si>
  <si>
    <t>K12 -&gt; K12 Student -&gt; Individualized Program
K12 -&gt; K12 Student -&gt; Individualized Program -&gt; Progress Report</t>
  </si>
  <si>
    <t>001701</t>
  </si>
  <si>
    <t>IndividualizedProgramServicePlanProgressReportType</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</si>
  <si>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</si>
  <si>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</si>
  <si>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</si>
  <si>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</si>
  <si>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</si>
  <si>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</si>
  <si>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</si>
  <si>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</si>
  <si>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</si>
  <si>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</si>
  <si>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</si>
  <si>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</si>
  <si>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</si>
  <si>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</si>
  <si>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r>
      <t>03426</t>
    </r>
    <r>
      <rPr>
        <sz val="10"/>
        <color theme="1"/>
        <rFont val="Calibri"/>
        <family val="2"/>
        <scheme val="minor"/>
      </rPr>
      <t xml:space="preserve"> - Postsecondary education or training
</t>
    </r>
    <r>
      <rPr>
        <b/>
        <sz val="10"/>
        <color theme="1"/>
        <rFont val="Calibri"/>
        <family val="2"/>
        <scheme val="minor"/>
      </rPr>
      <t>00518</t>
    </r>
    <r>
      <rPr>
        <sz val="10"/>
        <color theme="1"/>
        <rFont val="Calibri"/>
        <family val="2"/>
        <scheme val="minor"/>
      </rPr>
      <t xml:space="preserve"> - Work
</t>
    </r>
    <r>
      <rPr>
        <b/>
        <sz val="10"/>
        <color theme="1"/>
        <rFont val="Calibri"/>
        <family val="2"/>
        <scheme val="minor"/>
      </rPr>
      <t>09998</t>
    </r>
    <r>
      <rPr>
        <sz val="10"/>
        <color theme="1"/>
        <rFont val="Calibri"/>
        <family val="2"/>
        <scheme val="minor"/>
      </rPr>
      <t xml:space="preserve"> - None
</t>
    </r>
  </si>
  <si>
    <t>001235</t>
  </si>
  <si>
    <t>IndividualizedProgramTransitionPlanType</t>
  </si>
  <si>
    <t>Individualized Program Type</t>
  </si>
  <si>
    <t>A designation of the type of program developed for a student.</t>
  </si>
  <si>
    <r>
      <t>05978</t>
    </r>
    <r>
      <rPr>
        <sz val="10"/>
        <color theme="1"/>
        <rFont val="Calibri"/>
        <family val="2"/>
        <scheme val="minor"/>
      </rPr>
      <t xml:space="preserve"> - 504 plan
</t>
    </r>
    <r>
      <rPr>
        <b/>
        <sz val="10"/>
        <color theme="1"/>
        <rFont val="Calibri"/>
        <family val="2"/>
        <scheme val="minor"/>
      </rPr>
      <t>89600</t>
    </r>
    <r>
      <rPr>
        <sz val="10"/>
        <color theme="1"/>
        <rFont val="Calibri"/>
        <family val="2"/>
        <scheme val="minor"/>
      </rPr>
      <t xml:space="preserve"> - College and Career Ready Learning Plan
</t>
    </r>
    <r>
      <rPr>
        <b/>
        <sz val="10"/>
        <color theme="1"/>
        <rFont val="Calibri"/>
        <family val="2"/>
        <scheme val="minor"/>
      </rPr>
      <t>05980</t>
    </r>
    <r>
      <rPr>
        <sz val="10"/>
        <color theme="1"/>
        <rFont val="Calibri"/>
        <family val="2"/>
        <scheme val="minor"/>
      </rPr>
      <t xml:space="preserve"> - GIEP - Individualized education program for gifted student
</t>
    </r>
    <r>
      <rPr>
        <b/>
        <sz val="10"/>
        <color theme="1"/>
        <rFont val="Calibri"/>
        <family val="2"/>
        <scheme val="minor"/>
      </rPr>
      <t>02196</t>
    </r>
    <r>
      <rPr>
        <sz val="10"/>
        <color theme="1"/>
        <rFont val="Calibri"/>
        <family val="2"/>
        <scheme val="minor"/>
      </rPr>
      <t xml:space="preserve"> - Individualized education program (IEP)
</t>
    </r>
    <r>
      <rPr>
        <b/>
        <sz val="10"/>
        <color theme="1"/>
        <rFont val="Calibri"/>
        <family val="2"/>
        <scheme val="minor"/>
      </rPr>
      <t>02198</t>
    </r>
    <r>
      <rPr>
        <sz val="10"/>
        <color theme="1"/>
        <rFont val="Calibri"/>
        <family val="2"/>
        <scheme val="minor"/>
      </rPr>
      <t xml:space="preserve"> - Individualized family service plan (IFSP)
</t>
    </r>
    <r>
      <rPr>
        <b/>
        <sz val="10"/>
        <color theme="1"/>
        <rFont val="Calibri"/>
        <family val="2"/>
        <scheme val="minor"/>
      </rPr>
      <t>02197</t>
    </r>
    <r>
      <rPr>
        <sz val="10"/>
        <color theme="1"/>
        <rFont val="Calibri"/>
        <family val="2"/>
        <scheme val="minor"/>
      </rPr>
      <t xml:space="preserve"> - Individualized learning program (ILP)
</t>
    </r>
    <r>
      <rPr>
        <b/>
        <sz val="10"/>
        <color theme="1"/>
        <rFont val="Calibri"/>
        <family val="2"/>
        <scheme val="minor"/>
      </rPr>
      <t>05982</t>
    </r>
    <r>
      <rPr>
        <sz val="10"/>
        <color theme="1"/>
        <rFont val="Calibri"/>
        <family val="2"/>
        <scheme val="minor"/>
      </rPr>
      <t xml:space="preserve"> - Individualized transition plan
</t>
    </r>
    <r>
      <rPr>
        <b/>
        <sz val="10"/>
        <color theme="1"/>
        <rFont val="Calibri"/>
        <family val="2"/>
        <scheme val="minor"/>
      </rPr>
      <t>02349</t>
    </r>
    <r>
      <rPr>
        <sz val="10"/>
        <color theme="1"/>
        <rFont val="Calibri"/>
        <family val="2"/>
        <scheme val="minor"/>
      </rPr>
      <t xml:space="preserve"> - English learner
</t>
    </r>
    <r>
      <rPr>
        <b/>
        <sz val="10"/>
        <color theme="1"/>
        <rFont val="Calibri"/>
        <family val="2"/>
        <scheme val="minor"/>
      </rPr>
      <t>05981</t>
    </r>
    <r>
      <rPr>
        <sz val="10"/>
        <color theme="1"/>
        <rFont val="Calibri"/>
        <family val="2"/>
        <scheme val="minor"/>
      </rPr>
      <t xml:space="preserve"> - Literacy plan
</t>
    </r>
    <r>
      <rPr>
        <b/>
        <sz val="10"/>
        <color theme="1"/>
        <rFont val="Calibri"/>
        <family val="2"/>
        <scheme val="minor"/>
      </rPr>
      <t>05979</t>
    </r>
    <r>
      <rPr>
        <sz val="10"/>
        <color theme="1"/>
        <rFont val="Calibri"/>
        <family val="2"/>
        <scheme val="minor"/>
      </rPr>
      <t xml:space="preserve"> - Student intervention/support plan
</t>
    </r>
    <r>
      <rPr>
        <b/>
        <sz val="10"/>
        <color theme="1"/>
        <rFont val="Calibri"/>
        <family val="2"/>
        <scheme val="minor"/>
      </rPr>
      <t>09999</t>
    </r>
    <r>
      <rPr>
        <sz val="10"/>
        <color theme="1"/>
        <rFont val="Calibri"/>
        <family val="2"/>
        <scheme val="minor"/>
      </rPr>
      <t xml:space="preserve"> - Other
</t>
    </r>
  </si>
  <si>
    <t>Early Learning -&gt; EL Child -&gt; Individualized Program
Early Learning -&gt; EL Child -&gt; Services
K12 -&gt; K12 Student -&gt; Individualized Program</t>
  </si>
  <si>
    <t>000320</t>
  </si>
  <si>
    <t>IndividualizedProgramType</t>
  </si>
  <si>
    <t>Initial Enrollment Term</t>
  </si>
  <si>
    <t>The first registration term of a person enrolling in credit-granting courses at a postsecondary institution after completing high school (or its equivalent).</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</si>
  <si>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</si>
  <si>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</si>
  <si>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</si>
  <si>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</si>
  <si>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</si>
  <si>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</si>
  <si>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</si>
  <si>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</si>
  <si>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</si>
  <si>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</si>
  <si>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</si>
  <si>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</si>
  <si>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</si>
  <si>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</si>
  <si>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</si>
  <si>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</si>
  <si>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</si>
  <si>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</si>
  <si>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Installation Date</t>
  </si>
  <si>
    <t>The year in which the system, component, equipment, or fixture was originally installed.</t>
  </si>
  <si>
    <t>001848</t>
  </si>
  <si>
    <t>InstallationDate</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</si>
  <si>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</si>
  <si>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</si>
  <si>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</si>
  <si>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</si>
  <si>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</si>
  <si>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</si>
  <si>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</si>
  <si>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r>
      <t>Main</t>
    </r>
    <r>
      <rPr>
        <sz val="10"/>
        <color theme="1"/>
        <rFont val="Calibri"/>
        <family val="2"/>
        <scheme val="minor"/>
      </rPr>
      <t xml:space="preserve"> - Main phone number
</t>
    </r>
    <r>
      <rPr>
        <b/>
        <sz val="10"/>
        <color theme="1"/>
        <rFont val="Calibri"/>
        <family val="2"/>
        <scheme val="minor"/>
      </rPr>
      <t>Administrative</t>
    </r>
    <r>
      <rPr>
        <sz val="10"/>
        <color theme="1"/>
        <rFont val="Calibri"/>
        <family val="2"/>
        <scheme val="minor"/>
      </rPr>
      <t xml:space="preserve"> - Administrative phone number
</t>
    </r>
    <r>
      <rPr>
        <b/>
        <sz val="10"/>
        <color theme="1"/>
        <rFont val="Calibri"/>
        <family val="2"/>
        <scheme val="minor"/>
      </rPr>
      <t>HealthClinic</t>
    </r>
    <r>
      <rPr>
        <sz val="10"/>
        <color theme="1"/>
        <rFont val="Calibri"/>
        <family val="2"/>
        <scheme val="minor"/>
      </rPr>
      <t xml:space="preserve"> - Health clinic phone number
</t>
    </r>
    <r>
      <rPr>
        <b/>
        <sz val="10"/>
        <color theme="1"/>
        <rFont val="Calibri"/>
        <family val="2"/>
        <scheme val="minor"/>
      </rPr>
      <t>Attendance</t>
    </r>
    <r>
      <rPr>
        <sz val="10"/>
        <color theme="1"/>
        <rFont val="Calibri"/>
        <family val="2"/>
        <scheme val="minor"/>
      </rPr>
      <t xml:space="preserve"> - Attendance line
</t>
    </r>
    <r>
      <rPr>
        <b/>
        <sz val="10"/>
        <color theme="1"/>
        <rFont val="Calibri"/>
        <family val="2"/>
        <scheme val="minor"/>
      </rPr>
      <t>Fax</t>
    </r>
    <r>
      <rPr>
        <sz val="10"/>
        <color theme="1"/>
        <rFont val="Calibri"/>
        <family val="2"/>
        <scheme val="minor"/>
      </rPr>
      <t xml:space="preserve"> - Fax number
</t>
    </r>
    <r>
      <rPr>
        <b/>
        <sz val="10"/>
        <color theme="1"/>
        <rFont val="Calibri"/>
        <family val="2"/>
        <scheme val="minor"/>
      </rPr>
      <t>FoodServices</t>
    </r>
    <r>
      <rPr>
        <sz val="10"/>
        <color theme="1"/>
        <rFont val="Calibri"/>
        <family val="2"/>
        <scheme val="minor"/>
      </rPr>
      <t xml:space="preserve"> - Cafeteria/Food Services
</t>
    </r>
    <r>
      <rPr>
        <b/>
        <sz val="10"/>
        <color theme="1"/>
        <rFont val="Calibri"/>
        <family val="2"/>
        <scheme val="minor"/>
      </rPr>
      <t>Other</t>
    </r>
    <r>
      <rPr>
        <sz val="10"/>
        <color theme="1"/>
        <rFont val="Calibri"/>
        <family val="2"/>
        <scheme val="minor"/>
      </rPr>
      <t xml:space="preserve"> - Other
</t>
    </r>
  </si>
  <si>
    <t>Early Learning -&gt; EL Organization -&gt; Telephone
K12 -&gt; K12 School -&gt; Telephone
K12 -&gt; LEA -&gt; Telephone
K12 -&gt; Organization -&gt; Telephone
Postsecondary -&gt; Organization -&gt; Telephone</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</si>
  <si>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</si>
  <si>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</si>
  <si>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</si>
  <si>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</si>
  <si>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</si>
  <si>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</si>
  <si>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</si>
  <si>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A designation of the type(s) of instruction being delivered by staff whose primary responsibility is instruction. Instruction that is for "credit" can be applied toward the requirements for a postsecondary degree, diploma, certificate or other formal award.</t>
  </si>
  <si>
    <r>
      <t>ExclusivelyCredit</t>
    </r>
    <r>
      <rPr>
        <sz val="10"/>
        <color theme="1"/>
        <rFont val="Calibri"/>
        <family val="2"/>
        <scheme val="minor"/>
      </rPr>
      <t xml:space="preserve"> - Exclusively credit
</t>
    </r>
    <r>
      <rPr>
        <b/>
        <sz val="10"/>
        <color theme="1"/>
        <rFont val="Calibri"/>
        <family val="2"/>
        <scheme val="minor"/>
      </rPr>
      <t>ExclusivelyNotForCredit</t>
    </r>
    <r>
      <rPr>
        <sz val="10"/>
        <color theme="1"/>
        <rFont val="Calibri"/>
        <family val="2"/>
        <scheme val="minor"/>
      </rPr>
      <t xml:space="preserve"> - Exclusively not-for-credit
</t>
    </r>
    <r>
      <rPr>
        <b/>
        <sz val="10"/>
        <color theme="1"/>
        <rFont val="Calibri"/>
        <family val="2"/>
        <scheme val="minor"/>
      </rPr>
      <t>Combined</t>
    </r>
    <r>
      <rPr>
        <sz val="10"/>
        <color theme="1"/>
        <rFont val="Calibri"/>
        <family val="2"/>
        <scheme val="minor"/>
      </rPr>
      <t xml:space="preserve"> - Combined credit/not-for-credit
</t>
    </r>
  </si>
  <si>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</si>
  <si>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</si>
  <si>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</si>
  <si>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</si>
  <si>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</si>
  <si>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</si>
  <si>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</si>
  <si>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</si>
  <si>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</si>
  <si>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</si>
  <si>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</si>
  <si>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</si>
  <si>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</si>
  <si>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Adult Education -&gt; AE Student -&gt; Program Participation
Postsecondary -&gt; PS Student -&gt; Term Enrollment</t>
  </si>
  <si>
    <t>000362</t>
  </si>
  <si>
    <t>InstructionalActivityHoursCompleted</t>
  </si>
  <si>
    <t>Postsecondary Education -&gt; Complete College America</t>
  </si>
  <si>
    <t>Instructional Activity Hours Type</t>
  </si>
  <si>
    <t>The unit of measure of student instructional activity.</t>
  </si>
  <si>
    <r>
      <t>Credit</t>
    </r>
    <r>
      <rPr>
        <sz val="10"/>
        <color theme="1"/>
        <rFont val="Calibri"/>
        <family val="2"/>
        <scheme val="minor"/>
      </rPr>
      <t xml:space="preserve"> - Credit
</t>
    </r>
    <r>
      <rPr>
        <b/>
        <sz val="10"/>
        <color theme="1"/>
        <rFont val="Calibri"/>
        <family val="2"/>
        <scheme val="minor"/>
      </rPr>
      <t>Contact</t>
    </r>
    <r>
      <rPr>
        <sz val="10"/>
        <color theme="1"/>
        <rFont val="Calibri"/>
        <family val="2"/>
        <scheme val="minor"/>
      </rPr>
      <t xml:space="preserve"> - Contact
</t>
    </r>
  </si>
  <si>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</si>
  <si>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</si>
  <si>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</si>
  <si>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</si>
  <si>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</si>
  <si>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</si>
  <si>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</si>
  <si>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</si>
  <si>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</si>
  <si>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</si>
  <si>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</si>
  <si>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</si>
  <si>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r>
      <t>LessThan9-Month</t>
    </r>
    <r>
      <rPr>
        <sz val="10"/>
        <color theme="1"/>
        <rFont val="Calibri"/>
        <family val="2"/>
        <scheme val="minor"/>
      </rPr>
      <t xml:space="preserve"> - Less than 9-Month
</t>
    </r>
    <r>
      <rPr>
        <b/>
        <sz val="10"/>
        <color theme="1"/>
        <rFont val="Calibri"/>
        <family val="2"/>
        <scheme val="minor"/>
      </rPr>
      <t>9-Month</t>
    </r>
    <r>
      <rPr>
        <sz val="10"/>
        <color theme="1"/>
        <rFont val="Calibri"/>
        <family val="2"/>
        <scheme val="minor"/>
      </rPr>
      <t xml:space="preserve"> - 9-Month
</t>
    </r>
    <r>
      <rPr>
        <b/>
        <sz val="10"/>
        <color theme="1"/>
        <rFont val="Calibri"/>
        <family val="2"/>
        <scheme val="minor"/>
      </rPr>
      <t>10-Month</t>
    </r>
    <r>
      <rPr>
        <sz val="10"/>
        <color theme="1"/>
        <rFont val="Calibri"/>
        <family val="2"/>
        <scheme val="minor"/>
      </rPr>
      <t xml:space="preserve"> - 10-Month
</t>
    </r>
    <r>
      <rPr>
        <b/>
        <sz val="10"/>
        <color theme="1"/>
        <rFont val="Calibri"/>
        <family val="2"/>
        <scheme val="minor"/>
      </rPr>
      <t>11-Month</t>
    </r>
    <r>
      <rPr>
        <sz val="10"/>
        <color theme="1"/>
        <rFont val="Calibri"/>
        <family val="2"/>
        <scheme val="minor"/>
      </rPr>
      <t xml:space="preserve"> - 11-Month
</t>
    </r>
    <r>
      <rPr>
        <b/>
        <sz val="10"/>
        <color theme="1"/>
        <rFont val="Calibri"/>
        <family val="2"/>
        <scheme val="minor"/>
      </rPr>
      <t>12-Month</t>
    </r>
    <r>
      <rPr>
        <sz val="10"/>
        <color theme="1"/>
        <rFont val="Calibri"/>
        <family val="2"/>
        <scheme val="minor"/>
      </rPr>
      <t xml:space="preserve"> - 12-Month
</t>
    </r>
  </si>
  <si>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</si>
  <si>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</si>
  <si>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</si>
  <si>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</si>
  <si>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</si>
  <si>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r>
      <t>Tenured</t>
    </r>
    <r>
      <rPr>
        <sz val="10"/>
        <color theme="1"/>
        <rFont val="Calibri"/>
        <family val="2"/>
        <scheme val="minor"/>
      </rPr>
      <t xml:space="preserve"> - Tenured
</t>
    </r>
    <r>
      <rPr>
        <b/>
        <sz val="10"/>
        <color theme="1"/>
        <rFont val="Calibri"/>
        <family val="2"/>
        <scheme val="minor"/>
      </rPr>
      <t>OnTenureTrack</t>
    </r>
    <r>
      <rPr>
        <sz val="10"/>
        <color theme="1"/>
        <rFont val="Calibri"/>
        <family val="2"/>
        <scheme val="minor"/>
      </rPr>
      <t xml:space="preserve"> - On tenure track
</t>
    </r>
    <r>
      <rPr>
        <b/>
        <sz val="10"/>
        <color theme="1"/>
        <rFont val="Calibri"/>
        <family val="2"/>
        <scheme val="minor"/>
      </rPr>
      <t>NotOnTenureTrack</t>
    </r>
    <r>
      <rPr>
        <sz val="10"/>
        <color theme="1"/>
        <rFont val="Calibri"/>
        <family val="2"/>
        <scheme val="minor"/>
      </rPr>
      <t xml:space="preserve"> - Not on tenure track
</t>
    </r>
    <r>
      <rPr>
        <b/>
        <sz val="10"/>
        <color theme="1"/>
        <rFont val="Calibri"/>
        <family val="2"/>
        <scheme val="minor"/>
      </rPr>
      <t>WithoutFacultyStatus</t>
    </r>
    <r>
      <rPr>
        <sz val="10"/>
        <color theme="1"/>
        <rFont val="Calibri"/>
        <family val="2"/>
        <scheme val="minor"/>
      </rPr>
      <t xml:space="preserve"> - Without faculty status
</t>
    </r>
  </si>
  <si>
    <t>000739</t>
  </si>
  <si>
    <t>InstructionalStaffFacultyTenureStatus</t>
  </si>
  <si>
    <t>Instructional Staff Status</t>
  </si>
  <si>
    <t>Staff whose primary function/occupational activity is primarily instruction or instruction combined with research and/or public service. Does not include medical school staff.</t>
  </si>
  <si>
    <t>000732</t>
  </si>
  <si>
    <t>InstructionalStaffStatus</t>
  </si>
  <si>
    <t>Insurance Coverage</t>
  </si>
  <si>
    <t>The nature of insurance covering an person's hospitalization and other health or medical care.</t>
  </si>
  <si>
    <t>000335</t>
  </si>
  <si>
    <t>InsuranceCoverage</t>
  </si>
  <si>
    <t>Insurance Deductible</t>
  </si>
  <si>
    <t>The dollar amount a school district must pay before its insurance will compensate it for loss.</t>
  </si>
  <si>
    <t>001894</t>
  </si>
  <si>
    <t>InsuranceDeductible</t>
  </si>
  <si>
    <t>Integrated Technology Status</t>
  </si>
  <si>
    <t>An indication of the extent to which the district has effectively and fully integrated technology, as defined by the state.</t>
  </si>
  <si>
    <r>
      <t>Developing</t>
    </r>
    <r>
      <rPr>
        <sz val="10"/>
        <color theme="1"/>
        <rFont val="Calibri"/>
        <family val="2"/>
        <scheme val="minor"/>
      </rPr>
      <t xml:space="preserve"> - Developing
</t>
    </r>
    <r>
      <rPr>
        <b/>
        <sz val="10"/>
        <color theme="1"/>
        <rFont val="Calibri"/>
        <family val="2"/>
        <scheme val="minor"/>
      </rPr>
      <t>Approaching</t>
    </r>
    <r>
      <rPr>
        <sz val="10"/>
        <color theme="1"/>
        <rFont val="Calibri"/>
        <family val="2"/>
        <scheme val="minor"/>
      </rPr>
      <t xml:space="preserve"> - Approaching
</t>
    </r>
    <r>
      <rPr>
        <b/>
        <sz val="10"/>
        <color theme="1"/>
        <rFont val="Calibri"/>
        <family val="2"/>
        <scheme val="minor"/>
      </rPr>
      <t>Meets</t>
    </r>
    <r>
      <rPr>
        <sz val="10"/>
        <color theme="1"/>
        <rFont val="Calibri"/>
        <family val="2"/>
        <scheme val="minor"/>
      </rPr>
      <t xml:space="preserve"> - Meets
</t>
    </r>
    <r>
      <rPr>
        <b/>
        <sz val="10"/>
        <color theme="1"/>
        <rFont val="Calibri"/>
        <family val="2"/>
        <scheme val="minor"/>
      </rPr>
      <t>FullyIntegrated</t>
    </r>
    <r>
      <rPr>
        <sz val="10"/>
        <color theme="1"/>
        <rFont val="Calibri"/>
        <family val="2"/>
        <scheme val="minor"/>
      </rPr>
      <t xml:space="preserve"> - Fully integrated
</t>
    </r>
    <r>
      <rPr>
        <b/>
        <sz val="10"/>
        <color theme="1"/>
        <rFont val="Calibri"/>
        <family val="2"/>
        <scheme val="minor"/>
      </rPr>
      <t>NotRequired</t>
    </r>
    <r>
      <rPr>
        <sz val="10"/>
        <color theme="1"/>
        <rFont val="Calibri"/>
        <family val="2"/>
        <scheme val="minor"/>
      </rPr>
      <t xml:space="preserve"> - Not required to report
</t>
    </r>
  </si>
  <si>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</si>
  <si>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</si>
  <si>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</si>
  <si>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</si>
  <si>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</si>
  <si>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</si>
  <si>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</si>
  <si>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</si>
  <si>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r>
      <t>HighSpeed</t>
    </r>
    <r>
      <rPr>
        <sz val="10"/>
        <color theme="1"/>
        <rFont val="Calibri"/>
        <family val="2"/>
        <scheme val="minor"/>
      </rPr>
      <t xml:space="preserve"> - High speed connectivity
</t>
    </r>
    <r>
      <rPr>
        <b/>
        <sz val="10"/>
        <color theme="1"/>
        <rFont val="Calibri"/>
        <family val="2"/>
        <scheme val="minor"/>
      </rPr>
      <t>LessThanHighSpeed</t>
    </r>
    <r>
      <rPr>
        <sz val="10"/>
        <color theme="1"/>
        <rFont val="Calibri"/>
        <family val="2"/>
        <scheme val="minor"/>
      </rPr>
      <t xml:space="preserve"> - Less than high speed connectivity
</t>
    </r>
  </si>
  <si>
    <t>000587</t>
  </si>
  <si>
    <t>InternetAccess</t>
  </si>
  <si>
    <t>Interscholastic Sport Participants - Female Only</t>
  </si>
  <si>
    <t>The number of female students who participated on an interscholastic team. A student should be counted once for each team she was on.</t>
  </si>
  <si>
    <t>000658</t>
  </si>
  <si>
    <t>InterscholasticSportParticipantsFemaleOnly</t>
  </si>
  <si>
    <t>Interscholastic Sport Participants - Male Only</t>
  </si>
  <si>
    <t>The number of male students who participated on an interscholastic team. A student should be counted once for each team he was on.</t>
  </si>
  <si>
    <t>000657</t>
  </si>
  <si>
    <t>InterscholasticSportParticipantsMaleOnly</t>
  </si>
  <si>
    <t>Interscholastic Sports - Female Only</t>
  </si>
  <si>
    <t>The number of interscholastic sports in which only female students participate. Sports include distinct sports such as football, basketball, soccer but not intramural sports or cheerleading.</t>
  </si>
  <si>
    <t>000654</t>
  </si>
  <si>
    <t>InterscholasticSportsFemaleOnly</t>
  </si>
  <si>
    <t>Interscholastic Sports - Male Only</t>
  </si>
  <si>
    <t>The number of interscholastic sports in which only male students participate. Sports include distinct sports such as football, basketball, soccer but not intramural sports or cheerleading.</t>
  </si>
  <si>
    <t>000653</t>
  </si>
  <si>
    <t>InterscholasticSportsMaleOnly</t>
  </si>
  <si>
    <t>Interscholastic Teams - Female Only</t>
  </si>
  <si>
    <t>The number of interscholastic teams in which only female students participate. Teams include each competitive level team in each sport, such as freshman team, junior varsity team, and varsity team but not intramural sports or cheerleading.</t>
  </si>
  <si>
    <t>000656</t>
  </si>
  <si>
    <t>InterscholasticTeamsFemaleOnly</t>
  </si>
  <si>
    <t>Interscholastic Teams - Male Only</t>
  </si>
  <si>
    <t>The number of interscholastic teams in which only male students participate. Teams include each competitive level team in each sport, such as freshman team, junior varsity team, and varsity team but not intramural sports or cheerleading.</t>
  </si>
  <si>
    <t>000655</t>
  </si>
  <si>
    <t>InterscholasticTeamsMaleOnly</t>
  </si>
  <si>
    <t>IPEDS Collection Year Designator</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</si>
  <si>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</si>
  <si>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001613</t>
  </si>
  <si>
    <t>IPEDSCollectionYearDesignator</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</si>
  <si>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</si>
  <si>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</si>
  <si>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r>
      <t>Longterminvestments</t>
    </r>
    <r>
      <rPr>
        <sz val="10"/>
        <color theme="1"/>
        <rFont val="Calibri"/>
        <family val="2"/>
        <scheme val="minor"/>
      </rPr>
      <t xml:space="preserve"> - Long-term investments
</t>
    </r>
    <r>
      <rPr>
        <b/>
        <sz val="10"/>
        <color theme="1"/>
        <rFont val="Calibri"/>
        <family val="2"/>
        <scheme val="minor"/>
      </rPr>
      <t>PropertyPlantEquipmentnetofaccumulateddepreciation</t>
    </r>
    <r>
      <rPr>
        <sz val="10"/>
        <color theme="1"/>
        <rFont val="Calibri"/>
        <family val="2"/>
        <scheme val="minor"/>
      </rPr>
      <t xml:space="preserve"> - Property, Plant, and Equipment, net of accumulated depreciation
</t>
    </r>
    <r>
      <rPr>
        <b/>
        <sz val="10"/>
        <color theme="1"/>
        <rFont val="Calibri"/>
        <family val="2"/>
        <scheme val="minor"/>
      </rPr>
      <t>IntangibleAssetsnetofaccumulatedamortization</t>
    </r>
    <r>
      <rPr>
        <sz val="10"/>
        <color theme="1"/>
        <rFont val="Calibri"/>
        <family val="2"/>
        <scheme val="minor"/>
      </rPr>
      <t xml:space="preserve"> - Intangible Assets, net of accumulated amortization
</t>
    </r>
    <r>
      <rPr>
        <b/>
        <sz val="10"/>
        <color theme="1"/>
        <rFont val="Calibri"/>
        <family val="2"/>
        <scheme val="minor"/>
      </rPr>
      <t>AssetsCashcashequivalentstemporaryinvestments</t>
    </r>
    <r>
      <rPr>
        <sz val="10"/>
        <color theme="1"/>
        <rFont val="Calibri"/>
        <family val="2"/>
        <scheme val="minor"/>
      </rPr>
      <t xml:space="preserve"> - Assets: Cash, cash equivalents, and temporary investments
</t>
    </r>
    <r>
      <rPr>
        <b/>
        <sz val="10"/>
        <color theme="1"/>
        <rFont val="Calibri"/>
        <family val="2"/>
        <scheme val="minor"/>
      </rPr>
      <t>AssetsReceivablesnetofallowancefor</t>
    </r>
    <r>
      <rPr>
        <sz val="10"/>
        <color theme="1"/>
        <rFont val="Calibri"/>
        <family val="2"/>
        <scheme val="minor"/>
      </rPr>
      <t xml:space="preserve"> - Assets: Receivables (net of allowance for uncollectible amounts)
</t>
    </r>
    <r>
      <rPr>
        <b/>
        <sz val="10"/>
        <color theme="1"/>
        <rFont val="Calibri"/>
        <family val="2"/>
        <scheme val="minor"/>
      </rPr>
      <t>AssetsInventoriesprepaidexpensesdeferredcharges</t>
    </r>
    <r>
      <rPr>
        <sz val="10"/>
        <color theme="1"/>
        <rFont val="Calibri"/>
        <family val="2"/>
        <scheme val="minor"/>
      </rPr>
      <t xml:space="preserve"> - Assets: Inventories, prepaid expenses, and deferred charges
</t>
    </r>
    <r>
      <rPr>
        <b/>
        <sz val="10"/>
        <color theme="1"/>
        <rFont val="Calibri"/>
        <family val="2"/>
        <scheme val="minor"/>
      </rPr>
      <t>AssetsAmountsheldbytrusteesfor</t>
    </r>
    <r>
      <rPr>
        <sz val="10"/>
        <color theme="1"/>
        <rFont val="Calibri"/>
        <family val="2"/>
        <scheme val="minor"/>
      </rPr>
      <t xml:space="preserve"> - Assets: Amounts held by trustees for construction and debt service
</t>
    </r>
    <r>
      <rPr>
        <b/>
        <sz val="10"/>
        <color theme="1"/>
        <rFont val="Calibri"/>
        <family val="2"/>
        <scheme val="minor"/>
      </rPr>
      <t>AssetsOtherassets</t>
    </r>
    <r>
      <rPr>
        <sz val="10"/>
        <color theme="1"/>
        <rFont val="Calibri"/>
        <family val="2"/>
        <scheme val="minor"/>
      </rPr>
      <t xml:space="preserve"> - Assets: Other assets
</t>
    </r>
    <r>
      <rPr>
        <b/>
        <sz val="10"/>
        <color theme="1"/>
        <rFont val="Calibri"/>
        <family val="2"/>
        <scheme val="minor"/>
      </rPr>
      <t>LiabilitiesAccountspayable</t>
    </r>
    <r>
      <rPr>
        <sz val="10"/>
        <color theme="1"/>
        <rFont val="Calibri"/>
        <family val="2"/>
        <scheme val="minor"/>
      </rPr>
      <t xml:space="preserve"> - Liabilities: Accounts payable
</t>
    </r>
    <r>
      <rPr>
        <b/>
        <sz val="10"/>
        <color theme="1"/>
        <rFont val="Calibri"/>
        <family val="2"/>
        <scheme val="minor"/>
      </rPr>
      <t>LiabilitiesDeferredrevenuesrefundableadvances</t>
    </r>
    <r>
      <rPr>
        <sz val="10"/>
        <color theme="1"/>
        <rFont val="Calibri"/>
        <family val="2"/>
        <scheme val="minor"/>
      </rPr>
      <t xml:space="preserve"> - Liabilities: Deferred revenues and refundable advances
</t>
    </r>
    <r>
      <rPr>
        <b/>
        <sz val="10"/>
        <color theme="1"/>
        <rFont val="Calibri"/>
        <family val="2"/>
        <scheme val="minor"/>
      </rPr>
      <t>LiabilitiesPostretirementpostemploymentobligations</t>
    </r>
    <r>
      <rPr>
        <sz val="10"/>
        <color theme="1"/>
        <rFont val="Calibri"/>
        <family val="2"/>
        <scheme val="minor"/>
      </rPr>
      <t xml:space="preserve"> - Liabilities: Post-retirement and post-employment obligations
</t>
    </r>
    <r>
      <rPr>
        <b/>
        <sz val="10"/>
        <color theme="1"/>
        <rFont val="Calibri"/>
        <family val="2"/>
        <scheme val="minor"/>
      </rPr>
      <t>LiabilitiesOtheraccruedliabilities</t>
    </r>
    <r>
      <rPr>
        <sz val="10"/>
        <color theme="1"/>
        <rFont val="Calibri"/>
        <family val="2"/>
        <scheme val="minor"/>
      </rPr>
      <t xml:space="preserve"> - Liabilities: Other accrued liabilities
</t>
    </r>
    <r>
      <rPr>
        <b/>
        <sz val="10"/>
        <color theme="1"/>
        <rFont val="Calibri"/>
        <family val="2"/>
        <scheme val="minor"/>
      </rPr>
      <t>LiabilitiesAnnuitylifeincomeobligationsother</t>
    </r>
    <r>
      <rPr>
        <sz val="10"/>
        <color theme="1"/>
        <rFont val="Calibri"/>
        <family val="2"/>
        <scheme val="minor"/>
      </rPr>
      <t xml:space="preserve"> - Liabilities: Annuity and life income obligations and other amounts held for the benefit of others
</t>
    </r>
    <r>
      <rPr>
        <b/>
        <sz val="10"/>
        <color theme="1"/>
        <rFont val="Calibri"/>
        <family val="2"/>
        <scheme val="minor"/>
      </rPr>
      <t>LiabilitiesBondsnotescapitalleases</t>
    </r>
    <r>
      <rPr>
        <sz val="10"/>
        <color theme="1"/>
        <rFont val="Calibri"/>
        <family val="2"/>
        <scheme val="minor"/>
      </rPr>
      <t xml:space="preserve"> - Liabilities: Bonds, notes, and capital leases payable and other long-term debt, including current portion
</t>
    </r>
    <r>
      <rPr>
        <b/>
        <sz val="10"/>
        <color theme="1"/>
        <rFont val="Calibri"/>
        <family val="2"/>
        <scheme val="minor"/>
      </rPr>
      <t>LiabilitiesGovernmentgrantsrefundableunder</t>
    </r>
    <r>
      <rPr>
        <sz val="10"/>
        <color theme="1"/>
        <rFont val="Calibri"/>
        <family val="2"/>
        <scheme val="minor"/>
      </rPr>
      <t xml:space="preserve"> - Liabilities: Government grants refundable under student loan programs
</t>
    </r>
    <r>
      <rPr>
        <b/>
        <sz val="10"/>
        <color theme="1"/>
        <rFont val="Calibri"/>
        <family val="2"/>
        <scheme val="minor"/>
      </rPr>
      <t>LiabilitiesOtherliabilities</t>
    </r>
    <r>
      <rPr>
        <sz val="10"/>
        <color theme="1"/>
        <rFont val="Calibri"/>
        <family val="2"/>
        <scheme val="minor"/>
      </rPr>
      <t xml:space="preserve"> - Liabilities: Other liabilities
</t>
    </r>
    <r>
      <rPr>
        <b/>
        <sz val="10"/>
        <color theme="1"/>
        <rFont val="Calibri"/>
        <family val="2"/>
        <scheme val="minor"/>
      </rPr>
      <t>DebtrelatedtoPropertyPlantEquipment</t>
    </r>
    <r>
      <rPr>
        <sz val="10"/>
        <color theme="1"/>
        <rFont val="Calibri"/>
        <family val="2"/>
        <scheme val="minor"/>
      </rPr>
      <t xml:space="preserve"> - Debt related to Property, Plant, and Equipment
</t>
    </r>
    <r>
      <rPr>
        <b/>
        <sz val="10"/>
        <color theme="1"/>
        <rFont val="Calibri"/>
        <family val="2"/>
        <scheme val="minor"/>
      </rPr>
      <t>Totalunrestrictednetassets</t>
    </r>
    <r>
      <rPr>
        <sz val="10"/>
        <color theme="1"/>
        <rFont val="Calibri"/>
        <family val="2"/>
        <scheme val="minor"/>
      </rPr>
      <t xml:space="preserve"> - Total unrestricted net assets
</t>
    </r>
    <r>
      <rPr>
        <b/>
        <sz val="10"/>
        <color theme="1"/>
        <rFont val="Calibri"/>
        <family val="2"/>
        <scheme val="minor"/>
      </rPr>
      <t>Permanentlyrestrictednetassets</t>
    </r>
    <r>
      <rPr>
        <sz val="10"/>
        <color theme="1"/>
        <rFont val="Calibri"/>
        <family val="2"/>
        <scheme val="minor"/>
      </rPr>
      <t xml:space="preserve"> - Permanently restricted net assets
</t>
    </r>
    <r>
      <rPr>
        <b/>
        <sz val="10"/>
        <color theme="1"/>
        <rFont val="Calibri"/>
        <family val="2"/>
        <scheme val="minor"/>
      </rPr>
      <t>Temporarilyrestrictednetassets</t>
    </r>
    <r>
      <rPr>
        <sz val="10"/>
        <color theme="1"/>
        <rFont val="Calibri"/>
        <family val="2"/>
        <scheme val="minor"/>
      </rPr>
      <t xml:space="preserve"> - Temporarily restricted net assets
</t>
    </r>
    <r>
      <rPr>
        <b/>
        <sz val="10"/>
        <color theme="1"/>
        <rFont val="Calibri"/>
        <family val="2"/>
        <scheme val="minor"/>
      </rPr>
      <t>GrossPropertyPlantEquipmentLandlandimprovements</t>
    </r>
    <r>
      <rPr>
        <sz val="10"/>
        <color theme="1"/>
        <rFont val="Calibri"/>
        <family val="2"/>
        <scheme val="minor"/>
      </rPr>
      <t xml:space="preserve"> - Gross Property Plant Equipment: Land and land improvements
</t>
    </r>
    <r>
      <rPr>
        <b/>
        <sz val="10"/>
        <color theme="1"/>
        <rFont val="Calibri"/>
        <family val="2"/>
        <scheme val="minor"/>
      </rPr>
      <t>GrossPropertyPlantEquipmentBuildings</t>
    </r>
    <r>
      <rPr>
        <sz val="10"/>
        <color theme="1"/>
        <rFont val="Calibri"/>
        <family val="2"/>
        <scheme val="minor"/>
      </rPr>
      <t xml:space="preserve"> - Gross Property Plant Equipment: Buildings
</t>
    </r>
    <r>
      <rPr>
        <b/>
        <sz val="10"/>
        <color theme="1"/>
        <rFont val="Calibri"/>
        <family val="2"/>
        <scheme val="minor"/>
      </rPr>
      <t>GrossPropertyPlantEquipmentEquipment</t>
    </r>
    <r>
      <rPr>
        <sz val="10"/>
        <color theme="1"/>
        <rFont val="Calibri"/>
        <family val="2"/>
        <scheme val="minor"/>
      </rPr>
      <t xml:space="preserve"> - Gross Property Plant Equipment: Equipment, including art and library collections
</t>
    </r>
    <r>
      <rPr>
        <b/>
        <sz val="10"/>
        <color theme="1"/>
        <rFont val="Calibri"/>
        <family val="2"/>
        <scheme val="minor"/>
      </rPr>
      <t>GrossPropertyPlantEquipmentConstructioninProgress</t>
    </r>
    <r>
      <rPr>
        <sz val="10"/>
        <color theme="1"/>
        <rFont val="Calibri"/>
        <family val="2"/>
        <scheme val="minor"/>
      </rPr>
      <t xml:space="preserve"> - Gross Property Plant Equipment: Construction in Progress
</t>
    </r>
    <r>
      <rPr>
        <b/>
        <sz val="10"/>
        <color theme="1"/>
        <rFont val="Calibri"/>
        <family val="2"/>
        <scheme val="minor"/>
      </rPr>
      <t>GrossPropertyPlantEquipmentOther</t>
    </r>
    <r>
      <rPr>
        <sz val="10"/>
        <color theme="1"/>
        <rFont val="Calibri"/>
        <family val="2"/>
        <scheme val="minor"/>
      </rPr>
      <t xml:space="preserve"> - Gross Property Plant Equipment: Other
</t>
    </r>
    <r>
      <rPr>
        <b/>
        <sz val="10"/>
        <color theme="1"/>
        <rFont val="Calibri"/>
        <family val="2"/>
        <scheme val="minor"/>
      </rPr>
      <t>Accumulateddepreciation</t>
    </r>
    <r>
      <rPr>
        <sz val="10"/>
        <color theme="1"/>
        <rFont val="Calibri"/>
        <family val="2"/>
        <scheme val="minor"/>
      </rPr>
      <t xml:space="preserve"> - Accumulated depreciation
</t>
    </r>
  </si>
  <si>
    <t>Postsecondary -&gt; PS Institution -&gt; Finance</t>
  </si>
  <si>
    <t>001671</t>
  </si>
  <si>
    <t>IPEDSFinanceFASBFinancialPositionCategory</t>
  </si>
  <si>
    <t>IPEDS Finance FASB Functional Expense Category</t>
  </si>
  <si>
    <t>A functional expense classification is a method of grouping expenses according to the purpose for which the costs are incurred. The classifications tell why an expense was incurred rather than what was purchased.</t>
  </si>
  <si>
    <r>
      <t>Instruction</t>
    </r>
    <r>
      <rPr>
        <sz val="10"/>
        <color theme="1"/>
        <rFont val="Calibri"/>
        <family val="2"/>
        <scheme val="minor"/>
      </rPr>
      <t xml:space="preserve"> - Instruction
</t>
    </r>
    <r>
      <rPr>
        <b/>
        <sz val="10"/>
        <color theme="1"/>
        <rFont val="Calibri"/>
        <family val="2"/>
        <scheme val="minor"/>
      </rPr>
      <t>Research</t>
    </r>
    <r>
      <rPr>
        <sz val="10"/>
        <color theme="1"/>
        <rFont val="Calibri"/>
        <family val="2"/>
        <scheme val="minor"/>
      </rPr>
      <t xml:space="preserve"> - Research
</t>
    </r>
    <r>
      <rPr>
        <b/>
        <sz val="10"/>
        <color theme="1"/>
        <rFont val="Calibri"/>
        <family val="2"/>
        <scheme val="minor"/>
      </rPr>
      <t>Publicservice</t>
    </r>
    <r>
      <rPr>
        <sz val="10"/>
        <color theme="1"/>
        <rFont val="Calibri"/>
        <family val="2"/>
        <scheme val="minor"/>
      </rPr>
      <t xml:space="preserve"> - Public service
</t>
    </r>
    <r>
      <rPr>
        <b/>
        <sz val="10"/>
        <color theme="1"/>
        <rFont val="Calibri"/>
        <family val="2"/>
        <scheme val="minor"/>
      </rPr>
      <t>Academicsupport</t>
    </r>
    <r>
      <rPr>
        <sz val="10"/>
        <color theme="1"/>
        <rFont val="Calibri"/>
        <family val="2"/>
        <scheme val="minor"/>
      </rPr>
      <t xml:space="preserve"> - Academic support
</t>
    </r>
    <r>
      <rPr>
        <b/>
        <sz val="10"/>
        <color theme="1"/>
        <rFont val="Calibri"/>
        <family val="2"/>
        <scheme val="minor"/>
      </rPr>
      <t>Studentservices</t>
    </r>
    <r>
      <rPr>
        <sz val="10"/>
        <color theme="1"/>
        <rFont val="Calibri"/>
        <family val="2"/>
        <scheme val="minor"/>
      </rPr>
      <t xml:space="preserve"> - Student services
</t>
    </r>
    <r>
      <rPr>
        <b/>
        <sz val="10"/>
        <color theme="1"/>
        <rFont val="Calibri"/>
        <family val="2"/>
        <scheme val="minor"/>
      </rPr>
      <t>Institutionalsupport</t>
    </r>
    <r>
      <rPr>
        <sz val="10"/>
        <color theme="1"/>
        <rFont val="Calibri"/>
        <family val="2"/>
        <scheme val="minor"/>
      </rPr>
      <t xml:space="preserve"> - Institutional support
</t>
    </r>
    <r>
      <rPr>
        <b/>
        <sz val="10"/>
        <color theme="1"/>
        <rFont val="Calibri"/>
        <family val="2"/>
        <scheme val="minor"/>
      </rPr>
      <t>Auxiliaryenterprises</t>
    </r>
    <r>
      <rPr>
        <sz val="10"/>
        <color theme="1"/>
        <rFont val="Calibri"/>
        <family val="2"/>
        <scheme val="minor"/>
      </rPr>
      <t xml:space="preserve"> - Auxiliary enterprises
</t>
    </r>
    <r>
      <rPr>
        <b/>
        <sz val="10"/>
        <color theme="1"/>
        <rFont val="Calibri"/>
        <family val="2"/>
        <scheme val="minor"/>
      </rPr>
      <t>Netgrantaidtostudents</t>
    </r>
    <r>
      <rPr>
        <sz val="10"/>
        <color theme="1"/>
        <rFont val="Calibri"/>
        <family val="2"/>
        <scheme val="minor"/>
      </rPr>
      <t xml:space="preserve"> - Net grant aid to students
</t>
    </r>
    <r>
      <rPr>
        <b/>
        <sz val="10"/>
        <color theme="1"/>
        <rFont val="Calibri"/>
        <family val="2"/>
        <scheme val="minor"/>
      </rPr>
      <t>Hospitalservices</t>
    </r>
    <r>
      <rPr>
        <sz val="10"/>
        <color theme="1"/>
        <rFont val="Calibri"/>
        <family val="2"/>
        <scheme val="minor"/>
      </rPr>
      <t xml:space="preserve"> - Hospital services
</t>
    </r>
    <r>
      <rPr>
        <b/>
        <sz val="10"/>
        <color theme="1"/>
        <rFont val="Calibri"/>
        <family val="2"/>
        <scheme val="minor"/>
      </rPr>
      <t>Independentoperations</t>
    </r>
    <r>
      <rPr>
        <sz val="10"/>
        <color theme="1"/>
        <rFont val="Calibri"/>
        <family val="2"/>
        <scheme val="minor"/>
      </rPr>
      <t xml:space="preserve"> - Independent operations
</t>
    </r>
    <r>
      <rPr>
        <b/>
        <sz val="10"/>
        <color theme="1"/>
        <rFont val="Calibri"/>
        <family val="2"/>
        <scheme val="minor"/>
      </rPr>
      <t>Other</t>
    </r>
    <r>
      <rPr>
        <sz val="10"/>
        <color theme="1"/>
        <rFont val="Calibri"/>
        <family val="2"/>
        <scheme val="minor"/>
      </rPr>
      <t xml:space="preserve"> - Other
</t>
    </r>
  </si>
  <si>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</si>
  <si>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</si>
  <si>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</si>
  <si>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</si>
  <si>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</si>
  <si>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r>
      <t>Passthrough</t>
    </r>
    <r>
      <rPr>
        <sz val="10"/>
        <color theme="1"/>
        <rFont val="Calibri"/>
        <family val="2"/>
        <scheme val="minor"/>
      </rPr>
      <t xml:space="preserve"> - Pass through
</t>
    </r>
    <r>
      <rPr>
        <b/>
        <sz val="10"/>
        <color theme="1"/>
        <rFont val="Calibri"/>
        <family val="2"/>
        <scheme val="minor"/>
      </rPr>
      <t>Federalgrantrevenue</t>
    </r>
    <r>
      <rPr>
        <sz val="10"/>
        <color theme="1"/>
        <rFont val="Calibri"/>
        <family val="2"/>
        <scheme val="minor"/>
      </rPr>
      <t xml:space="preserve"> - Federal grant revenue
</t>
    </r>
    <r>
      <rPr>
        <b/>
        <sz val="10"/>
        <color theme="1"/>
        <rFont val="Calibri"/>
        <family val="2"/>
        <scheme val="minor"/>
      </rPr>
      <t>DoesnotawardPellgrants</t>
    </r>
    <r>
      <rPr>
        <sz val="10"/>
        <color theme="1"/>
        <rFont val="Calibri"/>
        <family val="2"/>
        <scheme val="minor"/>
      </rPr>
      <t xml:space="preserve"> - Does not award Pell grants
</t>
    </r>
  </si>
  <si>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</si>
  <si>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</si>
  <si>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</si>
  <si>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</si>
  <si>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r>
      <t>Tuitionfeesnetofallowance</t>
    </r>
    <r>
      <rPr>
        <sz val="10"/>
        <color theme="1"/>
        <rFont val="Calibri"/>
        <family val="2"/>
        <scheme val="minor"/>
      </rPr>
      <t xml:space="preserve"> - Tuition and fees (net of allowance)
</t>
    </r>
    <r>
      <rPr>
        <b/>
        <sz val="10"/>
        <color theme="1"/>
        <rFont val="Calibri"/>
        <family val="2"/>
        <scheme val="minor"/>
      </rPr>
      <t>Federalappropriations</t>
    </r>
    <r>
      <rPr>
        <sz val="10"/>
        <color theme="1"/>
        <rFont val="Calibri"/>
        <family val="2"/>
        <scheme val="minor"/>
      </rPr>
      <t xml:space="preserve"> - Federal appropriations
</t>
    </r>
    <r>
      <rPr>
        <b/>
        <sz val="10"/>
        <color theme="1"/>
        <rFont val="Calibri"/>
        <family val="2"/>
        <scheme val="minor"/>
      </rPr>
      <t>Stateappropriations</t>
    </r>
    <r>
      <rPr>
        <sz val="10"/>
        <color theme="1"/>
        <rFont val="Calibri"/>
        <family val="2"/>
        <scheme val="minor"/>
      </rPr>
      <t xml:space="preserve"> - State appropriations
</t>
    </r>
    <r>
      <rPr>
        <b/>
        <sz val="10"/>
        <color theme="1"/>
        <rFont val="Calibri"/>
        <family val="2"/>
        <scheme val="minor"/>
      </rPr>
      <t>Localappropriations</t>
    </r>
    <r>
      <rPr>
        <sz val="10"/>
        <color theme="1"/>
        <rFont val="Calibri"/>
        <family val="2"/>
        <scheme val="minor"/>
      </rPr>
      <t xml:space="preserve"> - Local appropriations
</t>
    </r>
    <r>
      <rPr>
        <b/>
        <sz val="10"/>
        <color theme="1"/>
        <rFont val="Calibri"/>
        <family val="2"/>
        <scheme val="minor"/>
      </rPr>
      <t>Federalgrantscontracts</t>
    </r>
    <r>
      <rPr>
        <sz val="10"/>
        <color theme="1"/>
        <rFont val="Calibri"/>
        <family val="2"/>
        <scheme val="minor"/>
      </rPr>
      <t xml:space="preserve"> - Federal grants and contracts
</t>
    </r>
    <r>
      <rPr>
        <b/>
        <sz val="10"/>
        <color theme="1"/>
        <rFont val="Calibri"/>
        <family val="2"/>
        <scheme val="minor"/>
      </rPr>
      <t>Stategrantscontracts</t>
    </r>
    <r>
      <rPr>
        <sz val="10"/>
        <color theme="1"/>
        <rFont val="Calibri"/>
        <family val="2"/>
        <scheme val="minor"/>
      </rPr>
      <t xml:space="preserve"> - State grants and contracts
</t>
    </r>
    <r>
      <rPr>
        <b/>
        <sz val="10"/>
        <color theme="1"/>
        <rFont val="Calibri"/>
        <family val="2"/>
        <scheme val="minor"/>
      </rPr>
      <t>Localgrantscontracts</t>
    </r>
    <r>
      <rPr>
        <sz val="10"/>
        <color theme="1"/>
        <rFont val="Calibri"/>
        <family val="2"/>
        <scheme val="minor"/>
      </rPr>
      <t xml:space="preserve"> - Local grants and contracts
</t>
    </r>
    <r>
      <rPr>
        <b/>
        <sz val="10"/>
        <color theme="1"/>
        <rFont val="Calibri"/>
        <family val="2"/>
        <scheme val="minor"/>
      </rPr>
      <t>Privategifts</t>
    </r>
    <r>
      <rPr>
        <sz val="10"/>
        <color theme="1"/>
        <rFont val="Calibri"/>
        <family val="2"/>
        <scheme val="minor"/>
      </rPr>
      <t xml:space="preserve"> - Private gifts
</t>
    </r>
    <r>
      <rPr>
        <b/>
        <sz val="10"/>
        <color theme="1"/>
        <rFont val="Calibri"/>
        <family val="2"/>
        <scheme val="minor"/>
      </rPr>
      <t>Privategrantscontracts</t>
    </r>
    <r>
      <rPr>
        <sz val="10"/>
        <color theme="1"/>
        <rFont val="Calibri"/>
        <family val="2"/>
        <scheme val="minor"/>
      </rPr>
      <t xml:space="preserve"> - Private grants and contracts
</t>
    </r>
    <r>
      <rPr>
        <b/>
        <sz val="10"/>
        <color theme="1"/>
        <rFont val="Calibri"/>
        <family val="2"/>
        <scheme val="minor"/>
      </rPr>
      <t>Contributionsfromaffiliatedentities</t>
    </r>
    <r>
      <rPr>
        <sz val="10"/>
        <color theme="1"/>
        <rFont val="Calibri"/>
        <family val="2"/>
        <scheme val="minor"/>
      </rPr>
      <t xml:space="preserve"> - Contributions from affiliated entities
</t>
    </r>
    <r>
      <rPr>
        <b/>
        <sz val="10"/>
        <color theme="1"/>
        <rFont val="Calibri"/>
        <family val="2"/>
        <scheme val="minor"/>
      </rPr>
      <t>Investmentreturn</t>
    </r>
    <r>
      <rPr>
        <sz val="10"/>
        <color theme="1"/>
        <rFont val="Calibri"/>
        <family val="2"/>
        <scheme val="minor"/>
      </rPr>
      <t xml:space="preserve"> - Investment return
</t>
    </r>
    <r>
      <rPr>
        <b/>
        <sz val="10"/>
        <color theme="1"/>
        <rFont val="Calibri"/>
        <family val="2"/>
        <scheme val="minor"/>
      </rPr>
      <t>Salesservicesofeducationalactivities</t>
    </r>
    <r>
      <rPr>
        <sz val="10"/>
        <color theme="1"/>
        <rFont val="Calibri"/>
        <family val="2"/>
        <scheme val="minor"/>
      </rPr>
      <t xml:space="preserve"> - Sales and services of educational activities
</t>
    </r>
    <r>
      <rPr>
        <b/>
        <sz val="10"/>
        <color theme="1"/>
        <rFont val="Calibri"/>
        <family val="2"/>
        <scheme val="minor"/>
      </rPr>
      <t>Salesservicesofauxiliaryenterprisesnetofallowance</t>
    </r>
    <r>
      <rPr>
        <sz val="10"/>
        <color theme="1"/>
        <rFont val="Calibri"/>
        <family val="2"/>
        <scheme val="minor"/>
      </rPr>
      <t xml:space="preserve"> - Sales and services of auxiliary enterprises (net of allowance)
</t>
    </r>
    <r>
      <rPr>
        <b/>
        <sz val="10"/>
        <color theme="1"/>
        <rFont val="Calibri"/>
        <family val="2"/>
        <scheme val="minor"/>
      </rPr>
      <t>Hospitalrevenuenottobereportedby</t>
    </r>
    <r>
      <rPr>
        <sz val="10"/>
        <color theme="1"/>
        <rFont val="Calibri"/>
        <family val="2"/>
        <scheme val="minor"/>
      </rPr>
      <t xml:space="preserve"> - Hospital revenue (not to be reported by less-than-4-year institutions)
</t>
    </r>
    <r>
      <rPr>
        <b/>
        <sz val="10"/>
        <color theme="1"/>
        <rFont val="Calibri"/>
        <family val="2"/>
        <scheme val="minor"/>
      </rPr>
      <t>Independentoperationsrevenuenottobe</t>
    </r>
    <r>
      <rPr>
        <sz val="10"/>
        <color theme="1"/>
        <rFont val="Calibri"/>
        <family val="2"/>
        <scheme val="minor"/>
      </rPr>
      <t xml:space="preserve"> - Independent operations revenue (not to be reported by less-than-4-year institutions)
</t>
    </r>
    <r>
      <rPr>
        <b/>
        <sz val="10"/>
        <color theme="1"/>
        <rFont val="Calibri"/>
        <family val="2"/>
        <scheme val="minor"/>
      </rPr>
      <t>Otherrevenue</t>
    </r>
    <r>
      <rPr>
        <sz val="10"/>
        <color theme="1"/>
        <rFont val="Calibri"/>
        <family val="2"/>
        <scheme val="minor"/>
      </rPr>
      <t xml:space="preserve"> - Other revenue
</t>
    </r>
    <r>
      <rPr>
        <b/>
        <sz val="10"/>
        <color theme="1"/>
        <rFont val="Calibri"/>
        <family val="2"/>
        <scheme val="minor"/>
      </rPr>
      <t>Netassetsreleasedfromrestriction</t>
    </r>
    <r>
      <rPr>
        <sz val="10"/>
        <color theme="1"/>
        <rFont val="Calibri"/>
        <family val="2"/>
        <scheme val="minor"/>
      </rPr>
      <t xml:space="preserve"> - Net assets released from restriction
</t>
    </r>
  </si>
  <si>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</si>
  <si>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</si>
  <si>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</si>
  <si>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</si>
  <si>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r>
      <t>Unrestricted</t>
    </r>
    <r>
      <rPr>
        <sz val="10"/>
        <color theme="1"/>
        <rFont val="Calibri"/>
        <family val="2"/>
        <scheme val="minor"/>
      </rPr>
      <t xml:space="preserve"> - Unrestricted
</t>
    </r>
    <r>
      <rPr>
        <b/>
        <sz val="10"/>
        <color theme="1"/>
        <rFont val="Calibri"/>
        <family val="2"/>
        <scheme val="minor"/>
      </rPr>
      <t>TemporarilyRestricted</t>
    </r>
    <r>
      <rPr>
        <sz val="10"/>
        <color theme="1"/>
        <rFont val="Calibri"/>
        <family val="2"/>
        <scheme val="minor"/>
      </rPr>
      <t xml:space="preserve"> - Temporarily Restricted
</t>
    </r>
    <r>
      <rPr>
        <b/>
        <sz val="10"/>
        <color theme="1"/>
        <rFont val="Calibri"/>
        <family val="2"/>
        <scheme val="minor"/>
      </rPr>
      <t>PermanentlyRestricted</t>
    </r>
    <r>
      <rPr>
        <sz val="10"/>
        <color theme="1"/>
        <rFont val="Calibri"/>
        <family val="2"/>
        <scheme val="minor"/>
      </rPr>
      <t xml:space="preserve"> - Permanently Restricted
</t>
    </r>
  </si>
  <si>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</si>
  <si>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</si>
  <si>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</si>
  <si>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</si>
  <si>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r>
      <t>Pellgrants</t>
    </r>
    <r>
      <rPr>
        <sz val="10"/>
        <color theme="1"/>
        <rFont val="Calibri"/>
        <family val="2"/>
        <scheme val="minor"/>
      </rPr>
      <t xml:space="preserve"> - Pell grants
</t>
    </r>
    <r>
      <rPr>
        <b/>
        <sz val="10"/>
        <color theme="1"/>
        <rFont val="Calibri"/>
        <family val="2"/>
        <scheme val="minor"/>
      </rPr>
      <t>Otherfederalgrants</t>
    </r>
    <r>
      <rPr>
        <sz val="10"/>
        <color theme="1"/>
        <rFont val="Calibri"/>
        <family val="2"/>
        <scheme val="minor"/>
      </rPr>
      <t xml:space="preserve"> - Other federal grants
</t>
    </r>
    <r>
      <rPr>
        <b/>
        <sz val="10"/>
        <color theme="1"/>
        <rFont val="Calibri"/>
        <family val="2"/>
        <scheme val="minor"/>
      </rPr>
      <t>Grantsbystategovernment</t>
    </r>
    <r>
      <rPr>
        <sz val="10"/>
        <color theme="1"/>
        <rFont val="Calibri"/>
        <family val="2"/>
        <scheme val="minor"/>
      </rPr>
      <t xml:space="preserve"> - Grants by state government
</t>
    </r>
    <r>
      <rPr>
        <b/>
        <sz val="10"/>
        <color theme="1"/>
        <rFont val="Calibri"/>
        <family val="2"/>
        <scheme val="minor"/>
      </rPr>
      <t>Grantsbylocalgovernment</t>
    </r>
    <r>
      <rPr>
        <sz val="10"/>
        <color theme="1"/>
        <rFont val="Calibri"/>
        <family val="2"/>
        <scheme val="minor"/>
      </rPr>
      <t xml:space="preserve"> - Grants by local government
</t>
    </r>
    <r>
      <rPr>
        <b/>
        <sz val="10"/>
        <color theme="1"/>
        <rFont val="Calibri"/>
        <family val="2"/>
        <scheme val="minor"/>
      </rPr>
      <t>Institutionalgrantsrestricted</t>
    </r>
    <r>
      <rPr>
        <sz val="10"/>
        <color theme="1"/>
        <rFont val="Calibri"/>
        <family val="2"/>
        <scheme val="minor"/>
      </rPr>
      <t xml:space="preserve"> - Institutional grants (restricted)
</t>
    </r>
    <r>
      <rPr>
        <b/>
        <sz val="10"/>
        <color theme="1"/>
        <rFont val="Calibri"/>
        <family val="2"/>
        <scheme val="minor"/>
      </rPr>
      <t>Institutionalgrantsunrestricted</t>
    </r>
    <r>
      <rPr>
        <sz val="10"/>
        <color theme="1"/>
        <rFont val="Calibri"/>
        <family val="2"/>
        <scheme val="minor"/>
      </rPr>
      <t xml:space="preserve"> - Institutional grants (unrestricted)
</t>
    </r>
    <r>
      <rPr>
        <b/>
        <sz val="10"/>
        <color theme="1"/>
        <rFont val="Calibri"/>
        <family val="2"/>
        <scheme val="minor"/>
      </rPr>
      <t>Discountsallowancesappliedtotuitionfees</t>
    </r>
    <r>
      <rPr>
        <sz val="10"/>
        <color theme="1"/>
        <rFont val="Calibri"/>
        <family val="2"/>
        <scheme val="minor"/>
      </rPr>
      <t xml:space="preserve"> - Discounts and allowances applied to tuition and fees
</t>
    </r>
    <r>
      <rPr>
        <b/>
        <sz val="10"/>
        <color theme="1"/>
        <rFont val="Calibri"/>
        <family val="2"/>
        <scheme val="minor"/>
      </rPr>
      <t>Discountsallowancesappliedtoauxiliary</t>
    </r>
    <r>
      <rPr>
        <sz val="10"/>
        <color theme="1"/>
        <rFont val="Calibri"/>
        <family val="2"/>
        <scheme val="minor"/>
      </rPr>
      <t xml:space="preserve"> - Discounts and allowances applied to auxiliary enterprise revenues
</t>
    </r>
  </si>
  <si>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</si>
  <si>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</si>
  <si>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</si>
  <si>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</si>
  <si>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r>
      <t>Totalcurrentassets</t>
    </r>
    <r>
      <rPr>
        <sz val="10"/>
        <color theme="1"/>
        <rFont val="Calibri"/>
        <family val="2"/>
        <scheme val="minor"/>
      </rPr>
      <t xml:space="preserve"> - Total current assets
</t>
    </r>
    <r>
      <rPr>
        <b/>
        <sz val="10"/>
        <color theme="1"/>
        <rFont val="Calibri"/>
        <family val="2"/>
        <scheme val="minor"/>
      </rPr>
      <t>Depreciablecapitalassetsnetofdepreciation</t>
    </r>
    <r>
      <rPr>
        <sz val="10"/>
        <color theme="1"/>
        <rFont val="Calibri"/>
        <family val="2"/>
        <scheme val="minor"/>
      </rPr>
      <t xml:space="preserve"> - Depreciable capital assets, net of depreciation
</t>
    </r>
    <r>
      <rPr>
        <b/>
        <sz val="10"/>
        <color theme="1"/>
        <rFont val="Calibri"/>
        <family val="2"/>
        <scheme val="minor"/>
      </rPr>
      <t>Othernoncurrentassets</t>
    </r>
    <r>
      <rPr>
        <sz val="10"/>
        <color theme="1"/>
        <rFont val="Calibri"/>
        <family val="2"/>
        <scheme val="minor"/>
      </rPr>
      <t xml:space="preserve"> - Other noncurrent assets
</t>
    </r>
    <r>
      <rPr>
        <b/>
        <sz val="10"/>
        <color theme="1"/>
        <rFont val="Calibri"/>
        <family val="2"/>
        <scheme val="minor"/>
      </rPr>
      <t>Deferredoutflowsofresources</t>
    </r>
    <r>
      <rPr>
        <sz val="10"/>
        <color theme="1"/>
        <rFont val="Calibri"/>
        <family val="2"/>
        <scheme val="minor"/>
      </rPr>
      <t xml:space="preserve"> - Deferred outflows of resources
</t>
    </r>
    <r>
      <rPr>
        <b/>
        <sz val="10"/>
        <color theme="1"/>
        <rFont val="Calibri"/>
        <family val="2"/>
        <scheme val="minor"/>
      </rPr>
      <t>Longtermdebtcurrentportion</t>
    </r>
    <r>
      <rPr>
        <sz val="10"/>
        <color theme="1"/>
        <rFont val="Calibri"/>
        <family val="2"/>
        <scheme val="minor"/>
      </rPr>
      <t xml:space="preserve"> - Long-term debt, current portion
</t>
    </r>
    <r>
      <rPr>
        <b/>
        <sz val="10"/>
        <color theme="1"/>
        <rFont val="Calibri"/>
        <family val="2"/>
        <scheme val="minor"/>
      </rPr>
      <t>Othercurrentliabilities</t>
    </r>
    <r>
      <rPr>
        <sz val="10"/>
        <color theme="1"/>
        <rFont val="Calibri"/>
        <family val="2"/>
        <scheme val="minor"/>
      </rPr>
      <t xml:space="preserve"> - Other current liabilities
</t>
    </r>
    <r>
      <rPr>
        <b/>
        <sz val="10"/>
        <color theme="1"/>
        <rFont val="Calibri"/>
        <family val="2"/>
        <scheme val="minor"/>
      </rPr>
      <t>Longtermdebt</t>
    </r>
    <r>
      <rPr>
        <sz val="10"/>
        <color theme="1"/>
        <rFont val="Calibri"/>
        <family val="2"/>
        <scheme val="minor"/>
      </rPr>
      <t xml:space="preserve"> - Long-term debt
</t>
    </r>
    <r>
      <rPr>
        <b/>
        <sz val="10"/>
        <color theme="1"/>
        <rFont val="Calibri"/>
        <family val="2"/>
        <scheme val="minor"/>
      </rPr>
      <t>Othernoncurrentliabilities</t>
    </r>
    <r>
      <rPr>
        <sz val="10"/>
        <color theme="1"/>
        <rFont val="Calibri"/>
        <family val="2"/>
        <scheme val="minor"/>
      </rPr>
      <t xml:space="preserve"> - Other non-current liabilities
</t>
    </r>
    <r>
      <rPr>
        <b/>
        <sz val="10"/>
        <color theme="1"/>
        <rFont val="Calibri"/>
        <family val="2"/>
        <scheme val="minor"/>
      </rPr>
      <t>Deferredinflowsofresources</t>
    </r>
    <r>
      <rPr>
        <sz val="10"/>
        <color theme="1"/>
        <rFont val="Calibri"/>
        <family val="2"/>
        <scheme val="minor"/>
      </rPr>
      <t xml:space="preserve"> - Deferred inflows of resources
</t>
    </r>
    <r>
      <rPr>
        <b/>
        <sz val="10"/>
        <color theme="1"/>
        <rFont val="Calibri"/>
        <family val="2"/>
        <scheme val="minor"/>
      </rPr>
      <t>Netassetsinvestedincapitalassetsnetofrelateddebt</t>
    </r>
    <r>
      <rPr>
        <sz val="10"/>
        <color theme="1"/>
        <rFont val="Calibri"/>
        <family val="2"/>
        <scheme val="minor"/>
      </rPr>
      <t xml:space="preserve"> - Net assets invested in capital assets, net of related debt
</t>
    </r>
    <r>
      <rPr>
        <b/>
        <sz val="10"/>
        <color theme="1"/>
        <rFont val="Calibri"/>
        <family val="2"/>
        <scheme val="minor"/>
      </rPr>
      <t>Restrictedexpendablenetassets</t>
    </r>
    <r>
      <rPr>
        <sz val="10"/>
        <color theme="1"/>
        <rFont val="Calibri"/>
        <family val="2"/>
        <scheme val="minor"/>
      </rPr>
      <t xml:space="preserve"> - Restricted expendable net assets
</t>
    </r>
    <r>
      <rPr>
        <b/>
        <sz val="10"/>
        <color theme="1"/>
        <rFont val="Calibri"/>
        <family val="2"/>
        <scheme val="minor"/>
      </rPr>
      <t>Restrictednonexpendablenetassets</t>
    </r>
    <r>
      <rPr>
        <sz val="10"/>
        <color theme="1"/>
        <rFont val="Calibri"/>
        <family val="2"/>
        <scheme val="minor"/>
      </rPr>
      <t xml:space="preserve"> - Restricted non-expendable net assets
</t>
    </r>
    <r>
      <rPr>
        <b/>
        <sz val="10"/>
        <color theme="1"/>
        <rFont val="Calibri"/>
        <family val="2"/>
        <scheme val="minor"/>
      </rPr>
      <t>Unrestrictednetassets</t>
    </r>
    <r>
      <rPr>
        <sz val="10"/>
        <color theme="1"/>
        <rFont val="Calibri"/>
        <family val="2"/>
        <scheme val="minor"/>
      </rPr>
      <t xml:space="preserve"> - Unrestricted net assets
</t>
    </r>
    <r>
      <rPr>
        <b/>
        <sz val="10"/>
        <color theme="1"/>
        <rFont val="Calibri"/>
        <family val="2"/>
        <scheme val="minor"/>
      </rPr>
      <t>CapitalAssetsLandlandimprovements</t>
    </r>
    <r>
      <rPr>
        <sz val="10"/>
        <color theme="1"/>
        <rFont val="Calibri"/>
        <family val="2"/>
        <scheme val="minor"/>
      </rPr>
      <t xml:space="preserve"> - Capital Assets: Land and land improvements
</t>
    </r>
    <r>
      <rPr>
        <b/>
        <sz val="10"/>
        <color theme="1"/>
        <rFont val="Calibri"/>
        <family val="2"/>
        <scheme val="minor"/>
      </rPr>
      <t>CapitalAssetsInfrastructure</t>
    </r>
    <r>
      <rPr>
        <sz val="10"/>
        <color theme="1"/>
        <rFont val="Calibri"/>
        <family val="2"/>
        <scheme val="minor"/>
      </rPr>
      <t xml:space="preserve"> - Capital Assets: Infrastructure
</t>
    </r>
    <r>
      <rPr>
        <b/>
        <sz val="10"/>
        <color theme="1"/>
        <rFont val="Calibri"/>
        <family val="2"/>
        <scheme val="minor"/>
      </rPr>
      <t>CapitalAssetsBuildings</t>
    </r>
    <r>
      <rPr>
        <sz val="10"/>
        <color theme="1"/>
        <rFont val="Calibri"/>
        <family val="2"/>
        <scheme val="minor"/>
      </rPr>
      <t xml:space="preserve"> - Capital Assets: Buildings
</t>
    </r>
    <r>
      <rPr>
        <b/>
        <sz val="10"/>
        <color theme="1"/>
        <rFont val="Calibri"/>
        <family val="2"/>
        <scheme val="minor"/>
      </rPr>
      <t>CapitalAssetsEquipmentincludingartlibrary</t>
    </r>
    <r>
      <rPr>
        <sz val="10"/>
        <color theme="1"/>
        <rFont val="Calibri"/>
        <family val="2"/>
        <scheme val="minor"/>
      </rPr>
      <t xml:space="preserve"> - Capital Assets: Equipment, including art and library collections
</t>
    </r>
    <r>
      <rPr>
        <b/>
        <sz val="10"/>
        <color theme="1"/>
        <rFont val="Calibri"/>
        <family val="2"/>
        <scheme val="minor"/>
      </rPr>
      <t>CapitalAssetsConstructioninprogress</t>
    </r>
    <r>
      <rPr>
        <sz val="10"/>
        <color theme="1"/>
        <rFont val="Calibri"/>
        <family val="2"/>
        <scheme val="minor"/>
      </rPr>
      <t xml:space="preserve"> - Capital Assets: Construction in progress
</t>
    </r>
    <r>
      <rPr>
        <b/>
        <sz val="10"/>
        <color theme="1"/>
        <rFont val="Calibri"/>
        <family val="2"/>
        <scheme val="minor"/>
      </rPr>
      <t>CapitalAssetsAccumulateddepreciation</t>
    </r>
    <r>
      <rPr>
        <sz val="10"/>
        <color theme="1"/>
        <rFont val="Calibri"/>
        <family val="2"/>
        <scheme val="minor"/>
      </rPr>
      <t xml:space="preserve"> - Capital Assets: Accumulated depreciation
</t>
    </r>
    <r>
      <rPr>
        <b/>
        <sz val="10"/>
        <color theme="1"/>
        <rFont val="Calibri"/>
        <family val="2"/>
        <scheme val="minor"/>
      </rPr>
      <t>CapitalAssetsIntangibleassetsnetof</t>
    </r>
    <r>
      <rPr>
        <sz val="10"/>
        <color theme="1"/>
        <rFont val="Calibri"/>
        <family val="2"/>
        <scheme val="minor"/>
      </rPr>
      <t xml:space="preserve"> - Capital Assets: Intangible assets, net of accumulated amortization
</t>
    </r>
    <r>
      <rPr>
        <b/>
        <sz val="10"/>
        <color theme="1"/>
        <rFont val="Calibri"/>
        <family val="2"/>
        <scheme val="minor"/>
      </rPr>
      <t>CapitalAssetsOthercapitalassets</t>
    </r>
    <r>
      <rPr>
        <sz val="10"/>
        <color theme="1"/>
        <rFont val="Calibri"/>
        <family val="2"/>
        <scheme val="minor"/>
      </rPr>
      <t xml:space="preserve"> - Capital Assets: Other capital assets
</t>
    </r>
  </si>
  <si>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</si>
  <si>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</si>
  <si>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</si>
  <si>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</si>
  <si>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r>
      <t>Instruction</t>
    </r>
    <r>
      <rPr>
        <sz val="10"/>
        <color theme="1"/>
        <rFont val="Calibri"/>
        <family val="2"/>
        <scheme val="minor"/>
      </rPr>
      <t xml:space="preserve"> - Instruction
</t>
    </r>
    <r>
      <rPr>
        <b/>
        <sz val="10"/>
        <color theme="1"/>
        <rFont val="Calibri"/>
        <family val="2"/>
        <scheme val="minor"/>
      </rPr>
      <t>Research</t>
    </r>
    <r>
      <rPr>
        <sz val="10"/>
        <color theme="1"/>
        <rFont val="Calibri"/>
        <family val="2"/>
        <scheme val="minor"/>
      </rPr>
      <t xml:space="preserve"> - Research
</t>
    </r>
    <r>
      <rPr>
        <b/>
        <sz val="10"/>
        <color theme="1"/>
        <rFont val="Calibri"/>
        <family val="2"/>
        <scheme val="minor"/>
      </rPr>
      <t>Publicservice</t>
    </r>
    <r>
      <rPr>
        <sz val="10"/>
        <color theme="1"/>
        <rFont val="Calibri"/>
        <family val="2"/>
        <scheme val="minor"/>
      </rPr>
      <t xml:space="preserve"> - Public service
</t>
    </r>
    <r>
      <rPr>
        <b/>
        <sz val="10"/>
        <color theme="1"/>
        <rFont val="Calibri"/>
        <family val="2"/>
        <scheme val="minor"/>
      </rPr>
      <t>Academicsupport</t>
    </r>
    <r>
      <rPr>
        <sz val="10"/>
        <color theme="1"/>
        <rFont val="Calibri"/>
        <family val="2"/>
        <scheme val="minor"/>
      </rPr>
      <t xml:space="preserve"> - Academic support
</t>
    </r>
    <r>
      <rPr>
        <b/>
        <sz val="10"/>
        <color theme="1"/>
        <rFont val="Calibri"/>
        <family val="2"/>
        <scheme val="minor"/>
      </rPr>
      <t>Studentservices</t>
    </r>
    <r>
      <rPr>
        <sz val="10"/>
        <color theme="1"/>
        <rFont val="Calibri"/>
        <family val="2"/>
        <scheme val="minor"/>
      </rPr>
      <t xml:space="preserve"> - Student services
</t>
    </r>
    <r>
      <rPr>
        <b/>
        <sz val="10"/>
        <color theme="1"/>
        <rFont val="Calibri"/>
        <family val="2"/>
        <scheme val="minor"/>
      </rPr>
      <t>Institutionalsupport</t>
    </r>
    <r>
      <rPr>
        <sz val="10"/>
        <color theme="1"/>
        <rFont val="Calibri"/>
        <family val="2"/>
        <scheme val="minor"/>
      </rPr>
      <t xml:space="preserve"> - Institutional support
</t>
    </r>
    <r>
      <rPr>
        <b/>
        <sz val="10"/>
        <color theme="1"/>
        <rFont val="Calibri"/>
        <family val="2"/>
        <scheme val="minor"/>
      </rPr>
      <t>Auxiliaryenterprises</t>
    </r>
    <r>
      <rPr>
        <sz val="10"/>
        <color theme="1"/>
        <rFont val="Calibri"/>
        <family val="2"/>
        <scheme val="minor"/>
      </rPr>
      <t xml:space="preserve"> - Auxiliary enterprises
</t>
    </r>
    <r>
      <rPr>
        <b/>
        <sz val="10"/>
        <color theme="1"/>
        <rFont val="Calibri"/>
        <family val="2"/>
        <scheme val="minor"/>
      </rPr>
      <t>Scholarshipsfellowships</t>
    </r>
    <r>
      <rPr>
        <sz val="10"/>
        <color theme="1"/>
        <rFont val="Calibri"/>
        <family val="2"/>
        <scheme val="minor"/>
      </rPr>
      <t xml:space="preserve"> - Scholarships and fellowships
</t>
    </r>
    <r>
      <rPr>
        <b/>
        <sz val="10"/>
        <color theme="1"/>
        <rFont val="Calibri"/>
        <family val="2"/>
        <scheme val="minor"/>
      </rPr>
      <t>Hospitalservices</t>
    </r>
    <r>
      <rPr>
        <sz val="10"/>
        <color theme="1"/>
        <rFont val="Calibri"/>
        <family val="2"/>
        <scheme val="minor"/>
      </rPr>
      <t xml:space="preserve"> - Hospital services
</t>
    </r>
    <r>
      <rPr>
        <b/>
        <sz val="10"/>
        <color theme="1"/>
        <rFont val="Calibri"/>
        <family val="2"/>
        <scheme val="minor"/>
      </rPr>
      <t>Independentoperations</t>
    </r>
    <r>
      <rPr>
        <sz val="10"/>
        <color theme="1"/>
        <rFont val="Calibri"/>
        <family val="2"/>
        <scheme val="minor"/>
      </rPr>
      <t xml:space="preserve"> - Independent operations
</t>
    </r>
    <r>
      <rPr>
        <b/>
        <sz val="10"/>
        <color theme="1"/>
        <rFont val="Calibri"/>
        <family val="2"/>
        <scheme val="minor"/>
      </rPr>
      <t>Other</t>
    </r>
    <r>
      <rPr>
        <sz val="10"/>
        <color theme="1"/>
        <rFont val="Calibri"/>
        <family val="2"/>
        <scheme val="minor"/>
      </rPr>
      <t xml:space="preserve"> - Other
</t>
    </r>
  </si>
  <si>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</si>
  <si>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</si>
  <si>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</si>
  <si>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</si>
  <si>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r>
      <t>Tuitionfeesnetofdiscountsallowances</t>
    </r>
    <r>
      <rPr>
        <sz val="10"/>
        <color theme="1"/>
        <rFont val="Calibri"/>
        <family val="2"/>
        <scheme val="minor"/>
      </rPr>
      <t xml:space="preserve"> - Tuition and fees (net discounts and allowances)
</t>
    </r>
    <r>
      <rPr>
        <b/>
        <sz val="10"/>
        <color theme="1"/>
        <rFont val="Calibri"/>
        <family val="2"/>
        <scheme val="minor"/>
      </rPr>
      <t>Federaloperatinggrantscontracts</t>
    </r>
    <r>
      <rPr>
        <sz val="10"/>
        <color theme="1"/>
        <rFont val="Calibri"/>
        <family val="2"/>
        <scheme val="minor"/>
      </rPr>
      <t xml:space="preserve"> - Federal operating grants and contracts
</t>
    </r>
    <r>
      <rPr>
        <b/>
        <sz val="10"/>
        <color theme="1"/>
        <rFont val="Calibri"/>
        <family val="2"/>
        <scheme val="minor"/>
      </rPr>
      <t>Stateoperatinggrantscontracts</t>
    </r>
    <r>
      <rPr>
        <sz val="10"/>
        <color theme="1"/>
        <rFont val="Calibri"/>
        <family val="2"/>
        <scheme val="minor"/>
      </rPr>
      <t xml:space="preserve"> - State operating grants and contracts
</t>
    </r>
    <r>
      <rPr>
        <b/>
        <sz val="10"/>
        <color theme="1"/>
        <rFont val="Calibri"/>
        <family val="2"/>
        <scheme val="minor"/>
      </rPr>
      <t>Localgovernmentoperatinggrantscontracts</t>
    </r>
    <r>
      <rPr>
        <sz val="10"/>
        <color theme="1"/>
        <rFont val="Calibri"/>
        <family val="2"/>
        <scheme val="minor"/>
      </rPr>
      <t xml:space="preserve"> - Local government operating grants and contracts
</t>
    </r>
    <r>
      <rPr>
        <b/>
        <sz val="10"/>
        <color theme="1"/>
        <rFont val="Calibri"/>
        <family val="2"/>
        <scheme val="minor"/>
      </rPr>
      <t>Privateoperatinggrantscontracts</t>
    </r>
    <r>
      <rPr>
        <sz val="10"/>
        <color theme="1"/>
        <rFont val="Calibri"/>
        <family val="2"/>
        <scheme val="minor"/>
      </rPr>
      <t xml:space="preserve"> - Private operating grants and contracts
</t>
    </r>
    <r>
      <rPr>
        <b/>
        <sz val="10"/>
        <color theme="1"/>
        <rFont val="Calibri"/>
        <family val="2"/>
        <scheme val="minor"/>
      </rPr>
      <t>Salesservicesofauxiliaryenterprisesnetofdiscounts</t>
    </r>
    <r>
      <rPr>
        <sz val="10"/>
        <color theme="1"/>
        <rFont val="Calibri"/>
        <family val="2"/>
        <scheme val="minor"/>
      </rPr>
      <t xml:space="preserve"> - Sales and services of auxiliary enterprises (net discounts and allowances)
</t>
    </r>
    <r>
      <rPr>
        <b/>
        <sz val="10"/>
        <color theme="1"/>
        <rFont val="Calibri"/>
        <family val="2"/>
        <scheme val="minor"/>
      </rPr>
      <t>Salesservicesofhospitalsafterdeducting</t>
    </r>
    <r>
      <rPr>
        <sz val="10"/>
        <color theme="1"/>
        <rFont val="Calibri"/>
        <family val="2"/>
        <scheme val="minor"/>
      </rPr>
      <t xml:space="preserve"> - Sales and services of hospitals (after deducting patient contractual allowances)
</t>
    </r>
    <r>
      <rPr>
        <b/>
        <sz val="10"/>
        <color theme="1"/>
        <rFont val="Calibri"/>
        <family val="2"/>
        <scheme val="minor"/>
      </rPr>
      <t>Salesservicesofeducationalactivities</t>
    </r>
    <r>
      <rPr>
        <sz val="10"/>
        <color theme="1"/>
        <rFont val="Calibri"/>
        <family val="2"/>
        <scheme val="minor"/>
      </rPr>
      <t xml:space="preserve"> - Sales &amp; services of educational activities
</t>
    </r>
    <r>
      <rPr>
        <b/>
        <sz val="10"/>
        <color theme="1"/>
        <rFont val="Calibri"/>
        <family val="2"/>
        <scheme val="minor"/>
      </rPr>
      <t>Independentoperations</t>
    </r>
    <r>
      <rPr>
        <sz val="10"/>
        <color theme="1"/>
        <rFont val="Calibri"/>
        <family val="2"/>
        <scheme val="minor"/>
      </rPr>
      <t xml:space="preserve"> - Independent operations
</t>
    </r>
    <r>
      <rPr>
        <b/>
        <sz val="10"/>
        <color theme="1"/>
        <rFont val="Calibri"/>
        <family val="2"/>
        <scheme val="minor"/>
      </rPr>
      <t>Otheroperatingrevenue</t>
    </r>
    <r>
      <rPr>
        <sz val="10"/>
        <color theme="1"/>
        <rFont val="Calibri"/>
        <family val="2"/>
        <scheme val="minor"/>
      </rPr>
      <t xml:space="preserve"> - Other operating revenue
</t>
    </r>
    <r>
      <rPr>
        <b/>
        <sz val="10"/>
        <color theme="1"/>
        <rFont val="Calibri"/>
        <family val="2"/>
        <scheme val="minor"/>
      </rPr>
      <t>Federalappropriations</t>
    </r>
    <r>
      <rPr>
        <sz val="10"/>
        <color theme="1"/>
        <rFont val="Calibri"/>
        <family val="2"/>
        <scheme val="minor"/>
      </rPr>
      <t xml:space="preserve"> - Federal appropriations
</t>
    </r>
    <r>
      <rPr>
        <b/>
        <sz val="10"/>
        <color theme="1"/>
        <rFont val="Calibri"/>
        <family val="2"/>
        <scheme val="minor"/>
      </rPr>
      <t>Stateappropriations</t>
    </r>
    <r>
      <rPr>
        <sz val="10"/>
        <color theme="1"/>
        <rFont val="Calibri"/>
        <family val="2"/>
        <scheme val="minor"/>
      </rPr>
      <t xml:space="preserve"> - State appropriations
</t>
    </r>
    <r>
      <rPr>
        <b/>
        <sz val="10"/>
        <color theme="1"/>
        <rFont val="Calibri"/>
        <family val="2"/>
        <scheme val="minor"/>
      </rPr>
      <t>Localappropriationseducationdistrict</t>
    </r>
    <r>
      <rPr>
        <sz val="10"/>
        <color theme="1"/>
        <rFont val="Calibri"/>
        <family val="2"/>
        <scheme val="minor"/>
      </rPr>
      <t xml:space="preserve"> - Local appropriations, education district taxes, and similar support
</t>
    </r>
    <r>
      <rPr>
        <b/>
        <sz val="10"/>
        <color theme="1"/>
        <rFont val="Calibri"/>
        <family val="2"/>
        <scheme val="minor"/>
      </rPr>
      <t>Federalnonoperatinggrants</t>
    </r>
    <r>
      <rPr>
        <sz val="10"/>
        <color theme="1"/>
        <rFont val="Calibri"/>
        <family val="2"/>
        <scheme val="minor"/>
      </rPr>
      <t xml:space="preserve"> - Federal nonoperating grants
</t>
    </r>
    <r>
      <rPr>
        <b/>
        <sz val="10"/>
        <color theme="1"/>
        <rFont val="Calibri"/>
        <family val="2"/>
        <scheme val="minor"/>
      </rPr>
      <t>Statenonoperatinggrants</t>
    </r>
    <r>
      <rPr>
        <sz val="10"/>
        <color theme="1"/>
        <rFont val="Calibri"/>
        <family val="2"/>
        <scheme val="minor"/>
      </rPr>
      <t xml:space="preserve"> - State nonoperating grants
</t>
    </r>
    <r>
      <rPr>
        <b/>
        <sz val="10"/>
        <color theme="1"/>
        <rFont val="Calibri"/>
        <family val="2"/>
        <scheme val="minor"/>
      </rPr>
      <t>Localgovernmentnonoperatinggrants</t>
    </r>
    <r>
      <rPr>
        <sz val="10"/>
        <color theme="1"/>
        <rFont val="Calibri"/>
        <family val="2"/>
        <scheme val="minor"/>
      </rPr>
      <t xml:space="preserve"> - Local government nonoperating grants
</t>
    </r>
    <r>
      <rPr>
        <b/>
        <sz val="10"/>
        <color theme="1"/>
        <rFont val="Calibri"/>
        <family val="2"/>
        <scheme val="minor"/>
      </rPr>
      <t>Giftsincludingcontributionsfromaffiliated</t>
    </r>
    <r>
      <rPr>
        <sz val="10"/>
        <color theme="1"/>
        <rFont val="Calibri"/>
        <family val="2"/>
        <scheme val="minor"/>
      </rPr>
      <t xml:space="preserve"> - Gifts, including contributions from affiliated organizations
</t>
    </r>
    <r>
      <rPr>
        <b/>
        <sz val="10"/>
        <color theme="1"/>
        <rFont val="Calibri"/>
        <family val="2"/>
        <scheme val="minor"/>
      </rPr>
      <t>Investmentincome</t>
    </r>
    <r>
      <rPr>
        <sz val="10"/>
        <color theme="1"/>
        <rFont val="Calibri"/>
        <family val="2"/>
        <scheme val="minor"/>
      </rPr>
      <t xml:space="preserve"> - Investment income
</t>
    </r>
    <r>
      <rPr>
        <b/>
        <sz val="10"/>
        <color theme="1"/>
        <rFont val="Calibri"/>
        <family val="2"/>
        <scheme val="minor"/>
      </rPr>
      <t>Othernonoperatingrevenues</t>
    </r>
    <r>
      <rPr>
        <sz val="10"/>
        <color theme="1"/>
        <rFont val="Calibri"/>
        <family val="2"/>
        <scheme val="minor"/>
      </rPr>
      <t xml:space="preserve"> - Other nonoperating revenues
</t>
    </r>
    <r>
      <rPr>
        <b/>
        <sz val="10"/>
        <color theme="1"/>
        <rFont val="Calibri"/>
        <family val="2"/>
        <scheme val="minor"/>
      </rPr>
      <t>Capitalappropriations</t>
    </r>
    <r>
      <rPr>
        <sz val="10"/>
        <color theme="1"/>
        <rFont val="Calibri"/>
        <family val="2"/>
        <scheme val="minor"/>
      </rPr>
      <t xml:space="preserve"> - Capital appropriations
</t>
    </r>
    <r>
      <rPr>
        <b/>
        <sz val="10"/>
        <color theme="1"/>
        <rFont val="Calibri"/>
        <family val="2"/>
        <scheme val="minor"/>
      </rPr>
      <t>Capitalgrantsgifts</t>
    </r>
    <r>
      <rPr>
        <sz val="10"/>
        <color theme="1"/>
        <rFont val="Calibri"/>
        <family val="2"/>
        <scheme val="minor"/>
      </rPr>
      <t xml:space="preserve"> - Capital grants and gifts
</t>
    </r>
    <r>
      <rPr>
        <b/>
        <sz val="10"/>
        <color theme="1"/>
        <rFont val="Calibri"/>
        <family val="2"/>
        <scheme val="minor"/>
      </rPr>
      <t>Additionstopermanentendowments</t>
    </r>
    <r>
      <rPr>
        <sz val="10"/>
        <color theme="1"/>
        <rFont val="Calibri"/>
        <family val="2"/>
        <scheme val="minor"/>
      </rPr>
      <t xml:space="preserve"> - Additions to permanent endowments
</t>
    </r>
    <r>
      <rPr>
        <b/>
        <sz val="10"/>
        <color theme="1"/>
        <rFont val="Calibri"/>
        <family val="2"/>
        <scheme val="minor"/>
      </rPr>
      <t>Otherrevenuesadditions</t>
    </r>
    <r>
      <rPr>
        <sz val="10"/>
        <color theme="1"/>
        <rFont val="Calibri"/>
        <family val="2"/>
        <scheme val="minor"/>
      </rPr>
      <t xml:space="preserve"> - Other revenues and additions
</t>
    </r>
  </si>
  <si>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</si>
  <si>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</si>
  <si>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</si>
  <si>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</si>
  <si>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r>
      <t>Pellgrants</t>
    </r>
    <r>
      <rPr>
        <sz val="10"/>
        <color theme="1"/>
        <rFont val="Calibri"/>
        <family val="2"/>
        <scheme val="minor"/>
      </rPr>
      <t xml:space="preserve"> - Pell grants
</t>
    </r>
    <r>
      <rPr>
        <b/>
        <sz val="10"/>
        <color theme="1"/>
        <rFont val="Calibri"/>
        <family val="2"/>
        <scheme val="minor"/>
      </rPr>
      <t>Otherfederalgrants</t>
    </r>
    <r>
      <rPr>
        <sz val="10"/>
        <color theme="1"/>
        <rFont val="Calibri"/>
        <family val="2"/>
        <scheme val="minor"/>
      </rPr>
      <t xml:space="preserve"> - Other federal grants
</t>
    </r>
    <r>
      <rPr>
        <b/>
        <sz val="10"/>
        <color theme="1"/>
        <rFont val="Calibri"/>
        <family val="2"/>
        <scheme val="minor"/>
      </rPr>
      <t>Grantsbystategovernment</t>
    </r>
    <r>
      <rPr>
        <sz val="10"/>
        <color theme="1"/>
        <rFont val="Calibri"/>
        <family val="2"/>
        <scheme val="minor"/>
      </rPr>
      <t xml:space="preserve"> - Grants by state government
</t>
    </r>
    <r>
      <rPr>
        <b/>
        <sz val="10"/>
        <color theme="1"/>
        <rFont val="Calibri"/>
        <family val="2"/>
        <scheme val="minor"/>
      </rPr>
      <t>Grantsbylocalgovernment</t>
    </r>
    <r>
      <rPr>
        <sz val="10"/>
        <color theme="1"/>
        <rFont val="Calibri"/>
        <family val="2"/>
        <scheme val="minor"/>
      </rPr>
      <t xml:space="preserve"> - Grants by local government
</t>
    </r>
    <r>
      <rPr>
        <b/>
        <sz val="10"/>
        <color theme="1"/>
        <rFont val="Calibri"/>
        <family val="2"/>
        <scheme val="minor"/>
      </rPr>
      <t>Institutionalgrantsfromrestrictedresources</t>
    </r>
    <r>
      <rPr>
        <sz val="10"/>
        <color theme="1"/>
        <rFont val="Calibri"/>
        <family val="2"/>
        <scheme val="minor"/>
      </rPr>
      <t xml:space="preserve"> - Institutional grants from restricted resources
</t>
    </r>
    <r>
      <rPr>
        <b/>
        <sz val="10"/>
        <color theme="1"/>
        <rFont val="Calibri"/>
        <family val="2"/>
        <scheme val="minor"/>
      </rPr>
      <t>Institutionalgrantsfromunrestrictedresources</t>
    </r>
    <r>
      <rPr>
        <sz val="10"/>
        <color theme="1"/>
        <rFont val="Calibri"/>
        <family val="2"/>
        <scheme val="minor"/>
      </rPr>
      <t xml:space="preserve"> - Institutional grants from unrestricted resources
</t>
    </r>
    <r>
      <rPr>
        <b/>
        <sz val="10"/>
        <color theme="1"/>
        <rFont val="Calibri"/>
        <family val="2"/>
        <scheme val="minor"/>
      </rPr>
      <t>Discountsallowancesappliedtotuitionfees</t>
    </r>
    <r>
      <rPr>
        <sz val="10"/>
        <color theme="1"/>
        <rFont val="Calibri"/>
        <family val="2"/>
        <scheme val="minor"/>
      </rPr>
      <t xml:space="preserve"> - Discounts &amp; allowances applied to tuition &amp; fees
</t>
    </r>
    <r>
      <rPr>
        <b/>
        <sz val="10"/>
        <color theme="1"/>
        <rFont val="Calibri"/>
        <family val="2"/>
        <scheme val="minor"/>
      </rPr>
      <t>Discountsallowancesappliedtosalesservices</t>
    </r>
    <r>
      <rPr>
        <sz val="10"/>
        <color theme="1"/>
        <rFont val="Calibri"/>
        <family val="2"/>
        <scheme val="minor"/>
      </rPr>
      <t xml:space="preserve"> - Discounts &amp; allowances applied to sales &amp; services of auxiliary enterprises
</t>
    </r>
  </si>
  <si>
    <t>001677</t>
  </si>
  <si>
    <t>IPEDSFinanceGASBScholarshipsandFellowshipsRevenueCategory</t>
  </si>
  <si>
    <t>IPEDS Finance Intercollegiate Athletics Expenses</t>
  </si>
  <si>
    <t>Identifies the functional expense category where the institution allocates its intercollegiate athletics expenses.</t>
  </si>
  <si>
    <r>
      <t>Auxiliaryenterprises</t>
    </r>
    <r>
      <rPr>
        <sz val="10"/>
        <color theme="1"/>
        <rFont val="Calibri"/>
        <family val="2"/>
        <scheme val="minor"/>
      </rPr>
      <t xml:space="preserve"> - Auxiliary enterprises
</t>
    </r>
    <r>
      <rPr>
        <b/>
        <sz val="10"/>
        <color theme="1"/>
        <rFont val="Calibri"/>
        <family val="2"/>
        <scheme val="minor"/>
      </rPr>
      <t>Studentservices</t>
    </r>
    <r>
      <rPr>
        <sz val="10"/>
        <color theme="1"/>
        <rFont val="Calibri"/>
        <family val="2"/>
        <scheme val="minor"/>
      </rPr>
      <t xml:space="preserve"> - Student services
</t>
    </r>
    <r>
      <rPr>
        <b/>
        <sz val="10"/>
        <color theme="1"/>
        <rFont val="Calibri"/>
        <family val="2"/>
        <scheme val="minor"/>
      </rPr>
      <t>Doesnotparticipateinintercollegiateathletics</t>
    </r>
    <r>
      <rPr>
        <sz val="10"/>
        <color theme="1"/>
        <rFont val="Calibri"/>
        <family val="2"/>
        <scheme val="minor"/>
      </rPr>
      <t xml:space="preserve"> - Does not participate in intercollegiate athletics
</t>
    </r>
    <r>
      <rPr>
        <b/>
        <sz val="10"/>
        <color theme="1"/>
        <rFont val="Calibri"/>
        <family val="2"/>
        <scheme val="minor"/>
      </rPr>
      <t>Other</t>
    </r>
    <r>
      <rPr>
        <sz val="10"/>
        <color theme="1"/>
        <rFont val="Calibri"/>
        <family val="2"/>
        <scheme val="minor"/>
      </rPr>
      <t xml:space="preserve"> - Other
</t>
    </r>
  </si>
  <si>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</si>
  <si>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</si>
  <si>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</si>
  <si>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</si>
  <si>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r>
      <t>Salarieswages</t>
    </r>
    <r>
      <rPr>
        <sz val="10"/>
        <color theme="1"/>
        <rFont val="Calibri"/>
        <family val="2"/>
        <scheme val="minor"/>
      </rPr>
      <t xml:space="preserve"> - Salaries and wages
</t>
    </r>
    <r>
      <rPr>
        <b/>
        <sz val="10"/>
        <color theme="1"/>
        <rFont val="Calibri"/>
        <family val="2"/>
        <scheme val="minor"/>
      </rPr>
      <t>Benefits</t>
    </r>
    <r>
      <rPr>
        <sz val="10"/>
        <color theme="1"/>
        <rFont val="Calibri"/>
        <family val="2"/>
        <scheme val="minor"/>
      </rPr>
      <t xml:space="preserve"> - Benefits
</t>
    </r>
    <r>
      <rPr>
        <b/>
        <sz val="10"/>
        <color theme="1"/>
        <rFont val="Calibri"/>
        <family val="2"/>
        <scheme val="minor"/>
      </rPr>
      <t>Operationmaintenanceofplant</t>
    </r>
    <r>
      <rPr>
        <sz val="10"/>
        <color theme="1"/>
        <rFont val="Calibri"/>
        <family val="2"/>
        <scheme val="minor"/>
      </rPr>
      <t xml:space="preserve"> - Operation and maintenance of plant
</t>
    </r>
    <r>
      <rPr>
        <b/>
        <sz val="10"/>
        <color theme="1"/>
        <rFont val="Calibri"/>
        <family val="2"/>
        <scheme val="minor"/>
      </rPr>
      <t>Depreciation</t>
    </r>
    <r>
      <rPr>
        <sz val="10"/>
        <color theme="1"/>
        <rFont val="Calibri"/>
        <family val="2"/>
        <scheme val="minor"/>
      </rPr>
      <t xml:space="preserve"> - Depreciation
</t>
    </r>
    <r>
      <rPr>
        <b/>
        <sz val="10"/>
        <color theme="1"/>
        <rFont val="Calibri"/>
        <family val="2"/>
        <scheme val="minor"/>
      </rPr>
      <t>Interest</t>
    </r>
    <r>
      <rPr>
        <sz val="10"/>
        <color theme="1"/>
        <rFont val="Calibri"/>
        <family val="2"/>
        <scheme val="minor"/>
      </rPr>
      <t xml:space="preserve"> - Interest
</t>
    </r>
    <r>
      <rPr>
        <b/>
        <sz val="10"/>
        <color theme="1"/>
        <rFont val="Calibri"/>
        <family val="2"/>
        <scheme val="minor"/>
      </rPr>
      <t>Other</t>
    </r>
    <r>
      <rPr>
        <sz val="10"/>
        <color theme="1"/>
        <rFont val="Calibri"/>
        <family val="2"/>
        <scheme val="minor"/>
      </rPr>
      <t xml:space="preserve"> - Other
</t>
    </r>
  </si>
  <si>
    <t>(NACUBO FARM section 700)</t>
  </si>
  <si>
    <t>001676</t>
  </si>
  <si>
    <t>IPEDSFinanceNaturalExpenseCategory</t>
  </si>
  <si>
    <t>IPEDS Occupational Category</t>
  </si>
  <si>
    <t>The Integrated Postsecondary Education Data System (IPEDS) occupational categories used to report employees.</t>
  </si>
  <si>
    <r>
      <t>01</t>
    </r>
    <r>
      <rPr>
        <sz val="10"/>
        <color theme="1"/>
        <rFont val="Calibri"/>
        <family val="2"/>
        <scheme val="minor"/>
      </rPr>
      <t xml:space="preserve"> - Postsecondary Teacher: Instruction
</t>
    </r>
    <r>
      <rPr>
        <b/>
        <sz val="10"/>
        <color theme="1"/>
        <rFont val="Calibri"/>
        <family val="2"/>
        <scheme val="minor"/>
      </rPr>
      <t>02</t>
    </r>
    <r>
      <rPr>
        <sz val="10"/>
        <color theme="1"/>
        <rFont val="Calibri"/>
        <family val="2"/>
        <scheme val="minor"/>
      </rPr>
      <t xml:space="preserve"> - Postsecondary Teacher: Instruction/Research/Public Service
</t>
    </r>
    <r>
      <rPr>
        <b/>
        <sz val="10"/>
        <color theme="1"/>
        <rFont val="Calibri"/>
        <family val="2"/>
        <scheme val="minor"/>
      </rPr>
      <t>03</t>
    </r>
    <r>
      <rPr>
        <sz val="10"/>
        <color theme="1"/>
        <rFont val="Calibri"/>
        <family val="2"/>
        <scheme val="minor"/>
      </rPr>
      <t xml:space="preserve"> - Postsecondary Teacher: Research
</t>
    </r>
    <r>
      <rPr>
        <b/>
        <sz val="10"/>
        <color theme="1"/>
        <rFont val="Calibri"/>
        <family val="2"/>
        <scheme val="minor"/>
      </rPr>
      <t>04</t>
    </r>
    <r>
      <rPr>
        <sz val="10"/>
        <color theme="1"/>
        <rFont val="Calibri"/>
        <family val="2"/>
        <scheme val="minor"/>
      </rPr>
      <t xml:space="preserve"> - Postsecondary Teacher: Public Service
</t>
    </r>
    <r>
      <rPr>
        <b/>
        <sz val="10"/>
        <color theme="1"/>
        <rFont val="Calibri"/>
        <family val="2"/>
        <scheme val="minor"/>
      </rPr>
      <t>05</t>
    </r>
    <r>
      <rPr>
        <sz val="10"/>
        <color theme="1"/>
        <rFont val="Calibri"/>
        <family val="2"/>
        <scheme val="minor"/>
      </rPr>
      <t xml:space="preserve"> - Archivists, Curators, and Museum Technicians
</t>
    </r>
    <r>
      <rPr>
        <b/>
        <sz val="10"/>
        <color theme="1"/>
        <rFont val="Calibri"/>
        <family val="2"/>
        <scheme val="minor"/>
      </rPr>
      <t>06</t>
    </r>
    <r>
      <rPr>
        <sz val="10"/>
        <color theme="1"/>
        <rFont val="Calibri"/>
        <family val="2"/>
        <scheme val="minor"/>
      </rPr>
      <t xml:space="preserve"> - Librarians
</t>
    </r>
    <r>
      <rPr>
        <b/>
        <sz val="10"/>
        <color theme="1"/>
        <rFont val="Calibri"/>
        <family val="2"/>
        <scheme val="minor"/>
      </rPr>
      <t>07</t>
    </r>
    <r>
      <rPr>
        <sz val="10"/>
        <color theme="1"/>
        <rFont val="Calibri"/>
        <family val="2"/>
        <scheme val="minor"/>
      </rPr>
      <t xml:space="preserve"> - Librarian Technicians
</t>
    </r>
    <r>
      <rPr>
        <b/>
        <sz val="10"/>
        <color theme="1"/>
        <rFont val="Calibri"/>
        <family val="2"/>
        <scheme val="minor"/>
      </rPr>
      <t>08</t>
    </r>
    <r>
      <rPr>
        <sz val="10"/>
        <color theme="1"/>
        <rFont val="Calibri"/>
        <family val="2"/>
        <scheme val="minor"/>
      </rPr>
      <t xml:space="preserve"> - Non-Postsecondary Teachers
</t>
    </r>
    <r>
      <rPr>
        <b/>
        <sz val="10"/>
        <color theme="1"/>
        <rFont val="Calibri"/>
        <family val="2"/>
        <scheme val="minor"/>
      </rPr>
      <t>09</t>
    </r>
    <r>
      <rPr>
        <sz val="10"/>
        <color theme="1"/>
        <rFont val="Calibri"/>
        <family val="2"/>
        <scheme val="minor"/>
      </rPr>
      <t xml:space="preserve"> - Management Occupations
</t>
    </r>
    <r>
      <rPr>
        <b/>
        <sz val="10"/>
        <color theme="1"/>
        <rFont val="Calibri"/>
        <family val="2"/>
        <scheme val="minor"/>
      </rPr>
      <t>10</t>
    </r>
    <r>
      <rPr>
        <sz val="10"/>
        <color theme="1"/>
        <rFont val="Calibri"/>
        <family val="2"/>
        <scheme val="minor"/>
      </rPr>
      <t xml:space="preserve"> - Business and Financial Occupations
</t>
    </r>
    <r>
      <rPr>
        <b/>
        <sz val="10"/>
        <color theme="1"/>
        <rFont val="Calibri"/>
        <family val="2"/>
        <scheme val="minor"/>
      </rPr>
      <t>11</t>
    </r>
    <r>
      <rPr>
        <sz val="10"/>
        <color theme="1"/>
        <rFont val="Calibri"/>
        <family val="2"/>
        <scheme val="minor"/>
      </rPr>
      <t xml:space="preserve"> - Computer, Engineering and Science Occupations
</t>
    </r>
    <r>
      <rPr>
        <b/>
        <sz val="10"/>
        <color theme="1"/>
        <rFont val="Calibri"/>
        <family val="2"/>
        <scheme val="minor"/>
      </rPr>
      <t>12</t>
    </r>
    <r>
      <rPr>
        <sz val="10"/>
        <color theme="1"/>
        <rFont val="Calibri"/>
        <family val="2"/>
        <scheme val="minor"/>
      </rPr>
      <t xml:space="preserve"> - Community Service, Legal, Arts, and Media Occupations
</t>
    </r>
    <r>
      <rPr>
        <b/>
        <sz val="10"/>
        <color theme="1"/>
        <rFont val="Calibri"/>
        <family val="2"/>
        <scheme val="minor"/>
      </rPr>
      <t>13</t>
    </r>
    <r>
      <rPr>
        <sz val="10"/>
        <color theme="1"/>
        <rFont val="Calibri"/>
        <family val="2"/>
        <scheme val="minor"/>
      </rPr>
      <t xml:space="preserve"> - Healthcare Practitioners and Technical Occupations
</t>
    </r>
    <r>
      <rPr>
        <b/>
        <sz val="10"/>
        <color theme="1"/>
        <rFont val="Calibri"/>
        <family val="2"/>
        <scheme val="minor"/>
      </rPr>
      <t>14</t>
    </r>
    <r>
      <rPr>
        <sz val="10"/>
        <color theme="1"/>
        <rFont val="Calibri"/>
        <family val="2"/>
        <scheme val="minor"/>
      </rPr>
      <t xml:space="preserve"> - Service Occupations
</t>
    </r>
    <r>
      <rPr>
        <b/>
        <sz val="10"/>
        <color theme="1"/>
        <rFont val="Calibri"/>
        <family val="2"/>
        <scheme val="minor"/>
      </rPr>
      <t>15</t>
    </r>
    <r>
      <rPr>
        <sz val="10"/>
        <color theme="1"/>
        <rFont val="Calibri"/>
        <family val="2"/>
        <scheme val="minor"/>
      </rPr>
      <t xml:space="preserve"> - Sales and Related Occupations
</t>
    </r>
    <r>
      <rPr>
        <b/>
        <sz val="10"/>
        <color theme="1"/>
        <rFont val="Calibri"/>
        <family val="2"/>
        <scheme val="minor"/>
      </rPr>
      <t>16</t>
    </r>
    <r>
      <rPr>
        <sz val="10"/>
        <color theme="1"/>
        <rFont val="Calibri"/>
        <family val="2"/>
        <scheme val="minor"/>
      </rPr>
      <t xml:space="preserve"> - Office and Administrative Support Occupations
</t>
    </r>
    <r>
      <rPr>
        <b/>
        <sz val="10"/>
        <color theme="1"/>
        <rFont val="Calibri"/>
        <family val="2"/>
        <scheme val="minor"/>
      </rPr>
      <t>17</t>
    </r>
    <r>
      <rPr>
        <sz val="10"/>
        <color theme="1"/>
        <rFont val="Calibri"/>
        <family val="2"/>
        <scheme val="minor"/>
      </rPr>
      <t xml:space="preserve"> - Natural Resources, Construction
</t>
    </r>
    <r>
      <rPr>
        <b/>
        <sz val="10"/>
        <color theme="1"/>
        <rFont val="Calibri"/>
        <family val="2"/>
        <scheme val="minor"/>
      </rPr>
      <t>18</t>
    </r>
    <r>
      <rPr>
        <sz val="10"/>
        <color theme="1"/>
        <rFont val="Calibri"/>
        <family val="2"/>
        <scheme val="minor"/>
      </rPr>
      <t xml:space="preserve"> - Maintenance Occupations
</t>
    </r>
  </si>
  <si>
    <t>IPEDS reporting categories beginning with the 2012 IPEDS survey year.</t>
  </si>
  <si>
    <t>000731</t>
  </si>
  <si>
    <t>IPEDSOccupationalCategory</t>
  </si>
  <si>
    <t>ISO 639-2 Language Code</t>
  </si>
  <si>
    <t>The code for the specific language or dialect that a person uses to communicate.</t>
  </si>
  <si>
    <t>Adult Education -&gt; AE Staff -&gt; Language (added)
Adult Education -&gt; AE Student -&gt; Language (added)
Assessments -&gt; Assessment
Assessments -&gt; Assessment Asset
Career and Technical -&gt; CTE Staff -&gt; Language (added)
Career and Technical -&gt; CTE Student -&gt; Language (added)
Early Learning -&gt; EL Child -&gt; Language
Early Learning -&gt; EL Staff -&gt; Language
Early Learning -&gt; Parent/Guardian -&gt; Language (added)
K12 -&gt; K12 Staff -&gt; Language (added)
K12 -&gt; K12 Student -&gt; Language
K12 -&gt; Parent/Guardian -&gt; Language (added)
Postsecondary -&gt; Parent/Guardian -&gt; Language (added)
Postsecondary -&gt; PS Staff -&gt; Language (added)
Postsecondary -&gt; PS Student -&gt; Language (added)
Workforce -&gt; Workforce Program Participant -&gt; Language (added)</t>
  </si>
  <si>
    <t>Updated to reflect the latest version of the ISO 639-2 standard. Element applied to additional DES contexts.</t>
  </si>
  <si>
    <t>000317</t>
  </si>
  <si>
    <t>ISO6392LanguageCode</t>
  </si>
  <si>
    <t>Early Learning -&gt; Program Compliance
Early Learning -&gt; Program Entry
Early Learning -&gt; Staff Quality
Early Learning -&gt; Workforce Development
K-12 -&gt; EDFacts</t>
  </si>
  <si>
    <t>ISO 639-3 Language Code</t>
  </si>
  <si>
    <t>Updated to reflect the latest version of the ISO 639-3 standard. Element applied to additional DES contexts.</t>
  </si>
  <si>
    <t>The CEDS ISO 639-3 Language Code option set comes from the ISO 639-3 standard, the Latin-1 download. Only living language code types from the ISO standard are included in the CEDS list. Special scope and discontinued codes are excluded.</t>
  </si>
  <si>
    <t>001637</t>
  </si>
  <si>
    <t>ISO6393LanguageCode</t>
  </si>
  <si>
    <t>ISO 639-5 Language Family</t>
  </si>
  <si>
    <t>A code for a specific language family, which supplements the language groups and families in the ISO 639-2 Language Code.</t>
  </si>
  <si>
    <r>
      <t>aav</t>
    </r>
    <r>
      <rPr>
        <sz val="10"/>
        <color theme="1"/>
        <rFont val="Calibri"/>
        <family val="2"/>
        <scheme val="minor"/>
      </rPr>
      <t xml:space="preserve"> - Austro-Asiatic languages
</t>
    </r>
    <r>
      <rPr>
        <b/>
        <sz val="10"/>
        <color theme="1"/>
        <rFont val="Calibri"/>
        <family val="2"/>
        <scheme val="minor"/>
      </rPr>
      <t>afa</t>
    </r>
    <r>
      <rPr>
        <sz val="10"/>
        <color theme="1"/>
        <rFont val="Calibri"/>
        <family val="2"/>
        <scheme val="minor"/>
      </rPr>
      <t xml:space="preserve"> - Afro-Asiatic languages
</t>
    </r>
    <r>
      <rPr>
        <b/>
        <sz val="10"/>
        <color theme="1"/>
        <rFont val="Calibri"/>
        <family val="2"/>
        <scheme val="minor"/>
      </rPr>
      <t>alg</t>
    </r>
    <r>
      <rPr>
        <sz val="10"/>
        <color theme="1"/>
        <rFont val="Calibri"/>
        <family val="2"/>
        <scheme val="minor"/>
      </rPr>
      <t xml:space="preserve"> - Algonquian languages
</t>
    </r>
    <r>
      <rPr>
        <b/>
        <sz val="10"/>
        <color theme="1"/>
        <rFont val="Calibri"/>
        <family val="2"/>
        <scheme val="minor"/>
      </rPr>
      <t>alv</t>
    </r>
    <r>
      <rPr>
        <sz val="10"/>
        <color theme="1"/>
        <rFont val="Calibri"/>
        <family val="2"/>
        <scheme val="minor"/>
      </rPr>
      <t xml:space="preserve"> - Atlantic-Congo languages
</t>
    </r>
    <r>
      <rPr>
        <b/>
        <sz val="10"/>
        <color theme="1"/>
        <rFont val="Calibri"/>
        <family val="2"/>
        <scheme val="minor"/>
      </rPr>
      <t>apa</t>
    </r>
    <r>
      <rPr>
        <sz val="10"/>
        <color theme="1"/>
        <rFont val="Calibri"/>
        <family val="2"/>
        <scheme val="minor"/>
      </rPr>
      <t xml:space="preserve"> - Apache languages
</t>
    </r>
    <r>
      <rPr>
        <b/>
        <sz val="10"/>
        <color theme="1"/>
        <rFont val="Calibri"/>
        <family val="2"/>
        <scheme val="minor"/>
      </rPr>
      <t>aqa</t>
    </r>
    <r>
      <rPr>
        <sz val="10"/>
        <color theme="1"/>
        <rFont val="Calibri"/>
        <family val="2"/>
        <scheme val="minor"/>
      </rPr>
      <t xml:space="preserve"> - Alacalufan languages
</t>
    </r>
    <r>
      <rPr>
        <b/>
        <sz val="10"/>
        <color theme="1"/>
        <rFont val="Calibri"/>
        <family val="2"/>
        <scheme val="minor"/>
      </rPr>
      <t>aql</t>
    </r>
    <r>
      <rPr>
        <sz val="10"/>
        <color theme="1"/>
        <rFont val="Calibri"/>
        <family val="2"/>
        <scheme val="minor"/>
      </rPr>
      <t xml:space="preserve"> - Algic languages
</t>
    </r>
    <r>
      <rPr>
        <b/>
        <sz val="10"/>
        <color theme="1"/>
        <rFont val="Calibri"/>
        <family val="2"/>
        <scheme val="minor"/>
      </rPr>
      <t>art</t>
    </r>
    <r>
      <rPr>
        <sz val="10"/>
        <color theme="1"/>
        <rFont val="Calibri"/>
        <family val="2"/>
        <scheme val="minor"/>
      </rPr>
      <t xml:space="preserve"> - Artificial languages
</t>
    </r>
    <r>
      <rPr>
        <b/>
        <sz val="10"/>
        <color theme="1"/>
        <rFont val="Calibri"/>
        <family val="2"/>
        <scheme val="minor"/>
      </rPr>
      <t>ath</t>
    </r>
    <r>
      <rPr>
        <sz val="10"/>
        <color theme="1"/>
        <rFont val="Calibri"/>
        <family val="2"/>
        <scheme val="minor"/>
      </rPr>
      <t xml:space="preserve"> - Athapascan languages
</t>
    </r>
    <r>
      <rPr>
        <b/>
        <sz val="10"/>
        <color theme="1"/>
        <rFont val="Calibri"/>
        <family val="2"/>
        <scheme val="minor"/>
      </rPr>
      <t>auf</t>
    </r>
    <r>
      <rPr>
        <sz val="10"/>
        <color theme="1"/>
        <rFont val="Calibri"/>
        <family val="2"/>
        <scheme val="minor"/>
      </rPr>
      <t xml:space="preserve"> - Arauan languages
</t>
    </r>
    <r>
      <rPr>
        <b/>
        <sz val="10"/>
        <color theme="1"/>
        <rFont val="Calibri"/>
        <family val="2"/>
        <scheme val="minor"/>
      </rPr>
      <t>aus</t>
    </r>
    <r>
      <rPr>
        <sz val="10"/>
        <color theme="1"/>
        <rFont val="Calibri"/>
        <family val="2"/>
        <scheme val="minor"/>
      </rPr>
      <t xml:space="preserve"> - Australian languages
</t>
    </r>
    <r>
      <rPr>
        <b/>
        <sz val="10"/>
        <color theme="1"/>
        <rFont val="Calibri"/>
        <family val="2"/>
        <scheme val="minor"/>
      </rPr>
      <t>awd</t>
    </r>
    <r>
      <rPr>
        <sz val="10"/>
        <color theme="1"/>
        <rFont val="Calibri"/>
        <family val="2"/>
        <scheme val="minor"/>
      </rPr>
      <t xml:space="preserve"> - Arawakan languages
</t>
    </r>
    <r>
      <rPr>
        <b/>
        <sz val="10"/>
        <color theme="1"/>
        <rFont val="Calibri"/>
        <family val="2"/>
        <scheme val="minor"/>
      </rPr>
      <t>azc</t>
    </r>
    <r>
      <rPr>
        <sz val="10"/>
        <color theme="1"/>
        <rFont val="Calibri"/>
        <family val="2"/>
        <scheme val="minor"/>
      </rPr>
      <t xml:space="preserve"> - Uto-Aztecan languages
</t>
    </r>
    <r>
      <rPr>
        <b/>
        <sz val="10"/>
        <color theme="1"/>
        <rFont val="Calibri"/>
        <family val="2"/>
        <scheme val="minor"/>
      </rPr>
      <t>bad</t>
    </r>
    <r>
      <rPr>
        <sz val="10"/>
        <color theme="1"/>
        <rFont val="Calibri"/>
        <family val="2"/>
        <scheme val="minor"/>
      </rPr>
      <t xml:space="preserve"> - Banda languages
</t>
    </r>
    <r>
      <rPr>
        <b/>
        <sz val="10"/>
        <color theme="1"/>
        <rFont val="Calibri"/>
        <family val="2"/>
        <scheme val="minor"/>
      </rPr>
      <t>bai</t>
    </r>
    <r>
      <rPr>
        <sz val="10"/>
        <color theme="1"/>
        <rFont val="Calibri"/>
        <family val="2"/>
        <scheme val="minor"/>
      </rPr>
      <t xml:space="preserve"> - Bamileke languages
</t>
    </r>
    <r>
      <rPr>
        <b/>
        <sz val="10"/>
        <color theme="1"/>
        <rFont val="Calibri"/>
        <family val="2"/>
        <scheme val="minor"/>
      </rPr>
      <t>bat</t>
    </r>
    <r>
      <rPr>
        <sz val="10"/>
        <color theme="1"/>
        <rFont val="Calibri"/>
        <family val="2"/>
        <scheme val="minor"/>
      </rPr>
      <t xml:space="preserve"> - Baltic languages
</t>
    </r>
    <r>
      <rPr>
        <b/>
        <sz val="10"/>
        <color theme="1"/>
        <rFont val="Calibri"/>
        <family val="2"/>
        <scheme val="minor"/>
      </rPr>
      <t>ber</t>
    </r>
    <r>
      <rPr>
        <sz val="10"/>
        <color theme="1"/>
        <rFont val="Calibri"/>
        <family val="2"/>
        <scheme val="minor"/>
      </rPr>
      <t xml:space="preserve"> - Berber languages
</t>
    </r>
    <r>
      <rPr>
        <b/>
        <sz val="10"/>
        <color theme="1"/>
        <rFont val="Calibri"/>
        <family val="2"/>
        <scheme val="minor"/>
      </rPr>
      <t>bih</t>
    </r>
    <r>
      <rPr>
        <sz val="10"/>
        <color theme="1"/>
        <rFont val="Calibri"/>
        <family val="2"/>
        <scheme val="minor"/>
      </rPr>
      <t xml:space="preserve"> - Bihari languages
</t>
    </r>
    <r>
      <rPr>
        <b/>
        <sz val="10"/>
        <color theme="1"/>
        <rFont val="Calibri"/>
        <family val="2"/>
        <scheme val="minor"/>
      </rPr>
      <t>bnt</t>
    </r>
    <r>
      <rPr>
        <sz val="10"/>
        <color theme="1"/>
        <rFont val="Calibri"/>
        <family val="2"/>
        <scheme val="minor"/>
      </rPr>
      <t xml:space="preserve"> - Bantu languages
</t>
    </r>
    <r>
      <rPr>
        <b/>
        <sz val="10"/>
        <color theme="1"/>
        <rFont val="Calibri"/>
        <family val="2"/>
        <scheme val="minor"/>
      </rPr>
      <t>btk</t>
    </r>
    <r>
      <rPr>
        <sz val="10"/>
        <color theme="1"/>
        <rFont val="Calibri"/>
        <family val="2"/>
        <scheme val="minor"/>
      </rPr>
      <t xml:space="preserve"> - Batak languages
</t>
    </r>
    <r>
      <rPr>
        <b/>
        <sz val="10"/>
        <color theme="1"/>
        <rFont val="Calibri"/>
        <family val="2"/>
        <scheme val="minor"/>
      </rPr>
      <t>cai</t>
    </r>
    <r>
      <rPr>
        <sz val="10"/>
        <color theme="1"/>
        <rFont val="Calibri"/>
        <family val="2"/>
        <scheme val="minor"/>
      </rPr>
      <t xml:space="preserve"> - Central American Indian languages
</t>
    </r>
    <r>
      <rPr>
        <b/>
        <sz val="10"/>
        <color theme="1"/>
        <rFont val="Calibri"/>
        <family val="2"/>
        <scheme val="minor"/>
      </rPr>
      <t>cau</t>
    </r>
    <r>
      <rPr>
        <sz val="10"/>
        <color theme="1"/>
        <rFont val="Calibri"/>
        <family val="2"/>
        <scheme val="minor"/>
      </rPr>
      <t xml:space="preserve"> - Caucasian languages
</t>
    </r>
    <r>
      <rPr>
        <b/>
        <sz val="10"/>
        <color theme="1"/>
        <rFont val="Calibri"/>
        <family val="2"/>
        <scheme val="minor"/>
      </rPr>
      <t>cba</t>
    </r>
    <r>
      <rPr>
        <sz val="10"/>
        <color theme="1"/>
        <rFont val="Calibri"/>
        <family val="2"/>
        <scheme val="minor"/>
      </rPr>
      <t xml:space="preserve"> - Chibchan languages
</t>
    </r>
    <r>
      <rPr>
        <b/>
        <sz val="10"/>
        <color theme="1"/>
        <rFont val="Calibri"/>
        <family val="2"/>
        <scheme val="minor"/>
      </rPr>
      <t>ccn</t>
    </r>
    <r>
      <rPr>
        <sz val="10"/>
        <color theme="1"/>
        <rFont val="Calibri"/>
        <family val="2"/>
        <scheme val="minor"/>
      </rPr>
      <t xml:space="preserve"> - North Caucasian languages
</t>
    </r>
    <r>
      <rPr>
        <b/>
        <sz val="10"/>
        <color theme="1"/>
        <rFont val="Calibri"/>
        <family val="2"/>
        <scheme val="minor"/>
      </rPr>
      <t>ccs</t>
    </r>
    <r>
      <rPr>
        <sz val="10"/>
        <color theme="1"/>
        <rFont val="Calibri"/>
        <family val="2"/>
        <scheme val="minor"/>
      </rPr>
      <t xml:space="preserve"> - South Caucasian languages
</t>
    </r>
    <r>
      <rPr>
        <b/>
        <sz val="10"/>
        <color theme="1"/>
        <rFont val="Calibri"/>
        <family val="2"/>
        <scheme val="minor"/>
      </rPr>
      <t>cdc</t>
    </r>
    <r>
      <rPr>
        <sz val="10"/>
        <color theme="1"/>
        <rFont val="Calibri"/>
        <family val="2"/>
        <scheme val="minor"/>
      </rPr>
      <t xml:space="preserve"> - Chadic languages
</t>
    </r>
    <r>
      <rPr>
        <b/>
        <sz val="10"/>
        <color theme="1"/>
        <rFont val="Calibri"/>
        <family val="2"/>
        <scheme val="minor"/>
      </rPr>
      <t>cdd</t>
    </r>
    <r>
      <rPr>
        <sz val="10"/>
        <color theme="1"/>
        <rFont val="Calibri"/>
        <family val="2"/>
        <scheme val="minor"/>
      </rPr>
      <t xml:space="preserve"> - Caddoan languages
</t>
    </r>
    <r>
      <rPr>
        <b/>
        <sz val="10"/>
        <color theme="1"/>
        <rFont val="Calibri"/>
        <family val="2"/>
        <scheme val="minor"/>
      </rPr>
      <t>cel</t>
    </r>
    <r>
      <rPr>
        <sz val="10"/>
        <color theme="1"/>
        <rFont val="Calibri"/>
        <family val="2"/>
        <scheme val="minor"/>
      </rPr>
      <t xml:space="preserve"> - Celtic languages
</t>
    </r>
    <r>
      <rPr>
        <b/>
        <sz val="10"/>
        <color theme="1"/>
        <rFont val="Calibri"/>
        <family val="2"/>
        <scheme val="minor"/>
      </rPr>
      <t>cmc</t>
    </r>
    <r>
      <rPr>
        <sz val="10"/>
        <color theme="1"/>
        <rFont val="Calibri"/>
        <family val="2"/>
        <scheme val="minor"/>
      </rPr>
      <t xml:space="preserve"> - Chamic languages
</t>
    </r>
    <r>
      <rPr>
        <b/>
        <sz val="10"/>
        <color theme="1"/>
        <rFont val="Calibri"/>
        <family val="2"/>
        <scheme val="minor"/>
      </rPr>
      <t>cpe</t>
    </r>
    <r>
      <rPr>
        <sz val="10"/>
        <color theme="1"/>
        <rFont val="Calibri"/>
        <family val="2"/>
        <scheme val="minor"/>
      </rPr>
      <t xml:space="preserve"> - Creoles and pidgins, Englishâ€‘based
</t>
    </r>
    <r>
      <rPr>
        <b/>
        <sz val="10"/>
        <color theme="1"/>
        <rFont val="Calibri"/>
        <family val="2"/>
        <scheme val="minor"/>
      </rPr>
      <t>cpf</t>
    </r>
    <r>
      <rPr>
        <sz val="10"/>
        <color theme="1"/>
        <rFont val="Calibri"/>
        <family val="2"/>
        <scheme val="minor"/>
      </rPr>
      <t xml:space="preserve"> - Creoles and pidgins, Frenchâ€‘based
</t>
    </r>
    <r>
      <rPr>
        <b/>
        <sz val="10"/>
        <color theme="1"/>
        <rFont val="Calibri"/>
        <family val="2"/>
        <scheme val="minor"/>
      </rPr>
      <t>cpp</t>
    </r>
    <r>
      <rPr>
        <sz val="10"/>
        <color theme="1"/>
        <rFont val="Calibri"/>
        <family val="2"/>
        <scheme val="minor"/>
      </rPr>
      <t xml:space="preserve"> - Creoles and pidgins, Portuguese-based
</t>
    </r>
    <r>
      <rPr>
        <b/>
        <sz val="10"/>
        <color theme="1"/>
        <rFont val="Calibri"/>
        <family val="2"/>
        <scheme val="minor"/>
      </rPr>
      <t>crp</t>
    </r>
    <r>
      <rPr>
        <sz val="10"/>
        <color theme="1"/>
        <rFont val="Calibri"/>
        <family val="2"/>
        <scheme val="minor"/>
      </rPr>
      <t xml:space="preserve"> - Creoles and pidgins
</t>
    </r>
    <r>
      <rPr>
        <b/>
        <sz val="10"/>
        <color theme="1"/>
        <rFont val="Calibri"/>
        <family val="2"/>
        <scheme val="minor"/>
      </rPr>
      <t>csu</t>
    </r>
    <r>
      <rPr>
        <sz val="10"/>
        <color theme="1"/>
        <rFont val="Calibri"/>
        <family val="2"/>
        <scheme val="minor"/>
      </rPr>
      <t xml:space="preserve"> - Central Sudanic languages
</t>
    </r>
    <r>
      <rPr>
        <b/>
        <sz val="10"/>
        <color theme="1"/>
        <rFont val="Calibri"/>
        <family val="2"/>
        <scheme val="minor"/>
      </rPr>
      <t>cus</t>
    </r>
    <r>
      <rPr>
        <sz val="10"/>
        <color theme="1"/>
        <rFont val="Calibri"/>
        <family val="2"/>
        <scheme val="minor"/>
      </rPr>
      <t xml:space="preserve"> - Cushitic languages
</t>
    </r>
    <r>
      <rPr>
        <b/>
        <sz val="10"/>
        <color theme="1"/>
        <rFont val="Calibri"/>
        <family val="2"/>
        <scheme val="minor"/>
      </rPr>
      <t>day</t>
    </r>
    <r>
      <rPr>
        <sz val="10"/>
        <color theme="1"/>
        <rFont val="Calibri"/>
        <family val="2"/>
        <scheme val="minor"/>
      </rPr>
      <t xml:space="preserve"> - Land Dayak languages
</t>
    </r>
    <r>
      <rPr>
        <b/>
        <sz val="10"/>
        <color theme="1"/>
        <rFont val="Calibri"/>
        <family val="2"/>
        <scheme val="minor"/>
      </rPr>
      <t>dmn</t>
    </r>
    <r>
      <rPr>
        <sz val="10"/>
        <color theme="1"/>
        <rFont val="Calibri"/>
        <family val="2"/>
        <scheme val="minor"/>
      </rPr>
      <t xml:space="preserve"> - Mande languages
</t>
    </r>
    <r>
      <rPr>
        <b/>
        <sz val="10"/>
        <color theme="1"/>
        <rFont val="Calibri"/>
        <family val="2"/>
        <scheme val="minor"/>
      </rPr>
      <t>dra</t>
    </r>
    <r>
      <rPr>
        <sz val="10"/>
        <color theme="1"/>
        <rFont val="Calibri"/>
        <family val="2"/>
        <scheme val="minor"/>
      </rPr>
      <t xml:space="preserve"> - Dravidian languages
</t>
    </r>
    <r>
      <rPr>
        <b/>
        <sz val="10"/>
        <color theme="1"/>
        <rFont val="Calibri"/>
        <family val="2"/>
        <scheme val="minor"/>
      </rPr>
      <t>egx</t>
    </r>
    <r>
      <rPr>
        <sz val="10"/>
        <color theme="1"/>
        <rFont val="Calibri"/>
        <family val="2"/>
        <scheme val="minor"/>
      </rPr>
      <t xml:space="preserve"> - Egyptian languages
</t>
    </r>
    <r>
      <rPr>
        <b/>
        <sz val="10"/>
        <color theme="1"/>
        <rFont val="Calibri"/>
        <family val="2"/>
        <scheme val="minor"/>
      </rPr>
      <t>esx</t>
    </r>
    <r>
      <rPr>
        <sz val="10"/>
        <color theme="1"/>
        <rFont val="Calibri"/>
        <family val="2"/>
        <scheme val="minor"/>
      </rPr>
      <t xml:space="preserve"> - Eskimo-Aleut languages
</t>
    </r>
    <r>
      <rPr>
        <b/>
        <sz val="10"/>
        <color theme="1"/>
        <rFont val="Calibri"/>
        <family val="2"/>
        <scheme val="minor"/>
      </rPr>
      <t>euq</t>
    </r>
    <r>
      <rPr>
        <sz val="10"/>
        <color theme="1"/>
        <rFont val="Calibri"/>
        <family val="2"/>
        <scheme val="minor"/>
      </rPr>
      <t xml:space="preserve"> - Basque (family)
</t>
    </r>
    <r>
      <rPr>
        <b/>
        <sz val="10"/>
        <color theme="1"/>
        <rFont val="Calibri"/>
        <family val="2"/>
        <scheme val="minor"/>
      </rPr>
      <t>fiu</t>
    </r>
    <r>
      <rPr>
        <sz val="10"/>
        <color theme="1"/>
        <rFont val="Calibri"/>
        <family val="2"/>
        <scheme val="minor"/>
      </rPr>
      <t xml:space="preserve"> - Finno-Ugrian languages
</t>
    </r>
    <r>
      <rPr>
        <b/>
        <sz val="10"/>
        <color theme="1"/>
        <rFont val="Calibri"/>
        <family val="2"/>
        <scheme val="minor"/>
      </rPr>
      <t>fox</t>
    </r>
    <r>
      <rPr>
        <sz val="10"/>
        <color theme="1"/>
        <rFont val="Calibri"/>
        <family val="2"/>
        <scheme val="minor"/>
      </rPr>
      <t xml:space="preserve"> - Formosan languages
</t>
    </r>
    <r>
      <rPr>
        <b/>
        <sz val="10"/>
        <color theme="1"/>
        <rFont val="Calibri"/>
        <family val="2"/>
        <scheme val="minor"/>
      </rPr>
      <t>gem</t>
    </r>
    <r>
      <rPr>
        <sz val="10"/>
        <color theme="1"/>
        <rFont val="Calibri"/>
        <family val="2"/>
        <scheme val="minor"/>
      </rPr>
      <t xml:space="preserve"> - Germanic languages
</t>
    </r>
    <r>
      <rPr>
        <b/>
        <sz val="10"/>
        <color theme="1"/>
        <rFont val="Calibri"/>
        <family val="2"/>
        <scheme val="minor"/>
      </rPr>
      <t>gme</t>
    </r>
    <r>
      <rPr>
        <sz val="10"/>
        <color theme="1"/>
        <rFont val="Calibri"/>
        <family val="2"/>
        <scheme val="minor"/>
      </rPr>
      <t xml:space="preserve"> - East Germanic languages
</t>
    </r>
    <r>
      <rPr>
        <b/>
        <sz val="10"/>
        <color theme="1"/>
        <rFont val="Calibri"/>
        <family val="2"/>
        <scheme val="minor"/>
      </rPr>
      <t>gmq</t>
    </r>
    <r>
      <rPr>
        <sz val="10"/>
        <color theme="1"/>
        <rFont val="Calibri"/>
        <family val="2"/>
        <scheme val="minor"/>
      </rPr>
      <t xml:space="preserve"> - North Germanic languages
</t>
    </r>
    <r>
      <rPr>
        <b/>
        <sz val="10"/>
        <color theme="1"/>
        <rFont val="Calibri"/>
        <family val="2"/>
        <scheme val="minor"/>
      </rPr>
      <t>gmw</t>
    </r>
    <r>
      <rPr>
        <sz val="10"/>
        <color theme="1"/>
        <rFont val="Calibri"/>
        <family val="2"/>
        <scheme val="minor"/>
      </rPr>
      <t xml:space="preserve"> - West Germanic languages
</t>
    </r>
    <r>
      <rPr>
        <b/>
        <sz val="10"/>
        <color theme="1"/>
        <rFont val="Calibri"/>
        <family val="2"/>
        <scheme val="minor"/>
      </rPr>
      <t>grk</t>
    </r>
    <r>
      <rPr>
        <sz val="10"/>
        <color theme="1"/>
        <rFont val="Calibri"/>
        <family val="2"/>
        <scheme val="minor"/>
      </rPr>
      <t xml:space="preserve"> - Greek languages
</t>
    </r>
    <r>
      <rPr>
        <b/>
        <sz val="10"/>
        <color theme="1"/>
        <rFont val="Calibri"/>
        <family val="2"/>
        <scheme val="minor"/>
      </rPr>
      <t>hmx</t>
    </r>
    <r>
      <rPr>
        <sz val="10"/>
        <color theme="1"/>
        <rFont val="Calibri"/>
        <family val="2"/>
        <scheme val="minor"/>
      </rPr>
      <t xml:space="preserve"> - Hmong-Mien languages
</t>
    </r>
    <r>
      <rPr>
        <b/>
        <sz val="10"/>
        <color theme="1"/>
        <rFont val="Calibri"/>
        <family val="2"/>
        <scheme val="minor"/>
      </rPr>
      <t>hok</t>
    </r>
    <r>
      <rPr>
        <sz val="10"/>
        <color theme="1"/>
        <rFont val="Calibri"/>
        <family val="2"/>
        <scheme val="minor"/>
      </rPr>
      <t xml:space="preserve"> - Hokan languages
</t>
    </r>
    <r>
      <rPr>
        <b/>
        <sz val="10"/>
        <color theme="1"/>
        <rFont val="Calibri"/>
        <family val="2"/>
        <scheme val="minor"/>
      </rPr>
      <t>hyx</t>
    </r>
    <r>
      <rPr>
        <sz val="10"/>
        <color theme="1"/>
        <rFont val="Calibri"/>
        <family val="2"/>
        <scheme val="minor"/>
      </rPr>
      <t xml:space="preserve"> - Armenian (family)
</t>
    </r>
    <r>
      <rPr>
        <b/>
        <sz val="10"/>
        <color theme="1"/>
        <rFont val="Calibri"/>
        <family val="2"/>
        <scheme val="minor"/>
      </rPr>
      <t>iir</t>
    </r>
    <r>
      <rPr>
        <sz val="10"/>
        <color theme="1"/>
        <rFont val="Calibri"/>
        <family val="2"/>
        <scheme val="minor"/>
      </rPr>
      <t xml:space="preserve"> - Indo-Iranian languages
</t>
    </r>
    <r>
      <rPr>
        <b/>
        <sz val="10"/>
        <color theme="1"/>
        <rFont val="Calibri"/>
        <family val="2"/>
        <scheme val="minor"/>
      </rPr>
      <t>ijo</t>
    </r>
    <r>
      <rPr>
        <sz val="10"/>
        <color theme="1"/>
        <rFont val="Calibri"/>
        <family val="2"/>
        <scheme val="minor"/>
      </rPr>
      <t xml:space="preserve"> - Ijo languages
</t>
    </r>
    <r>
      <rPr>
        <b/>
        <sz val="10"/>
        <color theme="1"/>
        <rFont val="Calibri"/>
        <family val="2"/>
        <scheme val="minor"/>
      </rPr>
      <t>inc</t>
    </r>
    <r>
      <rPr>
        <sz val="10"/>
        <color theme="1"/>
        <rFont val="Calibri"/>
        <family val="2"/>
        <scheme val="minor"/>
      </rPr>
      <t xml:space="preserve"> - Indic languages
</t>
    </r>
    <r>
      <rPr>
        <b/>
        <sz val="10"/>
        <color theme="1"/>
        <rFont val="Calibri"/>
        <family val="2"/>
        <scheme val="minor"/>
      </rPr>
      <t>ine</t>
    </r>
    <r>
      <rPr>
        <sz val="10"/>
        <color theme="1"/>
        <rFont val="Calibri"/>
        <family val="2"/>
        <scheme val="minor"/>
      </rPr>
      <t xml:space="preserve"> - Indo-European languages
</t>
    </r>
    <r>
      <rPr>
        <b/>
        <sz val="10"/>
        <color theme="1"/>
        <rFont val="Calibri"/>
        <family val="2"/>
        <scheme val="minor"/>
      </rPr>
      <t>ira</t>
    </r>
    <r>
      <rPr>
        <sz val="10"/>
        <color theme="1"/>
        <rFont val="Calibri"/>
        <family val="2"/>
        <scheme val="minor"/>
      </rPr>
      <t xml:space="preserve"> - Iranian languages
</t>
    </r>
    <r>
      <rPr>
        <b/>
        <sz val="10"/>
        <color theme="1"/>
        <rFont val="Calibri"/>
        <family val="2"/>
        <scheme val="minor"/>
      </rPr>
      <t>iro</t>
    </r>
    <r>
      <rPr>
        <sz val="10"/>
        <color theme="1"/>
        <rFont val="Calibri"/>
        <family val="2"/>
        <scheme val="minor"/>
      </rPr>
      <t xml:space="preserve"> - Iroquoian languages
</t>
    </r>
    <r>
      <rPr>
        <b/>
        <sz val="10"/>
        <color theme="1"/>
        <rFont val="Calibri"/>
        <family val="2"/>
        <scheme val="minor"/>
      </rPr>
      <t>itc</t>
    </r>
    <r>
      <rPr>
        <sz val="10"/>
        <color theme="1"/>
        <rFont val="Calibri"/>
        <family val="2"/>
        <scheme val="minor"/>
      </rPr>
      <t xml:space="preserve"> - Italic languages
</t>
    </r>
    <r>
      <rPr>
        <b/>
        <sz val="10"/>
        <color theme="1"/>
        <rFont val="Calibri"/>
        <family val="2"/>
        <scheme val="minor"/>
      </rPr>
      <t>jpx</t>
    </r>
    <r>
      <rPr>
        <sz val="10"/>
        <color theme="1"/>
        <rFont val="Calibri"/>
        <family val="2"/>
        <scheme val="minor"/>
      </rPr>
      <t xml:space="preserve"> - Japanese (family)
</t>
    </r>
    <r>
      <rPr>
        <b/>
        <sz val="10"/>
        <color theme="1"/>
        <rFont val="Calibri"/>
        <family val="2"/>
        <scheme val="minor"/>
      </rPr>
      <t>kar</t>
    </r>
    <r>
      <rPr>
        <sz val="10"/>
        <color theme="1"/>
        <rFont val="Calibri"/>
        <family val="2"/>
        <scheme val="minor"/>
      </rPr>
      <t xml:space="preserve"> - Karen languages
</t>
    </r>
    <r>
      <rPr>
        <b/>
        <sz val="10"/>
        <color theme="1"/>
        <rFont val="Calibri"/>
        <family val="2"/>
        <scheme val="minor"/>
      </rPr>
      <t>kdo</t>
    </r>
    <r>
      <rPr>
        <sz val="10"/>
        <color theme="1"/>
        <rFont val="Calibri"/>
        <family val="2"/>
        <scheme val="minor"/>
      </rPr>
      <t xml:space="preserve"> - Kordofanian languages
</t>
    </r>
    <r>
      <rPr>
        <b/>
        <sz val="10"/>
        <color theme="1"/>
        <rFont val="Calibri"/>
        <family val="2"/>
        <scheme val="minor"/>
      </rPr>
      <t>khi</t>
    </r>
    <r>
      <rPr>
        <sz val="10"/>
        <color theme="1"/>
        <rFont val="Calibri"/>
        <family val="2"/>
        <scheme val="minor"/>
      </rPr>
      <t xml:space="preserve"> - Khoisan languages
</t>
    </r>
    <r>
      <rPr>
        <b/>
        <sz val="10"/>
        <color theme="1"/>
        <rFont val="Calibri"/>
        <family val="2"/>
        <scheme val="minor"/>
      </rPr>
      <t>kro</t>
    </r>
    <r>
      <rPr>
        <sz val="10"/>
        <color theme="1"/>
        <rFont val="Calibri"/>
        <family val="2"/>
        <scheme val="minor"/>
      </rPr>
      <t xml:space="preserve"> - Kru languages
</t>
    </r>
    <r>
      <rPr>
        <b/>
        <sz val="10"/>
        <color theme="1"/>
        <rFont val="Calibri"/>
        <family val="2"/>
        <scheme val="minor"/>
      </rPr>
      <t>map</t>
    </r>
    <r>
      <rPr>
        <sz val="10"/>
        <color theme="1"/>
        <rFont val="Calibri"/>
        <family val="2"/>
        <scheme val="minor"/>
      </rPr>
      <t xml:space="preserve"> - Austronesian languages
</t>
    </r>
    <r>
      <rPr>
        <b/>
        <sz val="10"/>
        <color theme="1"/>
        <rFont val="Calibri"/>
        <family val="2"/>
        <scheme val="minor"/>
      </rPr>
      <t>mkh</t>
    </r>
    <r>
      <rPr>
        <sz val="10"/>
        <color theme="1"/>
        <rFont val="Calibri"/>
        <family val="2"/>
        <scheme val="minor"/>
      </rPr>
      <t xml:space="preserve"> - Mon-Khmer languages
</t>
    </r>
    <r>
      <rPr>
        <b/>
        <sz val="10"/>
        <color theme="1"/>
        <rFont val="Calibri"/>
        <family val="2"/>
        <scheme val="minor"/>
      </rPr>
      <t>mno</t>
    </r>
    <r>
      <rPr>
        <sz val="10"/>
        <color theme="1"/>
        <rFont val="Calibri"/>
        <family val="2"/>
        <scheme val="minor"/>
      </rPr>
      <t xml:space="preserve"> - Manobo languages
</t>
    </r>
    <r>
      <rPr>
        <b/>
        <sz val="10"/>
        <color theme="1"/>
        <rFont val="Calibri"/>
        <family val="2"/>
        <scheme val="minor"/>
      </rPr>
      <t>mun</t>
    </r>
    <r>
      <rPr>
        <sz val="10"/>
        <color theme="1"/>
        <rFont val="Calibri"/>
        <family val="2"/>
        <scheme val="minor"/>
      </rPr>
      <t xml:space="preserve"> - Munda languages
</t>
    </r>
    <r>
      <rPr>
        <b/>
        <sz val="10"/>
        <color theme="1"/>
        <rFont val="Calibri"/>
        <family val="2"/>
        <scheme val="minor"/>
      </rPr>
      <t>myn</t>
    </r>
    <r>
      <rPr>
        <sz val="10"/>
        <color theme="1"/>
        <rFont val="Calibri"/>
        <family val="2"/>
        <scheme val="minor"/>
      </rPr>
      <t xml:space="preserve"> - Mayan languages
</t>
    </r>
    <r>
      <rPr>
        <b/>
        <sz val="10"/>
        <color theme="1"/>
        <rFont val="Calibri"/>
        <family val="2"/>
        <scheme val="minor"/>
      </rPr>
      <t>nah</t>
    </r>
    <r>
      <rPr>
        <sz val="10"/>
        <color theme="1"/>
        <rFont val="Calibri"/>
        <family val="2"/>
        <scheme val="minor"/>
      </rPr>
      <t xml:space="preserve"> - Nahuatl languages
</t>
    </r>
    <r>
      <rPr>
        <b/>
        <sz val="10"/>
        <color theme="1"/>
        <rFont val="Calibri"/>
        <family val="2"/>
        <scheme val="minor"/>
      </rPr>
      <t>nai</t>
    </r>
    <r>
      <rPr>
        <sz val="10"/>
        <color theme="1"/>
        <rFont val="Calibri"/>
        <family val="2"/>
        <scheme val="minor"/>
      </rPr>
      <t xml:space="preserve"> - North American Indian languages
</t>
    </r>
    <r>
      <rPr>
        <b/>
        <sz val="10"/>
        <color theme="1"/>
        <rFont val="Calibri"/>
        <family val="2"/>
        <scheme val="minor"/>
      </rPr>
      <t>ngf</t>
    </r>
    <r>
      <rPr>
        <sz val="10"/>
        <color theme="1"/>
        <rFont val="Calibri"/>
        <family val="2"/>
        <scheme val="minor"/>
      </rPr>
      <t xml:space="preserve"> - Trans-New Guinea languages
</t>
    </r>
    <r>
      <rPr>
        <b/>
        <sz val="10"/>
        <color theme="1"/>
        <rFont val="Calibri"/>
        <family val="2"/>
        <scheme val="minor"/>
      </rPr>
      <t>nic</t>
    </r>
    <r>
      <rPr>
        <sz val="10"/>
        <color theme="1"/>
        <rFont val="Calibri"/>
        <family val="2"/>
        <scheme val="minor"/>
      </rPr>
      <t xml:space="preserve"> - Niger-Kordofanian languages
</t>
    </r>
    <r>
      <rPr>
        <b/>
        <sz val="10"/>
        <color theme="1"/>
        <rFont val="Calibri"/>
        <family val="2"/>
        <scheme val="minor"/>
      </rPr>
      <t>nub</t>
    </r>
    <r>
      <rPr>
        <sz val="10"/>
        <color theme="1"/>
        <rFont val="Calibri"/>
        <family val="2"/>
        <scheme val="minor"/>
      </rPr>
      <t xml:space="preserve"> - Nubian languages
</t>
    </r>
    <r>
      <rPr>
        <b/>
        <sz val="10"/>
        <color theme="1"/>
        <rFont val="Calibri"/>
        <family val="2"/>
        <scheme val="minor"/>
      </rPr>
      <t>omq</t>
    </r>
    <r>
      <rPr>
        <sz val="10"/>
        <color theme="1"/>
        <rFont val="Calibri"/>
        <family val="2"/>
        <scheme val="minor"/>
      </rPr>
      <t xml:space="preserve"> - Oto-Manguean languages
</t>
    </r>
    <r>
      <rPr>
        <b/>
        <sz val="10"/>
        <color theme="1"/>
        <rFont val="Calibri"/>
        <family val="2"/>
        <scheme val="minor"/>
      </rPr>
      <t>omv</t>
    </r>
    <r>
      <rPr>
        <sz val="10"/>
        <color theme="1"/>
        <rFont val="Calibri"/>
        <family val="2"/>
        <scheme val="minor"/>
      </rPr>
      <t xml:space="preserve"> - Omotic languages
</t>
    </r>
    <r>
      <rPr>
        <b/>
        <sz val="10"/>
        <color theme="1"/>
        <rFont val="Calibri"/>
        <family val="2"/>
        <scheme val="minor"/>
      </rPr>
      <t>oto</t>
    </r>
    <r>
      <rPr>
        <sz val="10"/>
        <color theme="1"/>
        <rFont val="Calibri"/>
        <family val="2"/>
        <scheme val="minor"/>
      </rPr>
      <t xml:space="preserve"> - Otomian languages
</t>
    </r>
    <r>
      <rPr>
        <b/>
        <sz val="10"/>
        <color theme="1"/>
        <rFont val="Calibri"/>
        <family val="2"/>
        <scheme val="minor"/>
      </rPr>
      <t>paa</t>
    </r>
    <r>
      <rPr>
        <sz val="10"/>
        <color theme="1"/>
        <rFont val="Calibri"/>
        <family val="2"/>
        <scheme val="minor"/>
      </rPr>
      <t xml:space="preserve"> - Papuan languages
</t>
    </r>
    <r>
      <rPr>
        <b/>
        <sz val="10"/>
        <color theme="1"/>
        <rFont val="Calibri"/>
        <family val="2"/>
        <scheme val="minor"/>
      </rPr>
      <t>phi</t>
    </r>
    <r>
      <rPr>
        <sz val="10"/>
        <color theme="1"/>
        <rFont val="Calibri"/>
        <family val="2"/>
        <scheme val="minor"/>
      </rPr>
      <t xml:space="preserve"> - Philippine languages
</t>
    </r>
    <r>
      <rPr>
        <b/>
        <sz val="10"/>
        <color theme="1"/>
        <rFont val="Calibri"/>
        <family val="2"/>
        <scheme val="minor"/>
      </rPr>
      <t>plf</t>
    </r>
    <r>
      <rPr>
        <sz val="10"/>
        <color theme="1"/>
        <rFont val="Calibri"/>
        <family val="2"/>
        <scheme val="minor"/>
      </rPr>
      <t xml:space="preserve"> - Central Malayo-Polynesian languages
</t>
    </r>
    <r>
      <rPr>
        <b/>
        <sz val="10"/>
        <color theme="1"/>
        <rFont val="Calibri"/>
        <family val="2"/>
        <scheme val="minor"/>
      </rPr>
      <t>poz</t>
    </r>
    <r>
      <rPr>
        <sz val="10"/>
        <color theme="1"/>
        <rFont val="Calibri"/>
        <family val="2"/>
        <scheme val="minor"/>
      </rPr>
      <t xml:space="preserve"> - Malayo-Polynesian languages
</t>
    </r>
    <r>
      <rPr>
        <b/>
        <sz val="10"/>
        <color theme="1"/>
        <rFont val="Calibri"/>
        <family val="2"/>
        <scheme val="minor"/>
      </rPr>
      <t>pqe</t>
    </r>
    <r>
      <rPr>
        <sz val="10"/>
        <color theme="1"/>
        <rFont val="Calibri"/>
        <family val="2"/>
        <scheme val="minor"/>
      </rPr>
      <t xml:space="preserve"> - Eastern Malayo-Polynesian languages
</t>
    </r>
    <r>
      <rPr>
        <b/>
        <sz val="10"/>
        <color theme="1"/>
        <rFont val="Calibri"/>
        <family val="2"/>
        <scheme val="minor"/>
      </rPr>
      <t>pqw</t>
    </r>
    <r>
      <rPr>
        <sz val="10"/>
        <color theme="1"/>
        <rFont val="Calibri"/>
        <family val="2"/>
        <scheme val="minor"/>
      </rPr>
      <t xml:space="preserve"> - Western Malayo-Polynesian languages
</t>
    </r>
    <r>
      <rPr>
        <b/>
        <sz val="10"/>
        <color theme="1"/>
        <rFont val="Calibri"/>
        <family val="2"/>
        <scheme val="minor"/>
      </rPr>
      <t>pra</t>
    </r>
    <r>
      <rPr>
        <sz val="10"/>
        <color theme="1"/>
        <rFont val="Calibri"/>
        <family val="2"/>
        <scheme val="minor"/>
      </rPr>
      <t xml:space="preserve"> - Prakrit languages
</t>
    </r>
    <r>
      <rPr>
        <b/>
        <sz val="10"/>
        <color theme="1"/>
        <rFont val="Calibri"/>
        <family val="2"/>
        <scheme val="minor"/>
      </rPr>
      <t>qwe</t>
    </r>
    <r>
      <rPr>
        <sz val="10"/>
        <color theme="1"/>
        <rFont val="Calibri"/>
        <family val="2"/>
        <scheme val="minor"/>
      </rPr>
      <t xml:space="preserve"> - Quechuan (family)
</t>
    </r>
    <r>
      <rPr>
        <b/>
        <sz val="10"/>
        <color theme="1"/>
        <rFont val="Calibri"/>
        <family val="2"/>
        <scheme val="minor"/>
      </rPr>
      <t>roa</t>
    </r>
    <r>
      <rPr>
        <sz val="10"/>
        <color theme="1"/>
        <rFont val="Calibri"/>
        <family val="2"/>
        <scheme val="minor"/>
      </rPr>
      <t xml:space="preserve"> - Romance languages
</t>
    </r>
    <r>
      <rPr>
        <b/>
        <sz val="10"/>
        <color theme="1"/>
        <rFont val="Calibri"/>
        <family val="2"/>
        <scheme val="minor"/>
      </rPr>
      <t>sai</t>
    </r>
    <r>
      <rPr>
        <sz val="10"/>
        <color theme="1"/>
        <rFont val="Calibri"/>
        <family val="2"/>
        <scheme val="minor"/>
      </rPr>
      <t xml:space="preserve"> - South American Indian languages
</t>
    </r>
    <r>
      <rPr>
        <b/>
        <sz val="10"/>
        <color theme="1"/>
        <rFont val="Calibri"/>
        <family val="2"/>
        <scheme val="minor"/>
      </rPr>
      <t>sal</t>
    </r>
    <r>
      <rPr>
        <sz val="10"/>
        <color theme="1"/>
        <rFont val="Calibri"/>
        <family val="2"/>
        <scheme val="minor"/>
      </rPr>
      <t xml:space="preserve"> - Salishan languages
</t>
    </r>
    <r>
      <rPr>
        <b/>
        <sz val="10"/>
        <color theme="1"/>
        <rFont val="Calibri"/>
        <family val="2"/>
        <scheme val="minor"/>
      </rPr>
      <t>sdv</t>
    </r>
    <r>
      <rPr>
        <sz val="10"/>
        <color theme="1"/>
        <rFont val="Calibri"/>
        <family val="2"/>
        <scheme val="minor"/>
      </rPr>
      <t xml:space="preserve"> - Eastern Sudanic languages
</t>
    </r>
    <r>
      <rPr>
        <b/>
        <sz val="10"/>
        <color theme="1"/>
        <rFont val="Calibri"/>
        <family val="2"/>
        <scheme val="minor"/>
      </rPr>
      <t>sem</t>
    </r>
    <r>
      <rPr>
        <sz val="10"/>
        <color theme="1"/>
        <rFont val="Calibri"/>
        <family val="2"/>
        <scheme val="minor"/>
      </rPr>
      <t xml:space="preserve"> - Semitic languages
</t>
    </r>
    <r>
      <rPr>
        <b/>
        <sz val="10"/>
        <color theme="1"/>
        <rFont val="Calibri"/>
        <family val="2"/>
        <scheme val="minor"/>
      </rPr>
      <t>sgn</t>
    </r>
    <r>
      <rPr>
        <sz val="10"/>
        <color theme="1"/>
        <rFont val="Calibri"/>
        <family val="2"/>
        <scheme val="minor"/>
      </rPr>
      <t xml:space="preserve"> - sign languages
</t>
    </r>
    <r>
      <rPr>
        <b/>
        <sz val="10"/>
        <color theme="1"/>
        <rFont val="Calibri"/>
        <family val="2"/>
        <scheme val="minor"/>
      </rPr>
      <t>sio</t>
    </r>
    <r>
      <rPr>
        <sz val="10"/>
        <color theme="1"/>
        <rFont val="Calibri"/>
        <family val="2"/>
        <scheme val="minor"/>
      </rPr>
      <t xml:space="preserve"> - Siouan languages
</t>
    </r>
    <r>
      <rPr>
        <b/>
        <sz val="10"/>
        <color theme="1"/>
        <rFont val="Calibri"/>
        <family val="2"/>
        <scheme val="minor"/>
      </rPr>
      <t>sit</t>
    </r>
    <r>
      <rPr>
        <sz val="10"/>
        <color theme="1"/>
        <rFont val="Calibri"/>
        <family val="2"/>
        <scheme val="minor"/>
      </rPr>
      <t xml:space="preserve"> - Sino-Tibetan languages
</t>
    </r>
    <r>
      <rPr>
        <b/>
        <sz val="10"/>
        <color theme="1"/>
        <rFont val="Calibri"/>
        <family val="2"/>
        <scheme val="minor"/>
      </rPr>
      <t>sla</t>
    </r>
    <r>
      <rPr>
        <sz val="10"/>
        <color theme="1"/>
        <rFont val="Calibri"/>
        <family val="2"/>
        <scheme val="minor"/>
      </rPr>
      <t xml:space="preserve"> - Slavic languages
</t>
    </r>
    <r>
      <rPr>
        <b/>
        <sz val="10"/>
        <color theme="1"/>
        <rFont val="Calibri"/>
        <family val="2"/>
        <scheme val="minor"/>
      </rPr>
      <t>smi</t>
    </r>
    <r>
      <rPr>
        <sz val="10"/>
        <color theme="1"/>
        <rFont val="Calibri"/>
        <family val="2"/>
        <scheme val="minor"/>
      </rPr>
      <t xml:space="preserve"> - Sami languages
</t>
    </r>
    <r>
      <rPr>
        <b/>
        <sz val="10"/>
        <color theme="1"/>
        <rFont val="Calibri"/>
        <family val="2"/>
        <scheme val="minor"/>
      </rPr>
      <t>son</t>
    </r>
    <r>
      <rPr>
        <sz val="10"/>
        <color theme="1"/>
        <rFont val="Calibri"/>
        <family val="2"/>
        <scheme val="minor"/>
      </rPr>
      <t xml:space="preserve"> - Songhai languages
</t>
    </r>
    <r>
      <rPr>
        <b/>
        <sz val="10"/>
        <color theme="1"/>
        <rFont val="Calibri"/>
        <family val="2"/>
        <scheme val="minor"/>
      </rPr>
      <t>sqj</t>
    </r>
    <r>
      <rPr>
        <sz val="10"/>
        <color theme="1"/>
        <rFont val="Calibri"/>
        <family val="2"/>
        <scheme val="minor"/>
      </rPr>
      <t xml:space="preserve"> - Albanian languages
</t>
    </r>
    <r>
      <rPr>
        <b/>
        <sz val="10"/>
        <color theme="1"/>
        <rFont val="Calibri"/>
        <family val="2"/>
        <scheme val="minor"/>
      </rPr>
      <t>ssa</t>
    </r>
    <r>
      <rPr>
        <sz val="10"/>
        <color theme="1"/>
        <rFont val="Calibri"/>
        <family val="2"/>
        <scheme val="minor"/>
      </rPr>
      <t xml:space="preserve"> - Nilo-Saharan languages
</t>
    </r>
    <r>
      <rPr>
        <b/>
        <sz val="10"/>
        <color theme="1"/>
        <rFont val="Calibri"/>
        <family val="2"/>
        <scheme val="minor"/>
      </rPr>
      <t>syd</t>
    </r>
    <r>
      <rPr>
        <sz val="10"/>
        <color theme="1"/>
        <rFont val="Calibri"/>
        <family val="2"/>
        <scheme val="minor"/>
      </rPr>
      <t xml:space="preserve"> - Samoyedic languages
</t>
    </r>
    <r>
      <rPr>
        <b/>
        <sz val="10"/>
        <color theme="1"/>
        <rFont val="Calibri"/>
        <family val="2"/>
        <scheme val="minor"/>
      </rPr>
      <t>tai</t>
    </r>
    <r>
      <rPr>
        <sz val="10"/>
        <color theme="1"/>
        <rFont val="Calibri"/>
        <family val="2"/>
        <scheme val="minor"/>
      </rPr>
      <t xml:space="preserve"> - Tai languages
</t>
    </r>
    <r>
      <rPr>
        <b/>
        <sz val="10"/>
        <color theme="1"/>
        <rFont val="Calibri"/>
        <family val="2"/>
        <scheme val="minor"/>
      </rPr>
      <t>tbq</t>
    </r>
    <r>
      <rPr>
        <sz val="10"/>
        <color theme="1"/>
        <rFont val="Calibri"/>
        <family val="2"/>
        <scheme val="minor"/>
      </rPr>
      <t xml:space="preserve"> - Tibeto-Burman languages
</t>
    </r>
    <r>
      <rPr>
        <b/>
        <sz val="10"/>
        <color theme="1"/>
        <rFont val="Calibri"/>
        <family val="2"/>
        <scheme val="minor"/>
      </rPr>
      <t>trk</t>
    </r>
    <r>
      <rPr>
        <sz val="10"/>
        <color theme="1"/>
        <rFont val="Calibri"/>
        <family val="2"/>
        <scheme val="minor"/>
      </rPr>
      <t xml:space="preserve"> - Turkic languages
</t>
    </r>
    <r>
      <rPr>
        <b/>
        <sz val="10"/>
        <color theme="1"/>
        <rFont val="Calibri"/>
        <family val="2"/>
        <scheme val="minor"/>
      </rPr>
      <t>tup</t>
    </r>
    <r>
      <rPr>
        <sz val="10"/>
        <color theme="1"/>
        <rFont val="Calibri"/>
        <family val="2"/>
        <scheme val="minor"/>
      </rPr>
      <t xml:space="preserve"> - Tupi languages
</t>
    </r>
    <r>
      <rPr>
        <b/>
        <sz val="10"/>
        <color theme="1"/>
        <rFont val="Calibri"/>
        <family val="2"/>
        <scheme val="minor"/>
      </rPr>
      <t>tut</t>
    </r>
    <r>
      <rPr>
        <sz val="10"/>
        <color theme="1"/>
        <rFont val="Calibri"/>
        <family val="2"/>
        <scheme val="minor"/>
      </rPr>
      <t xml:space="preserve"> - Altaic languages
</t>
    </r>
    <r>
      <rPr>
        <b/>
        <sz val="10"/>
        <color theme="1"/>
        <rFont val="Calibri"/>
        <family val="2"/>
        <scheme val="minor"/>
      </rPr>
      <t>tuw</t>
    </r>
    <r>
      <rPr>
        <sz val="10"/>
        <color theme="1"/>
        <rFont val="Calibri"/>
        <family val="2"/>
        <scheme val="minor"/>
      </rPr>
      <t xml:space="preserve"> - Tungus languages
</t>
    </r>
    <r>
      <rPr>
        <b/>
        <sz val="10"/>
        <color theme="1"/>
        <rFont val="Calibri"/>
        <family val="2"/>
        <scheme val="minor"/>
      </rPr>
      <t>urj</t>
    </r>
    <r>
      <rPr>
        <sz val="10"/>
        <color theme="1"/>
        <rFont val="Calibri"/>
        <family val="2"/>
        <scheme val="minor"/>
      </rPr>
      <t xml:space="preserve"> - Uralic languages
</t>
    </r>
    <r>
      <rPr>
        <b/>
        <sz val="10"/>
        <color theme="1"/>
        <rFont val="Calibri"/>
        <family val="2"/>
        <scheme val="minor"/>
      </rPr>
      <t>wak</t>
    </r>
    <r>
      <rPr>
        <sz val="10"/>
        <color theme="1"/>
        <rFont val="Calibri"/>
        <family val="2"/>
        <scheme val="minor"/>
      </rPr>
      <t xml:space="preserve"> - Wakashan languages
</t>
    </r>
    <r>
      <rPr>
        <b/>
        <sz val="10"/>
        <color theme="1"/>
        <rFont val="Calibri"/>
        <family val="2"/>
        <scheme val="minor"/>
      </rPr>
      <t>wen</t>
    </r>
    <r>
      <rPr>
        <sz val="10"/>
        <color theme="1"/>
        <rFont val="Calibri"/>
        <family val="2"/>
        <scheme val="minor"/>
      </rPr>
      <t xml:space="preserve"> - Sorbian languages
</t>
    </r>
    <r>
      <rPr>
        <b/>
        <sz val="10"/>
        <color theme="1"/>
        <rFont val="Calibri"/>
        <family val="2"/>
        <scheme val="minor"/>
      </rPr>
      <t>xgn</t>
    </r>
    <r>
      <rPr>
        <sz val="10"/>
        <color theme="1"/>
        <rFont val="Calibri"/>
        <family val="2"/>
        <scheme val="minor"/>
      </rPr>
      <t xml:space="preserve"> - Mongolian languages
</t>
    </r>
    <r>
      <rPr>
        <b/>
        <sz val="10"/>
        <color theme="1"/>
        <rFont val="Calibri"/>
        <family val="2"/>
        <scheme val="minor"/>
      </rPr>
      <t>xnd</t>
    </r>
    <r>
      <rPr>
        <sz val="10"/>
        <color theme="1"/>
        <rFont val="Calibri"/>
        <family val="2"/>
        <scheme val="minor"/>
      </rPr>
      <t xml:space="preserve"> - Na-Dene languages
</t>
    </r>
    <r>
      <rPr>
        <b/>
        <sz val="10"/>
        <color theme="1"/>
        <rFont val="Calibri"/>
        <family val="2"/>
        <scheme val="minor"/>
      </rPr>
      <t>ypk</t>
    </r>
    <r>
      <rPr>
        <sz val="10"/>
        <color theme="1"/>
        <rFont val="Calibri"/>
        <family val="2"/>
        <scheme val="minor"/>
      </rPr>
      <t xml:space="preserve"> - Yupik languages
</t>
    </r>
    <r>
      <rPr>
        <b/>
        <sz val="10"/>
        <color theme="1"/>
        <rFont val="Calibri"/>
        <family val="2"/>
        <scheme val="minor"/>
      </rPr>
      <t>zhx</t>
    </r>
    <r>
      <rPr>
        <sz val="10"/>
        <color theme="1"/>
        <rFont val="Calibri"/>
        <family val="2"/>
        <scheme val="minor"/>
      </rPr>
      <t xml:space="preserve"> - Chinese (family)
</t>
    </r>
    <r>
      <rPr>
        <b/>
        <sz val="10"/>
        <color theme="1"/>
        <rFont val="Calibri"/>
        <family val="2"/>
        <scheme val="minor"/>
      </rPr>
      <t>zle</t>
    </r>
    <r>
      <rPr>
        <sz val="10"/>
        <color theme="1"/>
        <rFont val="Calibri"/>
        <family val="2"/>
        <scheme val="minor"/>
      </rPr>
      <t xml:space="preserve"> - East Slavic languages
</t>
    </r>
    <r>
      <rPr>
        <b/>
        <sz val="10"/>
        <color theme="1"/>
        <rFont val="Calibri"/>
        <family val="2"/>
        <scheme val="minor"/>
      </rPr>
      <t>zls</t>
    </r>
    <r>
      <rPr>
        <sz val="10"/>
        <color theme="1"/>
        <rFont val="Calibri"/>
        <family val="2"/>
        <scheme val="minor"/>
      </rPr>
      <t xml:space="preserve"> - South Slavic languages
</t>
    </r>
    <r>
      <rPr>
        <b/>
        <sz val="10"/>
        <color theme="1"/>
        <rFont val="Calibri"/>
        <family val="2"/>
        <scheme val="minor"/>
      </rPr>
      <t>zlw</t>
    </r>
    <r>
      <rPr>
        <sz val="10"/>
        <color theme="1"/>
        <rFont val="Calibri"/>
        <family val="2"/>
        <scheme val="minor"/>
      </rPr>
      <t xml:space="preserve"> - West Slavic languages
</t>
    </r>
    <r>
      <rPr>
        <b/>
        <sz val="10"/>
        <color theme="1"/>
        <rFont val="Calibri"/>
        <family val="2"/>
        <scheme val="minor"/>
      </rPr>
      <t>znd</t>
    </r>
    <r>
      <rPr>
        <sz val="10"/>
        <color theme="1"/>
        <rFont val="Calibri"/>
        <family val="2"/>
        <scheme val="minor"/>
      </rPr>
      <t xml:space="preserve"> - Zande languages
</t>
    </r>
  </si>
  <si>
    <t>The CEDS ISO 639-5 Language Family option set comes from the ISO 639-5 standard.</t>
  </si>
  <si>
    <t>001638</t>
  </si>
  <si>
    <t>ISO6395LanguageFamily</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</si>
  <si>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</si>
  <si>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</si>
  <si>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</si>
  <si>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</si>
  <si>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</si>
  <si>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</si>
  <si>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</si>
  <si>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</si>
  <si>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</si>
  <si>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</si>
  <si>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</si>
  <si>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r>
      <t>LEAOnly</t>
    </r>
    <r>
      <rPr>
        <sz val="10"/>
        <color theme="1"/>
        <rFont val="Calibri"/>
        <family val="2"/>
        <scheme val="minor"/>
      </rPr>
      <t xml:space="preserve"> - LEA only
</t>
    </r>
    <r>
      <rPr>
        <b/>
        <sz val="10"/>
        <color theme="1"/>
        <rFont val="Calibri"/>
        <family val="2"/>
        <scheme val="minor"/>
      </rPr>
      <t>SEAOnly</t>
    </r>
    <r>
      <rPr>
        <sz val="10"/>
        <color theme="1"/>
        <rFont val="Calibri"/>
        <family val="2"/>
        <scheme val="minor"/>
      </rPr>
      <t xml:space="preserve"> - SEA only
</t>
    </r>
    <r>
      <rPr>
        <b/>
        <sz val="10"/>
        <color theme="1"/>
        <rFont val="Calibri"/>
        <family val="2"/>
        <scheme val="minor"/>
      </rPr>
      <t>Both</t>
    </r>
    <r>
      <rPr>
        <sz val="10"/>
        <color theme="1"/>
        <rFont val="Calibri"/>
        <family val="2"/>
        <scheme val="minor"/>
      </rPr>
      <t xml:space="preserve"> - LEA and SEA
</t>
    </r>
    <r>
      <rPr>
        <b/>
        <sz val="10"/>
        <color theme="1"/>
        <rFont val="Calibri"/>
        <family val="2"/>
        <scheme val="minor"/>
      </rPr>
      <t>Neither</t>
    </r>
    <r>
      <rPr>
        <sz val="10"/>
        <color theme="1"/>
        <rFont val="Calibri"/>
        <family val="2"/>
        <scheme val="minor"/>
      </rPr>
      <t xml:space="preserve"> - Neither LEA or SEA
</t>
    </r>
  </si>
  <si>
    <t>K12 -&gt; K12 Course</t>
  </si>
  <si>
    <t>001386</t>
  </si>
  <si>
    <t>K12EndOfCourseRequirement</t>
  </si>
  <si>
    <t>K12 Staff Classification</t>
  </si>
  <si>
    <t>The titles of employment, official status, or rank of education staff.</t>
  </si>
  <si>
    <r>
      <t>AdministrativeSupportStaff</t>
    </r>
    <r>
      <rPr>
        <sz val="10"/>
        <color theme="1"/>
        <rFont val="Calibri"/>
        <family val="2"/>
        <scheme val="minor"/>
      </rPr>
      <t xml:space="preserve"> - Administrative Support Staff
</t>
    </r>
    <r>
      <rPr>
        <b/>
        <sz val="10"/>
        <color theme="1"/>
        <rFont val="Calibri"/>
        <family val="2"/>
        <scheme val="minor"/>
      </rPr>
      <t>Administrators</t>
    </r>
    <r>
      <rPr>
        <sz val="10"/>
        <color theme="1"/>
        <rFont val="Calibri"/>
        <family val="2"/>
        <scheme val="minor"/>
      </rPr>
      <t xml:space="preserve"> - Administrators
</t>
    </r>
    <r>
      <rPr>
        <b/>
        <sz val="10"/>
        <color theme="1"/>
        <rFont val="Calibri"/>
        <family val="2"/>
        <scheme val="minor"/>
      </rPr>
      <t>AllOtherSupportStaff</t>
    </r>
    <r>
      <rPr>
        <sz val="10"/>
        <color theme="1"/>
        <rFont val="Calibri"/>
        <family val="2"/>
        <scheme val="minor"/>
      </rPr>
      <t xml:space="preserve"> - All Other Support Staff 
</t>
    </r>
    <r>
      <rPr>
        <b/>
        <sz val="10"/>
        <color theme="1"/>
        <rFont val="Calibri"/>
        <family val="2"/>
        <scheme val="minor"/>
      </rPr>
      <t>BehavioralSpecialists</t>
    </r>
    <r>
      <rPr>
        <sz val="10"/>
        <color theme="1"/>
        <rFont val="Calibri"/>
        <family val="2"/>
        <scheme val="minor"/>
      </rPr>
      <t xml:space="preserve"> - Behavioral Specialists
</t>
    </r>
    <r>
      <rPr>
        <b/>
        <sz val="10"/>
        <color theme="1"/>
        <rFont val="Calibri"/>
        <family val="2"/>
        <scheme val="minor"/>
      </rPr>
      <t>ELAssistantTeachers</t>
    </r>
    <r>
      <rPr>
        <sz val="10"/>
        <color theme="1"/>
        <rFont val="Calibri"/>
        <family val="2"/>
        <scheme val="minor"/>
      </rPr>
      <t xml:space="preserve"> - Early Learning Assistant Teachers
</t>
    </r>
    <r>
      <rPr>
        <b/>
        <sz val="10"/>
        <color theme="1"/>
        <rFont val="Calibri"/>
        <family val="2"/>
        <scheme val="minor"/>
      </rPr>
      <t>ELTeachers</t>
    </r>
    <r>
      <rPr>
        <sz val="10"/>
        <color theme="1"/>
        <rFont val="Calibri"/>
        <family val="2"/>
        <scheme val="minor"/>
      </rPr>
      <t xml:space="preserve"> - Early Learning Teachers
</t>
    </r>
    <r>
      <rPr>
        <b/>
        <sz val="10"/>
        <color theme="1"/>
        <rFont val="Calibri"/>
        <family val="2"/>
        <scheme val="minor"/>
      </rPr>
      <t>ElementaryTeachers</t>
    </r>
    <r>
      <rPr>
        <sz val="10"/>
        <color theme="1"/>
        <rFont val="Calibri"/>
        <family val="2"/>
        <scheme val="minor"/>
      </rPr>
      <t xml:space="preserve"> - Elementary Teachers
</t>
    </r>
    <r>
      <rPr>
        <b/>
        <sz val="10"/>
        <color theme="1"/>
        <rFont val="Calibri"/>
        <family val="2"/>
        <scheme val="minor"/>
      </rPr>
      <t>FamilyServiceWorkers</t>
    </r>
    <r>
      <rPr>
        <sz val="10"/>
        <color theme="1"/>
        <rFont val="Calibri"/>
        <family val="2"/>
        <scheme val="minor"/>
      </rPr>
      <t xml:space="preserve"> - Family Service Workers
</t>
    </r>
    <r>
      <rPr>
        <b/>
        <sz val="10"/>
        <color theme="1"/>
        <rFont val="Calibri"/>
        <family val="2"/>
        <scheme val="minor"/>
      </rPr>
      <t>HealthSpecialists</t>
    </r>
    <r>
      <rPr>
        <sz val="10"/>
        <color theme="1"/>
        <rFont val="Calibri"/>
        <family val="2"/>
        <scheme val="minor"/>
      </rPr>
      <t xml:space="preserve"> - Health Specialists
</t>
    </r>
    <r>
      <rPr>
        <b/>
        <sz val="10"/>
        <color theme="1"/>
        <rFont val="Calibri"/>
        <family val="2"/>
        <scheme val="minor"/>
      </rPr>
      <t>HomeVisitors</t>
    </r>
    <r>
      <rPr>
        <sz val="10"/>
        <color theme="1"/>
        <rFont val="Calibri"/>
        <family val="2"/>
        <scheme val="minor"/>
      </rPr>
      <t xml:space="preserve"> - Home Visitors
</t>
    </r>
    <r>
      <rPr>
        <b/>
        <sz val="10"/>
        <color theme="1"/>
        <rFont val="Calibri"/>
        <family val="2"/>
        <scheme val="minor"/>
      </rPr>
      <t>InstructionalCoordinators</t>
    </r>
    <r>
      <rPr>
        <sz val="10"/>
        <color theme="1"/>
        <rFont val="Calibri"/>
        <family val="2"/>
        <scheme val="minor"/>
      </rPr>
      <t xml:space="preserve"> - Instructional Coordinators
</t>
    </r>
    <r>
      <rPr>
        <b/>
        <sz val="10"/>
        <color theme="1"/>
        <rFont val="Calibri"/>
        <family val="2"/>
        <scheme val="minor"/>
      </rPr>
      <t>KindergartenTeachers</t>
    </r>
    <r>
      <rPr>
        <sz val="10"/>
        <color theme="1"/>
        <rFont val="Calibri"/>
        <family val="2"/>
        <scheme val="minor"/>
      </rPr>
      <t xml:space="preserve"> - Kindergarten Teachers
</t>
    </r>
    <r>
      <rPr>
        <b/>
        <sz val="10"/>
        <color theme="1"/>
        <rFont val="Calibri"/>
        <family val="2"/>
        <scheme val="minor"/>
      </rPr>
      <t>LibraryMediaSpecialists</t>
    </r>
    <r>
      <rPr>
        <sz val="10"/>
        <color theme="1"/>
        <rFont val="Calibri"/>
        <family val="2"/>
        <scheme val="minor"/>
      </rPr>
      <t xml:space="preserve"> - Librarians/Media Specialists
</t>
    </r>
    <r>
      <rPr>
        <b/>
        <sz val="10"/>
        <color theme="1"/>
        <rFont val="Calibri"/>
        <family val="2"/>
        <scheme val="minor"/>
      </rPr>
      <t>LibraryMediaSupportStaff</t>
    </r>
    <r>
      <rPr>
        <sz val="10"/>
        <color theme="1"/>
        <rFont val="Calibri"/>
        <family val="2"/>
        <scheme val="minor"/>
      </rPr>
      <t xml:space="preserve"> - Library/Media Support Staff
</t>
    </r>
    <r>
      <rPr>
        <b/>
        <sz val="10"/>
        <color theme="1"/>
        <rFont val="Calibri"/>
        <family val="2"/>
        <scheme val="minor"/>
      </rPr>
      <t>MentalHealthSpecialists</t>
    </r>
    <r>
      <rPr>
        <sz val="10"/>
        <color theme="1"/>
        <rFont val="Calibri"/>
        <family val="2"/>
        <scheme val="minor"/>
      </rPr>
      <t xml:space="preserve"> - Mental Health Specialists
</t>
    </r>
    <r>
      <rPr>
        <b/>
        <sz val="10"/>
        <color theme="1"/>
        <rFont val="Calibri"/>
        <family val="2"/>
        <scheme val="minor"/>
      </rPr>
      <t>NutritionSpecialists</t>
    </r>
    <r>
      <rPr>
        <sz val="10"/>
        <color theme="1"/>
        <rFont val="Calibri"/>
        <family val="2"/>
        <scheme val="minor"/>
      </rPr>
      <t xml:space="preserve"> - Nutrition Specialists
</t>
    </r>
    <r>
      <rPr>
        <b/>
        <sz val="10"/>
        <color theme="1"/>
        <rFont val="Calibri"/>
        <family val="2"/>
        <scheme val="minor"/>
      </rPr>
      <t>Paraprofessionals</t>
    </r>
    <r>
      <rPr>
        <sz val="10"/>
        <color theme="1"/>
        <rFont val="Calibri"/>
        <family val="2"/>
        <scheme val="minor"/>
      </rPr>
      <t xml:space="preserve"> - Paraprofessionals
</t>
    </r>
    <r>
      <rPr>
        <b/>
        <sz val="10"/>
        <color theme="1"/>
        <rFont val="Calibri"/>
        <family val="2"/>
        <scheme val="minor"/>
      </rPr>
      <t>PartCEarlyInterventionists</t>
    </r>
    <r>
      <rPr>
        <sz val="10"/>
        <color theme="1"/>
        <rFont val="Calibri"/>
        <family val="2"/>
        <scheme val="minor"/>
      </rPr>
      <t xml:space="preserve"> - Part C Early Interventionists
</t>
    </r>
    <r>
      <rPr>
        <b/>
        <sz val="10"/>
        <color theme="1"/>
        <rFont val="Calibri"/>
        <family val="2"/>
        <scheme val="minor"/>
      </rPr>
      <t>PartCServiceCoordinators</t>
    </r>
    <r>
      <rPr>
        <sz val="10"/>
        <color theme="1"/>
        <rFont val="Calibri"/>
        <family val="2"/>
        <scheme val="minor"/>
      </rPr>
      <t xml:space="preserve"> - Part C Service Coordinators
</t>
    </r>
    <r>
      <rPr>
        <b/>
        <sz val="10"/>
        <color theme="1"/>
        <rFont val="Calibri"/>
        <family val="2"/>
        <scheme val="minor"/>
      </rPr>
      <t>SchoolCounselors</t>
    </r>
    <r>
      <rPr>
        <sz val="10"/>
        <color theme="1"/>
        <rFont val="Calibri"/>
        <family val="2"/>
        <scheme val="minor"/>
      </rPr>
      <t xml:space="preserve"> - School Counselors
</t>
    </r>
    <r>
      <rPr>
        <b/>
        <sz val="10"/>
        <color theme="1"/>
        <rFont val="Calibri"/>
        <family val="2"/>
        <scheme val="minor"/>
      </rPr>
      <t>SecondaryTeachers</t>
    </r>
    <r>
      <rPr>
        <sz val="10"/>
        <color theme="1"/>
        <rFont val="Calibri"/>
        <family val="2"/>
        <scheme val="minor"/>
      </rPr>
      <t xml:space="preserve"> - Secondary Teachers
</t>
    </r>
    <r>
      <rPr>
        <b/>
        <sz val="10"/>
        <color theme="1"/>
        <rFont val="Calibri"/>
        <family val="2"/>
        <scheme val="minor"/>
      </rPr>
      <t>SocialWorkers</t>
    </r>
    <r>
      <rPr>
        <sz val="10"/>
        <color theme="1"/>
        <rFont val="Calibri"/>
        <family val="2"/>
        <scheme val="minor"/>
      </rPr>
      <t xml:space="preserve"> - Social Workers
</t>
    </r>
    <r>
      <rPr>
        <b/>
        <sz val="10"/>
        <color theme="1"/>
        <rFont val="Calibri"/>
        <family val="2"/>
        <scheme val="minor"/>
      </rPr>
      <t>SpecialEducationTeachers</t>
    </r>
    <r>
      <rPr>
        <sz val="10"/>
        <color theme="1"/>
        <rFont val="Calibri"/>
        <family val="2"/>
        <scheme val="minor"/>
      </rPr>
      <t xml:space="preserve"> - Special Education Teachers
</t>
    </r>
    <r>
      <rPr>
        <b/>
        <sz val="10"/>
        <color theme="1"/>
        <rFont val="Calibri"/>
        <family val="2"/>
        <scheme val="minor"/>
      </rPr>
      <t>SpecialNeedsSpecialists</t>
    </r>
    <r>
      <rPr>
        <sz val="10"/>
        <color theme="1"/>
        <rFont val="Calibri"/>
        <family val="2"/>
        <scheme val="minor"/>
      </rPr>
      <t xml:space="preserve"> - Special Needs Specialists
</t>
    </r>
    <r>
      <rPr>
        <b/>
        <sz val="10"/>
        <color theme="1"/>
        <rFont val="Calibri"/>
        <family val="2"/>
        <scheme val="minor"/>
      </rPr>
      <t>StudentSupportServicesStaff</t>
    </r>
    <r>
      <rPr>
        <sz val="10"/>
        <color theme="1"/>
        <rFont val="Calibri"/>
        <family val="2"/>
        <scheme val="minor"/>
      </rPr>
      <t xml:space="preserve"> - Student Support Services Staff
</t>
    </r>
    <r>
      <rPr>
        <b/>
        <sz val="10"/>
        <color theme="1"/>
        <rFont val="Calibri"/>
        <family val="2"/>
        <scheme val="minor"/>
      </rPr>
      <t>UngradedTeachers</t>
    </r>
    <r>
      <rPr>
        <sz val="10"/>
        <color theme="1"/>
        <rFont val="Calibri"/>
        <family val="2"/>
        <scheme val="minor"/>
      </rPr>
      <t xml:space="preserve"> - Ungraded Teachers
</t>
    </r>
    <r>
      <rPr>
        <b/>
        <sz val="10"/>
        <color theme="1"/>
        <rFont val="Calibri"/>
        <family val="2"/>
        <scheme val="minor"/>
      </rPr>
      <t>PrekindergartenTeachers</t>
    </r>
    <r>
      <rPr>
        <sz val="10"/>
        <color theme="1"/>
        <rFont val="Calibri"/>
        <family val="2"/>
        <scheme val="minor"/>
      </rPr>
      <t xml:space="preserve"> - Pre-kindergarten Teachers
</t>
    </r>
    <r>
      <rPr>
        <b/>
        <sz val="10"/>
        <color theme="1"/>
        <rFont val="Calibri"/>
        <family val="2"/>
        <scheme val="minor"/>
      </rPr>
      <t>SchoolPsychologist</t>
    </r>
    <r>
      <rPr>
        <sz val="10"/>
        <color theme="1"/>
        <rFont val="Calibri"/>
        <family val="2"/>
        <scheme val="minor"/>
      </rPr>
      <t xml:space="preserve"> - School Psychologist
</t>
    </r>
  </si>
  <si>
    <t>000087</t>
  </si>
  <si>
    <t>K12StaffClassification</t>
  </si>
  <si>
    <t>Early Learning -&gt; Staff Quality
K-12 -&gt; LEA-to-LEA Student Record Exchange
K-12 -&gt; LEA-to-SEA Student Record Exchange</t>
  </si>
  <si>
    <t>Kindergarten Daily Length</t>
  </si>
  <si>
    <t>The portion of a day that a kindergarten program is provided to the students it serves.</t>
  </si>
  <si>
    <r>
      <t>FullDay</t>
    </r>
    <r>
      <rPr>
        <sz val="10"/>
        <color theme="1"/>
        <rFont val="Calibri"/>
        <family val="2"/>
        <scheme val="minor"/>
      </rPr>
      <t xml:space="preserve"> - Full-day
</t>
    </r>
    <r>
      <rPr>
        <b/>
        <sz val="10"/>
        <color theme="1"/>
        <rFont val="Calibri"/>
        <family val="2"/>
        <scheme val="minor"/>
      </rPr>
      <t>Part-day</t>
    </r>
    <r>
      <rPr>
        <sz val="10"/>
        <color theme="1"/>
        <rFont val="Calibri"/>
        <family val="2"/>
        <scheme val="minor"/>
      </rPr>
      <t xml:space="preserve"> - Part-day
</t>
    </r>
    <r>
      <rPr>
        <b/>
        <sz val="10"/>
        <color theme="1"/>
        <rFont val="Calibri"/>
        <family val="2"/>
        <scheme val="minor"/>
      </rPr>
      <t>NotProvided</t>
    </r>
    <r>
      <rPr>
        <sz val="10"/>
        <color theme="1"/>
        <rFont val="Calibri"/>
        <family val="2"/>
        <scheme val="minor"/>
      </rPr>
      <t xml:space="preserve"> - Not provided
</t>
    </r>
  </si>
  <si>
    <t>K12 -&gt; LEA -&gt; Programs and Services</t>
  </si>
  <si>
    <t>000491</t>
  </si>
  <si>
    <t>KindergartenDailyLength</t>
  </si>
  <si>
    <t>Kindergarten Program Participation Type</t>
  </si>
  <si>
    <t>The type of Kindergarten program the student is enrolled in.</t>
  </si>
  <si>
    <r>
      <t>FullDayKindergarten</t>
    </r>
    <r>
      <rPr>
        <sz val="10"/>
        <color theme="1"/>
        <rFont val="Calibri"/>
        <family val="2"/>
        <scheme val="minor"/>
      </rPr>
      <t xml:space="preserve"> - Full-Day kindergarten
</t>
    </r>
    <r>
      <rPr>
        <b/>
        <sz val="10"/>
        <color theme="1"/>
        <rFont val="Calibri"/>
        <family val="2"/>
        <scheme val="minor"/>
      </rPr>
      <t>PartDayKindergarten</t>
    </r>
    <r>
      <rPr>
        <sz val="10"/>
        <color theme="1"/>
        <rFont val="Calibri"/>
        <family val="2"/>
        <scheme val="minor"/>
      </rPr>
      <t xml:space="preserve"> - Part-Day kindergarten
</t>
    </r>
    <r>
      <rPr>
        <b/>
        <sz val="10"/>
        <color theme="1"/>
        <rFont val="Calibri"/>
        <family val="2"/>
        <scheme val="minor"/>
      </rPr>
      <t>ExtendedDayKindergarten</t>
    </r>
    <r>
      <rPr>
        <sz val="10"/>
        <color theme="1"/>
        <rFont val="Calibri"/>
        <family val="2"/>
        <scheme val="minor"/>
      </rPr>
      <t xml:space="preserve"> - Extended day kindergarten
</t>
    </r>
  </si>
  <si>
    <t>000714</t>
  </si>
  <si>
    <t>KindergartenProgramParticipationType</t>
  </si>
  <si>
    <t>Language Translation Policy</t>
  </si>
  <si>
    <t>Indicates that the organization or class/group has translation services available .</t>
  </si>
  <si>
    <t>Early Learning -&gt; EL Class/Group
Early Learning -&gt; EL Organization -&gt; Cultural and Linguistic Diversity</t>
  </si>
  <si>
    <t>001226</t>
  </si>
  <si>
    <t>LanguageTranslationPolicy</t>
  </si>
  <si>
    <t>Language Type</t>
  </si>
  <si>
    <t>An indication of the function and context in which a person uses a language to communicate.</t>
  </si>
  <si>
    <r>
      <t>Correspondence</t>
    </r>
    <r>
      <rPr>
        <sz val="10"/>
        <color theme="1"/>
        <rFont val="Calibri"/>
        <family val="2"/>
        <scheme val="minor"/>
      </rPr>
      <t xml:space="preserve"> - Correspondence language
</t>
    </r>
    <r>
      <rPr>
        <b/>
        <sz val="10"/>
        <color theme="1"/>
        <rFont val="Calibri"/>
        <family val="2"/>
        <scheme val="minor"/>
      </rPr>
      <t>Dominant</t>
    </r>
    <r>
      <rPr>
        <sz val="10"/>
        <color theme="1"/>
        <rFont val="Calibri"/>
        <family val="2"/>
        <scheme val="minor"/>
      </rPr>
      <t xml:space="preserve"> - Dominant language
</t>
    </r>
    <r>
      <rPr>
        <b/>
        <sz val="10"/>
        <color theme="1"/>
        <rFont val="Calibri"/>
        <family val="2"/>
        <scheme val="minor"/>
      </rPr>
      <t>Home</t>
    </r>
    <r>
      <rPr>
        <sz val="10"/>
        <color theme="1"/>
        <rFont val="Calibri"/>
        <family val="2"/>
        <scheme val="minor"/>
      </rPr>
      <t xml:space="preserve"> - Home language
</t>
    </r>
    <r>
      <rPr>
        <b/>
        <sz val="10"/>
        <color theme="1"/>
        <rFont val="Calibri"/>
        <family val="2"/>
        <scheme val="minor"/>
      </rPr>
      <t>Native</t>
    </r>
    <r>
      <rPr>
        <sz val="10"/>
        <color theme="1"/>
        <rFont val="Calibri"/>
        <family val="2"/>
        <scheme val="minor"/>
      </rPr>
      <t xml:space="preserve"> - Native language
</t>
    </r>
    <r>
      <rPr>
        <b/>
        <sz val="10"/>
        <color theme="1"/>
        <rFont val="Calibri"/>
        <family val="2"/>
        <scheme val="minor"/>
      </rPr>
      <t>OtherLanguageProficiency</t>
    </r>
    <r>
      <rPr>
        <sz val="10"/>
        <color theme="1"/>
        <rFont val="Calibri"/>
        <family val="2"/>
        <scheme val="minor"/>
      </rPr>
      <t xml:space="preserve"> - Other language proficiency
</t>
    </r>
    <r>
      <rPr>
        <b/>
        <sz val="10"/>
        <color theme="1"/>
        <rFont val="Calibri"/>
        <family val="2"/>
        <scheme val="minor"/>
      </rPr>
      <t>Other</t>
    </r>
    <r>
      <rPr>
        <sz val="10"/>
        <color theme="1"/>
        <rFont val="Calibri"/>
        <family val="2"/>
        <scheme val="minor"/>
      </rPr>
      <t xml:space="preserve"> - Other
</t>
    </r>
  </si>
  <si>
    <t>Adult Education -&gt; AE Staff -&gt; Language (added)
Adult Education -&gt; AE Student -&gt; Language (added)
Career and Technical -&gt; CTE Staff -&gt; Language (added)
Career and Technical -&gt; CTE Student -&gt; Language (added)
Early Learning -&gt; EL Child -&gt; Language
Early Learning -&gt; EL Staff -&gt; Language
Early Learning -&gt; Parent/Guardian -&gt; Language (added)
K12 -&gt; K12 Staff -&gt; Language (added)
K12 -&gt; K12 Student -&gt; Language
K12 -&gt; Parent/Guardian -&gt; Language (added)
Postsecondary -&gt; Parent/Guardian -&gt; Language (added)
Postsecondary -&gt; PS Staff -&gt; Language (added)
Postsecondary -&gt; PS Student -&gt; Language (added)
Workforce -&gt; Workforce Program Participant -&gt; Language (added)</t>
  </si>
  <si>
    <t>000316</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</si>
  <si>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</si>
  <si>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</si>
  <si>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</si>
  <si>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</si>
  <si>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</si>
  <si>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</si>
  <si>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</si>
  <si>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</si>
  <si>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</si>
  <si>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</si>
  <si>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</si>
  <si>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</si>
  <si>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</si>
  <si>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</si>
  <si>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</si>
  <si>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</si>
  <si>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</si>
  <si>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000606</t>
  </si>
  <si>
    <t>LEA Full Academic Year</t>
  </si>
  <si>
    <t>An indication of whether a student was in membership in the LEA education unit for a full academic year, according to the state’s definition of Full Academic Year.</t>
  </si>
  <si>
    <t>001762</t>
  </si>
  <si>
    <t>LEAFullAcademicYear</t>
  </si>
  <si>
    <t>Learner Action Actor Identifier</t>
  </si>
  <si>
    <t>A unique identifier for the person performing the learner action. The identifier should be encrypted when integrating learning experience data across systems to secure the privacy of the learner.</t>
  </si>
  <si>
    <t>Assessments -&gt; Learner Action
K12 -&gt; K12 Student -&gt; Learner Action</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</si>
  <si>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</si>
  <si>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</si>
  <si>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</si>
  <si>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</si>
  <si>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</si>
  <si>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</si>
  <si>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</si>
  <si>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</si>
  <si>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</si>
  <si>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</si>
  <si>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</si>
  <si>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</si>
  <si>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</si>
  <si>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</si>
  <si>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</si>
  <si>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</si>
  <si>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</si>
  <si>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</si>
  <si>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</si>
  <si>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</si>
  <si>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r>
      <t>abandoned</t>
    </r>
    <r>
      <rPr>
        <sz val="10"/>
        <color theme="1"/>
        <rFont val="Calibri"/>
        <family val="2"/>
        <scheme val="minor"/>
      </rPr>
      <t xml:space="preserve"> - Abandoned
</t>
    </r>
    <r>
      <rPr>
        <b/>
        <sz val="10"/>
        <color theme="1"/>
        <rFont val="Calibri"/>
        <family val="2"/>
        <scheme val="minor"/>
      </rPr>
      <t>answered</t>
    </r>
    <r>
      <rPr>
        <sz val="10"/>
        <color theme="1"/>
        <rFont val="Calibri"/>
        <family val="2"/>
        <scheme val="minor"/>
      </rPr>
      <t xml:space="preserve"> - Answered
</t>
    </r>
    <r>
      <rPr>
        <b/>
        <sz val="10"/>
        <color theme="1"/>
        <rFont val="Calibri"/>
        <family val="2"/>
        <scheme val="minor"/>
      </rPr>
      <t>asked</t>
    </r>
    <r>
      <rPr>
        <sz val="10"/>
        <color theme="1"/>
        <rFont val="Calibri"/>
        <family val="2"/>
        <scheme val="minor"/>
      </rPr>
      <t xml:space="preserve"> - Asked
</t>
    </r>
    <r>
      <rPr>
        <b/>
        <sz val="10"/>
        <color theme="1"/>
        <rFont val="Calibri"/>
        <family val="2"/>
        <scheme val="minor"/>
      </rPr>
      <t>attempted</t>
    </r>
    <r>
      <rPr>
        <sz val="10"/>
        <color theme="1"/>
        <rFont val="Calibri"/>
        <family val="2"/>
        <scheme val="minor"/>
      </rPr>
      <t xml:space="preserve"> - Attempted
</t>
    </r>
    <r>
      <rPr>
        <b/>
        <sz val="10"/>
        <color theme="1"/>
        <rFont val="Calibri"/>
        <family val="2"/>
        <scheme val="minor"/>
      </rPr>
      <t>attended</t>
    </r>
    <r>
      <rPr>
        <sz val="10"/>
        <color theme="1"/>
        <rFont val="Calibri"/>
        <family val="2"/>
        <scheme val="minor"/>
      </rPr>
      <t xml:space="preserve"> - Attended
</t>
    </r>
    <r>
      <rPr>
        <b/>
        <sz val="10"/>
        <color theme="1"/>
        <rFont val="Calibri"/>
        <family val="2"/>
        <scheme val="minor"/>
      </rPr>
      <t>commented</t>
    </r>
    <r>
      <rPr>
        <sz val="10"/>
        <color theme="1"/>
        <rFont val="Calibri"/>
        <family val="2"/>
        <scheme val="minor"/>
      </rPr>
      <t xml:space="preserve"> - Commented
</t>
    </r>
    <r>
      <rPr>
        <b/>
        <sz val="10"/>
        <color theme="1"/>
        <rFont val="Calibri"/>
        <family val="2"/>
        <scheme val="minor"/>
      </rPr>
      <t>completed</t>
    </r>
    <r>
      <rPr>
        <sz val="10"/>
        <color theme="1"/>
        <rFont val="Calibri"/>
        <family val="2"/>
        <scheme val="minor"/>
      </rPr>
      <t xml:space="preserve"> - Completed
</t>
    </r>
    <r>
      <rPr>
        <b/>
        <sz val="10"/>
        <color theme="1"/>
        <rFont val="Calibri"/>
        <family val="2"/>
        <scheme val="minor"/>
      </rPr>
      <t>exited</t>
    </r>
    <r>
      <rPr>
        <sz val="10"/>
        <color theme="1"/>
        <rFont val="Calibri"/>
        <family val="2"/>
        <scheme val="minor"/>
      </rPr>
      <t xml:space="preserve"> - Exited
</t>
    </r>
    <r>
      <rPr>
        <b/>
        <sz val="10"/>
        <color theme="1"/>
        <rFont val="Calibri"/>
        <family val="2"/>
        <scheme val="minor"/>
      </rPr>
      <t>experienced</t>
    </r>
    <r>
      <rPr>
        <sz val="10"/>
        <color theme="1"/>
        <rFont val="Calibri"/>
        <family val="2"/>
        <scheme val="minor"/>
      </rPr>
      <t xml:space="preserve"> - Experienced
</t>
    </r>
    <r>
      <rPr>
        <b/>
        <sz val="10"/>
        <color theme="1"/>
        <rFont val="Calibri"/>
        <family val="2"/>
        <scheme val="minor"/>
      </rPr>
      <t>failed</t>
    </r>
    <r>
      <rPr>
        <sz val="10"/>
        <color theme="1"/>
        <rFont val="Calibri"/>
        <family val="2"/>
        <scheme val="minor"/>
      </rPr>
      <t xml:space="preserve"> - Failed
</t>
    </r>
    <r>
      <rPr>
        <b/>
        <sz val="10"/>
        <color theme="1"/>
        <rFont val="Calibri"/>
        <family val="2"/>
        <scheme val="minor"/>
      </rPr>
      <t>imported</t>
    </r>
    <r>
      <rPr>
        <sz val="10"/>
        <color theme="1"/>
        <rFont val="Calibri"/>
        <family val="2"/>
        <scheme val="minor"/>
      </rPr>
      <t xml:space="preserve"> - Imported
</t>
    </r>
    <r>
      <rPr>
        <b/>
        <sz val="10"/>
        <color theme="1"/>
        <rFont val="Calibri"/>
        <family val="2"/>
        <scheme val="minor"/>
      </rPr>
      <t>initialized</t>
    </r>
    <r>
      <rPr>
        <sz val="10"/>
        <color theme="1"/>
        <rFont val="Calibri"/>
        <family val="2"/>
        <scheme val="minor"/>
      </rPr>
      <t xml:space="preserve"> - Initialized
</t>
    </r>
    <r>
      <rPr>
        <b/>
        <sz val="10"/>
        <color theme="1"/>
        <rFont val="Calibri"/>
        <family val="2"/>
        <scheme val="minor"/>
      </rPr>
      <t>interacted</t>
    </r>
    <r>
      <rPr>
        <sz val="10"/>
        <color theme="1"/>
        <rFont val="Calibri"/>
        <family val="2"/>
        <scheme val="minor"/>
      </rPr>
      <t xml:space="preserve"> - Interacted
</t>
    </r>
    <r>
      <rPr>
        <b/>
        <sz val="10"/>
        <color theme="1"/>
        <rFont val="Calibri"/>
        <family val="2"/>
        <scheme val="minor"/>
      </rPr>
      <t>launched</t>
    </r>
    <r>
      <rPr>
        <sz val="10"/>
        <color theme="1"/>
        <rFont val="Calibri"/>
        <family val="2"/>
        <scheme val="minor"/>
      </rPr>
      <t xml:space="preserve"> - Launched
</t>
    </r>
    <r>
      <rPr>
        <b/>
        <sz val="10"/>
        <color theme="1"/>
        <rFont val="Calibri"/>
        <family val="2"/>
        <scheme val="minor"/>
      </rPr>
      <t>logged-in</t>
    </r>
    <r>
      <rPr>
        <sz val="10"/>
        <color theme="1"/>
        <rFont val="Calibri"/>
        <family val="2"/>
        <scheme val="minor"/>
      </rPr>
      <t xml:space="preserve"> - Logged-In
</t>
    </r>
    <r>
      <rPr>
        <b/>
        <sz val="10"/>
        <color theme="1"/>
        <rFont val="Calibri"/>
        <family val="2"/>
        <scheme val="minor"/>
      </rPr>
      <t>logged-out</t>
    </r>
    <r>
      <rPr>
        <sz val="10"/>
        <color theme="1"/>
        <rFont val="Calibri"/>
        <family val="2"/>
        <scheme val="minor"/>
      </rPr>
      <t xml:space="preserve"> - Logged-Out
</t>
    </r>
    <r>
      <rPr>
        <b/>
        <sz val="10"/>
        <color theme="1"/>
        <rFont val="Calibri"/>
        <family val="2"/>
        <scheme val="minor"/>
      </rPr>
      <t>mastered</t>
    </r>
    <r>
      <rPr>
        <sz val="10"/>
        <color theme="1"/>
        <rFont val="Calibri"/>
        <family val="2"/>
        <scheme val="minor"/>
      </rPr>
      <t xml:space="preserve"> - Mastered
</t>
    </r>
    <r>
      <rPr>
        <b/>
        <sz val="10"/>
        <color theme="1"/>
        <rFont val="Calibri"/>
        <family val="2"/>
        <scheme val="minor"/>
      </rPr>
      <t>passed</t>
    </r>
    <r>
      <rPr>
        <sz val="10"/>
        <color theme="1"/>
        <rFont val="Calibri"/>
        <family val="2"/>
        <scheme val="minor"/>
      </rPr>
      <t xml:space="preserve"> - Passed
</t>
    </r>
    <r>
      <rPr>
        <b/>
        <sz val="10"/>
        <color theme="1"/>
        <rFont val="Calibri"/>
        <family val="2"/>
        <scheme val="minor"/>
      </rPr>
      <t>preferred</t>
    </r>
    <r>
      <rPr>
        <sz val="10"/>
        <color theme="1"/>
        <rFont val="Calibri"/>
        <family val="2"/>
        <scheme val="minor"/>
      </rPr>
      <t xml:space="preserve"> - Preferred
</t>
    </r>
    <r>
      <rPr>
        <b/>
        <sz val="10"/>
        <color theme="1"/>
        <rFont val="Calibri"/>
        <family val="2"/>
        <scheme val="minor"/>
      </rPr>
      <t>progressed</t>
    </r>
    <r>
      <rPr>
        <sz val="10"/>
        <color theme="1"/>
        <rFont val="Calibri"/>
        <family val="2"/>
        <scheme val="minor"/>
      </rPr>
      <t xml:space="preserve"> - Progressed
</t>
    </r>
    <r>
      <rPr>
        <b/>
        <sz val="10"/>
        <color theme="1"/>
        <rFont val="Calibri"/>
        <family val="2"/>
        <scheme val="minor"/>
      </rPr>
      <t>registered</t>
    </r>
    <r>
      <rPr>
        <sz val="10"/>
        <color theme="1"/>
        <rFont val="Calibri"/>
        <family val="2"/>
        <scheme val="minor"/>
      </rPr>
      <t xml:space="preserve"> - Registered
</t>
    </r>
    <r>
      <rPr>
        <b/>
        <sz val="10"/>
        <color theme="1"/>
        <rFont val="Calibri"/>
        <family val="2"/>
        <scheme val="minor"/>
      </rPr>
      <t>responded</t>
    </r>
    <r>
      <rPr>
        <sz val="10"/>
        <color theme="1"/>
        <rFont val="Calibri"/>
        <family val="2"/>
        <scheme val="minor"/>
      </rPr>
      <t xml:space="preserve"> - Responded
</t>
    </r>
    <r>
      <rPr>
        <b/>
        <sz val="10"/>
        <color theme="1"/>
        <rFont val="Calibri"/>
        <family val="2"/>
        <scheme val="minor"/>
      </rPr>
      <t>resumed</t>
    </r>
    <r>
      <rPr>
        <sz val="10"/>
        <color theme="1"/>
        <rFont val="Calibri"/>
        <family val="2"/>
        <scheme val="minor"/>
      </rPr>
      <t xml:space="preserve"> - Resumed
</t>
    </r>
    <r>
      <rPr>
        <b/>
        <sz val="10"/>
        <color theme="1"/>
        <rFont val="Calibri"/>
        <family val="2"/>
        <scheme val="minor"/>
      </rPr>
      <t>satisfied</t>
    </r>
    <r>
      <rPr>
        <sz val="10"/>
        <color theme="1"/>
        <rFont val="Calibri"/>
        <family val="2"/>
        <scheme val="minor"/>
      </rPr>
      <t xml:space="preserve"> - Satisfied
</t>
    </r>
    <r>
      <rPr>
        <b/>
        <sz val="10"/>
        <color theme="1"/>
        <rFont val="Calibri"/>
        <family val="2"/>
        <scheme val="minor"/>
      </rPr>
      <t>scored</t>
    </r>
    <r>
      <rPr>
        <sz val="10"/>
        <color theme="1"/>
        <rFont val="Calibri"/>
        <family val="2"/>
        <scheme val="minor"/>
      </rPr>
      <t xml:space="preserve"> - Scored
</t>
    </r>
    <r>
      <rPr>
        <b/>
        <sz val="10"/>
        <color theme="1"/>
        <rFont val="Calibri"/>
        <family val="2"/>
        <scheme val="minor"/>
      </rPr>
      <t>shared</t>
    </r>
    <r>
      <rPr>
        <sz val="10"/>
        <color theme="1"/>
        <rFont val="Calibri"/>
        <family val="2"/>
        <scheme val="minor"/>
      </rPr>
      <t xml:space="preserve"> - Shared
</t>
    </r>
    <r>
      <rPr>
        <b/>
        <sz val="10"/>
        <color theme="1"/>
        <rFont val="Calibri"/>
        <family val="2"/>
        <scheme val="minor"/>
      </rPr>
      <t>suspended</t>
    </r>
    <r>
      <rPr>
        <sz val="10"/>
        <color theme="1"/>
        <rFont val="Calibri"/>
        <family val="2"/>
        <scheme val="minor"/>
      </rPr>
      <t xml:space="preserve"> - Suspended
</t>
    </r>
    <r>
      <rPr>
        <b/>
        <sz val="10"/>
        <color theme="1"/>
        <rFont val="Calibri"/>
        <family val="2"/>
        <scheme val="minor"/>
      </rPr>
      <t>terminated</t>
    </r>
    <r>
      <rPr>
        <sz val="10"/>
        <color theme="1"/>
        <rFont val="Calibri"/>
        <family val="2"/>
        <scheme val="minor"/>
      </rPr>
      <t xml:space="preserve"> - Terminated
</t>
    </r>
    <r>
      <rPr>
        <b/>
        <sz val="10"/>
        <color theme="1"/>
        <rFont val="Calibri"/>
        <family val="2"/>
        <scheme val="minor"/>
      </rPr>
      <t>voided</t>
    </r>
    <r>
      <rPr>
        <sz val="10"/>
        <color theme="1"/>
        <rFont val="Calibri"/>
        <family val="2"/>
        <scheme val="minor"/>
      </rPr>
      <t xml:space="preserve"> - Voided
</t>
    </r>
    <r>
      <rPr>
        <b/>
        <sz val="10"/>
        <color theme="1"/>
        <rFont val="Calibri"/>
        <family val="2"/>
        <scheme val="minor"/>
      </rPr>
      <t>waived</t>
    </r>
    <r>
      <rPr>
        <sz val="10"/>
        <color theme="1"/>
        <rFont val="Calibri"/>
        <family val="2"/>
        <scheme val="minor"/>
      </rPr>
      <t xml:space="preserve"> - Waived
</t>
    </r>
  </si>
  <si>
    <t>Updated option set to include definitions and limit description length to 150 characters.</t>
  </si>
  <si>
    <t>The CEDS Learner Action Type option set comes from the ADL Controlled Vocabulary, xAPI specification.</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</si>
  <si>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</si>
  <si>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</si>
  <si>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</si>
  <si>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</si>
  <si>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</si>
  <si>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</si>
  <si>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Learner Activity Add to Grade Book Flag</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</si>
  <si>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</si>
  <si>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</si>
  <si>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</si>
  <si>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</si>
  <si>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</si>
  <si>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</si>
  <si>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</si>
  <si>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</si>
  <si>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</si>
  <si>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The description and context for the assignment described in a way that the learner can understand.</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</si>
  <si>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</si>
  <si>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</si>
  <si>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</si>
  <si>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</si>
  <si>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</si>
  <si>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</si>
  <si>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</si>
  <si>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</si>
  <si>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</si>
  <si>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</si>
  <si>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</si>
  <si>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</si>
  <si>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</si>
  <si>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</si>
  <si>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</si>
  <si>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</si>
  <si>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</si>
  <si>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</si>
  <si>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</si>
  <si>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</si>
  <si>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</si>
  <si>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</si>
  <si>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</si>
  <si>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</si>
  <si>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The unit of time of the Maximum Time Allowed value.</t>
  </si>
  <si>
    <r>
      <t>Week</t>
    </r>
    <r>
      <rPr>
        <sz val="10"/>
        <color theme="1"/>
        <rFont val="Calibri"/>
        <family val="2"/>
        <scheme val="minor"/>
      </rPr>
      <t xml:space="preserve"> - Week
</t>
    </r>
    <r>
      <rPr>
        <b/>
        <sz val="10"/>
        <color theme="1"/>
        <rFont val="Calibri"/>
        <family val="2"/>
        <scheme val="minor"/>
      </rPr>
      <t>Day</t>
    </r>
    <r>
      <rPr>
        <sz val="10"/>
        <color theme="1"/>
        <rFont val="Calibri"/>
        <family val="2"/>
        <scheme val="minor"/>
      </rPr>
      <t xml:space="preserve"> - Day
</t>
    </r>
    <r>
      <rPr>
        <b/>
        <sz val="10"/>
        <color theme="1"/>
        <rFont val="Calibri"/>
        <family val="2"/>
        <scheme val="minor"/>
      </rPr>
      <t>Hour</t>
    </r>
    <r>
      <rPr>
        <sz val="10"/>
        <color theme="1"/>
        <rFont val="Calibri"/>
        <family val="2"/>
        <scheme val="minor"/>
      </rPr>
      <t xml:space="preserve"> - Hour
</t>
    </r>
    <r>
      <rPr>
        <b/>
        <sz val="10"/>
        <color theme="1"/>
        <rFont val="Calibri"/>
        <family val="2"/>
        <scheme val="minor"/>
      </rPr>
      <t>Minute</t>
    </r>
    <r>
      <rPr>
        <sz val="10"/>
        <color theme="1"/>
        <rFont val="Calibri"/>
        <family val="2"/>
        <scheme val="minor"/>
      </rPr>
      <t xml:space="preserve"> - Minute
</t>
    </r>
    <r>
      <rPr>
        <b/>
        <sz val="10"/>
        <color theme="1"/>
        <rFont val="Calibri"/>
        <family val="2"/>
        <scheme val="minor"/>
      </rPr>
      <t>Second</t>
    </r>
    <r>
      <rPr>
        <sz val="10"/>
        <color theme="1"/>
        <rFont val="Calibri"/>
        <family val="2"/>
        <scheme val="minor"/>
      </rPr>
      <t xml:space="preserve"> - Second
</t>
    </r>
  </si>
  <si>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</si>
  <si>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</si>
  <si>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</si>
  <si>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</si>
  <si>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</si>
  <si>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</si>
  <si>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</si>
  <si>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</si>
  <si>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Note: Prerequisites may also be referenced via an associated Learning Goal and Competency Set (prerequisites for individual competencies). For some applications enumeration of the detailed prerequisites will have greater utility than a single descriptive field.</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</si>
  <si>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</si>
  <si>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</si>
  <si>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</si>
  <si>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</si>
  <si>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</si>
  <si>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</si>
  <si>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</si>
  <si>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</si>
  <si>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</si>
  <si>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</si>
  <si>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</si>
  <si>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The title for work assigned to the learner, which can comprise of learning resources, activities, and assessments.</t>
  </si>
  <si>
    <t>000939</t>
  </si>
  <si>
    <t>LearnerActivityTitle</t>
  </si>
  <si>
    <t>Learner Activity Type</t>
  </si>
  <si>
    <t>The type of work assigned to the learner.</t>
  </si>
  <si>
    <r>
      <t>Assignment</t>
    </r>
    <r>
      <rPr>
        <sz val="10"/>
        <color theme="1"/>
        <rFont val="Calibri"/>
        <family val="2"/>
        <scheme val="minor"/>
      </rPr>
      <t xml:space="preserve"> - Assignment
</t>
    </r>
    <r>
      <rPr>
        <b/>
        <sz val="10"/>
        <color theme="1"/>
        <rFont val="Calibri"/>
        <family val="2"/>
        <scheme val="minor"/>
      </rPr>
      <t>LearningResource</t>
    </r>
    <r>
      <rPr>
        <sz val="10"/>
        <color theme="1"/>
        <rFont val="Calibri"/>
        <family val="2"/>
        <scheme val="minor"/>
      </rPr>
      <t xml:space="preserve"> - Learning Resource
</t>
    </r>
    <r>
      <rPr>
        <b/>
        <sz val="10"/>
        <color theme="1"/>
        <rFont val="Calibri"/>
        <family val="2"/>
        <scheme val="minor"/>
      </rPr>
      <t>Activity</t>
    </r>
    <r>
      <rPr>
        <sz val="10"/>
        <color theme="1"/>
        <rFont val="Calibri"/>
        <family val="2"/>
        <scheme val="minor"/>
      </rPr>
      <t xml:space="preserve"> - Activity
</t>
    </r>
    <r>
      <rPr>
        <b/>
        <sz val="10"/>
        <color theme="1"/>
        <rFont val="Calibri"/>
        <family val="2"/>
        <scheme val="minor"/>
      </rPr>
      <t>Lesson</t>
    </r>
    <r>
      <rPr>
        <sz val="10"/>
        <color theme="1"/>
        <rFont val="Calibri"/>
        <family val="2"/>
        <scheme val="minor"/>
      </rPr>
      <t xml:space="preserve"> - Lesson
</t>
    </r>
  </si>
  <si>
    <t>000942</t>
  </si>
  <si>
    <t>LearnerActivityType</t>
  </si>
  <si>
    <t>Learner Activity Weight</t>
  </si>
  <si>
    <t>The percentage weight of the assignment during the particular course or term.</t>
  </si>
  <si>
    <t>000951</t>
  </si>
  <si>
    <t>LearnerActivityWeight</t>
  </si>
  <si>
    <t>Learning Resource Access API Type</t>
  </si>
  <si>
    <t>Indicates that the learning resource is compatible with the referenced accessibility application programming interface (API).</t>
  </si>
  <si>
    <r>
      <t>AndroidAccessibility</t>
    </r>
    <r>
      <rPr>
        <sz val="10"/>
        <color theme="1"/>
        <rFont val="Calibri"/>
        <family val="2"/>
        <scheme val="minor"/>
      </rPr>
      <t xml:space="preserve"> - Android Accessibility
</t>
    </r>
    <r>
      <rPr>
        <b/>
        <sz val="10"/>
        <color theme="1"/>
        <rFont val="Calibri"/>
        <family val="2"/>
        <scheme val="minor"/>
      </rPr>
      <t>ARIA</t>
    </r>
    <r>
      <rPr>
        <sz val="10"/>
        <color theme="1"/>
        <rFont val="Calibri"/>
        <family val="2"/>
        <scheme val="minor"/>
      </rPr>
      <t xml:space="preserve"> - ARIA
</t>
    </r>
    <r>
      <rPr>
        <b/>
        <sz val="10"/>
        <color theme="1"/>
        <rFont val="Calibri"/>
        <family val="2"/>
        <scheme val="minor"/>
      </rPr>
      <t>ATK</t>
    </r>
    <r>
      <rPr>
        <sz val="10"/>
        <color theme="1"/>
        <rFont val="Calibri"/>
        <family val="2"/>
        <scheme val="minor"/>
      </rPr>
      <t xml:space="preserve"> - ATK
</t>
    </r>
    <r>
      <rPr>
        <b/>
        <sz val="10"/>
        <color theme="1"/>
        <rFont val="Calibri"/>
        <family val="2"/>
        <scheme val="minor"/>
      </rPr>
      <t>AT-SPI</t>
    </r>
    <r>
      <rPr>
        <sz val="10"/>
        <color theme="1"/>
        <rFont val="Calibri"/>
        <family val="2"/>
        <scheme val="minor"/>
      </rPr>
      <t xml:space="preserve"> - AT-SPI
</t>
    </r>
    <r>
      <rPr>
        <b/>
        <sz val="10"/>
        <color theme="1"/>
        <rFont val="Calibri"/>
        <family val="2"/>
        <scheme val="minor"/>
      </rPr>
      <t>BlackberryAccessibility</t>
    </r>
    <r>
      <rPr>
        <sz val="10"/>
        <color theme="1"/>
        <rFont val="Calibri"/>
        <family val="2"/>
        <scheme val="minor"/>
      </rPr>
      <t xml:space="preserve"> - Blackberry Accessibility
</t>
    </r>
    <r>
      <rPr>
        <b/>
        <sz val="10"/>
        <color theme="1"/>
        <rFont val="Calibri"/>
        <family val="2"/>
        <scheme val="minor"/>
      </rPr>
      <t>iAccessible2</t>
    </r>
    <r>
      <rPr>
        <sz val="10"/>
        <color theme="1"/>
        <rFont val="Calibri"/>
        <family val="2"/>
        <scheme val="minor"/>
      </rPr>
      <t xml:space="preserve"> - I Accessible2
</t>
    </r>
    <r>
      <rPr>
        <b/>
        <sz val="10"/>
        <color theme="1"/>
        <rFont val="Calibri"/>
        <family val="2"/>
        <scheme val="minor"/>
      </rPr>
      <t>iOSAccessibility</t>
    </r>
    <r>
      <rPr>
        <sz val="10"/>
        <color theme="1"/>
        <rFont val="Calibri"/>
        <family val="2"/>
        <scheme val="minor"/>
      </rPr>
      <t xml:space="preserve"> - iOS Accessibility
</t>
    </r>
    <r>
      <rPr>
        <b/>
        <sz val="10"/>
        <color theme="1"/>
        <rFont val="Calibri"/>
        <family val="2"/>
        <scheme val="minor"/>
      </rPr>
      <t>JavaAccessibility</t>
    </r>
    <r>
      <rPr>
        <sz val="10"/>
        <color theme="1"/>
        <rFont val="Calibri"/>
        <family val="2"/>
        <scheme val="minor"/>
      </rPr>
      <t xml:space="preserve"> - Java Accessibility
</t>
    </r>
    <r>
      <rPr>
        <b/>
        <sz val="10"/>
        <color theme="1"/>
        <rFont val="Calibri"/>
        <family val="2"/>
        <scheme val="minor"/>
      </rPr>
      <t>MacOSXAccessibility</t>
    </r>
    <r>
      <rPr>
        <sz val="10"/>
        <color theme="1"/>
        <rFont val="Calibri"/>
        <family val="2"/>
        <scheme val="minor"/>
      </rPr>
      <t xml:space="preserve"> - Mac OSX Accessibility
</t>
    </r>
    <r>
      <rPr>
        <b/>
        <sz val="10"/>
        <color theme="1"/>
        <rFont val="Calibri"/>
        <family val="2"/>
        <scheme val="minor"/>
      </rPr>
      <t>MSAA</t>
    </r>
    <r>
      <rPr>
        <sz val="10"/>
        <color theme="1"/>
        <rFont val="Calibri"/>
        <family val="2"/>
        <scheme val="minor"/>
      </rPr>
      <t xml:space="preserve"> - MSAA
</t>
    </r>
    <r>
      <rPr>
        <b/>
        <sz val="10"/>
        <color theme="1"/>
        <rFont val="Calibri"/>
        <family val="2"/>
        <scheme val="minor"/>
      </rPr>
      <t>UIAutomation</t>
    </r>
    <r>
      <rPr>
        <sz val="10"/>
        <color theme="1"/>
        <rFont val="Calibri"/>
        <family val="2"/>
        <scheme val="minor"/>
      </rPr>
      <t xml:space="preserve"> - UI Automation
</t>
    </r>
  </si>
  <si>
    <t>Learning Resources -&gt; Learning Resource</t>
  </si>
  <si>
    <t>Options derive primarily from IMS Global's Access for All (AfA) specification, specifically: apiInteroperable.</t>
  </si>
  <si>
    <t>001389</t>
  </si>
  <si>
    <t>LearningResourceAccessAPIType</t>
  </si>
  <si>
    <t>Learning Resource Access Hazard Type</t>
  </si>
  <si>
    <t>A characteristic of the described learning resource that is physiologically dangerous to some users.</t>
  </si>
  <si>
    <r>
      <t>Flashing</t>
    </r>
    <r>
      <rPr>
        <sz val="10"/>
        <color theme="1"/>
        <rFont val="Calibri"/>
        <family val="2"/>
        <scheme val="minor"/>
      </rPr>
      <t xml:space="preserve"> - Flashing
</t>
    </r>
    <r>
      <rPr>
        <b/>
        <sz val="10"/>
        <color theme="1"/>
        <rFont val="Calibri"/>
        <family val="2"/>
        <scheme val="minor"/>
      </rPr>
      <t>MotionSimulation</t>
    </r>
    <r>
      <rPr>
        <sz val="10"/>
        <color theme="1"/>
        <rFont val="Calibri"/>
        <family val="2"/>
        <scheme val="minor"/>
      </rPr>
      <t xml:space="preserve"> - Motion simulation
</t>
    </r>
    <r>
      <rPr>
        <b/>
        <sz val="10"/>
        <color theme="1"/>
        <rFont val="Calibri"/>
        <family val="2"/>
        <scheme val="minor"/>
      </rPr>
      <t>Sound</t>
    </r>
    <r>
      <rPr>
        <sz val="10"/>
        <color theme="1"/>
        <rFont val="Calibri"/>
        <family val="2"/>
        <scheme val="minor"/>
      </rPr>
      <t xml:space="preserve"> - Sound
</t>
    </r>
  </si>
  <si>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</si>
  <si>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</si>
  <si>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</si>
  <si>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</si>
  <si>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r>
      <t>auditory</t>
    </r>
    <r>
      <rPr>
        <sz val="10"/>
        <color theme="1"/>
        <rFont val="Calibri"/>
        <family val="2"/>
        <scheme val="minor"/>
      </rPr>
      <t xml:space="preserve"> - Auditory
</t>
    </r>
    <r>
      <rPr>
        <b/>
        <sz val="10"/>
        <color theme="1"/>
        <rFont val="Calibri"/>
        <family val="2"/>
        <scheme val="minor"/>
      </rPr>
      <t>colorDependent</t>
    </r>
    <r>
      <rPr>
        <sz val="10"/>
        <color theme="1"/>
        <rFont val="Calibri"/>
        <family val="2"/>
        <scheme val="minor"/>
      </rPr>
      <t xml:space="preserve"> - Color Dependent
</t>
    </r>
    <r>
      <rPr>
        <b/>
        <sz val="10"/>
        <color theme="1"/>
        <rFont val="Calibri"/>
        <family val="2"/>
        <scheme val="minor"/>
      </rPr>
      <t>tactile</t>
    </r>
    <r>
      <rPr>
        <sz val="10"/>
        <color theme="1"/>
        <rFont val="Calibri"/>
        <family val="2"/>
        <scheme val="minor"/>
      </rPr>
      <t xml:space="preserve"> - Tactile
</t>
    </r>
    <r>
      <rPr>
        <b/>
        <sz val="10"/>
        <color theme="1"/>
        <rFont val="Calibri"/>
        <family val="2"/>
        <scheme val="minor"/>
      </rPr>
      <t>textOnImage</t>
    </r>
    <r>
      <rPr>
        <sz val="10"/>
        <color theme="1"/>
        <rFont val="Calibri"/>
        <family val="2"/>
        <scheme val="minor"/>
      </rPr>
      <t xml:space="preserve"> - Text On Image
</t>
    </r>
    <r>
      <rPr>
        <b/>
        <sz val="10"/>
        <color theme="1"/>
        <rFont val="Calibri"/>
        <family val="2"/>
        <scheme val="minor"/>
      </rPr>
      <t>textual</t>
    </r>
    <r>
      <rPr>
        <sz val="10"/>
        <color theme="1"/>
        <rFont val="Calibri"/>
        <family val="2"/>
        <scheme val="minor"/>
      </rPr>
      <t xml:space="preserve"> - Textual
</t>
    </r>
    <r>
      <rPr>
        <b/>
        <sz val="10"/>
        <color theme="1"/>
        <rFont val="Calibri"/>
        <family val="2"/>
        <scheme val="minor"/>
      </rPr>
      <t>visual</t>
    </r>
    <r>
      <rPr>
        <sz val="10"/>
        <color theme="1"/>
        <rFont val="Calibri"/>
        <family val="2"/>
        <scheme val="minor"/>
      </rPr>
      <t xml:space="preserve"> - Visual
</t>
    </r>
  </si>
  <si>
    <t>Options derive primarily from IMS Global's Access for All (AfA) specification, specifically: AccessModeRequired.Type/existingAccessMode.</t>
  </si>
  <si>
    <t>001391</t>
  </si>
  <si>
    <t>LearningResourceAccessModeType</t>
  </si>
  <si>
    <t>Learning Resource Access Rights URL</t>
  </si>
  <si>
    <t>A Uniform Resource Locator (URL) that identifies the conditions that govern the user’s ability to access a learning resource.</t>
  </si>
  <si>
    <r>
      <t>FreeAccess</t>
    </r>
    <r>
      <rPr>
        <sz val="10"/>
        <color theme="1"/>
        <rFont val="Calibri"/>
        <family val="2"/>
        <scheme val="minor"/>
      </rPr>
      <t xml:space="preserve"> - Free Access
</t>
    </r>
    <r>
      <rPr>
        <b/>
        <sz val="10"/>
        <color theme="1"/>
        <rFont val="Calibri"/>
        <family val="2"/>
        <scheme val="minor"/>
      </rPr>
      <t>FreeAccessWithRegistration</t>
    </r>
    <r>
      <rPr>
        <sz val="10"/>
        <color theme="1"/>
        <rFont val="Calibri"/>
        <family val="2"/>
        <scheme val="minor"/>
      </rPr>
      <t xml:space="preserve"> - Free Access with Registration
</t>
    </r>
    <r>
      <rPr>
        <b/>
        <sz val="10"/>
        <color theme="1"/>
        <rFont val="Calibri"/>
        <family val="2"/>
        <scheme val="minor"/>
      </rPr>
      <t>LimitedFreeAccess</t>
    </r>
    <r>
      <rPr>
        <sz val="10"/>
        <color theme="1"/>
        <rFont val="Calibri"/>
        <family val="2"/>
        <scheme val="minor"/>
      </rPr>
      <t xml:space="preserve"> - Limited Free Access
</t>
    </r>
    <r>
      <rPr>
        <b/>
        <sz val="10"/>
        <color theme="1"/>
        <rFont val="Calibri"/>
        <family val="2"/>
        <scheme val="minor"/>
      </rPr>
      <t>AvailableForPurchase</t>
    </r>
    <r>
      <rPr>
        <sz val="10"/>
        <color theme="1"/>
        <rFont val="Calibri"/>
        <family val="2"/>
        <scheme val="minor"/>
      </rPr>
      <t xml:space="preserve"> - Available for Purchase
</t>
    </r>
    <r>
      <rPr>
        <b/>
        <sz val="10"/>
        <color theme="1"/>
        <rFont val="Calibri"/>
        <family val="2"/>
        <scheme val="minor"/>
      </rPr>
      <t>AvailableBySubscription</t>
    </r>
    <r>
      <rPr>
        <sz val="10"/>
        <color theme="1"/>
        <rFont val="Calibri"/>
        <family val="2"/>
        <scheme val="minor"/>
      </rPr>
      <t xml:space="preserve"> - Available by Subscription
</t>
    </r>
    <r>
      <rPr>
        <b/>
        <sz val="10"/>
        <color theme="1"/>
        <rFont val="Calibri"/>
        <family val="2"/>
        <scheme val="minor"/>
      </rPr>
      <t>PublisherDefined</t>
    </r>
    <r>
      <rPr>
        <sz val="10"/>
        <color theme="1"/>
        <rFont val="Calibri"/>
        <family val="2"/>
        <scheme val="minor"/>
      </rPr>
      <t xml:space="preserve"> - Publisher Defined
</t>
    </r>
  </si>
  <si>
    <t>001561</t>
  </si>
  <si>
    <t>LearningResourceAccessRightsURL</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</si>
  <si>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</si>
  <si>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</si>
  <si>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</si>
  <si>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</si>
  <si>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</si>
  <si>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</si>
  <si>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</si>
  <si>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</si>
  <si>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</si>
  <si>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</si>
  <si>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</si>
  <si>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</si>
  <si>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</si>
  <si>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</si>
  <si>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</si>
  <si>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</si>
  <si>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</si>
  <si>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</si>
  <si>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</si>
  <si>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r>
      <t>Organization</t>
    </r>
    <r>
      <rPr>
        <sz val="10"/>
        <color theme="1"/>
        <rFont val="Calibri"/>
        <family val="2"/>
        <scheme val="minor"/>
      </rPr>
      <t xml:space="preserve"> - Organization
</t>
    </r>
    <r>
      <rPr>
        <b/>
        <sz val="10"/>
        <color theme="1"/>
        <rFont val="Calibri"/>
        <family val="2"/>
        <scheme val="minor"/>
      </rPr>
      <t>Person</t>
    </r>
    <r>
      <rPr>
        <sz val="10"/>
        <color theme="1"/>
        <rFont val="Calibri"/>
        <family val="2"/>
        <scheme val="minor"/>
      </rPr>
      <t xml:space="preserve"> - Person
</t>
    </r>
  </si>
  <si>
    <t>001562</t>
  </si>
  <si>
    <t>LearningResourceAuthorType</t>
  </si>
  <si>
    <t>Learning Resource Author URL</t>
  </si>
  <si>
    <t>A Uniform Resource Locator (URL) attributed to the author of a learning resource.</t>
  </si>
  <si>
    <t>001563</t>
  </si>
  <si>
    <t>LearningResourceAuthorURL</t>
  </si>
  <si>
    <t>Learning Resource Based on URL</t>
  </si>
  <si>
    <t>A resource that was used in the creation of this resource. This term can be repeated for multiple sources.</t>
  </si>
  <si>
    <t>Ex: “http://example.com/great-multiplication-intro.html“</t>
  </si>
  <si>
    <t>000922</t>
  </si>
  <si>
    <t>LearningResourceBasedOnURL</t>
  </si>
  <si>
    <t>Learning Resource Book Format Type</t>
  </si>
  <si>
    <t>Specifies the format for a learning resource that is a book. Other options may be considered for inclusion in the option set.</t>
  </si>
  <si>
    <r>
      <t>Ebook</t>
    </r>
    <r>
      <rPr>
        <sz val="10"/>
        <color theme="1"/>
        <rFont val="Calibri"/>
        <family val="2"/>
        <scheme val="minor"/>
      </rPr>
      <t xml:space="preserve"> - Ebook
</t>
    </r>
    <r>
      <rPr>
        <b/>
        <sz val="10"/>
        <color theme="1"/>
        <rFont val="Calibri"/>
        <family val="2"/>
        <scheme val="minor"/>
      </rPr>
      <t>Hardcover</t>
    </r>
    <r>
      <rPr>
        <sz val="10"/>
        <color theme="1"/>
        <rFont val="Calibri"/>
        <family val="2"/>
        <scheme val="minor"/>
      </rPr>
      <t xml:space="preserve"> - Hardcover
</t>
    </r>
    <r>
      <rPr>
        <b/>
        <sz val="10"/>
        <color theme="1"/>
        <rFont val="Calibri"/>
        <family val="2"/>
        <scheme val="minor"/>
      </rPr>
      <t>Paperback</t>
    </r>
    <r>
      <rPr>
        <sz val="10"/>
        <color theme="1"/>
        <rFont val="Calibri"/>
        <family val="2"/>
        <scheme val="minor"/>
      </rPr>
      <t xml:space="preserve"> - Paperback
</t>
    </r>
    <r>
      <rPr>
        <b/>
        <sz val="10"/>
        <color theme="1"/>
        <rFont val="Calibri"/>
        <family val="2"/>
        <scheme val="minor"/>
      </rPr>
      <t>DAISY202</t>
    </r>
    <r>
      <rPr>
        <sz val="10"/>
        <color theme="1"/>
        <rFont val="Calibri"/>
        <family val="2"/>
        <scheme val="minor"/>
      </rPr>
      <t xml:space="preserve"> - DAISY202
</t>
    </r>
    <r>
      <rPr>
        <b/>
        <sz val="10"/>
        <color theme="1"/>
        <rFont val="Calibri"/>
        <family val="2"/>
        <scheme val="minor"/>
      </rPr>
      <t>DAISY3</t>
    </r>
    <r>
      <rPr>
        <sz val="10"/>
        <color theme="1"/>
        <rFont val="Calibri"/>
        <family val="2"/>
        <scheme val="minor"/>
      </rPr>
      <t xml:space="preserve"> - DAISY3
</t>
    </r>
    <r>
      <rPr>
        <b/>
        <sz val="10"/>
        <color theme="1"/>
        <rFont val="Calibri"/>
        <family val="2"/>
        <scheme val="minor"/>
      </rPr>
      <t>EPUB2</t>
    </r>
    <r>
      <rPr>
        <sz val="10"/>
        <color theme="1"/>
        <rFont val="Calibri"/>
        <family val="2"/>
        <scheme val="minor"/>
      </rPr>
      <t xml:space="preserve"> - EPUB2
</t>
    </r>
    <r>
      <rPr>
        <b/>
        <sz val="10"/>
        <color theme="1"/>
        <rFont val="Calibri"/>
        <family val="2"/>
        <scheme val="minor"/>
      </rPr>
      <t>EPUB3</t>
    </r>
    <r>
      <rPr>
        <sz val="10"/>
        <color theme="1"/>
        <rFont val="Calibri"/>
        <family val="2"/>
        <scheme val="minor"/>
      </rPr>
      <t xml:space="preserve"> - EPUB3
</t>
    </r>
    <r>
      <rPr>
        <b/>
        <sz val="10"/>
        <color theme="1"/>
        <rFont val="Calibri"/>
        <family val="2"/>
        <scheme val="minor"/>
      </rPr>
      <t>Other</t>
    </r>
    <r>
      <rPr>
        <sz val="10"/>
        <color theme="1"/>
        <rFont val="Calibri"/>
        <family val="2"/>
        <scheme val="minor"/>
      </rPr>
      <t xml:space="preserve"> - Other
</t>
    </r>
  </si>
  <si>
    <t>001394</t>
  </si>
  <si>
    <t>LearningResourceBookFormatType</t>
  </si>
  <si>
    <t>Learning Resource Competency Alignment Type</t>
  </si>
  <si>
    <t>The alignment relationship between the resource and a competency definition object.</t>
  </si>
  <si>
    <r>
      <t>Assesses</t>
    </r>
    <r>
      <rPr>
        <sz val="10"/>
        <color theme="1"/>
        <rFont val="Calibri"/>
        <family val="2"/>
        <scheme val="minor"/>
      </rPr>
      <t xml:space="preserve"> - Assesses
</t>
    </r>
    <r>
      <rPr>
        <b/>
        <sz val="10"/>
        <color theme="1"/>
        <rFont val="Calibri"/>
        <family val="2"/>
        <scheme val="minor"/>
      </rPr>
      <t>Teaches</t>
    </r>
    <r>
      <rPr>
        <sz val="10"/>
        <color theme="1"/>
        <rFont val="Calibri"/>
        <family val="2"/>
        <scheme val="minor"/>
      </rPr>
      <t xml:space="preserve"> - Teaches
</t>
    </r>
    <r>
      <rPr>
        <b/>
        <sz val="10"/>
        <color theme="1"/>
        <rFont val="Calibri"/>
        <family val="2"/>
        <scheme val="minor"/>
      </rPr>
      <t>Requires</t>
    </r>
    <r>
      <rPr>
        <sz val="10"/>
        <color theme="1"/>
        <rFont val="Calibri"/>
        <family val="2"/>
        <scheme val="minor"/>
      </rPr>
      <t xml:space="preserve"> - Requires
</t>
    </r>
    <r>
      <rPr>
        <b/>
        <sz val="10"/>
        <color theme="1"/>
        <rFont val="Calibri"/>
        <family val="2"/>
        <scheme val="minor"/>
      </rPr>
      <t>TextComplexity</t>
    </r>
    <r>
      <rPr>
        <sz val="10"/>
        <color theme="1"/>
        <rFont val="Calibri"/>
        <family val="2"/>
        <scheme val="minor"/>
      </rPr>
      <t xml:space="preserve"> - Text Complexity
</t>
    </r>
    <r>
      <rPr>
        <b/>
        <sz val="10"/>
        <color theme="1"/>
        <rFont val="Calibri"/>
        <family val="2"/>
        <scheme val="minor"/>
      </rPr>
      <t>ReadingLevel</t>
    </r>
    <r>
      <rPr>
        <sz val="10"/>
        <color theme="1"/>
        <rFont val="Calibri"/>
        <family val="2"/>
        <scheme val="minor"/>
      </rPr>
      <t xml:space="preserve"> - Reading Level
</t>
    </r>
    <r>
      <rPr>
        <b/>
        <sz val="10"/>
        <color theme="1"/>
        <rFont val="Calibri"/>
        <family val="2"/>
        <scheme val="minor"/>
      </rPr>
      <t>EducationalSubject</t>
    </r>
    <r>
      <rPr>
        <sz val="10"/>
        <color theme="1"/>
        <rFont val="Calibri"/>
        <family val="2"/>
        <scheme val="minor"/>
      </rPr>
      <t xml:space="preserve"> - Educational Subject
</t>
    </r>
    <r>
      <rPr>
        <b/>
        <sz val="10"/>
        <color theme="1"/>
        <rFont val="Calibri"/>
        <family val="2"/>
        <scheme val="minor"/>
      </rPr>
      <t>EducationLevel</t>
    </r>
    <r>
      <rPr>
        <sz val="10"/>
        <color theme="1"/>
        <rFont val="Calibri"/>
        <family val="2"/>
        <scheme val="minor"/>
      </rPr>
      <t xml:space="preserve"> - Education Level
</t>
    </r>
  </si>
  <si>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</si>
  <si>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</si>
  <si>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</si>
  <si>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</si>
  <si>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</si>
  <si>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</si>
  <si>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</si>
  <si>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</si>
  <si>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</si>
  <si>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r>
      <t>fullAudioControl</t>
    </r>
    <r>
      <rPr>
        <sz val="10"/>
        <color theme="1"/>
        <rFont val="Calibri"/>
        <family val="2"/>
        <scheme val="minor"/>
      </rPr>
      <t xml:space="preserve"> - Full Audio Control
</t>
    </r>
    <r>
      <rPr>
        <b/>
        <sz val="10"/>
        <color theme="1"/>
        <rFont val="Calibri"/>
        <family val="2"/>
        <scheme val="minor"/>
      </rPr>
      <t>fullKeyboardControl</t>
    </r>
    <r>
      <rPr>
        <sz val="10"/>
        <color theme="1"/>
        <rFont val="Calibri"/>
        <family val="2"/>
        <scheme val="minor"/>
      </rPr>
      <t xml:space="preserve"> - Full Keyboard Control
</t>
    </r>
    <r>
      <rPr>
        <b/>
        <sz val="10"/>
        <color theme="1"/>
        <rFont val="Calibri"/>
        <family val="2"/>
        <scheme val="minor"/>
      </rPr>
      <t>fullMouseControl</t>
    </r>
    <r>
      <rPr>
        <sz val="10"/>
        <color theme="1"/>
        <rFont val="Calibri"/>
        <family val="2"/>
        <scheme val="minor"/>
      </rPr>
      <t xml:space="preserve"> - Full Mouse Control
</t>
    </r>
    <r>
      <rPr>
        <b/>
        <sz val="10"/>
        <color theme="1"/>
        <rFont val="Calibri"/>
        <family val="2"/>
        <scheme val="minor"/>
      </rPr>
      <t>fullTouchControl</t>
    </r>
    <r>
      <rPr>
        <sz val="10"/>
        <color theme="1"/>
        <rFont val="Calibri"/>
        <family val="2"/>
        <scheme val="minor"/>
      </rPr>
      <t xml:space="preserve"> - Full Touch Control
</t>
    </r>
    <r>
      <rPr>
        <b/>
        <sz val="10"/>
        <color theme="1"/>
        <rFont val="Calibri"/>
        <family val="2"/>
        <scheme val="minor"/>
      </rPr>
      <t>fullVideoControl</t>
    </r>
    <r>
      <rPr>
        <sz val="10"/>
        <color theme="1"/>
        <rFont val="Calibri"/>
        <family val="2"/>
        <scheme val="minor"/>
      </rPr>
      <t xml:space="preserve"> - Full Video Control
</t>
    </r>
  </si>
  <si>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</si>
  <si>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</si>
  <si>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</si>
  <si>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</si>
  <si>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</si>
  <si>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</si>
  <si>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</si>
  <si>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</si>
  <si>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</si>
  <si>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</si>
  <si>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</si>
  <si>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</si>
  <si>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</si>
  <si>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</si>
  <si>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</si>
  <si>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</si>
  <si>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</si>
  <si>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</si>
  <si>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</si>
  <si>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</si>
  <si>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</si>
  <si>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</si>
  <si>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</si>
  <si>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A short description of the Learning Resource.</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</si>
  <si>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</si>
  <si>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</si>
  <si>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</si>
  <si>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</si>
  <si>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</si>
  <si>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</si>
  <si>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</si>
  <si>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</si>
  <si>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</si>
  <si>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r>
      <t>application</t>
    </r>
    <r>
      <rPr>
        <sz val="10"/>
        <color theme="1"/>
        <rFont val="Calibri"/>
        <family val="2"/>
        <scheme val="minor"/>
      </rPr>
      <t xml:space="preserve"> - Application
</t>
    </r>
    <r>
      <rPr>
        <b/>
        <sz val="10"/>
        <color theme="1"/>
        <rFont val="Calibri"/>
        <family val="2"/>
        <scheme val="minor"/>
      </rPr>
      <t>audio</t>
    </r>
    <r>
      <rPr>
        <sz val="10"/>
        <color theme="1"/>
        <rFont val="Calibri"/>
        <family val="2"/>
        <scheme val="minor"/>
      </rPr>
      <t xml:space="preserve"> - Audio
</t>
    </r>
    <r>
      <rPr>
        <b/>
        <sz val="10"/>
        <color theme="1"/>
        <rFont val="Calibri"/>
        <family val="2"/>
        <scheme val="minor"/>
      </rPr>
      <t>example</t>
    </r>
    <r>
      <rPr>
        <sz val="10"/>
        <color theme="1"/>
        <rFont val="Calibri"/>
        <family val="2"/>
        <scheme val="minor"/>
      </rPr>
      <t xml:space="preserve"> - Example
</t>
    </r>
    <r>
      <rPr>
        <b/>
        <sz val="10"/>
        <color theme="1"/>
        <rFont val="Calibri"/>
        <family val="2"/>
        <scheme val="minor"/>
      </rPr>
      <t>image</t>
    </r>
    <r>
      <rPr>
        <sz val="10"/>
        <color theme="1"/>
        <rFont val="Calibri"/>
        <family val="2"/>
        <scheme val="minor"/>
      </rPr>
      <t xml:space="preserve"> - Image
</t>
    </r>
    <r>
      <rPr>
        <b/>
        <sz val="10"/>
        <color theme="1"/>
        <rFont val="Calibri"/>
        <family val="2"/>
        <scheme val="minor"/>
      </rPr>
      <t>message</t>
    </r>
    <r>
      <rPr>
        <sz val="10"/>
        <color theme="1"/>
        <rFont val="Calibri"/>
        <family val="2"/>
        <scheme val="minor"/>
      </rPr>
      <t xml:space="preserve"> - Message
</t>
    </r>
    <r>
      <rPr>
        <b/>
        <sz val="10"/>
        <color theme="1"/>
        <rFont val="Calibri"/>
        <family val="2"/>
        <scheme val="minor"/>
      </rPr>
      <t>model</t>
    </r>
    <r>
      <rPr>
        <sz val="10"/>
        <color theme="1"/>
        <rFont val="Calibri"/>
        <family val="2"/>
        <scheme val="minor"/>
      </rPr>
      <t xml:space="preserve"> - Model
</t>
    </r>
    <r>
      <rPr>
        <b/>
        <sz val="10"/>
        <color theme="1"/>
        <rFont val="Calibri"/>
        <family val="2"/>
        <scheme val="minor"/>
      </rPr>
      <t>multipart</t>
    </r>
    <r>
      <rPr>
        <sz val="10"/>
        <color theme="1"/>
        <rFont val="Calibri"/>
        <family val="2"/>
        <scheme val="minor"/>
      </rPr>
      <t xml:space="preserve"> - Multipart
</t>
    </r>
    <r>
      <rPr>
        <b/>
        <sz val="10"/>
        <color theme="1"/>
        <rFont val="Calibri"/>
        <family val="2"/>
        <scheme val="minor"/>
      </rPr>
      <t>text</t>
    </r>
    <r>
      <rPr>
        <sz val="10"/>
        <color theme="1"/>
        <rFont val="Calibri"/>
        <family val="2"/>
        <scheme val="minor"/>
      </rPr>
      <t xml:space="preserve"> - Text
</t>
    </r>
    <r>
      <rPr>
        <b/>
        <sz val="10"/>
        <color theme="1"/>
        <rFont val="Calibri"/>
        <family val="2"/>
        <scheme val="minor"/>
      </rPr>
      <t>video</t>
    </r>
    <r>
      <rPr>
        <sz val="10"/>
        <color theme="1"/>
        <rFont val="Calibri"/>
        <family val="2"/>
        <scheme val="minor"/>
      </rPr>
      <t xml:space="preserve"> - Video
</t>
    </r>
  </si>
  <si>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</si>
  <si>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</si>
  <si>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</si>
  <si>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</si>
  <si>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</si>
  <si>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</si>
  <si>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</si>
  <si>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</si>
  <si>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r>
      <t>CurriculumInstruction</t>
    </r>
    <r>
      <rPr>
        <sz val="10"/>
        <color theme="1"/>
        <rFont val="Calibri"/>
        <family val="2"/>
        <scheme val="minor"/>
      </rPr>
      <t xml:space="preserve"> - Curriculum/Instruction
</t>
    </r>
    <r>
      <rPr>
        <b/>
        <sz val="10"/>
        <color theme="1"/>
        <rFont val="Calibri"/>
        <family val="2"/>
        <scheme val="minor"/>
      </rPr>
      <t>Assessment</t>
    </r>
    <r>
      <rPr>
        <sz val="10"/>
        <color theme="1"/>
        <rFont val="Calibri"/>
        <family val="2"/>
        <scheme val="minor"/>
      </rPr>
      <t xml:space="preserve"> - Assessment
</t>
    </r>
    <r>
      <rPr>
        <b/>
        <sz val="10"/>
        <color theme="1"/>
        <rFont val="Calibri"/>
        <family val="2"/>
        <scheme val="minor"/>
      </rPr>
      <t>ProfessionalDevelopment</t>
    </r>
    <r>
      <rPr>
        <sz val="10"/>
        <color theme="1"/>
        <rFont val="Calibri"/>
        <family val="2"/>
        <scheme val="minor"/>
      </rPr>
      <t xml:space="preserve"> - Professional Development
</t>
    </r>
    <r>
      <rPr>
        <b/>
        <sz val="10"/>
        <color theme="1"/>
        <rFont val="Calibri"/>
        <family val="2"/>
        <scheme val="minor"/>
      </rPr>
      <t>Other</t>
    </r>
    <r>
      <rPr>
        <sz val="10"/>
        <color theme="1"/>
        <rFont val="Calibri"/>
        <family val="2"/>
        <scheme val="minor"/>
      </rPr>
      <t xml:space="preserve"> - Other
</t>
    </r>
  </si>
  <si>
    <t>001002</t>
  </si>
  <si>
    <t>LearningResourceEducationalUse</t>
  </si>
  <si>
    <t>Learning Resource Intended End User Role</t>
  </si>
  <si>
    <t>The individual or group for which the resource was produced.</t>
  </si>
  <si>
    <r>
      <t>Administrator</t>
    </r>
    <r>
      <rPr>
        <sz val="10"/>
        <color theme="1"/>
        <rFont val="Calibri"/>
        <family val="2"/>
        <scheme val="minor"/>
      </rPr>
      <t xml:space="preserve"> - Administrator
</t>
    </r>
    <r>
      <rPr>
        <b/>
        <sz val="10"/>
        <color theme="1"/>
        <rFont val="Calibri"/>
        <family val="2"/>
        <scheme val="minor"/>
      </rPr>
      <t>Mentor</t>
    </r>
    <r>
      <rPr>
        <sz val="10"/>
        <color theme="1"/>
        <rFont val="Calibri"/>
        <family val="2"/>
        <scheme val="minor"/>
      </rPr>
      <t xml:space="preserve"> - Mentor
</t>
    </r>
    <r>
      <rPr>
        <b/>
        <sz val="10"/>
        <color theme="1"/>
        <rFont val="Calibri"/>
        <family val="2"/>
        <scheme val="minor"/>
      </rPr>
      <t>Parent</t>
    </r>
    <r>
      <rPr>
        <sz val="10"/>
        <color theme="1"/>
        <rFont val="Calibri"/>
        <family val="2"/>
        <scheme val="minor"/>
      </rPr>
      <t xml:space="preserve"> - Parent
</t>
    </r>
    <r>
      <rPr>
        <b/>
        <sz val="10"/>
        <color theme="1"/>
        <rFont val="Calibri"/>
        <family val="2"/>
        <scheme val="minor"/>
      </rPr>
      <t>Peer-Tutor</t>
    </r>
    <r>
      <rPr>
        <sz val="10"/>
        <color theme="1"/>
        <rFont val="Calibri"/>
        <family val="2"/>
        <scheme val="minor"/>
      </rPr>
      <t xml:space="preserve"> - Peer- Tutor
</t>
    </r>
    <r>
      <rPr>
        <b/>
        <sz val="10"/>
        <color theme="1"/>
        <rFont val="Calibri"/>
        <family val="2"/>
        <scheme val="minor"/>
      </rPr>
      <t>Specialist</t>
    </r>
    <r>
      <rPr>
        <sz val="10"/>
        <color theme="1"/>
        <rFont val="Calibri"/>
        <family val="2"/>
        <scheme val="minor"/>
      </rPr>
      <t xml:space="preserve"> - Specialist
</t>
    </r>
    <r>
      <rPr>
        <b/>
        <sz val="10"/>
        <color theme="1"/>
        <rFont val="Calibri"/>
        <family val="2"/>
        <scheme val="minor"/>
      </rPr>
      <t>Student</t>
    </r>
    <r>
      <rPr>
        <sz val="10"/>
        <color theme="1"/>
        <rFont val="Calibri"/>
        <family val="2"/>
        <scheme val="minor"/>
      </rPr>
      <t xml:space="preserve"> - Student
</t>
    </r>
    <r>
      <rPr>
        <b/>
        <sz val="10"/>
        <color theme="1"/>
        <rFont val="Calibri"/>
        <family val="2"/>
        <scheme val="minor"/>
      </rPr>
      <t>Teacher</t>
    </r>
    <r>
      <rPr>
        <sz val="10"/>
        <color theme="1"/>
        <rFont val="Calibri"/>
        <family val="2"/>
        <scheme val="minor"/>
      </rPr>
      <t xml:space="preserve"> - Teacher
</t>
    </r>
    <r>
      <rPr>
        <b/>
        <sz val="10"/>
        <color theme="1"/>
        <rFont val="Calibri"/>
        <family val="2"/>
        <scheme val="minor"/>
      </rPr>
      <t>Team</t>
    </r>
    <r>
      <rPr>
        <sz val="10"/>
        <color theme="1"/>
        <rFont val="Calibri"/>
        <family val="2"/>
        <scheme val="minor"/>
      </rPr>
      <t xml:space="preserve"> - Team
</t>
    </r>
    <r>
      <rPr>
        <b/>
        <sz val="10"/>
        <color theme="1"/>
        <rFont val="Calibri"/>
        <family val="2"/>
        <scheme val="minor"/>
      </rPr>
      <t>Other</t>
    </r>
    <r>
      <rPr>
        <sz val="10"/>
        <color theme="1"/>
        <rFont val="Calibri"/>
        <family val="2"/>
        <scheme val="minor"/>
      </rPr>
      <t xml:space="preserve"> - Other
</t>
    </r>
  </si>
  <si>
    <t>000923</t>
  </si>
  <si>
    <t>LearningResourceIntendedEndUserRole</t>
  </si>
  <si>
    <t>Learning Resource Interaction Mode</t>
  </si>
  <si>
    <t>The primary type of interaction, synchronous or asynchronous, defined for the learning resource.</t>
  </si>
  <si>
    <r>
      <t>Asynchronous</t>
    </r>
    <r>
      <rPr>
        <sz val="10"/>
        <color theme="1"/>
        <rFont val="Calibri"/>
        <family val="2"/>
        <scheme val="minor"/>
      </rPr>
      <t xml:space="preserve"> - Student-oriented teaching and learning which is not organized around participants interacting at the same time and in the same space.
</t>
    </r>
    <r>
      <rPr>
        <b/>
        <sz val="10"/>
        <color theme="1"/>
        <rFont val="Calibri"/>
        <family val="2"/>
        <scheme val="minor"/>
      </rPr>
      <t>Synchronous</t>
    </r>
    <r>
      <rPr>
        <sz val="10"/>
        <color theme="1"/>
        <rFont val="Calibri"/>
        <family val="2"/>
        <scheme val="minor"/>
      </rPr>
      <t xml:space="preserve"> - Group-oriented teaching and learning organized around participants interacting at the same time and in the same space.
</t>
    </r>
  </si>
  <si>
    <t>001565</t>
  </si>
  <si>
    <t>LearningResourceInteractionMode</t>
  </si>
  <si>
    <t>Learning Resource Interactivity Type</t>
  </si>
  <si>
    <t>The predominate mode of learning supported by the learning resource. Acceptable values are active, expositive, or mixed.</t>
  </si>
  <si>
    <r>
      <t>Active</t>
    </r>
    <r>
      <rPr>
        <sz val="10"/>
        <color theme="1"/>
        <rFont val="Calibri"/>
        <family val="2"/>
        <scheme val="minor"/>
      </rPr>
      <t xml:space="preserve"> - Active
</t>
    </r>
    <r>
      <rPr>
        <b/>
        <sz val="10"/>
        <color theme="1"/>
        <rFont val="Calibri"/>
        <family val="2"/>
        <scheme val="minor"/>
      </rPr>
      <t>Expositive</t>
    </r>
    <r>
      <rPr>
        <sz val="10"/>
        <color theme="1"/>
        <rFont val="Calibri"/>
        <family val="2"/>
        <scheme val="minor"/>
      </rPr>
      <t xml:space="preserve"> - Expositive
</t>
    </r>
    <r>
      <rPr>
        <b/>
        <sz val="10"/>
        <color theme="1"/>
        <rFont val="Calibri"/>
        <family val="2"/>
        <scheme val="minor"/>
      </rPr>
      <t>Mixed</t>
    </r>
    <r>
      <rPr>
        <sz val="10"/>
        <color theme="1"/>
        <rFont val="Calibri"/>
        <family val="2"/>
        <scheme val="minor"/>
      </rPr>
      <t xml:space="preserve"> - Mixed
</t>
    </r>
  </si>
  <si>
    <t>000927</t>
  </si>
  <si>
    <t>LearningResourceInteractivityType</t>
  </si>
  <si>
    <t>Learning Resource Language</t>
  </si>
  <si>
    <t>The primary language of the resource.</t>
  </si>
  <si>
    <t>000919</t>
  </si>
  <si>
    <t>LearningResourceLanguage</t>
  </si>
  <si>
    <t>Note: For accessible resources LRMI uses language codes from the IETF BCP 47 standard which also refers to ISO 639. (Equivalent of the AfA languageOfAdaptation property.)</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</si>
  <si>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</si>
  <si>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</si>
  <si>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</si>
  <si>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</si>
  <si>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</si>
  <si>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</si>
  <si>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</si>
  <si>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r>
      <t>alternativeText</t>
    </r>
    <r>
      <rPr>
        <sz val="10"/>
        <color theme="1"/>
        <rFont val="Calibri"/>
        <family val="2"/>
        <scheme val="minor"/>
      </rPr>
      <t xml:space="preserve"> - Alternative Text
</t>
    </r>
    <r>
      <rPr>
        <b/>
        <sz val="10"/>
        <color theme="1"/>
        <rFont val="Calibri"/>
        <family val="2"/>
        <scheme val="minor"/>
      </rPr>
      <t>audioDescription</t>
    </r>
    <r>
      <rPr>
        <sz val="10"/>
        <color theme="1"/>
        <rFont val="Calibri"/>
        <family val="2"/>
        <scheme val="minor"/>
      </rPr>
      <t xml:space="preserve"> - Audio Description
</t>
    </r>
    <r>
      <rPr>
        <b/>
        <sz val="10"/>
        <color theme="1"/>
        <rFont val="Calibri"/>
        <family val="2"/>
        <scheme val="minor"/>
      </rPr>
      <t>braille</t>
    </r>
    <r>
      <rPr>
        <sz val="10"/>
        <color theme="1"/>
        <rFont val="Calibri"/>
        <family val="2"/>
        <scheme val="minor"/>
      </rPr>
      <t xml:space="preserve"> - Braille
</t>
    </r>
    <r>
      <rPr>
        <b/>
        <sz val="10"/>
        <color theme="1"/>
        <rFont val="Calibri"/>
        <family val="2"/>
        <scheme val="minor"/>
      </rPr>
      <t>captions</t>
    </r>
    <r>
      <rPr>
        <sz val="10"/>
        <color theme="1"/>
        <rFont val="Calibri"/>
        <family val="2"/>
        <scheme val="minor"/>
      </rPr>
      <t xml:space="preserve"> - Captions
</t>
    </r>
    <r>
      <rPr>
        <b/>
        <sz val="10"/>
        <color theme="1"/>
        <rFont val="Calibri"/>
        <family val="2"/>
        <scheme val="minor"/>
      </rPr>
      <t>ChemML</t>
    </r>
    <r>
      <rPr>
        <sz val="10"/>
        <color theme="1"/>
        <rFont val="Calibri"/>
        <family val="2"/>
        <scheme val="minor"/>
      </rPr>
      <t xml:space="preserve"> - Chem M L
</t>
    </r>
    <r>
      <rPr>
        <b/>
        <sz val="10"/>
        <color theme="1"/>
        <rFont val="Calibri"/>
        <family val="2"/>
        <scheme val="minor"/>
      </rPr>
      <t>describedMath</t>
    </r>
    <r>
      <rPr>
        <sz val="10"/>
        <color theme="1"/>
        <rFont val="Calibri"/>
        <family val="2"/>
        <scheme val="minor"/>
      </rPr>
      <t xml:space="preserve"> - Described Math
</t>
    </r>
    <r>
      <rPr>
        <b/>
        <sz val="10"/>
        <color theme="1"/>
        <rFont val="Calibri"/>
        <family val="2"/>
        <scheme val="minor"/>
      </rPr>
      <t>displayTransformability</t>
    </r>
    <r>
      <rPr>
        <sz val="10"/>
        <color theme="1"/>
        <rFont val="Calibri"/>
        <family val="2"/>
        <scheme val="minor"/>
      </rPr>
      <t xml:space="preserve"> - Display Transformability
</t>
    </r>
    <r>
      <rPr>
        <b/>
        <sz val="10"/>
        <color theme="1"/>
        <rFont val="Calibri"/>
        <family val="2"/>
        <scheme val="minor"/>
      </rPr>
      <t>haptic</t>
    </r>
    <r>
      <rPr>
        <sz val="10"/>
        <color theme="1"/>
        <rFont val="Calibri"/>
        <family val="2"/>
        <scheme val="minor"/>
      </rPr>
      <t xml:space="preserve"> - Haptic
</t>
    </r>
    <r>
      <rPr>
        <b/>
        <sz val="10"/>
        <color theme="1"/>
        <rFont val="Calibri"/>
        <family val="2"/>
        <scheme val="minor"/>
      </rPr>
      <t>highContrast</t>
    </r>
    <r>
      <rPr>
        <sz val="10"/>
        <color theme="1"/>
        <rFont val="Calibri"/>
        <family val="2"/>
        <scheme val="minor"/>
      </rPr>
      <t xml:space="preserve"> - High Contrast
</t>
    </r>
    <r>
      <rPr>
        <b/>
        <sz val="10"/>
        <color theme="1"/>
        <rFont val="Calibri"/>
        <family val="2"/>
        <scheme val="minor"/>
      </rPr>
      <t>largePrint</t>
    </r>
    <r>
      <rPr>
        <sz val="10"/>
        <color theme="1"/>
        <rFont val="Calibri"/>
        <family val="2"/>
        <scheme val="minor"/>
      </rPr>
      <t xml:space="preserve"> - Large Print
</t>
    </r>
    <r>
      <rPr>
        <b/>
        <sz val="10"/>
        <color theme="1"/>
        <rFont val="Calibri"/>
        <family val="2"/>
        <scheme val="minor"/>
      </rPr>
      <t>latex</t>
    </r>
    <r>
      <rPr>
        <sz val="10"/>
        <color theme="1"/>
        <rFont val="Calibri"/>
        <family val="2"/>
        <scheme val="minor"/>
      </rPr>
      <t xml:space="preserve"> - Latex
</t>
    </r>
    <r>
      <rPr>
        <b/>
        <sz val="10"/>
        <color theme="1"/>
        <rFont val="Calibri"/>
        <family val="2"/>
        <scheme val="minor"/>
      </rPr>
      <t>longDescription</t>
    </r>
    <r>
      <rPr>
        <sz val="10"/>
        <color theme="1"/>
        <rFont val="Calibri"/>
        <family val="2"/>
        <scheme val="minor"/>
      </rPr>
      <t xml:space="preserve"> - Long Description
</t>
    </r>
    <r>
      <rPr>
        <b/>
        <sz val="10"/>
        <color theme="1"/>
        <rFont val="Calibri"/>
        <family val="2"/>
        <scheme val="minor"/>
      </rPr>
      <t>MathML</t>
    </r>
    <r>
      <rPr>
        <sz val="10"/>
        <color theme="1"/>
        <rFont val="Calibri"/>
        <family val="2"/>
        <scheme val="minor"/>
      </rPr>
      <t xml:space="preserve"> - Math M L
</t>
    </r>
    <r>
      <rPr>
        <b/>
        <sz val="10"/>
        <color theme="1"/>
        <rFont val="Calibri"/>
        <family val="2"/>
        <scheme val="minor"/>
      </rPr>
      <t>musicBraille</t>
    </r>
    <r>
      <rPr>
        <sz val="10"/>
        <color theme="1"/>
        <rFont val="Calibri"/>
        <family val="2"/>
        <scheme val="minor"/>
      </rPr>
      <t xml:space="preserve"> - Music Braille
</t>
    </r>
    <r>
      <rPr>
        <b/>
        <sz val="10"/>
        <color theme="1"/>
        <rFont val="Calibri"/>
        <family val="2"/>
        <scheme val="minor"/>
      </rPr>
      <t>nemethBraille</t>
    </r>
    <r>
      <rPr>
        <sz val="10"/>
        <color theme="1"/>
        <rFont val="Calibri"/>
        <family val="2"/>
        <scheme val="minor"/>
      </rPr>
      <t xml:space="preserve"> - Nemeth Braille
</t>
    </r>
    <r>
      <rPr>
        <b/>
        <sz val="10"/>
        <color theme="1"/>
        <rFont val="Calibri"/>
        <family val="2"/>
        <scheme val="minor"/>
      </rPr>
      <t>signLanguage</t>
    </r>
    <r>
      <rPr>
        <sz val="10"/>
        <color theme="1"/>
        <rFont val="Calibri"/>
        <family val="2"/>
        <scheme val="minor"/>
      </rPr>
      <t xml:space="preserve"> - Sign Language
</t>
    </r>
    <r>
      <rPr>
        <b/>
        <sz val="10"/>
        <color theme="1"/>
        <rFont val="Calibri"/>
        <family val="2"/>
        <scheme val="minor"/>
      </rPr>
      <t>structuralNavigation</t>
    </r>
    <r>
      <rPr>
        <sz val="10"/>
        <color theme="1"/>
        <rFont val="Calibri"/>
        <family val="2"/>
        <scheme val="minor"/>
      </rPr>
      <t xml:space="preserve"> - Structural Navigation
</t>
    </r>
    <r>
      <rPr>
        <b/>
        <sz val="10"/>
        <color theme="1"/>
        <rFont val="Calibri"/>
        <family val="2"/>
        <scheme val="minor"/>
      </rPr>
      <t>tactileGraphics</t>
    </r>
    <r>
      <rPr>
        <sz val="10"/>
        <color theme="1"/>
        <rFont val="Calibri"/>
        <family val="2"/>
        <scheme val="minor"/>
      </rPr>
      <t xml:space="preserve"> - Tactile Graphics
</t>
    </r>
    <r>
      <rPr>
        <b/>
        <sz val="10"/>
        <color theme="1"/>
        <rFont val="Calibri"/>
        <family val="2"/>
        <scheme val="minor"/>
      </rPr>
      <t>tactileObject</t>
    </r>
    <r>
      <rPr>
        <sz val="10"/>
        <color theme="1"/>
        <rFont val="Calibri"/>
        <family val="2"/>
        <scheme val="minor"/>
      </rPr>
      <t xml:space="preserve"> - Tactile Object
</t>
    </r>
    <r>
      <rPr>
        <b/>
        <sz val="10"/>
        <color theme="1"/>
        <rFont val="Calibri"/>
        <family val="2"/>
        <scheme val="minor"/>
      </rPr>
      <t>transcript</t>
    </r>
    <r>
      <rPr>
        <sz val="10"/>
        <color theme="1"/>
        <rFont val="Calibri"/>
        <family val="2"/>
        <scheme val="minor"/>
      </rPr>
      <t xml:space="preserve"> - Transcript
</t>
    </r>
  </si>
  <si>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</si>
  <si>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</si>
  <si>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</si>
  <si>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</si>
  <si>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</si>
  <si>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Learning Resources -&gt; Learning Resource -&gt; Peer Rating</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</si>
  <si>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</si>
  <si>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</si>
  <si>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</si>
  <si>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</si>
  <si>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</si>
  <si>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</si>
  <si>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</si>
  <si>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</si>
  <si>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r>
      <t>AudioCD</t>
    </r>
    <r>
      <rPr>
        <sz val="10"/>
        <color theme="1"/>
        <rFont val="Calibri"/>
        <family val="2"/>
        <scheme val="minor"/>
      </rPr>
      <t xml:space="preserve"> - Audio CD
</t>
    </r>
    <r>
      <rPr>
        <b/>
        <sz val="10"/>
        <color theme="1"/>
        <rFont val="Calibri"/>
        <family val="2"/>
        <scheme val="minor"/>
      </rPr>
      <t>Audiotape</t>
    </r>
    <r>
      <rPr>
        <sz val="10"/>
        <color theme="1"/>
        <rFont val="Calibri"/>
        <family val="2"/>
        <scheme val="minor"/>
      </rPr>
      <t xml:space="preserve"> - Audiotape
</t>
    </r>
    <r>
      <rPr>
        <b/>
        <sz val="10"/>
        <color theme="1"/>
        <rFont val="Calibri"/>
        <family val="2"/>
        <scheme val="minor"/>
      </rPr>
      <t>Calculator</t>
    </r>
    <r>
      <rPr>
        <sz val="10"/>
        <color theme="1"/>
        <rFont val="Calibri"/>
        <family val="2"/>
        <scheme val="minor"/>
      </rPr>
      <t xml:space="preserve"> - Calculator
</t>
    </r>
    <r>
      <rPr>
        <b/>
        <sz val="10"/>
        <color theme="1"/>
        <rFont val="Calibri"/>
        <family val="2"/>
        <scheme val="minor"/>
      </rPr>
      <t>CD-I</t>
    </r>
    <r>
      <rPr>
        <sz val="10"/>
        <color theme="1"/>
        <rFont val="Calibri"/>
        <family val="2"/>
        <scheme val="minor"/>
      </rPr>
      <t xml:space="preserve"> - CD-I
</t>
    </r>
    <r>
      <rPr>
        <b/>
        <sz val="10"/>
        <color theme="1"/>
        <rFont val="Calibri"/>
        <family val="2"/>
        <scheme val="minor"/>
      </rPr>
      <t>CD-ROM</t>
    </r>
    <r>
      <rPr>
        <sz val="10"/>
        <color theme="1"/>
        <rFont val="Calibri"/>
        <family val="2"/>
        <scheme val="minor"/>
      </rPr>
      <t xml:space="preserve"> - CD-ROM
</t>
    </r>
    <r>
      <rPr>
        <b/>
        <sz val="10"/>
        <color theme="1"/>
        <rFont val="Calibri"/>
        <family val="2"/>
        <scheme val="minor"/>
      </rPr>
      <t>Diskette</t>
    </r>
    <r>
      <rPr>
        <sz val="10"/>
        <color theme="1"/>
        <rFont val="Calibri"/>
        <family val="2"/>
        <scheme val="minor"/>
      </rPr>
      <t xml:space="preserve"> - Diskette
</t>
    </r>
    <r>
      <rPr>
        <b/>
        <sz val="10"/>
        <color theme="1"/>
        <rFont val="Calibri"/>
        <family val="2"/>
        <scheme val="minor"/>
      </rPr>
      <t>DuplicationMaster</t>
    </r>
    <r>
      <rPr>
        <sz val="10"/>
        <color theme="1"/>
        <rFont val="Calibri"/>
        <family val="2"/>
        <scheme val="minor"/>
      </rPr>
      <t xml:space="preserve"> - Duplication Master
</t>
    </r>
    <r>
      <rPr>
        <b/>
        <sz val="10"/>
        <color theme="1"/>
        <rFont val="Calibri"/>
        <family val="2"/>
        <scheme val="minor"/>
      </rPr>
      <t>DVD</t>
    </r>
    <r>
      <rPr>
        <sz val="10"/>
        <color theme="1"/>
        <rFont val="Calibri"/>
        <family val="2"/>
        <scheme val="minor"/>
      </rPr>
      <t xml:space="preserve"> - DVD/ Blu-ray
</t>
    </r>
    <r>
      <rPr>
        <b/>
        <sz val="10"/>
        <color theme="1"/>
        <rFont val="Calibri"/>
        <family val="2"/>
        <scheme val="minor"/>
      </rPr>
      <t>E-Mail</t>
    </r>
    <r>
      <rPr>
        <sz val="10"/>
        <color theme="1"/>
        <rFont val="Calibri"/>
        <family val="2"/>
        <scheme val="minor"/>
      </rPr>
      <t xml:space="preserve"> - E-Mail
</t>
    </r>
    <r>
      <rPr>
        <b/>
        <sz val="10"/>
        <color theme="1"/>
        <rFont val="Calibri"/>
        <family val="2"/>
        <scheme val="minor"/>
      </rPr>
      <t>ElectronicSlides</t>
    </r>
    <r>
      <rPr>
        <sz val="10"/>
        <color theme="1"/>
        <rFont val="Calibri"/>
        <family val="2"/>
        <scheme val="minor"/>
      </rPr>
      <t xml:space="preserve"> - Electronic Slides
</t>
    </r>
    <r>
      <rPr>
        <b/>
        <sz val="10"/>
        <color theme="1"/>
        <rFont val="Calibri"/>
        <family val="2"/>
        <scheme val="minor"/>
      </rPr>
      <t>FieldTrip</t>
    </r>
    <r>
      <rPr>
        <sz val="10"/>
        <color theme="1"/>
        <rFont val="Calibri"/>
        <family val="2"/>
        <scheme val="minor"/>
      </rPr>
      <t xml:space="preserve"> - Field Trip
</t>
    </r>
    <r>
      <rPr>
        <b/>
        <sz val="10"/>
        <color theme="1"/>
        <rFont val="Calibri"/>
        <family val="2"/>
        <scheme val="minor"/>
      </rPr>
      <t>Filmstrip</t>
    </r>
    <r>
      <rPr>
        <sz val="10"/>
        <color theme="1"/>
        <rFont val="Calibri"/>
        <family val="2"/>
        <scheme val="minor"/>
      </rPr>
      <t xml:space="preserve"> - Filmstrip
</t>
    </r>
    <r>
      <rPr>
        <b/>
        <sz val="10"/>
        <color theme="1"/>
        <rFont val="Calibri"/>
        <family val="2"/>
        <scheme val="minor"/>
      </rPr>
      <t>Flash</t>
    </r>
    <r>
      <rPr>
        <sz val="10"/>
        <color theme="1"/>
        <rFont val="Calibri"/>
        <family val="2"/>
        <scheme val="minor"/>
      </rPr>
      <t xml:space="preserve"> - Flash
</t>
    </r>
    <r>
      <rPr>
        <b/>
        <sz val="10"/>
        <color theme="1"/>
        <rFont val="Calibri"/>
        <family val="2"/>
        <scheme val="minor"/>
      </rPr>
      <t>Image</t>
    </r>
    <r>
      <rPr>
        <sz val="10"/>
        <color theme="1"/>
        <rFont val="Calibri"/>
        <family val="2"/>
        <scheme val="minor"/>
      </rPr>
      <t xml:space="preserve"> - Image
</t>
    </r>
    <r>
      <rPr>
        <b/>
        <sz val="10"/>
        <color theme="1"/>
        <rFont val="Calibri"/>
        <family val="2"/>
        <scheme val="minor"/>
      </rPr>
      <t>In-Person</t>
    </r>
    <r>
      <rPr>
        <sz val="10"/>
        <color theme="1"/>
        <rFont val="Calibri"/>
        <family val="2"/>
        <scheme val="minor"/>
      </rPr>
      <t xml:space="preserve"> - In-Person/Speaker
</t>
    </r>
    <r>
      <rPr>
        <b/>
        <sz val="10"/>
        <color theme="1"/>
        <rFont val="Calibri"/>
        <family val="2"/>
        <scheme val="minor"/>
      </rPr>
      <t>InteractiveWhiteboard</t>
    </r>
    <r>
      <rPr>
        <sz val="10"/>
        <color theme="1"/>
        <rFont val="Calibri"/>
        <family val="2"/>
        <scheme val="minor"/>
      </rPr>
      <t xml:space="preserve"> - Interactive Whiteboard
</t>
    </r>
    <r>
      <rPr>
        <b/>
        <sz val="10"/>
        <color theme="1"/>
        <rFont val="Calibri"/>
        <family val="2"/>
        <scheme val="minor"/>
      </rPr>
      <t>Manipulative</t>
    </r>
    <r>
      <rPr>
        <sz val="10"/>
        <color theme="1"/>
        <rFont val="Calibri"/>
        <family val="2"/>
        <scheme val="minor"/>
      </rPr>
      <t xml:space="preserve"> - Manipulative
</t>
    </r>
    <r>
      <rPr>
        <b/>
        <sz val="10"/>
        <color theme="1"/>
        <rFont val="Calibri"/>
        <family val="2"/>
        <scheme val="minor"/>
      </rPr>
      <t>MBL</t>
    </r>
    <r>
      <rPr>
        <sz val="10"/>
        <color theme="1"/>
        <rFont val="Calibri"/>
        <family val="2"/>
        <scheme val="minor"/>
      </rPr>
      <t xml:space="preserve"> - MBL (Microcomputer Based)
</t>
    </r>
    <r>
      <rPr>
        <b/>
        <sz val="10"/>
        <color theme="1"/>
        <rFont val="Calibri"/>
        <family val="2"/>
        <scheme val="minor"/>
      </rPr>
      <t>Microfiche</t>
    </r>
    <r>
      <rPr>
        <sz val="10"/>
        <color theme="1"/>
        <rFont val="Calibri"/>
        <family val="2"/>
        <scheme val="minor"/>
      </rPr>
      <t xml:space="preserve"> - Microfiche
</t>
    </r>
    <r>
      <rPr>
        <b/>
        <sz val="10"/>
        <color theme="1"/>
        <rFont val="Calibri"/>
        <family val="2"/>
        <scheme val="minor"/>
      </rPr>
      <t>Overhead</t>
    </r>
    <r>
      <rPr>
        <sz val="10"/>
        <color theme="1"/>
        <rFont val="Calibri"/>
        <family val="2"/>
        <scheme val="minor"/>
      </rPr>
      <t xml:space="preserve"> - Overhead
</t>
    </r>
    <r>
      <rPr>
        <b/>
        <sz val="10"/>
        <color theme="1"/>
        <rFont val="Calibri"/>
        <family val="2"/>
        <scheme val="minor"/>
      </rPr>
      <t>Pamphlet</t>
    </r>
    <r>
      <rPr>
        <sz val="10"/>
        <color theme="1"/>
        <rFont val="Calibri"/>
        <family val="2"/>
        <scheme val="minor"/>
      </rPr>
      <t xml:space="preserve"> - Pamphlet
</t>
    </r>
    <r>
      <rPr>
        <b/>
        <sz val="10"/>
        <color theme="1"/>
        <rFont val="Calibri"/>
        <family val="2"/>
        <scheme val="minor"/>
      </rPr>
      <t>PDF</t>
    </r>
    <r>
      <rPr>
        <sz val="10"/>
        <color theme="1"/>
        <rFont val="Calibri"/>
        <family val="2"/>
        <scheme val="minor"/>
      </rPr>
      <t xml:space="preserve"> - PDF
</t>
    </r>
    <r>
      <rPr>
        <b/>
        <sz val="10"/>
        <color theme="1"/>
        <rFont val="Calibri"/>
        <family val="2"/>
        <scheme val="minor"/>
      </rPr>
      <t>Person-to-Person</t>
    </r>
    <r>
      <rPr>
        <sz val="10"/>
        <color theme="1"/>
        <rFont val="Calibri"/>
        <family val="2"/>
        <scheme val="minor"/>
      </rPr>
      <t xml:space="preserve"> - Person-to-Person
</t>
    </r>
    <r>
      <rPr>
        <b/>
        <sz val="10"/>
        <color theme="1"/>
        <rFont val="Calibri"/>
        <family val="2"/>
        <scheme val="minor"/>
      </rPr>
      <t>PhonographRecord</t>
    </r>
    <r>
      <rPr>
        <sz val="10"/>
        <color theme="1"/>
        <rFont val="Calibri"/>
        <family val="2"/>
        <scheme val="minor"/>
      </rPr>
      <t xml:space="preserve"> - Phonograph Record
</t>
    </r>
    <r>
      <rPr>
        <b/>
        <sz val="10"/>
        <color theme="1"/>
        <rFont val="Calibri"/>
        <family val="2"/>
        <scheme val="minor"/>
      </rPr>
      <t>Photo</t>
    </r>
    <r>
      <rPr>
        <sz val="10"/>
        <color theme="1"/>
        <rFont val="Calibri"/>
        <family val="2"/>
        <scheme val="minor"/>
      </rPr>
      <t xml:space="preserve"> - Photo
</t>
    </r>
    <r>
      <rPr>
        <b/>
        <sz val="10"/>
        <color theme="1"/>
        <rFont val="Calibri"/>
        <family val="2"/>
        <scheme val="minor"/>
      </rPr>
      <t>Podcast</t>
    </r>
    <r>
      <rPr>
        <sz val="10"/>
        <color theme="1"/>
        <rFont val="Calibri"/>
        <family val="2"/>
        <scheme val="minor"/>
      </rPr>
      <t xml:space="preserve"> - Podcast
</t>
    </r>
    <r>
      <rPr>
        <b/>
        <sz val="10"/>
        <color theme="1"/>
        <rFont val="Calibri"/>
        <family val="2"/>
        <scheme val="minor"/>
      </rPr>
      <t>Printed</t>
    </r>
    <r>
      <rPr>
        <sz val="10"/>
        <color theme="1"/>
        <rFont val="Calibri"/>
        <family val="2"/>
        <scheme val="minor"/>
      </rPr>
      <t xml:space="preserve"> - Printed
</t>
    </r>
    <r>
      <rPr>
        <b/>
        <sz val="10"/>
        <color theme="1"/>
        <rFont val="Calibri"/>
        <family val="2"/>
        <scheme val="minor"/>
      </rPr>
      <t>Radio</t>
    </r>
    <r>
      <rPr>
        <sz val="10"/>
        <color theme="1"/>
        <rFont val="Calibri"/>
        <family val="2"/>
        <scheme val="minor"/>
      </rPr>
      <t xml:space="preserve"> - Radio
</t>
    </r>
    <r>
      <rPr>
        <b/>
        <sz val="10"/>
        <color theme="1"/>
        <rFont val="Calibri"/>
        <family val="2"/>
        <scheme val="minor"/>
      </rPr>
      <t>Robotics</t>
    </r>
    <r>
      <rPr>
        <sz val="10"/>
        <color theme="1"/>
        <rFont val="Calibri"/>
        <family val="2"/>
        <scheme val="minor"/>
      </rPr>
      <t xml:space="preserve"> - Robotics
</t>
    </r>
    <r>
      <rPr>
        <b/>
        <sz val="10"/>
        <color theme="1"/>
        <rFont val="Calibri"/>
        <family val="2"/>
        <scheme val="minor"/>
      </rPr>
      <t>Satellite</t>
    </r>
    <r>
      <rPr>
        <sz val="10"/>
        <color theme="1"/>
        <rFont val="Calibri"/>
        <family val="2"/>
        <scheme val="minor"/>
      </rPr>
      <t xml:space="preserve"> - Satellite
</t>
    </r>
    <r>
      <rPr>
        <b/>
        <sz val="10"/>
        <color theme="1"/>
        <rFont val="Calibri"/>
        <family val="2"/>
        <scheme val="minor"/>
      </rPr>
      <t>Slides</t>
    </r>
    <r>
      <rPr>
        <sz val="10"/>
        <color theme="1"/>
        <rFont val="Calibri"/>
        <family val="2"/>
        <scheme val="minor"/>
      </rPr>
      <t xml:space="preserve"> - Slides
</t>
    </r>
    <r>
      <rPr>
        <b/>
        <sz val="10"/>
        <color theme="1"/>
        <rFont val="Calibri"/>
        <family val="2"/>
        <scheme val="minor"/>
      </rPr>
      <t>Television</t>
    </r>
    <r>
      <rPr>
        <sz val="10"/>
        <color theme="1"/>
        <rFont val="Calibri"/>
        <family val="2"/>
        <scheme val="minor"/>
      </rPr>
      <t xml:space="preserve"> - Television
</t>
    </r>
    <r>
      <rPr>
        <b/>
        <sz val="10"/>
        <color theme="1"/>
        <rFont val="Calibri"/>
        <family val="2"/>
        <scheme val="minor"/>
      </rPr>
      <t>Transparency</t>
    </r>
    <r>
      <rPr>
        <sz val="10"/>
        <color theme="1"/>
        <rFont val="Calibri"/>
        <family val="2"/>
        <scheme val="minor"/>
      </rPr>
      <t xml:space="preserve"> - Transparency
</t>
    </r>
    <r>
      <rPr>
        <b/>
        <sz val="10"/>
        <color theme="1"/>
        <rFont val="Calibri"/>
        <family val="2"/>
        <scheme val="minor"/>
      </rPr>
      <t>VideoConference</t>
    </r>
    <r>
      <rPr>
        <sz val="10"/>
        <color theme="1"/>
        <rFont val="Calibri"/>
        <family val="2"/>
        <scheme val="minor"/>
      </rPr>
      <t xml:space="preserve"> - Video Conference
</t>
    </r>
    <r>
      <rPr>
        <b/>
        <sz val="10"/>
        <color theme="1"/>
        <rFont val="Calibri"/>
        <family val="2"/>
        <scheme val="minor"/>
      </rPr>
      <t>Videodisc</t>
    </r>
    <r>
      <rPr>
        <sz val="10"/>
        <color theme="1"/>
        <rFont val="Calibri"/>
        <family val="2"/>
        <scheme val="minor"/>
      </rPr>
      <t xml:space="preserve"> - Videodisc
</t>
    </r>
  </si>
  <si>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</si>
  <si>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</si>
  <si>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</si>
  <si>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</si>
  <si>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</si>
  <si>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</si>
  <si>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</si>
  <si>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</si>
  <si>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</si>
  <si>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</si>
  <si>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</si>
  <si>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</si>
  <si>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</si>
  <si>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</si>
  <si>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</si>
  <si>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</si>
  <si>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</si>
  <si>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</si>
  <si>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</si>
  <si>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</si>
  <si>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</si>
  <si>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000914</t>
  </si>
  <si>
    <t>LearningResourceSubjectCode</t>
  </si>
  <si>
    <t>Learning Resource Subject Code System</t>
  </si>
  <si>
    <t>The system that is used to identify the organization of subject matter and related learning experiences addressed by the learning resource.</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</si>
  <si>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</si>
  <si>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</si>
  <si>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</si>
  <si>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</si>
  <si>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</si>
  <si>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</si>
  <si>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</si>
  <si>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</si>
  <si>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</si>
  <si>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</si>
  <si>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</si>
  <si>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</si>
  <si>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</si>
  <si>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</si>
  <si>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</si>
  <si>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</si>
  <si>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</si>
  <si>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</si>
  <si>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</si>
  <si>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</si>
  <si>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</si>
  <si>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</si>
  <si>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</si>
  <si>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</si>
  <si>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</si>
  <si>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r>
      <t>AlternateAssessment</t>
    </r>
    <r>
      <rPr>
        <sz val="10"/>
        <color theme="1"/>
        <rFont val="Calibri"/>
        <family val="2"/>
        <scheme val="minor"/>
      </rPr>
      <t xml:space="preserve"> - Alternate Assessment
</t>
    </r>
    <r>
      <rPr>
        <b/>
        <sz val="10"/>
        <color theme="1"/>
        <rFont val="Calibri"/>
        <family val="2"/>
        <scheme val="minor"/>
      </rPr>
      <t>AssessmentItem</t>
    </r>
    <r>
      <rPr>
        <sz val="10"/>
        <color theme="1"/>
        <rFont val="Calibri"/>
        <family val="2"/>
        <scheme val="minor"/>
      </rPr>
      <t xml:space="preserve"> - Assessment Item
</t>
    </r>
    <r>
      <rPr>
        <b/>
        <sz val="10"/>
        <color theme="1"/>
        <rFont val="Calibri"/>
        <family val="2"/>
        <scheme val="minor"/>
      </rPr>
      <t>Course</t>
    </r>
    <r>
      <rPr>
        <sz val="10"/>
        <color theme="1"/>
        <rFont val="Calibri"/>
        <family val="2"/>
        <scheme val="minor"/>
      </rPr>
      <t xml:space="preserve"> - Course
</t>
    </r>
    <r>
      <rPr>
        <b/>
        <sz val="10"/>
        <color theme="1"/>
        <rFont val="Calibri"/>
        <family val="2"/>
        <scheme val="minor"/>
      </rPr>
      <t>DemonstrationSimulation</t>
    </r>
    <r>
      <rPr>
        <sz val="10"/>
        <color theme="1"/>
        <rFont val="Calibri"/>
        <family val="2"/>
        <scheme val="minor"/>
      </rPr>
      <t xml:space="preserve"> - Demonstration/Simulation
</t>
    </r>
    <r>
      <rPr>
        <b/>
        <sz val="10"/>
        <color theme="1"/>
        <rFont val="Calibri"/>
        <family val="2"/>
        <scheme val="minor"/>
      </rPr>
      <t>EducatorCurriculumGuide</t>
    </r>
    <r>
      <rPr>
        <sz val="10"/>
        <color theme="1"/>
        <rFont val="Calibri"/>
        <family val="2"/>
        <scheme val="minor"/>
      </rPr>
      <t xml:space="preserve"> - Educator/Curriculum Guide
</t>
    </r>
    <r>
      <rPr>
        <b/>
        <sz val="10"/>
        <color theme="1"/>
        <rFont val="Calibri"/>
        <family val="2"/>
        <scheme val="minor"/>
      </rPr>
      <t>FormativeAssessment</t>
    </r>
    <r>
      <rPr>
        <sz val="10"/>
        <color theme="1"/>
        <rFont val="Calibri"/>
        <family val="2"/>
        <scheme val="minor"/>
      </rPr>
      <t xml:space="preserve"> - Formative assessment
</t>
    </r>
    <r>
      <rPr>
        <b/>
        <sz val="10"/>
        <color theme="1"/>
        <rFont val="Calibri"/>
        <family val="2"/>
        <scheme val="minor"/>
      </rPr>
      <t>ImagesVisuals</t>
    </r>
    <r>
      <rPr>
        <sz val="10"/>
        <color theme="1"/>
        <rFont val="Calibri"/>
        <family val="2"/>
        <scheme val="minor"/>
      </rPr>
      <t xml:space="preserve"> - Images/Visuals
</t>
    </r>
    <r>
      <rPr>
        <b/>
        <sz val="10"/>
        <color theme="1"/>
        <rFont val="Calibri"/>
        <family val="2"/>
        <scheme val="minor"/>
      </rPr>
      <t>InterimSummativeAssessment</t>
    </r>
    <r>
      <rPr>
        <sz val="10"/>
        <color theme="1"/>
        <rFont val="Calibri"/>
        <family val="2"/>
        <scheme val="minor"/>
      </rPr>
      <t xml:space="preserve"> - Interim/Summative Assessment
</t>
    </r>
    <r>
      <rPr>
        <b/>
        <sz val="10"/>
        <color theme="1"/>
        <rFont val="Calibri"/>
        <family val="2"/>
        <scheme val="minor"/>
      </rPr>
      <t>LearningActivity</t>
    </r>
    <r>
      <rPr>
        <sz val="10"/>
        <color theme="1"/>
        <rFont val="Calibri"/>
        <family val="2"/>
        <scheme val="minor"/>
      </rPr>
      <t xml:space="preserve"> - Learning Activity
</t>
    </r>
    <r>
      <rPr>
        <b/>
        <sz val="10"/>
        <color theme="1"/>
        <rFont val="Calibri"/>
        <family val="2"/>
        <scheme val="minor"/>
      </rPr>
      <t>Lesson</t>
    </r>
    <r>
      <rPr>
        <sz val="10"/>
        <color theme="1"/>
        <rFont val="Calibri"/>
        <family val="2"/>
        <scheme val="minor"/>
      </rPr>
      <t xml:space="preserve"> - Lesson
</t>
    </r>
    <r>
      <rPr>
        <b/>
        <sz val="10"/>
        <color theme="1"/>
        <rFont val="Calibri"/>
        <family val="2"/>
        <scheme val="minor"/>
      </rPr>
      <t>PrimarySource</t>
    </r>
    <r>
      <rPr>
        <sz val="10"/>
        <color theme="1"/>
        <rFont val="Calibri"/>
        <family val="2"/>
        <scheme val="minor"/>
      </rPr>
      <t xml:space="preserve"> - Primary Source
</t>
    </r>
    <r>
      <rPr>
        <b/>
        <sz val="10"/>
        <color theme="1"/>
        <rFont val="Calibri"/>
        <family val="2"/>
        <scheme val="minor"/>
      </rPr>
      <t>RubricScoringGuide</t>
    </r>
    <r>
      <rPr>
        <sz val="10"/>
        <color theme="1"/>
        <rFont val="Calibri"/>
        <family val="2"/>
        <scheme val="minor"/>
      </rPr>
      <t xml:space="preserve"> - Rubric/Scoring Guide
</t>
    </r>
    <r>
      <rPr>
        <b/>
        <sz val="10"/>
        <color theme="1"/>
        <rFont val="Calibri"/>
        <family val="2"/>
        <scheme val="minor"/>
      </rPr>
      <t>SelfAssessment</t>
    </r>
    <r>
      <rPr>
        <sz val="10"/>
        <color theme="1"/>
        <rFont val="Calibri"/>
        <family val="2"/>
        <scheme val="minor"/>
      </rPr>
      <t xml:space="preserve"> - Self Assessment
</t>
    </r>
    <r>
      <rPr>
        <b/>
        <sz val="10"/>
        <color theme="1"/>
        <rFont val="Calibri"/>
        <family val="2"/>
        <scheme val="minor"/>
      </rPr>
      <t>Text</t>
    </r>
    <r>
      <rPr>
        <sz val="10"/>
        <color theme="1"/>
        <rFont val="Calibri"/>
        <family val="2"/>
        <scheme val="minor"/>
      </rPr>
      <t xml:space="preserve"> - Text
</t>
    </r>
    <r>
      <rPr>
        <b/>
        <sz val="10"/>
        <color theme="1"/>
        <rFont val="Calibri"/>
        <family val="2"/>
        <scheme val="minor"/>
      </rPr>
      <t>Textbook</t>
    </r>
    <r>
      <rPr>
        <sz val="10"/>
        <color theme="1"/>
        <rFont val="Calibri"/>
        <family val="2"/>
        <scheme val="minor"/>
      </rPr>
      <t xml:space="preserve"> - Textbook
</t>
    </r>
    <r>
      <rPr>
        <b/>
        <sz val="10"/>
        <color theme="1"/>
        <rFont val="Calibri"/>
        <family val="2"/>
        <scheme val="minor"/>
      </rPr>
      <t>Unit</t>
    </r>
    <r>
      <rPr>
        <sz val="10"/>
        <color theme="1"/>
        <rFont val="Calibri"/>
        <family val="2"/>
        <scheme val="minor"/>
      </rPr>
      <t xml:space="preserve"> - Unit
</t>
    </r>
    <r>
      <rPr>
        <b/>
        <sz val="10"/>
        <color theme="1"/>
        <rFont val="Calibri"/>
        <family val="2"/>
        <scheme val="minor"/>
      </rPr>
      <t>Other</t>
    </r>
    <r>
      <rPr>
        <sz val="10"/>
        <color theme="1"/>
        <rFont val="Calibri"/>
        <family val="2"/>
        <scheme val="minor"/>
      </rPr>
      <t xml:space="preserve"> - Other
</t>
    </r>
  </si>
  <si>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</si>
  <si>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</si>
  <si>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</si>
  <si>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</si>
  <si>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</si>
  <si>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</si>
  <si>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</si>
  <si>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</si>
  <si>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</si>
  <si>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</si>
  <si>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</si>
  <si>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</si>
  <si>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</si>
  <si>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</si>
  <si>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</si>
  <si>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</si>
  <si>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</si>
  <si>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</si>
  <si>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</si>
  <si>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Leave Event Type</t>
  </si>
  <si>
    <t>The type of the leave event.</t>
  </si>
  <si>
    <r>
      <t>Administrative</t>
    </r>
    <r>
      <rPr>
        <sz val="10"/>
        <color theme="1"/>
        <rFont val="Calibri"/>
        <family val="2"/>
        <scheme val="minor"/>
      </rPr>
      <t xml:space="preserve"> - Administrative
</t>
    </r>
    <r>
      <rPr>
        <b/>
        <sz val="10"/>
        <color theme="1"/>
        <rFont val="Calibri"/>
        <family val="2"/>
        <scheme val="minor"/>
      </rPr>
      <t>AnnualLeave</t>
    </r>
    <r>
      <rPr>
        <sz val="10"/>
        <color theme="1"/>
        <rFont val="Calibri"/>
        <family val="2"/>
        <scheme val="minor"/>
      </rPr>
      <t xml:space="preserve"> - Annual leave
</t>
    </r>
    <r>
      <rPr>
        <b/>
        <sz val="10"/>
        <color theme="1"/>
        <rFont val="Calibri"/>
        <family val="2"/>
        <scheme val="minor"/>
      </rPr>
      <t>Bereavement</t>
    </r>
    <r>
      <rPr>
        <sz val="10"/>
        <color theme="1"/>
        <rFont val="Calibri"/>
        <family val="2"/>
        <scheme val="minor"/>
      </rPr>
      <t xml:space="preserve"> - Bereavement
</t>
    </r>
    <r>
      <rPr>
        <b/>
        <sz val="10"/>
        <color theme="1"/>
        <rFont val="Calibri"/>
        <family val="2"/>
        <scheme val="minor"/>
      </rPr>
      <t>CompensatoryLeaveTime</t>
    </r>
    <r>
      <rPr>
        <sz val="10"/>
        <color theme="1"/>
        <rFont val="Calibri"/>
        <family val="2"/>
        <scheme val="minor"/>
      </rPr>
      <t xml:space="preserve"> - Compensatory leave time
</t>
    </r>
    <r>
      <rPr>
        <b/>
        <sz val="10"/>
        <color theme="1"/>
        <rFont val="Calibri"/>
        <family val="2"/>
        <scheme val="minor"/>
      </rPr>
      <t>FamilyAndMedicalLeave</t>
    </r>
    <r>
      <rPr>
        <sz val="10"/>
        <color theme="1"/>
        <rFont val="Calibri"/>
        <family val="2"/>
        <scheme val="minor"/>
      </rPr>
      <t xml:space="preserve"> - Family and medical leave
</t>
    </r>
    <r>
      <rPr>
        <b/>
        <sz val="10"/>
        <color theme="1"/>
        <rFont val="Calibri"/>
        <family val="2"/>
        <scheme val="minor"/>
      </rPr>
      <t>FlexTime</t>
    </r>
    <r>
      <rPr>
        <sz val="10"/>
        <color theme="1"/>
        <rFont val="Calibri"/>
        <family val="2"/>
        <scheme val="minor"/>
      </rPr>
      <t xml:space="preserve"> - Flex time
</t>
    </r>
    <r>
      <rPr>
        <b/>
        <sz val="10"/>
        <color theme="1"/>
        <rFont val="Calibri"/>
        <family val="2"/>
        <scheme val="minor"/>
      </rPr>
      <t>GovernmentRequested</t>
    </r>
    <r>
      <rPr>
        <sz val="10"/>
        <color theme="1"/>
        <rFont val="Calibri"/>
        <family val="2"/>
        <scheme val="minor"/>
      </rPr>
      <t xml:space="preserve"> - Government-requested
</t>
    </r>
    <r>
      <rPr>
        <b/>
        <sz val="10"/>
        <color theme="1"/>
        <rFont val="Calibri"/>
        <family val="2"/>
        <scheme val="minor"/>
      </rPr>
      <t>JuryDuty</t>
    </r>
    <r>
      <rPr>
        <sz val="10"/>
        <color theme="1"/>
        <rFont val="Calibri"/>
        <family val="2"/>
        <scheme val="minor"/>
      </rPr>
      <t xml:space="preserve"> - Jury Duty
</t>
    </r>
    <r>
      <rPr>
        <b/>
        <sz val="10"/>
        <color theme="1"/>
        <rFont val="Calibri"/>
        <family val="2"/>
        <scheme val="minor"/>
      </rPr>
      <t>MilitaryLeave</t>
    </r>
    <r>
      <rPr>
        <sz val="10"/>
        <color theme="1"/>
        <rFont val="Calibri"/>
        <family val="2"/>
        <scheme val="minor"/>
      </rPr>
      <t xml:space="preserve"> - Military leave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Personal</t>
    </r>
    <r>
      <rPr>
        <sz val="10"/>
        <color theme="1"/>
        <rFont val="Calibri"/>
        <family val="2"/>
        <scheme val="minor"/>
      </rPr>
      <t xml:space="preserve"> - Personal
</t>
    </r>
    <r>
      <rPr>
        <b/>
        <sz val="10"/>
        <color theme="1"/>
        <rFont val="Calibri"/>
        <family val="2"/>
        <scheme val="minor"/>
      </rPr>
      <t>ProfessionalDevelopment</t>
    </r>
    <r>
      <rPr>
        <sz val="10"/>
        <color theme="1"/>
        <rFont val="Calibri"/>
        <family val="2"/>
        <scheme val="minor"/>
      </rPr>
      <t xml:space="preserve"> - Professional development
</t>
    </r>
    <r>
      <rPr>
        <b/>
        <sz val="10"/>
        <color theme="1"/>
        <rFont val="Calibri"/>
        <family val="2"/>
        <scheme val="minor"/>
      </rPr>
      <t>ReleaseTime</t>
    </r>
    <r>
      <rPr>
        <sz val="10"/>
        <color theme="1"/>
        <rFont val="Calibri"/>
        <family val="2"/>
        <scheme val="minor"/>
      </rPr>
      <t xml:space="preserve"> - Release time
</t>
    </r>
    <r>
      <rPr>
        <b/>
        <sz val="10"/>
        <color theme="1"/>
        <rFont val="Calibri"/>
        <family val="2"/>
        <scheme val="minor"/>
      </rPr>
      <t>SabbaticalLeave</t>
    </r>
    <r>
      <rPr>
        <sz val="10"/>
        <color theme="1"/>
        <rFont val="Calibri"/>
        <family val="2"/>
        <scheme val="minor"/>
      </rPr>
      <t xml:space="preserve"> - Sabbatical leave
</t>
    </r>
    <r>
      <rPr>
        <b/>
        <sz val="10"/>
        <color theme="1"/>
        <rFont val="Calibri"/>
        <family val="2"/>
        <scheme val="minor"/>
      </rPr>
      <t>SickLeave</t>
    </r>
    <r>
      <rPr>
        <sz val="10"/>
        <color theme="1"/>
        <rFont val="Calibri"/>
        <family val="2"/>
        <scheme val="minor"/>
      </rPr>
      <t xml:space="preserve"> - Sick leave
</t>
    </r>
    <r>
      <rPr>
        <b/>
        <sz val="10"/>
        <color theme="1"/>
        <rFont val="Calibri"/>
        <family val="2"/>
        <scheme val="minor"/>
      </rPr>
      <t>Suspension</t>
    </r>
    <r>
      <rPr>
        <sz val="10"/>
        <color theme="1"/>
        <rFont val="Calibri"/>
        <family val="2"/>
        <scheme val="minor"/>
      </rPr>
      <t xml:space="preserve"> - Suspension
</t>
    </r>
    <r>
      <rPr>
        <b/>
        <sz val="10"/>
        <color theme="1"/>
        <rFont val="Calibri"/>
        <family val="2"/>
        <scheme val="minor"/>
      </rPr>
      <t>WorkersCompensation</t>
    </r>
    <r>
      <rPr>
        <sz val="10"/>
        <color theme="1"/>
        <rFont val="Calibri"/>
        <family val="2"/>
        <scheme val="minor"/>
      </rPr>
      <t xml:space="preserve"> - Workers compensation
</t>
    </r>
  </si>
  <si>
    <t>K12 -&gt; K12 Staff -&gt; Attendance</t>
  </si>
  <si>
    <t>000624</t>
  </si>
  <si>
    <t>LeaveEventType</t>
  </si>
  <si>
    <t>Level of Institution</t>
  </si>
  <si>
    <t>A classification of whether a postsecondary institution's highest level of offering is a program of 4-years or higher (4 year), 2-but-less-than 4-years (2 year), or less than 2-years.</t>
  </si>
  <si>
    <r>
      <t>FourYear</t>
    </r>
    <r>
      <rPr>
        <sz val="10"/>
        <color theme="1"/>
        <rFont val="Calibri"/>
        <family val="2"/>
        <scheme val="minor"/>
      </rPr>
      <t xml:space="preserve"> - Four or more years
</t>
    </r>
    <r>
      <rPr>
        <b/>
        <sz val="10"/>
        <color theme="1"/>
        <rFont val="Calibri"/>
        <family val="2"/>
        <scheme val="minor"/>
      </rPr>
      <t>TwoToFour</t>
    </r>
    <r>
      <rPr>
        <sz val="10"/>
        <color theme="1"/>
        <rFont val="Calibri"/>
        <family val="2"/>
        <scheme val="minor"/>
      </rPr>
      <t xml:space="preserve"> - At least 2 but less than 4 years
</t>
    </r>
    <r>
      <rPr>
        <b/>
        <sz val="10"/>
        <color theme="1"/>
        <rFont val="Calibri"/>
        <family val="2"/>
        <scheme val="minor"/>
      </rPr>
      <t>LessThanTwo</t>
    </r>
    <r>
      <rPr>
        <sz val="10"/>
        <color theme="1"/>
        <rFont val="Calibri"/>
        <family val="2"/>
        <scheme val="minor"/>
      </rPr>
      <t xml:space="preserve"> - Less than 2 years (below associate)
</t>
    </r>
  </si>
  <si>
    <t>Adult Education -&gt; AE Provider
Postsecondary -&gt; PS Institution -&gt; Directory</t>
  </si>
  <si>
    <t>000178</t>
  </si>
  <si>
    <t>LevelOfInstitution</t>
  </si>
  <si>
    <t>Level of Specialization in Early Learning</t>
  </si>
  <si>
    <t>The extent to which a person concentrates upon a particular subject matter area during his or her period of study at an educational institution.</t>
  </si>
  <si>
    <r>
      <t>Major</t>
    </r>
    <r>
      <rPr>
        <sz val="10"/>
        <color theme="1"/>
        <rFont val="Calibri"/>
        <family val="2"/>
        <scheme val="minor"/>
      </rPr>
      <t xml:space="preserve"> - Major
</t>
    </r>
    <r>
      <rPr>
        <b/>
        <sz val="10"/>
        <color theme="1"/>
        <rFont val="Calibri"/>
        <family val="2"/>
        <scheme val="minor"/>
      </rPr>
      <t>Minor</t>
    </r>
    <r>
      <rPr>
        <sz val="10"/>
        <color theme="1"/>
        <rFont val="Calibri"/>
        <family val="2"/>
        <scheme val="minor"/>
      </rPr>
      <t xml:space="preserve"> - Minor
</t>
    </r>
    <r>
      <rPr>
        <b/>
        <sz val="10"/>
        <color theme="1"/>
        <rFont val="Calibri"/>
        <family val="2"/>
        <scheme val="minor"/>
      </rPr>
      <t>AreaOfEmphasis</t>
    </r>
    <r>
      <rPr>
        <sz val="10"/>
        <color theme="1"/>
        <rFont val="Calibri"/>
        <family val="2"/>
        <scheme val="minor"/>
      </rPr>
      <t xml:space="preserve"> - Area of emphasis or concentration
</t>
    </r>
    <r>
      <rPr>
        <b/>
        <sz val="10"/>
        <color theme="1"/>
        <rFont val="Calibri"/>
        <family val="2"/>
        <scheme val="minor"/>
      </rPr>
      <t>PostDegreeStudy</t>
    </r>
    <r>
      <rPr>
        <sz val="10"/>
        <color theme="1"/>
        <rFont val="Calibri"/>
        <family val="2"/>
        <scheme val="minor"/>
      </rPr>
      <t xml:space="preserve"> - Post-degree study
</t>
    </r>
    <r>
      <rPr>
        <b/>
        <sz val="10"/>
        <color theme="1"/>
        <rFont val="Calibri"/>
        <family val="2"/>
        <scheme val="minor"/>
      </rPr>
      <t>AreaOfInterest</t>
    </r>
    <r>
      <rPr>
        <sz val="10"/>
        <color theme="1"/>
        <rFont val="Calibri"/>
        <family val="2"/>
        <scheme val="minor"/>
      </rPr>
      <t xml:space="preserve"> - Area of Interest
</t>
    </r>
  </si>
  <si>
    <t>000341</t>
  </si>
  <si>
    <t>LevelOfSpecializationInEarlyLearning</t>
  </si>
  <si>
    <t>License Exempt</t>
  </si>
  <si>
    <t>The program or center is legally exempt from licensing.</t>
  </si>
  <si>
    <t>000350</t>
  </si>
  <si>
    <t>LicenseExempt</t>
  </si>
  <si>
    <t>Life-cycle Cost</t>
  </si>
  <si>
    <t>The total cost of acquiring, owning, operating, and disposing of a building, facility, or piece of equipment over its useful life.</t>
  </si>
  <si>
    <t>001849</t>
  </si>
  <si>
    <t>Life-cycleCost</t>
  </si>
  <si>
    <t>Limited English Proficiency - Postsecondary</t>
  </si>
  <si>
    <t>The term "individual with limited English proficiency" means a secondary school student, an adult, or an out-of-school youth, who has limited ability in speaking, reading, writing, or understanding the English language AND whose native language is a language other than English; OR who lives in a family or community environment in which a language other than English is the dominant language.</t>
  </si>
  <si>
    <r>
      <t>Yes</t>
    </r>
    <r>
      <rPr>
        <sz val="10"/>
        <color theme="1"/>
        <rFont val="Calibri"/>
        <family val="2"/>
        <scheme val="minor"/>
      </rPr>
      <t xml:space="preserve"> - Currently meets standard for limited English proficiency
</t>
    </r>
    <r>
      <rPr>
        <b/>
        <sz val="10"/>
        <color theme="1"/>
        <rFont val="Calibri"/>
        <family val="2"/>
        <scheme val="minor"/>
      </rPr>
      <t>No</t>
    </r>
    <r>
      <rPr>
        <sz val="10"/>
        <color theme="1"/>
        <rFont val="Calibri"/>
        <family val="2"/>
        <scheme val="minor"/>
      </rPr>
      <t xml:space="preserve"> - Currently does not meet standard for limited English proficiency
</t>
    </r>
    <r>
      <rPr>
        <b/>
        <sz val="10"/>
        <color theme="1"/>
        <rFont val="Calibri"/>
        <family val="2"/>
        <scheme val="minor"/>
      </rPr>
      <t>Ever</t>
    </r>
    <r>
      <rPr>
        <sz val="10"/>
        <color theme="1"/>
        <rFont val="Calibri"/>
        <family val="2"/>
        <scheme val="minor"/>
      </rPr>
      <t xml:space="preserve"> - Ever met standard for limited English proficiency
</t>
    </r>
  </si>
  <si>
    <t>000179</t>
  </si>
  <si>
    <t>LEP - Postsecondary</t>
  </si>
  <si>
    <t>LEPPostsecondary</t>
  </si>
  <si>
    <t>Literacy Assessment Administered Type</t>
  </si>
  <si>
    <t>The type of literacy test administered.</t>
  </si>
  <si>
    <r>
      <t>TABE</t>
    </r>
    <r>
      <rPr>
        <sz val="10"/>
        <color theme="1"/>
        <rFont val="Calibri"/>
        <family val="2"/>
        <scheme val="minor"/>
      </rPr>
      <t xml:space="preserve"> - TABE
</t>
    </r>
    <r>
      <rPr>
        <b/>
        <sz val="10"/>
        <color theme="1"/>
        <rFont val="Calibri"/>
        <family val="2"/>
        <scheme val="minor"/>
      </rPr>
      <t>CASAS</t>
    </r>
    <r>
      <rPr>
        <sz val="10"/>
        <color theme="1"/>
        <rFont val="Calibri"/>
        <family val="2"/>
        <scheme val="minor"/>
      </rPr>
      <t xml:space="preserve"> - CASAS
</t>
    </r>
    <r>
      <rPr>
        <b/>
        <sz val="10"/>
        <color theme="1"/>
        <rFont val="Calibri"/>
        <family val="2"/>
        <scheme val="minor"/>
      </rPr>
      <t>BEST</t>
    </r>
    <r>
      <rPr>
        <sz val="10"/>
        <color theme="1"/>
        <rFont val="Calibri"/>
        <family val="2"/>
        <scheme val="minor"/>
      </rPr>
      <t xml:space="preserve"> - BEST
</t>
    </r>
    <r>
      <rPr>
        <b/>
        <sz val="10"/>
        <color theme="1"/>
        <rFont val="Calibri"/>
        <family val="2"/>
        <scheme val="minor"/>
      </rPr>
      <t>BESTPlus</t>
    </r>
    <r>
      <rPr>
        <sz val="10"/>
        <color theme="1"/>
        <rFont val="Calibri"/>
        <family val="2"/>
        <scheme val="minor"/>
      </rPr>
      <t xml:space="preserve"> - BESTPlus
</t>
    </r>
    <r>
      <rPr>
        <b/>
        <sz val="10"/>
        <color theme="1"/>
        <rFont val="Calibri"/>
        <family val="2"/>
        <scheme val="minor"/>
      </rPr>
      <t>BESTLiteracy</t>
    </r>
    <r>
      <rPr>
        <sz val="10"/>
        <color theme="1"/>
        <rFont val="Calibri"/>
        <family val="2"/>
        <scheme val="minor"/>
      </rPr>
      <t xml:space="preserve"> - BEST Literacy
</t>
    </r>
    <r>
      <rPr>
        <b/>
        <sz val="10"/>
        <color theme="1"/>
        <rFont val="Calibri"/>
        <family val="2"/>
        <scheme val="minor"/>
      </rPr>
      <t>PPVT-III</t>
    </r>
    <r>
      <rPr>
        <sz val="10"/>
        <color theme="1"/>
        <rFont val="Calibri"/>
        <family val="2"/>
        <scheme val="minor"/>
      </rPr>
      <t xml:space="preserve"> - PPVT-III
</t>
    </r>
    <r>
      <rPr>
        <b/>
        <sz val="10"/>
        <color theme="1"/>
        <rFont val="Calibri"/>
        <family val="2"/>
        <scheme val="minor"/>
      </rPr>
      <t>PPVT-IV</t>
    </r>
    <r>
      <rPr>
        <sz val="10"/>
        <color theme="1"/>
        <rFont val="Calibri"/>
        <family val="2"/>
        <scheme val="minor"/>
      </rPr>
      <t xml:space="preserve"> - PPVT-IV
</t>
    </r>
    <r>
      <rPr>
        <b/>
        <sz val="10"/>
        <color theme="1"/>
        <rFont val="Calibri"/>
        <family val="2"/>
        <scheme val="minor"/>
      </rPr>
      <t>TVIP</t>
    </r>
    <r>
      <rPr>
        <sz val="10"/>
        <color theme="1"/>
        <rFont val="Calibri"/>
        <family val="2"/>
        <scheme val="minor"/>
      </rPr>
      <t xml:space="preserve"> - TVIP
</t>
    </r>
    <r>
      <rPr>
        <b/>
        <sz val="10"/>
        <color theme="1"/>
        <rFont val="Calibri"/>
        <family val="2"/>
        <scheme val="minor"/>
      </rPr>
      <t>PALSPreKUpperCase</t>
    </r>
    <r>
      <rPr>
        <sz val="10"/>
        <color theme="1"/>
        <rFont val="Calibri"/>
        <family val="2"/>
        <scheme val="minor"/>
      </rPr>
      <t xml:space="preserve"> - PALS PreK Upper Case
</t>
    </r>
    <r>
      <rPr>
        <b/>
        <sz val="10"/>
        <color theme="1"/>
        <rFont val="Calibri"/>
        <family val="2"/>
        <scheme val="minor"/>
      </rPr>
      <t>PEPScaleI</t>
    </r>
    <r>
      <rPr>
        <sz val="10"/>
        <color theme="1"/>
        <rFont val="Calibri"/>
        <family val="2"/>
        <scheme val="minor"/>
      </rPr>
      <t xml:space="preserve"> - PEP Scale I
</t>
    </r>
    <r>
      <rPr>
        <b/>
        <sz val="10"/>
        <color theme="1"/>
        <rFont val="Calibri"/>
        <family val="2"/>
        <scheme val="minor"/>
      </rPr>
      <t>PEPScaleII</t>
    </r>
    <r>
      <rPr>
        <sz val="10"/>
        <color theme="1"/>
        <rFont val="Calibri"/>
        <family val="2"/>
        <scheme val="minor"/>
      </rPr>
      <t xml:space="preserve"> - PEP Scale II
</t>
    </r>
    <r>
      <rPr>
        <b/>
        <sz val="10"/>
        <color theme="1"/>
        <rFont val="Calibri"/>
        <family val="2"/>
        <scheme val="minor"/>
      </rPr>
      <t>PEPScaleIII</t>
    </r>
    <r>
      <rPr>
        <sz val="10"/>
        <color theme="1"/>
        <rFont val="Calibri"/>
        <family val="2"/>
        <scheme val="minor"/>
      </rPr>
      <t xml:space="preserve"> - PEP Scale III
</t>
    </r>
    <r>
      <rPr>
        <b/>
        <sz val="10"/>
        <color theme="1"/>
        <rFont val="Calibri"/>
        <family val="2"/>
        <scheme val="minor"/>
      </rPr>
      <t>PEPScaleIV</t>
    </r>
    <r>
      <rPr>
        <sz val="10"/>
        <color theme="1"/>
        <rFont val="Calibri"/>
        <family val="2"/>
        <scheme val="minor"/>
      </rPr>
      <t xml:space="preserve"> - PEP Scale IV
</t>
    </r>
    <r>
      <rPr>
        <b/>
        <sz val="10"/>
        <color theme="1"/>
        <rFont val="Calibri"/>
        <family val="2"/>
        <scheme val="minor"/>
      </rPr>
      <t>Other</t>
    </r>
    <r>
      <rPr>
        <sz val="10"/>
        <color theme="1"/>
        <rFont val="Calibri"/>
        <family val="2"/>
        <scheme val="minor"/>
      </rPr>
      <t xml:space="preserve"> - Other
</t>
    </r>
  </si>
  <si>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</si>
  <si>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</si>
  <si>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</si>
  <si>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</si>
  <si>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</si>
  <si>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</si>
  <si>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</si>
  <si>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</si>
  <si>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</si>
  <si>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</si>
  <si>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</si>
  <si>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</si>
  <si>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</si>
  <si>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</si>
  <si>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</si>
  <si>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</si>
  <si>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r>
      <t>FromEligibleProgram</t>
    </r>
    <r>
      <rPr>
        <sz val="10"/>
        <color theme="1"/>
        <rFont val="Calibri"/>
        <family val="2"/>
        <scheme val="minor"/>
      </rPr>
      <t xml:space="preserve"> - From Eligible Program
</t>
    </r>
    <r>
      <rPr>
        <b/>
        <sz val="10"/>
        <color theme="1"/>
        <rFont val="Calibri"/>
        <family val="2"/>
        <scheme val="minor"/>
      </rPr>
      <t>ToEligibleProgram</t>
    </r>
    <r>
      <rPr>
        <sz val="10"/>
        <color theme="1"/>
        <rFont val="Calibri"/>
        <family val="2"/>
        <scheme val="minor"/>
      </rPr>
      <t xml:space="preserve"> - To Eligible Program
</t>
    </r>
  </si>
  <si>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</si>
  <si>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</si>
  <si>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</si>
  <si>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</si>
  <si>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</si>
  <si>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</si>
  <si>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r>
      <t>District</t>
    </r>
    <r>
      <rPr>
        <sz val="10"/>
        <color theme="1"/>
        <rFont val="Calibri"/>
        <family val="2"/>
        <scheme val="minor"/>
      </rPr>
      <t xml:space="preserve"> - District-assigned number
</t>
    </r>
    <r>
      <rPr>
        <b/>
        <sz val="10"/>
        <color theme="1"/>
        <rFont val="Calibri"/>
        <family val="2"/>
        <scheme val="minor"/>
      </rPr>
      <t>ACT</t>
    </r>
    <r>
      <rPr>
        <sz val="10"/>
        <color theme="1"/>
        <rFont val="Calibri"/>
        <family val="2"/>
        <scheme val="minor"/>
      </rPr>
      <t xml:space="preserve"> - College Board/ACT program code set of PK-grade 12 institutions
</t>
    </r>
    <r>
      <rPr>
        <b/>
        <sz val="10"/>
        <color theme="1"/>
        <rFont val="Calibri"/>
        <family val="2"/>
        <scheme val="minor"/>
      </rPr>
      <t>SEA</t>
    </r>
    <r>
      <rPr>
        <sz val="10"/>
        <color theme="1"/>
        <rFont val="Calibri"/>
        <family val="2"/>
        <scheme val="minor"/>
      </rPr>
      <t xml:space="preserve"> - State Education Agency assigned number
</t>
    </r>
    <r>
      <rPr>
        <b/>
        <sz val="10"/>
        <color theme="1"/>
        <rFont val="Calibri"/>
        <family val="2"/>
        <scheme val="minor"/>
      </rPr>
      <t>NCES</t>
    </r>
    <r>
      <rPr>
        <sz val="10"/>
        <color theme="1"/>
        <rFont val="Calibri"/>
        <family val="2"/>
        <scheme val="minor"/>
      </rPr>
      <t xml:space="preserve"> - National Center for Education Statistics assigned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DUNS</t>
    </r>
    <r>
      <rPr>
        <sz val="10"/>
        <color theme="1"/>
        <rFont val="Calibri"/>
        <family val="2"/>
        <scheme val="minor"/>
      </rPr>
      <t xml:space="preserve"> - Dun and Bradstreet number
</t>
    </r>
    <r>
      <rPr>
        <b/>
        <sz val="10"/>
        <color theme="1"/>
        <rFont val="Calibri"/>
        <family val="2"/>
        <scheme val="minor"/>
      </rPr>
      <t>CENSUSID</t>
    </r>
    <r>
      <rPr>
        <sz val="10"/>
        <color theme="1"/>
        <rFont val="Calibri"/>
        <family val="2"/>
        <scheme val="minor"/>
      </rPr>
      <t xml:space="preserve"> - Census Bureau identification code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Other</t>
    </r>
    <r>
      <rPr>
        <sz val="10"/>
        <color theme="1"/>
        <rFont val="Calibri"/>
        <family val="2"/>
        <scheme val="minor"/>
      </rPr>
      <t xml:space="preserve"> - Other
</t>
    </r>
  </si>
  <si>
    <t>Assessments -&gt; Assessment Administration
Assessments -&gt; Assessment Registration
Assessments -&gt; Assessment Session
K12 -&gt; K12 Staff -&gt; Assignment
K12 -&gt; K12 Student -&gt; Enrollment
K12 -&gt; LEA -&gt; Identification
Postsecondary -&gt; PS Student -&gt; K12 Transcript</t>
  </si>
  <si>
    <t>001072</t>
  </si>
  <si>
    <t>LEA Identification System</t>
  </si>
  <si>
    <t>LEAIdentificationSystem</t>
  </si>
  <si>
    <t>K-12 -&gt; High School Feedback Report
K-12 -&gt; High School Generated Transcript
K-12 -&gt; LEA-to-LEA Student Record Exchange
K-12 -&gt; LEA-to-SEA Student Record Exchange
Postsecondary Education -&gt; Transition</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</si>
  <si>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</si>
  <si>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</si>
  <si>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</si>
  <si>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</si>
  <si>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</si>
  <si>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</si>
  <si>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</si>
  <si>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r>
      <t>CorrectiveAction</t>
    </r>
    <r>
      <rPr>
        <sz val="10"/>
        <color theme="1"/>
        <rFont val="Calibri"/>
        <family val="2"/>
        <scheme val="minor"/>
      </rPr>
      <t xml:space="preserve"> - Corrective action
</t>
    </r>
    <r>
      <rPr>
        <b/>
        <sz val="10"/>
        <color theme="1"/>
        <rFont val="Calibri"/>
        <family val="2"/>
        <scheme val="minor"/>
      </rPr>
      <t>Year1</t>
    </r>
    <r>
      <rPr>
        <sz val="10"/>
        <color theme="1"/>
        <rFont val="Calibri"/>
        <family val="2"/>
        <scheme val="minor"/>
      </rPr>
      <t xml:space="preserve"> - Improvement status Year 1
</t>
    </r>
    <r>
      <rPr>
        <b/>
        <sz val="10"/>
        <color theme="1"/>
        <rFont val="Calibri"/>
        <family val="2"/>
        <scheme val="minor"/>
      </rPr>
      <t>Year2</t>
    </r>
    <r>
      <rPr>
        <sz val="10"/>
        <color theme="1"/>
        <rFont val="Calibri"/>
        <family val="2"/>
        <scheme val="minor"/>
      </rPr>
      <t xml:space="preserve"> - Improvement status Year 2
</t>
    </r>
    <r>
      <rPr>
        <b/>
        <sz val="10"/>
        <color theme="1"/>
        <rFont val="Calibri"/>
        <family val="2"/>
        <scheme val="minor"/>
      </rPr>
      <t>NotIdentified</t>
    </r>
    <r>
      <rPr>
        <sz val="10"/>
        <color theme="1"/>
        <rFont val="Calibri"/>
        <family val="2"/>
        <scheme val="minor"/>
      </rPr>
      <t xml:space="preserve"> - Not identified for improvement
</t>
    </r>
  </si>
  <si>
    <t>000173</t>
  </si>
  <si>
    <t>LEA Improvement Status</t>
  </si>
  <si>
    <t>LEAImprovementStatus</t>
  </si>
  <si>
    <t>Local Education Agency Operational Status</t>
  </si>
  <si>
    <t>The classification of the operational condition of a local education agency (LEA) at the start of the school year.</t>
  </si>
  <si>
    <r>
      <t>Open</t>
    </r>
    <r>
      <rPr>
        <sz val="10"/>
        <color theme="1"/>
        <rFont val="Calibri"/>
        <family val="2"/>
        <scheme val="minor"/>
      </rPr>
      <t xml:space="preserve"> - Open
</t>
    </r>
    <r>
      <rPr>
        <b/>
        <sz val="10"/>
        <color theme="1"/>
        <rFont val="Calibri"/>
        <family val="2"/>
        <scheme val="minor"/>
      </rPr>
      <t>Closed</t>
    </r>
    <r>
      <rPr>
        <sz val="10"/>
        <color theme="1"/>
        <rFont val="Calibri"/>
        <family val="2"/>
        <scheme val="minor"/>
      </rPr>
      <t xml:space="preserve"> - Closed
</t>
    </r>
    <r>
      <rPr>
        <b/>
        <sz val="10"/>
        <color theme="1"/>
        <rFont val="Calibri"/>
        <family val="2"/>
        <scheme val="minor"/>
      </rPr>
      <t>New</t>
    </r>
    <r>
      <rPr>
        <sz val="10"/>
        <color theme="1"/>
        <rFont val="Calibri"/>
        <family val="2"/>
        <scheme val="minor"/>
      </rPr>
      <t xml:space="preserve"> - New
</t>
    </r>
    <r>
      <rPr>
        <b/>
        <sz val="10"/>
        <color theme="1"/>
        <rFont val="Calibri"/>
        <family val="2"/>
        <scheme val="minor"/>
      </rPr>
      <t>Added</t>
    </r>
    <r>
      <rPr>
        <sz val="10"/>
        <color theme="1"/>
        <rFont val="Calibri"/>
        <family val="2"/>
        <scheme val="minor"/>
      </rPr>
      <t xml:space="preserve"> - Added
</t>
    </r>
    <r>
      <rPr>
        <b/>
        <sz val="10"/>
        <color theme="1"/>
        <rFont val="Calibri"/>
        <family val="2"/>
        <scheme val="minor"/>
      </rPr>
      <t>ChangedBoundary</t>
    </r>
    <r>
      <rPr>
        <sz val="10"/>
        <color theme="1"/>
        <rFont val="Calibri"/>
        <family val="2"/>
        <scheme val="minor"/>
      </rPr>
      <t xml:space="preserve"> - Changed boundary
</t>
    </r>
    <r>
      <rPr>
        <b/>
        <sz val="10"/>
        <color theme="1"/>
        <rFont val="Calibri"/>
        <family val="2"/>
        <scheme val="minor"/>
      </rPr>
      <t>Inactive</t>
    </r>
    <r>
      <rPr>
        <sz val="10"/>
        <color theme="1"/>
        <rFont val="Calibri"/>
        <family val="2"/>
        <scheme val="minor"/>
      </rPr>
      <t xml:space="preserve"> - Inactive
</t>
    </r>
    <r>
      <rPr>
        <b/>
        <sz val="10"/>
        <color theme="1"/>
        <rFont val="Calibri"/>
        <family val="2"/>
        <scheme val="minor"/>
      </rPr>
      <t>FutureAgency</t>
    </r>
    <r>
      <rPr>
        <sz val="10"/>
        <color theme="1"/>
        <rFont val="Calibri"/>
        <family val="2"/>
        <scheme val="minor"/>
      </rPr>
      <t xml:space="preserve"> - Future agency
</t>
    </r>
    <r>
      <rPr>
        <b/>
        <sz val="10"/>
        <color theme="1"/>
        <rFont val="Calibri"/>
        <family val="2"/>
        <scheme val="minor"/>
      </rPr>
      <t>Reopened</t>
    </r>
    <r>
      <rPr>
        <sz val="10"/>
        <color theme="1"/>
        <rFont val="Calibri"/>
        <family val="2"/>
        <scheme val="minor"/>
      </rPr>
      <t xml:space="preserve"> - Reopened
</t>
    </r>
  </si>
  <si>
    <t>K12 -&gt; LEA -&gt; Directory</t>
  </si>
  <si>
    <t>000174</t>
  </si>
  <si>
    <t>LEA Operational Status</t>
  </si>
  <si>
    <t>LEAOperationalStatus</t>
  </si>
  <si>
    <t>Local Education Agency Supervisory Union Identification Number</t>
  </si>
  <si>
    <t>The three-digit unique identifier assigned to the supervisory union by the state.</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</si>
  <si>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</si>
  <si>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</si>
  <si>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</si>
  <si>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</si>
  <si>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</si>
  <si>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</si>
  <si>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</si>
  <si>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</si>
  <si>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</si>
  <si>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</si>
  <si>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The classification of education agencies within the geographic boundaries of a state according to the level of administrative and operational control.</t>
  </si>
  <si>
    <r>
      <t>RegularNotInSupervisoryUnion</t>
    </r>
    <r>
      <rPr>
        <sz val="10"/>
        <color theme="1"/>
        <rFont val="Calibri"/>
        <family val="2"/>
        <scheme val="minor"/>
      </rPr>
      <t xml:space="preserve"> - Regular public school district that is NOT a component of a supervisory union
</t>
    </r>
    <r>
      <rPr>
        <b/>
        <sz val="10"/>
        <color theme="1"/>
        <rFont val="Calibri"/>
        <family val="2"/>
        <scheme val="minor"/>
      </rPr>
      <t>RegularInSupervisoryUnion</t>
    </r>
    <r>
      <rPr>
        <sz val="10"/>
        <color theme="1"/>
        <rFont val="Calibri"/>
        <family val="2"/>
        <scheme val="minor"/>
      </rPr>
      <t xml:space="preserve"> - Regular public school district that is a component of a supervisory union
</t>
    </r>
    <r>
      <rPr>
        <b/>
        <sz val="10"/>
        <color theme="1"/>
        <rFont val="Calibri"/>
        <family val="2"/>
        <scheme val="minor"/>
      </rPr>
      <t>SupervisoryUnion</t>
    </r>
    <r>
      <rPr>
        <sz val="10"/>
        <color theme="1"/>
        <rFont val="Calibri"/>
        <family val="2"/>
        <scheme val="minor"/>
      </rPr>
      <t xml:space="preserve"> - Supervisory Union
</t>
    </r>
    <r>
      <rPr>
        <b/>
        <sz val="10"/>
        <color theme="1"/>
        <rFont val="Calibri"/>
        <family val="2"/>
        <scheme val="minor"/>
      </rPr>
      <t>SpecializedPublicSchoolDistrict</t>
    </r>
    <r>
      <rPr>
        <sz val="10"/>
        <color theme="1"/>
        <rFont val="Calibri"/>
        <family val="2"/>
        <scheme val="minor"/>
      </rPr>
      <t xml:space="preserve"> - Specialized Public School District
</t>
    </r>
    <r>
      <rPr>
        <b/>
        <sz val="10"/>
        <color theme="1"/>
        <rFont val="Calibri"/>
        <family val="2"/>
        <scheme val="minor"/>
      </rPr>
      <t>ServiceAgency</t>
    </r>
    <r>
      <rPr>
        <sz val="10"/>
        <color theme="1"/>
        <rFont val="Calibri"/>
        <family val="2"/>
        <scheme val="minor"/>
      </rPr>
      <t xml:space="preserve"> - Service Agency
</t>
    </r>
    <r>
      <rPr>
        <b/>
        <sz val="10"/>
        <color theme="1"/>
        <rFont val="Calibri"/>
        <family val="2"/>
        <scheme val="minor"/>
      </rPr>
      <t>StateOperatedAgency</t>
    </r>
    <r>
      <rPr>
        <sz val="10"/>
        <color theme="1"/>
        <rFont val="Calibri"/>
        <family val="2"/>
        <scheme val="minor"/>
      </rPr>
      <t xml:space="preserve"> - State Operated Agency
</t>
    </r>
    <r>
      <rPr>
        <b/>
        <sz val="10"/>
        <color theme="1"/>
        <rFont val="Calibri"/>
        <family val="2"/>
        <scheme val="minor"/>
      </rPr>
      <t>FederalOperatedAgency</t>
    </r>
    <r>
      <rPr>
        <sz val="10"/>
        <color theme="1"/>
        <rFont val="Calibri"/>
        <family val="2"/>
        <scheme val="minor"/>
      </rPr>
      <t xml:space="preserve"> - Federal Operated Agency
</t>
    </r>
    <r>
      <rPr>
        <b/>
        <sz val="10"/>
        <color theme="1"/>
        <rFont val="Calibri"/>
        <family val="2"/>
        <scheme val="minor"/>
      </rPr>
      <t>Other</t>
    </r>
    <r>
      <rPr>
        <sz val="10"/>
        <color theme="1"/>
        <rFont val="Calibri"/>
        <family val="2"/>
        <scheme val="minor"/>
      </rPr>
      <t xml:space="preserve"> - Other Local Education Agencies
</t>
    </r>
    <r>
      <rPr>
        <b/>
        <sz val="10"/>
        <color theme="1"/>
        <rFont val="Calibri"/>
        <family val="2"/>
        <scheme val="minor"/>
      </rPr>
      <t>IndependentCharterDistrict</t>
    </r>
    <r>
      <rPr>
        <sz val="10"/>
        <color theme="1"/>
        <rFont val="Calibri"/>
        <family val="2"/>
        <scheme val="minor"/>
      </rPr>
      <t xml:space="preserve"> - Independent Charter District
</t>
    </r>
  </si>
  <si>
    <t>Option definitions from EDFacts documents</t>
  </si>
  <si>
    <t>000537</t>
  </si>
  <si>
    <t>LocalEducationAgencyType</t>
  </si>
  <si>
    <t>EDFacts Data Set for School Years 2016-17, 2017-18, and 2018-19 -- Attachment B-2 (February 2016).</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</si>
  <si>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</si>
  <si>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</si>
  <si>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</si>
  <si>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</si>
  <si>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</si>
  <si>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</si>
  <si>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</si>
  <si>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</si>
  <si>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</si>
  <si>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r>
      <t>All</t>
    </r>
    <r>
      <rPr>
        <sz val="10"/>
        <color theme="1"/>
        <rFont val="Calibri"/>
        <family val="2"/>
        <scheme val="minor"/>
      </rPr>
      <t xml:space="preserve"> - All students participate
</t>
    </r>
    <r>
      <rPr>
        <b/>
        <sz val="10"/>
        <color theme="1"/>
        <rFont val="Calibri"/>
        <family val="2"/>
        <scheme val="minor"/>
      </rPr>
      <t>None</t>
    </r>
    <r>
      <rPr>
        <sz val="10"/>
        <color theme="1"/>
        <rFont val="Calibri"/>
        <family val="2"/>
        <scheme val="minor"/>
      </rPr>
      <t xml:space="preserve"> - No students participate
</t>
    </r>
    <r>
      <rPr>
        <b/>
        <sz val="10"/>
        <color theme="1"/>
        <rFont val="Calibri"/>
        <family val="2"/>
        <scheme val="minor"/>
      </rPr>
      <t>Some</t>
    </r>
    <r>
      <rPr>
        <sz val="10"/>
        <color theme="1"/>
        <rFont val="Calibri"/>
        <family val="2"/>
        <scheme val="minor"/>
      </rPr>
      <t xml:space="preserve"> - Some, but not all, students participate
</t>
    </r>
  </si>
  <si>
    <t>000181</t>
  </si>
  <si>
    <t>MagnetOrSpecialProgramEmphasisSchool</t>
  </si>
  <si>
    <t>Marking Period Name</t>
  </si>
  <si>
    <t>The name or description of the marking period (e.g., fall, first marking period).</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</si>
  <si>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</si>
  <si>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000182</t>
  </si>
  <si>
    <t>MarkingPeriodName</t>
  </si>
  <si>
    <t>Maternal Guardian Education</t>
  </si>
  <si>
    <t>The highest level of education attained by a person's mother or maternal guardian</t>
  </si>
  <si>
    <r>
      <t>01</t>
    </r>
    <r>
      <rPr>
        <sz val="10"/>
        <color theme="1"/>
        <rFont val="Calibri"/>
        <family val="2"/>
        <scheme val="minor"/>
      </rPr>
      <t xml:space="preserve"> - Less than high school
</t>
    </r>
    <r>
      <rPr>
        <b/>
        <sz val="10"/>
        <color theme="1"/>
        <rFont val="Calibri"/>
        <family val="2"/>
        <scheme val="minor"/>
      </rPr>
      <t>02</t>
    </r>
    <r>
      <rPr>
        <sz val="10"/>
        <color theme="1"/>
        <rFont val="Calibri"/>
        <family val="2"/>
        <scheme val="minor"/>
      </rPr>
      <t xml:space="preserve"> - High school diploma or equivalent
</t>
    </r>
    <r>
      <rPr>
        <b/>
        <sz val="10"/>
        <color theme="1"/>
        <rFont val="Calibri"/>
        <family val="2"/>
        <scheme val="minor"/>
      </rPr>
      <t>03</t>
    </r>
    <r>
      <rPr>
        <sz val="10"/>
        <color theme="1"/>
        <rFont val="Calibri"/>
        <family val="2"/>
        <scheme val="minor"/>
      </rPr>
      <t xml:space="preserve"> - Some college but no formal award
</t>
    </r>
    <r>
      <rPr>
        <b/>
        <sz val="10"/>
        <color theme="1"/>
        <rFont val="Calibri"/>
        <family val="2"/>
        <scheme val="minor"/>
      </rPr>
      <t>04</t>
    </r>
    <r>
      <rPr>
        <sz val="10"/>
        <color theme="1"/>
        <rFont val="Calibri"/>
        <family val="2"/>
        <scheme val="minor"/>
      </rPr>
      <t xml:space="preserve"> - Certificate, less than an Associate's degree
</t>
    </r>
    <r>
      <rPr>
        <b/>
        <sz val="10"/>
        <color theme="1"/>
        <rFont val="Calibri"/>
        <family val="2"/>
        <scheme val="minor"/>
      </rPr>
      <t>05</t>
    </r>
    <r>
      <rPr>
        <sz val="10"/>
        <color theme="1"/>
        <rFont val="Calibri"/>
        <family val="2"/>
        <scheme val="minor"/>
      </rPr>
      <t xml:space="preserve"> - Associate's degree
</t>
    </r>
    <r>
      <rPr>
        <b/>
        <sz val="10"/>
        <color theme="1"/>
        <rFont val="Calibri"/>
        <family val="2"/>
        <scheme val="minor"/>
      </rPr>
      <t>06</t>
    </r>
    <r>
      <rPr>
        <sz val="10"/>
        <color theme="1"/>
        <rFont val="Calibri"/>
        <family val="2"/>
        <scheme val="minor"/>
      </rPr>
      <t xml:space="preserve"> - Baccalaureate degree
</t>
    </r>
    <r>
      <rPr>
        <b/>
        <sz val="10"/>
        <color theme="1"/>
        <rFont val="Calibri"/>
        <family val="2"/>
        <scheme val="minor"/>
      </rPr>
      <t>07</t>
    </r>
    <r>
      <rPr>
        <sz val="10"/>
        <color theme="1"/>
        <rFont val="Calibri"/>
        <family val="2"/>
        <scheme val="minor"/>
      </rPr>
      <t xml:space="preserve"> - Master's degree
</t>
    </r>
    <r>
      <rPr>
        <b/>
        <sz val="10"/>
        <color theme="1"/>
        <rFont val="Calibri"/>
        <family val="2"/>
        <scheme val="minor"/>
      </rPr>
      <t>08</t>
    </r>
    <r>
      <rPr>
        <sz val="10"/>
        <color theme="1"/>
        <rFont val="Calibri"/>
        <family val="2"/>
        <scheme val="minor"/>
      </rPr>
      <t xml:space="preserve"> - Doctoral/Professional degree
</t>
    </r>
    <r>
      <rPr>
        <b/>
        <sz val="10"/>
        <color theme="1"/>
        <rFont val="Calibri"/>
        <family val="2"/>
        <scheme val="minor"/>
      </rPr>
      <t>09</t>
    </r>
    <r>
      <rPr>
        <sz val="10"/>
        <color theme="1"/>
        <rFont val="Calibri"/>
        <family val="2"/>
        <scheme val="minor"/>
      </rPr>
      <t xml:space="preserve"> - Unknown
</t>
    </r>
  </si>
  <si>
    <t>001229</t>
  </si>
  <si>
    <t>MaternalGuardianEducation</t>
  </si>
  <si>
    <t>Medical Alert Indicator</t>
  </si>
  <si>
    <t>Alert indicator for a medical/health condition.</t>
  </si>
  <si>
    <r>
      <t>Chronic</t>
    </r>
    <r>
      <rPr>
        <sz val="10"/>
        <color theme="1"/>
        <rFont val="Calibri"/>
        <family val="2"/>
        <scheme val="minor"/>
      </rPr>
      <t xml:space="preserve"> - Chronic
</t>
    </r>
    <r>
      <rPr>
        <b/>
        <sz val="10"/>
        <color theme="1"/>
        <rFont val="Calibri"/>
        <family val="2"/>
        <scheme val="minor"/>
      </rPr>
      <t>Acute</t>
    </r>
    <r>
      <rPr>
        <sz val="10"/>
        <color theme="1"/>
        <rFont val="Calibri"/>
        <family val="2"/>
        <scheme val="minor"/>
      </rPr>
      <t xml:space="preserve"> - Acute
</t>
    </r>
    <r>
      <rPr>
        <b/>
        <sz val="10"/>
        <color theme="1"/>
        <rFont val="Calibri"/>
        <family val="2"/>
        <scheme val="minor"/>
      </rPr>
      <t>None</t>
    </r>
    <r>
      <rPr>
        <sz val="10"/>
        <color theme="1"/>
        <rFont val="Calibri"/>
        <family val="2"/>
        <scheme val="minor"/>
      </rPr>
      <t xml:space="preserve"> - None
</t>
    </r>
  </si>
  <si>
    <t>000439</t>
  </si>
  <si>
    <t>MedicalAlertIndicator</t>
  </si>
  <si>
    <t>Medical School Staff Status</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</si>
  <si>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</si>
  <si>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000733</t>
  </si>
  <si>
    <t>MedicalSchoolStaffStatus</t>
  </si>
  <si>
    <t>Memorandum of Understanding End Date</t>
  </si>
  <si>
    <t>The date that a Memorandum of Understanding between the Early Learning Organization and the Service Partner is determined to expire.</t>
  </si>
  <si>
    <t>Early Learning -&gt; EL Organization -&gt; Service Partners</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</si>
  <si>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</si>
  <si>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</si>
  <si>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</si>
  <si>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</si>
  <si>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</si>
  <si>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</si>
  <si>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</si>
  <si>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</si>
  <si>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r>
      <t>Individual</t>
    </r>
    <r>
      <rPr>
        <sz val="10"/>
        <color theme="1"/>
        <rFont val="Calibri"/>
        <family val="2"/>
        <scheme val="minor"/>
      </rPr>
      <t xml:space="preserve"> - Individual
</t>
    </r>
    <r>
      <rPr>
        <b/>
        <sz val="10"/>
        <color theme="1"/>
        <rFont val="Calibri"/>
        <family val="2"/>
        <scheme val="minor"/>
      </rPr>
      <t>Group</t>
    </r>
    <r>
      <rPr>
        <sz val="10"/>
        <color theme="1"/>
        <rFont val="Calibri"/>
        <family val="2"/>
        <scheme val="minor"/>
      </rPr>
      <t xml:space="preserve"> - Group
</t>
    </r>
  </si>
  <si>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</si>
  <si>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</si>
  <si>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</si>
  <si>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</si>
  <si>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</si>
  <si>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</si>
  <si>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</si>
  <si>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</si>
  <si>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Adult Education -&gt; AE Staff -&gt; Identity -&gt; Name
Adult Education -&gt; AE Student -&gt; Identity -&gt; Name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</si>
  <si>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</si>
  <si>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</si>
  <si>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</si>
  <si>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</si>
  <si>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</si>
  <si>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</si>
  <si>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</si>
  <si>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</si>
  <si>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</si>
  <si>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</si>
  <si>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</si>
  <si>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</si>
  <si>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</si>
  <si>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</si>
  <si>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r>
      <t>01</t>
    </r>
    <r>
      <rPr>
        <sz val="10"/>
        <color theme="1"/>
        <rFont val="Calibri"/>
        <family val="2"/>
        <scheme val="minor"/>
      </rPr>
      <t xml:space="preserve"> - Basic School Program
</t>
    </r>
    <r>
      <rPr>
        <b/>
        <sz val="10"/>
        <color theme="1"/>
        <rFont val="Calibri"/>
        <family val="2"/>
        <scheme val="minor"/>
      </rPr>
      <t>02</t>
    </r>
    <r>
      <rPr>
        <sz val="10"/>
        <color theme="1"/>
        <rFont val="Calibri"/>
        <family val="2"/>
        <scheme val="minor"/>
      </rPr>
      <t xml:space="preserve"> - Regular Term MEP-Funded Project
</t>
    </r>
    <r>
      <rPr>
        <b/>
        <sz val="10"/>
        <color theme="1"/>
        <rFont val="Calibri"/>
        <family val="2"/>
        <scheme val="minor"/>
      </rPr>
      <t>03</t>
    </r>
    <r>
      <rPr>
        <sz val="10"/>
        <color theme="1"/>
        <rFont val="Calibri"/>
        <family val="2"/>
        <scheme val="minor"/>
      </rPr>
      <t xml:space="preserve"> - Summer/Intersession MEP-Funded Project
</t>
    </r>
    <r>
      <rPr>
        <b/>
        <sz val="10"/>
        <color theme="1"/>
        <rFont val="Calibri"/>
        <family val="2"/>
        <scheme val="minor"/>
      </rPr>
      <t>04</t>
    </r>
    <r>
      <rPr>
        <sz val="10"/>
        <color theme="1"/>
        <rFont val="Calibri"/>
        <family val="2"/>
        <scheme val="minor"/>
      </rPr>
      <t xml:space="preserve"> - Year Round MEP-Funded Project
</t>
    </r>
    <r>
      <rPr>
        <b/>
        <sz val="10"/>
        <color theme="1"/>
        <rFont val="Calibri"/>
        <family val="2"/>
        <scheme val="minor"/>
      </rPr>
      <t>05</t>
    </r>
    <r>
      <rPr>
        <sz val="10"/>
        <color theme="1"/>
        <rFont val="Calibri"/>
        <family val="2"/>
        <scheme val="minor"/>
      </rPr>
      <t xml:space="preserve"> - Basic School Program and Regular-Term MEP-Funded Project
</t>
    </r>
    <r>
      <rPr>
        <b/>
        <sz val="10"/>
        <color theme="1"/>
        <rFont val="Calibri"/>
        <family val="2"/>
        <scheme val="minor"/>
      </rPr>
      <t>06</t>
    </r>
    <r>
      <rPr>
        <sz val="10"/>
        <color theme="1"/>
        <rFont val="Calibri"/>
        <family val="2"/>
        <scheme val="minor"/>
      </rPr>
      <t xml:space="preserve"> - Residency Only (none of the above)
</t>
    </r>
  </si>
  <si>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</si>
  <si>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</si>
  <si>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</si>
  <si>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</si>
  <si>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</si>
  <si>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</si>
  <si>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</si>
  <si>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</si>
  <si>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</si>
  <si>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</si>
  <si>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</si>
  <si>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</si>
  <si>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</si>
  <si>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</si>
  <si>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</si>
  <si>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r>
      <t>SchoolBased</t>
    </r>
    <r>
      <rPr>
        <sz val="10"/>
        <color theme="1"/>
        <rFont val="Calibri"/>
        <family val="2"/>
        <scheme val="minor"/>
      </rPr>
      <t xml:space="preserve"> - School-based MEP Project
</t>
    </r>
    <r>
      <rPr>
        <b/>
        <sz val="10"/>
        <color theme="1"/>
        <rFont val="Calibri"/>
        <family val="2"/>
        <scheme val="minor"/>
      </rPr>
      <t>NonSchoolBased</t>
    </r>
    <r>
      <rPr>
        <sz val="10"/>
        <color theme="1"/>
        <rFont val="Calibri"/>
        <family val="2"/>
        <scheme val="minor"/>
      </rPr>
      <t xml:space="preserve"> - Non-school-based MEP project
</t>
    </r>
  </si>
  <si>
    <t>000440</t>
  </si>
  <si>
    <t>MEP Project Based</t>
  </si>
  <si>
    <t>MigrantEducationProgramProjectBased</t>
  </si>
  <si>
    <t>Migrant Education Program Project Type</t>
  </si>
  <si>
    <t>Type of project funded in whole or in part by MEP funds.</t>
  </si>
  <si>
    <r>
      <t>SchoolDay</t>
    </r>
    <r>
      <rPr>
        <sz val="10"/>
        <color theme="1"/>
        <rFont val="Calibri"/>
        <family val="2"/>
        <scheme val="minor"/>
      </rPr>
      <t xml:space="preserve"> - Regular school year - school day only
</t>
    </r>
    <r>
      <rPr>
        <b/>
        <sz val="10"/>
        <color theme="1"/>
        <rFont val="Calibri"/>
        <family val="2"/>
        <scheme val="minor"/>
      </rPr>
      <t>ExtendedDay</t>
    </r>
    <r>
      <rPr>
        <sz val="10"/>
        <color theme="1"/>
        <rFont val="Calibri"/>
        <family val="2"/>
        <scheme val="minor"/>
      </rPr>
      <t xml:space="preserve"> - Regular school year - school day/extended day
</t>
    </r>
    <r>
      <rPr>
        <b/>
        <sz val="10"/>
        <color theme="1"/>
        <rFont val="Calibri"/>
        <family val="2"/>
        <scheme val="minor"/>
      </rPr>
      <t>SummerIntersession</t>
    </r>
    <r>
      <rPr>
        <sz val="10"/>
        <color theme="1"/>
        <rFont val="Calibri"/>
        <family val="2"/>
        <scheme val="minor"/>
      </rPr>
      <t xml:space="preserve"> - Summer/intersession only
</t>
    </r>
    <r>
      <rPr>
        <b/>
        <sz val="10"/>
        <color theme="1"/>
        <rFont val="Calibri"/>
        <family val="2"/>
        <scheme val="minor"/>
      </rPr>
      <t>YearRound</t>
    </r>
    <r>
      <rPr>
        <sz val="10"/>
        <color theme="1"/>
        <rFont val="Calibri"/>
        <family val="2"/>
        <scheme val="minor"/>
      </rPr>
      <t xml:space="preserve"> - Year round
</t>
    </r>
  </si>
  <si>
    <t>000463</t>
  </si>
  <si>
    <t>MEP Project Type</t>
  </si>
  <si>
    <t>MigrantEducationProgramProjectType</t>
  </si>
  <si>
    <t>Migrant Education Program Services Type</t>
  </si>
  <si>
    <t>The type of services received by participating migrant students in the migrant education program (MEP).</t>
  </si>
  <si>
    <r>
      <t>CounselingServices</t>
    </r>
    <r>
      <rPr>
        <sz val="10"/>
        <color theme="1"/>
        <rFont val="Calibri"/>
        <family val="2"/>
        <scheme val="minor"/>
      </rPr>
      <t xml:space="preserve"> - Counseling Services
</t>
    </r>
    <r>
      <rPr>
        <b/>
        <sz val="10"/>
        <color theme="1"/>
        <rFont val="Calibri"/>
        <family val="2"/>
        <scheme val="minor"/>
      </rPr>
      <t>HighSchoolAccrual</t>
    </r>
    <r>
      <rPr>
        <sz val="10"/>
        <color theme="1"/>
        <rFont val="Calibri"/>
        <family val="2"/>
        <scheme val="minor"/>
      </rPr>
      <t xml:space="preserve"> - High School Accrual
</t>
    </r>
    <r>
      <rPr>
        <b/>
        <sz val="10"/>
        <color theme="1"/>
        <rFont val="Calibri"/>
        <family val="2"/>
        <scheme val="minor"/>
      </rPr>
      <t>InstructionalServices</t>
    </r>
    <r>
      <rPr>
        <sz val="10"/>
        <color theme="1"/>
        <rFont val="Calibri"/>
        <family val="2"/>
        <scheme val="minor"/>
      </rPr>
      <t xml:space="preserve"> - Instructional Services
</t>
    </r>
    <r>
      <rPr>
        <b/>
        <sz val="10"/>
        <color theme="1"/>
        <rFont val="Calibri"/>
        <family val="2"/>
        <scheme val="minor"/>
      </rPr>
      <t>MathematicsInstruction</t>
    </r>
    <r>
      <rPr>
        <sz val="10"/>
        <color theme="1"/>
        <rFont val="Calibri"/>
        <family val="2"/>
        <scheme val="minor"/>
      </rPr>
      <t xml:space="preserve"> - Mathematics Instruction
</t>
    </r>
    <r>
      <rPr>
        <b/>
        <sz val="10"/>
        <color theme="1"/>
        <rFont val="Calibri"/>
        <family val="2"/>
        <scheme val="minor"/>
      </rPr>
      <t>ReadingInstruction</t>
    </r>
    <r>
      <rPr>
        <sz val="10"/>
        <color theme="1"/>
        <rFont val="Calibri"/>
        <family val="2"/>
        <scheme val="minor"/>
      </rPr>
      <t xml:space="preserve"> - Reading Instruction
</t>
    </r>
    <r>
      <rPr>
        <b/>
        <sz val="10"/>
        <color theme="1"/>
        <rFont val="Calibri"/>
        <family val="2"/>
        <scheme val="minor"/>
      </rPr>
      <t>ReferralServices</t>
    </r>
    <r>
      <rPr>
        <sz val="10"/>
        <color theme="1"/>
        <rFont val="Calibri"/>
        <family val="2"/>
        <scheme val="minor"/>
      </rPr>
      <t xml:space="preserve"> - Referral Services
</t>
    </r>
    <r>
      <rPr>
        <b/>
        <sz val="10"/>
        <color theme="1"/>
        <rFont val="Calibri"/>
        <family val="2"/>
        <scheme val="minor"/>
      </rPr>
      <t>SupportServices</t>
    </r>
    <r>
      <rPr>
        <sz val="10"/>
        <color theme="1"/>
        <rFont val="Calibri"/>
        <family val="2"/>
        <scheme val="minor"/>
      </rPr>
      <t xml:space="preserve"> - Support Services
</t>
    </r>
  </si>
  <si>
    <t>000186</t>
  </si>
  <si>
    <t>MEP Services Type</t>
  </si>
  <si>
    <t>MigrantEducationProgramServicesType</t>
  </si>
  <si>
    <t>Migrant Education Program Session Type</t>
  </si>
  <si>
    <t>The time of year that a Migrant Education Program operates.</t>
  </si>
  <si>
    <r>
      <t>RegularSchoolYear</t>
    </r>
    <r>
      <rPr>
        <sz val="10"/>
        <color theme="1"/>
        <rFont val="Calibri"/>
        <family val="2"/>
        <scheme val="minor"/>
      </rPr>
      <t xml:space="preserve"> - Regular School Year
</t>
    </r>
    <r>
      <rPr>
        <b/>
        <sz val="10"/>
        <color theme="1"/>
        <rFont val="Calibri"/>
        <family val="2"/>
        <scheme val="minor"/>
      </rPr>
      <t>SummerTerm</t>
    </r>
    <r>
      <rPr>
        <sz val="10"/>
        <color theme="1"/>
        <rFont val="Calibri"/>
        <family val="2"/>
        <scheme val="minor"/>
      </rPr>
      <t xml:space="preserve"> - Summer Term or Intersession
</t>
    </r>
  </si>
  <si>
    <t>000187</t>
  </si>
  <si>
    <t>MEP Session Type</t>
  </si>
  <si>
    <t>MigrantEducationProgramSessionType</t>
  </si>
  <si>
    <t>Migrant Education Program Staff Category</t>
  </si>
  <si>
    <t>Titles of employment, official status, or rank of staff working in the Migrant Education Program (MEP).</t>
  </si>
  <si>
    <r>
      <t>Teachers</t>
    </r>
    <r>
      <rPr>
        <sz val="10"/>
        <color theme="1"/>
        <rFont val="Calibri"/>
        <family val="2"/>
        <scheme val="minor"/>
      </rPr>
      <t xml:space="preserve"> - Teachers
</t>
    </r>
    <r>
      <rPr>
        <b/>
        <sz val="10"/>
        <color theme="1"/>
        <rFont val="Calibri"/>
        <family val="2"/>
        <scheme val="minor"/>
      </rPr>
      <t>Paraprofessionals</t>
    </r>
    <r>
      <rPr>
        <sz val="10"/>
        <color theme="1"/>
        <rFont val="Calibri"/>
        <family val="2"/>
        <scheme val="minor"/>
      </rPr>
      <t xml:space="preserve"> - Paraprofessionals
</t>
    </r>
    <r>
      <rPr>
        <b/>
        <sz val="10"/>
        <color theme="1"/>
        <rFont val="Calibri"/>
        <family val="2"/>
        <scheme val="minor"/>
      </rPr>
      <t>Counselors</t>
    </r>
    <r>
      <rPr>
        <sz val="10"/>
        <color theme="1"/>
        <rFont val="Calibri"/>
        <family val="2"/>
        <scheme val="minor"/>
      </rPr>
      <t xml:space="preserve"> - Counselors
</t>
    </r>
    <r>
      <rPr>
        <b/>
        <sz val="10"/>
        <color theme="1"/>
        <rFont val="Calibri"/>
        <family val="2"/>
        <scheme val="minor"/>
      </rPr>
      <t>Administrators</t>
    </r>
    <r>
      <rPr>
        <sz val="10"/>
        <color theme="1"/>
        <rFont val="Calibri"/>
        <family val="2"/>
        <scheme val="minor"/>
      </rPr>
      <t xml:space="preserve"> - Administrators
</t>
    </r>
    <r>
      <rPr>
        <b/>
        <sz val="10"/>
        <color theme="1"/>
        <rFont val="Calibri"/>
        <family val="2"/>
        <scheme val="minor"/>
      </rPr>
      <t>Recruiters</t>
    </r>
    <r>
      <rPr>
        <sz val="10"/>
        <color theme="1"/>
        <rFont val="Calibri"/>
        <family val="2"/>
        <scheme val="minor"/>
      </rPr>
      <t xml:space="preserve"> - Recruiters
</t>
    </r>
    <r>
      <rPr>
        <b/>
        <sz val="10"/>
        <color theme="1"/>
        <rFont val="Calibri"/>
        <family val="2"/>
        <scheme val="minor"/>
      </rPr>
      <t>RecordsTransferStaff</t>
    </r>
    <r>
      <rPr>
        <sz val="10"/>
        <color theme="1"/>
        <rFont val="Calibri"/>
        <family val="2"/>
        <scheme val="minor"/>
      </rPr>
      <t xml:space="preserve"> - Records Transfer Staff
</t>
    </r>
  </si>
  <si>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</si>
  <si>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</si>
  <si>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</si>
  <si>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</si>
  <si>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</si>
  <si>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</si>
  <si>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</si>
  <si>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</si>
  <si>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</si>
  <si>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</si>
  <si>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Early Learning -&gt; EL Child -&gt; Demographic
K12 -&gt; K12 Student -&gt; Migrant</t>
  </si>
  <si>
    <t>000189</t>
  </si>
  <si>
    <t>MigrantStatus</t>
  </si>
  <si>
    <t>Migrant Student Qualifying Arrival Date</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</si>
  <si>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</si>
  <si>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000432</t>
  </si>
  <si>
    <t>MigrantStudentQualifyingArrivalDate</t>
  </si>
  <si>
    <t>Military Active Student Indicator</t>
  </si>
  <si>
    <t>An indication that the student is currently serving on Active Duty, in the National Guard, or in the Reserve components of the United States military services</t>
  </si>
  <si>
    <r>
      <t>NotActive</t>
    </r>
    <r>
      <rPr>
        <sz val="10"/>
        <color theme="1"/>
        <rFont val="Calibri"/>
        <family val="2"/>
        <scheme val="minor"/>
      </rPr>
      <t xml:space="preserve"> - Not Active
</t>
    </r>
    <r>
      <rPr>
        <b/>
        <sz val="10"/>
        <color theme="1"/>
        <rFont val="Calibri"/>
        <family val="2"/>
        <scheme val="minor"/>
      </rPr>
      <t>Active</t>
    </r>
    <r>
      <rPr>
        <sz val="10"/>
        <color theme="1"/>
        <rFont val="Calibri"/>
        <family val="2"/>
        <scheme val="minor"/>
      </rPr>
      <t xml:space="preserve"> - Active
</t>
    </r>
    <r>
      <rPr>
        <b/>
        <sz val="10"/>
        <color theme="1"/>
        <rFont val="Calibri"/>
        <family val="2"/>
        <scheme val="minor"/>
      </rPr>
      <t>Unknown</t>
    </r>
    <r>
      <rPr>
        <sz val="10"/>
        <color theme="1"/>
        <rFont val="Calibri"/>
        <family val="2"/>
        <scheme val="minor"/>
      </rPr>
      <t xml:space="preserve"> - Unknown
</t>
    </r>
  </si>
  <si>
    <t>Adult Education -&gt; AE Student -&gt; Demographic
Postsecondary -&gt; PS Student -&gt; Demographic
Workforce -&gt; Workforce Program Participant -&gt; Demographic</t>
  </si>
  <si>
    <t>001577</t>
  </si>
  <si>
    <t>MilitaryActiveStudentIndicator</t>
  </si>
  <si>
    <t>Military Branch</t>
  </si>
  <si>
    <t>A branch of the U.S. Military applicable for specifying more details when using Military Connected Student Indicator, Military Active Student Indicator, Military Veteran Student Indicator, and Military Enlistment After Exit elements.</t>
  </si>
  <si>
    <r>
      <t>Army</t>
    </r>
    <r>
      <rPr>
        <sz val="10"/>
        <color theme="1"/>
        <rFont val="Calibri"/>
        <family val="2"/>
        <scheme val="minor"/>
      </rPr>
      <t xml:space="preserve"> - Army
</t>
    </r>
    <r>
      <rPr>
        <b/>
        <sz val="10"/>
        <color theme="1"/>
        <rFont val="Calibri"/>
        <family val="2"/>
        <scheme val="minor"/>
      </rPr>
      <t>MarineCorps</t>
    </r>
    <r>
      <rPr>
        <sz val="10"/>
        <color theme="1"/>
        <rFont val="Calibri"/>
        <family val="2"/>
        <scheme val="minor"/>
      </rPr>
      <t xml:space="preserve"> - Marine Corps
</t>
    </r>
    <r>
      <rPr>
        <b/>
        <sz val="10"/>
        <color theme="1"/>
        <rFont val="Calibri"/>
        <family val="2"/>
        <scheme val="minor"/>
      </rPr>
      <t>Navy</t>
    </r>
    <r>
      <rPr>
        <sz val="10"/>
        <color theme="1"/>
        <rFont val="Calibri"/>
        <family val="2"/>
        <scheme val="minor"/>
      </rPr>
      <t xml:space="preserve"> - Navy
</t>
    </r>
    <r>
      <rPr>
        <b/>
        <sz val="10"/>
        <color theme="1"/>
        <rFont val="Calibri"/>
        <family val="2"/>
        <scheme val="minor"/>
      </rPr>
      <t>AirForce</t>
    </r>
    <r>
      <rPr>
        <sz val="10"/>
        <color theme="1"/>
        <rFont val="Calibri"/>
        <family val="2"/>
        <scheme val="minor"/>
      </rPr>
      <t xml:space="preserve"> - Air Force
</t>
    </r>
    <r>
      <rPr>
        <b/>
        <sz val="10"/>
        <color theme="1"/>
        <rFont val="Calibri"/>
        <family val="2"/>
        <scheme val="minor"/>
      </rPr>
      <t>SpaceForce</t>
    </r>
    <r>
      <rPr>
        <sz val="10"/>
        <color theme="1"/>
        <rFont val="Calibri"/>
        <family val="2"/>
        <scheme val="minor"/>
      </rPr>
      <t xml:space="preserve"> - Space Force
</t>
    </r>
    <r>
      <rPr>
        <b/>
        <sz val="10"/>
        <color theme="1"/>
        <rFont val="Calibri"/>
        <family val="2"/>
        <scheme val="minor"/>
      </rPr>
      <t>CoastGuard</t>
    </r>
    <r>
      <rPr>
        <sz val="10"/>
        <color theme="1"/>
        <rFont val="Calibri"/>
        <family val="2"/>
        <scheme val="minor"/>
      </rPr>
      <t xml:space="preserve"> - Coast Guard
</t>
    </r>
  </si>
  <si>
    <t>Adult Education -&gt; AE Staff -&gt; Demographic (added)
Adult Education -&gt; AE Student -&gt; Demographic
Early Learning -&gt; EL Staff -&gt; Demographic (added)
Early Learning -&gt; Parent/Guardian -&gt; Demographic (added)
K12 -&gt; K12 Staff -&gt; Demographic (added)
K12 -&gt; K12 Student -&gt; Demographic
K12 -&gt; Parent/Guardian -&gt; Demographic (added)
Postsecondary -&gt; Parent/Guardian -&gt; Demographic (added)
Postsecondary -&gt; PS Staff -&gt; Demographic (added)
Postsecondary -&gt; PS Student -&gt; Demographic
Workforce -&gt; Workforce Program Participant -&gt; Demographic</t>
  </si>
  <si>
    <t>Updated option set to include Space Force. Element applied to additional DES contexts.</t>
  </si>
  <si>
    <t>001640</t>
  </si>
  <si>
    <t>MilitaryBranch</t>
  </si>
  <si>
    <t>Military Connected Student Indicator</t>
  </si>
  <si>
    <t>An indication that the student’s parent or guardian is on Active Duty, in the National Guard, or in the Reserve components of the United States military services</t>
  </si>
  <si>
    <r>
      <t>NotMilitaryConnected</t>
    </r>
    <r>
      <rPr>
        <sz val="10"/>
        <color theme="1"/>
        <rFont val="Calibri"/>
        <family val="2"/>
        <scheme val="minor"/>
      </rPr>
      <t xml:space="preserve"> - Not Military Connected
</t>
    </r>
    <r>
      <rPr>
        <b/>
        <sz val="10"/>
        <color theme="1"/>
        <rFont val="Calibri"/>
        <family val="2"/>
        <scheme val="minor"/>
      </rPr>
      <t>ActiveDuty</t>
    </r>
    <r>
      <rPr>
        <sz val="10"/>
        <color theme="1"/>
        <rFont val="Calibri"/>
        <family val="2"/>
        <scheme val="minor"/>
      </rPr>
      <t xml:space="preserve"> - Active Duty
</t>
    </r>
    <r>
      <rPr>
        <b/>
        <sz val="10"/>
        <color theme="1"/>
        <rFont val="Calibri"/>
        <family val="2"/>
        <scheme val="minor"/>
      </rPr>
      <t>NationalGuardOrReserve</t>
    </r>
    <r>
      <rPr>
        <sz val="10"/>
        <color theme="1"/>
        <rFont val="Calibri"/>
        <family val="2"/>
        <scheme val="minor"/>
      </rPr>
      <t xml:space="preserve"> - National Guard Or Reserve
</t>
    </r>
    <r>
      <rPr>
        <b/>
        <sz val="10"/>
        <color theme="1"/>
        <rFont val="Calibri"/>
        <family val="2"/>
        <scheme val="minor"/>
      </rPr>
      <t>Unknown</t>
    </r>
    <r>
      <rPr>
        <sz val="10"/>
        <color theme="1"/>
        <rFont val="Calibri"/>
        <family val="2"/>
        <scheme val="minor"/>
      </rPr>
      <t xml:space="preserve"> - Unknown
</t>
    </r>
  </si>
  <si>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</si>
  <si>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</si>
  <si>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</si>
  <si>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</si>
  <si>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</si>
  <si>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001412</t>
  </si>
  <si>
    <t>MilitaryEnlistmentAfterExit</t>
  </si>
  <si>
    <t>Military Veteran Student Indicator</t>
  </si>
  <si>
    <t>An indication that the student is a veteran who served on Active Duty, in the National Guard, or in the Reserve components of the United States military services</t>
  </si>
  <si>
    <r>
      <t>NotVeteran</t>
    </r>
    <r>
      <rPr>
        <sz val="10"/>
        <color theme="1"/>
        <rFont val="Calibri"/>
        <family val="2"/>
        <scheme val="minor"/>
      </rPr>
      <t xml:space="preserve"> - Not a Veteran
</t>
    </r>
    <r>
      <rPr>
        <b/>
        <sz val="10"/>
        <color theme="1"/>
        <rFont val="Calibri"/>
        <family val="2"/>
        <scheme val="minor"/>
      </rPr>
      <t>Veteran</t>
    </r>
    <r>
      <rPr>
        <sz val="10"/>
        <color theme="1"/>
        <rFont val="Calibri"/>
        <family val="2"/>
        <scheme val="minor"/>
      </rPr>
      <t xml:space="preserve"> - Veteran
</t>
    </r>
    <r>
      <rPr>
        <b/>
        <sz val="10"/>
        <color theme="1"/>
        <rFont val="Calibri"/>
        <family val="2"/>
        <scheme val="minor"/>
      </rPr>
      <t>Unknown</t>
    </r>
    <r>
      <rPr>
        <sz val="10"/>
        <color theme="1"/>
        <rFont val="Calibri"/>
        <family val="2"/>
        <scheme val="minor"/>
      </rPr>
      <t xml:space="preserve"> - Unknown
</t>
    </r>
  </si>
  <si>
    <t>001578</t>
  </si>
  <si>
    <t>MilitaryVeteranStudentIndicator</t>
  </si>
  <si>
    <t>Minutes Per Day</t>
  </si>
  <si>
    <t>The number of minutes in the day in which the school is normally in session.</t>
  </si>
  <si>
    <t>000500</t>
  </si>
  <si>
    <t>MinutesPerDay</t>
  </si>
  <si>
    <t>Monitoring Visit End Date</t>
  </si>
  <si>
    <t>The date that monitoring visit ended.</t>
  </si>
  <si>
    <t>Early Learning -&gt; EL Organization -&gt; Monitoring</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</si>
  <si>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</si>
  <si>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</si>
  <si>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</si>
  <si>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</si>
  <si>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</si>
  <si>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</si>
  <si>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</si>
  <si>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</si>
  <si>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</si>
  <si>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</si>
  <si>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</si>
  <si>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</si>
  <si>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r>
      <t>DevelopingInterpretation</t>
    </r>
    <r>
      <rPr>
        <sz val="10"/>
        <color theme="1"/>
        <rFont val="Calibri"/>
        <family val="2"/>
        <scheme val="minor"/>
      </rPr>
      <t xml:space="preserve"> - Developing Interpretation
</t>
    </r>
    <r>
      <rPr>
        <b/>
        <sz val="10"/>
        <color theme="1"/>
        <rFont val="Calibri"/>
        <family val="2"/>
        <scheme val="minor"/>
      </rPr>
      <t>MakingReaderTextConnections</t>
    </r>
    <r>
      <rPr>
        <sz val="10"/>
        <color theme="1"/>
        <rFont val="Calibri"/>
        <family val="2"/>
        <scheme val="minor"/>
      </rPr>
      <t xml:space="preserve"> - Making reader/text connections
</t>
    </r>
    <r>
      <rPr>
        <b/>
        <sz val="10"/>
        <color theme="1"/>
        <rFont val="Calibri"/>
        <family val="2"/>
        <scheme val="minor"/>
      </rPr>
      <t>ExaminingContentAndStructure</t>
    </r>
    <r>
      <rPr>
        <sz val="10"/>
        <color theme="1"/>
        <rFont val="Calibri"/>
        <family val="2"/>
        <scheme val="minor"/>
      </rPr>
      <t xml:space="preserve"> - Examining content and structure
</t>
    </r>
  </si>
  <si>
    <t>001122</t>
  </si>
  <si>
    <t>NAEPAspectsOfReading</t>
  </si>
  <si>
    <t>NAEP Mathematical Complexity Level</t>
  </si>
  <si>
    <t>Complexity levels defined by the National Assessment of Educational Progress (NAEP 2005a Framework).</t>
  </si>
  <si>
    <r>
      <t>LowComplexity</t>
    </r>
    <r>
      <rPr>
        <sz val="10"/>
        <color theme="1"/>
        <rFont val="Calibri"/>
        <family val="2"/>
        <scheme val="minor"/>
      </rPr>
      <t xml:space="preserve"> - Low complexity
</t>
    </r>
    <r>
      <rPr>
        <b/>
        <sz val="10"/>
        <color theme="1"/>
        <rFont val="Calibri"/>
        <family val="2"/>
        <scheme val="minor"/>
      </rPr>
      <t>ModerateComplexity</t>
    </r>
    <r>
      <rPr>
        <sz val="10"/>
        <color theme="1"/>
        <rFont val="Calibri"/>
        <family val="2"/>
        <scheme val="minor"/>
      </rPr>
      <t xml:space="preserve"> - Moderate complexity
</t>
    </r>
    <r>
      <rPr>
        <b/>
        <sz val="10"/>
        <color theme="1"/>
        <rFont val="Calibri"/>
        <family val="2"/>
        <scheme val="minor"/>
      </rPr>
      <t>HighComplexity</t>
    </r>
    <r>
      <rPr>
        <sz val="10"/>
        <color theme="1"/>
        <rFont val="Calibri"/>
        <family val="2"/>
        <scheme val="minor"/>
      </rPr>
      <t xml:space="preserve"> - High complexity
</t>
    </r>
  </si>
  <si>
    <t>001088</t>
  </si>
  <si>
    <t>NAEPMathematicalComplexityLevel</t>
  </si>
  <si>
    <t>Name of Institution</t>
  </si>
  <si>
    <t>The full legally accepted name of the institution.</t>
  </si>
  <si>
    <t>Adult Education -&gt; AE Provider
Adult Education -&gt; AE Staff -&gt; Education
Early Learning -&gt; EL Staff -&gt; Education
K12 -&gt; K12 School -&gt; Identification
K12 -&gt; K12 Staff -&gt; Education
Postsecondary -&gt; PS Institution -&gt; Directory
Postsecondary -&gt; PS Student -&gt; Institution Enrollment -&gt; Prior Academic Award
Postsecondary -&gt; PS Student -&gt; K12 Transcript</t>
  </si>
  <si>
    <t>000191</t>
  </si>
  <si>
    <t>NameOfInstitution</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</si>
  <si>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</si>
  <si>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</si>
  <si>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</si>
  <si>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</si>
  <si>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</si>
  <si>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</si>
  <si>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</si>
  <si>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</si>
  <si>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</si>
  <si>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</si>
  <si>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</si>
  <si>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</si>
  <si>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</si>
  <si>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</si>
  <si>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</si>
  <si>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National School Lunch Program Status</t>
  </si>
  <si>
    <t>The classification of participation by a school in the National School Lunch Program.</t>
  </si>
  <si>
    <r>
      <t>NSLPCEO</t>
    </r>
    <r>
      <rPr>
        <sz val="10"/>
        <color theme="1"/>
        <rFont val="Calibri"/>
        <family val="2"/>
        <scheme val="minor"/>
      </rPr>
      <t xml:space="preserve"> - Community Eligibility Option
</t>
    </r>
    <r>
      <rPr>
        <b/>
        <sz val="10"/>
        <color theme="1"/>
        <rFont val="Calibri"/>
        <family val="2"/>
        <scheme val="minor"/>
      </rPr>
      <t>NSLPNO</t>
    </r>
    <r>
      <rPr>
        <sz val="10"/>
        <color theme="1"/>
        <rFont val="Calibri"/>
        <family val="2"/>
        <scheme val="minor"/>
      </rPr>
      <t xml:space="preserve"> - Not Participating
</t>
    </r>
    <r>
      <rPr>
        <b/>
        <sz val="10"/>
        <color theme="1"/>
        <rFont val="Calibri"/>
        <family val="2"/>
        <scheme val="minor"/>
      </rPr>
      <t>NSLPWOPRO</t>
    </r>
    <r>
      <rPr>
        <sz val="10"/>
        <color theme="1"/>
        <rFont val="Calibri"/>
        <family val="2"/>
        <scheme val="minor"/>
      </rPr>
      <t xml:space="preserve"> - Participating Without Provision or Community Eligibility Option
</t>
    </r>
    <r>
      <rPr>
        <b/>
        <sz val="10"/>
        <color theme="1"/>
        <rFont val="Calibri"/>
        <family val="2"/>
        <scheme val="minor"/>
      </rPr>
      <t>NSLPPRO1</t>
    </r>
    <r>
      <rPr>
        <sz val="10"/>
        <color theme="1"/>
        <rFont val="Calibri"/>
        <family val="2"/>
        <scheme val="minor"/>
      </rPr>
      <t xml:space="preserve"> - Provision 1
</t>
    </r>
    <r>
      <rPr>
        <b/>
        <sz val="10"/>
        <color theme="1"/>
        <rFont val="Calibri"/>
        <family val="2"/>
        <scheme val="minor"/>
      </rPr>
      <t>NSLPPRO2</t>
    </r>
    <r>
      <rPr>
        <sz val="10"/>
        <color theme="1"/>
        <rFont val="Calibri"/>
        <family val="2"/>
        <scheme val="minor"/>
      </rPr>
      <t xml:space="preserve"> - Provision 2
</t>
    </r>
    <r>
      <rPr>
        <b/>
        <sz val="10"/>
        <color theme="1"/>
        <rFont val="Calibri"/>
        <family val="2"/>
        <scheme val="minor"/>
      </rPr>
      <t>NSLPPRO3</t>
    </r>
    <r>
      <rPr>
        <sz val="10"/>
        <color theme="1"/>
        <rFont val="Calibri"/>
        <family val="2"/>
        <scheme val="minor"/>
      </rPr>
      <t xml:space="preserve"> - Provision 3
</t>
    </r>
  </si>
  <si>
    <t>001767</t>
  </si>
  <si>
    <t>NationalSchoolLunchProgramStatus</t>
  </si>
  <si>
    <t>Native Hawaiian or Other Pacific Islander</t>
  </si>
  <si>
    <t>A person having origins in any of the original peoples of Hawaii, Guam, Samoa, or other Pacific Islands.</t>
  </si>
  <si>
    <t>000192</t>
  </si>
  <si>
    <t>Race Native Hawaiian or Other Pacific Islander</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</si>
  <si>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</si>
  <si>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</si>
  <si>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</si>
  <si>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</si>
  <si>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</si>
  <si>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</si>
  <si>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</si>
  <si>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</si>
  <si>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</si>
  <si>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Corrected duplicate words in usage note.</t>
  </si>
  <si>
    <t>The elements "Neglected or Delinquent Academic Achievement Indicator" and "Neglected or Delinquent Academic Outcome Indicator" are different, although similarly worded.</t>
  </si>
  <si>
    <t>000635</t>
  </si>
  <si>
    <t>NeglectedOrDelinquentAcademicAchievementIndicator</t>
  </si>
  <si>
    <t>EDFacts guidance: The Neglected or Delinquent Academic Achievement indicator should only be used for Subpart 1; the Neglected or Delinquent Academic Outcome Indicator should be used for Subpart 2.</t>
  </si>
  <si>
    <t>Neglected or Delinquent Academic Outcome Indicator</t>
  </si>
  <si>
    <t>Student was served by Title I, Part D, Subpart 2 of ESEA as amended for at least 90 consecutive days during the reporting period who took both a pre- and post-test.</t>
  </si>
  <si>
    <t>000636</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</si>
  <si>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</si>
  <si>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</si>
  <si>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</si>
  <si>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</si>
  <si>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</si>
  <si>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</si>
  <si>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</si>
  <si>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r>
      <t>NeglectedPrograms</t>
    </r>
    <r>
      <rPr>
        <sz val="10"/>
        <color theme="1"/>
        <rFont val="Calibri"/>
        <family val="2"/>
        <scheme val="minor"/>
      </rPr>
      <t xml:space="preserve"> - Neglected programs
</t>
    </r>
    <r>
      <rPr>
        <b/>
        <sz val="10"/>
        <color theme="1"/>
        <rFont val="Calibri"/>
        <family val="2"/>
        <scheme val="minor"/>
      </rPr>
      <t>JuvenileDetention</t>
    </r>
    <r>
      <rPr>
        <sz val="10"/>
        <color theme="1"/>
        <rFont val="Calibri"/>
        <family val="2"/>
        <scheme val="minor"/>
      </rPr>
      <t xml:space="preserve"> - Juvenile Detention
</t>
    </r>
    <r>
      <rPr>
        <b/>
        <sz val="10"/>
        <color theme="1"/>
        <rFont val="Calibri"/>
        <family val="2"/>
        <scheme val="minor"/>
      </rPr>
      <t>JuvenileCorrection</t>
    </r>
    <r>
      <rPr>
        <sz val="10"/>
        <color theme="1"/>
        <rFont val="Calibri"/>
        <family val="2"/>
        <scheme val="minor"/>
      </rPr>
      <t xml:space="preserve"> - Juvenile Correction
</t>
    </r>
    <r>
      <rPr>
        <b/>
        <sz val="10"/>
        <color theme="1"/>
        <rFont val="Calibri"/>
        <family val="2"/>
        <scheme val="minor"/>
      </rPr>
      <t>AdultCorrection</t>
    </r>
    <r>
      <rPr>
        <sz val="10"/>
        <color theme="1"/>
        <rFont val="Calibri"/>
        <family val="2"/>
        <scheme val="minor"/>
      </rPr>
      <t xml:space="preserve"> - Adult Correction
</t>
    </r>
    <r>
      <rPr>
        <b/>
        <sz val="10"/>
        <color theme="1"/>
        <rFont val="Calibri"/>
        <family val="2"/>
        <scheme val="minor"/>
      </rPr>
      <t>AtRiskPrograms</t>
    </r>
    <r>
      <rPr>
        <sz val="10"/>
        <color theme="1"/>
        <rFont val="Calibri"/>
        <family val="2"/>
        <scheme val="minor"/>
      </rPr>
      <t xml:space="preserve"> - At-risk programs
</t>
    </r>
    <r>
      <rPr>
        <b/>
        <sz val="10"/>
        <color theme="1"/>
        <rFont val="Calibri"/>
        <family val="2"/>
        <scheme val="minor"/>
      </rPr>
      <t>OtherPrograms</t>
    </r>
    <r>
      <rPr>
        <sz val="10"/>
        <color theme="1"/>
        <rFont val="Calibri"/>
        <family val="2"/>
        <scheme val="minor"/>
      </rPr>
      <t xml:space="preserve"> - Other Programs
</t>
    </r>
  </si>
  <si>
    <t>000194</t>
  </si>
  <si>
    <t>NeglectedOrDelinquentProgramType</t>
  </si>
  <si>
    <t>Neglected or Delinquent Status</t>
  </si>
  <si>
    <t>An indication that the student is participating in programs for neglected or delinquent students (N or D) under Title I, Part D, Subpart 1 (state agencies) of ESEA as amended.</t>
  </si>
  <si>
    <t>000193</t>
  </si>
  <si>
    <t>NeglectedOrDelinquentStatus</t>
  </si>
  <si>
    <t>Nonpromotion Reason</t>
  </si>
  <si>
    <t>The primary reason as to why a staff member determined that a student should not be promoted (or be demoted).</t>
  </si>
  <si>
    <r>
      <t>FailedTestingRequirements</t>
    </r>
    <r>
      <rPr>
        <sz val="10"/>
        <color theme="1"/>
        <rFont val="Calibri"/>
        <family val="2"/>
        <scheme val="minor"/>
      </rPr>
      <t xml:space="preserve"> - Failed to meet testing requirements
</t>
    </r>
    <r>
      <rPr>
        <b/>
        <sz val="10"/>
        <color theme="1"/>
        <rFont val="Calibri"/>
        <family val="2"/>
        <scheme val="minor"/>
      </rPr>
      <t>Illness</t>
    </r>
    <r>
      <rPr>
        <sz val="10"/>
        <color theme="1"/>
        <rFont val="Calibri"/>
        <family val="2"/>
        <scheme val="minor"/>
      </rPr>
      <t xml:space="preserve"> - Illness
</t>
    </r>
    <r>
      <rPr>
        <b/>
        <sz val="10"/>
        <color theme="1"/>
        <rFont val="Calibri"/>
        <family val="2"/>
        <scheme val="minor"/>
      </rPr>
      <t>Immaturity</t>
    </r>
    <r>
      <rPr>
        <sz val="10"/>
        <color theme="1"/>
        <rFont val="Calibri"/>
        <family val="2"/>
        <scheme val="minor"/>
      </rPr>
      <t xml:space="preserve"> - Immaturity
</t>
    </r>
    <r>
      <rPr>
        <b/>
        <sz val="10"/>
        <color theme="1"/>
        <rFont val="Calibri"/>
        <family val="2"/>
        <scheme val="minor"/>
      </rPr>
      <t>InadequatePerformance</t>
    </r>
    <r>
      <rPr>
        <sz val="10"/>
        <color theme="1"/>
        <rFont val="Calibri"/>
        <family val="2"/>
        <scheme val="minor"/>
      </rPr>
      <t xml:space="preserve"> - Inadequate performance
</t>
    </r>
    <r>
      <rPr>
        <b/>
        <sz val="10"/>
        <color theme="1"/>
        <rFont val="Calibri"/>
        <family val="2"/>
        <scheme val="minor"/>
      </rPr>
      <t>InsufficientCredits</t>
    </r>
    <r>
      <rPr>
        <sz val="10"/>
        <color theme="1"/>
        <rFont val="Calibri"/>
        <family val="2"/>
        <scheme val="minor"/>
      </rPr>
      <t xml:space="preserve"> - Insufficient credits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ProlongedAbsence</t>
    </r>
    <r>
      <rPr>
        <sz val="10"/>
        <color theme="1"/>
        <rFont val="Calibri"/>
        <family val="2"/>
        <scheme val="minor"/>
      </rPr>
      <t xml:space="preserve"> - Prolonged absence
</t>
    </r>
  </si>
  <si>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</si>
  <si>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</si>
  <si>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</si>
  <si>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</si>
  <si>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</si>
  <si>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</si>
  <si>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</si>
  <si>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</si>
  <si>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r>
      <t>Hours</t>
    </r>
    <r>
      <rPr>
        <sz val="10"/>
        <color theme="1"/>
        <rFont val="Calibri"/>
        <family val="2"/>
        <scheme val="minor"/>
      </rPr>
      <t xml:space="preserve"> - Hours
</t>
    </r>
    <r>
      <rPr>
        <b/>
        <sz val="10"/>
        <color theme="1"/>
        <rFont val="Calibri"/>
        <family val="2"/>
        <scheme val="minor"/>
      </rPr>
      <t>Weeks</t>
    </r>
    <r>
      <rPr>
        <sz val="10"/>
        <color theme="1"/>
        <rFont val="Calibri"/>
        <family val="2"/>
        <scheme val="minor"/>
      </rPr>
      <t xml:space="preserve"> - Weeks
</t>
    </r>
    <r>
      <rPr>
        <b/>
        <sz val="10"/>
        <color theme="1"/>
        <rFont val="Calibri"/>
        <family val="2"/>
        <scheme val="minor"/>
      </rPr>
      <t>Quarters</t>
    </r>
    <r>
      <rPr>
        <sz val="10"/>
        <color theme="1"/>
        <rFont val="Calibri"/>
        <family val="2"/>
        <scheme val="minor"/>
      </rPr>
      <t xml:space="preserve"> - Quarters
</t>
    </r>
    <r>
      <rPr>
        <b/>
        <sz val="10"/>
        <color theme="1"/>
        <rFont val="Calibri"/>
        <family val="2"/>
        <scheme val="minor"/>
      </rPr>
      <t>Semesters</t>
    </r>
    <r>
      <rPr>
        <sz val="10"/>
        <color theme="1"/>
        <rFont val="Calibri"/>
        <family val="2"/>
        <scheme val="minor"/>
      </rPr>
      <t xml:space="preserve"> - Semesters
</t>
    </r>
    <r>
      <rPr>
        <b/>
        <sz val="10"/>
        <color theme="1"/>
        <rFont val="Calibri"/>
        <family val="2"/>
        <scheme val="minor"/>
      </rPr>
      <t>Years</t>
    </r>
    <r>
      <rPr>
        <sz val="10"/>
        <color theme="1"/>
        <rFont val="Calibri"/>
        <family val="2"/>
        <scheme val="minor"/>
      </rPr>
      <t xml:space="preserve"> - Years
</t>
    </r>
  </si>
  <si>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</si>
  <si>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</si>
  <si>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</si>
  <si>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</si>
  <si>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</si>
  <si>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</si>
  <si>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</si>
  <si>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</si>
  <si>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Credentials -&gt; Credential Award
K12 -&gt; Course Section -&gt; Enrollment
K12 -&gt; K12 Student -&gt; Academic Record</t>
  </si>
  <si>
    <t>000199</t>
  </si>
  <si>
    <t>NumberOfCreditsAttempted</t>
  </si>
  <si>
    <t>Number of Credits Earned</t>
  </si>
  <si>
    <t>The number of credits an individual earns by the successful completion of a course.</t>
  </si>
  <si>
    <t>Adult Education -&gt; AE Student -&gt; Academic Record
Adult Education -&gt; Course Section -&gt; Enrollment
Career and Technical -&gt; Course Section -&gt; Enrollment
Career and Technical -&gt; CTE Student -&gt; Academic Record
Credentials -&gt; Credential Award
Early Learning -&gt; EL Staff -&gt; Professional Development
K12 -&gt; Course Section -&gt; Enrollment
K12 -&gt; K12 Student -&gt; Academic Record
Postsecondary -&gt; Course Section -&gt; Enrollment
Workforce -&gt; Workforce Program Participant -&gt; Academic Record</t>
  </si>
  <si>
    <t>000200</t>
  </si>
  <si>
    <t>NumberOfCreditsEarned</t>
  </si>
  <si>
    <t>Number of Days Absent</t>
  </si>
  <si>
    <t>The number of days a person is absent when school is in session during a given reporting period.</t>
  </si>
  <si>
    <t>K12 -&gt; Course Section -&gt; Enrollment
K12 -&gt; K12 Student -&gt; Attendance</t>
  </si>
  <si>
    <t>000201</t>
  </si>
  <si>
    <t>NumberOfDaysAbsent</t>
  </si>
  <si>
    <t>K-12 -&gt; High School Generated Transcript
K-12 -&gt; LEA-to-LEA Student Record Exchange
K-12 -&gt; LEA-to-SEA Student Record Exchange
K-12 -&gt; Teacher-Student Data Link -&gt; Enrollment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</si>
  <si>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</si>
  <si>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</si>
  <si>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</si>
  <si>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</si>
  <si>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</si>
  <si>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</si>
  <si>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Early Learning -&gt; EL Child -&gt; Enrollment
K12 -&gt; Course Section -&gt; Enrollment
K12 -&gt; K12 Student -&gt; Attendance</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</si>
  <si>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</si>
  <si>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000202</t>
  </si>
  <si>
    <t>NumberOfDaysInAttendance</t>
  </si>
  <si>
    <t>Early Learning -&gt; Program Compliance
K-12 -&gt; High School Generated Transcript
K-12 -&gt; LEA-to-LEA Student Record Exchange
K-12 -&gt; LEA-to-SEA Student Record Exchange
K-12 -&gt; Teacher-Student Data Link -&gt; Enrollment</t>
  </si>
  <si>
    <t>Number of Dependents</t>
  </si>
  <si>
    <t>The number of children or other dependents who live with the student and receive more than half their support from them.</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</si>
  <si>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</si>
  <si>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</si>
  <si>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</si>
  <si>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</si>
  <si>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</si>
  <si>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</si>
  <si>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</si>
  <si>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</si>
  <si>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</si>
  <si>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</si>
  <si>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Immigrant Program Subgrants</t>
  </si>
  <si>
    <t>The number of immigrant program [3114(d)(1)] subgrants.</t>
  </si>
  <si>
    <t>000470</t>
  </si>
  <si>
    <t>NumberOfImmigrantProgramSubgrants</t>
  </si>
  <si>
    <t>Number of People in Family</t>
  </si>
  <si>
    <t>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(ii) Related to the child enrolling or participating in the program as parents or siblings, by blood, marriage, or adoption.</t>
  </si>
  <si>
    <t>000330</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</si>
  <si>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</si>
  <si>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</si>
  <si>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</si>
  <si>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</si>
  <si>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</si>
  <si>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</si>
  <si>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</si>
  <si>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Early Learning -&gt; EL Organization -&gt; QRIS Rating</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</si>
  <si>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</si>
  <si>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</si>
  <si>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</si>
  <si>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</si>
  <si>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</si>
  <si>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</si>
  <si>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</si>
  <si>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O*NET-SOC Occupation Type</t>
  </si>
  <si>
    <t>The O*NET-SOC taxonomy defines the set of occupations across the world of work based on the Standard Occupational Classification.</t>
  </si>
  <si>
    <t>##-####.##</t>
  </si>
  <si>
    <t>https://www.onetcenter.org/taxonomy/2010/data_coll.html</t>
  </si>
  <si>
    <t>001756</t>
  </si>
  <si>
    <t>O*NET-SOCOccupationType</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</si>
  <si>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</si>
  <si>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</si>
  <si>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Postsecondary -&gt; PS Institution -&gt; Directory
Postsecondary -&gt; PS Student -&gt; Institution Enrollment -&gt; Prior Academic Award</t>
  </si>
  <si>
    <t>Integer - exactly 8 digits</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</si>
  <si>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</si>
  <si>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</si>
  <si>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</si>
  <si>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</si>
  <si>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</si>
  <si>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</si>
  <si>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</si>
  <si>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</si>
  <si>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</si>
  <si>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</si>
  <si>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</si>
  <si>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</si>
  <si>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</si>
  <si>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</si>
  <si>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</si>
  <si>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</si>
  <si>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</si>
  <si>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</si>
  <si>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</si>
  <si>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</si>
  <si>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</si>
  <si>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</si>
  <si>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</si>
  <si>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</si>
  <si>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r>
      <t>School</t>
    </r>
    <r>
      <rPr>
        <sz val="10"/>
        <color theme="1"/>
        <rFont val="Calibri"/>
        <family val="2"/>
        <scheme val="minor"/>
      </rPr>
      <t xml:space="preserve"> - School-assigned number
</t>
    </r>
    <r>
      <rPr>
        <b/>
        <sz val="10"/>
        <color theme="1"/>
        <rFont val="Calibri"/>
        <family val="2"/>
        <scheme val="minor"/>
      </rPr>
      <t>ACT</t>
    </r>
    <r>
      <rPr>
        <sz val="10"/>
        <color theme="1"/>
        <rFont val="Calibri"/>
        <family val="2"/>
        <scheme val="minor"/>
      </rPr>
      <t xml:space="preserve"> - College Board/ACT program code set of PK-grade 12 institutions
</t>
    </r>
    <r>
      <rPr>
        <b/>
        <sz val="10"/>
        <color theme="1"/>
        <rFont val="Calibri"/>
        <family val="2"/>
        <scheme val="minor"/>
      </rPr>
      <t>LEA</t>
    </r>
    <r>
      <rPr>
        <sz val="10"/>
        <color theme="1"/>
        <rFont val="Calibri"/>
        <family val="2"/>
        <scheme val="minor"/>
      </rPr>
      <t xml:space="preserve"> - Local Education Agency assigned number
</t>
    </r>
    <r>
      <rPr>
        <b/>
        <sz val="10"/>
        <color theme="1"/>
        <rFont val="Calibri"/>
        <family val="2"/>
        <scheme val="minor"/>
      </rPr>
      <t>SEA</t>
    </r>
    <r>
      <rPr>
        <sz val="10"/>
        <color theme="1"/>
        <rFont val="Calibri"/>
        <family val="2"/>
        <scheme val="minor"/>
      </rPr>
      <t xml:space="preserve"> - State Education Agency assigned number
</t>
    </r>
    <r>
      <rPr>
        <b/>
        <sz val="10"/>
        <color theme="1"/>
        <rFont val="Calibri"/>
        <family val="2"/>
        <scheme val="minor"/>
      </rPr>
      <t>NCES</t>
    </r>
    <r>
      <rPr>
        <sz val="10"/>
        <color theme="1"/>
        <rFont val="Calibri"/>
        <family val="2"/>
        <scheme val="minor"/>
      </rPr>
      <t xml:space="preserve"> - National Center for Education Statistics assigned number
</t>
    </r>
    <r>
      <rPr>
        <b/>
        <sz val="10"/>
        <color theme="1"/>
        <rFont val="Calibri"/>
        <family val="2"/>
        <scheme val="minor"/>
      </rPr>
      <t>FEIN</t>
    </r>
    <r>
      <rPr>
        <sz val="10"/>
        <color theme="1"/>
        <rFont val="Calibri"/>
        <family val="2"/>
        <scheme val="minor"/>
      </rPr>
      <t xml:space="preserve"> - Federal employer identification number
</t>
    </r>
    <r>
      <rPr>
        <b/>
        <sz val="10"/>
        <color theme="1"/>
        <rFont val="Calibri"/>
        <family val="2"/>
        <scheme val="minor"/>
      </rPr>
      <t>DUNS</t>
    </r>
    <r>
      <rPr>
        <sz val="10"/>
        <color theme="1"/>
        <rFont val="Calibri"/>
        <family val="2"/>
        <scheme val="minor"/>
      </rPr>
      <t xml:space="preserve"> - Dun and Bradstreet number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LicenseNumber</t>
    </r>
    <r>
      <rPr>
        <sz val="10"/>
        <color theme="1"/>
        <rFont val="Calibri"/>
        <family val="2"/>
        <scheme val="minor"/>
      </rPr>
      <t xml:space="preserve"> - License Number
</t>
    </r>
    <r>
      <rPr>
        <b/>
        <sz val="10"/>
        <color theme="1"/>
        <rFont val="Calibri"/>
        <family val="2"/>
        <scheme val="minor"/>
      </rPr>
      <t>Other</t>
    </r>
    <r>
      <rPr>
        <sz val="10"/>
        <color theme="1"/>
        <rFont val="Calibri"/>
        <family val="2"/>
        <scheme val="minor"/>
      </rPr>
      <t xml:space="preserve"> - Other
</t>
    </r>
  </si>
  <si>
    <t>Credentials -&gt; Credential Award -&gt; Credential Issuer
Credentials -&gt; Credential Definition Agent
Credentials -&gt; Credential Offered
Early Learning -&gt; EL Child -&gt; Enrollment
Early Learning -&gt; EL Child -&gt; Program
Early Learning -&gt; EL Organization -&gt; Identification
Facilities -&gt; Facility -&gt; Identification
K12 -&gt; K12 School -&gt; Directory -&gt; Charter School Authorizer
K12 -&gt; K12 School -&gt; Directory -&gt; Charter School Management Organization
K12 -&gt; K12 Student -&gt; Enrollment
K12 -&gt; K12 Student -&gt; Individualized Program -&gt; Services -&gt; Service Provider
K12 -&gt; LEA -&gt; Programs and Services
K12 -&gt; Organization -&gt; Identification
K12 -&gt; Program
Postsecondary -&gt; Organization -&gt; Identification</t>
  </si>
  <si>
    <t>000827</t>
  </si>
  <si>
    <t>OrganizationIdentificationSystem</t>
  </si>
  <si>
    <t>Organization Identifier</t>
  </si>
  <si>
    <t>A unique number or alphanumeric code assigned to an organization by a school, school system, a state, or other agency or entity.</t>
  </si>
  <si>
    <t>Credentials -&gt; Credential Award -&gt; Credential Issuer
Credentials -&gt; Credential Definition Agent
Credentials -&gt; Credential Offered
Early Learning -&gt; EL Organization -&gt; Identification
Facilities -&gt; Facility -&gt; Identification
K12 -&gt; K12 School -&gt; Directory -&gt; Charter School Authorizer
K12 -&gt; K12 School -&gt; Directory -&gt; Charter School Management Organization
K12 -&gt; K12 Student -&gt; Individualized Program -&gt; Services -&gt; Service Provider
K12 -&gt; LEA -&gt; Programs and Services
K12 -&gt; Organization -&gt; Identification
K12 -&gt; Program
Postsecondary -&gt; Organization -&gt; Identification</t>
  </si>
  <si>
    <t>000826</t>
  </si>
  <si>
    <t>OrganizationIdentifier</t>
  </si>
  <si>
    <t>Organization Image URL</t>
  </si>
  <si>
    <t>The Uniform Resource Locator (URL) for the unique address of an image representing the Organization.</t>
  </si>
  <si>
    <t>Early Learning -&gt; EL Organization
K12 -&gt; K12 School
K12 -&gt; LEA
K12 -&gt; Organization
K12 -&gt; SEA
Postsecondary -&gt; Organization
Postsecondary -&gt; PS Institution</t>
  </si>
  <si>
    <t>001663</t>
  </si>
  <si>
    <t>OrganizationImageURL</t>
  </si>
  <si>
    <t>Organization Monitoring Notifications</t>
  </si>
  <si>
    <t>Whether the organization received notification about monitoring</t>
  </si>
  <si>
    <r>
      <t>Announced</t>
    </r>
    <r>
      <rPr>
        <sz val="10"/>
        <color theme="1"/>
        <rFont val="Calibri"/>
        <family val="2"/>
        <scheme val="minor"/>
      </rPr>
      <t xml:space="preserve"> - Announced
</t>
    </r>
    <r>
      <rPr>
        <b/>
        <sz val="10"/>
        <color theme="1"/>
        <rFont val="Calibri"/>
        <family val="2"/>
        <scheme val="minor"/>
      </rPr>
      <t>Unannounced</t>
    </r>
    <r>
      <rPr>
        <sz val="10"/>
        <color theme="1"/>
        <rFont val="Calibri"/>
        <family val="2"/>
        <scheme val="minor"/>
      </rPr>
      <t xml:space="preserve"> - Unannounced
</t>
    </r>
  </si>
  <si>
    <t>001330</t>
  </si>
  <si>
    <t>OrganizationMonitoringNotifications</t>
  </si>
  <si>
    <t>Organization Name</t>
  </si>
  <si>
    <t>The name of a non-person entity such as an organization, institution, agency or business.</t>
  </si>
  <si>
    <t>Early Learning -&gt; EL Organization -&gt; Identification
Early Learning -&gt; EL Staff -&gt; Employment
Facilities -&gt; Facility -&gt; Identification
K12 -&gt; LEA -&gt; Identification
K12 -&gt; Organization -&gt; Identification
K12 -&gt; Program
K12 -&gt; SEA -&gt; Identification
Postsecondary -&gt; Organization -&gt; Identification</t>
  </si>
  <si>
    <t>000204</t>
  </si>
  <si>
    <t>OrganizationName</t>
  </si>
  <si>
    <t>Organization Operational Status</t>
  </si>
  <si>
    <t>The current status of the organization's operations, exclusive of scheduled breaks, holidays, or other temporary interruptions.</t>
  </si>
  <si>
    <r>
      <t>Active</t>
    </r>
    <r>
      <rPr>
        <sz val="10"/>
        <color theme="1"/>
        <rFont val="Calibri"/>
        <family val="2"/>
        <scheme val="minor"/>
      </rPr>
      <t xml:space="preserve"> - Active
</t>
    </r>
    <r>
      <rPr>
        <b/>
        <sz val="10"/>
        <color theme="1"/>
        <rFont val="Calibri"/>
        <family val="2"/>
        <scheme val="minor"/>
      </rPr>
      <t>Inactive</t>
    </r>
    <r>
      <rPr>
        <sz val="10"/>
        <color theme="1"/>
        <rFont val="Calibri"/>
        <family val="2"/>
        <scheme val="minor"/>
      </rPr>
      <t xml:space="preserve"> - Inactive
</t>
    </r>
  </si>
  <si>
    <t>Early Learning -&gt; EL Organization
K12 -&gt; Organization
K12 -&gt; Program
Postsecondary -&gt; Organization</t>
  </si>
  <si>
    <t>001418</t>
  </si>
  <si>
    <t>OrganizationOperationalStatus</t>
  </si>
  <si>
    <t>Organization Region GeoJSON</t>
  </si>
  <si>
    <t>The geo-political area of the organization's facility, building, or site.</t>
  </si>
  <si>
    <t>Early Learning -&gt; EL Organization
Facilities -&gt; Facility
K12 -&gt; K12 School
K12 -&gt; LEA
K12 -&gt; Organization
K12 -&gt; SEA
Postsecondary -&gt; Organization
Postsecondary -&gt; PS Institution</t>
  </si>
  <si>
    <t>001750</t>
  </si>
  <si>
    <t>OrganizationRegionGeoJSON</t>
  </si>
  <si>
    <t>Organization Relationship Type</t>
  </si>
  <si>
    <t>The nature of one organization’s relationship to another.</t>
  </si>
  <si>
    <r>
      <t>AuthorizingBody</t>
    </r>
    <r>
      <rPr>
        <sz val="10"/>
        <color theme="1"/>
        <rFont val="Calibri"/>
        <family val="2"/>
        <scheme val="minor"/>
      </rPr>
      <t xml:space="preserve"> - Authorizing Body
</t>
    </r>
    <r>
      <rPr>
        <b/>
        <sz val="10"/>
        <color theme="1"/>
        <rFont val="Calibri"/>
        <family val="2"/>
        <scheme val="minor"/>
      </rPr>
      <t>OperatingBody</t>
    </r>
    <r>
      <rPr>
        <sz val="10"/>
        <color theme="1"/>
        <rFont val="Calibri"/>
        <family val="2"/>
        <scheme val="minor"/>
      </rPr>
      <t xml:space="preserve"> - Operating Body
</t>
    </r>
    <r>
      <rPr>
        <b/>
        <sz val="10"/>
        <color theme="1"/>
        <rFont val="Calibri"/>
        <family val="2"/>
        <scheme val="minor"/>
      </rPr>
      <t>SecondaryAuthorizingBody</t>
    </r>
    <r>
      <rPr>
        <sz val="10"/>
        <color theme="1"/>
        <rFont val="Calibri"/>
        <family val="2"/>
        <scheme val="minor"/>
      </rPr>
      <t xml:space="preserve"> - Secondary Authorizing Body
</t>
    </r>
  </si>
  <si>
    <t>Early Learning -&gt; EL Organization -&gt; Identification
Facilities -&gt; Facility -&gt; Identification
K12 -&gt; K12 School -&gt; Identification
K12 -&gt; LEA -&gt; Identification
K12 -&gt; Organization -&gt; Identification
K12 -&gt; SEA -&gt; Identification
Postsecondary -&gt; Organization -&gt; Identification</t>
  </si>
  <si>
    <t>001905</t>
  </si>
  <si>
    <t>OrganizationRelationshipType</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</si>
  <si>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</si>
  <si>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</si>
  <si>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</si>
  <si>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</si>
  <si>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</si>
  <si>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</si>
  <si>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r>
      <t>Employer</t>
    </r>
    <r>
      <rPr>
        <sz val="10"/>
        <color theme="1"/>
        <rFont val="Calibri"/>
        <family val="2"/>
        <scheme val="minor"/>
      </rPr>
      <t xml:space="preserve"> - Employer
</t>
    </r>
    <r>
      <rPr>
        <b/>
        <sz val="10"/>
        <color theme="1"/>
        <rFont val="Calibri"/>
        <family val="2"/>
        <scheme val="minor"/>
      </rPr>
      <t>K12School</t>
    </r>
    <r>
      <rPr>
        <sz val="10"/>
        <color theme="1"/>
        <rFont val="Calibri"/>
        <family val="2"/>
        <scheme val="minor"/>
      </rPr>
      <t xml:space="preserve"> - K12 School
</t>
    </r>
    <r>
      <rPr>
        <b/>
        <sz val="10"/>
        <color theme="1"/>
        <rFont val="Calibri"/>
        <family val="2"/>
        <scheme val="minor"/>
      </rPr>
      <t>LEA</t>
    </r>
    <r>
      <rPr>
        <sz val="10"/>
        <color theme="1"/>
        <rFont val="Calibri"/>
        <family val="2"/>
        <scheme val="minor"/>
      </rPr>
      <t xml:space="preserve"> - Local Education Agency (LEA)
</t>
    </r>
    <r>
      <rPr>
        <b/>
        <sz val="10"/>
        <color theme="1"/>
        <rFont val="Calibri"/>
        <family val="2"/>
        <scheme val="minor"/>
      </rPr>
      <t>IEU</t>
    </r>
    <r>
      <rPr>
        <sz val="10"/>
        <color theme="1"/>
        <rFont val="Calibri"/>
        <family val="2"/>
        <scheme val="minor"/>
      </rPr>
      <t xml:space="preserve"> - Intermediate Educational Unit (IEU)
</t>
    </r>
    <r>
      <rPr>
        <b/>
        <sz val="10"/>
        <color theme="1"/>
        <rFont val="Calibri"/>
        <family val="2"/>
        <scheme val="minor"/>
      </rPr>
      <t>SEA</t>
    </r>
    <r>
      <rPr>
        <sz val="10"/>
        <color theme="1"/>
        <rFont val="Calibri"/>
        <family val="2"/>
        <scheme val="minor"/>
      </rPr>
      <t xml:space="preserve"> - State Education Agency (SEA)
</t>
    </r>
    <r>
      <rPr>
        <b/>
        <sz val="10"/>
        <color theme="1"/>
        <rFont val="Calibri"/>
        <family val="2"/>
        <scheme val="minor"/>
      </rPr>
      <t>Recruiter</t>
    </r>
    <r>
      <rPr>
        <sz val="10"/>
        <color theme="1"/>
        <rFont val="Calibri"/>
        <family val="2"/>
        <scheme val="minor"/>
      </rPr>
      <t xml:space="preserve"> - Recruiter
</t>
    </r>
    <r>
      <rPr>
        <b/>
        <sz val="10"/>
        <color theme="1"/>
        <rFont val="Calibri"/>
        <family val="2"/>
        <scheme val="minor"/>
      </rPr>
      <t>EmployeeBenefitCarrier</t>
    </r>
    <r>
      <rPr>
        <sz val="10"/>
        <color theme="1"/>
        <rFont val="Calibri"/>
        <family val="2"/>
        <scheme val="minor"/>
      </rPr>
      <t xml:space="preserve"> - Employee Benefit Carrier
</t>
    </r>
    <r>
      <rPr>
        <b/>
        <sz val="10"/>
        <color theme="1"/>
        <rFont val="Calibri"/>
        <family val="2"/>
        <scheme val="minor"/>
      </rPr>
      <t>EmployeeBenefitContributor</t>
    </r>
    <r>
      <rPr>
        <sz val="10"/>
        <color theme="1"/>
        <rFont val="Calibri"/>
        <family val="2"/>
        <scheme val="minor"/>
      </rPr>
      <t xml:space="preserve"> - Employee Benefit Contributor
</t>
    </r>
    <r>
      <rPr>
        <b/>
        <sz val="10"/>
        <color theme="1"/>
        <rFont val="Calibri"/>
        <family val="2"/>
        <scheme val="minor"/>
      </rPr>
      <t>ProfessionalMembershipOrganization</t>
    </r>
    <r>
      <rPr>
        <sz val="10"/>
        <color theme="1"/>
        <rFont val="Calibri"/>
        <family val="2"/>
        <scheme val="minor"/>
      </rPr>
      <t xml:space="preserve"> - Professional Membership Organization
</t>
    </r>
    <r>
      <rPr>
        <b/>
        <sz val="10"/>
        <color theme="1"/>
        <rFont val="Calibri"/>
        <family val="2"/>
        <scheme val="minor"/>
      </rPr>
      <t>EducationInstitution</t>
    </r>
    <r>
      <rPr>
        <sz val="10"/>
        <color theme="1"/>
        <rFont val="Calibri"/>
        <family val="2"/>
        <scheme val="minor"/>
      </rPr>
      <t xml:space="preserve"> - Education Institution
</t>
    </r>
    <r>
      <rPr>
        <b/>
        <sz val="10"/>
        <color theme="1"/>
        <rFont val="Calibri"/>
        <family val="2"/>
        <scheme val="minor"/>
      </rPr>
      <t>StaffDevelopmentProvider</t>
    </r>
    <r>
      <rPr>
        <sz val="10"/>
        <color theme="1"/>
        <rFont val="Calibri"/>
        <family val="2"/>
        <scheme val="minor"/>
      </rPr>
      <t xml:space="preserve"> - Staff Development Provider
</t>
    </r>
    <r>
      <rPr>
        <b/>
        <sz val="10"/>
        <color theme="1"/>
        <rFont val="Calibri"/>
        <family val="2"/>
        <scheme val="minor"/>
      </rPr>
      <t>Facility</t>
    </r>
    <r>
      <rPr>
        <sz val="10"/>
        <color theme="1"/>
        <rFont val="Calibri"/>
        <family val="2"/>
        <scheme val="minor"/>
      </rPr>
      <t xml:space="preserve"> - Facility
</t>
    </r>
    <r>
      <rPr>
        <b/>
        <sz val="10"/>
        <color theme="1"/>
        <rFont val="Calibri"/>
        <family val="2"/>
        <scheme val="minor"/>
      </rPr>
      <t>Course</t>
    </r>
    <r>
      <rPr>
        <sz val="10"/>
        <color theme="1"/>
        <rFont val="Calibri"/>
        <family val="2"/>
        <scheme val="minor"/>
      </rPr>
      <t xml:space="preserve"> - Course
</t>
    </r>
    <r>
      <rPr>
        <b/>
        <sz val="10"/>
        <color theme="1"/>
        <rFont val="Calibri"/>
        <family val="2"/>
        <scheme val="minor"/>
      </rPr>
      <t>CourseSection</t>
    </r>
    <r>
      <rPr>
        <sz val="10"/>
        <color theme="1"/>
        <rFont val="Calibri"/>
        <family val="2"/>
        <scheme val="minor"/>
      </rPr>
      <t xml:space="preserve"> - Course Section
</t>
    </r>
    <r>
      <rPr>
        <b/>
        <sz val="10"/>
        <color theme="1"/>
        <rFont val="Calibri"/>
        <family val="2"/>
        <scheme val="minor"/>
      </rPr>
      <t>Program</t>
    </r>
    <r>
      <rPr>
        <sz val="10"/>
        <color theme="1"/>
        <rFont val="Calibri"/>
        <family val="2"/>
        <scheme val="minor"/>
      </rPr>
      <t xml:space="preserve"> - Program
</t>
    </r>
    <r>
      <rPr>
        <b/>
        <sz val="10"/>
        <color theme="1"/>
        <rFont val="Calibri"/>
        <family val="2"/>
        <scheme val="minor"/>
      </rPr>
      <t>PostsecondaryInstitution</t>
    </r>
    <r>
      <rPr>
        <sz val="10"/>
        <color theme="1"/>
        <rFont val="Calibri"/>
        <family val="2"/>
        <scheme val="minor"/>
      </rPr>
      <t xml:space="preserve"> - Postsecondary Institution
</t>
    </r>
    <r>
      <rPr>
        <b/>
        <sz val="10"/>
        <color theme="1"/>
        <rFont val="Calibri"/>
        <family val="2"/>
        <scheme val="minor"/>
      </rPr>
      <t>AdultEducationProvider</t>
    </r>
    <r>
      <rPr>
        <sz val="10"/>
        <color theme="1"/>
        <rFont val="Calibri"/>
        <family val="2"/>
        <scheme val="minor"/>
      </rPr>
      <t xml:space="preserve"> - Adult Education Provider
</t>
    </r>
    <r>
      <rPr>
        <b/>
        <sz val="10"/>
        <color theme="1"/>
        <rFont val="Calibri"/>
        <family val="2"/>
        <scheme val="minor"/>
      </rPr>
      <t>ServiceProvider</t>
    </r>
    <r>
      <rPr>
        <sz val="10"/>
        <color theme="1"/>
        <rFont val="Calibri"/>
        <family val="2"/>
        <scheme val="minor"/>
      </rPr>
      <t xml:space="preserve"> - Service Provider
</t>
    </r>
    <r>
      <rPr>
        <b/>
        <sz val="10"/>
        <color theme="1"/>
        <rFont val="Calibri"/>
        <family val="2"/>
        <scheme val="minor"/>
      </rPr>
      <t>AffiliatedInstitution</t>
    </r>
    <r>
      <rPr>
        <sz val="10"/>
        <color theme="1"/>
        <rFont val="Calibri"/>
        <family val="2"/>
        <scheme val="minor"/>
      </rPr>
      <t xml:space="preserve"> - Affiliated Institution
</t>
    </r>
    <r>
      <rPr>
        <b/>
        <sz val="10"/>
        <color theme="1"/>
        <rFont val="Calibri"/>
        <family val="2"/>
        <scheme val="minor"/>
      </rPr>
      <t>GoverningBoard</t>
    </r>
    <r>
      <rPr>
        <sz val="10"/>
        <color theme="1"/>
        <rFont val="Calibri"/>
        <family val="2"/>
        <scheme val="minor"/>
      </rPr>
      <t xml:space="preserve"> - Governing Board
</t>
    </r>
    <r>
      <rPr>
        <b/>
        <sz val="10"/>
        <color theme="1"/>
        <rFont val="Calibri"/>
        <family val="2"/>
        <scheme val="minor"/>
      </rPr>
      <t>CredentialingOrganization</t>
    </r>
    <r>
      <rPr>
        <sz val="10"/>
        <color theme="1"/>
        <rFont val="Calibri"/>
        <family val="2"/>
        <scheme val="minor"/>
      </rPr>
      <t xml:space="preserve"> - Credentialing Organization
</t>
    </r>
    <r>
      <rPr>
        <b/>
        <sz val="10"/>
        <color theme="1"/>
        <rFont val="Calibri"/>
        <family val="2"/>
        <scheme val="minor"/>
      </rPr>
      <t>AccreditingOrganization</t>
    </r>
    <r>
      <rPr>
        <sz val="10"/>
        <color theme="1"/>
        <rFont val="Calibri"/>
        <family val="2"/>
        <scheme val="minor"/>
      </rPr>
      <t xml:space="preserve"> - Accrediting Organization
</t>
    </r>
    <r>
      <rPr>
        <b/>
        <sz val="10"/>
        <color theme="1"/>
        <rFont val="Calibri"/>
        <family val="2"/>
        <scheme val="minor"/>
      </rPr>
      <t>EducationOrganizationNetwork</t>
    </r>
    <r>
      <rPr>
        <sz val="10"/>
        <color theme="1"/>
        <rFont val="Calibri"/>
        <family val="2"/>
        <scheme val="minor"/>
      </rPr>
      <t xml:space="preserve"> - Education Organization Network
</t>
    </r>
    <r>
      <rPr>
        <b/>
        <sz val="10"/>
        <color theme="1"/>
        <rFont val="Calibri"/>
        <family val="2"/>
        <scheme val="minor"/>
      </rPr>
      <t>IDEAPartCLeadAgency</t>
    </r>
    <r>
      <rPr>
        <sz val="10"/>
        <color theme="1"/>
        <rFont val="Calibri"/>
        <family val="2"/>
        <scheme val="minor"/>
      </rPr>
      <t xml:space="preserve"> - IDEA Part C Lead Agency
</t>
    </r>
    <r>
      <rPr>
        <b/>
        <sz val="10"/>
        <color theme="1"/>
        <rFont val="Calibri"/>
        <family val="2"/>
        <scheme val="minor"/>
      </rPr>
      <t>CharterSchoolManagementOrganization</t>
    </r>
    <r>
      <rPr>
        <sz val="10"/>
        <color theme="1"/>
        <rFont val="Calibri"/>
        <family val="2"/>
        <scheme val="minor"/>
      </rPr>
      <t xml:space="preserve"> - Charter School Management Organization
</t>
    </r>
    <r>
      <rPr>
        <b/>
        <sz val="10"/>
        <color theme="1"/>
        <rFont val="Calibri"/>
        <family val="2"/>
        <scheme val="minor"/>
      </rPr>
      <t>CharterSchoolAuthorizingOrganization</t>
    </r>
    <r>
      <rPr>
        <sz val="10"/>
        <color theme="1"/>
        <rFont val="Calibri"/>
        <family val="2"/>
        <scheme val="minor"/>
      </rPr>
      <t xml:space="preserve"> - Charter School Authorizing Organization
</t>
    </r>
    <r>
      <rPr>
        <b/>
        <sz val="10"/>
        <color theme="1"/>
        <rFont val="Calibri"/>
        <family val="2"/>
        <scheme val="minor"/>
      </rPr>
      <t>EmergencyResponseAgency</t>
    </r>
    <r>
      <rPr>
        <sz val="10"/>
        <color theme="1"/>
        <rFont val="Calibri"/>
        <family val="2"/>
        <scheme val="minor"/>
      </rPr>
      <t xml:space="preserve"> - Emergency Response Agency
</t>
    </r>
    <r>
      <rPr>
        <b/>
        <sz val="10"/>
        <color theme="1"/>
        <rFont val="Calibri"/>
        <family val="2"/>
        <scheme val="minor"/>
      </rPr>
      <t>EarlyCollege</t>
    </r>
    <r>
      <rPr>
        <sz val="10"/>
        <color theme="1"/>
        <rFont val="Calibri"/>
        <family val="2"/>
        <scheme val="minor"/>
      </rPr>
      <t xml:space="preserve"> - Early College
</t>
    </r>
  </si>
  <si>
    <t>Updated option set to include Early College.</t>
  </si>
  <si>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</si>
  <si>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</si>
  <si>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</si>
  <si>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</si>
  <si>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</si>
  <si>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</si>
  <si>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</si>
  <si>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</si>
  <si>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</si>
  <si>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</si>
  <si>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</si>
  <si>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</si>
  <si>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</si>
  <si>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Adult Education -&gt; AE Staff -&gt; Identity -&gt; Other Name
Adult Education -&gt; AE Student -&gt; Identity -&gt; Other Name
Career and Technical -&gt; CTE Staff -&gt; Identity -&gt; Other Name
Career and Technical -&gt; CTE Student -&gt; Identity -&gt; Other Name
Early Learning -&gt; EL Child -&gt; Identity -&gt; Other Name
Early Learning -&gt; EL Organization -&gt; Contact -&gt; Other Name
Early Learning -&gt; EL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</si>
  <si>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</si>
  <si>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</si>
  <si>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</si>
  <si>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</si>
  <si>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</si>
  <si>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</si>
  <si>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</si>
  <si>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</si>
  <si>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</si>
  <si>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</si>
  <si>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</si>
  <si>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</si>
  <si>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</si>
  <si>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</si>
  <si>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</si>
  <si>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</si>
  <si>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</si>
  <si>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</si>
  <si>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</si>
  <si>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r>
      <t>Alias</t>
    </r>
    <r>
      <rPr>
        <sz val="10"/>
        <color theme="1"/>
        <rFont val="Calibri"/>
        <family val="2"/>
        <scheme val="minor"/>
      </rPr>
      <t xml:space="preserve"> - Alias
</t>
    </r>
    <r>
      <rPr>
        <b/>
        <sz val="10"/>
        <color theme="1"/>
        <rFont val="Calibri"/>
        <family val="2"/>
        <scheme val="minor"/>
      </rPr>
      <t>Nickname</t>
    </r>
    <r>
      <rPr>
        <sz val="10"/>
        <color theme="1"/>
        <rFont val="Calibri"/>
        <family val="2"/>
        <scheme val="minor"/>
      </rPr>
      <t xml:space="preserve"> - Nickname
</t>
    </r>
    <r>
      <rPr>
        <b/>
        <sz val="10"/>
        <color theme="1"/>
        <rFont val="Calibri"/>
        <family val="2"/>
        <scheme val="minor"/>
      </rPr>
      <t>OtherName</t>
    </r>
    <r>
      <rPr>
        <sz val="10"/>
        <color theme="1"/>
        <rFont val="Calibri"/>
        <family val="2"/>
        <scheme val="minor"/>
      </rPr>
      <t xml:space="preserve"> - Other name
</t>
    </r>
    <r>
      <rPr>
        <b/>
        <sz val="10"/>
        <color theme="1"/>
        <rFont val="Calibri"/>
        <family val="2"/>
        <scheme val="minor"/>
      </rPr>
      <t>PreviousLegalName</t>
    </r>
    <r>
      <rPr>
        <sz val="10"/>
        <color theme="1"/>
        <rFont val="Calibri"/>
        <family val="2"/>
        <scheme val="minor"/>
      </rPr>
      <t xml:space="preserve"> - Previous legal name
</t>
    </r>
    <r>
      <rPr>
        <b/>
        <sz val="10"/>
        <color theme="1"/>
        <rFont val="Calibri"/>
        <family val="2"/>
        <scheme val="minor"/>
      </rPr>
      <t>PreferredFamilyName</t>
    </r>
    <r>
      <rPr>
        <sz val="10"/>
        <color theme="1"/>
        <rFont val="Calibri"/>
        <family val="2"/>
        <scheme val="minor"/>
      </rPr>
      <t xml:space="preserve"> - Preferred Family Name
</t>
    </r>
    <r>
      <rPr>
        <b/>
        <sz val="10"/>
        <color theme="1"/>
        <rFont val="Calibri"/>
        <family val="2"/>
        <scheme val="minor"/>
      </rPr>
      <t>PreferredGivenName</t>
    </r>
    <r>
      <rPr>
        <sz val="10"/>
        <color theme="1"/>
        <rFont val="Calibri"/>
        <family val="2"/>
        <scheme val="minor"/>
      </rPr>
      <t xml:space="preserve"> - Preferred Given Name
</t>
    </r>
    <r>
      <rPr>
        <b/>
        <sz val="10"/>
        <color theme="1"/>
        <rFont val="Calibri"/>
        <family val="2"/>
        <scheme val="minor"/>
      </rPr>
      <t>FullName</t>
    </r>
    <r>
      <rPr>
        <sz val="10"/>
        <color theme="1"/>
        <rFont val="Calibri"/>
        <family val="2"/>
        <scheme val="minor"/>
      </rPr>
      <t xml:space="preserve"> - Full Name
</t>
    </r>
  </si>
  <si>
    <t>Adult Education -&gt; AE Staff -&gt; Identity -&gt; Other Name
Adult Education -&gt; AE Student -&gt; Identity -&gt; Other Name
Career and Technical -&gt; CTE Staff -&gt; Identity -&gt; Other Name
Career and Technical -&gt; CTE Student -&gt; Identity -&gt; Other Name
Early Learning -&gt; EL Child -&gt; Identity -&gt; Other Name
Early Learning -&gt; EL Organization -&gt; Contact -&gt; Other Name
Early Learning -&gt; EL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</si>
  <si>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000634</t>
  </si>
  <si>
    <t>OtherNameType</t>
  </si>
  <si>
    <t>Early Learning -&gt; Staff Quality
Postsecondary Education -&gt; Complete College America
Postsecondary Education -&gt; IPEDS</t>
  </si>
  <si>
    <t>Other Race Indicator</t>
  </si>
  <si>
    <t>Race other than American Indian, Black, Asian, White, Native Pacific Islander</t>
  </si>
  <si>
    <t>Early Learning -&gt; EL Child -&gt; Demographic</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</si>
  <si>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</si>
  <si>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</si>
  <si>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</si>
  <si>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</si>
  <si>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</si>
  <si>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</si>
  <si>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</si>
  <si>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Out of Workforce Indicator</t>
  </si>
  <si>
    <t>An individual: (A) who is a displaced homemaker, as defined in section 3 of the Workforce Innovation and Opportunity Act (29 U.S.C. 3102); or (B) who (i)(I) has worked primarily without remuneration to care for a home and family, and for that reason has diminished marketable skills; or (II) is a parent whose youngest dependent child will become ineligible to receive assistance under part A of title IV of the Social Security Act (42 U.S.C. 601 et seq.) not later than 2 years after the date on which the parent applies for assistance under such title; and (ii) is unemployed or underemployed and is experiencing difficulty in obtaining or upgrading employment.</t>
  </si>
  <si>
    <t>Adult Education -&gt; AE Student -&gt; Status (added)
Career and Technical -&gt; CTE Student -&gt; Program Participation (added)
Postsecondary -&gt; PS Student -&gt; CTE (added)</t>
  </si>
  <si>
    <t>001930</t>
  </si>
  <si>
    <t>OutOfWorkforceIndicator</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</si>
  <si>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</si>
  <si>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</si>
  <si>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</si>
  <si>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</si>
  <si>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</si>
  <si>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</si>
  <si>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r>
      <t>Qualified</t>
    </r>
    <r>
      <rPr>
        <sz val="10"/>
        <color theme="1"/>
        <rFont val="Calibri"/>
        <family val="2"/>
        <scheme val="minor"/>
      </rPr>
      <t xml:space="preserve"> - Qualified
</t>
    </r>
    <r>
      <rPr>
        <b/>
        <sz val="10"/>
        <color theme="1"/>
        <rFont val="Calibri"/>
        <family val="2"/>
        <scheme val="minor"/>
      </rPr>
      <t>NotQualified</t>
    </r>
    <r>
      <rPr>
        <sz val="10"/>
        <color theme="1"/>
        <rFont val="Calibri"/>
        <family val="2"/>
        <scheme val="minor"/>
      </rPr>
      <t xml:space="preserve"> - Not Qualified
</t>
    </r>
  </si>
  <si>
    <t>000207</t>
  </si>
  <si>
    <t>ParaprofessionalQualificationStatus</t>
  </si>
  <si>
    <t>Parent Communication Method</t>
  </si>
  <si>
    <t>The types of communication methods with parents.</t>
  </si>
  <si>
    <r>
      <t>InPerson</t>
    </r>
    <r>
      <rPr>
        <sz val="10"/>
        <color theme="1"/>
        <rFont val="Calibri"/>
        <family val="2"/>
        <scheme val="minor"/>
      </rPr>
      <t xml:space="preserve"> - In-person
</t>
    </r>
    <r>
      <rPr>
        <b/>
        <sz val="10"/>
        <color theme="1"/>
        <rFont val="Calibri"/>
        <family val="2"/>
        <scheme val="minor"/>
      </rPr>
      <t>Phone</t>
    </r>
    <r>
      <rPr>
        <sz val="10"/>
        <color theme="1"/>
        <rFont val="Calibri"/>
        <family val="2"/>
        <scheme val="minor"/>
      </rPr>
      <t xml:space="preserve"> - Phone
</t>
    </r>
    <r>
      <rPr>
        <b/>
        <sz val="10"/>
        <color theme="1"/>
        <rFont val="Calibri"/>
        <family val="2"/>
        <scheme val="minor"/>
      </rPr>
      <t>Website</t>
    </r>
    <r>
      <rPr>
        <sz val="10"/>
        <color theme="1"/>
        <rFont val="Calibri"/>
        <family val="2"/>
        <scheme val="minor"/>
      </rPr>
      <t xml:space="preserve"> - Website
</t>
    </r>
    <r>
      <rPr>
        <b/>
        <sz val="10"/>
        <color theme="1"/>
        <rFont val="Calibri"/>
        <family val="2"/>
        <scheme val="minor"/>
      </rPr>
      <t>Email</t>
    </r>
    <r>
      <rPr>
        <sz val="10"/>
        <color theme="1"/>
        <rFont val="Calibri"/>
        <family val="2"/>
        <scheme val="minor"/>
      </rPr>
      <t xml:space="preserve"> - Email
</t>
    </r>
    <r>
      <rPr>
        <b/>
        <sz val="10"/>
        <color theme="1"/>
        <rFont val="Calibri"/>
        <family val="2"/>
        <scheme val="minor"/>
      </rPr>
      <t>Newsletter</t>
    </r>
    <r>
      <rPr>
        <sz val="10"/>
        <color theme="1"/>
        <rFont val="Calibri"/>
        <family val="2"/>
        <scheme val="minor"/>
      </rPr>
      <t xml:space="preserve"> - Newsletter
</t>
    </r>
    <r>
      <rPr>
        <b/>
        <sz val="10"/>
        <color theme="1"/>
        <rFont val="Calibri"/>
        <family val="2"/>
        <scheme val="minor"/>
      </rPr>
      <t>BulletinBoard</t>
    </r>
    <r>
      <rPr>
        <sz val="10"/>
        <color theme="1"/>
        <rFont val="Calibri"/>
        <family val="2"/>
        <scheme val="minor"/>
      </rPr>
      <t xml:space="preserve"> - Bulletin board
</t>
    </r>
    <r>
      <rPr>
        <b/>
        <sz val="10"/>
        <color theme="1"/>
        <rFont val="Calibri"/>
        <family val="2"/>
        <scheme val="minor"/>
      </rPr>
      <t>HomeVisit</t>
    </r>
    <r>
      <rPr>
        <sz val="10"/>
        <color theme="1"/>
        <rFont val="Calibri"/>
        <family val="2"/>
        <scheme val="minor"/>
      </rPr>
      <t xml:space="preserve"> - Home visit
</t>
    </r>
    <r>
      <rPr>
        <b/>
        <sz val="10"/>
        <color theme="1"/>
        <rFont val="Calibri"/>
        <family val="2"/>
        <scheme val="minor"/>
      </rPr>
      <t>Fax</t>
    </r>
    <r>
      <rPr>
        <sz val="10"/>
        <color theme="1"/>
        <rFont val="Calibri"/>
        <family val="2"/>
        <scheme val="minor"/>
      </rPr>
      <t xml:space="preserve"> - Fax
</t>
    </r>
    <r>
      <rPr>
        <b/>
        <sz val="10"/>
        <color theme="1"/>
        <rFont val="Calibri"/>
        <family val="2"/>
        <scheme val="minor"/>
      </rPr>
      <t>Other</t>
    </r>
    <r>
      <rPr>
        <sz val="10"/>
        <color theme="1"/>
        <rFont val="Calibri"/>
        <family val="2"/>
        <scheme val="minor"/>
      </rPr>
      <t xml:space="preserve"> - Other
</t>
    </r>
  </si>
  <si>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</si>
  <si>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</si>
  <si>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</si>
  <si>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</si>
  <si>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</si>
  <si>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</si>
  <si>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</si>
  <si>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</si>
  <si>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r>
      <t>FreeBreakfast</t>
    </r>
    <r>
      <rPr>
        <sz val="10"/>
        <color theme="1"/>
        <rFont val="Calibri"/>
        <family val="2"/>
        <scheme val="minor"/>
      </rPr>
      <t xml:space="preserve"> - Free breakfast
</t>
    </r>
    <r>
      <rPr>
        <b/>
        <sz val="10"/>
        <color theme="1"/>
        <rFont val="Calibri"/>
        <family val="2"/>
        <scheme val="minor"/>
      </rPr>
      <t>FreeLunch</t>
    </r>
    <r>
      <rPr>
        <sz val="10"/>
        <color theme="1"/>
        <rFont val="Calibri"/>
        <family val="2"/>
        <scheme val="minor"/>
      </rPr>
      <t xml:space="preserve"> - Free lunch
</t>
    </r>
    <r>
      <rPr>
        <b/>
        <sz val="10"/>
        <color theme="1"/>
        <rFont val="Calibri"/>
        <family val="2"/>
        <scheme val="minor"/>
      </rPr>
      <t>FreeMilk</t>
    </r>
    <r>
      <rPr>
        <sz val="10"/>
        <color theme="1"/>
        <rFont val="Calibri"/>
        <family val="2"/>
        <scheme val="minor"/>
      </rPr>
      <t xml:space="preserve"> - Free milk
</t>
    </r>
    <r>
      <rPr>
        <b/>
        <sz val="10"/>
        <color theme="1"/>
        <rFont val="Calibri"/>
        <family val="2"/>
        <scheme val="minor"/>
      </rPr>
      <t>FreeSnack</t>
    </r>
    <r>
      <rPr>
        <sz val="10"/>
        <color theme="1"/>
        <rFont val="Calibri"/>
        <family val="2"/>
        <scheme val="minor"/>
      </rPr>
      <t xml:space="preserve"> - Free snack
</t>
    </r>
    <r>
      <rPr>
        <b/>
        <sz val="10"/>
        <color theme="1"/>
        <rFont val="Calibri"/>
        <family val="2"/>
        <scheme val="minor"/>
      </rPr>
      <t>FreeSupper</t>
    </r>
    <r>
      <rPr>
        <sz val="10"/>
        <color theme="1"/>
        <rFont val="Calibri"/>
        <family val="2"/>
        <scheme val="minor"/>
      </rPr>
      <t xml:space="preserve"> - Free supper
</t>
    </r>
    <r>
      <rPr>
        <b/>
        <sz val="10"/>
        <color theme="1"/>
        <rFont val="Calibri"/>
        <family val="2"/>
        <scheme val="minor"/>
      </rPr>
      <t>FullPriceBreakfast</t>
    </r>
    <r>
      <rPr>
        <sz val="10"/>
        <color theme="1"/>
        <rFont val="Calibri"/>
        <family val="2"/>
        <scheme val="minor"/>
      </rPr>
      <t xml:space="preserve"> - Full price breakfast
</t>
    </r>
    <r>
      <rPr>
        <b/>
        <sz val="10"/>
        <color theme="1"/>
        <rFont val="Calibri"/>
        <family val="2"/>
        <scheme val="minor"/>
      </rPr>
      <t>FullPriceLunch</t>
    </r>
    <r>
      <rPr>
        <sz val="10"/>
        <color theme="1"/>
        <rFont val="Calibri"/>
        <family val="2"/>
        <scheme val="minor"/>
      </rPr>
      <t xml:space="preserve"> - Full price lunch
</t>
    </r>
    <r>
      <rPr>
        <b/>
        <sz val="10"/>
        <color theme="1"/>
        <rFont val="Calibri"/>
        <family val="2"/>
        <scheme val="minor"/>
      </rPr>
      <t>FullPriceMilk</t>
    </r>
    <r>
      <rPr>
        <sz val="10"/>
        <color theme="1"/>
        <rFont val="Calibri"/>
        <family val="2"/>
        <scheme val="minor"/>
      </rPr>
      <t xml:space="preserve"> - Full price milk
</t>
    </r>
    <r>
      <rPr>
        <b/>
        <sz val="10"/>
        <color theme="1"/>
        <rFont val="Calibri"/>
        <family val="2"/>
        <scheme val="minor"/>
      </rPr>
      <t>FullPriceSnack</t>
    </r>
    <r>
      <rPr>
        <sz val="10"/>
        <color theme="1"/>
        <rFont val="Calibri"/>
        <family val="2"/>
        <scheme val="minor"/>
      </rPr>
      <t xml:space="preserve"> - Full price snack
</t>
    </r>
    <r>
      <rPr>
        <b/>
        <sz val="10"/>
        <color theme="1"/>
        <rFont val="Calibri"/>
        <family val="2"/>
        <scheme val="minor"/>
      </rPr>
      <t>FullPriceSupper</t>
    </r>
    <r>
      <rPr>
        <sz val="10"/>
        <color theme="1"/>
        <rFont val="Calibri"/>
        <family val="2"/>
        <scheme val="minor"/>
      </rPr>
      <t xml:space="preserve"> - Full price supper
</t>
    </r>
    <r>
      <rPr>
        <b/>
        <sz val="10"/>
        <color theme="1"/>
        <rFont val="Calibri"/>
        <family val="2"/>
        <scheme val="minor"/>
      </rPr>
      <t>ReducedPriceBreakfast</t>
    </r>
    <r>
      <rPr>
        <sz val="10"/>
        <color theme="1"/>
        <rFont val="Calibri"/>
        <family val="2"/>
        <scheme val="minor"/>
      </rPr>
      <t xml:space="preserve"> - Reduced price breakfast
</t>
    </r>
    <r>
      <rPr>
        <b/>
        <sz val="10"/>
        <color theme="1"/>
        <rFont val="Calibri"/>
        <family val="2"/>
        <scheme val="minor"/>
      </rPr>
      <t>ReducedPriceLunch</t>
    </r>
    <r>
      <rPr>
        <sz val="10"/>
        <color theme="1"/>
        <rFont val="Calibri"/>
        <family val="2"/>
        <scheme val="minor"/>
      </rPr>
      <t xml:space="preserve"> - Reduced price lunch
</t>
    </r>
    <r>
      <rPr>
        <b/>
        <sz val="10"/>
        <color theme="1"/>
        <rFont val="Calibri"/>
        <family val="2"/>
        <scheme val="minor"/>
      </rPr>
      <t>ReducedPriceSnack</t>
    </r>
    <r>
      <rPr>
        <sz val="10"/>
        <color theme="1"/>
        <rFont val="Calibri"/>
        <family val="2"/>
        <scheme val="minor"/>
      </rPr>
      <t xml:space="preserve"> - Reduced price snack
</t>
    </r>
    <r>
      <rPr>
        <b/>
        <sz val="10"/>
        <color theme="1"/>
        <rFont val="Calibri"/>
        <family val="2"/>
        <scheme val="minor"/>
      </rPr>
      <t>ReducedPriceSupper</t>
    </r>
    <r>
      <rPr>
        <sz val="10"/>
        <color theme="1"/>
        <rFont val="Calibri"/>
        <family val="2"/>
        <scheme val="minor"/>
      </rPr>
      <t xml:space="preserve"> - Reduced price supper
</t>
    </r>
    <r>
      <rPr>
        <b/>
        <sz val="10"/>
        <color theme="1"/>
        <rFont val="Calibri"/>
        <family val="2"/>
        <scheme val="minor"/>
      </rPr>
      <t>Other</t>
    </r>
    <r>
      <rPr>
        <sz val="10"/>
        <color theme="1"/>
        <rFont val="Calibri"/>
        <family val="2"/>
        <scheme val="minor"/>
      </rPr>
      <t xml:space="preserve"> - Other
</t>
    </r>
  </si>
  <si>
    <t>Early Learning -&gt; EL Child -&gt; Enrollment
K12 -&gt; K12 Student -&gt; Economically Disadvantaged</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</si>
  <si>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</si>
  <si>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</si>
  <si>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</si>
  <si>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</si>
  <si>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r>
      <t>Met</t>
    </r>
    <r>
      <rPr>
        <sz val="10"/>
        <color theme="1"/>
        <rFont val="Calibri"/>
        <family val="2"/>
        <scheme val="minor"/>
      </rPr>
      <t xml:space="preserve"> - Met 95%
</t>
    </r>
    <r>
      <rPr>
        <b/>
        <sz val="10"/>
        <color theme="1"/>
        <rFont val="Calibri"/>
        <family val="2"/>
        <scheme val="minor"/>
      </rPr>
      <t>DidNotMeet</t>
    </r>
    <r>
      <rPr>
        <sz val="10"/>
        <color theme="1"/>
        <rFont val="Calibri"/>
        <family val="2"/>
        <scheme val="minor"/>
      </rPr>
      <t xml:space="preserve"> - Did not Meet 95%
</t>
    </r>
    <r>
      <rPr>
        <b/>
        <sz val="10"/>
        <color theme="1"/>
        <rFont val="Calibri"/>
        <family val="2"/>
        <scheme val="minor"/>
      </rPr>
      <t>TooFewStudents</t>
    </r>
    <r>
      <rPr>
        <sz val="10"/>
        <color theme="1"/>
        <rFont val="Calibri"/>
        <family val="2"/>
        <scheme val="minor"/>
      </rPr>
      <t xml:space="preserve"> - Too Few Students for Reliability
</t>
    </r>
    <r>
      <rPr>
        <b/>
        <sz val="10"/>
        <color theme="1"/>
        <rFont val="Calibri"/>
        <family val="2"/>
        <scheme val="minor"/>
      </rPr>
      <t>NoStudents</t>
    </r>
    <r>
      <rPr>
        <sz val="10"/>
        <color theme="1"/>
        <rFont val="Calibri"/>
        <family val="2"/>
        <scheme val="minor"/>
      </rPr>
      <t xml:space="preserve"> - No Students in the subgroup
</t>
    </r>
    <r>
      <rPr>
        <b/>
        <sz val="10"/>
        <color theme="1"/>
        <rFont val="Calibri"/>
        <family val="2"/>
        <scheme val="minor"/>
      </rPr>
      <t>NA</t>
    </r>
    <r>
      <rPr>
        <sz val="10"/>
        <color theme="1"/>
        <rFont val="Calibri"/>
        <family val="2"/>
        <scheme val="minor"/>
      </rPr>
      <t xml:space="preserve"> - Not applicable
</t>
    </r>
  </si>
  <si>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</si>
  <si>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</si>
  <si>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</si>
  <si>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</si>
  <si>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</si>
  <si>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</si>
  <si>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</si>
  <si>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</si>
  <si>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</si>
  <si>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</si>
  <si>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</si>
  <si>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</si>
  <si>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</si>
  <si>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</si>
  <si>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</si>
  <si>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The maximum value allowed by the Peer Rating System.</t>
  </si>
  <si>
    <t>Learning Resources -&gt;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</si>
  <si>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</si>
  <si>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</si>
  <si>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</si>
  <si>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</si>
  <si>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</si>
  <si>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</si>
  <si>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</si>
  <si>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</si>
  <si>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</si>
  <si>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</si>
  <si>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</si>
  <si>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The optimum value allowed by the Peer Rating System. The optimum or best rating may be the maximum value, the minimum value, or something in between.</t>
  </si>
  <si>
    <t>001151</t>
  </si>
  <si>
    <t>PeerRatingSystemOptimumValue</t>
  </si>
  <si>
    <t>Perkins Limited English Proficiency Status</t>
  </si>
  <si>
    <t>An indication that students have Limited English Proficiency according to the definition in the Carl D. Perkins Career and Technical Education Act of 2006, which is "a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</si>
  <si>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K12 -&gt; K12 Student -&gt; English Learner</t>
  </si>
  <si>
    <t>000581</t>
  </si>
  <si>
    <t>Perkins LEP Status</t>
  </si>
  <si>
    <t>PerkinsLEPStatus</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</si>
  <si>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</si>
  <si>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</si>
  <si>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</si>
  <si>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</si>
  <si>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</si>
  <si>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</si>
  <si>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</si>
  <si>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</si>
  <si>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</si>
  <si>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</si>
  <si>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</si>
  <si>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</si>
  <si>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</si>
  <si>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</si>
  <si>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</si>
  <si>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r>
      <t>SSN</t>
    </r>
    <r>
      <rPr>
        <sz val="10"/>
        <color theme="1"/>
        <rFont val="Calibri"/>
        <family val="2"/>
        <scheme val="minor"/>
      </rPr>
      <t xml:space="preserve"> - Social Security Administration number
</t>
    </r>
    <r>
      <rPr>
        <b/>
        <sz val="10"/>
        <color theme="1"/>
        <rFont val="Calibri"/>
        <family val="2"/>
        <scheme val="minor"/>
      </rPr>
      <t>USVisa</t>
    </r>
    <r>
      <rPr>
        <sz val="10"/>
        <color theme="1"/>
        <rFont val="Calibri"/>
        <family val="2"/>
        <scheme val="minor"/>
      </rPr>
      <t xml:space="preserve"> - US government Visa number
</t>
    </r>
    <r>
      <rPr>
        <b/>
        <sz val="10"/>
        <color theme="1"/>
        <rFont val="Calibri"/>
        <family val="2"/>
        <scheme val="minor"/>
      </rPr>
      <t>PIN</t>
    </r>
    <r>
      <rPr>
        <sz val="10"/>
        <color theme="1"/>
        <rFont val="Calibri"/>
        <family val="2"/>
        <scheme val="minor"/>
      </rPr>
      <t xml:space="preserve"> - Personal identification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DriversLicense</t>
    </r>
    <r>
      <rPr>
        <sz val="10"/>
        <color theme="1"/>
        <rFont val="Calibri"/>
        <family val="2"/>
        <scheme val="minor"/>
      </rPr>
      <t xml:space="preserve"> - Driver's license number
</t>
    </r>
    <r>
      <rPr>
        <b/>
        <sz val="10"/>
        <color theme="1"/>
        <rFont val="Calibri"/>
        <family val="2"/>
        <scheme val="minor"/>
      </rPr>
      <t>Medicaid</t>
    </r>
    <r>
      <rPr>
        <sz val="10"/>
        <color theme="1"/>
        <rFont val="Calibri"/>
        <family val="2"/>
        <scheme val="minor"/>
      </rPr>
      <t xml:space="preserve"> - Medicaid number
</t>
    </r>
    <r>
      <rPr>
        <b/>
        <sz val="10"/>
        <color theme="1"/>
        <rFont val="Calibri"/>
        <family val="2"/>
        <scheme val="minor"/>
      </rPr>
      <t>HealthRecord</t>
    </r>
    <r>
      <rPr>
        <sz val="10"/>
        <color theme="1"/>
        <rFont val="Calibri"/>
        <family val="2"/>
        <scheme val="minor"/>
      </rPr>
      <t xml:space="preserve"> - Health record number
</t>
    </r>
    <r>
      <rPr>
        <b/>
        <sz val="10"/>
        <color theme="1"/>
        <rFont val="Calibri"/>
        <family val="2"/>
        <scheme val="minor"/>
      </rPr>
      <t>ProfessionalCertificate</t>
    </r>
    <r>
      <rPr>
        <sz val="10"/>
        <color theme="1"/>
        <rFont val="Calibri"/>
        <family val="2"/>
        <scheme val="minor"/>
      </rPr>
      <t xml:space="preserve"> - Professional certificate or license number
</t>
    </r>
    <r>
      <rPr>
        <b/>
        <sz val="10"/>
        <color theme="1"/>
        <rFont val="Calibri"/>
        <family val="2"/>
        <scheme val="minor"/>
      </rPr>
      <t>School</t>
    </r>
    <r>
      <rPr>
        <sz val="10"/>
        <color theme="1"/>
        <rFont val="Calibri"/>
        <family val="2"/>
        <scheme val="minor"/>
      </rPr>
      <t xml:space="preserve"> - School-assigned number
</t>
    </r>
    <r>
      <rPr>
        <b/>
        <sz val="10"/>
        <color theme="1"/>
        <rFont val="Calibri"/>
        <family val="2"/>
        <scheme val="minor"/>
      </rPr>
      <t>District</t>
    </r>
    <r>
      <rPr>
        <sz val="10"/>
        <color theme="1"/>
        <rFont val="Calibri"/>
        <family val="2"/>
        <scheme val="minor"/>
      </rPr>
      <t xml:space="preserve"> - District-assigned number
</t>
    </r>
    <r>
      <rPr>
        <b/>
        <sz val="10"/>
        <color theme="1"/>
        <rFont val="Calibri"/>
        <family val="2"/>
        <scheme val="minor"/>
      </rPr>
      <t>State</t>
    </r>
    <r>
      <rPr>
        <sz val="10"/>
        <color theme="1"/>
        <rFont val="Calibri"/>
        <family val="2"/>
        <scheme val="minor"/>
      </rPr>
      <t xml:space="preserve"> - State-assigned number
</t>
    </r>
    <r>
      <rPr>
        <b/>
        <sz val="10"/>
        <color theme="1"/>
        <rFont val="Calibri"/>
        <family val="2"/>
        <scheme val="minor"/>
      </rPr>
      <t>Institution</t>
    </r>
    <r>
      <rPr>
        <sz val="10"/>
        <color theme="1"/>
        <rFont val="Calibri"/>
        <family val="2"/>
        <scheme val="minor"/>
      </rPr>
      <t xml:space="preserve"> - Institution-assigned number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SelectiveService</t>
    </r>
    <r>
      <rPr>
        <sz val="10"/>
        <color theme="1"/>
        <rFont val="Calibri"/>
        <family val="2"/>
        <scheme val="minor"/>
      </rPr>
      <t xml:space="preserve"> - Selective Service Number
</t>
    </r>
    <r>
      <rPr>
        <b/>
        <sz val="10"/>
        <color theme="1"/>
        <rFont val="Calibri"/>
        <family val="2"/>
        <scheme val="minor"/>
      </rPr>
      <t>CanadianSIN</t>
    </r>
    <r>
      <rPr>
        <sz val="10"/>
        <color theme="1"/>
        <rFont val="Calibri"/>
        <family val="2"/>
        <scheme val="minor"/>
      </rPr>
      <t xml:space="preserve"> - Canadian Social Insurance Number
</t>
    </r>
    <r>
      <rPr>
        <b/>
        <sz val="10"/>
        <color theme="1"/>
        <rFont val="Calibri"/>
        <family val="2"/>
        <scheme val="minor"/>
      </rPr>
      <t>Other</t>
    </r>
    <r>
      <rPr>
        <sz val="10"/>
        <color theme="1"/>
        <rFont val="Calibri"/>
        <family val="2"/>
        <scheme val="minor"/>
      </rPr>
      <t xml:space="preserve"> - Other
</t>
    </r>
  </si>
  <si>
    <t>Assessments -&gt; Assessment Result -&gt; Scorer
Credentials -&gt; Credential Award -&gt; Credential Issuer
Credentials -&gt; Credential Definition Agent
Early Learning -&gt; Parent/Guardian -&gt; Identity -&gt; Identification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Workforce -&gt; Workforce Program Participant -&gt; Identity -&gt; Identification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</si>
  <si>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</si>
  <si>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</si>
  <si>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</si>
  <si>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</si>
  <si>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</si>
  <si>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</si>
  <si>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</si>
  <si>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</si>
  <si>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</si>
  <si>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</si>
  <si>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</si>
  <si>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</si>
  <si>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</si>
  <si>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</si>
  <si>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Person Relationship to Learner Lives with Indicator</t>
  </si>
  <si>
    <t>Indicates whether or not the learner lives with the related person.</t>
  </si>
  <si>
    <t>001425</t>
  </si>
  <si>
    <t>PersonRelationshipToLearnerLivesWithIndicator</t>
  </si>
  <si>
    <t>Person Relationship Type</t>
  </si>
  <si>
    <t>The nature of a person's relationship to another person.</t>
  </si>
  <si>
    <r>
      <t>Aunt</t>
    </r>
    <r>
      <rPr>
        <sz val="10"/>
        <color theme="1"/>
        <rFont val="Calibri"/>
        <family val="2"/>
        <scheme val="minor"/>
      </rPr>
      <t xml:space="preserve"> - Aunt
</t>
    </r>
    <r>
      <rPr>
        <b/>
        <sz val="10"/>
        <color theme="1"/>
        <rFont val="Calibri"/>
        <family val="2"/>
        <scheme val="minor"/>
      </rPr>
      <t>Brother</t>
    </r>
    <r>
      <rPr>
        <sz val="10"/>
        <color theme="1"/>
        <rFont val="Calibri"/>
        <family val="2"/>
        <scheme val="minor"/>
      </rPr>
      <t xml:space="preserve"> - Brother
</t>
    </r>
    <r>
      <rPr>
        <b/>
        <sz val="10"/>
        <color theme="1"/>
        <rFont val="Calibri"/>
        <family val="2"/>
        <scheme val="minor"/>
      </rPr>
      <t>BrotherInLaw</t>
    </r>
    <r>
      <rPr>
        <sz val="10"/>
        <color theme="1"/>
        <rFont val="Calibri"/>
        <family val="2"/>
        <scheme val="minor"/>
      </rPr>
      <t xml:space="preserve"> - Brother-in-law
</t>
    </r>
    <r>
      <rPr>
        <b/>
        <sz val="10"/>
        <color theme="1"/>
        <rFont val="Calibri"/>
        <family val="2"/>
        <scheme val="minor"/>
      </rPr>
      <t>CourtAppointedGuardian</t>
    </r>
    <r>
      <rPr>
        <sz val="10"/>
        <color theme="1"/>
        <rFont val="Calibri"/>
        <family val="2"/>
        <scheme val="minor"/>
      </rPr>
      <t xml:space="preserve"> - Court appointed guardian
</t>
    </r>
    <r>
      <rPr>
        <b/>
        <sz val="10"/>
        <color theme="1"/>
        <rFont val="Calibri"/>
        <family val="2"/>
        <scheme val="minor"/>
      </rPr>
      <t>Daughter</t>
    </r>
    <r>
      <rPr>
        <sz val="10"/>
        <color theme="1"/>
        <rFont val="Calibri"/>
        <family val="2"/>
        <scheme val="minor"/>
      </rPr>
      <t xml:space="preserve"> - Daughter
</t>
    </r>
    <r>
      <rPr>
        <b/>
        <sz val="10"/>
        <color theme="1"/>
        <rFont val="Calibri"/>
        <family val="2"/>
        <scheme val="minor"/>
      </rPr>
      <t>DaughterInLaw</t>
    </r>
    <r>
      <rPr>
        <sz val="10"/>
        <color theme="1"/>
        <rFont val="Calibri"/>
        <family val="2"/>
        <scheme val="minor"/>
      </rPr>
      <t xml:space="preserve"> - Daughter-in-law
</t>
    </r>
    <r>
      <rPr>
        <b/>
        <sz val="10"/>
        <color theme="1"/>
        <rFont val="Calibri"/>
        <family val="2"/>
        <scheme val="minor"/>
      </rPr>
      <t>Employer</t>
    </r>
    <r>
      <rPr>
        <sz val="10"/>
        <color theme="1"/>
        <rFont val="Calibri"/>
        <family val="2"/>
        <scheme val="minor"/>
      </rPr>
      <t xml:space="preserve"> - Employer
</t>
    </r>
    <r>
      <rPr>
        <b/>
        <sz val="10"/>
        <color theme="1"/>
        <rFont val="Calibri"/>
        <family val="2"/>
        <scheme val="minor"/>
      </rPr>
      <t>Father</t>
    </r>
    <r>
      <rPr>
        <sz val="10"/>
        <color theme="1"/>
        <rFont val="Calibri"/>
        <family val="2"/>
        <scheme val="minor"/>
      </rPr>
      <t xml:space="preserve"> - Father
</t>
    </r>
    <r>
      <rPr>
        <b/>
        <sz val="10"/>
        <color theme="1"/>
        <rFont val="Calibri"/>
        <family val="2"/>
        <scheme val="minor"/>
      </rPr>
      <t>FathersSignificantOther</t>
    </r>
    <r>
      <rPr>
        <sz val="10"/>
        <color theme="1"/>
        <rFont val="Calibri"/>
        <family val="2"/>
        <scheme val="minor"/>
      </rPr>
      <t xml:space="preserve"> - Father's significant other
</t>
    </r>
    <r>
      <rPr>
        <b/>
        <sz val="10"/>
        <color theme="1"/>
        <rFont val="Calibri"/>
        <family val="2"/>
        <scheme val="minor"/>
      </rPr>
      <t>FathersCivilPartner</t>
    </r>
    <r>
      <rPr>
        <sz val="10"/>
        <color theme="1"/>
        <rFont val="Calibri"/>
        <family val="2"/>
        <scheme val="minor"/>
      </rPr>
      <t xml:space="preserve"> - Father's civil partner
</t>
    </r>
    <r>
      <rPr>
        <b/>
        <sz val="10"/>
        <color theme="1"/>
        <rFont val="Calibri"/>
        <family val="2"/>
        <scheme val="minor"/>
      </rPr>
      <t>FatherInLaw</t>
    </r>
    <r>
      <rPr>
        <sz val="10"/>
        <color theme="1"/>
        <rFont val="Calibri"/>
        <family val="2"/>
        <scheme val="minor"/>
      </rPr>
      <t xml:space="preserve"> - Father-in-law
</t>
    </r>
    <r>
      <rPr>
        <b/>
        <sz val="10"/>
        <color theme="1"/>
        <rFont val="Calibri"/>
        <family val="2"/>
        <scheme val="minor"/>
      </rPr>
      <t>Fiance</t>
    </r>
    <r>
      <rPr>
        <sz val="10"/>
        <color theme="1"/>
        <rFont val="Calibri"/>
        <family val="2"/>
        <scheme val="minor"/>
      </rPr>
      <t xml:space="preserve"> - Fiance
</t>
    </r>
    <r>
      <rPr>
        <b/>
        <sz val="10"/>
        <color theme="1"/>
        <rFont val="Calibri"/>
        <family val="2"/>
        <scheme val="minor"/>
      </rPr>
      <t>Fiancee</t>
    </r>
    <r>
      <rPr>
        <sz val="10"/>
        <color theme="1"/>
        <rFont val="Calibri"/>
        <family val="2"/>
        <scheme val="minor"/>
      </rPr>
      <t xml:space="preserve"> - Fiancee
</t>
    </r>
    <r>
      <rPr>
        <b/>
        <sz val="10"/>
        <color theme="1"/>
        <rFont val="Calibri"/>
        <family val="2"/>
        <scheme val="minor"/>
      </rPr>
      <t>Friend</t>
    </r>
    <r>
      <rPr>
        <sz val="10"/>
        <color theme="1"/>
        <rFont val="Calibri"/>
        <family val="2"/>
        <scheme val="minor"/>
      </rPr>
      <t xml:space="preserve"> - Friend
</t>
    </r>
    <r>
      <rPr>
        <b/>
        <sz val="10"/>
        <color theme="1"/>
        <rFont val="Calibri"/>
        <family val="2"/>
        <scheme val="minor"/>
      </rPr>
      <t>Grandfather</t>
    </r>
    <r>
      <rPr>
        <sz val="10"/>
        <color theme="1"/>
        <rFont val="Calibri"/>
        <family val="2"/>
        <scheme val="minor"/>
      </rPr>
      <t xml:space="preserve"> - Grandfather
</t>
    </r>
    <r>
      <rPr>
        <b/>
        <sz val="10"/>
        <color theme="1"/>
        <rFont val="Calibri"/>
        <family val="2"/>
        <scheme val="minor"/>
      </rPr>
      <t>Grandmother</t>
    </r>
    <r>
      <rPr>
        <sz val="10"/>
        <color theme="1"/>
        <rFont val="Calibri"/>
        <family val="2"/>
        <scheme val="minor"/>
      </rPr>
      <t xml:space="preserve"> - Grandmother
</t>
    </r>
    <r>
      <rPr>
        <b/>
        <sz val="10"/>
        <color theme="1"/>
        <rFont val="Calibri"/>
        <family val="2"/>
        <scheme val="minor"/>
      </rPr>
      <t>Husband</t>
    </r>
    <r>
      <rPr>
        <sz val="10"/>
        <color theme="1"/>
        <rFont val="Calibri"/>
        <family val="2"/>
        <scheme val="minor"/>
      </rPr>
      <t xml:space="preserve"> - Husband
</t>
    </r>
    <r>
      <rPr>
        <b/>
        <sz val="10"/>
        <color theme="1"/>
        <rFont val="Calibri"/>
        <family val="2"/>
        <scheme val="minor"/>
      </rPr>
      <t>MothersSignificantOther</t>
    </r>
    <r>
      <rPr>
        <sz val="10"/>
        <color theme="1"/>
        <rFont val="Calibri"/>
        <family val="2"/>
        <scheme val="minor"/>
      </rPr>
      <t xml:space="preserve"> - Mother's significant other
</t>
    </r>
    <r>
      <rPr>
        <b/>
        <sz val="10"/>
        <color theme="1"/>
        <rFont val="Calibri"/>
        <family val="2"/>
        <scheme val="minor"/>
      </rPr>
      <t>Mother</t>
    </r>
    <r>
      <rPr>
        <sz val="10"/>
        <color theme="1"/>
        <rFont val="Calibri"/>
        <family val="2"/>
        <scheme val="minor"/>
      </rPr>
      <t xml:space="preserve"> - Mother
</t>
    </r>
    <r>
      <rPr>
        <b/>
        <sz val="10"/>
        <color theme="1"/>
        <rFont val="Calibri"/>
        <family val="2"/>
        <scheme val="minor"/>
      </rPr>
      <t>MothersCivilPartner</t>
    </r>
    <r>
      <rPr>
        <sz val="10"/>
        <color theme="1"/>
        <rFont val="Calibri"/>
        <family val="2"/>
        <scheme val="minor"/>
      </rPr>
      <t xml:space="preserve"> - Mother's civil partner
</t>
    </r>
    <r>
      <rPr>
        <b/>
        <sz val="10"/>
        <color theme="1"/>
        <rFont val="Calibri"/>
        <family val="2"/>
        <scheme val="minor"/>
      </rPr>
      <t>Nephew</t>
    </r>
    <r>
      <rPr>
        <sz val="10"/>
        <color theme="1"/>
        <rFont val="Calibri"/>
        <family val="2"/>
        <scheme val="minor"/>
      </rPr>
      <t xml:space="preserve"> - Nephew
</t>
    </r>
    <r>
      <rPr>
        <b/>
        <sz val="10"/>
        <color theme="1"/>
        <rFont val="Calibri"/>
        <family val="2"/>
        <scheme val="minor"/>
      </rPr>
      <t>Niece</t>
    </r>
    <r>
      <rPr>
        <sz val="10"/>
        <color theme="1"/>
        <rFont val="Calibri"/>
        <family val="2"/>
        <scheme val="minor"/>
      </rPr>
      <t xml:space="preserve"> - Niece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SignificantOther</t>
    </r>
    <r>
      <rPr>
        <sz val="10"/>
        <color theme="1"/>
        <rFont val="Calibri"/>
        <family val="2"/>
        <scheme val="minor"/>
      </rPr>
      <t xml:space="preserve"> - Significant other
</t>
    </r>
    <r>
      <rPr>
        <b/>
        <sz val="10"/>
        <color theme="1"/>
        <rFont val="Calibri"/>
        <family val="2"/>
        <scheme val="minor"/>
      </rPr>
      <t>Sister</t>
    </r>
    <r>
      <rPr>
        <sz val="10"/>
        <color theme="1"/>
        <rFont val="Calibri"/>
        <family val="2"/>
        <scheme val="minor"/>
      </rPr>
      <t xml:space="preserve"> - Sister
</t>
    </r>
    <r>
      <rPr>
        <b/>
        <sz val="10"/>
        <color theme="1"/>
        <rFont val="Calibri"/>
        <family val="2"/>
        <scheme val="minor"/>
      </rPr>
      <t>Son</t>
    </r>
    <r>
      <rPr>
        <sz val="10"/>
        <color theme="1"/>
        <rFont val="Calibri"/>
        <family val="2"/>
        <scheme val="minor"/>
      </rPr>
      <t xml:space="preserve"> - Son
</t>
    </r>
    <r>
      <rPr>
        <b/>
        <sz val="10"/>
        <color theme="1"/>
        <rFont val="Calibri"/>
        <family val="2"/>
        <scheme val="minor"/>
      </rPr>
      <t>Unknown</t>
    </r>
    <r>
      <rPr>
        <sz val="10"/>
        <color theme="1"/>
        <rFont val="Calibri"/>
        <family val="2"/>
        <scheme val="minor"/>
      </rPr>
      <t xml:space="preserve"> - Unknown
</t>
    </r>
    <r>
      <rPr>
        <b/>
        <sz val="10"/>
        <color theme="1"/>
        <rFont val="Calibri"/>
        <family val="2"/>
        <scheme val="minor"/>
      </rPr>
      <t>Uncle</t>
    </r>
    <r>
      <rPr>
        <sz val="10"/>
        <color theme="1"/>
        <rFont val="Calibri"/>
        <family val="2"/>
        <scheme val="minor"/>
      </rPr>
      <t xml:space="preserve"> - Uncle
</t>
    </r>
    <r>
      <rPr>
        <b/>
        <sz val="10"/>
        <color theme="1"/>
        <rFont val="Calibri"/>
        <family val="2"/>
        <scheme val="minor"/>
      </rPr>
      <t>Ward</t>
    </r>
    <r>
      <rPr>
        <sz val="10"/>
        <color theme="1"/>
        <rFont val="Calibri"/>
        <family val="2"/>
        <scheme val="minor"/>
      </rPr>
      <t xml:space="preserve"> - Ward
</t>
    </r>
    <r>
      <rPr>
        <b/>
        <sz val="10"/>
        <color theme="1"/>
        <rFont val="Calibri"/>
        <family val="2"/>
        <scheme val="minor"/>
      </rPr>
      <t>Wife</t>
    </r>
    <r>
      <rPr>
        <sz val="10"/>
        <color theme="1"/>
        <rFont val="Calibri"/>
        <family val="2"/>
        <scheme val="minor"/>
      </rPr>
      <t xml:space="preserve"> - Wife
</t>
    </r>
    <r>
      <rPr>
        <b/>
        <sz val="10"/>
        <color theme="1"/>
        <rFont val="Calibri"/>
        <family val="2"/>
        <scheme val="minor"/>
      </rPr>
      <t>AdoptedDaughter</t>
    </r>
    <r>
      <rPr>
        <sz val="10"/>
        <color theme="1"/>
        <rFont val="Calibri"/>
        <family val="2"/>
        <scheme val="minor"/>
      </rPr>
      <t xml:space="preserve"> - Adopted Daughter
</t>
    </r>
    <r>
      <rPr>
        <b/>
        <sz val="10"/>
        <color theme="1"/>
        <rFont val="Calibri"/>
        <family val="2"/>
        <scheme val="minor"/>
      </rPr>
      <t>AdoptedSon</t>
    </r>
    <r>
      <rPr>
        <sz val="10"/>
        <color theme="1"/>
        <rFont val="Calibri"/>
        <family val="2"/>
        <scheme val="minor"/>
      </rPr>
      <t xml:space="preserve"> - Adopted son
</t>
    </r>
    <r>
      <rPr>
        <b/>
        <sz val="10"/>
        <color theme="1"/>
        <rFont val="Calibri"/>
        <family val="2"/>
        <scheme val="minor"/>
      </rPr>
      <t>AdoptiveParent</t>
    </r>
    <r>
      <rPr>
        <sz val="10"/>
        <color theme="1"/>
        <rFont val="Calibri"/>
        <family val="2"/>
        <scheme val="minor"/>
      </rPr>
      <t xml:space="preserve"> - Adoptive parent
</t>
    </r>
    <r>
      <rPr>
        <b/>
        <sz val="10"/>
        <color theme="1"/>
        <rFont val="Calibri"/>
        <family val="2"/>
        <scheme val="minor"/>
      </rPr>
      <t>Advisor</t>
    </r>
    <r>
      <rPr>
        <sz val="10"/>
        <color theme="1"/>
        <rFont val="Calibri"/>
        <family val="2"/>
        <scheme val="minor"/>
      </rPr>
      <t xml:space="preserve"> - Advisor
</t>
    </r>
    <r>
      <rPr>
        <b/>
        <sz val="10"/>
        <color theme="1"/>
        <rFont val="Calibri"/>
        <family val="2"/>
        <scheme val="minor"/>
      </rPr>
      <t>AgencyRepresentative</t>
    </r>
    <r>
      <rPr>
        <sz val="10"/>
        <color theme="1"/>
        <rFont val="Calibri"/>
        <family val="2"/>
        <scheme val="minor"/>
      </rPr>
      <t xml:space="preserve"> - Agency representative
</t>
    </r>
    <r>
      <rPr>
        <b/>
        <sz val="10"/>
        <color theme="1"/>
        <rFont val="Calibri"/>
        <family val="2"/>
        <scheme val="minor"/>
      </rPr>
      <t>Cousin</t>
    </r>
    <r>
      <rPr>
        <sz val="10"/>
        <color theme="1"/>
        <rFont val="Calibri"/>
        <family val="2"/>
        <scheme val="minor"/>
      </rPr>
      <t xml:space="preserve"> - Cousin
</t>
    </r>
    <r>
      <rPr>
        <b/>
        <sz val="10"/>
        <color theme="1"/>
        <rFont val="Calibri"/>
        <family val="2"/>
        <scheme val="minor"/>
      </rPr>
      <t>Dependent</t>
    </r>
    <r>
      <rPr>
        <sz val="10"/>
        <color theme="1"/>
        <rFont val="Calibri"/>
        <family val="2"/>
        <scheme val="minor"/>
      </rPr>
      <t xml:space="preserve"> - Dependent
</t>
    </r>
    <r>
      <rPr>
        <b/>
        <sz val="10"/>
        <color theme="1"/>
        <rFont val="Calibri"/>
        <family val="2"/>
        <scheme val="minor"/>
      </rPr>
      <t>FamilyMember</t>
    </r>
    <r>
      <rPr>
        <sz val="10"/>
        <color theme="1"/>
        <rFont val="Calibri"/>
        <family val="2"/>
        <scheme val="minor"/>
      </rPr>
      <t xml:space="preserve"> - Family member
</t>
    </r>
    <r>
      <rPr>
        <b/>
        <sz val="10"/>
        <color theme="1"/>
        <rFont val="Calibri"/>
        <family val="2"/>
        <scheme val="minor"/>
      </rPr>
      <t>FormerHusband</t>
    </r>
    <r>
      <rPr>
        <sz val="10"/>
        <color theme="1"/>
        <rFont val="Calibri"/>
        <family val="2"/>
        <scheme val="minor"/>
      </rPr>
      <t xml:space="preserve"> - Former husband
</t>
    </r>
    <r>
      <rPr>
        <b/>
        <sz val="10"/>
        <color theme="1"/>
        <rFont val="Calibri"/>
        <family val="2"/>
        <scheme val="minor"/>
      </rPr>
      <t>FormerWife</t>
    </r>
    <r>
      <rPr>
        <sz val="10"/>
        <color theme="1"/>
        <rFont val="Calibri"/>
        <family val="2"/>
        <scheme val="minor"/>
      </rPr>
      <t xml:space="preserve"> - Former wife
</t>
    </r>
    <r>
      <rPr>
        <b/>
        <sz val="10"/>
        <color theme="1"/>
        <rFont val="Calibri"/>
        <family val="2"/>
        <scheme val="minor"/>
      </rPr>
      <t>FosterDaughter</t>
    </r>
    <r>
      <rPr>
        <sz val="10"/>
        <color theme="1"/>
        <rFont val="Calibri"/>
        <family val="2"/>
        <scheme val="minor"/>
      </rPr>
      <t xml:space="preserve"> - Foster daughter
</t>
    </r>
    <r>
      <rPr>
        <b/>
        <sz val="10"/>
        <color theme="1"/>
        <rFont val="Calibri"/>
        <family val="2"/>
        <scheme val="minor"/>
      </rPr>
      <t>FosterFather</t>
    </r>
    <r>
      <rPr>
        <sz val="10"/>
        <color theme="1"/>
        <rFont val="Calibri"/>
        <family val="2"/>
        <scheme val="minor"/>
      </rPr>
      <t xml:space="preserve"> - Foster father
</t>
    </r>
    <r>
      <rPr>
        <b/>
        <sz val="10"/>
        <color theme="1"/>
        <rFont val="Calibri"/>
        <family val="2"/>
        <scheme val="minor"/>
      </rPr>
      <t>FosterMother</t>
    </r>
    <r>
      <rPr>
        <sz val="10"/>
        <color theme="1"/>
        <rFont val="Calibri"/>
        <family val="2"/>
        <scheme val="minor"/>
      </rPr>
      <t xml:space="preserve"> - Foster mother
</t>
    </r>
    <r>
      <rPr>
        <b/>
        <sz val="10"/>
        <color theme="1"/>
        <rFont val="Calibri"/>
        <family val="2"/>
        <scheme val="minor"/>
      </rPr>
      <t>FosterParent</t>
    </r>
    <r>
      <rPr>
        <sz val="10"/>
        <color theme="1"/>
        <rFont val="Calibri"/>
        <family val="2"/>
        <scheme val="minor"/>
      </rPr>
      <t xml:space="preserve"> - Foster Parent
</t>
    </r>
    <r>
      <rPr>
        <b/>
        <sz val="10"/>
        <color theme="1"/>
        <rFont val="Calibri"/>
        <family val="2"/>
        <scheme val="minor"/>
      </rPr>
      <t>FosterSon</t>
    </r>
    <r>
      <rPr>
        <sz val="10"/>
        <color theme="1"/>
        <rFont val="Calibri"/>
        <family val="2"/>
        <scheme val="minor"/>
      </rPr>
      <t xml:space="preserve"> - Foster son
</t>
    </r>
    <r>
      <rPr>
        <b/>
        <sz val="10"/>
        <color theme="1"/>
        <rFont val="Calibri"/>
        <family val="2"/>
        <scheme val="minor"/>
      </rPr>
      <t>Godparent</t>
    </r>
    <r>
      <rPr>
        <sz val="10"/>
        <color theme="1"/>
        <rFont val="Calibri"/>
        <family val="2"/>
        <scheme val="minor"/>
      </rPr>
      <t xml:space="preserve"> - Godparent
</t>
    </r>
    <r>
      <rPr>
        <b/>
        <sz val="10"/>
        <color theme="1"/>
        <rFont val="Calibri"/>
        <family val="2"/>
        <scheme val="minor"/>
      </rPr>
      <t>Granddaughter</t>
    </r>
    <r>
      <rPr>
        <sz val="10"/>
        <color theme="1"/>
        <rFont val="Calibri"/>
        <family val="2"/>
        <scheme val="minor"/>
      </rPr>
      <t xml:space="preserve"> - Granddaughter
</t>
    </r>
    <r>
      <rPr>
        <b/>
        <sz val="10"/>
        <color theme="1"/>
        <rFont val="Calibri"/>
        <family val="2"/>
        <scheme val="minor"/>
      </rPr>
      <t>Grandparent</t>
    </r>
    <r>
      <rPr>
        <sz val="10"/>
        <color theme="1"/>
        <rFont val="Calibri"/>
        <family val="2"/>
        <scheme val="minor"/>
      </rPr>
      <t xml:space="preserve"> - Grandparent
</t>
    </r>
    <r>
      <rPr>
        <b/>
        <sz val="10"/>
        <color theme="1"/>
        <rFont val="Calibri"/>
        <family val="2"/>
        <scheme val="minor"/>
      </rPr>
      <t>Grandson</t>
    </r>
    <r>
      <rPr>
        <sz val="10"/>
        <color theme="1"/>
        <rFont val="Calibri"/>
        <family val="2"/>
        <scheme val="minor"/>
      </rPr>
      <t xml:space="preserve"> - Grandson
</t>
    </r>
    <r>
      <rPr>
        <b/>
        <sz val="10"/>
        <color theme="1"/>
        <rFont val="Calibri"/>
        <family val="2"/>
        <scheme val="minor"/>
      </rPr>
      <t>GreatAunt</t>
    </r>
    <r>
      <rPr>
        <sz val="10"/>
        <color theme="1"/>
        <rFont val="Calibri"/>
        <family val="2"/>
        <scheme val="minor"/>
      </rPr>
      <t xml:space="preserve"> - Great aunt
</t>
    </r>
    <r>
      <rPr>
        <b/>
        <sz val="10"/>
        <color theme="1"/>
        <rFont val="Calibri"/>
        <family val="2"/>
        <scheme val="minor"/>
      </rPr>
      <t>GreatGrandparent</t>
    </r>
    <r>
      <rPr>
        <sz val="10"/>
        <color theme="1"/>
        <rFont val="Calibri"/>
        <family val="2"/>
        <scheme val="minor"/>
      </rPr>
      <t xml:space="preserve"> - Great grandparent
</t>
    </r>
    <r>
      <rPr>
        <b/>
        <sz val="10"/>
        <color theme="1"/>
        <rFont val="Calibri"/>
        <family val="2"/>
        <scheme val="minor"/>
      </rPr>
      <t>GreatUncle</t>
    </r>
    <r>
      <rPr>
        <sz val="10"/>
        <color theme="1"/>
        <rFont val="Calibri"/>
        <family val="2"/>
        <scheme val="minor"/>
      </rPr>
      <t xml:space="preserve"> - Great uncle
</t>
    </r>
    <r>
      <rPr>
        <b/>
        <sz val="10"/>
        <color theme="1"/>
        <rFont val="Calibri"/>
        <family val="2"/>
        <scheme val="minor"/>
      </rPr>
      <t>HalfBrother</t>
    </r>
    <r>
      <rPr>
        <sz val="10"/>
        <color theme="1"/>
        <rFont val="Calibri"/>
        <family val="2"/>
        <scheme val="minor"/>
      </rPr>
      <t xml:space="preserve"> - Half-brother
</t>
    </r>
    <r>
      <rPr>
        <b/>
        <sz val="10"/>
        <color theme="1"/>
        <rFont val="Calibri"/>
        <family val="2"/>
        <scheme val="minor"/>
      </rPr>
      <t>HalfSister</t>
    </r>
    <r>
      <rPr>
        <sz val="10"/>
        <color theme="1"/>
        <rFont val="Calibri"/>
        <family val="2"/>
        <scheme val="minor"/>
      </rPr>
      <t xml:space="preserve"> - Half-sister
</t>
    </r>
    <r>
      <rPr>
        <b/>
        <sz val="10"/>
        <color theme="1"/>
        <rFont val="Calibri"/>
        <family val="2"/>
        <scheme val="minor"/>
      </rPr>
      <t>LifePartner</t>
    </r>
    <r>
      <rPr>
        <sz val="10"/>
        <color theme="1"/>
        <rFont val="Calibri"/>
        <family val="2"/>
        <scheme val="minor"/>
      </rPr>
      <t xml:space="preserve"> - Life partner
</t>
    </r>
    <r>
      <rPr>
        <b/>
        <sz val="10"/>
        <color theme="1"/>
        <rFont val="Calibri"/>
        <family val="2"/>
        <scheme val="minor"/>
      </rPr>
      <t>LifePartnerOfParent</t>
    </r>
    <r>
      <rPr>
        <sz val="10"/>
        <color theme="1"/>
        <rFont val="Calibri"/>
        <family val="2"/>
        <scheme val="minor"/>
      </rPr>
      <t xml:space="preserve"> - Life partner of parent
</t>
    </r>
    <r>
      <rPr>
        <b/>
        <sz val="10"/>
        <color theme="1"/>
        <rFont val="Calibri"/>
        <family val="2"/>
        <scheme val="minor"/>
      </rPr>
      <t>MotherInLaw</t>
    </r>
    <r>
      <rPr>
        <sz val="10"/>
        <color theme="1"/>
        <rFont val="Calibri"/>
        <family val="2"/>
        <scheme val="minor"/>
      </rPr>
      <t xml:space="preserve"> - Mother-in-law
</t>
    </r>
    <r>
      <rPr>
        <b/>
        <sz val="10"/>
        <color theme="1"/>
        <rFont val="Calibri"/>
        <family val="2"/>
        <scheme val="minor"/>
      </rPr>
      <t>Neighbor</t>
    </r>
    <r>
      <rPr>
        <sz val="10"/>
        <color theme="1"/>
        <rFont val="Calibri"/>
        <family val="2"/>
        <scheme val="minor"/>
      </rPr>
      <t xml:space="preserve"> - Neighbor
</t>
    </r>
    <r>
      <rPr>
        <b/>
        <sz val="10"/>
        <color theme="1"/>
        <rFont val="Calibri"/>
        <family val="2"/>
        <scheme val="minor"/>
      </rPr>
      <t>Parent</t>
    </r>
    <r>
      <rPr>
        <sz val="10"/>
        <color theme="1"/>
        <rFont val="Calibri"/>
        <family val="2"/>
        <scheme val="minor"/>
      </rPr>
      <t xml:space="preserve"> - Parent
</t>
    </r>
    <r>
      <rPr>
        <b/>
        <sz val="10"/>
        <color theme="1"/>
        <rFont val="Calibri"/>
        <family val="2"/>
        <scheme val="minor"/>
      </rPr>
      <t>Partner</t>
    </r>
    <r>
      <rPr>
        <sz val="10"/>
        <color theme="1"/>
        <rFont val="Calibri"/>
        <family val="2"/>
        <scheme val="minor"/>
      </rPr>
      <t xml:space="preserve"> - Partner
</t>
    </r>
    <r>
      <rPr>
        <b/>
        <sz val="10"/>
        <color theme="1"/>
        <rFont val="Calibri"/>
        <family val="2"/>
        <scheme val="minor"/>
      </rPr>
      <t>PartnerOfParent</t>
    </r>
    <r>
      <rPr>
        <sz val="10"/>
        <color theme="1"/>
        <rFont val="Calibri"/>
        <family val="2"/>
        <scheme val="minor"/>
      </rPr>
      <t xml:space="preserve"> - Partner of parent
</t>
    </r>
    <r>
      <rPr>
        <b/>
        <sz val="10"/>
        <color theme="1"/>
        <rFont val="Calibri"/>
        <family val="2"/>
        <scheme val="minor"/>
      </rPr>
      <t>ProbationOfficer</t>
    </r>
    <r>
      <rPr>
        <sz val="10"/>
        <color theme="1"/>
        <rFont val="Calibri"/>
        <family val="2"/>
        <scheme val="minor"/>
      </rPr>
      <t xml:space="preserve"> - Probation officer
</t>
    </r>
    <r>
      <rPr>
        <b/>
        <sz val="10"/>
        <color theme="1"/>
        <rFont val="Calibri"/>
        <family val="2"/>
        <scheme val="minor"/>
      </rPr>
      <t>Relative</t>
    </r>
    <r>
      <rPr>
        <sz val="10"/>
        <color theme="1"/>
        <rFont val="Calibri"/>
        <family val="2"/>
        <scheme val="minor"/>
      </rPr>
      <t xml:space="preserve"> - Relative
</t>
    </r>
    <r>
      <rPr>
        <b/>
        <sz val="10"/>
        <color theme="1"/>
        <rFont val="Calibri"/>
        <family val="2"/>
        <scheme val="minor"/>
      </rPr>
      <t>Sibling</t>
    </r>
    <r>
      <rPr>
        <sz val="10"/>
        <color theme="1"/>
        <rFont val="Calibri"/>
        <family val="2"/>
        <scheme val="minor"/>
      </rPr>
      <t xml:space="preserve"> - Sibling
</t>
    </r>
    <r>
      <rPr>
        <b/>
        <sz val="10"/>
        <color theme="1"/>
        <rFont val="Calibri"/>
        <family val="2"/>
        <scheme val="minor"/>
      </rPr>
      <t>SisterInLaw</t>
    </r>
    <r>
      <rPr>
        <sz val="10"/>
        <color theme="1"/>
        <rFont val="Calibri"/>
        <family val="2"/>
        <scheme val="minor"/>
      </rPr>
      <t xml:space="preserve"> - Sister-in-law
</t>
    </r>
    <r>
      <rPr>
        <b/>
        <sz val="10"/>
        <color theme="1"/>
        <rFont val="Calibri"/>
        <family val="2"/>
        <scheme val="minor"/>
      </rPr>
      <t>SonInLaw</t>
    </r>
    <r>
      <rPr>
        <sz val="10"/>
        <color theme="1"/>
        <rFont val="Calibri"/>
        <family val="2"/>
        <scheme val="minor"/>
      </rPr>
      <t xml:space="preserve"> - Son-in-law
</t>
    </r>
    <r>
      <rPr>
        <b/>
        <sz val="10"/>
        <color theme="1"/>
        <rFont val="Calibri"/>
        <family val="2"/>
        <scheme val="minor"/>
      </rPr>
      <t>Spouse</t>
    </r>
    <r>
      <rPr>
        <sz val="10"/>
        <color theme="1"/>
        <rFont val="Calibri"/>
        <family val="2"/>
        <scheme val="minor"/>
      </rPr>
      <t xml:space="preserve"> - Spouse
</t>
    </r>
    <r>
      <rPr>
        <b/>
        <sz val="10"/>
        <color theme="1"/>
        <rFont val="Calibri"/>
        <family val="2"/>
        <scheme val="minor"/>
      </rPr>
      <t>Stepbrother</t>
    </r>
    <r>
      <rPr>
        <sz val="10"/>
        <color theme="1"/>
        <rFont val="Calibri"/>
        <family val="2"/>
        <scheme val="minor"/>
      </rPr>
      <t xml:space="preserve"> - Stepbrother
</t>
    </r>
    <r>
      <rPr>
        <b/>
        <sz val="10"/>
        <color theme="1"/>
        <rFont val="Calibri"/>
        <family val="2"/>
        <scheme val="minor"/>
      </rPr>
      <t>Stepdaughter</t>
    </r>
    <r>
      <rPr>
        <sz val="10"/>
        <color theme="1"/>
        <rFont val="Calibri"/>
        <family val="2"/>
        <scheme val="minor"/>
      </rPr>
      <t xml:space="preserve"> - Stepdaughter
</t>
    </r>
    <r>
      <rPr>
        <b/>
        <sz val="10"/>
        <color theme="1"/>
        <rFont val="Calibri"/>
        <family val="2"/>
        <scheme val="minor"/>
      </rPr>
      <t>Stepfather</t>
    </r>
    <r>
      <rPr>
        <sz val="10"/>
        <color theme="1"/>
        <rFont val="Calibri"/>
        <family val="2"/>
        <scheme val="minor"/>
      </rPr>
      <t xml:space="preserve"> - Stepfather
</t>
    </r>
    <r>
      <rPr>
        <b/>
        <sz val="10"/>
        <color theme="1"/>
        <rFont val="Calibri"/>
        <family val="2"/>
        <scheme val="minor"/>
      </rPr>
      <t>Stepmother</t>
    </r>
    <r>
      <rPr>
        <sz val="10"/>
        <color theme="1"/>
        <rFont val="Calibri"/>
        <family val="2"/>
        <scheme val="minor"/>
      </rPr>
      <t xml:space="preserve"> - Stepmother
</t>
    </r>
    <r>
      <rPr>
        <b/>
        <sz val="10"/>
        <color theme="1"/>
        <rFont val="Calibri"/>
        <family val="2"/>
        <scheme val="minor"/>
      </rPr>
      <t>Stepparent</t>
    </r>
    <r>
      <rPr>
        <sz val="10"/>
        <color theme="1"/>
        <rFont val="Calibri"/>
        <family val="2"/>
        <scheme val="minor"/>
      </rPr>
      <t xml:space="preserve"> - Stepparent
</t>
    </r>
    <r>
      <rPr>
        <b/>
        <sz val="10"/>
        <color theme="1"/>
        <rFont val="Calibri"/>
        <family val="2"/>
        <scheme val="minor"/>
      </rPr>
      <t>Stepsister</t>
    </r>
    <r>
      <rPr>
        <sz val="10"/>
        <color theme="1"/>
        <rFont val="Calibri"/>
        <family val="2"/>
        <scheme val="minor"/>
      </rPr>
      <t xml:space="preserve"> - Stepsister
</t>
    </r>
    <r>
      <rPr>
        <b/>
        <sz val="10"/>
        <color theme="1"/>
        <rFont val="Calibri"/>
        <family val="2"/>
        <scheme val="minor"/>
      </rPr>
      <t>Stepson</t>
    </r>
    <r>
      <rPr>
        <sz val="10"/>
        <color theme="1"/>
        <rFont val="Calibri"/>
        <family val="2"/>
        <scheme val="minor"/>
      </rPr>
      <t xml:space="preserve"> - Stepson
</t>
    </r>
  </si>
  <si>
    <t>Adult Education -&gt; AE Staff -&gt; Relationship (added)
Adult Education -&gt; AE Student -&gt; Relationship (added)
Career and Technical -&gt; CTE Staff -&gt; Relationship (added)
Career and Technical -&gt; CTE Student -&gt; Relationship (added)
Early Learning -&gt; EL Child -&gt; Relationship (added)
Early Learning -&gt; EL Staff -&gt; Relationship (added)
Early Learning -&gt; Parent/Guardian -&gt; Relationship
K12 -&gt; K12 Staff -&gt; Relationship (added)
K12 -&gt; K12 Student -&gt; Relationship (added)
K12 -&gt; Parent/Guardian -&gt; Relationship
Postsecondary -&gt; Parent/Guardian -&gt; Relationship
Postsecondary -&gt; PS Student -&gt; Relationship (added)
Workforce -&gt; Workforce Program Participant -&gt; Relationship (added)</t>
  </si>
  <si>
    <t>Updated the element name, definition, and option definitions to remove the focus on learner and simply indicate a relationship between two persons which reflects how the CEDS Integrated Data Store is modeled. Added additional options to reflect a wider variety of person to person relationships. Element applied to additional DES contexts.</t>
  </si>
  <si>
    <t>For implementation in the CEDS Integrated Data Store (IDS), the "person" in the description would be the person referred to in the PersonId column in the IDS. The "related person" in the description would be the person referred to in the "RelatedPersonId" in the IDS. Example: Foster mother - The person (PersonId) is the related person's (RelatedPersonId) Foster mother.</t>
  </si>
  <si>
    <t>000425</t>
  </si>
  <si>
    <t>PersonRelationshipType</t>
  </si>
  <si>
    <t>Personal Information Verification</t>
  </si>
  <si>
    <t>The evidence by which a persons name, address, date of birth, etc. is confirmed.</t>
  </si>
  <si>
    <r>
      <t>01003</t>
    </r>
    <r>
      <rPr>
        <sz val="10"/>
        <color theme="1"/>
        <rFont val="Calibri"/>
        <family val="2"/>
        <scheme val="minor"/>
      </rPr>
      <t xml:space="preserve"> - Baptismal or church certificate
</t>
    </r>
    <r>
      <rPr>
        <b/>
        <sz val="10"/>
        <color theme="1"/>
        <rFont val="Calibri"/>
        <family val="2"/>
        <scheme val="minor"/>
      </rPr>
      <t>01004</t>
    </r>
    <r>
      <rPr>
        <sz val="10"/>
        <color theme="1"/>
        <rFont val="Calibri"/>
        <family val="2"/>
        <scheme val="minor"/>
      </rPr>
      <t xml:space="preserve"> - Birth certificate
</t>
    </r>
    <r>
      <rPr>
        <b/>
        <sz val="10"/>
        <color theme="1"/>
        <rFont val="Calibri"/>
        <family val="2"/>
        <scheme val="minor"/>
      </rPr>
      <t>01012</t>
    </r>
    <r>
      <rPr>
        <sz val="10"/>
        <color theme="1"/>
        <rFont val="Calibri"/>
        <family val="2"/>
        <scheme val="minor"/>
      </rPr>
      <t xml:space="preserve"> - Driver's license
</t>
    </r>
    <r>
      <rPr>
        <b/>
        <sz val="10"/>
        <color theme="1"/>
        <rFont val="Calibri"/>
        <family val="2"/>
        <scheme val="minor"/>
      </rPr>
      <t>01005</t>
    </r>
    <r>
      <rPr>
        <sz val="10"/>
        <color theme="1"/>
        <rFont val="Calibri"/>
        <family val="2"/>
        <scheme val="minor"/>
      </rPr>
      <t xml:space="preserve"> - Entry in family Bible
</t>
    </r>
    <r>
      <rPr>
        <b/>
        <sz val="10"/>
        <color theme="1"/>
        <rFont val="Calibri"/>
        <family val="2"/>
        <scheme val="minor"/>
      </rPr>
      <t>01006</t>
    </r>
    <r>
      <rPr>
        <sz val="10"/>
        <color theme="1"/>
        <rFont val="Calibri"/>
        <family val="2"/>
        <scheme val="minor"/>
      </rPr>
      <t xml:space="preserve"> - Hospital certificate
</t>
    </r>
    <r>
      <rPr>
        <b/>
        <sz val="10"/>
        <color theme="1"/>
        <rFont val="Calibri"/>
        <family val="2"/>
        <scheme val="minor"/>
      </rPr>
      <t>01013</t>
    </r>
    <r>
      <rPr>
        <sz val="10"/>
        <color theme="1"/>
        <rFont val="Calibri"/>
        <family val="2"/>
        <scheme val="minor"/>
      </rPr>
      <t xml:space="preserve"> - Immigration document/visa
</t>
    </r>
    <r>
      <rPr>
        <b/>
        <sz val="10"/>
        <color theme="1"/>
        <rFont val="Calibri"/>
        <family val="2"/>
        <scheme val="minor"/>
      </rPr>
      <t>02382</t>
    </r>
    <r>
      <rPr>
        <sz val="10"/>
        <color theme="1"/>
        <rFont val="Calibri"/>
        <family val="2"/>
        <scheme val="minor"/>
      </rPr>
      <t xml:space="preserve"> - Life insurance policy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03424</t>
    </r>
    <r>
      <rPr>
        <sz val="10"/>
        <color theme="1"/>
        <rFont val="Calibri"/>
        <family val="2"/>
        <scheme val="minor"/>
      </rPr>
      <t xml:space="preserve"> - Other non-official document
</t>
    </r>
    <r>
      <rPr>
        <b/>
        <sz val="10"/>
        <color theme="1"/>
        <rFont val="Calibri"/>
        <family val="2"/>
        <scheme val="minor"/>
      </rPr>
      <t>03423</t>
    </r>
    <r>
      <rPr>
        <sz val="10"/>
        <color theme="1"/>
        <rFont val="Calibri"/>
        <family val="2"/>
        <scheme val="minor"/>
      </rPr>
      <t xml:space="preserve"> - Other official document
</t>
    </r>
    <r>
      <rPr>
        <b/>
        <sz val="10"/>
        <color theme="1"/>
        <rFont val="Calibri"/>
        <family val="2"/>
        <scheme val="minor"/>
      </rPr>
      <t>01007</t>
    </r>
    <r>
      <rPr>
        <sz val="10"/>
        <color theme="1"/>
        <rFont val="Calibri"/>
        <family val="2"/>
        <scheme val="minor"/>
      </rPr>
      <t xml:space="preserve"> - Parent's affidavit
</t>
    </r>
    <r>
      <rPr>
        <b/>
        <sz val="10"/>
        <color theme="1"/>
        <rFont val="Calibri"/>
        <family val="2"/>
        <scheme val="minor"/>
      </rPr>
      <t>01008</t>
    </r>
    <r>
      <rPr>
        <sz val="10"/>
        <color theme="1"/>
        <rFont val="Calibri"/>
        <family val="2"/>
        <scheme val="minor"/>
      </rPr>
      <t xml:space="preserve"> - Passport
</t>
    </r>
    <r>
      <rPr>
        <b/>
        <sz val="10"/>
        <color theme="1"/>
        <rFont val="Calibri"/>
        <family val="2"/>
        <scheme val="minor"/>
      </rPr>
      <t>01009</t>
    </r>
    <r>
      <rPr>
        <sz val="10"/>
        <color theme="1"/>
        <rFont val="Calibri"/>
        <family val="2"/>
        <scheme val="minor"/>
      </rPr>
      <t xml:space="preserve"> - Physician's certificate
</t>
    </r>
    <r>
      <rPr>
        <b/>
        <sz val="10"/>
        <color theme="1"/>
        <rFont val="Calibri"/>
        <family val="2"/>
        <scheme val="minor"/>
      </rPr>
      <t>01010</t>
    </r>
    <r>
      <rPr>
        <sz val="10"/>
        <color theme="1"/>
        <rFont val="Calibri"/>
        <family val="2"/>
        <scheme val="minor"/>
      </rPr>
      <t xml:space="preserve"> - Previously verified school records
</t>
    </r>
    <r>
      <rPr>
        <b/>
        <sz val="10"/>
        <color theme="1"/>
        <rFont val="Calibri"/>
        <family val="2"/>
        <scheme val="minor"/>
      </rPr>
      <t>01011</t>
    </r>
    <r>
      <rPr>
        <sz val="10"/>
        <color theme="1"/>
        <rFont val="Calibri"/>
        <family val="2"/>
        <scheme val="minor"/>
      </rPr>
      <t xml:space="preserve"> - State-issued ID
</t>
    </r>
  </si>
  <si>
    <t>Adult Education -&gt; AE Staff -&gt; Identity -&gt; Identification
Adult Education -&gt; AE Student -&gt; Identity -&gt; Identification
Career and Technical -&gt; CTE Staff -&gt; Identity -&gt; Identification
Career and Technical -&gt; CTE Student -&gt; Identity -&gt; Identification
Early Learning -&gt; EL Child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</si>
  <si>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000618</t>
  </si>
  <si>
    <t>PersonalInformationVerification</t>
  </si>
  <si>
    <t>Personal Title or Prefix</t>
  </si>
  <si>
    <t>An appellation, if any, used to denote rank, placement, or status (e.g., Mr., Ms., Reverend, Sister, Dr., Colonel).</t>
  </si>
  <si>
    <t>Adult Education -&gt; AE Staff -&gt; Identity -&gt; Name
Adult Education -&gt; AE Student -&gt; Identity -&gt; Name
Career and Technical -&gt; CTE Staff -&gt; Identity -&gt; Name
Career and Technical -&gt; CTE Student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</si>
  <si>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000212</t>
  </si>
  <si>
    <t>Prefix</t>
  </si>
  <si>
    <t>PersonalTitleOrPrefix</t>
  </si>
  <si>
    <t>Early Learning -&gt; Staff Quality
K-12 -&gt; High School Generated Transcript
K-12 -&gt; LEA-to-LEA Student Record Exchange
K-12 -&gt; LEA-to-SEA Student Record Exchange</t>
  </si>
  <si>
    <t>Personnel Policy Type</t>
  </si>
  <si>
    <t>Policies related to personnel in the organization.</t>
  </si>
  <si>
    <r>
      <t>01</t>
    </r>
    <r>
      <rPr>
        <sz val="10"/>
        <color theme="1"/>
        <rFont val="Calibri"/>
        <family val="2"/>
        <scheme val="minor"/>
      </rPr>
      <t xml:space="preserve"> - Staff feedback
</t>
    </r>
    <r>
      <rPr>
        <b/>
        <sz val="10"/>
        <color theme="1"/>
        <rFont val="Calibri"/>
        <family val="2"/>
        <scheme val="minor"/>
      </rPr>
      <t>02</t>
    </r>
    <r>
      <rPr>
        <sz val="10"/>
        <color theme="1"/>
        <rFont val="Calibri"/>
        <family val="2"/>
        <scheme val="minor"/>
      </rPr>
      <t xml:space="preserve"> - Staff meetings
</t>
    </r>
    <r>
      <rPr>
        <b/>
        <sz val="10"/>
        <color theme="1"/>
        <rFont val="Calibri"/>
        <family val="2"/>
        <scheme val="minor"/>
      </rPr>
      <t>03</t>
    </r>
    <r>
      <rPr>
        <sz val="10"/>
        <color theme="1"/>
        <rFont val="Calibri"/>
        <family val="2"/>
        <scheme val="minor"/>
      </rPr>
      <t xml:space="preserve"> - Annual performance evaluation
</t>
    </r>
    <r>
      <rPr>
        <b/>
        <sz val="10"/>
        <color theme="1"/>
        <rFont val="Calibri"/>
        <family val="2"/>
        <scheme val="minor"/>
      </rPr>
      <t>04</t>
    </r>
    <r>
      <rPr>
        <sz val="10"/>
        <color theme="1"/>
        <rFont val="Calibri"/>
        <family val="2"/>
        <scheme val="minor"/>
      </rPr>
      <t xml:space="preserve"> - Personal development plans
</t>
    </r>
    <r>
      <rPr>
        <b/>
        <sz val="10"/>
        <color theme="1"/>
        <rFont val="Calibri"/>
        <family val="2"/>
        <scheme val="minor"/>
      </rPr>
      <t>05</t>
    </r>
    <r>
      <rPr>
        <sz val="10"/>
        <color theme="1"/>
        <rFont val="Calibri"/>
        <family val="2"/>
        <scheme val="minor"/>
      </rPr>
      <t xml:space="preserve"> - New staff orientation
</t>
    </r>
  </si>
  <si>
    <t>000842</t>
  </si>
  <si>
    <t>PersonnelPolicyType</t>
  </si>
  <si>
    <t>PESC Award Level Type</t>
  </si>
  <si>
    <r>
      <t>B17</t>
    </r>
    <r>
      <rPr>
        <sz val="10"/>
        <color theme="1"/>
        <rFont val="Calibri"/>
        <family val="2"/>
        <scheme val="minor"/>
      </rPr>
      <t xml:space="preserve"> - Did not complete secondary school
</t>
    </r>
    <r>
      <rPr>
        <b/>
        <sz val="10"/>
        <color theme="1"/>
        <rFont val="Calibri"/>
        <family val="2"/>
        <scheme val="minor"/>
      </rPr>
      <t>B18</t>
    </r>
    <r>
      <rPr>
        <sz val="10"/>
        <color theme="1"/>
        <rFont val="Calibri"/>
        <family val="2"/>
        <scheme val="minor"/>
      </rPr>
      <t xml:space="preserve"> - Standard High School Diploma which may or may not include an exit test
</t>
    </r>
    <r>
      <rPr>
        <b/>
        <sz val="10"/>
        <color theme="1"/>
        <rFont val="Calibri"/>
        <family val="2"/>
        <scheme val="minor"/>
      </rPr>
      <t>B19</t>
    </r>
    <r>
      <rPr>
        <sz val="10"/>
        <color theme="1"/>
        <rFont val="Calibri"/>
        <family val="2"/>
        <scheme val="minor"/>
      </rPr>
      <t xml:space="preserve"> - Advanced or honors diploma
</t>
    </r>
    <r>
      <rPr>
        <b/>
        <sz val="10"/>
        <color theme="1"/>
        <rFont val="Calibri"/>
        <family val="2"/>
        <scheme val="minor"/>
      </rPr>
      <t>B20</t>
    </r>
    <r>
      <rPr>
        <sz val="10"/>
        <color theme="1"/>
        <rFont val="Calibri"/>
        <family val="2"/>
        <scheme val="minor"/>
      </rPr>
      <t xml:space="preserve"> - Vocational diploma
</t>
    </r>
    <r>
      <rPr>
        <b/>
        <sz val="10"/>
        <color theme="1"/>
        <rFont val="Calibri"/>
        <family val="2"/>
        <scheme val="minor"/>
      </rPr>
      <t>B21</t>
    </r>
    <r>
      <rPr>
        <sz val="10"/>
        <color theme="1"/>
        <rFont val="Calibri"/>
        <family val="2"/>
        <scheme val="minor"/>
      </rPr>
      <t xml:space="preserve"> - Special Education Diploma normally for students with a disability
</t>
    </r>
    <r>
      <rPr>
        <b/>
        <sz val="10"/>
        <color theme="1"/>
        <rFont val="Calibri"/>
        <family val="2"/>
        <scheme val="minor"/>
      </rPr>
      <t>B22</t>
    </r>
    <r>
      <rPr>
        <sz val="10"/>
        <color theme="1"/>
        <rFont val="Calibri"/>
        <family val="2"/>
        <scheme val="minor"/>
      </rPr>
      <t xml:space="preserve"> - Certificate of completion or attendance
</t>
    </r>
    <r>
      <rPr>
        <b/>
        <sz val="10"/>
        <color theme="1"/>
        <rFont val="Calibri"/>
        <family val="2"/>
        <scheme val="minor"/>
      </rPr>
      <t>B23</t>
    </r>
    <r>
      <rPr>
        <sz val="10"/>
        <color theme="1"/>
        <rFont val="Calibri"/>
        <family val="2"/>
        <scheme val="minor"/>
      </rPr>
      <t xml:space="preserve"> - Special certificate of completion or attendance
</t>
    </r>
    <r>
      <rPr>
        <b/>
        <sz val="10"/>
        <color theme="1"/>
        <rFont val="Calibri"/>
        <family val="2"/>
        <scheme val="minor"/>
      </rPr>
      <t>B24</t>
    </r>
    <r>
      <rPr>
        <sz val="10"/>
        <color theme="1"/>
        <rFont val="Calibri"/>
        <family val="2"/>
        <scheme val="minor"/>
      </rPr>
      <t xml:space="preserve"> - General Education Development Test Diploma (GED)
</t>
    </r>
    <r>
      <rPr>
        <b/>
        <sz val="10"/>
        <color theme="1"/>
        <rFont val="Calibri"/>
        <family val="2"/>
        <scheme val="minor"/>
      </rPr>
      <t>B25</t>
    </r>
    <r>
      <rPr>
        <sz val="10"/>
        <color theme="1"/>
        <rFont val="Calibri"/>
        <family val="2"/>
        <scheme val="minor"/>
      </rPr>
      <t xml:space="preserve"> - Other high school equivalency diploma
</t>
    </r>
    <r>
      <rPr>
        <b/>
        <sz val="10"/>
        <color theme="1"/>
        <rFont val="Calibri"/>
        <family val="2"/>
        <scheme val="minor"/>
      </rPr>
      <t>B26</t>
    </r>
    <r>
      <rPr>
        <sz val="10"/>
        <color theme="1"/>
        <rFont val="Calibri"/>
        <family val="2"/>
        <scheme val="minor"/>
      </rPr>
      <t xml:space="preserve"> - International diploma or certificate (such as International Baccalaureate)
</t>
    </r>
    <r>
      <rPr>
        <b/>
        <sz val="10"/>
        <color theme="1"/>
        <rFont val="Calibri"/>
        <family val="2"/>
        <scheme val="minor"/>
      </rPr>
      <t>B27</t>
    </r>
    <r>
      <rPr>
        <sz val="10"/>
        <color theme="1"/>
        <rFont val="Calibri"/>
        <family val="2"/>
        <scheme val="minor"/>
      </rPr>
      <t xml:space="preserve"> - Standard High School Diploma with only 3 year curriculum
</t>
    </r>
    <r>
      <rPr>
        <b/>
        <sz val="10"/>
        <color theme="1"/>
        <rFont val="Calibri"/>
        <family val="2"/>
        <scheme val="minor"/>
      </rPr>
      <t>B28</t>
    </r>
    <r>
      <rPr>
        <sz val="10"/>
        <color theme="1"/>
        <rFont val="Calibri"/>
        <family val="2"/>
        <scheme val="minor"/>
      </rPr>
      <t xml:space="preserve"> - Met all graduation requirements except for required exit test
</t>
    </r>
    <r>
      <rPr>
        <b/>
        <sz val="10"/>
        <color theme="1"/>
        <rFont val="Calibri"/>
        <family val="2"/>
        <scheme val="minor"/>
      </rPr>
      <t>1.1</t>
    </r>
    <r>
      <rPr>
        <sz val="10"/>
        <color theme="1"/>
        <rFont val="Calibri"/>
        <family val="2"/>
        <scheme val="minor"/>
      </rPr>
      <t xml:space="preserve"> - Certificate of completion
</t>
    </r>
    <r>
      <rPr>
        <b/>
        <sz val="10"/>
        <color theme="1"/>
        <rFont val="Calibri"/>
        <family val="2"/>
        <scheme val="minor"/>
      </rPr>
      <t>1.2</t>
    </r>
    <r>
      <rPr>
        <sz val="10"/>
        <color theme="1"/>
        <rFont val="Calibri"/>
        <family val="2"/>
        <scheme val="minor"/>
      </rPr>
      <t xml:space="preserve"> - Certificate of proficiency
</t>
    </r>
    <r>
      <rPr>
        <b/>
        <sz val="10"/>
        <color theme="1"/>
        <rFont val="Calibri"/>
        <family val="2"/>
        <scheme val="minor"/>
      </rPr>
      <t>2.0</t>
    </r>
    <r>
      <rPr>
        <sz val="10"/>
        <color theme="1"/>
        <rFont val="Calibri"/>
        <family val="2"/>
        <scheme val="minor"/>
      </rPr>
      <t xml:space="preserve"> - Certificate
</t>
    </r>
    <r>
      <rPr>
        <b/>
        <sz val="10"/>
        <color theme="1"/>
        <rFont val="Calibri"/>
        <family val="2"/>
        <scheme val="minor"/>
      </rPr>
      <t>2.1</t>
    </r>
    <r>
      <rPr>
        <sz val="10"/>
        <color theme="1"/>
        <rFont val="Calibri"/>
        <family val="2"/>
        <scheme val="minor"/>
      </rPr>
      <t xml:space="preserve"> - Postsecondary Certificate Or Diploma (less than one year)
</t>
    </r>
    <r>
      <rPr>
        <b/>
        <sz val="10"/>
        <color theme="1"/>
        <rFont val="Calibri"/>
        <family val="2"/>
        <scheme val="minor"/>
      </rPr>
      <t>2.2</t>
    </r>
    <r>
      <rPr>
        <sz val="10"/>
        <color theme="1"/>
        <rFont val="Calibri"/>
        <family val="2"/>
        <scheme val="minor"/>
      </rPr>
      <t xml:space="preserve"> - Postsecondary Certificate Or Diploma (one year or more but less than four years)
</t>
    </r>
    <r>
      <rPr>
        <b/>
        <sz val="10"/>
        <color theme="1"/>
        <rFont val="Calibri"/>
        <family val="2"/>
        <scheme val="minor"/>
      </rPr>
      <t>2.3</t>
    </r>
    <r>
      <rPr>
        <sz val="10"/>
        <color theme="1"/>
        <rFont val="Calibri"/>
        <family val="2"/>
        <scheme val="minor"/>
      </rPr>
      <t xml:space="preserve"> - Associate Degree (e.g., Associate In Arts, Associate In Science)
</t>
    </r>
    <r>
      <rPr>
        <b/>
        <sz val="10"/>
        <color theme="1"/>
        <rFont val="Calibri"/>
        <family val="2"/>
        <scheme val="minor"/>
      </rPr>
      <t>2.4</t>
    </r>
    <r>
      <rPr>
        <sz val="10"/>
        <color theme="1"/>
        <rFont val="Calibri"/>
        <family val="2"/>
        <scheme val="minor"/>
      </rPr>
      <t xml:space="preserve"> - Baccalaureate Degree
</t>
    </r>
    <r>
      <rPr>
        <b/>
        <sz val="10"/>
        <color theme="1"/>
        <rFont val="Calibri"/>
        <family val="2"/>
        <scheme val="minor"/>
      </rPr>
      <t>2.5</t>
    </r>
    <r>
      <rPr>
        <sz val="10"/>
        <color theme="1"/>
        <rFont val="Calibri"/>
        <family val="2"/>
        <scheme val="minor"/>
      </rPr>
      <t xml:space="preserve"> - Baccalaureate (Honors) Degree
</t>
    </r>
    <r>
      <rPr>
        <b/>
        <sz val="10"/>
        <color theme="1"/>
        <rFont val="Calibri"/>
        <family val="2"/>
        <scheme val="minor"/>
      </rPr>
      <t>2.6</t>
    </r>
    <r>
      <rPr>
        <sz val="10"/>
        <color theme="1"/>
        <rFont val="Calibri"/>
        <family val="2"/>
        <scheme val="minor"/>
      </rPr>
      <t xml:space="preserve"> - Postsecondary Certificate Or Diploma (one year or more but less than two years)
</t>
    </r>
    <r>
      <rPr>
        <b/>
        <sz val="10"/>
        <color theme="1"/>
        <rFont val="Calibri"/>
        <family val="2"/>
        <scheme val="minor"/>
      </rPr>
      <t>2.7</t>
    </r>
    <r>
      <rPr>
        <sz val="10"/>
        <color theme="1"/>
        <rFont val="Calibri"/>
        <family val="2"/>
        <scheme val="minor"/>
      </rPr>
      <t xml:space="preserve"> - Postsecondary Certificate Or Diploma (two years or more but less than four years)
</t>
    </r>
    <r>
      <rPr>
        <b/>
        <sz val="10"/>
        <color theme="1"/>
        <rFont val="Calibri"/>
        <family val="2"/>
        <scheme val="minor"/>
      </rPr>
      <t>3.1</t>
    </r>
    <r>
      <rPr>
        <sz val="10"/>
        <color theme="1"/>
        <rFont val="Calibri"/>
        <family val="2"/>
        <scheme val="minor"/>
      </rPr>
      <t xml:space="preserve"> - First Professional Degree
</t>
    </r>
    <r>
      <rPr>
        <b/>
        <sz val="10"/>
        <color theme="1"/>
        <rFont val="Calibri"/>
        <family val="2"/>
        <scheme val="minor"/>
      </rPr>
      <t>3.2</t>
    </r>
    <r>
      <rPr>
        <sz val="10"/>
        <color theme="1"/>
        <rFont val="Calibri"/>
        <family val="2"/>
        <scheme val="minor"/>
      </rPr>
      <t xml:space="preserve"> - Post-Professional Degree
</t>
    </r>
    <r>
      <rPr>
        <b/>
        <sz val="10"/>
        <color theme="1"/>
        <rFont val="Calibri"/>
        <family val="2"/>
        <scheme val="minor"/>
      </rPr>
      <t>4.1</t>
    </r>
    <r>
      <rPr>
        <sz val="10"/>
        <color theme="1"/>
        <rFont val="Calibri"/>
        <family val="2"/>
        <scheme val="minor"/>
      </rPr>
      <t xml:space="preserve"> - Graduate Certificate
</t>
    </r>
    <r>
      <rPr>
        <b/>
        <sz val="10"/>
        <color theme="1"/>
        <rFont val="Calibri"/>
        <family val="2"/>
        <scheme val="minor"/>
      </rPr>
      <t>4.2</t>
    </r>
    <r>
      <rPr>
        <sz val="10"/>
        <color theme="1"/>
        <rFont val="Calibri"/>
        <family val="2"/>
        <scheme val="minor"/>
      </rPr>
      <t xml:space="preserve"> - Master's Degree
</t>
    </r>
    <r>
      <rPr>
        <b/>
        <sz val="10"/>
        <color theme="1"/>
        <rFont val="Calibri"/>
        <family val="2"/>
        <scheme val="minor"/>
      </rPr>
      <t>4.3</t>
    </r>
    <r>
      <rPr>
        <sz val="10"/>
        <color theme="1"/>
        <rFont val="Calibri"/>
        <family val="2"/>
        <scheme val="minor"/>
      </rPr>
      <t xml:space="preserve"> - Intermediate Graduate Degree
</t>
    </r>
    <r>
      <rPr>
        <b/>
        <sz val="10"/>
        <color theme="1"/>
        <rFont val="Calibri"/>
        <family val="2"/>
        <scheme val="minor"/>
      </rPr>
      <t>4.4</t>
    </r>
    <r>
      <rPr>
        <sz val="10"/>
        <color theme="1"/>
        <rFont val="Calibri"/>
        <family val="2"/>
        <scheme val="minor"/>
      </rPr>
      <t xml:space="preserve"> - Doctoral Degree
</t>
    </r>
    <r>
      <rPr>
        <b/>
        <sz val="10"/>
        <color theme="1"/>
        <rFont val="Calibri"/>
        <family val="2"/>
        <scheme val="minor"/>
      </rPr>
      <t>4.5</t>
    </r>
    <r>
      <rPr>
        <sz val="10"/>
        <color theme="1"/>
        <rFont val="Calibri"/>
        <family val="2"/>
        <scheme val="minor"/>
      </rPr>
      <t xml:space="preserve"> - Post-doctoral Award
</t>
    </r>
    <r>
      <rPr>
        <b/>
        <sz val="10"/>
        <color theme="1"/>
        <rFont val="Calibri"/>
        <family val="2"/>
        <scheme val="minor"/>
      </rPr>
      <t>IPEDS1</t>
    </r>
    <r>
      <rPr>
        <sz val="10"/>
        <color theme="1"/>
        <rFont val="Calibri"/>
        <family val="2"/>
        <scheme val="minor"/>
      </rPr>
      <t xml:space="preserve"> - Postsecondary award, certificate, or diploma of less than one academic year (less than 900 contact or clock hours)
</t>
    </r>
    <r>
      <rPr>
        <b/>
        <sz val="10"/>
        <color theme="1"/>
        <rFont val="Calibri"/>
        <family val="2"/>
        <scheme val="minor"/>
      </rPr>
      <t>IPEDS2</t>
    </r>
    <r>
      <rPr>
        <sz val="10"/>
        <color theme="1"/>
        <rFont val="Calibri"/>
        <family val="2"/>
        <scheme val="minor"/>
      </rPr>
      <t xml:space="preserve"> - Postsecondary award, certificate, or diploma of at least one but less than two academic years (at least 900 but less than 1800 contact or clock hours)
</t>
    </r>
    <r>
      <rPr>
        <b/>
        <sz val="10"/>
        <color theme="1"/>
        <rFont val="Calibri"/>
        <family val="2"/>
        <scheme val="minor"/>
      </rPr>
      <t>IPEDS3</t>
    </r>
    <r>
      <rPr>
        <sz val="10"/>
        <color theme="1"/>
        <rFont val="Calibri"/>
        <family val="2"/>
        <scheme val="minor"/>
      </rPr>
      <t xml:space="preserve"> - Associate's Degree
</t>
    </r>
    <r>
      <rPr>
        <b/>
        <sz val="10"/>
        <color theme="1"/>
        <rFont val="Calibri"/>
        <family val="2"/>
        <scheme val="minor"/>
      </rPr>
      <t>IPEDS4</t>
    </r>
    <r>
      <rPr>
        <sz val="10"/>
        <color theme="1"/>
        <rFont val="Calibri"/>
        <family val="2"/>
        <scheme val="minor"/>
      </rPr>
      <t xml:space="preserve"> - Postsecondary award, certificate, or diploma of at least two but less than four academic years (at least 1800 contact or clock hours)
</t>
    </r>
    <r>
      <rPr>
        <b/>
        <sz val="10"/>
        <color theme="1"/>
        <rFont val="Calibri"/>
        <family val="2"/>
        <scheme val="minor"/>
      </rPr>
      <t>IPEDS5</t>
    </r>
    <r>
      <rPr>
        <sz val="10"/>
        <color theme="1"/>
        <rFont val="Calibri"/>
        <family val="2"/>
        <scheme val="minor"/>
      </rPr>
      <t xml:space="preserve"> - Bachelor's Degree or equivalent
</t>
    </r>
    <r>
      <rPr>
        <b/>
        <sz val="10"/>
        <color theme="1"/>
        <rFont val="Calibri"/>
        <family val="2"/>
        <scheme val="minor"/>
      </rPr>
      <t>IPEDS6</t>
    </r>
    <r>
      <rPr>
        <sz val="10"/>
        <color theme="1"/>
        <rFont val="Calibri"/>
        <family val="2"/>
        <scheme val="minor"/>
      </rPr>
      <t xml:space="preserve"> - Postbaccalaureate Certificate
</t>
    </r>
    <r>
      <rPr>
        <b/>
        <sz val="10"/>
        <color theme="1"/>
        <rFont val="Calibri"/>
        <family val="2"/>
        <scheme val="minor"/>
      </rPr>
      <t>IPEDS7</t>
    </r>
    <r>
      <rPr>
        <sz val="10"/>
        <color theme="1"/>
        <rFont val="Calibri"/>
        <family val="2"/>
        <scheme val="minor"/>
      </rPr>
      <t xml:space="preserve"> - Master's Degree
</t>
    </r>
    <r>
      <rPr>
        <b/>
        <sz val="10"/>
        <color theme="1"/>
        <rFont val="Calibri"/>
        <family val="2"/>
        <scheme val="minor"/>
      </rPr>
      <t>IPEDS8</t>
    </r>
    <r>
      <rPr>
        <sz val="10"/>
        <color theme="1"/>
        <rFont val="Calibri"/>
        <family val="2"/>
        <scheme val="minor"/>
      </rPr>
      <t xml:space="preserve"> - Post Masters Certificate
</t>
    </r>
    <r>
      <rPr>
        <b/>
        <sz val="10"/>
        <color theme="1"/>
        <rFont val="Calibri"/>
        <family val="2"/>
        <scheme val="minor"/>
      </rPr>
      <t>IPEDS9</t>
    </r>
    <r>
      <rPr>
        <sz val="10"/>
        <color theme="1"/>
        <rFont val="Calibri"/>
        <family val="2"/>
        <scheme val="minor"/>
      </rPr>
      <t xml:space="preserve"> - Doctor's Degree
</t>
    </r>
    <r>
      <rPr>
        <b/>
        <sz val="10"/>
        <color theme="1"/>
        <rFont val="Calibri"/>
        <family val="2"/>
        <scheme val="minor"/>
      </rPr>
      <t>IPEDS10</t>
    </r>
    <r>
      <rPr>
        <sz val="10"/>
        <color theme="1"/>
        <rFont val="Calibri"/>
        <family val="2"/>
        <scheme val="minor"/>
      </rPr>
      <t xml:space="preserve"> - First-Professional Degree
</t>
    </r>
    <r>
      <rPr>
        <b/>
        <sz val="10"/>
        <color theme="1"/>
        <rFont val="Calibri"/>
        <family val="2"/>
        <scheme val="minor"/>
      </rPr>
      <t>IPEDS11</t>
    </r>
    <r>
      <rPr>
        <sz val="10"/>
        <color theme="1"/>
        <rFont val="Calibri"/>
        <family val="2"/>
        <scheme val="minor"/>
      </rPr>
      <t xml:space="preserve"> - First-Professional Certificate (Post-Degree)
</t>
    </r>
    <r>
      <rPr>
        <b/>
        <sz val="10"/>
        <color theme="1"/>
        <rFont val="Calibri"/>
        <family val="2"/>
        <scheme val="minor"/>
      </rPr>
      <t>IPEDS17</t>
    </r>
    <r>
      <rPr>
        <sz val="10"/>
        <color theme="1"/>
        <rFont val="Calibri"/>
        <family val="2"/>
        <scheme val="minor"/>
      </rPr>
      <t xml:space="preserve"> - Doctor's degree - research/scholarship
</t>
    </r>
    <r>
      <rPr>
        <b/>
        <sz val="10"/>
        <color theme="1"/>
        <rFont val="Calibri"/>
        <family val="2"/>
        <scheme val="minor"/>
      </rPr>
      <t>IPEDS18</t>
    </r>
    <r>
      <rPr>
        <sz val="10"/>
        <color theme="1"/>
        <rFont val="Calibri"/>
        <family val="2"/>
        <scheme val="minor"/>
      </rPr>
      <t xml:space="preserve"> - Doctor's degree - professional practice
</t>
    </r>
    <r>
      <rPr>
        <b/>
        <sz val="10"/>
        <color theme="1"/>
        <rFont val="Calibri"/>
        <family val="2"/>
        <scheme val="minor"/>
      </rPr>
      <t>IPEDS19</t>
    </r>
    <r>
      <rPr>
        <sz val="10"/>
        <color theme="1"/>
        <rFont val="Calibri"/>
        <family val="2"/>
        <scheme val="minor"/>
      </rPr>
      <t xml:space="preserve"> - Doctor's degree - other Award Levels
</t>
    </r>
    <r>
      <rPr>
        <b/>
        <sz val="10"/>
        <color theme="1"/>
        <rFont val="Calibri"/>
        <family val="2"/>
        <scheme val="minor"/>
      </rPr>
      <t>CEGEP</t>
    </r>
    <r>
      <rPr>
        <sz val="10"/>
        <color theme="1"/>
        <rFont val="Calibri"/>
        <family val="2"/>
        <scheme val="minor"/>
      </rPr>
      <t xml:space="preserve"> - CEGEP (an award made by Canadian secondary schools that is typically equivalent to a high school diploma plus one year of college level courses)
</t>
    </r>
    <r>
      <rPr>
        <b/>
        <sz val="10"/>
        <color theme="1"/>
        <rFont val="Calibri"/>
        <family val="2"/>
        <scheme val="minor"/>
      </rPr>
      <t>FrenchBaccalaureate</t>
    </r>
    <r>
      <rPr>
        <sz val="10"/>
        <color theme="1"/>
        <rFont val="Calibri"/>
        <family val="2"/>
        <scheme val="minor"/>
      </rPr>
      <t xml:space="preserve"> - French Baccalaureate (award made to high school students that allows French and international students to obtain a standardized qualification)
</t>
    </r>
    <r>
      <rPr>
        <b/>
        <sz val="10"/>
        <color theme="1"/>
        <rFont val="Calibri"/>
        <family val="2"/>
        <scheme val="minor"/>
      </rPr>
      <t>4.0</t>
    </r>
    <r>
      <rPr>
        <sz val="10"/>
        <color theme="1"/>
        <rFont val="Calibri"/>
        <family val="2"/>
        <scheme val="minor"/>
      </rPr>
      <t xml:space="preserve"> - Graduate non-degree - value to represent an award from graduate coursework that is not a certificate or degree
</t>
    </r>
    <r>
      <rPr>
        <b/>
        <sz val="10"/>
        <color theme="1"/>
        <rFont val="Calibri"/>
        <family val="2"/>
        <scheme val="minor"/>
      </rPr>
      <t>3.3</t>
    </r>
    <r>
      <rPr>
        <sz val="10"/>
        <color theme="1"/>
        <rFont val="Calibri"/>
        <family val="2"/>
        <scheme val="minor"/>
      </rPr>
      <t xml:space="preserve"> - Graduate Professional - value to represent an award from graduate coursework in a professional program
</t>
    </r>
    <r>
      <rPr>
        <b/>
        <sz val="10"/>
        <color theme="1"/>
        <rFont val="Calibri"/>
        <family val="2"/>
        <scheme val="minor"/>
      </rPr>
      <t>0.0</t>
    </r>
    <r>
      <rPr>
        <sz val="10"/>
        <color theme="1"/>
        <rFont val="Calibri"/>
        <family val="2"/>
        <scheme val="minor"/>
      </rPr>
      <t xml:space="preserve"> - Other - value to represent an award that does not otherwise fit existing enumerations
</t>
    </r>
    <r>
      <rPr>
        <b/>
        <sz val="10"/>
        <color theme="1"/>
        <rFont val="Calibri"/>
        <family val="2"/>
        <scheme val="minor"/>
      </rPr>
      <t>1.5</t>
    </r>
    <r>
      <rPr>
        <sz val="10"/>
        <color theme="1"/>
        <rFont val="Calibri"/>
        <family val="2"/>
        <scheme val="minor"/>
      </rPr>
      <t xml:space="preserve"> - Statement of achievement
</t>
    </r>
    <r>
      <rPr>
        <b/>
        <sz val="10"/>
        <color theme="1"/>
        <rFont val="Calibri"/>
        <family val="2"/>
        <scheme val="minor"/>
      </rPr>
      <t>1.4</t>
    </r>
    <r>
      <rPr>
        <sz val="10"/>
        <color theme="1"/>
        <rFont val="Calibri"/>
        <family val="2"/>
        <scheme val="minor"/>
      </rPr>
      <t xml:space="preserve"> - Statement of completion
</t>
    </r>
    <r>
      <rPr>
        <b/>
        <sz val="10"/>
        <color theme="1"/>
        <rFont val="Calibri"/>
        <family val="2"/>
        <scheme val="minor"/>
      </rPr>
      <t>1.3</t>
    </r>
    <r>
      <rPr>
        <sz val="10"/>
        <color theme="1"/>
        <rFont val="Calibri"/>
        <family val="2"/>
        <scheme val="minor"/>
      </rPr>
      <t xml:space="preserve"> - Statement of participation
</t>
    </r>
    <r>
      <rPr>
        <b/>
        <sz val="10"/>
        <color theme="1"/>
        <rFont val="Calibri"/>
        <family val="2"/>
        <scheme val="minor"/>
      </rPr>
      <t>2.8</t>
    </r>
    <r>
      <rPr>
        <sz val="10"/>
        <color theme="1"/>
        <rFont val="Calibri"/>
        <family val="2"/>
        <scheme val="minor"/>
      </rPr>
      <t xml:space="preserve"> - Undergraduate non-degree - value to represent an award from undergraduate coursework that is not a certificate or degree
</t>
    </r>
  </si>
  <si>
    <t>Updated option set by adding Other to support stakeholder request, to include definitions, and to limit description length to 150 characters.</t>
  </si>
  <si>
    <t>001668</t>
  </si>
  <si>
    <t>PESCAwardLevelType</t>
  </si>
  <si>
    <t>Position Title</t>
  </si>
  <si>
    <t>The descriptive name of a person's position.</t>
  </si>
  <si>
    <t>Early Learning -&gt; EL Organization -&gt; Contact
Early Learning -&gt; EL Staff -&gt; Professional Development -&gt; Instructor
K12 -&gt; K12 Staff -&gt; Employment
K12 -&gt; K12 Staff -&gt; Professional Development -&gt; Instructor
K12 -&gt; Organization -&gt; Contact
K12 -&gt; SEA -&gt; Contact
Postsecondary -&gt; Organization -&gt; Contact</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</si>
  <si>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</si>
  <si>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</si>
  <si>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</si>
  <si>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</si>
  <si>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</si>
  <si>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</si>
  <si>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</si>
  <si>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</si>
  <si>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</si>
  <si>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</si>
  <si>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</si>
  <si>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</si>
  <si>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</si>
  <si>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</si>
  <si>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</si>
  <si>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</si>
  <si>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</si>
  <si>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r>
      <t>01</t>
    </r>
    <r>
      <rPr>
        <sz val="10"/>
        <color theme="1"/>
        <rFont val="Calibri"/>
        <family val="2"/>
        <scheme val="minor"/>
      </rPr>
      <t xml:space="preserve"> - Full-time
</t>
    </r>
    <r>
      <rPr>
        <b/>
        <sz val="10"/>
        <color theme="1"/>
        <rFont val="Calibri"/>
        <family val="2"/>
        <scheme val="minor"/>
      </rPr>
      <t>02</t>
    </r>
    <r>
      <rPr>
        <sz val="10"/>
        <color theme="1"/>
        <rFont val="Calibri"/>
        <family val="2"/>
        <scheme val="minor"/>
      </rPr>
      <t xml:space="preserve"> - Less than full-time but at least half-time
</t>
    </r>
    <r>
      <rPr>
        <b/>
        <sz val="10"/>
        <color theme="1"/>
        <rFont val="Calibri"/>
        <family val="2"/>
        <scheme val="minor"/>
      </rPr>
      <t>03</t>
    </r>
    <r>
      <rPr>
        <sz val="10"/>
        <color theme="1"/>
        <rFont val="Calibri"/>
        <family val="2"/>
        <scheme val="minor"/>
      </rPr>
      <t xml:space="preserve"> - Less than half-time
</t>
    </r>
    <r>
      <rPr>
        <b/>
        <sz val="10"/>
        <color theme="1"/>
        <rFont val="Calibri"/>
        <family val="2"/>
        <scheme val="minor"/>
      </rPr>
      <t>04</t>
    </r>
    <r>
      <rPr>
        <sz val="10"/>
        <color theme="1"/>
        <rFont val="Calibri"/>
        <family val="2"/>
        <scheme val="minor"/>
      </rPr>
      <t xml:space="preserve"> - Less than full-time but at least three quarter-time
</t>
    </r>
    <r>
      <rPr>
        <b/>
        <sz val="10"/>
        <color theme="1"/>
        <rFont val="Calibri"/>
        <family val="2"/>
        <scheme val="minor"/>
      </rPr>
      <t>05</t>
    </r>
    <r>
      <rPr>
        <sz val="10"/>
        <color theme="1"/>
        <rFont val="Calibri"/>
        <family val="2"/>
        <scheme val="minor"/>
      </rPr>
      <t xml:space="preserve"> - Less than three quarter-time but at least half-time
</t>
    </r>
  </si>
  <si>
    <t>Either use option 02 or one of the options, 04 or 05, for less than full-time but at least half-time.</t>
  </si>
  <si>
    <t>000096</t>
  </si>
  <si>
    <t>PostsecondaryEnrollmentStatus</t>
  </si>
  <si>
    <t>Persistence and Attainment of Nontraditional Students
Postsecondary Education -&gt; Student Achievement Measure</t>
  </si>
  <si>
    <t>Postsecondary Enrollment Type</t>
  </si>
  <si>
    <t>An indicator of the enrollment type associated with the enrollment award level of a person at the beginning of a term.</t>
  </si>
  <si>
    <r>
      <t>FirstTime</t>
    </r>
    <r>
      <rPr>
        <sz val="10"/>
        <color theme="1"/>
        <rFont val="Calibri"/>
        <family val="2"/>
        <scheme val="minor"/>
      </rPr>
      <t xml:space="preserve"> - First time at institution, non-transfer in
</t>
    </r>
    <r>
      <rPr>
        <b/>
        <sz val="10"/>
        <color theme="1"/>
        <rFont val="Calibri"/>
        <family val="2"/>
        <scheme val="minor"/>
      </rPr>
      <t>Continuing</t>
    </r>
    <r>
      <rPr>
        <sz val="10"/>
        <color theme="1"/>
        <rFont val="Calibri"/>
        <family val="2"/>
        <scheme val="minor"/>
      </rPr>
      <t xml:space="preserve"> - Continuing
</t>
    </r>
    <r>
      <rPr>
        <b/>
        <sz val="10"/>
        <color theme="1"/>
        <rFont val="Calibri"/>
        <family val="2"/>
        <scheme val="minor"/>
      </rPr>
      <t>Re-admit</t>
    </r>
    <r>
      <rPr>
        <sz val="10"/>
        <color theme="1"/>
        <rFont val="Calibri"/>
        <family val="2"/>
        <scheme val="minor"/>
      </rPr>
      <t xml:space="preserve"> - Re-admit
</t>
    </r>
    <r>
      <rPr>
        <b/>
        <sz val="10"/>
        <color theme="1"/>
        <rFont val="Calibri"/>
        <family val="2"/>
        <scheme val="minor"/>
      </rPr>
      <t>TransferIn</t>
    </r>
    <r>
      <rPr>
        <sz val="10"/>
        <color theme="1"/>
        <rFont val="Calibri"/>
        <family val="2"/>
        <scheme val="minor"/>
      </rPr>
      <t xml:space="preserve"> - Transfer in
</t>
    </r>
  </si>
  <si>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</si>
  <si>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</si>
  <si>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</si>
  <si>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</si>
  <si>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</si>
  <si>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</si>
  <si>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</si>
  <si>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</si>
  <si>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</si>
  <si>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The circumstances under which the student exited from enrollment in a postsecondary institution.</t>
  </si>
  <si>
    <r>
      <t>Withdrawn</t>
    </r>
    <r>
      <rPr>
        <sz val="10"/>
        <color theme="1"/>
        <rFont val="Calibri"/>
        <family val="2"/>
        <scheme val="minor"/>
      </rPr>
      <t xml:space="preserve"> - Withdrawn
</t>
    </r>
    <r>
      <rPr>
        <b/>
        <sz val="10"/>
        <color theme="1"/>
        <rFont val="Calibri"/>
        <family val="2"/>
        <scheme val="minor"/>
      </rPr>
      <t>Graduated</t>
    </r>
    <r>
      <rPr>
        <sz val="10"/>
        <color theme="1"/>
        <rFont val="Calibri"/>
        <family val="2"/>
        <scheme val="minor"/>
      </rPr>
      <t xml:space="preserve"> - Graduated
</t>
    </r>
    <r>
      <rPr>
        <b/>
        <sz val="10"/>
        <color theme="1"/>
        <rFont val="Calibri"/>
        <family val="2"/>
        <scheme val="minor"/>
      </rPr>
      <t>ApprovedLeaveOfAbsence</t>
    </r>
    <r>
      <rPr>
        <sz val="10"/>
        <color theme="1"/>
        <rFont val="Calibri"/>
        <family val="2"/>
        <scheme val="minor"/>
      </rPr>
      <t xml:space="preserve"> - Approved Leave of Absence
</t>
    </r>
    <r>
      <rPr>
        <b/>
        <sz val="10"/>
        <color theme="1"/>
        <rFont val="Calibri"/>
        <family val="2"/>
        <scheme val="minor"/>
      </rPr>
      <t>Deceased</t>
    </r>
    <r>
      <rPr>
        <sz val="10"/>
        <color theme="1"/>
        <rFont val="Calibri"/>
        <family val="2"/>
        <scheme val="minor"/>
      </rPr>
      <t xml:space="preserve"> - Deceased
</t>
    </r>
    <r>
      <rPr>
        <b/>
        <sz val="10"/>
        <color theme="1"/>
        <rFont val="Calibri"/>
        <family val="2"/>
        <scheme val="minor"/>
      </rPr>
      <t>Unknown</t>
    </r>
    <r>
      <rPr>
        <sz val="10"/>
        <color theme="1"/>
        <rFont val="Calibri"/>
        <family val="2"/>
        <scheme val="minor"/>
      </rPr>
      <t xml:space="preserve"> - Unknown
</t>
    </r>
  </si>
  <si>
    <t>001617</t>
  </si>
  <si>
    <t>PostsecondaryExitOrWithdrawalType</t>
  </si>
  <si>
    <t>Postsecondary Program Level</t>
  </si>
  <si>
    <t>The level describing the concentration of study for a postsecondary program.</t>
  </si>
  <si>
    <r>
      <t>Major</t>
    </r>
    <r>
      <rPr>
        <sz val="10"/>
        <color theme="1"/>
        <rFont val="Calibri"/>
        <family val="2"/>
        <scheme val="minor"/>
      </rPr>
      <t xml:space="preserve"> - Major
</t>
    </r>
    <r>
      <rPr>
        <b/>
        <sz val="10"/>
        <color theme="1"/>
        <rFont val="Calibri"/>
        <family val="2"/>
        <scheme val="minor"/>
      </rPr>
      <t>Minor</t>
    </r>
    <r>
      <rPr>
        <sz val="10"/>
        <color theme="1"/>
        <rFont val="Calibri"/>
        <family val="2"/>
        <scheme val="minor"/>
      </rPr>
      <t xml:space="preserve"> - Minor
</t>
    </r>
    <r>
      <rPr>
        <b/>
        <sz val="10"/>
        <color theme="1"/>
        <rFont val="Calibri"/>
        <family val="2"/>
        <scheme val="minor"/>
      </rPr>
      <t>Certificate</t>
    </r>
    <r>
      <rPr>
        <sz val="10"/>
        <color theme="1"/>
        <rFont val="Calibri"/>
        <family val="2"/>
        <scheme val="minor"/>
      </rPr>
      <t xml:space="preserve"> - Certificate
</t>
    </r>
    <r>
      <rPr>
        <b/>
        <sz val="10"/>
        <color theme="1"/>
        <rFont val="Calibri"/>
        <family val="2"/>
        <scheme val="minor"/>
      </rPr>
      <t>Other</t>
    </r>
    <r>
      <rPr>
        <sz val="10"/>
        <color theme="1"/>
        <rFont val="Calibri"/>
        <family val="2"/>
        <scheme val="minor"/>
      </rPr>
      <t xml:space="preserve"> - Other
</t>
    </r>
  </si>
  <si>
    <t>001616</t>
  </si>
  <si>
    <t>PostsecondaryProgram Level</t>
  </si>
  <si>
    <t>Postsecondary Education -&gt; IPEDS
Postsecondary Education -&gt; Student Achievement Measure</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</si>
  <si>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</si>
  <si>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</si>
  <si>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</si>
  <si>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</si>
  <si>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</si>
  <si>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</si>
  <si>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</si>
  <si>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</si>
  <si>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</si>
  <si>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</si>
  <si>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</si>
  <si>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r>
      <t>PreAndPostTest</t>
    </r>
    <r>
      <rPr>
        <sz val="10"/>
        <color theme="1"/>
        <rFont val="Calibri"/>
        <family val="2"/>
        <scheme val="minor"/>
      </rPr>
      <t xml:space="preserve"> - The student took both a pre-test and post-test
</t>
    </r>
    <r>
      <rPr>
        <b/>
        <sz val="10"/>
        <color theme="1"/>
        <rFont val="Calibri"/>
        <family val="2"/>
        <scheme val="minor"/>
      </rPr>
      <t>DidNotTakeBoth</t>
    </r>
    <r>
      <rPr>
        <sz val="10"/>
        <color theme="1"/>
        <rFont val="Calibri"/>
        <family val="2"/>
        <scheme val="minor"/>
      </rPr>
      <t xml:space="preserve"> - The student did not take both a pre-test and a post-test
</t>
    </r>
  </si>
  <si>
    <t>000571</t>
  </si>
  <si>
    <t>PreAndPostTestIndicator</t>
  </si>
  <si>
    <t>Predominant Calendar System</t>
  </si>
  <si>
    <t>The method by which an institution structures most of its courses for the academic year.</t>
  </si>
  <si>
    <r>
      <t>Semester</t>
    </r>
    <r>
      <rPr>
        <sz val="10"/>
        <color theme="1"/>
        <rFont val="Calibri"/>
        <family val="2"/>
        <scheme val="minor"/>
      </rPr>
      <t xml:space="preserve"> - Semester 
</t>
    </r>
    <r>
      <rPr>
        <b/>
        <sz val="10"/>
        <color theme="1"/>
        <rFont val="Calibri"/>
        <family val="2"/>
        <scheme val="minor"/>
      </rPr>
      <t>Quarter</t>
    </r>
    <r>
      <rPr>
        <sz val="10"/>
        <color theme="1"/>
        <rFont val="Calibri"/>
        <family val="2"/>
        <scheme val="minor"/>
      </rPr>
      <t xml:space="preserve"> - Quarter 
</t>
    </r>
    <r>
      <rPr>
        <b/>
        <sz val="10"/>
        <color theme="1"/>
        <rFont val="Calibri"/>
        <family val="2"/>
        <scheme val="minor"/>
      </rPr>
      <t>Trimester</t>
    </r>
    <r>
      <rPr>
        <sz val="10"/>
        <color theme="1"/>
        <rFont val="Calibri"/>
        <family val="2"/>
        <scheme val="minor"/>
      </rPr>
      <t xml:space="preserve"> - Trimester
</t>
    </r>
    <r>
      <rPr>
        <b/>
        <sz val="10"/>
        <color theme="1"/>
        <rFont val="Calibri"/>
        <family val="2"/>
        <scheme val="minor"/>
      </rPr>
      <t>4-1-4</t>
    </r>
    <r>
      <rPr>
        <sz val="10"/>
        <color theme="1"/>
        <rFont val="Calibri"/>
        <family val="2"/>
        <scheme val="minor"/>
      </rPr>
      <t xml:space="preserve"> - 4-1-4 or similar plan
</t>
    </r>
    <r>
      <rPr>
        <b/>
        <sz val="10"/>
        <color theme="1"/>
        <rFont val="Calibri"/>
        <family val="2"/>
        <scheme val="minor"/>
      </rPr>
      <t>Other</t>
    </r>
    <r>
      <rPr>
        <sz val="10"/>
        <color theme="1"/>
        <rFont val="Calibri"/>
        <family val="2"/>
        <scheme val="minor"/>
      </rPr>
      <t xml:space="preserve"> - Other academic plan
</t>
    </r>
    <r>
      <rPr>
        <b/>
        <sz val="10"/>
        <color theme="1"/>
        <rFont val="Calibri"/>
        <family val="2"/>
        <scheme val="minor"/>
      </rPr>
      <t>DiffersByProgram</t>
    </r>
    <r>
      <rPr>
        <sz val="10"/>
        <color theme="1"/>
        <rFont val="Calibri"/>
        <family val="2"/>
        <scheme val="minor"/>
      </rPr>
      <t xml:space="preserve"> - Differs by program
</t>
    </r>
    <r>
      <rPr>
        <b/>
        <sz val="10"/>
        <color theme="1"/>
        <rFont val="Calibri"/>
        <family val="2"/>
        <scheme val="minor"/>
      </rPr>
      <t>ContinuousBasis</t>
    </r>
    <r>
      <rPr>
        <sz val="10"/>
        <color theme="1"/>
        <rFont val="Calibri"/>
        <family val="2"/>
        <scheme val="minor"/>
      </rPr>
      <t xml:space="preserve"> - Continuous basis
</t>
    </r>
  </si>
  <si>
    <t>Definition and code set in IPEDS</t>
  </si>
  <si>
    <t>000729</t>
  </si>
  <si>
    <t>PredominantCalendarSystem</t>
  </si>
  <si>
    <t>Postsecondary Education -&gt; IPEDS -&gt; Graduation Rate
Postsecondary Education -&gt; IPEDS -&gt; Student Financial Aid</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</si>
  <si>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</si>
  <si>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</si>
  <si>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</si>
  <si>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</si>
  <si>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</si>
  <si>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</si>
  <si>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r>
      <t>All</t>
    </r>
    <r>
      <rPr>
        <sz val="10"/>
        <color theme="1"/>
        <rFont val="Calibri"/>
        <family val="2"/>
        <scheme val="minor"/>
      </rPr>
      <t xml:space="preserve"> - All students
</t>
    </r>
    <r>
      <rPr>
        <b/>
        <sz val="10"/>
        <color theme="1"/>
        <rFont val="Calibri"/>
        <family val="2"/>
        <scheme val="minor"/>
      </rPr>
      <t>IDEA</t>
    </r>
    <r>
      <rPr>
        <sz val="10"/>
        <color theme="1"/>
        <rFont val="Calibri"/>
        <family val="2"/>
        <scheme val="minor"/>
      </rPr>
      <t xml:space="preserve"> - Students with disabilities (IDEA)
</t>
    </r>
    <r>
      <rPr>
        <b/>
        <sz val="10"/>
        <color theme="1"/>
        <rFont val="Calibri"/>
        <family val="2"/>
        <scheme val="minor"/>
      </rPr>
      <t>TitleI</t>
    </r>
    <r>
      <rPr>
        <sz val="10"/>
        <color theme="1"/>
        <rFont val="Calibri"/>
        <family val="2"/>
        <scheme val="minor"/>
      </rPr>
      <t xml:space="preserve"> - Students in Title I schools
</t>
    </r>
    <r>
      <rPr>
        <b/>
        <sz val="10"/>
        <color theme="1"/>
        <rFont val="Calibri"/>
        <family val="2"/>
        <scheme val="minor"/>
      </rPr>
      <t>LowIncome</t>
    </r>
    <r>
      <rPr>
        <sz val="10"/>
        <color theme="1"/>
        <rFont val="Calibri"/>
        <family val="2"/>
        <scheme val="minor"/>
      </rPr>
      <t xml:space="preserve"> - Students from low income families
</t>
    </r>
    <r>
      <rPr>
        <b/>
        <sz val="10"/>
        <color theme="1"/>
        <rFont val="Calibri"/>
        <family val="2"/>
        <scheme val="minor"/>
      </rPr>
      <t>Other</t>
    </r>
    <r>
      <rPr>
        <sz val="10"/>
        <color theme="1"/>
        <rFont val="Calibri"/>
        <family val="2"/>
        <scheme val="minor"/>
      </rPr>
      <t xml:space="preserve"> - Other
</t>
    </r>
  </si>
  <si>
    <t>000216</t>
  </si>
  <si>
    <t>PrekindergartenEligibility</t>
  </si>
  <si>
    <t>Prekindergarten Eligible Ages for Non-IDEA Students</t>
  </si>
  <si>
    <t>The ages of children not served under IDEA to whom the LEA's pre-kindergarten services are available.</t>
  </si>
  <si>
    <r>
      <t>Age0-2</t>
    </r>
    <r>
      <rPr>
        <sz val="10"/>
        <color theme="1"/>
        <rFont val="Calibri"/>
        <family val="2"/>
        <scheme val="minor"/>
      </rPr>
      <t xml:space="preserve"> - Students aged 0-2
</t>
    </r>
    <r>
      <rPr>
        <b/>
        <sz val="10"/>
        <color theme="1"/>
        <rFont val="Calibri"/>
        <family val="2"/>
        <scheme val="minor"/>
      </rPr>
      <t>Age3</t>
    </r>
    <r>
      <rPr>
        <sz val="10"/>
        <color theme="1"/>
        <rFont val="Calibri"/>
        <family val="2"/>
        <scheme val="minor"/>
      </rPr>
      <t xml:space="preserve"> - Students aged 3
</t>
    </r>
    <r>
      <rPr>
        <b/>
        <sz val="10"/>
        <color theme="1"/>
        <rFont val="Calibri"/>
        <family val="2"/>
        <scheme val="minor"/>
      </rPr>
      <t>Age4</t>
    </r>
    <r>
      <rPr>
        <sz val="10"/>
        <color theme="1"/>
        <rFont val="Calibri"/>
        <family val="2"/>
        <scheme val="minor"/>
      </rPr>
      <t xml:space="preserve"> - Students aged 4
</t>
    </r>
    <r>
      <rPr>
        <b/>
        <sz val="10"/>
        <color theme="1"/>
        <rFont val="Calibri"/>
        <family val="2"/>
        <scheme val="minor"/>
      </rPr>
      <t>NoPreK</t>
    </r>
    <r>
      <rPr>
        <sz val="10"/>
        <color theme="1"/>
        <rFont val="Calibri"/>
        <family val="2"/>
        <scheme val="minor"/>
      </rPr>
      <t xml:space="preserve"> - No pre-kindergarten or only for IDEA students
</t>
    </r>
  </si>
  <si>
    <t>000217</t>
  </si>
  <si>
    <t>PrekindergartenEligibleAgesForNonIDEAStudents</t>
  </si>
  <si>
    <t>Present Attendance Category</t>
  </si>
  <si>
    <t>The category that describes how the student spends his or her time when attending an instructional program approved by the state and/or school.</t>
  </si>
  <si>
    <r>
      <t>13290</t>
    </r>
    <r>
      <rPr>
        <sz val="10"/>
        <color theme="1"/>
        <rFont val="Calibri"/>
        <family val="2"/>
        <scheme val="minor"/>
      </rPr>
      <t xml:space="preserve"> - Present - Disciplinary action, receiving instruction
</t>
    </r>
    <r>
      <rPr>
        <b/>
        <sz val="10"/>
        <color theme="1"/>
        <rFont val="Calibri"/>
        <family val="2"/>
        <scheme val="minor"/>
      </rPr>
      <t>13288</t>
    </r>
    <r>
      <rPr>
        <sz val="10"/>
        <color theme="1"/>
        <rFont val="Calibri"/>
        <family val="2"/>
        <scheme val="minor"/>
      </rPr>
      <t xml:space="preserve"> - Present - In school, regular instructional program
</t>
    </r>
    <r>
      <rPr>
        <b/>
        <sz val="10"/>
        <color theme="1"/>
        <rFont val="Calibri"/>
        <family val="2"/>
        <scheme val="minor"/>
      </rPr>
      <t>13289</t>
    </r>
    <r>
      <rPr>
        <sz val="10"/>
        <color theme="1"/>
        <rFont val="Calibri"/>
        <family val="2"/>
        <scheme val="minor"/>
      </rPr>
      <t xml:space="preserve"> - Present - Nontraditional school setting, regular instructional program
</t>
    </r>
    <r>
      <rPr>
        <b/>
        <sz val="10"/>
        <color theme="1"/>
        <rFont val="Calibri"/>
        <family val="2"/>
        <scheme val="minor"/>
      </rPr>
      <t>13291</t>
    </r>
    <r>
      <rPr>
        <sz val="10"/>
        <color theme="1"/>
        <rFont val="Calibri"/>
        <family val="2"/>
        <scheme val="minor"/>
      </rPr>
      <t xml:space="preserve"> - Present - Out of school, regular instructional program activity
</t>
    </r>
    <r>
      <rPr>
        <b/>
        <sz val="10"/>
        <color theme="1"/>
        <rFont val="Calibri"/>
        <family val="2"/>
        <scheme val="minor"/>
      </rPr>
      <t>13292</t>
    </r>
    <r>
      <rPr>
        <sz val="10"/>
        <color theme="1"/>
        <rFont val="Calibri"/>
        <family val="2"/>
        <scheme val="minor"/>
      </rPr>
      <t xml:space="preserve"> - Present - Out of school, school-approved extracurricular or cocurricular activity
</t>
    </r>
  </si>
  <si>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</si>
  <si>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</si>
  <si>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</si>
  <si>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</si>
  <si>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</si>
  <si>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</si>
  <si>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</si>
  <si>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</si>
  <si>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</si>
  <si>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</si>
  <si>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</si>
  <si>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Early Learning -&gt; EL Organization -&gt; Contact
Early Learning -&gt; Parent/Guardian -&gt; Relationship
K12 -&gt; Organization -&gt; Contact
K12 -&gt; Parent/Guardian -&gt; Relationship
K12 -&gt; SEA -&gt; Contact
Postsecondary -&gt; Organization -&gt; Contact</t>
  </si>
  <si>
    <t>001428</t>
  </si>
  <si>
    <t>PrimaryContactIndicator</t>
  </si>
  <si>
    <t>Primary Disability Type</t>
  </si>
  <si>
    <t>The major or overriding disability condition that best describes a person's impairment.</t>
  </si>
  <si>
    <r>
      <t>AUT</t>
    </r>
    <r>
      <rPr>
        <sz val="10"/>
        <color theme="1"/>
        <rFont val="Calibri"/>
        <family val="2"/>
        <scheme val="minor"/>
      </rPr>
      <t xml:space="preserve"> - Autism
</t>
    </r>
    <r>
      <rPr>
        <b/>
        <sz val="10"/>
        <color theme="1"/>
        <rFont val="Calibri"/>
        <family val="2"/>
        <scheme val="minor"/>
      </rPr>
      <t>DB</t>
    </r>
    <r>
      <rPr>
        <sz val="10"/>
        <color theme="1"/>
        <rFont val="Calibri"/>
        <family val="2"/>
        <scheme val="minor"/>
      </rPr>
      <t xml:space="preserve"> - Deaf-blindness
</t>
    </r>
    <r>
      <rPr>
        <b/>
        <sz val="10"/>
        <color theme="1"/>
        <rFont val="Calibri"/>
        <family val="2"/>
        <scheme val="minor"/>
      </rPr>
      <t>DD</t>
    </r>
    <r>
      <rPr>
        <sz val="10"/>
        <color theme="1"/>
        <rFont val="Calibri"/>
        <family val="2"/>
        <scheme val="minor"/>
      </rPr>
      <t xml:space="preserve"> - Developmental delay
</t>
    </r>
    <r>
      <rPr>
        <b/>
        <sz val="10"/>
        <color theme="1"/>
        <rFont val="Calibri"/>
        <family val="2"/>
        <scheme val="minor"/>
      </rPr>
      <t>EMN</t>
    </r>
    <r>
      <rPr>
        <sz val="10"/>
        <color theme="1"/>
        <rFont val="Calibri"/>
        <family val="2"/>
        <scheme val="minor"/>
      </rPr>
      <t xml:space="preserve"> - Emotional disturbance
</t>
    </r>
    <r>
      <rPr>
        <b/>
        <sz val="10"/>
        <color theme="1"/>
        <rFont val="Calibri"/>
        <family val="2"/>
        <scheme val="minor"/>
      </rPr>
      <t>HI</t>
    </r>
    <r>
      <rPr>
        <sz val="10"/>
        <color theme="1"/>
        <rFont val="Calibri"/>
        <family val="2"/>
        <scheme val="minor"/>
      </rPr>
      <t xml:space="preserve"> - Hearing impairment
</t>
    </r>
    <r>
      <rPr>
        <b/>
        <sz val="10"/>
        <color theme="1"/>
        <rFont val="Calibri"/>
        <family val="2"/>
        <scheme val="minor"/>
      </rPr>
      <t>ID</t>
    </r>
    <r>
      <rPr>
        <sz val="10"/>
        <color theme="1"/>
        <rFont val="Calibri"/>
        <family val="2"/>
        <scheme val="minor"/>
      </rPr>
      <t xml:space="preserve"> - Intellectual Disability
</t>
    </r>
    <r>
      <rPr>
        <b/>
        <sz val="10"/>
        <color theme="1"/>
        <rFont val="Calibri"/>
        <family val="2"/>
        <scheme val="minor"/>
      </rPr>
      <t>MD</t>
    </r>
    <r>
      <rPr>
        <sz val="10"/>
        <color theme="1"/>
        <rFont val="Calibri"/>
        <family val="2"/>
        <scheme val="minor"/>
      </rPr>
      <t xml:space="preserve"> - Multiple disabilities
</t>
    </r>
    <r>
      <rPr>
        <b/>
        <sz val="10"/>
        <color theme="1"/>
        <rFont val="Calibri"/>
        <family val="2"/>
        <scheme val="minor"/>
      </rPr>
      <t>OI</t>
    </r>
    <r>
      <rPr>
        <sz val="10"/>
        <color theme="1"/>
        <rFont val="Calibri"/>
        <family val="2"/>
        <scheme val="minor"/>
      </rPr>
      <t xml:space="preserve"> - Orthopedic impairment
</t>
    </r>
    <r>
      <rPr>
        <b/>
        <sz val="10"/>
        <color theme="1"/>
        <rFont val="Calibri"/>
        <family val="2"/>
        <scheme val="minor"/>
      </rPr>
      <t>OHI</t>
    </r>
    <r>
      <rPr>
        <sz val="10"/>
        <color theme="1"/>
        <rFont val="Calibri"/>
        <family val="2"/>
        <scheme val="minor"/>
      </rPr>
      <t xml:space="preserve"> - Other health impairment
</t>
    </r>
    <r>
      <rPr>
        <b/>
        <sz val="10"/>
        <color theme="1"/>
        <rFont val="Calibri"/>
        <family val="2"/>
        <scheme val="minor"/>
      </rPr>
      <t>SLD</t>
    </r>
    <r>
      <rPr>
        <sz val="10"/>
        <color theme="1"/>
        <rFont val="Calibri"/>
        <family val="2"/>
        <scheme val="minor"/>
      </rPr>
      <t xml:space="preserve"> - Specific learning disability
</t>
    </r>
    <r>
      <rPr>
        <b/>
        <sz val="10"/>
        <color theme="1"/>
        <rFont val="Calibri"/>
        <family val="2"/>
        <scheme val="minor"/>
      </rPr>
      <t>SLI</t>
    </r>
    <r>
      <rPr>
        <sz val="10"/>
        <color theme="1"/>
        <rFont val="Calibri"/>
        <family val="2"/>
        <scheme val="minor"/>
      </rPr>
      <t xml:space="preserve"> - Speech or language impairment
</t>
    </r>
    <r>
      <rPr>
        <b/>
        <sz val="10"/>
        <color theme="1"/>
        <rFont val="Calibri"/>
        <family val="2"/>
        <scheme val="minor"/>
      </rPr>
      <t>TBI</t>
    </r>
    <r>
      <rPr>
        <sz val="10"/>
        <color theme="1"/>
        <rFont val="Calibri"/>
        <family val="2"/>
        <scheme val="minor"/>
      </rPr>
      <t xml:space="preserve"> - Traumatic brain injury
</t>
    </r>
    <r>
      <rPr>
        <b/>
        <sz val="10"/>
        <color theme="1"/>
        <rFont val="Calibri"/>
        <family val="2"/>
        <scheme val="minor"/>
      </rPr>
      <t>VI</t>
    </r>
    <r>
      <rPr>
        <sz val="10"/>
        <color theme="1"/>
        <rFont val="Calibri"/>
        <family val="2"/>
        <scheme val="minor"/>
      </rPr>
      <t xml:space="preserve"> - Visual impairment
</t>
    </r>
  </si>
  <si>
    <t>Career and Technical -&gt; CTE Student -&gt; Disability
Early Learning -&gt; EL Child -&gt; Disability
K12 -&gt; K12 Student -&gt; Disability
K12 -&gt; K12 Student -&gt; Individualized Program -&gt; Eligibility -&gt; Determination
Postsecondary -&gt; PS Student -&gt; Disability</t>
  </si>
  <si>
    <t>Option set based on EDFacts. Only one disability condition would be selected. Refer to IDEA Disability Type for selecting multiple disability category options and any additional IDEA disability categories.</t>
  </si>
  <si>
    <t>000218</t>
  </si>
  <si>
    <t>PrimaryDisabilityType</t>
  </si>
  <si>
    <t>Early Learning -&gt; Program Compliance
Early Learning -&gt; Program Entry
K-12 -&gt; EDFacts
K-12 -&gt; LEA-to-LEA Student Record Exchange
K-12 -&gt; LEA-to-SEA Student Record Exchange</t>
  </si>
  <si>
    <t>Primary Telephone Number Indicator</t>
  </si>
  <si>
    <t>An indication that the telephone number should be used as the principal number for a person or organization.</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</si>
  <si>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Organization -&gt; Telephone
Early Learning -&gt; EL Staff -&gt; Contact -&gt; Telephone
Early Learning -&gt; EL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</si>
  <si>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</si>
  <si>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</si>
  <si>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</si>
  <si>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</si>
  <si>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</si>
  <si>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</si>
  <si>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</si>
  <si>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</si>
  <si>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</si>
  <si>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</si>
  <si>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</si>
  <si>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</si>
  <si>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</si>
  <si>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</si>
  <si>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</si>
  <si>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</si>
  <si>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Early Learning -&gt; EL Staff -&gt; Professional Development Activity
K12 -&gt; K12 Staff -&gt; Professional Development Activity</t>
  </si>
  <si>
    <t>001432</t>
  </si>
  <si>
    <t>ProfessionalDevelopmentActivityApprovalCode</t>
  </si>
  <si>
    <t>Professional Development Activity Approved Purpose</t>
  </si>
  <si>
    <t>The purposes for which an activity is approved.</t>
  </si>
  <si>
    <r>
      <t>QRIS</t>
    </r>
    <r>
      <rPr>
        <sz val="10"/>
        <color theme="1"/>
        <rFont val="Calibri"/>
        <family val="2"/>
        <scheme val="minor"/>
      </rPr>
      <t xml:space="preserve"> - Quality Rating and Improvement System
</t>
    </r>
    <r>
      <rPr>
        <b/>
        <sz val="10"/>
        <color theme="1"/>
        <rFont val="Calibri"/>
        <family val="2"/>
        <scheme val="minor"/>
      </rPr>
      <t>Licensing</t>
    </r>
    <r>
      <rPr>
        <sz val="10"/>
        <color theme="1"/>
        <rFont val="Calibri"/>
        <family val="2"/>
        <scheme val="minor"/>
      </rPr>
      <t xml:space="preserve"> - Licensing
</t>
    </r>
    <r>
      <rPr>
        <b/>
        <sz val="10"/>
        <color theme="1"/>
        <rFont val="Calibri"/>
        <family val="2"/>
        <scheme val="minor"/>
      </rPr>
      <t>StateStandard</t>
    </r>
    <r>
      <rPr>
        <sz val="10"/>
        <color theme="1"/>
        <rFont val="Calibri"/>
        <family val="2"/>
        <scheme val="minor"/>
      </rPr>
      <t xml:space="preserve"> - State standard
</t>
    </r>
    <r>
      <rPr>
        <b/>
        <sz val="10"/>
        <color theme="1"/>
        <rFont val="Calibri"/>
        <family val="2"/>
        <scheme val="minor"/>
      </rPr>
      <t>Other</t>
    </r>
    <r>
      <rPr>
        <sz val="10"/>
        <color theme="1"/>
        <rFont val="Calibri"/>
        <family val="2"/>
        <scheme val="minor"/>
      </rPr>
      <t xml:space="preserve"> - Other
</t>
    </r>
  </si>
  <si>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</si>
  <si>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</si>
  <si>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</si>
  <si>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</si>
  <si>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</si>
  <si>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</si>
  <si>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</si>
  <si>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</si>
  <si>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</si>
  <si>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</si>
  <si>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</si>
  <si>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</si>
  <si>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r>
      <t>Hours</t>
    </r>
    <r>
      <rPr>
        <sz val="10"/>
        <color theme="1"/>
        <rFont val="Calibri"/>
        <family val="2"/>
        <scheme val="minor"/>
      </rPr>
      <t xml:space="preserve"> - Hours
</t>
    </r>
    <r>
      <rPr>
        <b/>
        <sz val="10"/>
        <color theme="1"/>
        <rFont val="Calibri"/>
        <family val="2"/>
        <scheme val="minor"/>
      </rPr>
      <t>CEUs</t>
    </r>
    <r>
      <rPr>
        <sz val="10"/>
        <color theme="1"/>
        <rFont val="Calibri"/>
        <family val="2"/>
        <scheme val="minor"/>
      </rPr>
      <t xml:space="preserve"> - Continuing Education Units
</t>
    </r>
    <r>
      <rPr>
        <b/>
        <sz val="10"/>
        <color theme="1"/>
        <rFont val="Calibri"/>
        <family val="2"/>
        <scheme val="minor"/>
      </rPr>
      <t>QuarterCredits</t>
    </r>
    <r>
      <rPr>
        <sz val="10"/>
        <color theme="1"/>
        <rFont val="Calibri"/>
        <family val="2"/>
        <scheme val="minor"/>
      </rPr>
      <t xml:space="preserve"> - Quarter credits
</t>
    </r>
    <r>
      <rPr>
        <b/>
        <sz val="10"/>
        <color theme="1"/>
        <rFont val="Calibri"/>
        <family val="2"/>
        <scheme val="minor"/>
      </rPr>
      <t>SemesterCredits</t>
    </r>
    <r>
      <rPr>
        <sz val="10"/>
        <color theme="1"/>
        <rFont val="Calibri"/>
        <family val="2"/>
        <scheme val="minor"/>
      </rPr>
      <t xml:space="preserve"> - Semester credits
</t>
    </r>
  </si>
  <si>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</si>
  <si>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</si>
  <si>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</si>
  <si>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</si>
  <si>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</si>
  <si>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</si>
  <si>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</si>
  <si>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</si>
  <si>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</si>
  <si>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</si>
  <si>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</si>
  <si>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</si>
  <si>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r>
      <t>IN</t>
    </r>
    <r>
      <rPr>
        <sz val="10"/>
        <color theme="1"/>
        <rFont val="Calibri"/>
        <family val="2"/>
        <scheme val="minor"/>
      </rPr>
      <t xml:space="preserve"> - Infant
</t>
    </r>
    <r>
      <rPr>
        <b/>
        <sz val="10"/>
        <color theme="1"/>
        <rFont val="Calibri"/>
        <family val="2"/>
        <scheme val="minor"/>
      </rPr>
      <t>TO</t>
    </r>
    <r>
      <rPr>
        <sz val="10"/>
        <color theme="1"/>
        <rFont val="Calibri"/>
        <family val="2"/>
        <scheme val="minor"/>
      </rPr>
      <t xml:space="preserve"> - Toddler
</t>
    </r>
    <r>
      <rPr>
        <b/>
        <sz val="10"/>
        <color theme="1"/>
        <rFont val="Calibri"/>
        <family val="2"/>
        <scheme val="minor"/>
      </rPr>
      <t>PR</t>
    </r>
    <r>
      <rPr>
        <sz val="10"/>
        <color theme="1"/>
        <rFont val="Calibri"/>
        <family val="2"/>
        <scheme val="minor"/>
      </rPr>
      <t xml:space="preserve"> - Preschool
</t>
    </r>
    <r>
      <rPr>
        <b/>
        <sz val="10"/>
        <color theme="1"/>
        <rFont val="Calibri"/>
        <family val="2"/>
        <scheme val="minor"/>
      </rPr>
      <t>PK</t>
    </r>
    <r>
      <rPr>
        <sz val="10"/>
        <color theme="1"/>
        <rFont val="Calibri"/>
        <family val="2"/>
        <scheme val="minor"/>
      </rPr>
      <t xml:space="preserve"> - Prekindergarten
</t>
    </r>
    <r>
      <rPr>
        <b/>
        <sz val="10"/>
        <color theme="1"/>
        <rFont val="Calibri"/>
        <family val="2"/>
        <scheme val="minor"/>
      </rPr>
      <t>TK</t>
    </r>
    <r>
      <rPr>
        <sz val="10"/>
        <color theme="1"/>
        <rFont val="Calibri"/>
        <family val="2"/>
        <scheme val="minor"/>
      </rPr>
      <t xml:space="preserve"> - Transitional Kindergarten
</t>
    </r>
    <r>
      <rPr>
        <b/>
        <sz val="10"/>
        <color theme="1"/>
        <rFont val="Calibri"/>
        <family val="2"/>
        <scheme val="minor"/>
      </rPr>
      <t>KG</t>
    </r>
    <r>
      <rPr>
        <sz val="10"/>
        <color theme="1"/>
        <rFont val="Calibri"/>
        <family val="2"/>
        <scheme val="minor"/>
      </rPr>
      <t xml:space="preserve"> - Kindergarten
</t>
    </r>
    <r>
      <rPr>
        <b/>
        <sz val="10"/>
        <color theme="1"/>
        <rFont val="Calibri"/>
        <family val="2"/>
        <scheme val="minor"/>
      </rPr>
      <t>01</t>
    </r>
    <r>
      <rPr>
        <sz val="10"/>
        <color theme="1"/>
        <rFont val="Calibri"/>
        <family val="2"/>
        <scheme val="minor"/>
      </rPr>
      <t xml:space="preserve"> - First grade
</t>
    </r>
    <r>
      <rPr>
        <b/>
        <sz val="10"/>
        <color theme="1"/>
        <rFont val="Calibri"/>
        <family val="2"/>
        <scheme val="minor"/>
      </rPr>
      <t>02</t>
    </r>
    <r>
      <rPr>
        <sz val="10"/>
        <color theme="1"/>
        <rFont val="Calibri"/>
        <family val="2"/>
        <scheme val="minor"/>
      </rPr>
      <t xml:space="preserve"> - Second grade
</t>
    </r>
    <r>
      <rPr>
        <b/>
        <sz val="10"/>
        <color theme="1"/>
        <rFont val="Calibri"/>
        <family val="2"/>
        <scheme val="minor"/>
      </rPr>
      <t>03</t>
    </r>
    <r>
      <rPr>
        <sz val="10"/>
        <color theme="1"/>
        <rFont val="Calibri"/>
        <family val="2"/>
        <scheme val="minor"/>
      </rPr>
      <t xml:space="preserve"> - Third grade
</t>
    </r>
    <r>
      <rPr>
        <b/>
        <sz val="10"/>
        <color theme="1"/>
        <rFont val="Calibri"/>
        <family val="2"/>
        <scheme val="minor"/>
      </rPr>
      <t>04</t>
    </r>
    <r>
      <rPr>
        <sz val="10"/>
        <color theme="1"/>
        <rFont val="Calibri"/>
        <family val="2"/>
        <scheme val="minor"/>
      </rPr>
      <t xml:space="preserve"> - Fourth grade
</t>
    </r>
    <r>
      <rPr>
        <b/>
        <sz val="10"/>
        <color theme="1"/>
        <rFont val="Calibri"/>
        <family val="2"/>
        <scheme val="minor"/>
      </rPr>
      <t>05</t>
    </r>
    <r>
      <rPr>
        <sz val="10"/>
        <color theme="1"/>
        <rFont val="Calibri"/>
        <family val="2"/>
        <scheme val="minor"/>
      </rPr>
      <t xml:space="preserve"> - Fifth grade
</t>
    </r>
    <r>
      <rPr>
        <b/>
        <sz val="10"/>
        <color theme="1"/>
        <rFont val="Calibri"/>
        <family val="2"/>
        <scheme val="minor"/>
      </rPr>
      <t>06</t>
    </r>
    <r>
      <rPr>
        <sz val="10"/>
        <color theme="1"/>
        <rFont val="Calibri"/>
        <family val="2"/>
        <scheme val="minor"/>
      </rPr>
      <t xml:space="preserve"> - Sixth grade
</t>
    </r>
    <r>
      <rPr>
        <b/>
        <sz val="10"/>
        <color theme="1"/>
        <rFont val="Calibri"/>
        <family val="2"/>
        <scheme val="minor"/>
      </rPr>
      <t>07</t>
    </r>
    <r>
      <rPr>
        <sz val="10"/>
        <color theme="1"/>
        <rFont val="Calibri"/>
        <family val="2"/>
        <scheme val="minor"/>
      </rPr>
      <t xml:space="preserve"> - Seventh grade
</t>
    </r>
    <r>
      <rPr>
        <b/>
        <sz val="10"/>
        <color theme="1"/>
        <rFont val="Calibri"/>
        <family val="2"/>
        <scheme val="minor"/>
      </rPr>
      <t>08</t>
    </r>
    <r>
      <rPr>
        <sz val="10"/>
        <color theme="1"/>
        <rFont val="Calibri"/>
        <family val="2"/>
        <scheme val="minor"/>
      </rPr>
      <t xml:space="preserve"> - Eighth grade
</t>
    </r>
    <r>
      <rPr>
        <b/>
        <sz val="10"/>
        <color theme="1"/>
        <rFont val="Calibri"/>
        <family val="2"/>
        <scheme val="minor"/>
      </rPr>
      <t>09</t>
    </r>
    <r>
      <rPr>
        <sz val="10"/>
        <color theme="1"/>
        <rFont val="Calibri"/>
        <family val="2"/>
        <scheme val="minor"/>
      </rPr>
      <t xml:space="preserve"> - Ninth grade
</t>
    </r>
    <r>
      <rPr>
        <b/>
        <sz val="10"/>
        <color theme="1"/>
        <rFont val="Calibri"/>
        <family val="2"/>
        <scheme val="minor"/>
      </rPr>
      <t>10</t>
    </r>
    <r>
      <rPr>
        <sz val="10"/>
        <color theme="1"/>
        <rFont val="Calibri"/>
        <family val="2"/>
        <scheme val="minor"/>
      </rPr>
      <t xml:space="preserve"> - Tenth grade
</t>
    </r>
    <r>
      <rPr>
        <b/>
        <sz val="10"/>
        <color theme="1"/>
        <rFont val="Calibri"/>
        <family val="2"/>
        <scheme val="minor"/>
      </rPr>
      <t>11</t>
    </r>
    <r>
      <rPr>
        <sz val="10"/>
        <color theme="1"/>
        <rFont val="Calibri"/>
        <family val="2"/>
        <scheme val="minor"/>
      </rPr>
      <t xml:space="preserve"> - Eleventh grade
</t>
    </r>
    <r>
      <rPr>
        <b/>
        <sz val="10"/>
        <color theme="1"/>
        <rFont val="Calibri"/>
        <family val="2"/>
        <scheme val="minor"/>
      </rPr>
      <t>12</t>
    </r>
    <r>
      <rPr>
        <sz val="10"/>
        <color theme="1"/>
        <rFont val="Calibri"/>
        <family val="2"/>
        <scheme val="minor"/>
      </rPr>
      <t xml:space="preserve"> - Twelfth grade
</t>
    </r>
    <r>
      <rPr>
        <b/>
        <sz val="10"/>
        <color theme="1"/>
        <rFont val="Calibri"/>
        <family val="2"/>
        <scheme val="minor"/>
      </rPr>
      <t>13</t>
    </r>
    <r>
      <rPr>
        <sz val="10"/>
        <color theme="1"/>
        <rFont val="Calibri"/>
        <family val="2"/>
        <scheme val="minor"/>
      </rPr>
      <t xml:space="preserve"> - Grade 13
</t>
    </r>
    <r>
      <rPr>
        <b/>
        <sz val="10"/>
        <color theme="1"/>
        <rFont val="Calibri"/>
        <family val="2"/>
        <scheme val="minor"/>
      </rPr>
      <t>AS</t>
    </r>
    <r>
      <rPr>
        <sz val="10"/>
        <color theme="1"/>
        <rFont val="Calibri"/>
        <family val="2"/>
        <scheme val="minor"/>
      </rPr>
      <t xml:space="preserve"> - Associate's degree
</t>
    </r>
    <r>
      <rPr>
        <b/>
        <sz val="10"/>
        <color theme="1"/>
        <rFont val="Calibri"/>
        <family val="2"/>
        <scheme val="minor"/>
      </rPr>
      <t>BA</t>
    </r>
    <r>
      <rPr>
        <sz val="10"/>
        <color theme="1"/>
        <rFont val="Calibri"/>
        <family val="2"/>
        <scheme val="minor"/>
      </rPr>
      <t xml:space="preserve"> - Bachelor's degree
</t>
    </r>
    <r>
      <rPr>
        <b/>
        <sz val="10"/>
        <color theme="1"/>
        <rFont val="Calibri"/>
        <family val="2"/>
        <scheme val="minor"/>
      </rPr>
      <t>PB</t>
    </r>
    <r>
      <rPr>
        <sz val="10"/>
        <color theme="1"/>
        <rFont val="Calibri"/>
        <family val="2"/>
        <scheme val="minor"/>
      </rPr>
      <t xml:space="preserve"> - Post-baccalaureate certificate
</t>
    </r>
    <r>
      <rPr>
        <b/>
        <sz val="10"/>
        <color theme="1"/>
        <rFont val="Calibri"/>
        <family val="2"/>
        <scheme val="minor"/>
      </rPr>
      <t>MD</t>
    </r>
    <r>
      <rPr>
        <sz val="10"/>
        <color theme="1"/>
        <rFont val="Calibri"/>
        <family val="2"/>
        <scheme val="minor"/>
      </rPr>
      <t xml:space="preserve"> - Master's degree
</t>
    </r>
    <r>
      <rPr>
        <b/>
        <sz val="10"/>
        <color theme="1"/>
        <rFont val="Calibri"/>
        <family val="2"/>
        <scheme val="minor"/>
      </rPr>
      <t>PM</t>
    </r>
    <r>
      <rPr>
        <sz val="10"/>
        <color theme="1"/>
        <rFont val="Calibri"/>
        <family val="2"/>
        <scheme val="minor"/>
      </rPr>
      <t xml:space="preserve"> - Post-master's certificate
</t>
    </r>
    <r>
      <rPr>
        <b/>
        <sz val="10"/>
        <color theme="1"/>
        <rFont val="Calibri"/>
        <family val="2"/>
        <scheme val="minor"/>
      </rPr>
      <t>DO</t>
    </r>
    <r>
      <rPr>
        <sz val="10"/>
        <color theme="1"/>
        <rFont val="Calibri"/>
        <family val="2"/>
        <scheme val="minor"/>
      </rPr>
      <t xml:space="preserve"> - Doctoral degree
</t>
    </r>
    <r>
      <rPr>
        <b/>
        <sz val="10"/>
        <color theme="1"/>
        <rFont val="Calibri"/>
        <family val="2"/>
        <scheme val="minor"/>
      </rPr>
      <t>PD</t>
    </r>
    <r>
      <rPr>
        <sz val="10"/>
        <color theme="1"/>
        <rFont val="Calibri"/>
        <family val="2"/>
        <scheme val="minor"/>
      </rPr>
      <t xml:space="preserve"> - Post-doctoral certificate
</t>
    </r>
    <r>
      <rPr>
        <b/>
        <sz val="10"/>
        <color theme="1"/>
        <rFont val="Calibri"/>
        <family val="2"/>
        <scheme val="minor"/>
      </rPr>
      <t>AE</t>
    </r>
    <r>
      <rPr>
        <sz val="10"/>
        <color theme="1"/>
        <rFont val="Calibri"/>
        <family val="2"/>
        <scheme val="minor"/>
      </rPr>
      <t xml:space="preserve"> - Adult education
</t>
    </r>
    <r>
      <rPr>
        <b/>
        <sz val="10"/>
        <color theme="1"/>
        <rFont val="Calibri"/>
        <family val="2"/>
        <scheme val="minor"/>
      </rPr>
      <t>OT</t>
    </r>
    <r>
      <rPr>
        <sz val="10"/>
        <color theme="1"/>
        <rFont val="Calibri"/>
        <family val="2"/>
        <scheme val="minor"/>
      </rPr>
      <t xml:space="preserve"> - Other
</t>
    </r>
  </si>
  <si>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</si>
  <si>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</si>
  <si>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</si>
  <si>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</si>
  <si>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</si>
  <si>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</si>
  <si>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</si>
  <si>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</si>
  <si>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</si>
  <si>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</si>
  <si>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</si>
  <si>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</si>
  <si>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</si>
  <si>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r>
      <t>Beginner</t>
    </r>
    <r>
      <rPr>
        <sz val="10"/>
        <color theme="1"/>
        <rFont val="Calibri"/>
        <family val="2"/>
        <scheme val="minor"/>
      </rPr>
      <t xml:space="preserve"> - Beginner
</t>
    </r>
    <r>
      <rPr>
        <b/>
        <sz val="10"/>
        <color theme="1"/>
        <rFont val="Calibri"/>
        <family val="2"/>
        <scheme val="minor"/>
      </rPr>
      <t>Intermediate</t>
    </r>
    <r>
      <rPr>
        <sz val="10"/>
        <color theme="1"/>
        <rFont val="Calibri"/>
        <family val="2"/>
        <scheme val="minor"/>
      </rPr>
      <t xml:space="preserve"> - Intermediate
</t>
    </r>
    <r>
      <rPr>
        <b/>
        <sz val="10"/>
        <color theme="1"/>
        <rFont val="Calibri"/>
        <family val="2"/>
        <scheme val="minor"/>
      </rPr>
      <t>Advanced</t>
    </r>
    <r>
      <rPr>
        <sz val="10"/>
        <color theme="1"/>
        <rFont val="Calibri"/>
        <family val="2"/>
        <scheme val="minor"/>
      </rPr>
      <t xml:space="preserve"> - Advanced
</t>
    </r>
  </si>
  <si>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</si>
  <si>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</si>
  <si>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</si>
  <si>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</si>
  <si>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</si>
  <si>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</si>
  <si>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</si>
  <si>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</si>
  <si>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Early Learning -&gt; EL Staff -&gt; Professional Development Activity</t>
  </si>
  <si>
    <t>001619</t>
  </si>
  <si>
    <t>ProfessionalDevelopmentActivityStateApprovedStatus</t>
  </si>
  <si>
    <t>Professional Development Activity Target Audience</t>
  </si>
  <si>
    <t>A categorization of the audience for which the professional development activity is intended.</t>
  </si>
  <si>
    <r>
      <t>AdministrativeSupportStaff</t>
    </r>
    <r>
      <rPr>
        <sz val="10"/>
        <color theme="1"/>
        <rFont val="Calibri"/>
        <family val="2"/>
        <scheme val="minor"/>
      </rPr>
      <t xml:space="preserve"> - Administrative Support Staff
</t>
    </r>
    <r>
      <rPr>
        <b/>
        <sz val="10"/>
        <color theme="1"/>
        <rFont val="Calibri"/>
        <family val="2"/>
        <scheme val="minor"/>
      </rPr>
      <t>Administrators</t>
    </r>
    <r>
      <rPr>
        <sz val="10"/>
        <color theme="1"/>
        <rFont val="Calibri"/>
        <family val="2"/>
        <scheme val="minor"/>
      </rPr>
      <t xml:space="preserve"> - Administrators
</t>
    </r>
    <r>
      <rPr>
        <b/>
        <sz val="10"/>
        <color theme="1"/>
        <rFont val="Calibri"/>
        <family val="2"/>
        <scheme val="minor"/>
      </rPr>
      <t>AllOtherSupportStaff</t>
    </r>
    <r>
      <rPr>
        <sz val="10"/>
        <color theme="1"/>
        <rFont val="Calibri"/>
        <family val="2"/>
        <scheme val="minor"/>
      </rPr>
      <t xml:space="preserve"> - All Other Support Staff 
</t>
    </r>
    <r>
      <rPr>
        <b/>
        <sz val="10"/>
        <color theme="1"/>
        <rFont val="Calibri"/>
        <family val="2"/>
        <scheme val="minor"/>
      </rPr>
      <t>BehavioralSpecialists</t>
    </r>
    <r>
      <rPr>
        <sz val="10"/>
        <color theme="1"/>
        <rFont val="Calibri"/>
        <family val="2"/>
        <scheme val="minor"/>
      </rPr>
      <t xml:space="preserve"> - Behavioral Specialists
</t>
    </r>
    <r>
      <rPr>
        <b/>
        <sz val="10"/>
        <color theme="1"/>
        <rFont val="Calibri"/>
        <family val="2"/>
        <scheme val="minor"/>
      </rPr>
      <t>ELAssistantTeachers</t>
    </r>
    <r>
      <rPr>
        <sz val="10"/>
        <color theme="1"/>
        <rFont val="Calibri"/>
        <family val="2"/>
        <scheme val="minor"/>
      </rPr>
      <t xml:space="preserve"> - Early Leaning Assistant Teachers
</t>
    </r>
    <r>
      <rPr>
        <b/>
        <sz val="10"/>
        <color theme="1"/>
        <rFont val="Calibri"/>
        <family val="2"/>
        <scheme val="minor"/>
      </rPr>
      <t>ELTeachers</t>
    </r>
    <r>
      <rPr>
        <sz val="10"/>
        <color theme="1"/>
        <rFont val="Calibri"/>
        <family val="2"/>
        <scheme val="minor"/>
      </rPr>
      <t xml:space="preserve"> - Early Learning Teachers
</t>
    </r>
    <r>
      <rPr>
        <b/>
        <sz val="10"/>
        <color theme="1"/>
        <rFont val="Calibri"/>
        <family val="2"/>
        <scheme val="minor"/>
      </rPr>
      <t>ElementaryTeachers</t>
    </r>
    <r>
      <rPr>
        <sz val="10"/>
        <color theme="1"/>
        <rFont val="Calibri"/>
        <family val="2"/>
        <scheme val="minor"/>
      </rPr>
      <t xml:space="preserve"> - Elementary Teachers
</t>
    </r>
    <r>
      <rPr>
        <b/>
        <sz val="10"/>
        <color theme="1"/>
        <rFont val="Calibri"/>
        <family val="2"/>
        <scheme val="minor"/>
      </rPr>
      <t>FamilyServiceWorkers</t>
    </r>
    <r>
      <rPr>
        <sz val="10"/>
        <color theme="1"/>
        <rFont val="Calibri"/>
        <family val="2"/>
        <scheme val="minor"/>
      </rPr>
      <t xml:space="preserve"> - Family Service Workers
</t>
    </r>
    <r>
      <rPr>
        <b/>
        <sz val="10"/>
        <color theme="1"/>
        <rFont val="Calibri"/>
        <family val="2"/>
        <scheme val="minor"/>
      </rPr>
      <t>HealthSpecialists</t>
    </r>
    <r>
      <rPr>
        <sz val="10"/>
        <color theme="1"/>
        <rFont val="Calibri"/>
        <family val="2"/>
        <scheme val="minor"/>
      </rPr>
      <t xml:space="preserve"> - Health Specialists
</t>
    </r>
    <r>
      <rPr>
        <b/>
        <sz val="10"/>
        <color theme="1"/>
        <rFont val="Calibri"/>
        <family val="2"/>
        <scheme val="minor"/>
      </rPr>
      <t>HomeVisitors</t>
    </r>
    <r>
      <rPr>
        <sz val="10"/>
        <color theme="1"/>
        <rFont val="Calibri"/>
        <family val="2"/>
        <scheme val="minor"/>
      </rPr>
      <t xml:space="preserve"> - Home Visitors
</t>
    </r>
    <r>
      <rPr>
        <b/>
        <sz val="10"/>
        <color theme="1"/>
        <rFont val="Calibri"/>
        <family val="2"/>
        <scheme val="minor"/>
      </rPr>
      <t>InstructionalCoordinators</t>
    </r>
    <r>
      <rPr>
        <sz val="10"/>
        <color theme="1"/>
        <rFont val="Calibri"/>
        <family val="2"/>
        <scheme val="minor"/>
      </rPr>
      <t xml:space="preserve"> - Instructional Coordinators
</t>
    </r>
    <r>
      <rPr>
        <b/>
        <sz val="10"/>
        <color theme="1"/>
        <rFont val="Calibri"/>
        <family val="2"/>
        <scheme val="minor"/>
      </rPr>
      <t>KindergartenTeachers</t>
    </r>
    <r>
      <rPr>
        <sz val="10"/>
        <color theme="1"/>
        <rFont val="Calibri"/>
        <family val="2"/>
        <scheme val="minor"/>
      </rPr>
      <t xml:space="preserve"> - Kindergarten Teachers
</t>
    </r>
    <r>
      <rPr>
        <b/>
        <sz val="10"/>
        <color theme="1"/>
        <rFont val="Calibri"/>
        <family val="2"/>
        <scheme val="minor"/>
      </rPr>
      <t>LibraryMediaSpecialists</t>
    </r>
    <r>
      <rPr>
        <sz val="10"/>
        <color theme="1"/>
        <rFont val="Calibri"/>
        <family val="2"/>
        <scheme val="minor"/>
      </rPr>
      <t xml:space="preserve"> - Librarians/Media Specialists
</t>
    </r>
    <r>
      <rPr>
        <b/>
        <sz val="10"/>
        <color theme="1"/>
        <rFont val="Calibri"/>
        <family val="2"/>
        <scheme val="minor"/>
      </rPr>
      <t>LibraryMediaSupportStaff</t>
    </r>
    <r>
      <rPr>
        <sz val="10"/>
        <color theme="1"/>
        <rFont val="Calibri"/>
        <family val="2"/>
        <scheme val="minor"/>
      </rPr>
      <t xml:space="preserve"> - Library/Media Support Staff
</t>
    </r>
    <r>
      <rPr>
        <b/>
        <sz val="10"/>
        <color theme="1"/>
        <rFont val="Calibri"/>
        <family val="2"/>
        <scheme val="minor"/>
      </rPr>
      <t>MentalHealthSpecialists</t>
    </r>
    <r>
      <rPr>
        <sz val="10"/>
        <color theme="1"/>
        <rFont val="Calibri"/>
        <family val="2"/>
        <scheme val="minor"/>
      </rPr>
      <t xml:space="preserve"> - Mental Health Specialists
</t>
    </r>
    <r>
      <rPr>
        <b/>
        <sz val="10"/>
        <color theme="1"/>
        <rFont val="Calibri"/>
        <family val="2"/>
        <scheme val="minor"/>
      </rPr>
      <t>NutritionSpecialists</t>
    </r>
    <r>
      <rPr>
        <sz val="10"/>
        <color theme="1"/>
        <rFont val="Calibri"/>
        <family val="2"/>
        <scheme val="minor"/>
      </rPr>
      <t xml:space="preserve"> - Nutrition Specialists
</t>
    </r>
    <r>
      <rPr>
        <b/>
        <sz val="10"/>
        <color theme="1"/>
        <rFont val="Calibri"/>
        <family val="2"/>
        <scheme val="minor"/>
      </rPr>
      <t>Paraprofessionals</t>
    </r>
    <r>
      <rPr>
        <sz val="10"/>
        <color theme="1"/>
        <rFont val="Calibri"/>
        <family val="2"/>
        <scheme val="minor"/>
      </rPr>
      <t xml:space="preserve"> - Paraprofessionals
</t>
    </r>
    <r>
      <rPr>
        <b/>
        <sz val="10"/>
        <color theme="1"/>
        <rFont val="Calibri"/>
        <family val="2"/>
        <scheme val="minor"/>
      </rPr>
      <t>PartCEarlyInterventionists</t>
    </r>
    <r>
      <rPr>
        <sz val="10"/>
        <color theme="1"/>
        <rFont val="Calibri"/>
        <family val="2"/>
        <scheme val="minor"/>
      </rPr>
      <t xml:space="preserve"> - Part C Early Interventionists
</t>
    </r>
    <r>
      <rPr>
        <b/>
        <sz val="10"/>
        <color theme="1"/>
        <rFont val="Calibri"/>
        <family val="2"/>
        <scheme val="minor"/>
      </rPr>
      <t>PartCServiceCoordinators</t>
    </r>
    <r>
      <rPr>
        <sz val="10"/>
        <color theme="1"/>
        <rFont val="Calibri"/>
        <family val="2"/>
        <scheme val="minor"/>
      </rPr>
      <t xml:space="preserve"> - Part C Service Coordinators
</t>
    </r>
    <r>
      <rPr>
        <b/>
        <sz val="10"/>
        <color theme="1"/>
        <rFont val="Calibri"/>
        <family val="2"/>
        <scheme val="minor"/>
      </rPr>
      <t>SchoolCounselors</t>
    </r>
    <r>
      <rPr>
        <sz val="10"/>
        <color theme="1"/>
        <rFont val="Calibri"/>
        <family val="2"/>
        <scheme val="minor"/>
      </rPr>
      <t xml:space="preserve"> - School Counselors
</t>
    </r>
    <r>
      <rPr>
        <b/>
        <sz val="10"/>
        <color theme="1"/>
        <rFont val="Calibri"/>
        <family val="2"/>
        <scheme val="minor"/>
      </rPr>
      <t>SecondaryTeachers</t>
    </r>
    <r>
      <rPr>
        <sz val="10"/>
        <color theme="1"/>
        <rFont val="Calibri"/>
        <family val="2"/>
        <scheme val="minor"/>
      </rPr>
      <t xml:space="preserve"> - Secondary Teachers
</t>
    </r>
    <r>
      <rPr>
        <b/>
        <sz val="10"/>
        <color theme="1"/>
        <rFont val="Calibri"/>
        <family val="2"/>
        <scheme val="minor"/>
      </rPr>
      <t>SocialWorkers</t>
    </r>
    <r>
      <rPr>
        <sz val="10"/>
        <color theme="1"/>
        <rFont val="Calibri"/>
        <family val="2"/>
        <scheme val="minor"/>
      </rPr>
      <t xml:space="preserve"> - Social Workers
</t>
    </r>
    <r>
      <rPr>
        <b/>
        <sz val="10"/>
        <color theme="1"/>
        <rFont val="Calibri"/>
        <family val="2"/>
        <scheme val="minor"/>
      </rPr>
      <t>SpecialEducationTeachers</t>
    </r>
    <r>
      <rPr>
        <sz val="10"/>
        <color theme="1"/>
        <rFont val="Calibri"/>
        <family val="2"/>
        <scheme val="minor"/>
      </rPr>
      <t xml:space="preserve"> - Special Education Teachers
</t>
    </r>
    <r>
      <rPr>
        <b/>
        <sz val="10"/>
        <color theme="1"/>
        <rFont val="Calibri"/>
        <family val="2"/>
        <scheme val="minor"/>
      </rPr>
      <t>SpecialNeedsSpecialists</t>
    </r>
    <r>
      <rPr>
        <sz val="10"/>
        <color theme="1"/>
        <rFont val="Calibri"/>
        <family val="2"/>
        <scheme val="minor"/>
      </rPr>
      <t xml:space="preserve"> - Special Needs Specialists
</t>
    </r>
    <r>
      <rPr>
        <b/>
        <sz val="10"/>
        <color theme="1"/>
        <rFont val="Calibri"/>
        <family val="2"/>
        <scheme val="minor"/>
      </rPr>
      <t>StudentSupportServicesStaff</t>
    </r>
    <r>
      <rPr>
        <sz val="10"/>
        <color theme="1"/>
        <rFont val="Calibri"/>
        <family val="2"/>
        <scheme val="minor"/>
      </rPr>
      <t xml:space="preserve"> - Student Support Services Staff
</t>
    </r>
    <r>
      <rPr>
        <b/>
        <sz val="10"/>
        <color theme="1"/>
        <rFont val="Calibri"/>
        <family val="2"/>
        <scheme val="minor"/>
      </rPr>
      <t>UngradedTeachers</t>
    </r>
    <r>
      <rPr>
        <sz val="10"/>
        <color theme="1"/>
        <rFont val="Calibri"/>
        <family val="2"/>
        <scheme val="minor"/>
      </rPr>
      <t xml:space="preserve"> - Ungraded Teachers
</t>
    </r>
    <r>
      <rPr>
        <b/>
        <sz val="10"/>
        <color theme="1"/>
        <rFont val="Calibri"/>
        <family val="2"/>
        <scheme val="minor"/>
      </rPr>
      <t>Other</t>
    </r>
    <r>
      <rPr>
        <sz val="10"/>
        <color theme="1"/>
        <rFont val="Calibri"/>
        <family val="2"/>
        <scheme val="minor"/>
      </rPr>
      <t xml:space="preserve"> - Other
</t>
    </r>
  </si>
  <si>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</si>
  <si>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</si>
  <si>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</si>
  <si>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</si>
  <si>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</si>
  <si>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</si>
  <si>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</si>
  <si>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</si>
  <si>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r>
      <t>CollegeCourse</t>
    </r>
    <r>
      <rPr>
        <sz val="10"/>
        <color theme="1"/>
        <rFont val="Calibri"/>
        <family val="2"/>
        <scheme val="minor"/>
      </rPr>
      <t xml:space="preserve"> - College Course
</t>
    </r>
    <r>
      <rPr>
        <b/>
        <sz val="10"/>
        <color theme="1"/>
        <rFont val="Calibri"/>
        <family val="2"/>
        <scheme val="minor"/>
      </rPr>
      <t>Coaching</t>
    </r>
    <r>
      <rPr>
        <sz val="10"/>
        <color theme="1"/>
        <rFont val="Calibri"/>
        <family val="2"/>
        <scheme val="minor"/>
      </rPr>
      <t xml:space="preserve"> - Coaching
</t>
    </r>
    <r>
      <rPr>
        <b/>
        <sz val="10"/>
        <color theme="1"/>
        <rFont val="Calibri"/>
        <family val="2"/>
        <scheme val="minor"/>
      </rPr>
      <t>Mentoring</t>
    </r>
    <r>
      <rPr>
        <sz val="10"/>
        <color theme="1"/>
        <rFont val="Calibri"/>
        <family val="2"/>
        <scheme val="minor"/>
      </rPr>
      <t xml:space="preserve"> - Mentoring
</t>
    </r>
    <r>
      <rPr>
        <b/>
        <sz val="10"/>
        <color theme="1"/>
        <rFont val="Calibri"/>
        <family val="2"/>
        <scheme val="minor"/>
      </rPr>
      <t>Consultation</t>
    </r>
    <r>
      <rPr>
        <sz val="10"/>
        <color theme="1"/>
        <rFont val="Calibri"/>
        <family val="2"/>
        <scheme val="minor"/>
      </rPr>
      <t xml:space="preserve"> - Consultation
</t>
    </r>
    <r>
      <rPr>
        <b/>
        <sz val="10"/>
        <color theme="1"/>
        <rFont val="Calibri"/>
        <family val="2"/>
        <scheme val="minor"/>
      </rPr>
      <t>P2P</t>
    </r>
    <r>
      <rPr>
        <sz val="10"/>
        <color theme="1"/>
        <rFont val="Calibri"/>
        <family val="2"/>
        <scheme val="minor"/>
      </rPr>
      <t xml:space="preserve"> - Person-to-Person
</t>
    </r>
    <r>
      <rPr>
        <b/>
        <sz val="10"/>
        <color theme="1"/>
        <rFont val="Calibri"/>
        <family val="2"/>
        <scheme val="minor"/>
      </rPr>
      <t>TechnicalAssistance</t>
    </r>
    <r>
      <rPr>
        <sz val="10"/>
        <color theme="1"/>
        <rFont val="Calibri"/>
        <family val="2"/>
        <scheme val="minor"/>
      </rPr>
      <t xml:space="preserve"> - Technical Assistance
</t>
    </r>
    <r>
      <rPr>
        <b/>
        <sz val="10"/>
        <color theme="1"/>
        <rFont val="Calibri"/>
        <family val="2"/>
        <scheme val="minor"/>
      </rPr>
      <t>Advisement</t>
    </r>
    <r>
      <rPr>
        <sz val="10"/>
        <color theme="1"/>
        <rFont val="Calibri"/>
        <family val="2"/>
        <scheme val="minor"/>
      </rPr>
      <t xml:space="preserve"> - Advisement
</t>
    </r>
    <r>
      <rPr>
        <b/>
        <sz val="10"/>
        <color theme="1"/>
        <rFont val="Calibri"/>
        <family val="2"/>
        <scheme val="minor"/>
      </rPr>
      <t>OneTimeWorkshopTraining</t>
    </r>
    <r>
      <rPr>
        <sz val="10"/>
        <color theme="1"/>
        <rFont val="Calibri"/>
        <family val="2"/>
        <scheme val="minor"/>
      </rPr>
      <t xml:space="preserve"> - One-time Workshop Training
</t>
    </r>
    <r>
      <rPr>
        <b/>
        <sz val="10"/>
        <color theme="1"/>
        <rFont val="Calibri"/>
        <family val="2"/>
        <scheme val="minor"/>
      </rPr>
      <t>SeriesOfWorkshopsTraining</t>
    </r>
    <r>
      <rPr>
        <sz val="10"/>
        <color theme="1"/>
        <rFont val="Calibri"/>
        <family val="2"/>
        <scheme val="minor"/>
      </rPr>
      <t xml:space="preserve"> - Series of Workshops Training
</t>
    </r>
    <r>
      <rPr>
        <b/>
        <sz val="10"/>
        <color theme="1"/>
        <rFont val="Calibri"/>
        <family val="2"/>
        <scheme val="minor"/>
      </rPr>
      <t>Other</t>
    </r>
    <r>
      <rPr>
        <sz val="10"/>
        <color theme="1"/>
        <rFont val="Calibri"/>
        <family val="2"/>
        <scheme val="minor"/>
      </rPr>
      <t xml:space="preserve"> - Other
</t>
    </r>
  </si>
  <si>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</si>
  <si>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</si>
  <si>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</si>
  <si>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</si>
  <si>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</si>
  <si>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</si>
  <si>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</si>
  <si>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</si>
  <si>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</si>
  <si>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r>
      <t>Onsite</t>
    </r>
    <r>
      <rPr>
        <sz val="10"/>
        <color theme="1"/>
        <rFont val="Calibri"/>
        <family val="2"/>
        <scheme val="minor"/>
      </rPr>
      <t xml:space="preserve"> - Onsite
</t>
    </r>
    <r>
      <rPr>
        <b/>
        <sz val="10"/>
        <color theme="1"/>
        <rFont val="Calibri"/>
        <family val="2"/>
        <scheme val="minor"/>
      </rPr>
      <t>Virtual</t>
    </r>
    <r>
      <rPr>
        <sz val="10"/>
        <color theme="1"/>
        <rFont val="Calibri"/>
        <family val="2"/>
        <scheme val="minor"/>
      </rPr>
      <t xml:space="preserve"> - Virtual classroom
</t>
    </r>
    <r>
      <rPr>
        <b/>
        <sz val="10"/>
        <color theme="1"/>
        <rFont val="Calibri"/>
        <family val="2"/>
        <scheme val="minor"/>
      </rPr>
      <t>Off-Site</t>
    </r>
    <r>
      <rPr>
        <sz val="10"/>
        <color theme="1"/>
        <rFont val="Calibri"/>
        <family val="2"/>
        <scheme val="minor"/>
      </rPr>
      <t xml:space="preserve"> - Off-site classroom
</t>
    </r>
    <r>
      <rPr>
        <b/>
        <sz val="10"/>
        <color theme="1"/>
        <rFont val="Calibri"/>
        <family val="2"/>
        <scheme val="minor"/>
      </rPr>
      <t>Conference</t>
    </r>
    <r>
      <rPr>
        <sz val="10"/>
        <color theme="1"/>
        <rFont val="Calibri"/>
        <family val="2"/>
        <scheme val="minor"/>
      </rPr>
      <t xml:space="preserve"> - Conference
</t>
    </r>
  </si>
  <si>
    <t>Early Learning -&gt; EL Staff -&gt; Professional Development Activity -&gt; Session
K12 -&gt; K12 Staff -&gt; Professional Development Activity -&gt; Session</t>
  </si>
  <si>
    <t>001431</t>
  </si>
  <si>
    <t>ProfessionalDevelopmentDeliveryMethod</t>
  </si>
  <si>
    <t>Professional Development Financial Support Type</t>
  </si>
  <si>
    <t>The type of financial assistance received in support of non-credit professional development activities.</t>
  </si>
  <si>
    <r>
      <t>01</t>
    </r>
    <r>
      <rPr>
        <sz val="10"/>
        <color theme="1"/>
        <rFont val="Calibri"/>
        <family val="2"/>
        <scheme val="minor"/>
      </rPr>
      <t xml:space="preserve"> - One time non-credit
</t>
    </r>
    <r>
      <rPr>
        <b/>
        <sz val="10"/>
        <color theme="1"/>
        <rFont val="Calibri"/>
        <family val="2"/>
        <scheme val="minor"/>
      </rPr>
      <t>02</t>
    </r>
    <r>
      <rPr>
        <sz val="10"/>
        <color theme="1"/>
        <rFont val="Calibri"/>
        <family val="2"/>
        <scheme val="minor"/>
      </rPr>
      <t xml:space="preserve"> - One time credit paid
</t>
    </r>
    <r>
      <rPr>
        <b/>
        <sz val="10"/>
        <color theme="1"/>
        <rFont val="Calibri"/>
        <family val="2"/>
        <scheme val="minor"/>
      </rPr>
      <t>03</t>
    </r>
    <r>
      <rPr>
        <sz val="10"/>
        <color theme="1"/>
        <rFont val="Calibri"/>
        <family val="2"/>
        <scheme val="minor"/>
      </rPr>
      <t xml:space="preserve"> - On-going non-credit paid
</t>
    </r>
    <r>
      <rPr>
        <b/>
        <sz val="10"/>
        <color theme="1"/>
        <rFont val="Calibri"/>
        <family val="2"/>
        <scheme val="minor"/>
      </rPr>
      <t>04</t>
    </r>
    <r>
      <rPr>
        <sz val="10"/>
        <color theme="1"/>
        <rFont val="Calibri"/>
        <family val="2"/>
        <scheme val="minor"/>
      </rPr>
      <t xml:space="preserve"> - On-going credit paid
</t>
    </r>
    <r>
      <rPr>
        <b/>
        <sz val="10"/>
        <color theme="1"/>
        <rFont val="Calibri"/>
        <family val="2"/>
        <scheme val="minor"/>
      </rPr>
      <t>05</t>
    </r>
    <r>
      <rPr>
        <sz val="10"/>
        <color theme="1"/>
        <rFont val="Calibri"/>
        <family val="2"/>
        <scheme val="minor"/>
      </rPr>
      <t xml:space="preserve"> - Salary bonus
</t>
    </r>
    <r>
      <rPr>
        <b/>
        <sz val="10"/>
        <color theme="1"/>
        <rFont val="Calibri"/>
        <family val="2"/>
        <scheme val="minor"/>
      </rPr>
      <t>06</t>
    </r>
    <r>
      <rPr>
        <sz val="10"/>
        <color theme="1"/>
        <rFont val="Calibri"/>
        <family val="2"/>
        <scheme val="minor"/>
      </rPr>
      <t xml:space="preserve"> - Wage enhancement
</t>
    </r>
    <r>
      <rPr>
        <b/>
        <sz val="10"/>
        <color theme="1"/>
        <rFont val="Calibri"/>
        <family val="2"/>
        <scheme val="minor"/>
      </rPr>
      <t>07</t>
    </r>
    <r>
      <rPr>
        <sz val="10"/>
        <color theme="1"/>
        <rFont val="Calibri"/>
        <family val="2"/>
        <scheme val="minor"/>
      </rPr>
      <t xml:space="preserve"> - Tuition reimbursement
</t>
    </r>
    <r>
      <rPr>
        <b/>
        <sz val="10"/>
        <color theme="1"/>
        <rFont val="Calibri"/>
        <family val="2"/>
        <scheme val="minor"/>
      </rPr>
      <t>08</t>
    </r>
    <r>
      <rPr>
        <sz val="10"/>
        <color theme="1"/>
        <rFont val="Calibri"/>
        <family val="2"/>
        <scheme val="minor"/>
      </rPr>
      <t xml:space="preserve"> - Travel child care
</t>
    </r>
    <r>
      <rPr>
        <b/>
        <sz val="10"/>
        <color theme="1"/>
        <rFont val="Calibri"/>
        <family val="2"/>
        <scheme val="minor"/>
      </rPr>
      <t>09</t>
    </r>
    <r>
      <rPr>
        <sz val="10"/>
        <color theme="1"/>
        <rFont val="Calibri"/>
        <family val="2"/>
        <scheme val="minor"/>
      </rPr>
      <t xml:space="preserve"> - Release time
</t>
    </r>
    <r>
      <rPr>
        <b/>
        <sz val="10"/>
        <color theme="1"/>
        <rFont val="Calibri"/>
        <family val="2"/>
        <scheme val="minor"/>
      </rPr>
      <t>10</t>
    </r>
    <r>
      <rPr>
        <sz val="10"/>
        <color theme="1"/>
        <rFont val="Calibri"/>
        <family val="2"/>
        <scheme val="minor"/>
      </rPr>
      <t xml:space="preserve"> - Scholarship
</t>
    </r>
    <r>
      <rPr>
        <b/>
        <sz val="10"/>
        <color theme="1"/>
        <rFont val="Calibri"/>
        <family val="2"/>
        <scheme val="minor"/>
      </rPr>
      <t>11</t>
    </r>
    <r>
      <rPr>
        <sz val="10"/>
        <color theme="1"/>
        <rFont val="Calibri"/>
        <family val="2"/>
        <scheme val="minor"/>
      </rPr>
      <t xml:space="preserve"> - Loan
</t>
    </r>
  </si>
  <si>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</si>
  <si>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</si>
  <si>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</si>
  <si>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</si>
  <si>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</si>
  <si>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</si>
  <si>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</si>
  <si>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</si>
  <si>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r>
      <t>Broadcast</t>
    </r>
    <r>
      <rPr>
        <sz val="10"/>
        <color theme="1"/>
        <rFont val="Calibri"/>
        <family val="2"/>
        <scheme val="minor"/>
      </rPr>
      <t xml:space="preserve"> - Broadcast
</t>
    </r>
    <r>
      <rPr>
        <b/>
        <sz val="10"/>
        <color theme="1"/>
        <rFont val="Calibri"/>
        <family val="2"/>
        <scheme val="minor"/>
      </rPr>
      <t>Correspondence</t>
    </r>
    <r>
      <rPr>
        <sz val="10"/>
        <color theme="1"/>
        <rFont val="Calibri"/>
        <family val="2"/>
        <scheme val="minor"/>
      </rPr>
      <t xml:space="preserve"> - Correspondence
</t>
    </r>
    <r>
      <rPr>
        <b/>
        <sz val="10"/>
        <color theme="1"/>
        <rFont val="Calibri"/>
        <family val="2"/>
        <scheme val="minor"/>
      </rPr>
      <t>EarlyCollege</t>
    </r>
    <r>
      <rPr>
        <sz val="10"/>
        <color theme="1"/>
        <rFont val="Calibri"/>
        <family val="2"/>
        <scheme val="minor"/>
      </rPr>
      <t xml:space="preserve"> - Early College
</t>
    </r>
    <r>
      <rPr>
        <b/>
        <sz val="10"/>
        <color theme="1"/>
        <rFont val="Calibri"/>
        <family val="2"/>
        <scheme val="minor"/>
      </rPr>
      <t>AudioVideo</t>
    </r>
    <r>
      <rPr>
        <sz val="10"/>
        <color theme="1"/>
        <rFont val="Calibri"/>
        <family val="2"/>
        <scheme val="minor"/>
      </rPr>
      <t xml:space="preserve"> - Interactive Audio/Video
</t>
    </r>
    <r>
      <rPr>
        <b/>
        <sz val="10"/>
        <color theme="1"/>
        <rFont val="Calibri"/>
        <family val="2"/>
        <scheme val="minor"/>
      </rPr>
      <t>Conference</t>
    </r>
    <r>
      <rPr>
        <sz val="10"/>
        <color theme="1"/>
        <rFont val="Calibri"/>
        <family val="2"/>
        <scheme val="minor"/>
      </rPr>
      <t xml:space="preserve"> - Conference
</t>
    </r>
    <r>
      <rPr>
        <b/>
        <sz val="10"/>
        <color theme="1"/>
        <rFont val="Calibri"/>
        <family val="2"/>
        <scheme val="minor"/>
      </rPr>
      <t>Online</t>
    </r>
    <r>
      <rPr>
        <sz val="10"/>
        <color theme="1"/>
        <rFont val="Calibri"/>
        <family val="2"/>
        <scheme val="minor"/>
      </rPr>
      <t xml:space="preserve"> - Online
</t>
    </r>
    <r>
      <rPr>
        <b/>
        <sz val="10"/>
        <color theme="1"/>
        <rFont val="Calibri"/>
        <family val="2"/>
        <scheme val="minor"/>
      </rPr>
      <t>IndependentStudy</t>
    </r>
    <r>
      <rPr>
        <sz val="10"/>
        <color theme="1"/>
        <rFont val="Calibri"/>
        <family val="2"/>
        <scheme val="minor"/>
      </rPr>
      <t xml:space="preserve"> - Independent Study
</t>
    </r>
    <r>
      <rPr>
        <b/>
        <sz val="10"/>
        <color theme="1"/>
        <rFont val="Calibri"/>
        <family val="2"/>
        <scheme val="minor"/>
      </rPr>
      <t>FaceToFace</t>
    </r>
    <r>
      <rPr>
        <sz val="10"/>
        <color theme="1"/>
        <rFont val="Calibri"/>
        <family val="2"/>
        <scheme val="minor"/>
      </rPr>
      <t xml:space="preserve"> - Face To Face
</t>
    </r>
    <r>
      <rPr>
        <b/>
        <sz val="10"/>
        <color theme="1"/>
        <rFont val="Calibri"/>
        <family val="2"/>
        <scheme val="minor"/>
      </rPr>
      <t>BlendedLearning</t>
    </r>
    <r>
      <rPr>
        <sz val="10"/>
        <color theme="1"/>
        <rFont val="Calibri"/>
        <family val="2"/>
        <scheme val="minor"/>
      </rPr>
      <t xml:space="preserve"> - Blended Learning
</t>
    </r>
    <r>
      <rPr>
        <b/>
        <sz val="10"/>
        <color theme="1"/>
        <rFont val="Calibri"/>
        <family val="2"/>
        <scheme val="minor"/>
      </rPr>
      <t>Other</t>
    </r>
    <r>
      <rPr>
        <sz val="10"/>
        <color theme="1"/>
        <rFont val="Calibri"/>
        <family val="2"/>
        <scheme val="minor"/>
      </rPr>
      <t xml:space="preserve"> - Other
</t>
    </r>
  </si>
  <si>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</si>
  <si>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</si>
  <si>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</si>
  <si>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</si>
  <si>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</si>
  <si>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</si>
  <si>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Approved by Supervisor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</si>
  <si>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</si>
  <si>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</si>
  <si>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</si>
  <si>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</si>
  <si>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</si>
  <si>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</si>
  <si>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</si>
  <si>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</si>
  <si>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</si>
  <si>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</si>
  <si>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</si>
  <si>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</si>
  <si>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</si>
  <si>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</si>
  <si>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</si>
  <si>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</si>
  <si>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</si>
  <si>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</si>
  <si>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</si>
  <si>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</si>
  <si>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</si>
  <si>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</si>
  <si>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</si>
  <si>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</si>
  <si>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</si>
  <si>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</si>
  <si>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</si>
  <si>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</si>
  <si>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</si>
  <si>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</si>
  <si>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</si>
  <si>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</si>
  <si>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</si>
  <si>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</si>
  <si>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</si>
  <si>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</si>
  <si>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The unique, non-duplicated, identification number assigned by the registry data system for a session of a particular professional development activity.</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</si>
  <si>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</si>
  <si>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</si>
  <si>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</si>
  <si>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</si>
  <si>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</si>
  <si>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</si>
  <si>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</si>
  <si>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</si>
  <si>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Early Learning -&gt; EL Staff -&gt; Professional Development Activity -&gt; Session - Location
K12 -&gt; K12 Staff -&gt; Professional Development Activity -&gt; Session - Location</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</si>
  <si>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</si>
  <si>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</si>
  <si>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</si>
  <si>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</si>
  <si>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</si>
  <si>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</si>
  <si>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</si>
  <si>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</si>
  <si>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</si>
  <si>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</si>
  <si>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</si>
  <si>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</si>
  <si>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r>
      <t>Registering</t>
    </r>
    <r>
      <rPr>
        <sz val="10"/>
        <color theme="1"/>
        <rFont val="Calibri"/>
        <family val="2"/>
        <scheme val="minor"/>
      </rPr>
      <t xml:space="preserve"> - Registering
</t>
    </r>
    <r>
      <rPr>
        <b/>
        <sz val="10"/>
        <color theme="1"/>
        <rFont val="Calibri"/>
        <family val="2"/>
        <scheme val="minor"/>
      </rPr>
      <t>Completed</t>
    </r>
    <r>
      <rPr>
        <sz val="10"/>
        <color theme="1"/>
        <rFont val="Calibri"/>
        <family val="2"/>
        <scheme val="minor"/>
      </rPr>
      <t xml:space="preserve"> - Completed
</t>
    </r>
    <r>
      <rPr>
        <b/>
        <sz val="10"/>
        <color theme="1"/>
        <rFont val="Calibri"/>
        <family val="2"/>
        <scheme val="minor"/>
      </rPr>
      <t>Cancelled</t>
    </r>
    <r>
      <rPr>
        <sz val="10"/>
        <color theme="1"/>
        <rFont val="Calibri"/>
        <family val="2"/>
        <scheme val="minor"/>
      </rPr>
      <t xml:space="preserve"> - Cancelled
</t>
    </r>
  </si>
  <si>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</si>
  <si>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</si>
  <si>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</si>
  <si>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</si>
  <si>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r>
      <t>04723</t>
    </r>
    <r>
      <rPr>
        <sz val="10"/>
        <color theme="1"/>
        <rFont val="Calibri"/>
        <family val="2"/>
        <scheme val="minor"/>
      </rPr>
      <t xml:space="preserve"> - Athletic coach
</t>
    </r>
    <r>
      <rPr>
        <b/>
        <sz val="10"/>
        <color theme="1"/>
        <rFont val="Calibri"/>
        <family val="2"/>
        <scheme val="minor"/>
      </rPr>
      <t>04724</t>
    </r>
    <r>
      <rPr>
        <sz val="10"/>
        <color theme="1"/>
        <rFont val="Calibri"/>
        <family val="2"/>
        <scheme val="minor"/>
      </rPr>
      <t xml:space="preserve"> - Behavioral management specialist
</t>
    </r>
    <r>
      <rPr>
        <b/>
        <sz val="10"/>
        <color theme="1"/>
        <rFont val="Calibri"/>
        <family val="2"/>
        <scheme val="minor"/>
      </rPr>
      <t>04725</t>
    </r>
    <r>
      <rPr>
        <sz val="10"/>
        <color theme="1"/>
        <rFont val="Calibri"/>
        <family val="2"/>
        <scheme val="minor"/>
      </rPr>
      <t xml:space="preserve"> - Counselor
</t>
    </r>
    <r>
      <rPr>
        <b/>
        <sz val="10"/>
        <color theme="1"/>
        <rFont val="Calibri"/>
        <family val="2"/>
        <scheme val="minor"/>
      </rPr>
      <t>04726</t>
    </r>
    <r>
      <rPr>
        <sz val="10"/>
        <color theme="1"/>
        <rFont val="Calibri"/>
        <family val="2"/>
        <scheme val="minor"/>
      </rPr>
      <t xml:space="preserve"> - Curriculum specialist
</t>
    </r>
    <r>
      <rPr>
        <b/>
        <sz val="10"/>
        <color theme="1"/>
        <rFont val="Calibri"/>
        <family val="2"/>
        <scheme val="minor"/>
      </rPr>
      <t>04727</t>
    </r>
    <r>
      <rPr>
        <sz val="10"/>
        <color theme="1"/>
        <rFont val="Calibri"/>
        <family val="2"/>
        <scheme val="minor"/>
      </rPr>
      <t xml:space="preserve"> - Education diagnostician
</t>
    </r>
    <r>
      <rPr>
        <b/>
        <sz val="10"/>
        <color theme="1"/>
        <rFont val="Calibri"/>
        <family val="2"/>
        <scheme val="minor"/>
      </rPr>
      <t>04728</t>
    </r>
    <r>
      <rPr>
        <sz val="10"/>
        <color theme="1"/>
        <rFont val="Calibri"/>
        <family val="2"/>
        <scheme val="minor"/>
      </rPr>
      <t xml:space="preserve"> - Librarian/media consultant
</t>
    </r>
    <r>
      <rPr>
        <b/>
        <sz val="10"/>
        <color theme="1"/>
        <rFont val="Calibri"/>
        <family val="2"/>
        <scheme val="minor"/>
      </rPr>
      <t>04729</t>
    </r>
    <r>
      <rPr>
        <sz val="10"/>
        <color theme="1"/>
        <rFont val="Calibri"/>
        <family val="2"/>
        <scheme val="minor"/>
      </rPr>
      <t xml:space="preserve"> - Remedial specialist
</t>
    </r>
    <r>
      <rPr>
        <b/>
        <sz val="10"/>
        <color theme="1"/>
        <rFont val="Calibri"/>
        <family val="2"/>
        <scheme val="minor"/>
      </rPr>
      <t>04730</t>
    </r>
    <r>
      <rPr>
        <sz val="10"/>
        <color theme="1"/>
        <rFont val="Calibri"/>
        <family val="2"/>
        <scheme val="minor"/>
      </rPr>
      <t xml:space="preserve"> - Student activity advisor/non athletic coach
</t>
    </r>
    <r>
      <rPr>
        <b/>
        <sz val="10"/>
        <color theme="1"/>
        <rFont val="Calibri"/>
        <family val="2"/>
        <scheme val="minor"/>
      </rPr>
      <t>04731</t>
    </r>
    <r>
      <rPr>
        <sz val="10"/>
        <color theme="1"/>
        <rFont val="Calibri"/>
        <family val="2"/>
        <scheme val="minor"/>
      </rPr>
      <t xml:space="preserve"> - Student teacher
</t>
    </r>
    <r>
      <rPr>
        <b/>
        <sz val="10"/>
        <color theme="1"/>
        <rFont val="Calibri"/>
        <family val="2"/>
        <scheme val="minor"/>
      </rPr>
      <t>04732</t>
    </r>
    <r>
      <rPr>
        <sz val="10"/>
        <color theme="1"/>
        <rFont val="Calibri"/>
        <family val="2"/>
        <scheme val="minor"/>
      </rPr>
      <t xml:space="preserve"> - Teacher
</t>
    </r>
    <r>
      <rPr>
        <b/>
        <sz val="10"/>
        <color theme="1"/>
        <rFont val="Calibri"/>
        <family val="2"/>
        <scheme val="minor"/>
      </rPr>
      <t>04733</t>
    </r>
    <r>
      <rPr>
        <sz val="10"/>
        <color theme="1"/>
        <rFont val="Calibri"/>
        <family val="2"/>
        <scheme val="minor"/>
      </rPr>
      <t xml:space="preserve"> - Teacher trainer
</t>
    </r>
    <r>
      <rPr>
        <b/>
        <sz val="10"/>
        <color theme="1"/>
        <rFont val="Calibri"/>
        <family val="2"/>
        <scheme val="minor"/>
      </rPr>
      <t>04734</t>
    </r>
    <r>
      <rPr>
        <sz val="10"/>
        <color theme="1"/>
        <rFont val="Calibri"/>
        <family val="2"/>
        <scheme val="minor"/>
      </rPr>
      <t xml:space="preserve"> - Teaching intern
</t>
    </r>
    <r>
      <rPr>
        <b/>
        <sz val="10"/>
        <color theme="1"/>
        <rFont val="Calibri"/>
        <family val="2"/>
        <scheme val="minor"/>
      </rPr>
      <t>04735</t>
    </r>
    <r>
      <rPr>
        <sz val="10"/>
        <color theme="1"/>
        <rFont val="Calibri"/>
        <family val="2"/>
        <scheme val="minor"/>
      </rPr>
      <t xml:space="preserve"> - Resource teacher
</t>
    </r>
    <r>
      <rPr>
        <b/>
        <sz val="10"/>
        <color theme="1"/>
        <rFont val="Calibri"/>
        <family val="2"/>
        <scheme val="minor"/>
      </rPr>
      <t>09999</t>
    </r>
    <r>
      <rPr>
        <sz val="10"/>
        <color theme="1"/>
        <rFont val="Calibri"/>
        <family val="2"/>
        <scheme val="minor"/>
      </rPr>
      <t xml:space="preserve"> - Other
</t>
    </r>
  </si>
  <si>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</si>
  <si>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</si>
  <si>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</si>
  <si>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</si>
  <si>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r>
      <t>OccupationalLicense</t>
    </r>
    <r>
      <rPr>
        <sz val="10"/>
        <color theme="1"/>
        <rFont val="Calibri"/>
        <family val="2"/>
        <scheme val="minor"/>
      </rPr>
      <t xml:space="preserve"> - Occupational License
</t>
    </r>
    <r>
      <rPr>
        <b/>
        <sz val="10"/>
        <color theme="1"/>
        <rFont val="Calibri"/>
        <family val="2"/>
        <scheme val="minor"/>
      </rPr>
      <t>IndustryCertification</t>
    </r>
    <r>
      <rPr>
        <sz val="10"/>
        <color theme="1"/>
        <rFont val="Calibri"/>
        <family val="2"/>
        <scheme val="minor"/>
      </rPr>
      <t xml:space="preserve"> - Industry-recognized Certification
</t>
    </r>
    <r>
      <rPr>
        <b/>
        <sz val="10"/>
        <color theme="1"/>
        <rFont val="Calibri"/>
        <family val="2"/>
        <scheme val="minor"/>
      </rPr>
      <t>ApprenticeshipCertificate</t>
    </r>
    <r>
      <rPr>
        <sz val="10"/>
        <color theme="1"/>
        <rFont val="Calibri"/>
        <family val="2"/>
        <scheme val="minor"/>
      </rPr>
      <t xml:space="preserve"> - Apprenticeship Certificate
</t>
    </r>
    <r>
      <rPr>
        <b/>
        <sz val="10"/>
        <color theme="1"/>
        <rFont val="Calibri"/>
        <family val="2"/>
        <scheme val="minor"/>
      </rPr>
      <t>EmployerCertification</t>
    </r>
    <r>
      <rPr>
        <sz val="10"/>
        <color theme="1"/>
        <rFont val="Calibri"/>
        <family val="2"/>
        <scheme val="minor"/>
      </rPr>
      <t xml:space="preserve"> - Employer certification
</t>
    </r>
    <r>
      <rPr>
        <b/>
        <sz val="10"/>
        <color theme="1"/>
        <rFont val="Calibri"/>
        <family val="2"/>
        <scheme val="minor"/>
      </rPr>
      <t>PreEmploymentTraining</t>
    </r>
    <r>
      <rPr>
        <sz val="10"/>
        <color theme="1"/>
        <rFont val="Calibri"/>
        <family val="2"/>
        <scheme val="minor"/>
      </rPr>
      <t xml:space="preserve"> - Pre-employment training certificate
</t>
    </r>
    <r>
      <rPr>
        <b/>
        <sz val="10"/>
        <color theme="1"/>
        <rFont val="Calibri"/>
        <family val="2"/>
        <scheme val="minor"/>
      </rPr>
      <t>OtherOccupational</t>
    </r>
    <r>
      <rPr>
        <sz val="10"/>
        <color theme="1"/>
        <rFont val="Calibri"/>
        <family val="2"/>
        <scheme val="minor"/>
      </rPr>
      <t xml:space="preserve"> - Other recognized occupational skills credential
</t>
    </r>
  </si>
  <si>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</si>
  <si>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000783</t>
  </si>
  <si>
    <t>ProfessionalOrTechnicalCredentialConferred</t>
  </si>
  <si>
    <t>Proficiency Status</t>
  </si>
  <si>
    <t>An indication of whether a student's scores were proficient.</t>
  </si>
  <si>
    <r>
      <t>Proficient</t>
    </r>
    <r>
      <rPr>
        <sz val="10"/>
        <color theme="1"/>
        <rFont val="Calibri"/>
        <family val="2"/>
        <scheme val="minor"/>
      </rPr>
      <t xml:space="preserve"> - Proficient
</t>
    </r>
    <r>
      <rPr>
        <b/>
        <sz val="10"/>
        <color theme="1"/>
        <rFont val="Calibri"/>
        <family val="2"/>
        <scheme val="minor"/>
      </rPr>
      <t>NotProficient</t>
    </r>
    <r>
      <rPr>
        <sz val="10"/>
        <color theme="1"/>
        <rFont val="Calibri"/>
        <family val="2"/>
        <scheme val="minor"/>
      </rPr>
      <t xml:space="preserve"> - Not proficient
</t>
    </r>
  </si>
  <si>
    <t>Assessments -&gt; Assessment Item -&gt; Assessment Item Response
K12 -&gt; K12 Student -&gt; Academic Record</t>
  </si>
  <si>
    <t>000573</t>
  </si>
  <si>
    <t>ProficiencyStatus</t>
  </si>
  <si>
    <t>Proficiency Target Status for Math</t>
  </si>
  <si>
    <t>An indication of whether the school or district met the math proficiency target in accordance with state definition for the purposes of determining AYP.</t>
  </si>
  <si>
    <r>
      <t>Met</t>
    </r>
    <r>
      <rPr>
        <sz val="10"/>
        <color theme="1"/>
        <rFont val="Calibri"/>
        <family val="2"/>
        <scheme val="minor"/>
      </rPr>
      <t xml:space="preserve"> - Met: Regular Determination
</t>
    </r>
    <r>
      <rPr>
        <b/>
        <sz val="10"/>
        <color theme="1"/>
        <rFont val="Calibri"/>
        <family val="2"/>
        <scheme val="minor"/>
      </rPr>
      <t>MetGrowthModel</t>
    </r>
    <r>
      <rPr>
        <sz val="10"/>
        <color theme="1"/>
        <rFont val="Calibri"/>
        <family val="2"/>
        <scheme val="minor"/>
      </rPr>
      <t xml:space="preserve"> - Met: Growth Model 
</t>
    </r>
    <r>
      <rPr>
        <b/>
        <sz val="10"/>
        <color theme="1"/>
        <rFont val="Calibri"/>
        <family val="2"/>
        <scheme val="minor"/>
      </rPr>
      <t>MetBecauseSafeHarbor</t>
    </r>
    <r>
      <rPr>
        <sz val="10"/>
        <color theme="1"/>
        <rFont val="Calibri"/>
        <family val="2"/>
        <scheme val="minor"/>
      </rPr>
      <t xml:space="preserve"> - Met Because of Safe Harbor
</t>
    </r>
    <r>
      <rPr>
        <b/>
        <sz val="10"/>
        <color theme="1"/>
        <rFont val="Calibri"/>
        <family val="2"/>
        <scheme val="minor"/>
      </rPr>
      <t>DidNotMeetTarget</t>
    </r>
    <r>
      <rPr>
        <sz val="10"/>
        <color theme="1"/>
        <rFont val="Calibri"/>
        <family val="2"/>
        <scheme val="minor"/>
      </rPr>
      <t xml:space="preserve"> - Did Not Meet Target
</t>
    </r>
    <r>
      <rPr>
        <b/>
        <sz val="10"/>
        <color theme="1"/>
        <rFont val="Calibri"/>
        <family val="2"/>
        <scheme val="minor"/>
      </rPr>
      <t>TooFewStudents</t>
    </r>
    <r>
      <rPr>
        <sz val="10"/>
        <color theme="1"/>
        <rFont val="Calibri"/>
        <family val="2"/>
        <scheme val="minor"/>
      </rPr>
      <t xml:space="preserve"> - Too Few Students for Reliability
</t>
    </r>
    <r>
      <rPr>
        <b/>
        <sz val="10"/>
        <color theme="1"/>
        <rFont val="Calibri"/>
        <family val="2"/>
        <scheme val="minor"/>
      </rPr>
      <t>NoStudents</t>
    </r>
    <r>
      <rPr>
        <sz val="10"/>
        <color theme="1"/>
        <rFont val="Calibri"/>
        <family val="2"/>
        <scheme val="minor"/>
      </rPr>
      <t xml:space="preserve"> - No Students in the Sub-group
</t>
    </r>
    <r>
      <rPr>
        <b/>
        <sz val="10"/>
        <color theme="1"/>
        <rFont val="Calibri"/>
        <family val="2"/>
        <scheme val="minor"/>
      </rPr>
      <t>NA</t>
    </r>
    <r>
      <rPr>
        <sz val="10"/>
        <color theme="1"/>
        <rFont val="Calibri"/>
        <family val="2"/>
        <scheme val="minor"/>
      </rPr>
      <t xml:space="preserve"> - Not applicable
</t>
    </r>
  </si>
  <si>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</si>
  <si>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</si>
  <si>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</si>
  <si>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</si>
  <si>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</si>
  <si>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</si>
  <si>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</si>
  <si>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</si>
  <si>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</si>
  <si>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</si>
  <si>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Early Learning -&gt; Program Quality
School Readiness</t>
  </si>
  <si>
    <t>Program Entry Reason</t>
  </si>
  <si>
    <t>The documented or assumed reason a person is being served by a program.</t>
  </si>
  <si>
    <t>Adult Education -&gt; AE Student -&gt; Program Participation (added)
Career and Technical -&gt; CTE Student -&gt; Program Participation (added)
Early Learning -&gt; EL Child -&gt; Program (added)
K12 -&gt; K12 Student -&gt; Program (added)
Postsecondary -&gt; PS Student -&gt; Program Participation (added)</t>
  </si>
  <si>
    <t>001922</t>
  </si>
  <si>
    <t>ProgramEntryReason</t>
  </si>
  <si>
    <t>Program Follows Salary Scale</t>
  </si>
  <si>
    <t>An indication of whether a program has a salary scale that is followed for practitioners</t>
  </si>
  <si>
    <t>Early Learning -&gt; EL Organization -&gt; Compensation</t>
  </si>
  <si>
    <t>000863</t>
  </si>
  <si>
    <t>ProgramFollowsSalaryScale</t>
  </si>
  <si>
    <t>Program Gifted Eligibility Criteria</t>
  </si>
  <si>
    <t>State/local code used to determine a student's eligibility for Gifted/Talented program.</t>
  </si>
  <si>
    <r>
      <t>13452</t>
    </r>
    <r>
      <rPr>
        <sz val="10"/>
        <color theme="1"/>
        <rFont val="Calibri"/>
        <family val="2"/>
        <scheme val="minor"/>
      </rPr>
      <t xml:space="preserve"> - General Intellectual Aptitude only
</t>
    </r>
    <r>
      <rPr>
        <b/>
        <sz val="10"/>
        <color theme="1"/>
        <rFont val="Calibri"/>
        <family val="2"/>
        <scheme val="minor"/>
      </rPr>
      <t>13453</t>
    </r>
    <r>
      <rPr>
        <sz val="10"/>
        <color theme="1"/>
        <rFont val="Calibri"/>
        <family val="2"/>
        <scheme val="minor"/>
      </rPr>
      <t xml:space="preserve"> - Specific Academic Aptitude only
</t>
    </r>
    <r>
      <rPr>
        <b/>
        <sz val="10"/>
        <color theme="1"/>
        <rFont val="Calibri"/>
        <family val="2"/>
        <scheme val="minor"/>
      </rPr>
      <t>13454</t>
    </r>
    <r>
      <rPr>
        <sz val="10"/>
        <color theme="1"/>
        <rFont val="Calibri"/>
        <family val="2"/>
        <scheme val="minor"/>
      </rPr>
      <t xml:space="preserve"> - Visual/Performing Arts only
</t>
    </r>
    <r>
      <rPr>
        <b/>
        <sz val="10"/>
        <color theme="1"/>
        <rFont val="Calibri"/>
        <family val="2"/>
        <scheme val="minor"/>
      </rPr>
      <t>13456</t>
    </r>
    <r>
      <rPr>
        <sz val="10"/>
        <color theme="1"/>
        <rFont val="Calibri"/>
        <family val="2"/>
        <scheme val="minor"/>
      </rPr>
      <t xml:space="preserve"> - General Intellectual Aptitude &amp; Specific Academic Aptitude
</t>
    </r>
    <r>
      <rPr>
        <b/>
        <sz val="10"/>
        <color theme="1"/>
        <rFont val="Calibri"/>
        <family val="2"/>
        <scheme val="minor"/>
      </rPr>
      <t>13457</t>
    </r>
    <r>
      <rPr>
        <sz val="10"/>
        <color theme="1"/>
        <rFont val="Calibri"/>
        <family val="2"/>
        <scheme val="minor"/>
      </rPr>
      <t xml:space="preserve"> - General Intellectual Aptitude &amp; Visual/Performing Arts
</t>
    </r>
    <r>
      <rPr>
        <b/>
        <sz val="10"/>
        <color theme="1"/>
        <rFont val="Calibri"/>
        <family val="2"/>
        <scheme val="minor"/>
      </rPr>
      <t>13458</t>
    </r>
    <r>
      <rPr>
        <sz val="10"/>
        <color theme="1"/>
        <rFont val="Calibri"/>
        <family val="2"/>
        <scheme val="minor"/>
      </rPr>
      <t xml:space="preserve"> - General Intellectual Aptitude &amp; Technical/Practical Arts
</t>
    </r>
    <r>
      <rPr>
        <b/>
        <sz val="10"/>
        <color theme="1"/>
        <rFont val="Calibri"/>
        <family val="2"/>
        <scheme val="minor"/>
      </rPr>
      <t>13459</t>
    </r>
    <r>
      <rPr>
        <sz val="10"/>
        <color theme="1"/>
        <rFont val="Calibri"/>
        <family val="2"/>
        <scheme val="minor"/>
      </rPr>
      <t xml:space="preserve"> - Specific Academic Aptitude &amp; Visual/Performing Arts
</t>
    </r>
    <r>
      <rPr>
        <b/>
        <sz val="10"/>
        <color theme="1"/>
        <rFont val="Calibri"/>
        <family val="2"/>
        <scheme val="minor"/>
      </rPr>
      <t>13460</t>
    </r>
    <r>
      <rPr>
        <sz val="10"/>
        <color theme="1"/>
        <rFont val="Calibri"/>
        <family val="2"/>
        <scheme val="minor"/>
      </rPr>
      <t xml:space="preserve"> - Specific Academic Aptitude &amp; Technical/Practical Arts
</t>
    </r>
    <r>
      <rPr>
        <b/>
        <sz val="10"/>
        <color theme="1"/>
        <rFont val="Calibri"/>
        <family val="2"/>
        <scheme val="minor"/>
      </rPr>
      <t>13461</t>
    </r>
    <r>
      <rPr>
        <sz val="10"/>
        <color theme="1"/>
        <rFont val="Calibri"/>
        <family val="2"/>
        <scheme val="minor"/>
      </rPr>
      <t xml:space="preserve"> - Visual/Performing Arts &amp; Technical/Practical Arts
</t>
    </r>
    <r>
      <rPr>
        <b/>
        <sz val="10"/>
        <color theme="1"/>
        <rFont val="Calibri"/>
        <family val="2"/>
        <scheme val="minor"/>
      </rPr>
      <t>13462</t>
    </r>
    <r>
      <rPr>
        <sz val="10"/>
        <color theme="1"/>
        <rFont val="Calibri"/>
        <family val="2"/>
        <scheme val="minor"/>
      </rPr>
      <t xml:space="preserve"> - General Intellectual Aptitude, Specific Academic Aptitude, and Visual Performing Arts
</t>
    </r>
    <r>
      <rPr>
        <b/>
        <sz val="10"/>
        <color theme="1"/>
        <rFont val="Calibri"/>
        <family val="2"/>
        <scheme val="minor"/>
      </rPr>
      <t>13463</t>
    </r>
    <r>
      <rPr>
        <sz val="10"/>
        <color theme="1"/>
        <rFont val="Calibri"/>
        <family val="2"/>
        <scheme val="minor"/>
      </rPr>
      <t xml:space="preserve"> - General Intellectual Aptitude, Specific Academic Aptitude, &amp; Technical/Practical Arts
</t>
    </r>
    <r>
      <rPr>
        <b/>
        <sz val="10"/>
        <color theme="1"/>
        <rFont val="Calibri"/>
        <family val="2"/>
        <scheme val="minor"/>
      </rPr>
      <t>13464</t>
    </r>
    <r>
      <rPr>
        <sz val="10"/>
        <color theme="1"/>
        <rFont val="Calibri"/>
        <family val="2"/>
        <scheme val="minor"/>
      </rPr>
      <t xml:space="preserve"> - Specific Academic Aptitude, Visual/Performing Arts, &amp; Technical/Practical Arts
</t>
    </r>
    <r>
      <rPr>
        <b/>
        <sz val="10"/>
        <color theme="1"/>
        <rFont val="Calibri"/>
        <family val="2"/>
        <scheme val="minor"/>
      </rPr>
      <t>13465</t>
    </r>
    <r>
      <rPr>
        <sz val="10"/>
        <color theme="1"/>
        <rFont val="Calibri"/>
        <family val="2"/>
        <scheme val="minor"/>
      </rPr>
      <t xml:space="preserve"> - General Intellectual &amp; Specific Academic Aptitude, Visual/Performing Arts &amp; Technical/Practical Arts
</t>
    </r>
    <r>
      <rPr>
        <b/>
        <sz val="10"/>
        <color theme="1"/>
        <rFont val="Calibri"/>
        <family val="2"/>
        <scheme val="minor"/>
      </rPr>
      <t>06002</t>
    </r>
    <r>
      <rPr>
        <sz val="10"/>
        <color theme="1"/>
        <rFont val="Calibri"/>
        <family val="2"/>
        <scheme val="minor"/>
      </rPr>
      <t xml:space="preserve"> - Not specified
</t>
    </r>
    <r>
      <rPr>
        <b/>
        <sz val="10"/>
        <color theme="1"/>
        <rFont val="Calibri"/>
        <family val="2"/>
        <scheme val="minor"/>
      </rPr>
      <t>09999</t>
    </r>
    <r>
      <rPr>
        <sz val="10"/>
        <color theme="1"/>
        <rFont val="Calibri"/>
        <family val="2"/>
        <scheme val="minor"/>
      </rPr>
      <t xml:space="preserve"> - Other
</t>
    </r>
  </si>
  <si>
    <t>K12 -&gt; K12 School -&gt; Institution Characteristics
K12 -&gt; K12 Student -&gt; Enrollment
K12 -&gt; LEA -&gt; Programs and Services</t>
  </si>
  <si>
    <t>001244</t>
  </si>
  <si>
    <t>ProgramGiftedEligibilityCriteria</t>
  </si>
  <si>
    <t>Program Health Safety Checklist Use Status</t>
  </si>
  <si>
    <t>An indication of whether a program uses a health or safety checklist or documentation.</t>
  </si>
  <si>
    <t>Early Learning -&gt; EL Organization -&gt; Quality</t>
  </si>
  <si>
    <t>000851</t>
  </si>
  <si>
    <t>ProgramHeathSafetyChecklistUseStatus</t>
  </si>
  <si>
    <t>Program Identifier</t>
  </si>
  <si>
    <t>A unique number or alphanumeric code assigned to a program by a school, school system, a state, or other agency or entity.</t>
  </si>
  <si>
    <t>Adult Education -&gt; AE Student -&gt; Academic Record -&gt; Academic Award
Career and Technical -&gt; CTE Student -&gt; Academic Record -&gt; Academic Award
Early Learning -&gt; EL Child -&gt; Program
K12 -&gt; K12 Student -&gt; Academic Record -&gt; Academic Award
K12 -&gt; K12 Student -&gt; Program
K12 -&gt; LEA -&gt; Programs and Services
K12 -&gt; Program
Postsecondary -&gt; PS Institution -&gt; Program
Postsecondary -&gt; PS Student -&gt; Academic Record -&gt; Academic Award
Postsecondary -&gt; PS Student -&gt; Institution Enrollment -&gt; Program
Workforce -&gt; Workforce Program Participant -&gt; Academic Record -&gt; Academic Award</t>
  </si>
  <si>
    <t>000625</t>
  </si>
  <si>
    <t>ProgramIdentifier</t>
  </si>
  <si>
    <t>Program in Multiple Purpose Facility</t>
  </si>
  <si>
    <t>An institution/facility/program that serves more than one programming purpose. For example, the same facility may run both a juvenile correction program and a juvenile detention program.</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</si>
  <si>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</si>
  <si>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</si>
  <si>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</si>
  <si>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</si>
  <si>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</si>
  <si>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</si>
  <si>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</si>
  <si>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</si>
  <si>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</si>
  <si>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</si>
  <si>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</si>
  <si>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</si>
  <si>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Career and Technical -&gt; Program
Early Learning -&gt; EL Child -&gt; Program
K12 -&gt; K12 Student -&gt; Program
K12 -&gt; Program
Postsecondary -&gt; PS Institution -&gt; Program
Postsecondary -&gt; PS Student -&gt; Institution Enrollment -&gt; Program</t>
  </si>
  <si>
    <t>000626</t>
  </si>
  <si>
    <t>ProgramName</t>
  </si>
  <si>
    <t>Program Participation Exit Date</t>
  </si>
  <si>
    <t>Career and Technical -&gt; CTE Student -&gt; Program Participation
Early Learning -&gt; EL Child -&gt; Program
K12 -&gt; K12 Student -&gt; English Learner
K12 -&gt; K12 Student -&gt; IDEA
K12 -&gt; K12 Student -&gt; Migrant
K12 -&gt; K12 Student -&gt; Neglected or Delinquent
K12 -&gt; K12 Student -&gt; Program
K12 -&gt; K12 Student -&gt; Title I
Postsecondary -&gt; PS Student -&gt; Institution Enrollment -&gt; Program</t>
  </si>
  <si>
    <t>000591</t>
  </si>
  <si>
    <t>ProgramParticipationExitDate</t>
  </si>
  <si>
    <t>K-12 -&gt; EDFacts
Postsecondary Education -&gt; Student Achievement Measure</t>
  </si>
  <si>
    <t>Program Participation Start Date</t>
  </si>
  <si>
    <t>The year, month and day on which the person began to participate in a program.</t>
  </si>
  <si>
    <t>000590</t>
  </si>
  <si>
    <t>ProgramParticipationStartDate</t>
  </si>
  <si>
    <t>K-12 -&gt; EDFacts
Postsecondary Education -&gt; Student Achievement Measure
School Readiness</t>
  </si>
  <si>
    <t>Program Participation Status</t>
  </si>
  <si>
    <t>The current status of the student's program participation.</t>
  </si>
  <si>
    <r>
      <t>Referred</t>
    </r>
    <r>
      <rPr>
        <sz val="10"/>
        <color theme="1"/>
        <rFont val="Calibri"/>
        <family val="2"/>
        <scheme val="minor"/>
      </rPr>
      <t xml:space="preserve"> - Referred to program
</t>
    </r>
    <r>
      <rPr>
        <b/>
        <sz val="10"/>
        <color theme="1"/>
        <rFont val="Calibri"/>
        <family val="2"/>
        <scheme val="minor"/>
      </rPr>
      <t>Eligible</t>
    </r>
    <r>
      <rPr>
        <sz val="10"/>
        <color theme="1"/>
        <rFont val="Calibri"/>
        <family val="2"/>
        <scheme val="minor"/>
      </rPr>
      <t xml:space="preserve"> - Eligible for program
</t>
    </r>
    <r>
      <rPr>
        <b/>
        <sz val="10"/>
        <color theme="1"/>
        <rFont val="Calibri"/>
        <family val="2"/>
        <scheme val="minor"/>
      </rPr>
      <t>NotEligible</t>
    </r>
    <r>
      <rPr>
        <sz val="10"/>
        <color theme="1"/>
        <rFont val="Calibri"/>
        <family val="2"/>
        <scheme val="minor"/>
      </rPr>
      <t xml:space="preserve"> - Not eligible for program
</t>
    </r>
    <r>
      <rPr>
        <b/>
        <sz val="10"/>
        <color theme="1"/>
        <rFont val="Calibri"/>
        <family val="2"/>
        <scheme val="minor"/>
      </rPr>
      <t>Active</t>
    </r>
    <r>
      <rPr>
        <sz val="10"/>
        <color theme="1"/>
        <rFont val="Calibri"/>
        <family val="2"/>
        <scheme val="minor"/>
      </rPr>
      <t xml:space="preserve"> - Active in program
</t>
    </r>
    <r>
      <rPr>
        <b/>
        <sz val="10"/>
        <color theme="1"/>
        <rFont val="Calibri"/>
        <family val="2"/>
        <scheme val="minor"/>
      </rPr>
      <t>Exited</t>
    </r>
    <r>
      <rPr>
        <sz val="10"/>
        <color theme="1"/>
        <rFont val="Calibri"/>
        <family val="2"/>
        <scheme val="minor"/>
      </rPr>
      <t xml:space="preserve"> - Exited program
</t>
    </r>
    <r>
      <rPr>
        <b/>
        <sz val="10"/>
        <color theme="1"/>
        <rFont val="Calibri"/>
        <family val="2"/>
        <scheme val="minor"/>
      </rPr>
      <t>Withdrew</t>
    </r>
    <r>
      <rPr>
        <sz val="10"/>
        <color theme="1"/>
        <rFont val="Calibri"/>
        <family val="2"/>
        <scheme val="minor"/>
      </rPr>
      <t xml:space="preserve"> - Withdrew/refused program
</t>
    </r>
    <r>
      <rPr>
        <b/>
        <sz val="10"/>
        <color theme="1"/>
        <rFont val="Calibri"/>
        <family val="2"/>
        <scheme val="minor"/>
      </rPr>
      <t>Other</t>
    </r>
    <r>
      <rPr>
        <sz val="10"/>
        <color theme="1"/>
        <rFont val="Calibri"/>
        <family val="2"/>
        <scheme val="minor"/>
      </rPr>
      <t xml:space="preserve"> - Other
</t>
    </r>
  </si>
  <si>
    <t>Early Learning -&gt; EL Child -&gt; Program
K12 -&gt; K12 Student -&gt; Program
Postsecondary -&gt; PS Student -&gt; Institution Enrollment -&gt; Program</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</si>
  <si>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</si>
  <si>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</si>
  <si>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</si>
  <si>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</si>
  <si>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</si>
  <si>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</si>
  <si>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</si>
  <si>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</si>
  <si>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</si>
  <si>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</si>
  <si>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</si>
  <si>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</si>
  <si>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Early Learning -&gt; EL Organization -&gt; Cultural and Linguistic Diversity</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</si>
  <si>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</si>
  <si>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</si>
  <si>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</si>
  <si>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</si>
  <si>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</si>
  <si>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</si>
  <si>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</si>
  <si>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</si>
  <si>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r>
      <t>Business</t>
    </r>
    <r>
      <rPr>
        <sz val="10"/>
        <color theme="1"/>
        <rFont val="Calibri"/>
        <family val="2"/>
        <scheme val="minor"/>
      </rPr>
      <t xml:space="preserve"> - Business
</t>
    </r>
    <r>
      <rPr>
        <b/>
        <sz val="10"/>
        <color theme="1"/>
        <rFont val="Calibri"/>
        <family val="2"/>
        <scheme val="minor"/>
      </rPr>
      <t>EducationOrganizationNetwork</t>
    </r>
    <r>
      <rPr>
        <sz val="10"/>
        <color theme="1"/>
        <rFont val="Calibri"/>
        <family val="2"/>
        <scheme val="minor"/>
      </rPr>
      <t xml:space="preserve"> - Education organization network
</t>
    </r>
    <r>
      <rPr>
        <b/>
        <sz val="10"/>
        <color theme="1"/>
        <rFont val="Calibri"/>
        <family val="2"/>
        <scheme val="minor"/>
      </rPr>
      <t>EducationServiceCenter</t>
    </r>
    <r>
      <rPr>
        <sz val="10"/>
        <color theme="1"/>
        <rFont val="Calibri"/>
        <family val="2"/>
        <scheme val="minor"/>
      </rPr>
      <t xml:space="preserve"> - Education Service Center
</t>
    </r>
    <r>
      <rPr>
        <b/>
        <sz val="10"/>
        <color theme="1"/>
        <rFont val="Calibri"/>
        <family val="2"/>
        <scheme val="minor"/>
      </rPr>
      <t>Federal</t>
    </r>
    <r>
      <rPr>
        <sz val="10"/>
        <color theme="1"/>
        <rFont val="Calibri"/>
        <family val="2"/>
        <scheme val="minor"/>
      </rPr>
      <t xml:space="preserve"> - Federal government
</t>
    </r>
    <r>
      <rPr>
        <b/>
        <sz val="10"/>
        <color theme="1"/>
        <rFont val="Calibri"/>
        <family val="2"/>
        <scheme val="minor"/>
      </rPr>
      <t>LEA</t>
    </r>
    <r>
      <rPr>
        <sz val="10"/>
        <color theme="1"/>
        <rFont val="Calibri"/>
        <family val="2"/>
        <scheme val="minor"/>
      </rPr>
      <t xml:space="preserve"> - Local education agency
</t>
    </r>
    <r>
      <rPr>
        <b/>
        <sz val="10"/>
        <color theme="1"/>
        <rFont val="Calibri"/>
        <family val="2"/>
        <scheme val="minor"/>
      </rPr>
      <t>NonProfit</t>
    </r>
    <r>
      <rPr>
        <sz val="10"/>
        <color theme="1"/>
        <rFont val="Calibri"/>
        <family val="2"/>
        <scheme val="minor"/>
      </rPr>
      <t xml:space="preserve"> - Non-profit organization
</t>
    </r>
    <r>
      <rPr>
        <b/>
        <sz val="10"/>
        <color theme="1"/>
        <rFont val="Calibri"/>
        <family val="2"/>
        <scheme val="minor"/>
      </rPr>
      <t>Postsecondary</t>
    </r>
    <r>
      <rPr>
        <sz val="10"/>
        <color theme="1"/>
        <rFont val="Calibri"/>
        <family val="2"/>
        <scheme val="minor"/>
      </rPr>
      <t xml:space="preserve"> - Postsecondary institution
</t>
    </r>
    <r>
      <rPr>
        <b/>
        <sz val="10"/>
        <color theme="1"/>
        <rFont val="Calibri"/>
        <family val="2"/>
        <scheme val="minor"/>
      </rPr>
      <t>Private</t>
    </r>
    <r>
      <rPr>
        <sz val="10"/>
        <color theme="1"/>
        <rFont val="Calibri"/>
        <family val="2"/>
        <scheme val="minor"/>
      </rPr>
      <t xml:space="preserve"> - Private organization
</t>
    </r>
    <r>
      <rPr>
        <b/>
        <sz val="10"/>
        <color theme="1"/>
        <rFont val="Calibri"/>
        <family val="2"/>
        <scheme val="minor"/>
      </rPr>
      <t>Regional</t>
    </r>
    <r>
      <rPr>
        <sz val="10"/>
        <color theme="1"/>
        <rFont val="Calibri"/>
        <family val="2"/>
        <scheme val="minor"/>
      </rPr>
      <t xml:space="preserve"> - Regional or intermediate education agency
</t>
    </r>
    <r>
      <rPr>
        <b/>
        <sz val="10"/>
        <color theme="1"/>
        <rFont val="Calibri"/>
        <family val="2"/>
        <scheme val="minor"/>
      </rPr>
      <t>Religious</t>
    </r>
    <r>
      <rPr>
        <sz val="10"/>
        <color theme="1"/>
        <rFont val="Calibri"/>
        <family val="2"/>
        <scheme val="minor"/>
      </rPr>
      <t xml:space="preserve"> - Religious organization
</t>
    </r>
    <r>
      <rPr>
        <b/>
        <sz val="10"/>
        <color theme="1"/>
        <rFont val="Calibri"/>
        <family val="2"/>
        <scheme val="minor"/>
      </rPr>
      <t>School</t>
    </r>
    <r>
      <rPr>
        <sz val="10"/>
        <color theme="1"/>
        <rFont val="Calibri"/>
        <family val="2"/>
        <scheme val="minor"/>
      </rPr>
      <t xml:space="preserve"> - School
</t>
    </r>
    <r>
      <rPr>
        <b/>
        <sz val="10"/>
        <color theme="1"/>
        <rFont val="Calibri"/>
        <family val="2"/>
        <scheme val="minor"/>
      </rPr>
      <t>SEA</t>
    </r>
    <r>
      <rPr>
        <sz val="10"/>
        <color theme="1"/>
        <rFont val="Calibri"/>
        <family val="2"/>
        <scheme val="minor"/>
      </rPr>
      <t xml:space="preserve"> - State Education Agency
</t>
    </r>
    <r>
      <rPr>
        <b/>
        <sz val="10"/>
        <color theme="1"/>
        <rFont val="Calibri"/>
        <family val="2"/>
        <scheme val="minor"/>
      </rPr>
      <t>Other</t>
    </r>
    <r>
      <rPr>
        <sz val="10"/>
        <color theme="1"/>
        <rFont val="Calibri"/>
        <family val="2"/>
        <scheme val="minor"/>
      </rPr>
      <t xml:space="preserve"> - Other
</t>
    </r>
  </si>
  <si>
    <t>Career and Technical -&gt; Program
K12 -&gt; K12 Staff -&gt; Credential or License
K12 -&gt; Program</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</si>
  <si>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</si>
  <si>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</si>
  <si>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</si>
  <si>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</si>
  <si>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</si>
  <si>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</si>
  <si>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</si>
  <si>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</si>
  <si>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r>
      <t>73056</t>
    </r>
    <r>
      <rPr>
        <sz val="10"/>
        <color theme="1"/>
        <rFont val="Calibri"/>
        <family val="2"/>
        <scheme val="minor"/>
      </rPr>
      <t xml:space="preserve"> - Adult Basic Education
</t>
    </r>
    <r>
      <rPr>
        <b/>
        <sz val="10"/>
        <color theme="1"/>
        <rFont val="Calibri"/>
        <family val="2"/>
        <scheme val="minor"/>
      </rPr>
      <t>73058</t>
    </r>
    <r>
      <rPr>
        <sz val="10"/>
        <color theme="1"/>
        <rFont val="Calibri"/>
        <family val="2"/>
        <scheme val="minor"/>
      </rPr>
      <t xml:space="preserve"> - Adult English as a Second Language
</t>
    </r>
    <r>
      <rPr>
        <b/>
        <sz val="10"/>
        <color theme="1"/>
        <rFont val="Calibri"/>
        <family val="2"/>
        <scheme val="minor"/>
      </rPr>
      <t>73057</t>
    </r>
    <r>
      <rPr>
        <sz val="10"/>
        <color theme="1"/>
        <rFont val="Calibri"/>
        <family val="2"/>
        <scheme val="minor"/>
      </rPr>
      <t xml:space="preserve"> - Adult Secondary Education
</t>
    </r>
    <r>
      <rPr>
        <b/>
        <sz val="10"/>
        <color theme="1"/>
        <rFont val="Calibri"/>
        <family val="2"/>
        <scheme val="minor"/>
      </rPr>
      <t>04961</t>
    </r>
    <r>
      <rPr>
        <sz val="10"/>
        <color theme="1"/>
        <rFont val="Calibri"/>
        <family val="2"/>
        <scheme val="minor"/>
      </rPr>
      <t xml:space="preserve"> - Alternative Education
</t>
    </r>
    <r>
      <rPr>
        <b/>
        <sz val="10"/>
        <color theme="1"/>
        <rFont val="Calibri"/>
        <family val="2"/>
        <scheme val="minor"/>
      </rPr>
      <t>04932</t>
    </r>
    <r>
      <rPr>
        <sz val="10"/>
        <color theme="1"/>
        <rFont val="Calibri"/>
        <family val="2"/>
        <scheme val="minor"/>
      </rPr>
      <t xml:space="preserve"> - Athletics
</t>
    </r>
    <r>
      <rPr>
        <b/>
        <sz val="10"/>
        <color theme="1"/>
        <rFont val="Calibri"/>
        <family val="2"/>
        <scheme val="minor"/>
      </rPr>
      <t>04923</t>
    </r>
    <r>
      <rPr>
        <sz val="10"/>
        <color theme="1"/>
        <rFont val="Calibri"/>
        <family val="2"/>
        <scheme val="minor"/>
      </rPr>
      <t xml:space="preserve"> - Bilingual education program
</t>
    </r>
    <r>
      <rPr>
        <b/>
        <sz val="10"/>
        <color theme="1"/>
        <rFont val="Calibri"/>
        <family val="2"/>
        <scheme val="minor"/>
      </rPr>
      <t>04906</t>
    </r>
    <r>
      <rPr>
        <sz val="10"/>
        <color theme="1"/>
        <rFont val="Calibri"/>
        <family val="2"/>
        <scheme val="minor"/>
      </rPr>
      <t xml:space="preserve"> - Career and Technical Education
</t>
    </r>
    <r>
      <rPr>
        <b/>
        <sz val="10"/>
        <color theme="1"/>
        <rFont val="Calibri"/>
        <family val="2"/>
        <scheme val="minor"/>
      </rPr>
      <t>04931</t>
    </r>
    <r>
      <rPr>
        <sz val="10"/>
        <color theme="1"/>
        <rFont val="Calibri"/>
        <family val="2"/>
        <scheme val="minor"/>
      </rPr>
      <t xml:space="preserve"> - Cocurricular programs
</t>
    </r>
    <r>
      <rPr>
        <b/>
        <sz val="10"/>
        <color theme="1"/>
        <rFont val="Calibri"/>
        <family val="2"/>
        <scheme val="minor"/>
      </rPr>
      <t>04958</t>
    </r>
    <r>
      <rPr>
        <sz val="10"/>
        <color theme="1"/>
        <rFont val="Calibri"/>
        <family val="2"/>
        <scheme val="minor"/>
      </rPr>
      <t xml:space="preserve"> - College preparatory
</t>
    </r>
    <r>
      <rPr>
        <b/>
        <sz val="10"/>
        <color theme="1"/>
        <rFont val="Calibri"/>
        <family val="2"/>
        <scheme val="minor"/>
      </rPr>
      <t>04945</t>
    </r>
    <r>
      <rPr>
        <sz val="10"/>
        <color theme="1"/>
        <rFont val="Calibri"/>
        <family val="2"/>
        <scheme val="minor"/>
      </rPr>
      <t xml:space="preserve"> - Community service program
</t>
    </r>
    <r>
      <rPr>
        <b/>
        <sz val="10"/>
        <color theme="1"/>
        <rFont val="Calibri"/>
        <family val="2"/>
        <scheme val="minor"/>
      </rPr>
      <t>04944</t>
    </r>
    <r>
      <rPr>
        <sz val="10"/>
        <color theme="1"/>
        <rFont val="Calibri"/>
        <family val="2"/>
        <scheme val="minor"/>
      </rPr>
      <t xml:space="preserve"> - Community/junior college education program
</t>
    </r>
    <r>
      <rPr>
        <b/>
        <sz val="10"/>
        <color theme="1"/>
        <rFont val="Calibri"/>
        <family val="2"/>
        <scheme val="minor"/>
      </rPr>
      <t>04922</t>
    </r>
    <r>
      <rPr>
        <sz val="10"/>
        <color theme="1"/>
        <rFont val="Calibri"/>
        <family val="2"/>
        <scheme val="minor"/>
      </rPr>
      <t xml:space="preserve"> - Compensatory services for disadvantaged students
</t>
    </r>
    <r>
      <rPr>
        <b/>
        <sz val="10"/>
        <color theme="1"/>
        <rFont val="Calibri"/>
        <family val="2"/>
        <scheme val="minor"/>
      </rPr>
      <t>73059</t>
    </r>
    <r>
      <rPr>
        <sz val="10"/>
        <color theme="1"/>
        <rFont val="Calibri"/>
        <family val="2"/>
        <scheme val="minor"/>
      </rPr>
      <t xml:space="preserve"> - Continuing Education
</t>
    </r>
    <r>
      <rPr>
        <b/>
        <sz val="10"/>
        <color theme="1"/>
        <rFont val="Calibri"/>
        <family val="2"/>
        <scheme val="minor"/>
      </rPr>
      <t>04956</t>
    </r>
    <r>
      <rPr>
        <sz val="10"/>
        <color theme="1"/>
        <rFont val="Calibri"/>
        <family val="2"/>
        <scheme val="minor"/>
      </rPr>
      <t xml:space="preserve"> - Counseling services
</t>
    </r>
    <r>
      <rPr>
        <b/>
        <sz val="10"/>
        <color theme="1"/>
        <rFont val="Calibri"/>
        <family val="2"/>
        <scheme val="minor"/>
      </rPr>
      <t>14609</t>
    </r>
    <r>
      <rPr>
        <sz val="10"/>
        <color theme="1"/>
        <rFont val="Calibri"/>
        <family val="2"/>
        <scheme val="minor"/>
      </rPr>
      <t xml:space="preserve"> - Early Head Start
</t>
    </r>
    <r>
      <rPr>
        <b/>
        <sz val="10"/>
        <color theme="1"/>
        <rFont val="Calibri"/>
        <family val="2"/>
        <scheme val="minor"/>
      </rPr>
      <t>04928</t>
    </r>
    <r>
      <rPr>
        <sz val="10"/>
        <color theme="1"/>
        <rFont val="Calibri"/>
        <family val="2"/>
        <scheme val="minor"/>
      </rPr>
      <t xml:space="preserve"> - English as a second language (ESL) program
</t>
    </r>
    <r>
      <rPr>
        <b/>
        <sz val="10"/>
        <color theme="1"/>
        <rFont val="Calibri"/>
        <family val="2"/>
        <scheme val="minor"/>
      </rPr>
      <t>04919</t>
    </r>
    <r>
      <rPr>
        <sz val="10"/>
        <color theme="1"/>
        <rFont val="Calibri"/>
        <family val="2"/>
        <scheme val="minor"/>
      </rPr>
      <t xml:space="preserve"> - Even Start
</t>
    </r>
    <r>
      <rPr>
        <b/>
        <sz val="10"/>
        <color theme="1"/>
        <rFont val="Calibri"/>
        <family val="2"/>
        <scheme val="minor"/>
      </rPr>
      <t>04955</t>
    </r>
    <r>
      <rPr>
        <sz val="10"/>
        <color theme="1"/>
        <rFont val="Calibri"/>
        <family val="2"/>
        <scheme val="minor"/>
      </rPr>
      <t xml:space="preserve"> - Extended day/child care services
</t>
    </r>
    <r>
      <rPr>
        <b/>
        <sz val="10"/>
        <color theme="1"/>
        <rFont val="Calibri"/>
        <family val="2"/>
        <scheme val="minor"/>
      </rPr>
      <t>75000</t>
    </r>
    <r>
      <rPr>
        <sz val="10"/>
        <color theme="1"/>
        <rFont val="Calibri"/>
        <family val="2"/>
        <scheme val="minor"/>
      </rPr>
      <t xml:space="preserve"> - Foster Care
</t>
    </r>
    <r>
      <rPr>
        <b/>
        <sz val="10"/>
        <color theme="1"/>
        <rFont val="Calibri"/>
        <family val="2"/>
        <scheme val="minor"/>
      </rPr>
      <t>04930</t>
    </r>
    <r>
      <rPr>
        <sz val="10"/>
        <color theme="1"/>
        <rFont val="Calibri"/>
        <family val="2"/>
        <scheme val="minor"/>
      </rPr>
      <t xml:space="preserve"> - Gifted and talented program
</t>
    </r>
    <r>
      <rPr>
        <b/>
        <sz val="10"/>
        <color theme="1"/>
        <rFont val="Calibri"/>
        <family val="2"/>
        <scheme val="minor"/>
      </rPr>
      <t>04918</t>
    </r>
    <r>
      <rPr>
        <sz val="10"/>
        <color theme="1"/>
        <rFont val="Calibri"/>
        <family val="2"/>
        <scheme val="minor"/>
      </rPr>
      <t xml:space="preserve"> - Head start
</t>
    </r>
    <r>
      <rPr>
        <b/>
        <sz val="10"/>
        <color theme="1"/>
        <rFont val="Calibri"/>
        <family val="2"/>
        <scheme val="minor"/>
      </rPr>
      <t>04963</t>
    </r>
    <r>
      <rPr>
        <sz val="10"/>
        <color theme="1"/>
        <rFont val="Calibri"/>
        <family val="2"/>
        <scheme val="minor"/>
      </rPr>
      <t xml:space="preserve"> - Health Services Program
</t>
    </r>
    <r>
      <rPr>
        <b/>
        <sz val="10"/>
        <color theme="1"/>
        <rFont val="Calibri"/>
        <family val="2"/>
        <scheme val="minor"/>
      </rPr>
      <t>04957</t>
    </r>
    <r>
      <rPr>
        <sz val="10"/>
        <color theme="1"/>
        <rFont val="Calibri"/>
        <family val="2"/>
        <scheme val="minor"/>
      </rPr>
      <t xml:space="preserve"> - Immigrant education
</t>
    </r>
    <r>
      <rPr>
        <b/>
        <sz val="10"/>
        <color theme="1"/>
        <rFont val="Calibri"/>
        <family val="2"/>
        <scheme val="minor"/>
      </rPr>
      <t>04921</t>
    </r>
    <r>
      <rPr>
        <sz val="10"/>
        <color theme="1"/>
        <rFont val="Calibri"/>
        <family val="2"/>
        <scheme val="minor"/>
      </rPr>
      <t xml:space="preserve"> - Indian education
</t>
    </r>
    <r>
      <rPr>
        <b/>
        <sz val="10"/>
        <color theme="1"/>
        <rFont val="Calibri"/>
        <family val="2"/>
        <scheme val="minor"/>
      </rPr>
      <t>04959</t>
    </r>
    <r>
      <rPr>
        <sz val="10"/>
        <color theme="1"/>
        <rFont val="Calibri"/>
        <family val="2"/>
        <scheme val="minor"/>
      </rPr>
      <t xml:space="preserve"> - International Baccalaureate
</t>
    </r>
    <r>
      <rPr>
        <b/>
        <sz val="10"/>
        <color theme="1"/>
        <rFont val="Calibri"/>
        <family val="2"/>
        <scheme val="minor"/>
      </rPr>
      <t>04962</t>
    </r>
    <r>
      <rPr>
        <sz val="10"/>
        <color theme="1"/>
        <rFont val="Calibri"/>
        <family val="2"/>
        <scheme val="minor"/>
      </rPr>
      <t xml:space="preserve"> - Library/Media Services Program
</t>
    </r>
    <r>
      <rPr>
        <b/>
        <sz val="10"/>
        <color theme="1"/>
        <rFont val="Calibri"/>
        <family val="2"/>
        <scheme val="minor"/>
      </rPr>
      <t>04960</t>
    </r>
    <r>
      <rPr>
        <sz val="10"/>
        <color theme="1"/>
        <rFont val="Calibri"/>
        <family val="2"/>
        <scheme val="minor"/>
      </rPr>
      <t xml:space="preserve"> - Magnet/Special Program Emphasis
</t>
    </r>
    <r>
      <rPr>
        <b/>
        <sz val="10"/>
        <color theme="1"/>
        <rFont val="Calibri"/>
        <family val="2"/>
        <scheme val="minor"/>
      </rPr>
      <t>04920</t>
    </r>
    <r>
      <rPr>
        <sz val="10"/>
        <color theme="1"/>
        <rFont val="Calibri"/>
        <family val="2"/>
        <scheme val="minor"/>
      </rPr>
      <t xml:space="preserve"> - Migrant education
</t>
    </r>
    <r>
      <rPr>
        <b/>
        <sz val="10"/>
        <color theme="1"/>
        <rFont val="Calibri"/>
        <family val="2"/>
        <scheme val="minor"/>
      </rPr>
      <t>04887</t>
    </r>
    <r>
      <rPr>
        <sz val="10"/>
        <color theme="1"/>
        <rFont val="Calibri"/>
        <family val="2"/>
        <scheme val="minor"/>
      </rPr>
      <t xml:space="preserve"> - Regular education
</t>
    </r>
    <r>
      <rPr>
        <b/>
        <sz val="10"/>
        <color theme="1"/>
        <rFont val="Calibri"/>
        <family val="2"/>
        <scheme val="minor"/>
      </rPr>
      <t>04964</t>
    </r>
    <r>
      <rPr>
        <sz val="10"/>
        <color theme="1"/>
        <rFont val="Calibri"/>
        <family val="2"/>
        <scheme val="minor"/>
      </rPr>
      <t xml:space="preserve"> - Remedial education
</t>
    </r>
    <r>
      <rPr>
        <b/>
        <sz val="10"/>
        <color theme="1"/>
        <rFont val="Calibri"/>
        <family val="2"/>
        <scheme val="minor"/>
      </rPr>
      <t>04967</t>
    </r>
    <r>
      <rPr>
        <sz val="10"/>
        <color theme="1"/>
        <rFont val="Calibri"/>
        <family val="2"/>
        <scheme val="minor"/>
      </rPr>
      <t xml:space="preserve"> - Section 504 Placement
</t>
    </r>
    <r>
      <rPr>
        <b/>
        <sz val="10"/>
        <color theme="1"/>
        <rFont val="Calibri"/>
        <family val="2"/>
        <scheme val="minor"/>
      </rPr>
      <t>04966</t>
    </r>
    <r>
      <rPr>
        <sz val="10"/>
        <color theme="1"/>
        <rFont val="Calibri"/>
        <family val="2"/>
        <scheme val="minor"/>
      </rPr>
      <t xml:space="preserve"> - Service learning
</t>
    </r>
    <r>
      <rPr>
        <b/>
        <sz val="10"/>
        <color theme="1"/>
        <rFont val="Calibri"/>
        <family val="2"/>
        <scheme val="minor"/>
      </rPr>
      <t>04888</t>
    </r>
    <r>
      <rPr>
        <sz val="10"/>
        <color theme="1"/>
        <rFont val="Calibri"/>
        <family val="2"/>
        <scheme val="minor"/>
      </rPr>
      <t xml:space="preserve"> - Special Education Services
</t>
    </r>
    <r>
      <rPr>
        <b/>
        <sz val="10"/>
        <color theme="1"/>
        <rFont val="Calibri"/>
        <family val="2"/>
        <scheme val="minor"/>
      </rPr>
      <t>04954</t>
    </r>
    <r>
      <rPr>
        <sz val="10"/>
        <color theme="1"/>
        <rFont val="Calibri"/>
        <family val="2"/>
        <scheme val="minor"/>
      </rPr>
      <t xml:space="preserve"> - Student retention/ Dropout Prevention
</t>
    </r>
    <r>
      <rPr>
        <b/>
        <sz val="10"/>
        <color theme="1"/>
        <rFont val="Calibri"/>
        <family val="2"/>
        <scheme val="minor"/>
      </rPr>
      <t>04953</t>
    </r>
    <r>
      <rPr>
        <sz val="10"/>
        <color theme="1"/>
        <rFont val="Calibri"/>
        <family val="2"/>
        <scheme val="minor"/>
      </rPr>
      <t xml:space="preserve"> - Substance abuse education/prevention
</t>
    </r>
    <r>
      <rPr>
        <b/>
        <sz val="10"/>
        <color theme="1"/>
        <rFont val="Calibri"/>
        <family val="2"/>
        <scheme val="minor"/>
      </rPr>
      <t>73204</t>
    </r>
    <r>
      <rPr>
        <sz val="10"/>
        <color theme="1"/>
        <rFont val="Calibri"/>
        <family val="2"/>
        <scheme val="minor"/>
      </rPr>
      <t xml:space="preserve"> - Targeted intervention program
</t>
    </r>
    <r>
      <rPr>
        <b/>
        <sz val="10"/>
        <color theme="1"/>
        <rFont val="Calibri"/>
        <family val="2"/>
        <scheme val="minor"/>
      </rPr>
      <t>04968</t>
    </r>
    <r>
      <rPr>
        <sz val="10"/>
        <color theme="1"/>
        <rFont val="Calibri"/>
        <family val="2"/>
        <scheme val="minor"/>
      </rPr>
      <t xml:space="preserve"> - Teacher professional development / Mentoring
</t>
    </r>
    <r>
      <rPr>
        <b/>
        <sz val="10"/>
        <color theme="1"/>
        <rFont val="Calibri"/>
        <family val="2"/>
        <scheme val="minor"/>
      </rPr>
      <t>04917</t>
    </r>
    <r>
      <rPr>
        <sz val="10"/>
        <color theme="1"/>
        <rFont val="Calibri"/>
        <family val="2"/>
        <scheme val="minor"/>
      </rPr>
      <t xml:space="preserve"> - Technical preparatory
</t>
    </r>
    <r>
      <rPr>
        <b/>
        <sz val="10"/>
        <color theme="1"/>
        <rFont val="Calibri"/>
        <family val="2"/>
        <scheme val="minor"/>
      </rPr>
      <t>75001</t>
    </r>
    <r>
      <rPr>
        <sz val="10"/>
        <color theme="1"/>
        <rFont val="Calibri"/>
        <family val="2"/>
        <scheme val="minor"/>
      </rPr>
      <t xml:space="preserve"> - Title I
</t>
    </r>
    <r>
      <rPr>
        <b/>
        <sz val="10"/>
        <color theme="1"/>
        <rFont val="Calibri"/>
        <family val="2"/>
        <scheme val="minor"/>
      </rPr>
      <t>73090</t>
    </r>
    <r>
      <rPr>
        <sz val="10"/>
        <color theme="1"/>
        <rFont val="Calibri"/>
        <family val="2"/>
        <scheme val="minor"/>
      </rPr>
      <t xml:space="preserve"> - Work-based Learning Opportunities
</t>
    </r>
    <r>
      <rPr>
        <b/>
        <sz val="10"/>
        <color theme="1"/>
        <rFont val="Calibri"/>
        <family val="2"/>
        <scheme val="minor"/>
      </rPr>
      <t>09999</t>
    </r>
    <r>
      <rPr>
        <sz val="10"/>
        <color theme="1"/>
        <rFont val="Calibri"/>
        <family val="2"/>
        <scheme val="minor"/>
      </rPr>
      <t xml:space="preserve"> - Other
</t>
    </r>
  </si>
  <si>
    <t>Career and Technical -&gt; Program
Early Learning -&gt; EL Child -&gt; Program
K12 -&gt; K12 School -&gt; Directory
K12 -&gt; K12 Student -&gt; Program</t>
  </si>
  <si>
    <t>000225</t>
  </si>
  <si>
    <t>ProgramType</t>
  </si>
  <si>
    <t>Progress Achieving English Language Proficiency Indicator Type</t>
  </si>
  <si>
    <t>The category used to report the school's performance on the progress of achieving the English language proficiency indicator.</t>
  </si>
  <si>
    <r>
      <t>NOSTUDENTS</t>
    </r>
    <r>
      <rPr>
        <sz val="10"/>
        <color theme="1"/>
        <rFont val="Calibri"/>
        <family val="2"/>
        <scheme val="minor"/>
      </rPr>
      <t xml:space="preserve"> - No students in the subgroup
</t>
    </r>
    <r>
      <rPr>
        <b/>
        <sz val="10"/>
        <color theme="1"/>
        <rFont val="Calibri"/>
        <family val="2"/>
        <scheme val="minor"/>
      </rPr>
      <t>STTDEF</t>
    </r>
    <r>
      <rPr>
        <sz val="10"/>
        <color theme="1"/>
        <rFont val="Calibri"/>
        <family val="2"/>
        <scheme val="minor"/>
      </rPr>
      <t xml:space="preserve"> - State defined status
</t>
    </r>
    <r>
      <rPr>
        <b/>
        <sz val="10"/>
        <color theme="1"/>
        <rFont val="Calibri"/>
        <family val="2"/>
        <scheme val="minor"/>
      </rPr>
      <t>TOOFEW</t>
    </r>
    <r>
      <rPr>
        <sz val="10"/>
        <color theme="1"/>
        <rFont val="Calibri"/>
        <family val="2"/>
        <scheme val="minor"/>
      </rPr>
      <t xml:space="preserve"> - Too few students
</t>
    </r>
  </si>
  <si>
    <t>001915</t>
  </si>
  <si>
    <t>ProgressAchievingEnglishLanguageProficiencyIndicatorType</t>
  </si>
  <si>
    <t>Progress Achieving English Language Proficiency State Defined Status</t>
  </si>
  <si>
    <t>The state defined status assigned to the school's performance on the progress of achieving the English language proficiency indicator.</t>
  </si>
  <si>
    <t>001916</t>
  </si>
  <si>
    <t>ProgressAchievingEnglishLanguageProficiencyStateDefinedStatus</t>
  </si>
  <si>
    <t>Progress Level</t>
  </si>
  <si>
    <t>The amount of progress shown in academic subjects.</t>
  </si>
  <si>
    <r>
      <t>NEGGRADE</t>
    </r>
    <r>
      <rPr>
        <sz val="10"/>
        <color theme="1"/>
        <rFont val="Calibri"/>
        <family val="2"/>
        <scheme val="minor"/>
      </rPr>
      <t xml:space="preserve"> - Negative grade level change
</t>
    </r>
    <r>
      <rPr>
        <b/>
        <sz val="10"/>
        <color theme="1"/>
        <rFont val="Calibri"/>
        <family val="2"/>
        <scheme val="minor"/>
      </rPr>
      <t>NOCHANGE</t>
    </r>
    <r>
      <rPr>
        <sz val="10"/>
        <color theme="1"/>
        <rFont val="Calibri"/>
        <family val="2"/>
        <scheme val="minor"/>
      </rPr>
      <t xml:space="preserve"> - No change
</t>
    </r>
    <r>
      <rPr>
        <b/>
        <sz val="10"/>
        <color theme="1"/>
        <rFont val="Calibri"/>
        <family val="2"/>
        <scheme val="minor"/>
      </rPr>
      <t>UPHALFGRADE</t>
    </r>
    <r>
      <rPr>
        <sz val="10"/>
        <color theme="1"/>
        <rFont val="Calibri"/>
        <family val="2"/>
        <scheme val="minor"/>
      </rPr>
      <t xml:space="preserve"> - Improvement of up to one half grade level
</t>
    </r>
    <r>
      <rPr>
        <b/>
        <sz val="10"/>
        <color theme="1"/>
        <rFont val="Calibri"/>
        <family val="2"/>
        <scheme val="minor"/>
      </rPr>
      <t>UPONEGRADE</t>
    </r>
    <r>
      <rPr>
        <sz val="10"/>
        <color theme="1"/>
        <rFont val="Calibri"/>
        <family val="2"/>
        <scheme val="minor"/>
      </rPr>
      <t xml:space="preserve"> - Improvement from one half grade level up to one full grade level
</t>
    </r>
    <r>
      <rPr>
        <b/>
        <sz val="10"/>
        <color theme="1"/>
        <rFont val="Calibri"/>
        <family val="2"/>
        <scheme val="minor"/>
      </rPr>
      <t>UPGTONE</t>
    </r>
    <r>
      <rPr>
        <sz val="10"/>
        <color theme="1"/>
        <rFont val="Calibri"/>
        <family val="2"/>
        <scheme val="minor"/>
      </rPr>
      <t xml:space="preserve"> - Improvement of more than one full grade level
</t>
    </r>
  </si>
  <si>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</si>
  <si>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</si>
  <si>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</si>
  <si>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</si>
  <si>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</si>
  <si>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</si>
  <si>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</si>
  <si>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</si>
  <si>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r>
      <t>AcceleratedPromotion</t>
    </r>
    <r>
      <rPr>
        <sz val="10"/>
        <color theme="1"/>
        <rFont val="Calibri"/>
        <family val="2"/>
        <scheme val="minor"/>
      </rPr>
      <t xml:space="preserve"> - Accelerated promotion
</t>
    </r>
    <r>
      <rPr>
        <b/>
        <sz val="10"/>
        <color theme="1"/>
        <rFont val="Calibri"/>
        <family val="2"/>
        <scheme val="minor"/>
      </rPr>
      <t>ContinuousPromotion</t>
    </r>
    <r>
      <rPr>
        <sz val="10"/>
        <color theme="1"/>
        <rFont val="Calibri"/>
        <family val="2"/>
        <scheme val="minor"/>
      </rPr>
      <t xml:space="preserve"> - Continuous promotion
</t>
    </r>
    <r>
      <rPr>
        <b/>
        <sz val="10"/>
        <color theme="1"/>
        <rFont val="Calibri"/>
        <family val="2"/>
        <scheme val="minor"/>
      </rPr>
      <t>Other</t>
    </r>
    <r>
      <rPr>
        <sz val="10"/>
        <color theme="1"/>
        <rFont val="Calibri"/>
        <family val="2"/>
        <scheme val="minor"/>
      </rPr>
      <t xml:space="preserve"> - Other
</t>
    </r>
    <r>
      <rPr>
        <b/>
        <sz val="10"/>
        <color theme="1"/>
        <rFont val="Calibri"/>
        <family val="2"/>
        <scheme val="minor"/>
      </rPr>
      <t>ProbationaryPromotion</t>
    </r>
    <r>
      <rPr>
        <sz val="10"/>
        <color theme="1"/>
        <rFont val="Calibri"/>
        <family val="2"/>
        <scheme val="minor"/>
      </rPr>
      <t xml:space="preserve"> - Probationary promotion
</t>
    </r>
    <r>
      <rPr>
        <b/>
        <sz val="10"/>
        <color theme="1"/>
        <rFont val="Calibri"/>
        <family val="2"/>
        <scheme val="minor"/>
      </rPr>
      <t>RegularPromotion</t>
    </r>
    <r>
      <rPr>
        <sz val="10"/>
        <color theme="1"/>
        <rFont val="Calibri"/>
        <family val="2"/>
        <scheme val="minor"/>
      </rPr>
      <t xml:space="preserve"> - Regular promotion
</t>
    </r>
    <r>
      <rPr>
        <b/>
        <sz val="10"/>
        <color theme="1"/>
        <rFont val="Calibri"/>
        <family val="2"/>
        <scheme val="minor"/>
      </rPr>
      <t>VariableProgress</t>
    </r>
    <r>
      <rPr>
        <sz val="10"/>
        <color theme="1"/>
        <rFont val="Calibri"/>
        <family val="2"/>
        <scheme val="minor"/>
      </rPr>
      <t xml:space="preserve"> - Variable progress
</t>
    </r>
  </si>
  <si>
    <t>000530</t>
  </si>
  <si>
    <t>PromotionReason</t>
  </si>
  <si>
    <t>Proof of Residency Type</t>
  </si>
  <si>
    <t>An accepted form of proof of residency in the district/county/other locality.</t>
  </si>
  <si>
    <r>
      <t>BankStatement</t>
    </r>
    <r>
      <rPr>
        <sz val="10"/>
        <color theme="1"/>
        <rFont val="Calibri"/>
        <family val="2"/>
        <scheme val="minor"/>
      </rPr>
      <t xml:space="preserve"> - Bank statement
</t>
    </r>
    <r>
      <rPr>
        <b/>
        <sz val="10"/>
        <color theme="1"/>
        <rFont val="Calibri"/>
        <family val="2"/>
        <scheme val="minor"/>
      </rPr>
      <t>UtilityBill</t>
    </r>
    <r>
      <rPr>
        <sz val="10"/>
        <color theme="1"/>
        <rFont val="Calibri"/>
        <family val="2"/>
        <scheme val="minor"/>
      </rPr>
      <t xml:space="preserve"> - Utility bill
</t>
    </r>
    <r>
      <rPr>
        <b/>
        <sz val="10"/>
        <color theme="1"/>
        <rFont val="Calibri"/>
        <family val="2"/>
        <scheme val="minor"/>
      </rPr>
      <t>Lease</t>
    </r>
    <r>
      <rPr>
        <sz val="10"/>
        <color theme="1"/>
        <rFont val="Calibri"/>
        <family val="2"/>
        <scheme val="minor"/>
      </rPr>
      <t xml:space="preserve"> - Lease
</t>
    </r>
    <r>
      <rPr>
        <b/>
        <sz val="10"/>
        <color theme="1"/>
        <rFont val="Calibri"/>
        <family val="2"/>
        <scheme val="minor"/>
      </rPr>
      <t>Other</t>
    </r>
    <r>
      <rPr>
        <sz val="10"/>
        <color theme="1"/>
        <rFont val="Calibri"/>
        <family val="2"/>
        <scheme val="minor"/>
      </rPr>
      <t xml:space="preserve"> - Other
</t>
    </r>
  </si>
  <si>
    <t>000305</t>
  </si>
  <si>
    <t>ProofOfResidencyType</t>
  </si>
  <si>
    <t>Proxy Contact Hours</t>
  </si>
  <si>
    <t>The number of instructional hours completed by an adult enrolled in a distance learning program.</t>
  </si>
  <si>
    <t>000790</t>
  </si>
  <si>
    <t>ProxyContactHours</t>
  </si>
  <si>
    <t>Public Assistance Status</t>
  </si>
  <si>
    <t>A person who receives financial assistance from Federal, State, or local government agencies, including Temporary Assistance for Needy Families or equivalent.</t>
  </si>
  <si>
    <t>Adult Education -&gt; AE Staff -&gt; Status (added)
Adult Education -&gt; AE Student -&gt; Status
Career and Technical -&gt; CTE Staff -&gt; Status (added)
Career and Technical -&gt; CTE Student -&gt; Status (added)
Early Learning -&gt; EL Child -&gt; Status (added)
Early Learning -&gt; EL Staff -&gt; Status (added)
Early Learning -&gt; Parent/Guardian -&gt; Status (added)
K12 -&gt; K12 Staff -&gt; Status (added)
K12 -&gt; K12 Student -&gt; Status (added)
K12 -&gt; Parent/Guardian -&gt; Status (added)
Postsecondary -&gt; Parent/Guardian -&gt; Status (added)
Postsecondary -&gt; PS Student -&gt; Status (added)
Workforce -&gt; Workforce Program Participant -&gt; Status (added)</t>
  </si>
  <si>
    <t>000777</t>
  </si>
  <si>
    <t>PublicAssistanceStatus</t>
  </si>
  <si>
    <t>Public Education Mill Rate</t>
  </si>
  <si>
    <t>The millage rate used to calculate property tax revenue for K-12 public education.</t>
  </si>
  <si>
    <t>Numeric - up to 2 digits before and 8 digits after decimal place</t>
  </si>
  <si>
    <t>001895</t>
  </si>
  <si>
    <t>PublicEducationMillRate</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</si>
  <si>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</si>
  <si>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</si>
  <si>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</si>
  <si>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</si>
  <si>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</si>
  <si>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</si>
  <si>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r>
      <t>ImplementedAllGrades</t>
    </r>
    <r>
      <rPr>
        <sz val="10"/>
        <color theme="1"/>
        <rFont val="Calibri"/>
        <family val="2"/>
        <scheme val="minor"/>
      </rPr>
      <t xml:space="preserve"> - Implemented at all grade levels
</t>
    </r>
    <r>
      <rPr>
        <b/>
        <sz val="10"/>
        <color theme="1"/>
        <rFont val="Calibri"/>
        <family val="2"/>
        <scheme val="minor"/>
      </rPr>
      <t>ImplementedSomeGrades</t>
    </r>
    <r>
      <rPr>
        <sz val="10"/>
        <color theme="1"/>
        <rFont val="Calibri"/>
        <family val="2"/>
        <scheme val="minor"/>
      </rPr>
      <t xml:space="preserve"> - Implemented at some but not all grade levels
</t>
    </r>
    <r>
      <rPr>
        <b/>
        <sz val="10"/>
        <color theme="1"/>
        <rFont val="Calibri"/>
        <family val="2"/>
        <scheme val="minor"/>
      </rPr>
      <t>UnableToImplement</t>
    </r>
    <r>
      <rPr>
        <sz val="10"/>
        <color theme="1"/>
        <rFont val="Calibri"/>
        <family val="2"/>
        <scheme val="minor"/>
      </rPr>
      <t xml:space="preserve"> - Unable to implement at any grades levels
</t>
    </r>
    <r>
      <rPr>
        <b/>
        <sz val="10"/>
        <color theme="1"/>
        <rFont val="Calibri"/>
        <family val="2"/>
        <scheme val="minor"/>
      </rPr>
      <t>NotRequiredToImplement</t>
    </r>
    <r>
      <rPr>
        <sz val="10"/>
        <color theme="1"/>
        <rFont val="Calibri"/>
        <family val="2"/>
        <scheme val="minor"/>
      </rPr>
      <t xml:space="preserve"> - Not required to implement public school choice
</t>
    </r>
  </si>
  <si>
    <t>000227</t>
  </si>
  <si>
    <t>PublicSchoolChoiceImplementationStatus</t>
  </si>
  <si>
    <t>Public School Residence Status</t>
  </si>
  <si>
    <t>An indication of the location of a persons legal residence relative to (within or outside) the boundaries of the public school attended and its administrative unit.</t>
  </si>
  <si>
    <r>
      <t>01652</t>
    </r>
    <r>
      <rPr>
        <sz val="10"/>
        <color theme="1"/>
        <rFont val="Calibri"/>
        <family val="2"/>
        <scheme val="minor"/>
      </rPr>
      <t xml:space="preserve"> - Resident of administrative unit and usual school attendance area
</t>
    </r>
    <r>
      <rPr>
        <b/>
        <sz val="10"/>
        <color theme="1"/>
        <rFont val="Calibri"/>
        <family val="2"/>
        <scheme val="minor"/>
      </rPr>
      <t>01653</t>
    </r>
    <r>
      <rPr>
        <sz val="10"/>
        <color theme="1"/>
        <rFont val="Calibri"/>
        <family val="2"/>
        <scheme val="minor"/>
      </rPr>
      <t xml:space="preserve"> - Resident of administrative unit, but of other school attendance area
</t>
    </r>
    <r>
      <rPr>
        <b/>
        <sz val="10"/>
        <color theme="1"/>
        <rFont val="Calibri"/>
        <family val="2"/>
        <scheme val="minor"/>
      </rPr>
      <t>01654</t>
    </r>
    <r>
      <rPr>
        <sz val="10"/>
        <color theme="1"/>
        <rFont val="Calibri"/>
        <family val="2"/>
        <scheme val="minor"/>
      </rPr>
      <t xml:space="preserve"> - Resident of this state, but not of this administrative unit
</t>
    </r>
    <r>
      <rPr>
        <b/>
        <sz val="10"/>
        <color theme="1"/>
        <rFont val="Calibri"/>
        <family val="2"/>
        <scheme val="minor"/>
      </rPr>
      <t>01655</t>
    </r>
    <r>
      <rPr>
        <sz val="10"/>
        <color theme="1"/>
        <rFont val="Calibri"/>
        <family val="2"/>
        <scheme val="minor"/>
      </rPr>
      <t xml:space="preserve"> - Resident of an administrative unit that crosses state boundaries
</t>
    </r>
    <r>
      <rPr>
        <b/>
        <sz val="10"/>
        <color theme="1"/>
        <rFont val="Calibri"/>
        <family val="2"/>
        <scheme val="minor"/>
      </rPr>
      <t>01656</t>
    </r>
    <r>
      <rPr>
        <sz val="10"/>
        <color theme="1"/>
        <rFont val="Calibri"/>
        <family val="2"/>
        <scheme val="minor"/>
      </rPr>
      <t xml:space="preserve"> - Resident of another state
</t>
    </r>
  </si>
  <si>
    <t>000532</t>
  </si>
  <si>
    <t>PublicSchoolResidenceStatus</t>
  </si>
  <si>
    <t>Purpose of Monitoring Visit</t>
  </si>
  <si>
    <t>The purpose for the monitoring visit.</t>
  </si>
  <si>
    <r>
      <t>LicensingVisits</t>
    </r>
    <r>
      <rPr>
        <sz val="10"/>
        <color theme="1"/>
        <rFont val="Calibri"/>
        <family val="2"/>
        <scheme val="minor"/>
      </rPr>
      <t xml:space="preserve"> - Licensing Visits
</t>
    </r>
    <r>
      <rPr>
        <b/>
        <sz val="10"/>
        <color theme="1"/>
        <rFont val="Calibri"/>
        <family val="2"/>
        <scheme val="minor"/>
      </rPr>
      <t>HeathSafety</t>
    </r>
    <r>
      <rPr>
        <sz val="10"/>
        <color theme="1"/>
        <rFont val="Calibri"/>
        <family val="2"/>
        <scheme val="minor"/>
      </rPr>
      <t xml:space="preserve"> - Health and Safety
</t>
    </r>
    <r>
      <rPr>
        <b/>
        <sz val="10"/>
        <color theme="1"/>
        <rFont val="Calibri"/>
        <family val="2"/>
        <scheme val="minor"/>
      </rPr>
      <t>Renewal</t>
    </r>
    <r>
      <rPr>
        <sz val="10"/>
        <color theme="1"/>
        <rFont val="Calibri"/>
        <family val="2"/>
        <scheme val="minor"/>
      </rPr>
      <t xml:space="preserve"> - Renewal
</t>
    </r>
    <r>
      <rPr>
        <b/>
        <sz val="10"/>
        <color theme="1"/>
        <rFont val="Calibri"/>
        <family val="2"/>
        <scheme val="minor"/>
      </rPr>
      <t>Review</t>
    </r>
    <r>
      <rPr>
        <sz val="10"/>
        <color theme="1"/>
        <rFont val="Calibri"/>
        <family val="2"/>
        <scheme val="minor"/>
      </rPr>
      <t xml:space="preserve"> - Review
</t>
    </r>
    <r>
      <rPr>
        <b/>
        <sz val="10"/>
        <color theme="1"/>
        <rFont val="Calibri"/>
        <family val="2"/>
        <scheme val="minor"/>
      </rPr>
      <t>Other</t>
    </r>
    <r>
      <rPr>
        <sz val="10"/>
        <color theme="1"/>
        <rFont val="Calibri"/>
        <family val="2"/>
        <scheme val="minor"/>
      </rPr>
      <t xml:space="preserve"> - Other
</t>
    </r>
  </si>
  <si>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</si>
  <si>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</si>
  <si>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</si>
  <si>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</si>
  <si>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</si>
  <si>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</si>
  <si>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</si>
  <si>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</si>
  <si>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</si>
  <si>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</si>
  <si>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</si>
  <si>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</si>
  <si>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r>
      <t>AK</t>
    </r>
    <r>
      <rPr>
        <sz val="10"/>
        <color theme="1"/>
        <rFont val="Calibri"/>
        <family val="2"/>
        <scheme val="minor"/>
      </rPr>
      <t xml:space="preserve"> - Alaska
</t>
    </r>
    <r>
      <rPr>
        <b/>
        <sz val="10"/>
        <color theme="1"/>
        <rFont val="Calibri"/>
        <family val="2"/>
        <scheme val="minor"/>
      </rPr>
      <t>AL</t>
    </r>
    <r>
      <rPr>
        <sz val="10"/>
        <color theme="1"/>
        <rFont val="Calibri"/>
        <family val="2"/>
        <scheme val="minor"/>
      </rPr>
      <t xml:space="preserve"> - Alabama
</t>
    </r>
    <r>
      <rPr>
        <b/>
        <sz val="10"/>
        <color theme="1"/>
        <rFont val="Calibri"/>
        <family val="2"/>
        <scheme val="minor"/>
      </rPr>
      <t>AR</t>
    </r>
    <r>
      <rPr>
        <sz val="10"/>
        <color theme="1"/>
        <rFont val="Calibri"/>
        <family val="2"/>
        <scheme val="minor"/>
      </rPr>
      <t xml:space="preserve"> - Arkansas
</t>
    </r>
    <r>
      <rPr>
        <b/>
        <sz val="10"/>
        <color theme="1"/>
        <rFont val="Calibri"/>
        <family val="2"/>
        <scheme val="minor"/>
      </rPr>
      <t>AS</t>
    </r>
    <r>
      <rPr>
        <sz val="10"/>
        <color theme="1"/>
        <rFont val="Calibri"/>
        <family val="2"/>
        <scheme val="minor"/>
      </rPr>
      <t xml:space="preserve"> - American Samoa
</t>
    </r>
    <r>
      <rPr>
        <b/>
        <sz val="10"/>
        <color theme="1"/>
        <rFont val="Calibri"/>
        <family val="2"/>
        <scheme val="minor"/>
      </rPr>
      <t>AZ</t>
    </r>
    <r>
      <rPr>
        <sz val="10"/>
        <color theme="1"/>
        <rFont val="Calibri"/>
        <family val="2"/>
        <scheme val="minor"/>
      </rPr>
      <t xml:space="preserve"> - Arizona
</t>
    </r>
    <r>
      <rPr>
        <b/>
        <sz val="10"/>
        <color theme="1"/>
        <rFont val="Calibri"/>
        <family val="2"/>
        <scheme val="minor"/>
      </rPr>
      <t>CA</t>
    </r>
    <r>
      <rPr>
        <sz val="10"/>
        <color theme="1"/>
        <rFont val="Calibri"/>
        <family val="2"/>
        <scheme val="minor"/>
      </rPr>
      <t xml:space="preserve"> - California
</t>
    </r>
    <r>
      <rPr>
        <b/>
        <sz val="10"/>
        <color theme="1"/>
        <rFont val="Calibri"/>
        <family val="2"/>
        <scheme val="minor"/>
      </rPr>
      <t>CO</t>
    </r>
    <r>
      <rPr>
        <sz val="10"/>
        <color theme="1"/>
        <rFont val="Calibri"/>
        <family val="2"/>
        <scheme val="minor"/>
      </rPr>
      <t xml:space="preserve"> - Colorado
</t>
    </r>
    <r>
      <rPr>
        <b/>
        <sz val="10"/>
        <color theme="1"/>
        <rFont val="Calibri"/>
        <family val="2"/>
        <scheme val="minor"/>
      </rPr>
      <t>CT</t>
    </r>
    <r>
      <rPr>
        <sz val="10"/>
        <color theme="1"/>
        <rFont val="Calibri"/>
        <family val="2"/>
        <scheme val="minor"/>
      </rPr>
      <t xml:space="preserve"> - Connecticut
</t>
    </r>
    <r>
      <rPr>
        <b/>
        <sz val="10"/>
        <color theme="1"/>
        <rFont val="Calibri"/>
        <family val="2"/>
        <scheme val="minor"/>
      </rPr>
      <t>DC</t>
    </r>
    <r>
      <rPr>
        <sz val="10"/>
        <color theme="1"/>
        <rFont val="Calibri"/>
        <family val="2"/>
        <scheme val="minor"/>
      </rPr>
      <t xml:space="preserve"> - District of Columbia
</t>
    </r>
    <r>
      <rPr>
        <b/>
        <sz val="10"/>
        <color theme="1"/>
        <rFont val="Calibri"/>
        <family val="2"/>
        <scheme val="minor"/>
      </rPr>
      <t>DE</t>
    </r>
    <r>
      <rPr>
        <sz val="10"/>
        <color theme="1"/>
        <rFont val="Calibri"/>
        <family val="2"/>
        <scheme val="minor"/>
      </rPr>
      <t xml:space="preserve"> - Delaware
</t>
    </r>
    <r>
      <rPr>
        <b/>
        <sz val="10"/>
        <color theme="1"/>
        <rFont val="Calibri"/>
        <family val="2"/>
        <scheme val="minor"/>
      </rPr>
      <t>FL</t>
    </r>
    <r>
      <rPr>
        <sz val="10"/>
        <color theme="1"/>
        <rFont val="Calibri"/>
        <family val="2"/>
        <scheme val="minor"/>
      </rPr>
      <t xml:space="preserve"> - Florida
</t>
    </r>
    <r>
      <rPr>
        <b/>
        <sz val="10"/>
        <color theme="1"/>
        <rFont val="Calibri"/>
        <family val="2"/>
        <scheme val="minor"/>
      </rPr>
      <t>FM</t>
    </r>
    <r>
      <rPr>
        <sz val="10"/>
        <color theme="1"/>
        <rFont val="Calibri"/>
        <family val="2"/>
        <scheme val="minor"/>
      </rPr>
      <t xml:space="preserve"> - Federated States of Micronesia
</t>
    </r>
    <r>
      <rPr>
        <b/>
        <sz val="10"/>
        <color theme="1"/>
        <rFont val="Calibri"/>
        <family val="2"/>
        <scheme val="minor"/>
      </rPr>
      <t>GA</t>
    </r>
    <r>
      <rPr>
        <sz val="10"/>
        <color theme="1"/>
        <rFont val="Calibri"/>
        <family val="2"/>
        <scheme val="minor"/>
      </rPr>
      <t xml:space="preserve"> - Georgia
</t>
    </r>
    <r>
      <rPr>
        <b/>
        <sz val="10"/>
        <color theme="1"/>
        <rFont val="Calibri"/>
        <family val="2"/>
        <scheme val="minor"/>
      </rPr>
      <t>GU</t>
    </r>
    <r>
      <rPr>
        <sz val="10"/>
        <color theme="1"/>
        <rFont val="Calibri"/>
        <family val="2"/>
        <scheme val="minor"/>
      </rPr>
      <t xml:space="preserve"> - Guam
</t>
    </r>
    <r>
      <rPr>
        <b/>
        <sz val="10"/>
        <color theme="1"/>
        <rFont val="Calibri"/>
        <family val="2"/>
        <scheme val="minor"/>
      </rPr>
      <t>HI</t>
    </r>
    <r>
      <rPr>
        <sz val="10"/>
        <color theme="1"/>
        <rFont val="Calibri"/>
        <family val="2"/>
        <scheme val="minor"/>
      </rPr>
      <t xml:space="preserve"> - Hawaii
</t>
    </r>
    <r>
      <rPr>
        <b/>
        <sz val="10"/>
        <color theme="1"/>
        <rFont val="Calibri"/>
        <family val="2"/>
        <scheme val="minor"/>
      </rPr>
      <t>IA</t>
    </r>
    <r>
      <rPr>
        <sz val="10"/>
        <color theme="1"/>
        <rFont val="Calibri"/>
        <family val="2"/>
        <scheme val="minor"/>
      </rPr>
      <t xml:space="preserve"> - Iowa
</t>
    </r>
    <r>
      <rPr>
        <b/>
        <sz val="10"/>
        <color theme="1"/>
        <rFont val="Calibri"/>
        <family val="2"/>
        <scheme val="minor"/>
      </rPr>
      <t>ID</t>
    </r>
    <r>
      <rPr>
        <sz val="10"/>
        <color theme="1"/>
        <rFont val="Calibri"/>
        <family val="2"/>
        <scheme val="minor"/>
      </rPr>
      <t xml:space="preserve"> - Idaho
</t>
    </r>
    <r>
      <rPr>
        <b/>
        <sz val="10"/>
        <color theme="1"/>
        <rFont val="Calibri"/>
        <family val="2"/>
        <scheme val="minor"/>
      </rPr>
      <t>IL</t>
    </r>
    <r>
      <rPr>
        <sz val="10"/>
        <color theme="1"/>
        <rFont val="Calibri"/>
        <family val="2"/>
        <scheme val="minor"/>
      </rPr>
      <t xml:space="preserve"> - Illinois
</t>
    </r>
    <r>
      <rPr>
        <b/>
        <sz val="10"/>
        <color theme="1"/>
        <rFont val="Calibri"/>
        <family val="2"/>
        <scheme val="minor"/>
      </rPr>
      <t>IN</t>
    </r>
    <r>
      <rPr>
        <sz val="10"/>
        <color theme="1"/>
        <rFont val="Calibri"/>
        <family val="2"/>
        <scheme val="minor"/>
      </rPr>
      <t xml:space="preserve"> - Indiana
</t>
    </r>
    <r>
      <rPr>
        <b/>
        <sz val="10"/>
        <color theme="1"/>
        <rFont val="Calibri"/>
        <family val="2"/>
        <scheme val="minor"/>
      </rPr>
      <t>KS</t>
    </r>
    <r>
      <rPr>
        <sz val="10"/>
        <color theme="1"/>
        <rFont val="Calibri"/>
        <family val="2"/>
        <scheme val="minor"/>
      </rPr>
      <t xml:space="preserve"> - Kansas
</t>
    </r>
    <r>
      <rPr>
        <b/>
        <sz val="10"/>
        <color theme="1"/>
        <rFont val="Calibri"/>
        <family val="2"/>
        <scheme val="minor"/>
      </rPr>
      <t>KY</t>
    </r>
    <r>
      <rPr>
        <sz val="10"/>
        <color theme="1"/>
        <rFont val="Calibri"/>
        <family val="2"/>
        <scheme val="minor"/>
      </rPr>
      <t xml:space="preserve"> - Kentucky
</t>
    </r>
    <r>
      <rPr>
        <b/>
        <sz val="10"/>
        <color theme="1"/>
        <rFont val="Calibri"/>
        <family val="2"/>
        <scheme val="minor"/>
      </rPr>
      <t>LA</t>
    </r>
    <r>
      <rPr>
        <sz val="10"/>
        <color theme="1"/>
        <rFont val="Calibri"/>
        <family val="2"/>
        <scheme val="minor"/>
      </rPr>
      <t xml:space="preserve"> - Louisiana
</t>
    </r>
    <r>
      <rPr>
        <b/>
        <sz val="10"/>
        <color theme="1"/>
        <rFont val="Calibri"/>
        <family val="2"/>
        <scheme val="minor"/>
      </rPr>
      <t>MA</t>
    </r>
    <r>
      <rPr>
        <sz val="10"/>
        <color theme="1"/>
        <rFont val="Calibri"/>
        <family val="2"/>
        <scheme val="minor"/>
      </rPr>
      <t xml:space="preserve"> - Massachusetts
</t>
    </r>
    <r>
      <rPr>
        <b/>
        <sz val="10"/>
        <color theme="1"/>
        <rFont val="Calibri"/>
        <family val="2"/>
        <scheme val="minor"/>
      </rPr>
      <t>MD</t>
    </r>
    <r>
      <rPr>
        <sz val="10"/>
        <color theme="1"/>
        <rFont val="Calibri"/>
        <family val="2"/>
        <scheme val="minor"/>
      </rPr>
      <t xml:space="preserve"> - Maryland
</t>
    </r>
    <r>
      <rPr>
        <b/>
        <sz val="10"/>
        <color theme="1"/>
        <rFont val="Calibri"/>
        <family val="2"/>
        <scheme val="minor"/>
      </rPr>
      <t>ME</t>
    </r>
    <r>
      <rPr>
        <sz val="10"/>
        <color theme="1"/>
        <rFont val="Calibri"/>
        <family val="2"/>
        <scheme val="minor"/>
      </rPr>
      <t xml:space="preserve"> - Maine
</t>
    </r>
    <r>
      <rPr>
        <b/>
        <sz val="10"/>
        <color theme="1"/>
        <rFont val="Calibri"/>
        <family val="2"/>
        <scheme val="minor"/>
      </rPr>
      <t>MH</t>
    </r>
    <r>
      <rPr>
        <sz val="10"/>
        <color theme="1"/>
        <rFont val="Calibri"/>
        <family val="2"/>
        <scheme val="minor"/>
      </rPr>
      <t xml:space="preserve"> - Marshall Islands
</t>
    </r>
    <r>
      <rPr>
        <b/>
        <sz val="10"/>
        <color theme="1"/>
        <rFont val="Calibri"/>
        <family val="2"/>
        <scheme val="minor"/>
      </rPr>
      <t>MI</t>
    </r>
    <r>
      <rPr>
        <sz val="10"/>
        <color theme="1"/>
        <rFont val="Calibri"/>
        <family val="2"/>
        <scheme val="minor"/>
      </rPr>
      <t xml:space="preserve"> - Michigan
</t>
    </r>
    <r>
      <rPr>
        <b/>
        <sz val="10"/>
        <color theme="1"/>
        <rFont val="Calibri"/>
        <family val="2"/>
        <scheme val="minor"/>
      </rPr>
      <t>MN</t>
    </r>
    <r>
      <rPr>
        <sz val="10"/>
        <color theme="1"/>
        <rFont val="Calibri"/>
        <family val="2"/>
        <scheme val="minor"/>
      </rPr>
      <t xml:space="preserve"> - Minnesota
</t>
    </r>
    <r>
      <rPr>
        <b/>
        <sz val="10"/>
        <color theme="1"/>
        <rFont val="Calibri"/>
        <family val="2"/>
        <scheme val="minor"/>
      </rPr>
      <t>MO</t>
    </r>
    <r>
      <rPr>
        <sz val="10"/>
        <color theme="1"/>
        <rFont val="Calibri"/>
        <family val="2"/>
        <scheme val="minor"/>
      </rPr>
      <t xml:space="preserve"> - Missouri
</t>
    </r>
    <r>
      <rPr>
        <b/>
        <sz val="10"/>
        <color theme="1"/>
        <rFont val="Calibri"/>
        <family val="2"/>
        <scheme val="minor"/>
      </rPr>
      <t>MP</t>
    </r>
    <r>
      <rPr>
        <sz val="10"/>
        <color theme="1"/>
        <rFont val="Calibri"/>
        <family val="2"/>
        <scheme val="minor"/>
      </rPr>
      <t xml:space="preserve"> - Northern Marianas
</t>
    </r>
    <r>
      <rPr>
        <b/>
        <sz val="10"/>
        <color theme="1"/>
        <rFont val="Calibri"/>
        <family val="2"/>
        <scheme val="minor"/>
      </rPr>
      <t>MS</t>
    </r>
    <r>
      <rPr>
        <sz val="10"/>
        <color theme="1"/>
        <rFont val="Calibri"/>
        <family val="2"/>
        <scheme val="minor"/>
      </rPr>
      <t xml:space="preserve"> - Mississippi
</t>
    </r>
    <r>
      <rPr>
        <b/>
        <sz val="10"/>
        <color theme="1"/>
        <rFont val="Calibri"/>
        <family val="2"/>
        <scheme val="minor"/>
      </rPr>
      <t>MT</t>
    </r>
    <r>
      <rPr>
        <sz val="10"/>
        <color theme="1"/>
        <rFont val="Calibri"/>
        <family val="2"/>
        <scheme val="minor"/>
      </rPr>
      <t xml:space="preserve"> - Montana
</t>
    </r>
    <r>
      <rPr>
        <b/>
        <sz val="10"/>
        <color theme="1"/>
        <rFont val="Calibri"/>
        <family val="2"/>
        <scheme val="minor"/>
      </rPr>
      <t>NC</t>
    </r>
    <r>
      <rPr>
        <sz val="10"/>
        <color theme="1"/>
        <rFont val="Calibri"/>
        <family val="2"/>
        <scheme val="minor"/>
      </rPr>
      <t xml:space="preserve"> - North Carolina
</t>
    </r>
    <r>
      <rPr>
        <b/>
        <sz val="10"/>
        <color theme="1"/>
        <rFont val="Calibri"/>
        <family val="2"/>
        <scheme val="minor"/>
      </rPr>
      <t>ND</t>
    </r>
    <r>
      <rPr>
        <sz val="10"/>
        <color theme="1"/>
        <rFont val="Calibri"/>
        <family val="2"/>
        <scheme val="minor"/>
      </rPr>
      <t xml:space="preserve"> - North Dakota
</t>
    </r>
    <r>
      <rPr>
        <b/>
        <sz val="10"/>
        <color theme="1"/>
        <rFont val="Calibri"/>
        <family val="2"/>
        <scheme val="minor"/>
      </rPr>
      <t>NE</t>
    </r>
    <r>
      <rPr>
        <sz val="10"/>
        <color theme="1"/>
        <rFont val="Calibri"/>
        <family val="2"/>
        <scheme val="minor"/>
      </rPr>
      <t xml:space="preserve"> - Nebraska
</t>
    </r>
    <r>
      <rPr>
        <b/>
        <sz val="10"/>
        <color theme="1"/>
        <rFont val="Calibri"/>
        <family val="2"/>
        <scheme val="minor"/>
      </rPr>
      <t>NH</t>
    </r>
    <r>
      <rPr>
        <sz val="10"/>
        <color theme="1"/>
        <rFont val="Calibri"/>
        <family val="2"/>
        <scheme val="minor"/>
      </rPr>
      <t xml:space="preserve"> - New Hampshire
</t>
    </r>
    <r>
      <rPr>
        <b/>
        <sz val="10"/>
        <color theme="1"/>
        <rFont val="Calibri"/>
        <family val="2"/>
        <scheme val="minor"/>
      </rPr>
      <t>NJ</t>
    </r>
    <r>
      <rPr>
        <sz val="10"/>
        <color theme="1"/>
        <rFont val="Calibri"/>
        <family val="2"/>
        <scheme val="minor"/>
      </rPr>
      <t xml:space="preserve"> - New Jersey
</t>
    </r>
    <r>
      <rPr>
        <b/>
        <sz val="10"/>
        <color theme="1"/>
        <rFont val="Calibri"/>
        <family val="2"/>
        <scheme val="minor"/>
      </rPr>
      <t>NM</t>
    </r>
    <r>
      <rPr>
        <sz val="10"/>
        <color theme="1"/>
        <rFont val="Calibri"/>
        <family val="2"/>
        <scheme val="minor"/>
      </rPr>
      <t xml:space="preserve"> - New Mexico
</t>
    </r>
    <r>
      <rPr>
        <b/>
        <sz val="10"/>
        <color theme="1"/>
        <rFont val="Calibri"/>
        <family val="2"/>
        <scheme val="minor"/>
      </rPr>
      <t>NV</t>
    </r>
    <r>
      <rPr>
        <sz val="10"/>
        <color theme="1"/>
        <rFont val="Calibri"/>
        <family val="2"/>
        <scheme val="minor"/>
      </rPr>
      <t xml:space="preserve"> - Nevada
</t>
    </r>
    <r>
      <rPr>
        <b/>
        <sz val="10"/>
        <color theme="1"/>
        <rFont val="Calibri"/>
        <family val="2"/>
        <scheme val="minor"/>
      </rPr>
      <t>NY</t>
    </r>
    <r>
      <rPr>
        <sz val="10"/>
        <color theme="1"/>
        <rFont val="Calibri"/>
        <family val="2"/>
        <scheme val="minor"/>
      </rPr>
      <t xml:space="preserve"> - New York
</t>
    </r>
    <r>
      <rPr>
        <b/>
        <sz val="10"/>
        <color theme="1"/>
        <rFont val="Calibri"/>
        <family val="2"/>
        <scheme val="minor"/>
      </rPr>
      <t>OH</t>
    </r>
    <r>
      <rPr>
        <sz val="10"/>
        <color theme="1"/>
        <rFont val="Calibri"/>
        <family val="2"/>
        <scheme val="minor"/>
      </rPr>
      <t xml:space="preserve"> - Ohio
</t>
    </r>
    <r>
      <rPr>
        <b/>
        <sz val="10"/>
        <color theme="1"/>
        <rFont val="Calibri"/>
        <family val="2"/>
        <scheme val="minor"/>
      </rPr>
      <t>OK</t>
    </r>
    <r>
      <rPr>
        <sz val="10"/>
        <color theme="1"/>
        <rFont val="Calibri"/>
        <family val="2"/>
        <scheme val="minor"/>
      </rPr>
      <t xml:space="preserve"> - Oklahoma
</t>
    </r>
    <r>
      <rPr>
        <b/>
        <sz val="10"/>
        <color theme="1"/>
        <rFont val="Calibri"/>
        <family val="2"/>
        <scheme val="minor"/>
      </rPr>
      <t>OR</t>
    </r>
    <r>
      <rPr>
        <sz val="10"/>
        <color theme="1"/>
        <rFont val="Calibri"/>
        <family val="2"/>
        <scheme val="minor"/>
      </rPr>
      <t xml:space="preserve"> - Oregon
</t>
    </r>
    <r>
      <rPr>
        <b/>
        <sz val="10"/>
        <color theme="1"/>
        <rFont val="Calibri"/>
        <family val="2"/>
        <scheme val="minor"/>
      </rPr>
      <t>PA</t>
    </r>
    <r>
      <rPr>
        <sz val="10"/>
        <color theme="1"/>
        <rFont val="Calibri"/>
        <family val="2"/>
        <scheme val="minor"/>
      </rPr>
      <t xml:space="preserve"> - Pennsylvania
</t>
    </r>
    <r>
      <rPr>
        <b/>
        <sz val="10"/>
        <color theme="1"/>
        <rFont val="Calibri"/>
        <family val="2"/>
        <scheme val="minor"/>
      </rPr>
      <t>PR</t>
    </r>
    <r>
      <rPr>
        <sz val="10"/>
        <color theme="1"/>
        <rFont val="Calibri"/>
        <family val="2"/>
        <scheme val="minor"/>
      </rPr>
      <t xml:space="preserve"> - Puerto Rico
</t>
    </r>
    <r>
      <rPr>
        <b/>
        <sz val="10"/>
        <color theme="1"/>
        <rFont val="Calibri"/>
        <family val="2"/>
        <scheme val="minor"/>
      </rPr>
      <t>PW</t>
    </r>
    <r>
      <rPr>
        <sz val="10"/>
        <color theme="1"/>
        <rFont val="Calibri"/>
        <family val="2"/>
        <scheme val="minor"/>
      </rPr>
      <t xml:space="preserve"> - Palau
</t>
    </r>
    <r>
      <rPr>
        <b/>
        <sz val="10"/>
        <color theme="1"/>
        <rFont val="Calibri"/>
        <family val="2"/>
        <scheme val="minor"/>
      </rPr>
      <t>RI</t>
    </r>
    <r>
      <rPr>
        <sz val="10"/>
        <color theme="1"/>
        <rFont val="Calibri"/>
        <family val="2"/>
        <scheme val="minor"/>
      </rPr>
      <t xml:space="preserve"> - Rhode Island
</t>
    </r>
    <r>
      <rPr>
        <b/>
        <sz val="10"/>
        <color theme="1"/>
        <rFont val="Calibri"/>
        <family val="2"/>
        <scheme val="minor"/>
      </rPr>
      <t>SC</t>
    </r>
    <r>
      <rPr>
        <sz val="10"/>
        <color theme="1"/>
        <rFont val="Calibri"/>
        <family val="2"/>
        <scheme val="minor"/>
      </rPr>
      <t xml:space="preserve"> - South Carolina
</t>
    </r>
    <r>
      <rPr>
        <b/>
        <sz val="10"/>
        <color theme="1"/>
        <rFont val="Calibri"/>
        <family val="2"/>
        <scheme val="minor"/>
      </rPr>
      <t>SD</t>
    </r>
    <r>
      <rPr>
        <sz val="10"/>
        <color theme="1"/>
        <rFont val="Calibri"/>
        <family val="2"/>
        <scheme val="minor"/>
      </rPr>
      <t xml:space="preserve"> - South Dakota
</t>
    </r>
    <r>
      <rPr>
        <b/>
        <sz val="10"/>
        <color theme="1"/>
        <rFont val="Calibri"/>
        <family val="2"/>
        <scheme val="minor"/>
      </rPr>
      <t>TN</t>
    </r>
    <r>
      <rPr>
        <sz val="10"/>
        <color theme="1"/>
        <rFont val="Calibri"/>
        <family val="2"/>
        <scheme val="minor"/>
      </rPr>
      <t xml:space="preserve"> - Tennessee
</t>
    </r>
    <r>
      <rPr>
        <b/>
        <sz val="10"/>
        <color theme="1"/>
        <rFont val="Calibri"/>
        <family val="2"/>
        <scheme val="minor"/>
      </rPr>
      <t>TX</t>
    </r>
    <r>
      <rPr>
        <sz val="10"/>
        <color theme="1"/>
        <rFont val="Calibri"/>
        <family val="2"/>
        <scheme val="minor"/>
      </rPr>
      <t xml:space="preserve"> - Texas
</t>
    </r>
    <r>
      <rPr>
        <b/>
        <sz val="10"/>
        <color theme="1"/>
        <rFont val="Calibri"/>
        <family val="2"/>
        <scheme val="minor"/>
      </rPr>
      <t>UT</t>
    </r>
    <r>
      <rPr>
        <sz val="10"/>
        <color theme="1"/>
        <rFont val="Calibri"/>
        <family val="2"/>
        <scheme val="minor"/>
      </rPr>
      <t xml:space="preserve"> - Utah
</t>
    </r>
    <r>
      <rPr>
        <b/>
        <sz val="10"/>
        <color theme="1"/>
        <rFont val="Calibri"/>
        <family val="2"/>
        <scheme val="minor"/>
      </rPr>
      <t>VA</t>
    </r>
    <r>
      <rPr>
        <sz val="10"/>
        <color theme="1"/>
        <rFont val="Calibri"/>
        <family val="2"/>
        <scheme val="minor"/>
      </rPr>
      <t xml:space="preserve"> - Virginia
</t>
    </r>
    <r>
      <rPr>
        <b/>
        <sz val="10"/>
        <color theme="1"/>
        <rFont val="Calibri"/>
        <family val="2"/>
        <scheme val="minor"/>
      </rPr>
      <t>VI</t>
    </r>
    <r>
      <rPr>
        <sz val="10"/>
        <color theme="1"/>
        <rFont val="Calibri"/>
        <family val="2"/>
        <scheme val="minor"/>
      </rPr>
      <t xml:space="preserve"> - Virgin Islands
</t>
    </r>
    <r>
      <rPr>
        <b/>
        <sz val="10"/>
        <color theme="1"/>
        <rFont val="Calibri"/>
        <family val="2"/>
        <scheme val="minor"/>
      </rPr>
      <t>VT</t>
    </r>
    <r>
      <rPr>
        <sz val="10"/>
        <color theme="1"/>
        <rFont val="Calibri"/>
        <family val="2"/>
        <scheme val="minor"/>
      </rPr>
      <t xml:space="preserve"> - Vermont
</t>
    </r>
    <r>
      <rPr>
        <b/>
        <sz val="10"/>
        <color theme="1"/>
        <rFont val="Calibri"/>
        <family val="2"/>
        <scheme val="minor"/>
      </rPr>
      <t>WA</t>
    </r>
    <r>
      <rPr>
        <sz val="10"/>
        <color theme="1"/>
        <rFont val="Calibri"/>
        <family val="2"/>
        <scheme val="minor"/>
      </rPr>
      <t xml:space="preserve"> - Washington
</t>
    </r>
    <r>
      <rPr>
        <b/>
        <sz val="10"/>
        <color theme="1"/>
        <rFont val="Calibri"/>
        <family val="2"/>
        <scheme val="minor"/>
      </rPr>
      <t>WI</t>
    </r>
    <r>
      <rPr>
        <sz val="10"/>
        <color theme="1"/>
        <rFont val="Calibri"/>
        <family val="2"/>
        <scheme val="minor"/>
      </rPr>
      <t xml:space="preserve"> - Wisconsin
</t>
    </r>
    <r>
      <rPr>
        <b/>
        <sz val="10"/>
        <color theme="1"/>
        <rFont val="Calibri"/>
        <family val="2"/>
        <scheme val="minor"/>
      </rPr>
      <t>WV</t>
    </r>
    <r>
      <rPr>
        <sz val="10"/>
        <color theme="1"/>
        <rFont val="Calibri"/>
        <family val="2"/>
        <scheme val="minor"/>
      </rPr>
      <t xml:space="preserve"> - West Virginia
</t>
    </r>
    <r>
      <rPr>
        <b/>
        <sz val="10"/>
        <color theme="1"/>
        <rFont val="Calibri"/>
        <family val="2"/>
        <scheme val="minor"/>
      </rPr>
      <t>WY</t>
    </r>
    <r>
      <rPr>
        <sz val="10"/>
        <color theme="1"/>
        <rFont val="Calibri"/>
        <family val="2"/>
        <scheme val="minor"/>
      </rPr>
      <t xml:space="preserve"> - Wyoming
</t>
    </r>
    <r>
      <rPr>
        <b/>
        <sz val="10"/>
        <color theme="1"/>
        <rFont val="Calibri"/>
        <family val="2"/>
        <scheme val="minor"/>
      </rPr>
      <t>AA</t>
    </r>
    <r>
      <rPr>
        <sz val="10"/>
        <color theme="1"/>
        <rFont val="Calibri"/>
        <family val="2"/>
        <scheme val="minor"/>
      </rPr>
      <t xml:space="preserve"> - Armed Forces America
</t>
    </r>
    <r>
      <rPr>
        <b/>
        <sz val="10"/>
        <color theme="1"/>
        <rFont val="Calibri"/>
        <family val="2"/>
        <scheme val="minor"/>
      </rPr>
      <t>AE</t>
    </r>
    <r>
      <rPr>
        <sz val="10"/>
        <color theme="1"/>
        <rFont val="Calibri"/>
        <family val="2"/>
        <scheme val="minor"/>
      </rPr>
      <t xml:space="preserve"> - Armed Forces Africa, Canada, Europe, and Mideast
</t>
    </r>
    <r>
      <rPr>
        <b/>
        <sz val="10"/>
        <color theme="1"/>
        <rFont val="Calibri"/>
        <family val="2"/>
        <scheme val="minor"/>
      </rPr>
      <t>AP</t>
    </r>
    <r>
      <rPr>
        <sz val="10"/>
        <color theme="1"/>
        <rFont val="Calibri"/>
        <family val="2"/>
        <scheme val="minor"/>
      </rPr>
      <t xml:space="preserve"> - Armed Forces Pacific
</t>
    </r>
  </si>
  <si>
    <t>000435</t>
  </si>
  <si>
    <t>QualifyingMoveFromState</t>
  </si>
  <si>
    <t>Quality Initiative Maximum Score</t>
  </si>
  <si>
    <t>The maximum score option for the QRIS or other quality initiative.</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</si>
  <si>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</si>
  <si>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</si>
  <si>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</si>
  <si>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</si>
  <si>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</si>
  <si>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</si>
  <si>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</si>
  <si>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</si>
  <si>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</si>
  <si>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</si>
  <si>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</si>
  <si>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</si>
  <si>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</si>
  <si>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</si>
  <si>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</si>
  <si>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</si>
  <si>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</si>
  <si>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</si>
  <si>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</si>
  <si>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</si>
  <si>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</si>
  <si>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</si>
  <si>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</si>
  <si>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</si>
  <si>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</si>
  <si>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</si>
  <si>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</si>
  <si>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</si>
  <si>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</si>
  <si>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</si>
  <si>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</si>
  <si>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</si>
  <si>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</si>
  <si>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</si>
  <si>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r>
      <t>Yes</t>
    </r>
    <r>
      <rPr>
        <sz val="10"/>
        <color theme="1"/>
        <rFont val="Calibri"/>
        <family val="2"/>
        <scheme val="minor"/>
      </rPr>
      <t xml:space="preserve"> - Yes
</t>
    </r>
    <r>
      <rPr>
        <b/>
        <sz val="10"/>
        <color theme="1"/>
        <rFont val="Calibri"/>
        <family val="2"/>
        <scheme val="minor"/>
      </rPr>
      <t>No</t>
    </r>
    <r>
      <rPr>
        <sz val="10"/>
        <color theme="1"/>
        <rFont val="Calibri"/>
        <family val="2"/>
        <scheme val="minor"/>
      </rPr>
      <t xml:space="preserve"> - No
</t>
    </r>
    <r>
      <rPr>
        <b/>
        <sz val="10"/>
        <color theme="1"/>
        <rFont val="Calibri"/>
        <family val="2"/>
        <scheme val="minor"/>
      </rPr>
      <t>NotEligible</t>
    </r>
    <r>
      <rPr>
        <sz val="10"/>
        <color theme="1"/>
        <rFont val="Calibri"/>
        <family val="2"/>
        <scheme val="minor"/>
      </rPr>
      <t xml:space="preserve"> - Not Eligible
</t>
    </r>
    <r>
      <rPr>
        <b/>
        <sz val="10"/>
        <color theme="1"/>
        <rFont val="Calibri"/>
        <family val="2"/>
        <scheme val="minor"/>
      </rPr>
      <t>NoOperatingQRIS</t>
    </r>
    <r>
      <rPr>
        <sz val="10"/>
        <color theme="1"/>
        <rFont val="Calibri"/>
        <family val="2"/>
        <scheme val="minor"/>
      </rPr>
      <t xml:space="preserve"> - No Operating QRIS
</t>
    </r>
    <r>
      <rPr>
        <b/>
        <sz val="10"/>
        <color theme="1"/>
        <rFont val="Calibri"/>
        <family val="2"/>
        <scheme val="minor"/>
      </rPr>
      <t>InformationUnavailable</t>
    </r>
    <r>
      <rPr>
        <sz val="10"/>
        <color theme="1"/>
        <rFont val="Calibri"/>
        <family val="2"/>
        <scheme val="minor"/>
      </rPr>
      <t xml:space="preserve"> - Information Unavailable
</t>
    </r>
  </si>
  <si>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</si>
  <si>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</si>
  <si>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</si>
  <si>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</si>
  <si>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</si>
  <si>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</si>
  <si>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</si>
  <si>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</si>
  <si>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</si>
  <si>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</si>
  <si>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</si>
  <si>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</si>
  <si>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</si>
  <si>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</si>
  <si>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</si>
  <si>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</si>
  <si>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Early Learning -&gt; EL Child -&gt; Services
K12 -&gt; K12 Student -&gt; Individualized Program -&gt; Services</t>
  </si>
  <si>
    <t>001488</t>
  </si>
  <si>
    <t>ReasonForDeclinedServices</t>
  </si>
  <si>
    <t>Reason for Delay of Transition Conference</t>
  </si>
  <si>
    <t>The reasons for the delay of a transition conference.</t>
  </si>
  <si>
    <r>
      <t>Family</t>
    </r>
    <r>
      <rPr>
        <sz val="10"/>
        <color theme="1"/>
        <rFont val="Calibri"/>
        <family val="2"/>
        <scheme val="minor"/>
      </rPr>
      <t xml:space="preserve"> - Family
</t>
    </r>
    <r>
      <rPr>
        <b/>
        <sz val="10"/>
        <color theme="1"/>
        <rFont val="Calibri"/>
        <family val="2"/>
        <scheme val="minor"/>
      </rPr>
      <t>Program</t>
    </r>
    <r>
      <rPr>
        <sz val="10"/>
        <color theme="1"/>
        <rFont val="Calibri"/>
        <family val="2"/>
        <scheme val="minor"/>
      </rPr>
      <t xml:space="preserve"> - Program
</t>
    </r>
    <r>
      <rPr>
        <b/>
        <sz val="10"/>
        <color theme="1"/>
        <rFont val="Calibri"/>
        <family val="2"/>
        <scheme val="minor"/>
      </rPr>
      <t>BeyondProgramControl</t>
    </r>
    <r>
      <rPr>
        <sz val="10"/>
        <color theme="1"/>
        <rFont val="Calibri"/>
        <family val="2"/>
        <scheme val="minor"/>
      </rPr>
      <t xml:space="preserve"> - Other beyond the control of the program
</t>
    </r>
    <r>
      <rPr>
        <b/>
        <sz val="10"/>
        <color theme="1"/>
        <rFont val="Calibri"/>
        <family val="2"/>
        <scheme val="minor"/>
      </rPr>
      <t>Promotion</t>
    </r>
    <r>
      <rPr>
        <sz val="10"/>
        <color theme="1"/>
        <rFont val="Calibri"/>
        <family val="2"/>
        <scheme val="minor"/>
      </rPr>
      <t xml:space="preserve"> - Promotion or advancement
</t>
    </r>
  </si>
  <si>
    <t>001521</t>
  </si>
  <si>
    <t>ReasonForDelayOfTransitionConference</t>
  </si>
  <si>
    <t>Reason Not Tested</t>
  </si>
  <si>
    <t>The primary reason a student is not tested.</t>
  </si>
  <si>
    <r>
      <t>03451</t>
    </r>
    <r>
      <rPr>
        <sz val="10"/>
        <color theme="1"/>
        <rFont val="Calibri"/>
        <family val="2"/>
        <scheme val="minor"/>
      </rPr>
      <t xml:space="preserve"> - Absent
</t>
    </r>
    <r>
      <rPr>
        <b/>
        <sz val="10"/>
        <color theme="1"/>
        <rFont val="Calibri"/>
        <family val="2"/>
        <scheme val="minor"/>
      </rPr>
      <t>03455</t>
    </r>
    <r>
      <rPr>
        <sz val="10"/>
        <color theme="1"/>
        <rFont val="Calibri"/>
        <family val="2"/>
        <scheme val="minor"/>
      </rPr>
      <t xml:space="preserve"> - Disruptive behavior
</t>
    </r>
    <r>
      <rPr>
        <b/>
        <sz val="10"/>
        <color theme="1"/>
        <rFont val="Calibri"/>
        <family val="2"/>
        <scheme val="minor"/>
      </rPr>
      <t>03454</t>
    </r>
    <r>
      <rPr>
        <sz val="10"/>
        <color theme="1"/>
        <rFont val="Calibri"/>
        <family val="2"/>
        <scheme val="minor"/>
      </rPr>
      <t xml:space="preserve"> - Medical waiver
</t>
    </r>
    <r>
      <rPr>
        <b/>
        <sz val="10"/>
        <color theme="1"/>
        <rFont val="Calibri"/>
        <family val="2"/>
        <scheme val="minor"/>
      </rPr>
      <t>03456</t>
    </r>
    <r>
      <rPr>
        <sz val="10"/>
        <color theme="1"/>
        <rFont val="Calibri"/>
        <family val="2"/>
        <scheme val="minor"/>
      </rPr>
      <t xml:space="preserve"> - Previously passed the examination
</t>
    </r>
    <r>
      <rPr>
        <b/>
        <sz val="10"/>
        <color theme="1"/>
        <rFont val="Calibri"/>
        <family val="2"/>
        <scheme val="minor"/>
      </rPr>
      <t>03452</t>
    </r>
    <r>
      <rPr>
        <sz val="10"/>
        <color theme="1"/>
        <rFont val="Calibri"/>
        <family val="2"/>
        <scheme val="minor"/>
      </rPr>
      <t xml:space="preserve"> - Refusal by parent
</t>
    </r>
    <r>
      <rPr>
        <b/>
        <sz val="10"/>
        <color theme="1"/>
        <rFont val="Calibri"/>
        <family val="2"/>
        <scheme val="minor"/>
      </rPr>
      <t>03453</t>
    </r>
    <r>
      <rPr>
        <sz val="10"/>
        <color theme="1"/>
        <rFont val="Calibri"/>
        <family val="2"/>
        <scheme val="minor"/>
      </rPr>
      <t xml:space="preserve"> - Refusal by student
</t>
    </r>
    <r>
      <rPr>
        <b/>
        <sz val="10"/>
        <color theme="1"/>
        <rFont val="Calibri"/>
        <family val="2"/>
        <scheme val="minor"/>
      </rPr>
      <t>09999</t>
    </r>
    <r>
      <rPr>
        <sz val="10"/>
        <color theme="1"/>
        <rFont val="Calibri"/>
        <family val="2"/>
        <scheme val="minor"/>
      </rPr>
      <t xml:space="preserve"> - Other
</t>
    </r>
  </si>
  <si>
    <t>000228</t>
  </si>
  <si>
    <t>ReasonNotTested</t>
  </si>
  <si>
    <t>Receiving Location of Instruction</t>
  </si>
  <si>
    <t>The type of location at which instruction or service takes place.</t>
  </si>
  <si>
    <r>
      <t>00997</t>
    </r>
    <r>
      <rPr>
        <sz val="10"/>
        <color theme="1"/>
        <rFont val="Calibri"/>
        <family val="2"/>
        <scheme val="minor"/>
      </rPr>
      <t xml:space="preserve"> - Business
</t>
    </r>
    <r>
      <rPr>
        <b/>
        <sz val="10"/>
        <color theme="1"/>
        <rFont val="Calibri"/>
        <family val="2"/>
        <scheme val="minor"/>
      </rPr>
      <t>00752</t>
    </r>
    <r>
      <rPr>
        <sz val="10"/>
        <color theme="1"/>
        <rFont val="Calibri"/>
        <family val="2"/>
        <scheme val="minor"/>
      </rPr>
      <t xml:space="preserve"> - Community facility
</t>
    </r>
    <r>
      <rPr>
        <b/>
        <sz val="10"/>
        <color theme="1"/>
        <rFont val="Calibri"/>
        <family val="2"/>
        <scheme val="minor"/>
      </rPr>
      <t>00753</t>
    </r>
    <r>
      <rPr>
        <sz val="10"/>
        <color theme="1"/>
        <rFont val="Calibri"/>
        <family val="2"/>
        <scheme val="minor"/>
      </rPr>
      <t xml:space="preserve"> - Home of student
</t>
    </r>
    <r>
      <rPr>
        <b/>
        <sz val="10"/>
        <color theme="1"/>
        <rFont val="Calibri"/>
        <family val="2"/>
        <scheme val="minor"/>
      </rPr>
      <t>00754</t>
    </r>
    <r>
      <rPr>
        <sz val="10"/>
        <color theme="1"/>
        <rFont val="Calibri"/>
        <family val="2"/>
        <scheme val="minor"/>
      </rPr>
      <t xml:space="preserve"> - Hospital
</t>
    </r>
    <r>
      <rPr>
        <b/>
        <sz val="10"/>
        <color theme="1"/>
        <rFont val="Calibri"/>
        <family val="2"/>
        <scheme val="minor"/>
      </rPr>
      <t>03018</t>
    </r>
    <r>
      <rPr>
        <sz val="10"/>
        <color theme="1"/>
        <rFont val="Calibri"/>
        <family val="2"/>
        <scheme val="minor"/>
      </rPr>
      <t xml:space="preserve"> - Library/media center
</t>
    </r>
    <r>
      <rPr>
        <b/>
        <sz val="10"/>
        <color theme="1"/>
        <rFont val="Calibri"/>
        <family val="2"/>
        <scheme val="minor"/>
      </rPr>
      <t>03506</t>
    </r>
    <r>
      <rPr>
        <sz val="10"/>
        <color theme="1"/>
        <rFont val="Calibri"/>
        <family val="2"/>
        <scheme val="minor"/>
      </rPr>
      <t xml:space="preserve"> - Mobile
</t>
    </r>
    <r>
      <rPr>
        <b/>
        <sz val="10"/>
        <color theme="1"/>
        <rFont val="Calibri"/>
        <family val="2"/>
        <scheme val="minor"/>
      </rPr>
      <t>09999</t>
    </r>
    <r>
      <rPr>
        <sz val="10"/>
        <color theme="1"/>
        <rFont val="Calibri"/>
        <family val="2"/>
        <scheme val="minor"/>
      </rPr>
      <t xml:space="preserve"> - Other
</t>
    </r>
    <r>
      <rPr>
        <b/>
        <sz val="10"/>
        <color theme="1"/>
        <rFont val="Calibri"/>
        <family val="2"/>
        <scheme val="minor"/>
      </rPr>
      <t>00341</t>
    </r>
    <r>
      <rPr>
        <sz val="10"/>
        <color theme="1"/>
        <rFont val="Calibri"/>
        <family val="2"/>
        <scheme val="minor"/>
      </rPr>
      <t xml:space="preserve"> - Other K-12 educational institution
</t>
    </r>
    <r>
      <rPr>
        <b/>
        <sz val="10"/>
        <color theme="1"/>
        <rFont val="Calibri"/>
        <family val="2"/>
        <scheme val="minor"/>
      </rPr>
      <t>00342</t>
    </r>
    <r>
      <rPr>
        <sz val="10"/>
        <color theme="1"/>
        <rFont val="Calibri"/>
        <family val="2"/>
        <scheme val="minor"/>
      </rPr>
      <t xml:space="preserve"> - Postsecondary facility
</t>
    </r>
    <r>
      <rPr>
        <b/>
        <sz val="10"/>
        <color theme="1"/>
        <rFont val="Calibri"/>
        <family val="2"/>
        <scheme val="minor"/>
      </rPr>
      <t>00675</t>
    </r>
    <r>
      <rPr>
        <sz val="10"/>
        <color theme="1"/>
        <rFont val="Calibri"/>
        <family val="2"/>
        <scheme val="minor"/>
      </rPr>
      <t xml:space="preserve"> - School
</t>
    </r>
  </si>
  <si>
    <t>Adult Education -&gt; Course Section
Career and Technical -&gt; Course Section
K12 -&gt; Course Section
Postsecondary -&gt; PS Student -&gt; Graduate Student -&gt; Thesis/Dissertation Advisor</t>
  </si>
  <si>
    <t>000524</t>
  </si>
  <si>
    <t>ReceivingLocationOfInstruction</t>
  </si>
  <si>
    <t>Recognition for Participation or Performance in an Activity</t>
  </si>
  <si>
    <t>The nature of recognition given to the student for accomplishments in a co-curricular, or extra-curricular activity.</t>
  </si>
  <si>
    <r>
      <t>00737</t>
    </r>
    <r>
      <rPr>
        <sz val="10"/>
        <color theme="1"/>
        <rFont val="Calibri"/>
        <family val="2"/>
        <scheme val="minor"/>
      </rPr>
      <t xml:space="preserve"> - Athletic awards
</t>
    </r>
    <r>
      <rPr>
        <b/>
        <sz val="10"/>
        <color theme="1"/>
        <rFont val="Calibri"/>
        <family val="2"/>
        <scheme val="minor"/>
      </rPr>
      <t>00738</t>
    </r>
    <r>
      <rPr>
        <sz val="10"/>
        <color theme="1"/>
        <rFont val="Calibri"/>
        <family val="2"/>
        <scheme val="minor"/>
      </rPr>
      <t xml:space="preserve"> - Awarding of units of value
</t>
    </r>
    <r>
      <rPr>
        <b/>
        <sz val="10"/>
        <color theme="1"/>
        <rFont val="Calibri"/>
        <family val="2"/>
        <scheme val="minor"/>
      </rPr>
      <t>00740</t>
    </r>
    <r>
      <rPr>
        <sz val="10"/>
        <color theme="1"/>
        <rFont val="Calibri"/>
        <family val="2"/>
        <scheme val="minor"/>
      </rPr>
      <t xml:space="preserve"> - Citizenship award/recognition
</t>
    </r>
    <r>
      <rPr>
        <b/>
        <sz val="10"/>
        <color theme="1"/>
        <rFont val="Calibri"/>
        <family val="2"/>
        <scheme val="minor"/>
      </rPr>
      <t>00741</t>
    </r>
    <r>
      <rPr>
        <sz val="10"/>
        <color theme="1"/>
        <rFont val="Calibri"/>
        <family val="2"/>
        <scheme val="minor"/>
      </rPr>
      <t xml:space="preserve"> - Completion of requirement, but no units of value awarded
</t>
    </r>
    <r>
      <rPr>
        <b/>
        <sz val="10"/>
        <color theme="1"/>
        <rFont val="Calibri"/>
        <family val="2"/>
        <scheme val="minor"/>
      </rPr>
      <t>00742</t>
    </r>
    <r>
      <rPr>
        <sz val="10"/>
        <color theme="1"/>
        <rFont val="Calibri"/>
        <family val="2"/>
        <scheme val="minor"/>
      </rPr>
      <t xml:space="preserve"> - Certificate
</t>
    </r>
    <r>
      <rPr>
        <b/>
        <sz val="10"/>
        <color theme="1"/>
        <rFont val="Calibri"/>
        <family val="2"/>
        <scheme val="minor"/>
      </rPr>
      <t>00743</t>
    </r>
    <r>
      <rPr>
        <sz val="10"/>
        <color theme="1"/>
        <rFont val="Calibri"/>
        <family val="2"/>
        <scheme val="minor"/>
      </rPr>
      <t xml:space="preserve"> - Honor award
</t>
    </r>
    <r>
      <rPr>
        <b/>
        <sz val="10"/>
        <color theme="1"/>
        <rFont val="Calibri"/>
        <family val="2"/>
        <scheme val="minor"/>
      </rPr>
      <t>02048</t>
    </r>
    <r>
      <rPr>
        <sz val="10"/>
        <color theme="1"/>
        <rFont val="Calibri"/>
        <family val="2"/>
        <scheme val="minor"/>
      </rPr>
      <t xml:space="preserve"> - Letter of commendation
</t>
    </r>
    <r>
      <rPr>
        <b/>
        <sz val="10"/>
        <color theme="1"/>
        <rFont val="Calibri"/>
        <family val="2"/>
        <scheme val="minor"/>
      </rPr>
      <t>00745</t>
    </r>
    <r>
      <rPr>
        <sz val="10"/>
        <color theme="1"/>
        <rFont val="Calibri"/>
        <family val="2"/>
        <scheme val="minor"/>
      </rPr>
      <t xml:space="preserve"> - Medals
</t>
    </r>
    <r>
      <rPr>
        <b/>
        <sz val="10"/>
        <color theme="1"/>
        <rFont val="Calibri"/>
        <family val="2"/>
        <scheme val="minor"/>
      </rPr>
      <t>00746</t>
    </r>
    <r>
      <rPr>
        <sz val="10"/>
        <color theme="1"/>
        <rFont val="Calibri"/>
        <family val="2"/>
        <scheme val="minor"/>
      </rPr>
      <t xml:space="preserve"> - Monogram/letter
</t>
    </r>
    <r>
      <rPr>
        <b/>
        <sz val="10"/>
        <color theme="1"/>
        <rFont val="Calibri"/>
        <family val="2"/>
        <scheme val="minor"/>
      </rPr>
      <t>00747</t>
    </r>
    <r>
      <rPr>
        <sz val="10"/>
        <color theme="1"/>
        <rFont val="Calibri"/>
        <family val="2"/>
        <scheme val="minor"/>
      </rPr>
      <t xml:space="preserve"> - Points
</t>
    </r>
    <r>
      <rPr>
        <b/>
        <sz val="10"/>
        <color theme="1"/>
        <rFont val="Calibri"/>
        <family val="2"/>
        <scheme val="minor"/>
      </rPr>
      <t>00748</t>
    </r>
    <r>
      <rPr>
        <sz val="10"/>
        <color theme="1"/>
        <rFont val="Calibri"/>
        <family val="2"/>
        <scheme val="minor"/>
      </rPr>
      <t xml:space="preserve"> - Promotion or advancement
</t>
    </r>
    <r>
      <rPr>
        <b/>
        <sz val="10"/>
        <color theme="1"/>
        <rFont val="Calibri"/>
        <family val="2"/>
        <scheme val="minor"/>
      </rPr>
      <t>09999</t>
    </r>
    <r>
      <rPr>
        <sz val="10"/>
        <color theme="1"/>
        <rFont val="Calibri"/>
        <family val="2"/>
        <scheme val="minor"/>
      </rPr>
      <t xml:space="preserve"> - Other
</t>
    </r>
  </si>
  <si>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</si>
  <si>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</si>
  <si>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</si>
  <si>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</si>
  <si>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r>
      <t>Yes</t>
    </r>
    <r>
      <rPr>
        <sz val="10"/>
        <color theme="1"/>
        <rFont val="Calibri"/>
        <family val="2"/>
        <scheme val="minor"/>
      </rPr>
      <t xml:space="preserve"> - Reconstituted school
</t>
    </r>
    <r>
      <rPr>
        <b/>
        <sz val="10"/>
        <color theme="1"/>
        <rFont val="Calibri"/>
        <family val="2"/>
        <scheme val="minor"/>
      </rPr>
      <t>No</t>
    </r>
    <r>
      <rPr>
        <sz val="10"/>
        <color theme="1"/>
        <rFont val="Calibri"/>
        <family val="2"/>
        <scheme val="minor"/>
      </rPr>
      <t xml:space="preserve"> - Not a reconstituted school
</t>
    </r>
  </si>
  <si>
    <t>000230</t>
  </si>
  <si>
    <t>ReconstitutedStatus</t>
  </si>
  <si>
    <t>Record End Date Time</t>
  </si>
  <si>
    <t>The end date and, optionally, time that a record is active as used to support version control.</t>
  </si>
  <si>
    <t>See CEDS Integrated Data Store for use in version control. All CEDS Exit and End Dates represent the last day of the date range specified.</t>
  </si>
  <si>
    <t>001918</t>
  </si>
  <si>
    <t>RecordEndDateTime</t>
  </si>
  <si>
    <t>Record Start Date Time</t>
  </si>
  <si>
    <t>The start date and, optionally, time that a record is active as used to support version control.</t>
  </si>
  <si>
    <t>See CEDS Integrated Data Store for use in version control.</t>
  </si>
  <si>
    <t>001917</t>
  </si>
  <si>
    <t>RecordStartDateTime</t>
  </si>
  <si>
    <t>Referral Date</t>
  </si>
  <si>
    <t>The date of referral.</t>
  </si>
  <si>
    <t>Early Learning -&gt; EL Child -&gt; Referral
K12 -&gt; K12 Student -&gt; Individualized Program -&gt; Eligibility -&gt; Referral
K12 -&gt; K12 Student -&gt; Referral</t>
  </si>
  <si>
    <t>001481</t>
  </si>
  <si>
    <t>ReferralDate</t>
  </si>
  <si>
    <t>Referral Outcome</t>
  </si>
  <si>
    <t>The outcome of the referral.</t>
  </si>
  <si>
    <r>
      <t>WaitingList</t>
    </r>
    <r>
      <rPr>
        <sz val="10"/>
        <color theme="1"/>
        <rFont val="Calibri"/>
        <family val="2"/>
        <scheme val="minor"/>
      </rPr>
      <t xml:space="preserve"> - Waiting list
</t>
    </r>
    <r>
      <rPr>
        <b/>
        <sz val="10"/>
        <color theme="1"/>
        <rFont val="Calibri"/>
        <family val="2"/>
        <scheme val="minor"/>
      </rPr>
      <t>ParentDeclined</t>
    </r>
    <r>
      <rPr>
        <sz val="10"/>
        <color theme="1"/>
        <rFont val="Calibri"/>
        <family val="2"/>
        <scheme val="minor"/>
      </rPr>
      <t xml:space="preserve"> - Parent declined service
</t>
    </r>
    <r>
      <rPr>
        <b/>
        <sz val="10"/>
        <color theme="1"/>
        <rFont val="Calibri"/>
        <family val="2"/>
        <scheme val="minor"/>
      </rPr>
      <t>Enrolled</t>
    </r>
    <r>
      <rPr>
        <sz val="10"/>
        <color theme="1"/>
        <rFont val="Calibri"/>
        <family val="2"/>
        <scheme val="minor"/>
      </rPr>
      <t xml:space="preserve"> - Enrolled
</t>
    </r>
    <r>
      <rPr>
        <b/>
        <sz val="10"/>
        <color theme="1"/>
        <rFont val="Calibri"/>
        <family val="2"/>
        <scheme val="minor"/>
      </rPr>
      <t>Unreachable</t>
    </r>
    <r>
      <rPr>
        <sz val="10"/>
        <color theme="1"/>
        <rFont val="Calibri"/>
        <family val="2"/>
        <scheme val="minor"/>
      </rPr>
      <t xml:space="preserve"> - Unable to contact parent/family/guardian
</t>
    </r>
    <r>
      <rPr>
        <b/>
        <sz val="10"/>
        <color theme="1"/>
        <rFont val="Calibri"/>
        <family val="2"/>
        <scheme val="minor"/>
      </rPr>
      <t>NotEligible</t>
    </r>
    <r>
      <rPr>
        <sz val="10"/>
        <color theme="1"/>
        <rFont val="Calibri"/>
        <family val="2"/>
        <scheme val="minor"/>
      </rPr>
      <t xml:space="preserve"> - Not eligible
</t>
    </r>
    <r>
      <rPr>
        <b/>
        <sz val="10"/>
        <color theme="1"/>
        <rFont val="Calibri"/>
        <family val="2"/>
        <scheme val="minor"/>
      </rPr>
      <t>Other</t>
    </r>
    <r>
      <rPr>
        <sz val="10"/>
        <color theme="1"/>
        <rFont val="Calibri"/>
        <family val="2"/>
        <scheme val="minor"/>
      </rPr>
      <t xml:space="preserve"> - Other
</t>
    </r>
  </si>
  <si>
    <t>Early Learning -&gt; EL Child -&gt;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</si>
  <si>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</si>
  <si>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</si>
  <si>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</si>
  <si>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</si>
  <si>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</si>
  <si>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</si>
  <si>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</si>
  <si>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</si>
  <si>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</si>
  <si>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</si>
  <si>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</si>
  <si>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The person, program, or organization making the initial referral.</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</si>
  <si>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</si>
  <si>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</si>
  <si>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</si>
  <si>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</si>
  <si>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</si>
  <si>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</si>
  <si>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</si>
  <si>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</si>
  <si>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</si>
  <si>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</si>
  <si>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</si>
  <si>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</si>
  <si>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r>
      <t>FeeForService</t>
    </r>
    <r>
      <rPr>
        <sz val="10"/>
        <color theme="1"/>
        <rFont val="Calibri"/>
        <family val="2"/>
        <scheme val="minor"/>
      </rPr>
      <t xml:space="preserve"> - Fee for Service
</t>
    </r>
    <r>
      <rPr>
        <b/>
        <sz val="10"/>
        <color theme="1"/>
        <rFont val="Calibri"/>
        <family val="2"/>
        <scheme val="minor"/>
      </rPr>
      <t>CapitatedRate</t>
    </r>
    <r>
      <rPr>
        <sz val="10"/>
        <color theme="1"/>
        <rFont val="Calibri"/>
        <family val="2"/>
        <scheme val="minor"/>
      </rPr>
      <t xml:space="preserve"> - Capitated Rate
</t>
    </r>
    <r>
      <rPr>
        <b/>
        <sz val="10"/>
        <color theme="1"/>
        <rFont val="Calibri"/>
        <family val="2"/>
        <scheme val="minor"/>
      </rPr>
      <t>GrantContract</t>
    </r>
    <r>
      <rPr>
        <sz val="10"/>
        <color theme="1"/>
        <rFont val="Calibri"/>
        <family val="2"/>
        <scheme val="minor"/>
      </rPr>
      <t xml:space="preserve"> - Grant/contract
</t>
    </r>
    <r>
      <rPr>
        <b/>
        <sz val="10"/>
        <color theme="1"/>
        <rFont val="Calibri"/>
        <family val="2"/>
        <scheme val="minor"/>
      </rPr>
      <t>Subsidy</t>
    </r>
    <r>
      <rPr>
        <sz val="10"/>
        <color theme="1"/>
        <rFont val="Calibri"/>
        <family val="2"/>
        <scheme val="minor"/>
      </rPr>
      <t xml:space="preserve"> - Subsidy
</t>
    </r>
    <r>
      <rPr>
        <b/>
        <sz val="10"/>
        <color theme="1"/>
        <rFont val="Calibri"/>
        <family val="2"/>
        <scheme val="minor"/>
      </rPr>
      <t>Other</t>
    </r>
    <r>
      <rPr>
        <sz val="10"/>
        <color theme="1"/>
        <rFont val="Calibri"/>
        <family val="2"/>
        <scheme val="minor"/>
      </rPr>
      <t xml:space="preserve"> - Other
</t>
    </r>
  </si>
  <si>
    <t>001622</t>
  </si>
  <si>
    <t>ReimbursementType</t>
  </si>
  <si>
    <t>Related Competency Definitions</t>
  </si>
  <si>
    <t>An indication of the competency definition(s) addressed in the Course Section.</t>
  </si>
  <si>
    <t>000231</t>
  </si>
  <si>
    <t>Related Learning Standard Items, Related Competency Items</t>
  </si>
  <si>
    <t>RelatedCompetencyDefinitions</t>
  </si>
  <si>
    <t>Related to Zero Tolerance Policy</t>
  </si>
  <si>
    <t>An indication of whether or not any of the disciplinary actions taken against a student were imposed as a consequence of state or local zero tolerance policies.</t>
  </si>
  <si>
    <t>000512</t>
  </si>
  <si>
    <t>RelatedToZeroTolerancePolicy</t>
  </si>
  <si>
    <t>Report Date</t>
  </si>
  <si>
    <t>The month, day, and year on which a report was produced.</t>
  </si>
  <si>
    <t>001759</t>
  </si>
  <si>
    <t>ReportDate</t>
  </si>
  <si>
    <t>Reporter Identifier</t>
  </si>
  <si>
    <t>Identifies the reporter of the incident using a pre-existing unique student identifier or unique staff identifier, when the reporter is a student or staff member.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</si>
  <si>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</si>
  <si>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</si>
  <si>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</si>
  <si>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</si>
  <si>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</si>
  <si>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</si>
  <si>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</si>
  <si>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</si>
  <si>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</si>
  <si>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</si>
  <si>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</si>
  <si>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</si>
  <si>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</si>
  <si>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</si>
  <si>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</si>
  <si>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</si>
  <si>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</si>
  <si>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</si>
  <si>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</si>
  <si>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</si>
  <si>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r>
      <t>Accountability</t>
    </r>
    <r>
      <rPr>
        <sz val="10"/>
        <color theme="1"/>
        <rFont val="Calibri"/>
        <family val="2"/>
        <scheme val="minor"/>
      </rPr>
      <t xml:space="preserve"> - Accountability
</t>
    </r>
    <r>
      <rPr>
        <b/>
        <sz val="10"/>
        <color theme="1"/>
        <rFont val="Calibri"/>
        <family val="2"/>
        <scheme val="minor"/>
      </rPr>
      <t>Attendance</t>
    </r>
    <r>
      <rPr>
        <sz val="10"/>
        <color theme="1"/>
        <rFont val="Calibri"/>
        <family val="2"/>
        <scheme val="minor"/>
      </rPr>
      <t xml:space="preserve"> - Attendance
</t>
    </r>
    <r>
      <rPr>
        <b/>
        <sz val="10"/>
        <color theme="1"/>
        <rFont val="Calibri"/>
        <family val="2"/>
        <scheme val="minor"/>
      </rPr>
      <t>Funding</t>
    </r>
    <r>
      <rPr>
        <sz val="10"/>
        <color theme="1"/>
        <rFont val="Calibri"/>
        <family val="2"/>
        <scheme val="minor"/>
      </rPr>
      <t xml:space="preserve"> - Funding
</t>
    </r>
    <r>
      <rPr>
        <b/>
        <sz val="10"/>
        <color theme="1"/>
        <rFont val="Calibri"/>
        <family val="2"/>
        <scheme val="minor"/>
      </rPr>
      <t>Graduation</t>
    </r>
    <r>
      <rPr>
        <sz val="10"/>
        <color theme="1"/>
        <rFont val="Calibri"/>
        <family val="2"/>
        <scheme val="minor"/>
      </rPr>
      <t xml:space="preserve"> - Graduation
</t>
    </r>
    <r>
      <rPr>
        <b/>
        <sz val="10"/>
        <color theme="1"/>
        <rFont val="Calibri"/>
        <family val="2"/>
        <scheme val="minor"/>
      </rPr>
      <t>IndividualizedEducationProgram</t>
    </r>
    <r>
      <rPr>
        <sz val="10"/>
        <color theme="1"/>
        <rFont val="Calibri"/>
        <family val="2"/>
        <scheme val="minor"/>
      </rPr>
      <t xml:space="preserve"> - Individualized education program (IEP)
</t>
    </r>
    <r>
      <rPr>
        <b/>
        <sz val="10"/>
        <color theme="1"/>
        <rFont val="Calibri"/>
        <family val="2"/>
        <scheme val="minor"/>
      </rPr>
      <t>Transportation</t>
    </r>
    <r>
      <rPr>
        <sz val="10"/>
        <color theme="1"/>
        <rFont val="Calibri"/>
        <family val="2"/>
        <scheme val="minor"/>
      </rPr>
      <t xml:space="preserve"> - Transportation
</t>
    </r>
  </si>
  <si>
    <t>000594</t>
  </si>
  <si>
    <t>ResponsibleDistrictType</t>
  </si>
  <si>
    <t>Responsible Organization Identifier</t>
  </si>
  <si>
    <t>Identifies an organization responsible for specific educational services and/or instruction based on a type of responsibility specified in the Responsible Organization Type.</t>
  </si>
  <si>
    <t>Early Learning -&gt; EL Child -&gt; Enrollment
Early Learning -&gt; EL Child -&gt; Program
K12 -&gt; K12 Student -&gt; Enrollment</t>
  </si>
  <si>
    <t>This may be used to specify responsibility when the organization is not a school (Responsible School) or school district (Responsible District).</t>
  </si>
  <si>
    <t>001466</t>
  </si>
  <si>
    <t>ResponsibleOrganizationIdentifier</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</si>
  <si>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</si>
  <si>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</si>
  <si>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</si>
  <si>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</si>
  <si>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</si>
  <si>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</si>
  <si>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</si>
  <si>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</si>
  <si>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</si>
  <si>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</si>
  <si>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</si>
  <si>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</si>
  <si>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</si>
  <si>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The types of actions being implemented in Title I schools as a result of the school being in an improvement status of restructuring – year 2 (implementation year).</t>
  </si>
  <si>
    <r>
      <t>RA1</t>
    </r>
    <r>
      <rPr>
        <sz val="10"/>
        <color theme="1"/>
        <rFont val="Calibri"/>
        <family val="2"/>
        <scheme val="minor"/>
      </rPr>
      <t xml:space="preserve"> - Replacement of all or most of the school staff (which may include the principal)
</t>
    </r>
    <r>
      <rPr>
        <b/>
        <sz val="10"/>
        <color theme="1"/>
        <rFont val="Calibri"/>
        <family val="2"/>
        <scheme val="minor"/>
      </rPr>
      <t>RA2</t>
    </r>
    <r>
      <rPr>
        <sz val="10"/>
        <color theme="1"/>
        <rFont val="Calibri"/>
        <family val="2"/>
        <scheme val="minor"/>
      </rPr>
      <t xml:space="preserve"> - Reopening the school as a public charter school
</t>
    </r>
    <r>
      <rPr>
        <b/>
        <sz val="10"/>
        <color theme="1"/>
        <rFont val="Calibri"/>
        <family val="2"/>
        <scheme val="minor"/>
      </rPr>
      <t>RA3</t>
    </r>
    <r>
      <rPr>
        <sz val="10"/>
        <color theme="1"/>
        <rFont val="Calibri"/>
        <family val="2"/>
        <scheme val="minor"/>
      </rPr>
      <t xml:space="preserve"> - Entering into a contract with a private entity to operate the school
</t>
    </r>
    <r>
      <rPr>
        <b/>
        <sz val="10"/>
        <color theme="1"/>
        <rFont val="Calibri"/>
        <family val="2"/>
        <scheme val="minor"/>
      </rPr>
      <t>RA4</t>
    </r>
    <r>
      <rPr>
        <sz val="10"/>
        <color theme="1"/>
        <rFont val="Calibri"/>
        <family val="2"/>
        <scheme val="minor"/>
      </rPr>
      <t xml:space="preserve"> - Take of the school by the state
</t>
    </r>
    <r>
      <rPr>
        <b/>
        <sz val="10"/>
        <color theme="1"/>
        <rFont val="Calibri"/>
        <family val="2"/>
        <scheme val="minor"/>
      </rPr>
      <t>RA5</t>
    </r>
    <r>
      <rPr>
        <sz val="10"/>
        <color theme="1"/>
        <rFont val="Calibri"/>
        <family val="2"/>
        <scheme val="minor"/>
      </rPr>
      <t xml:space="preserve"> - Other major restructuring of the school governance
</t>
    </r>
  </si>
  <si>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</si>
  <si>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</si>
  <si>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</si>
  <si>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</si>
  <si>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</si>
  <si>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</si>
  <si>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</si>
  <si>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</si>
  <si>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Assessments -&gt; Assessment Item -&gt; Rubric
Assessments -&gt; Rubric</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</si>
  <si>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</si>
  <si>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</si>
  <si>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</si>
  <si>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</si>
  <si>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</si>
  <si>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</si>
  <si>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</si>
  <si>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Text describing one or more benchmarks that must be met to achieve a degree of achievement on a product, process, or performance task.</t>
  </si>
  <si>
    <t>001471</t>
  </si>
  <si>
    <t>RubricCriterionLevelDescription</t>
  </si>
  <si>
    <t>Rubric Criterion Level Feedback</t>
  </si>
  <si>
    <t>Pre-defined feedback text to be relayed to the person or organization being evaluated. This may include guidance and suggestions for improvement or development.</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</si>
  <si>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</si>
  <si>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</si>
  <si>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</si>
  <si>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</si>
  <si>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</si>
  <si>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</si>
  <si>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</si>
  <si>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</si>
  <si>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</si>
  <si>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</si>
  <si>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</si>
  <si>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</si>
  <si>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</si>
  <si>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</si>
  <si>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</si>
  <si>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</si>
  <si>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</si>
  <si>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</si>
  <si>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</si>
  <si>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</si>
  <si>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</si>
  <si>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</si>
  <si>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</si>
  <si>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</si>
  <si>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</si>
  <si>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</si>
  <si>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</si>
  <si>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</si>
  <si>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</si>
  <si>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</si>
  <si>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</si>
  <si>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</si>
  <si>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</si>
  <si>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</si>
  <si>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</si>
  <si>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</si>
  <si>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</si>
  <si>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</si>
  <si>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</si>
  <si>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</si>
  <si>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</si>
  <si>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</si>
  <si>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</si>
  <si>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</si>
  <si>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</si>
  <si>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</si>
  <si>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</si>
  <si>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</si>
  <si>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</si>
  <si>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</si>
  <si>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</si>
  <si>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</si>
  <si>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</si>
  <si>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</si>
  <si>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</si>
  <si>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</si>
  <si>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</si>
  <si>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</si>
  <si>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</si>
  <si>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</si>
  <si>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</si>
  <si>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The frequency of data collection for performance indicator under the Safe and Drug-Free Schools and Communities Act.</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</si>
  <si>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</si>
  <si>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</si>
  <si>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</si>
  <si>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</si>
  <si>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</si>
  <si>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</si>
  <si>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</si>
  <si>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</si>
  <si>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</si>
  <si>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</si>
  <si>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</si>
  <si>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Actual performance for the given indicator of student behavior under the Safe and Drug-Free Schools and Communities Act</t>
  </si>
  <si>
    <t>000476</t>
  </si>
  <si>
    <t>SafeAndDrugFreePerformance</t>
  </si>
  <si>
    <t>Safe and Drug Free Target</t>
  </si>
  <si>
    <t>The targeted performance for the given indicator of student behavior under the Safe and Drug-Free Schools and Communities Act.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</si>
  <si>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</si>
  <si>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</si>
  <si>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</si>
  <si>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</si>
  <si>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</si>
  <si>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</si>
  <si>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Salary for Teaching Assignment Only Indicator</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</si>
  <si>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</si>
  <si>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</si>
  <si>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</si>
  <si>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</si>
  <si>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</si>
  <si>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r>
      <t>Newborn</t>
    </r>
    <r>
      <rPr>
        <sz val="10"/>
        <color theme="1"/>
        <rFont val="Calibri"/>
        <family val="2"/>
        <scheme val="minor"/>
      </rPr>
      <t xml:space="preserve"> - Newborn well child visit
</t>
    </r>
    <r>
      <rPr>
        <b/>
        <sz val="10"/>
        <color theme="1"/>
        <rFont val="Calibri"/>
        <family val="2"/>
        <scheme val="minor"/>
      </rPr>
      <t>3To5Days</t>
    </r>
    <r>
      <rPr>
        <sz val="10"/>
        <color theme="1"/>
        <rFont val="Calibri"/>
        <family val="2"/>
        <scheme val="minor"/>
      </rPr>
      <t xml:space="preserve"> - 3 to 5 days well child visit
</t>
    </r>
    <r>
      <rPr>
        <b/>
        <sz val="10"/>
        <color theme="1"/>
        <rFont val="Calibri"/>
        <family val="2"/>
        <scheme val="minor"/>
      </rPr>
      <t>1Month</t>
    </r>
    <r>
      <rPr>
        <sz val="10"/>
        <color theme="1"/>
        <rFont val="Calibri"/>
        <family val="2"/>
        <scheme val="minor"/>
      </rPr>
      <t xml:space="preserve"> - 1 month well child visit
</t>
    </r>
    <r>
      <rPr>
        <b/>
        <sz val="10"/>
        <color theme="1"/>
        <rFont val="Calibri"/>
        <family val="2"/>
        <scheme val="minor"/>
      </rPr>
      <t>2Months</t>
    </r>
    <r>
      <rPr>
        <sz val="10"/>
        <color theme="1"/>
        <rFont val="Calibri"/>
        <family val="2"/>
        <scheme val="minor"/>
      </rPr>
      <t xml:space="preserve"> - 2 months well child visit
</t>
    </r>
    <r>
      <rPr>
        <b/>
        <sz val="10"/>
        <color theme="1"/>
        <rFont val="Calibri"/>
        <family val="2"/>
        <scheme val="minor"/>
      </rPr>
      <t>4Months</t>
    </r>
    <r>
      <rPr>
        <sz val="10"/>
        <color theme="1"/>
        <rFont val="Calibri"/>
        <family val="2"/>
        <scheme val="minor"/>
      </rPr>
      <t xml:space="preserve"> - 4 months well child visit
</t>
    </r>
    <r>
      <rPr>
        <b/>
        <sz val="10"/>
        <color theme="1"/>
        <rFont val="Calibri"/>
        <family val="2"/>
        <scheme val="minor"/>
      </rPr>
      <t>6Months</t>
    </r>
    <r>
      <rPr>
        <sz val="10"/>
        <color theme="1"/>
        <rFont val="Calibri"/>
        <family val="2"/>
        <scheme val="minor"/>
      </rPr>
      <t xml:space="preserve"> - 6 months well child visit
</t>
    </r>
    <r>
      <rPr>
        <b/>
        <sz val="10"/>
        <color theme="1"/>
        <rFont val="Calibri"/>
        <family val="2"/>
        <scheme val="minor"/>
      </rPr>
      <t>9Months</t>
    </r>
    <r>
      <rPr>
        <sz val="10"/>
        <color theme="1"/>
        <rFont val="Calibri"/>
        <family val="2"/>
        <scheme val="minor"/>
      </rPr>
      <t xml:space="preserve"> - 9 months well child visit
</t>
    </r>
    <r>
      <rPr>
        <b/>
        <sz val="10"/>
        <color theme="1"/>
        <rFont val="Calibri"/>
        <family val="2"/>
        <scheme val="minor"/>
      </rPr>
      <t>12Months</t>
    </r>
    <r>
      <rPr>
        <sz val="10"/>
        <color theme="1"/>
        <rFont val="Calibri"/>
        <family val="2"/>
        <scheme val="minor"/>
      </rPr>
      <t xml:space="preserve"> - 12 months well child visit
</t>
    </r>
    <r>
      <rPr>
        <b/>
        <sz val="10"/>
        <color theme="1"/>
        <rFont val="Calibri"/>
        <family val="2"/>
        <scheme val="minor"/>
      </rPr>
      <t>15Months</t>
    </r>
    <r>
      <rPr>
        <sz val="10"/>
        <color theme="1"/>
        <rFont val="Calibri"/>
        <family val="2"/>
        <scheme val="minor"/>
      </rPr>
      <t xml:space="preserve"> - 15 months well child visit
</t>
    </r>
    <r>
      <rPr>
        <b/>
        <sz val="10"/>
        <color theme="1"/>
        <rFont val="Calibri"/>
        <family val="2"/>
        <scheme val="minor"/>
      </rPr>
      <t>18Months</t>
    </r>
    <r>
      <rPr>
        <sz val="10"/>
        <color theme="1"/>
        <rFont val="Calibri"/>
        <family val="2"/>
        <scheme val="minor"/>
      </rPr>
      <t xml:space="preserve"> - 18 months well child visit
</t>
    </r>
    <r>
      <rPr>
        <b/>
        <sz val="10"/>
        <color theme="1"/>
        <rFont val="Calibri"/>
        <family val="2"/>
        <scheme val="minor"/>
      </rPr>
      <t>24Months</t>
    </r>
    <r>
      <rPr>
        <sz val="10"/>
        <color theme="1"/>
        <rFont val="Calibri"/>
        <family val="2"/>
        <scheme val="minor"/>
      </rPr>
      <t xml:space="preserve"> - 24 months well child visit
</t>
    </r>
    <r>
      <rPr>
        <b/>
        <sz val="10"/>
        <color theme="1"/>
        <rFont val="Calibri"/>
        <family val="2"/>
        <scheme val="minor"/>
      </rPr>
      <t>30Months</t>
    </r>
    <r>
      <rPr>
        <sz val="10"/>
        <color theme="1"/>
        <rFont val="Calibri"/>
        <family val="2"/>
        <scheme val="minor"/>
      </rPr>
      <t xml:space="preserve"> - 30 months well child visit
</t>
    </r>
    <r>
      <rPr>
        <b/>
        <sz val="10"/>
        <color theme="1"/>
        <rFont val="Calibri"/>
        <family val="2"/>
        <scheme val="minor"/>
      </rPr>
      <t>36Months</t>
    </r>
    <r>
      <rPr>
        <sz val="10"/>
        <color theme="1"/>
        <rFont val="Calibri"/>
        <family val="2"/>
        <scheme val="minor"/>
      </rPr>
      <t xml:space="preserve"> - 36 months well child visit
</t>
    </r>
    <r>
      <rPr>
        <b/>
        <sz val="10"/>
        <color theme="1"/>
        <rFont val="Calibri"/>
        <family val="2"/>
        <scheme val="minor"/>
      </rPr>
      <t>48Months</t>
    </r>
    <r>
      <rPr>
        <sz val="10"/>
        <color theme="1"/>
        <rFont val="Calibri"/>
        <family val="2"/>
        <scheme val="minor"/>
      </rPr>
      <t xml:space="preserve"> - 48 months well child visit
</t>
    </r>
    <r>
      <rPr>
        <b/>
        <sz val="10"/>
        <color theme="1"/>
        <rFont val="Calibri"/>
        <family val="2"/>
        <scheme val="minor"/>
      </rPr>
      <t>60Months</t>
    </r>
    <r>
      <rPr>
        <sz val="10"/>
        <color theme="1"/>
        <rFont val="Calibri"/>
        <family val="2"/>
        <scheme val="minor"/>
      </rPr>
      <t xml:space="preserve"> - 60 months well child visit
</t>
    </r>
  </si>
  <si>
    <t>Early Learning -&gt; EL Child -&gt; Health -&gt; Well Child Visits</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</si>
  <si>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</si>
  <si>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</si>
  <si>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</si>
  <si>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</si>
  <si>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</si>
  <si>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</si>
  <si>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</si>
  <si>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</si>
  <si>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</si>
  <si>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</si>
  <si>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</si>
  <si>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</si>
  <si>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</si>
  <si>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An indication of whether an eligible student transferred to the school under the provisions for public school choice in accordance with Title I, Part A, Section 1116 of ESEA as amended.</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</si>
  <si>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</si>
  <si>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</si>
  <si>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</si>
  <si>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</si>
  <si>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Career and Technical -&gt; Course
K12 -&gt; K12 Course
K12 -&gt; K12 Student -&gt; Graduation Plan -&gt; Course</t>
  </si>
  <si>
    <t>Updated to reflect the latest version of SCED.</t>
  </si>
  <si>
    <t>https://nces.ed.gov/forum/SCED.asp</t>
  </si>
  <si>
    <t>001517</t>
  </si>
  <si>
    <t>SCED Course Code</t>
  </si>
  <si>
    <t>SCEDCourseCode</t>
  </si>
  <si>
    <t>School Courses for the Exchange of Data Course Level</t>
  </si>
  <si>
    <t>The course's level of rigor.</t>
  </si>
  <si>
    <r>
      <t>B</t>
    </r>
    <r>
      <rPr>
        <sz val="10"/>
        <color theme="1"/>
        <rFont val="Calibri"/>
        <family val="2"/>
        <scheme val="minor"/>
      </rPr>
      <t xml:space="preserve"> - Basic or remedial
</t>
    </r>
    <r>
      <rPr>
        <b/>
        <sz val="10"/>
        <color theme="1"/>
        <rFont val="Calibri"/>
        <family val="2"/>
        <scheme val="minor"/>
      </rPr>
      <t>E</t>
    </r>
    <r>
      <rPr>
        <sz val="10"/>
        <color theme="1"/>
        <rFont val="Calibri"/>
        <family val="2"/>
        <scheme val="minor"/>
      </rPr>
      <t xml:space="preserve"> - Enriched or advanced
</t>
    </r>
    <r>
      <rPr>
        <b/>
        <sz val="10"/>
        <color theme="1"/>
        <rFont val="Calibri"/>
        <family val="2"/>
        <scheme val="minor"/>
      </rPr>
      <t>G</t>
    </r>
    <r>
      <rPr>
        <sz val="10"/>
        <color theme="1"/>
        <rFont val="Calibri"/>
        <family val="2"/>
        <scheme val="minor"/>
      </rPr>
      <t xml:space="preserve"> - General or regular
</t>
    </r>
    <r>
      <rPr>
        <b/>
        <sz val="10"/>
        <color theme="1"/>
        <rFont val="Calibri"/>
        <family val="2"/>
        <scheme val="minor"/>
      </rPr>
      <t>H</t>
    </r>
    <r>
      <rPr>
        <sz val="10"/>
        <color theme="1"/>
        <rFont val="Calibri"/>
        <family val="2"/>
        <scheme val="minor"/>
      </rPr>
      <t xml:space="preserve"> - Honors
</t>
    </r>
    <r>
      <rPr>
        <b/>
        <sz val="10"/>
        <color theme="1"/>
        <rFont val="Calibri"/>
        <family val="2"/>
        <scheme val="minor"/>
      </rPr>
      <t>C</t>
    </r>
    <r>
      <rPr>
        <sz val="10"/>
        <color theme="1"/>
        <rFont val="Calibri"/>
        <family val="2"/>
        <scheme val="minor"/>
      </rPr>
      <t xml:space="preserve"> - College
</t>
    </r>
    <r>
      <rPr>
        <b/>
        <sz val="10"/>
        <color theme="1"/>
        <rFont val="Calibri"/>
        <family val="2"/>
        <scheme val="minor"/>
      </rPr>
      <t>X</t>
    </r>
    <r>
      <rPr>
        <sz val="10"/>
        <color theme="1"/>
        <rFont val="Calibri"/>
        <family val="2"/>
        <scheme val="minor"/>
      </rPr>
      <t xml:space="preserve"> - No specified level of rigor
</t>
    </r>
  </si>
  <si>
    <t>001516</t>
  </si>
  <si>
    <t>SCED Course Level</t>
  </si>
  <si>
    <t>SCEDCourseLevel</t>
  </si>
  <si>
    <t>School Courses for the Exchange of Data Course Subject Area</t>
  </si>
  <si>
    <t>The intended major subject area of the education course.</t>
  </si>
  <si>
    <r>
      <t>01</t>
    </r>
    <r>
      <rPr>
        <sz val="10"/>
        <color theme="1"/>
        <rFont val="Calibri"/>
        <family val="2"/>
        <scheme val="minor"/>
      </rPr>
      <t xml:space="preserve"> - English Language and Literature
</t>
    </r>
    <r>
      <rPr>
        <b/>
        <sz val="10"/>
        <color theme="1"/>
        <rFont val="Calibri"/>
        <family val="2"/>
        <scheme val="minor"/>
      </rPr>
      <t>02</t>
    </r>
    <r>
      <rPr>
        <sz val="10"/>
        <color theme="1"/>
        <rFont val="Calibri"/>
        <family val="2"/>
        <scheme val="minor"/>
      </rPr>
      <t xml:space="preserve"> - Mathematics
</t>
    </r>
    <r>
      <rPr>
        <b/>
        <sz val="10"/>
        <color theme="1"/>
        <rFont val="Calibri"/>
        <family val="2"/>
        <scheme val="minor"/>
      </rPr>
      <t>03</t>
    </r>
    <r>
      <rPr>
        <sz val="10"/>
        <color theme="1"/>
        <rFont val="Calibri"/>
        <family val="2"/>
        <scheme val="minor"/>
      </rPr>
      <t xml:space="preserve"> - Life and Physical Sciences
</t>
    </r>
    <r>
      <rPr>
        <b/>
        <sz val="10"/>
        <color theme="1"/>
        <rFont val="Calibri"/>
        <family val="2"/>
        <scheme val="minor"/>
      </rPr>
      <t>04</t>
    </r>
    <r>
      <rPr>
        <sz val="10"/>
        <color theme="1"/>
        <rFont val="Calibri"/>
        <family val="2"/>
        <scheme val="minor"/>
      </rPr>
      <t xml:space="preserve"> - Social Sciences and History
</t>
    </r>
    <r>
      <rPr>
        <b/>
        <sz val="10"/>
        <color theme="1"/>
        <rFont val="Calibri"/>
        <family val="2"/>
        <scheme val="minor"/>
      </rPr>
      <t>05</t>
    </r>
    <r>
      <rPr>
        <sz val="10"/>
        <color theme="1"/>
        <rFont val="Calibri"/>
        <family val="2"/>
        <scheme val="minor"/>
      </rPr>
      <t xml:space="preserve"> - Visual and Performing Arts
</t>
    </r>
    <r>
      <rPr>
        <b/>
        <sz val="10"/>
        <color theme="1"/>
        <rFont val="Calibri"/>
        <family val="2"/>
        <scheme val="minor"/>
      </rPr>
      <t>07</t>
    </r>
    <r>
      <rPr>
        <sz val="10"/>
        <color theme="1"/>
        <rFont val="Calibri"/>
        <family val="2"/>
        <scheme val="minor"/>
      </rPr>
      <t xml:space="preserve"> - Religious Education and Theology
</t>
    </r>
    <r>
      <rPr>
        <b/>
        <sz val="10"/>
        <color theme="1"/>
        <rFont val="Calibri"/>
        <family val="2"/>
        <scheme val="minor"/>
      </rPr>
      <t>08</t>
    </r>
    <r>
      <rPr>
        <sz val="10"/>
        <color theme="1"/>
        <rFont val="Calibri"/>
        <family val="2"/>
        <scheme val="minor"/>
      </rPr>
      <t xml:space="preserve"> - Physical, Health, and Safety Education
</t>
    </r>
    <r>
      <rPr>
        <b/>
        <sz val="10"/>
        <color theme="1"/>
        <rFont val="Calibri"/>
        <family val="2"/>
        <scheme val="minor"/>
      </rPr>
      <t>09</t>
    </r>
    <r>
      <rPr>
        <sz val="10"/>
        <color theme="1"/>
        <rFont val="Calibri"/>
        <family val="2"/>
        <scheme val="minor"/>
      </rPr>
      <t xml:space="preserve"> - Military Science
</t>
    </r>
    <r>
      <rPr>
        <b/>
        <sz val="10"/>
        <color theme="1"/>
        <rFont val="Calibri"/>
        <family val="2"/>
        <scheme val="minor"/>
      </rPr>
      <t>10</t>
    </r>
    <r>
      <rPr>
        <sz val="10"/>
        <color theme="1"/>
        <rFont val="Calibri"/>
        <family val="2"/>
        <scheme val="minor"/>
      </rPr>
      <t xml:space="preserve"> - Information Technology
</t>
    </r>
    <r>
      <rPr>
        <b/>
        <sz val="10"/>
        <color theme="1"/>
        <rFont val="Calibri"/>
        <family val="2"/>
        <scheme val="minor"/>
      </rPr>
      <t>11</t>
    </r>
    <r>
      <rPr>
        <sz val="10"/>
        <color theme="1"/>
        <rFont val="Calibri"/>
        <family val="2"/>
        <scheme val="minor"/>
      </rPr>
      <t xml:space="preserve"> - Communication and Audio/Visual Technology
</t>
    </r>
    <r>
      <rPr>
        <b/>
        <sz val="10"/>
        <color theme="1"/>
        <rFont val="Calibri"/>
        <family val="2"/>
        <scheme val="minor"/>
      </rPr>
      <t>12</t>
    </r>
    <r>
      <rPr>
        <sz val="10"/>
        <color theme="1"/>
        <rFont val="Calibri"/>
        <family val="2"/>
        <scheme val="minor"/>
      </rPr>
      <t xml:space="preserve"> - Business and Marketing
</t>
    </r>
    <r>
      <rPr>
        <b/>
        <sz val="10"/>
        <color theme="1"/>
        <rFont val="Calibri"/>
        <family val="2"/>
        <scheme val="minor"/>
      </rPr>
      <t>13</t>
    </r>
    <r>
      <rPr>
        <sz val="10"/>
        <color theme="1"/>
        <rFont val="Calibri"/>
        <family val="2"/>
        <scheme val="minor"/>
      </rPr>
      <t xml:space="preserve"> - Manufacturing
</t>
    </r>
    <r>
      <rPr>
        <b/>
        <sz val="10"/>
        <color theme="1"/>
        <rFont val="Calibri"/>
        <family val="2"/>
        <scheme val="minor"/>
      </rPr>
      <t>14</t>
    </r>
    <r>
      <rPr>
        <sz val="10"/>
        <color theme="1"/>
        <rFont val="Calibri"/>
        <family val="2"/>
        <scheme val="minor"/>
      </rPr>
      <t xml:space="preserve"> - Health Care Sciences
</t>
    </r>
    <r>
      <rPr>
        <b/>
        <sz val="10"/>
        <color theme="1"/>
        <rFont val="Calibri"/>
        <family val="2"/>
        <scheme val="minor"/>
      </rPr>
      <t>15</t>
    </r>
    <r>
      <rPr>
        <sz val="10"/>
        <color theme="1"/>
        <rFont val="Calibri"/>
        <family val="2"/>
        <scheme val="minor"/>
      </rPr>
      <t xml:space="preserve"> - Public, Protective, and Government Service
</t>
    </r>
    <r>
      <rPr>
        <b/>
        <sz val="10"/>
        <color theme="1"/>
        <rFont val="Calibri"/>
        <family val="2"/>
        <scheme val="minor"/>
      </rPr>
      <t>16</t>
    </r>
    <r>
      <rPr>
        <sz val="10"/>
        <color theme="1"/>
        <rFont val="Calibri"/>
        <family val="2"/>
        <scheme val="minor"/>
      </rPr>
      <t xml:space="preserve"> - Hospitality and Tourism
</t>
    </r>
    <r>
      <rPr>
        <b/>
        <sz val="10"/>
        <color theme="1"/>
        <rFont val="Calibri"/>
        <family val="2"/>
        <scheme val="minor"/>
      </rPr>
      <t>17</t>
    </r>
    <r>
      <rPr>
        <sz val="10"/>
        <color theme="1"/>
        <rFont val="Calibri"/>
        <family val="2"/>
        <scheme val="minor"/>
      </rPr>
      <t xml:space="preserve"> - Architecture and Construction
</t>
    </r>
    <r>
      <rPr>
        <b/>
        <sz val="10"/>
        <color theme="1"/>
        <rFont val="Calibri"/>
        <family val="2"/>
        <scheme val="minor"/>
      </rPr>
      <t>18</t>
    </r>
    <r>
      <rPr>
        <sz val="10"/>
        <color theme="1"/>
        <rFont val="Calibri"/>
        <family val="2"/>
        <scheme val="minor"/>
      </rPr>
      <t xml:space="preserve"> - Agriculture, Food, and Natural Resources
</t>
    </r>
    <r>
      <rPr>
        <b/>
        <sz val="10"/>
        <color theme="1"/>
        <rFont val="Calibri"/>
        <family val="2"/>
        <scheme val="minor"/>
      </rPr>
      <t>19</t>
    </r>
    <r>
      <rPr>
        <sz val="10"/>
        <color theme="1"/>
        <rFont val="Calibri"/>
        <family val="2"/>
        <scheme val="minor"/>
      </rPr>
      <t xml:space="preserve"> - Human Services
</t>
    </r>
    <r>
      <rPr>
        <b/>
        <sz val="10"/>
        <color theme="1"/>
        <rFont val="Calibri"/>
        <family val="2"/>
        <scheme val="minor"/>
      </rPr>
      <t>20</t>
    </r>
    <r>
      <rPr>
        <sz val="10"/>
        <color theme="1"/>
        <rFont val="Calibri"/>
        <family val="2"/>
        <scheme val="minor"/>
      </rPr>
      <t xml:space="preserve"> - Transportation, Distribution and Logistics
</t>
    </r>
    <r>
      <rPr>
        <b/>
        <sz val="10"/>
        <color theme="1"/>
        <rFont val="Calibri"/>
        <family val="2"/>
        <scheme val="minor"/>
      </rPr>
      <t>21</t>
    </r>
    <r>
      <rPr>
        <sz val="10"/>
        <color theme="1"/>
        <rFont val="Calibri"/>
        <family val="2"/>
        <scheme val="minor"/>
      </rPr>
      <t xml:space="preserve"> - Engineering and Technology
</t>
    </r>
    <r>
      <rPr>
        <b/>
        <sz val="10"/>
        <color theme="1"/>
        <rFont val="Calibri"/>
        <family val="2"/>
        <scheme val="minor"/>
      </rPr>
      <t>22</t>
    </r>
    <r>
      <rPr>
        <sz val="10"/>
        <color theme="1"/>
        <rFont val="Calibri"/>
        <family val="2"/>
        <scheme val="minor"/>
      </rPr>
      <t xml:space="preserve"> - Miscellaneous
</t>
    </r>
    <r>
      <rPr>
        <b/>
        <sz val="10"/>
        <color theme="1"/>
        <rFont val="Calibri"/>
        <family val="2"/>
        <scheme val="minor"/>
      </rPr>
      <t>23</t>
    </r>
    <r>
      <rPr>
        <sz val="10"/>
        <color theme="1"/>
        <rFont val="Calibri"/>
        <family val="2"/>
        <scheme val="minor"/>
      </rPr>
      <t xml:space="preserve"> - Non-Subject-Specific
</t>
    </r>
    <r>
      <rPr>
        <b/>
        <sz val="10"/>
        <color theme="1"/>
        <rFont val="Calibri"/>
        <family val="2"/>
        <scheme val="minor"/>
      </rPr>
      <t>24</t>
    </r>
    <r>
      <rPr>
        <sz val="10"/>
        <color theme="1"/>
        <rFont val="Calibri"/>
        <family val="2"/>
        <scheme val="minor"/>
      </rPr>
      <t xml:space="preserve"> - World Languages
</t>
    </r>
  </si>
  <si>
    <t>Career and Technical -&gt; Course
K12 -&gt; K12 Course
K12 -&gt; K12 Student -&gt; Graduation Plan -&gt; Course
K12 -&gt; K12 Student -&gt; Graduation Plan -&gt; Subject Area
K12 -&gt; K12 Student -&gt; Individualized Program -&gt; Accommodation</t>
  </si>
  <si>
    <t>This is a compilation of Secondary Course Subject Area and Prior to Secondary Course Subject Area. This version merges SCED and pSCED.</t>
  </si>
  <si>
    <t>001518</t>
  </si>
  <si>
    <t>SCED Course Subject Area</t>
  </si>
  <si>
    <t>SCEDCourseSubjectArea</t>
  </si>
  <si>
    <t>School Courses for the Exchange of Data Grade Span</t>
  </si>
  <si>
    <t>The grade span for which the course is appropriate.</t>
  </si>
  <si>
    <t>K12 -&gt; K12 Course
K12 -&gt; K12 Student -&gt; Graduation Plan -&gt; Course</t>
  </si>
  <si>
    <t>Alphanumeric - exactly 4 characters in length</t>
  </si>
  <si>
    <t>The span is represented by a four-character code with no decimals. Each grade level from 1 through 12 is represented by a two-digit code, ranging from 01 to 12; kindergarten is represented by the letters KG and prekindergarten by the letters PK.</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</si>
  <si>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</si>
  <si>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</si>
  <si>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</si>
  <si>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</si>
  <si>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</si>
  <si>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</si>
  <si>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</si>
  <si>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</si>
  <si>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</si>
  <si>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Full Academic Year</t>
  </si>
  <si>
    <t>An indication of whether a student was in membership in the school education unit for a full academic year, according to the state’s definition of Full Academic Year.</t>
  </si>
  <si>
    <t>001763</t>
  </si>
  <si>
    <t>SchoolFullAcademicYear</t>
  </si>
  <si>
    <t>School Identification System</t>
  </si>
  <si>
    <r>
      <t>School</t>
    </r>
    <r>
      <rPr>
        <sz val="10"/>
        <color theme="1"/>
        <rFont val="Calibri"/>
        <family val="2"/>
        <scheme val="minor"/>
      </rPr>
      <t xml:space="preserve"> - School-assigned number
</t>
    </r>
    <r>
      <rPr>
        <b/>
        <sz val="10"/>
        <color theme="1"/>
        <rFont val="Calibri"/>
        <family val="2"/>
        <scheme val="minor"/>
      </rPr>
      <t>ACT</t>
    </r>
    <r>
      <rPr>
        <sz val="10"/>
        <color theme="1"/>
        <rFont val="Calibri"/>
        <family val="2"/>
        <scheme val="minor"/>
      </rPr>
      <t xml:space="preserve"> - College Board/ACT program code set of PK-grade 12 institutions
</t>
    </r>
    <r>
      <rPr>
        <b/>
        <sz val="10"/>
        <color theme="1"/>
        <rFont val="Calibri"/>
        <family val="2"/>
        <scheme val="minor"/>
      </rPr>
      <t>LEA</t>
    </r>
    <r>
      <rPr>
        <sz val="10"/>
        <color theme="1"/>
        <rFont val="Calibri"/>
        <family val="2"/>
        <scheme val="minor"/>
      </rPr>
      <t xml:space="preserve"> - Local Education Agency assigned number
</t>
    </r>
    <r>
      <rPr>
        <b/>
        <sz val="10"/>
        <color theme="1"/>
        <rFont val="Calibri"/>
        <family val="2"/>
        <scheme val="minor"/>
      </rPr>
      <t>SEA</t>
    </r>
    <r>
      <rPr>
        <sz val="10"/>
        <color theme="1"/>
        <rFont val="Calibri"/>
        <family val="2"/>
        <scheme val="minor"/>
      </rPr>
      <t xml:space="preserve"> - State Education Agency assigned number
</t>
    </r>
    <r>
      <rPr>
        <b/>
        <sz val="10"/>
        <color theme="1"/>
        <rFont val="Calibri"/>
        <family val="2"/>
        <scheme val="minor"/>
      </rPr>
      <t>NCES</t>
    </r>
    <r>
      <rPr>
        <sz val="10"/>
        <color theme="1"/>
        <rFont val="Calibri"/>
        <family val="2"/>
        <scheme val="minor"/>
      </rPr>
      <t xml:space="preserve"> - National Center for Education Statistics assigned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DUNS</t>
    </r>
    <r>
      <rPr>
        <sz val="10"/>
        <color theme="1"/>
        <rFont val="Calibri"/>
        <family val="2"/>
        <scheme val="minor"/>
      </rPr>
      <t xml:space="preserve"> - Dun and Bradstreet number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StateUniversitySystem</t>
    </r>
    <r>
      <rPr>
        <sz val="10"/>
        <color theme="1"/>
        <rFont val="Calibri"/>
        <family val="2"/>
        <scheme val="minor"/>
      </rPr>
      <t xml:space="preserve"> - State University System assigned number
</t>
    </r>
    <r>
      <rPr>
        <b/>
        <sz val="10"/>
        <color theme="1"/>
        <rFont val="Calibri"/>
        <family val="2"/>
        <scheme val="minor"/>
      </rPr>
      <t>Other</t>
    </r>
    <r>
      <rPr>
        <sz val="10"/>
        <color theme="1"/>
        <rFont val="Calibri"/>
        <family val="2"/>
        <scheme val="minor"/>
      </rPr>
      <t xml:space="preserve"> - Other
</t>
    </r>
  </si>
  <si>
    <t>Assessments -&gt; Assessment Administration
Assessments -&gt; Assessment Registration
Assessments -&gt; Assessment Session
K12 -&gt; K12 School -&gt; Identification
K12 -&gt; K12 Staff -&gt; Assignment
K12 -&gt; K12 Student -&gt; Enrollment
Postsecondary -&gt; PS Student -&gt; K12 Transcript</t>
  </si>
  <si>
    <t>001073</t>
  </si>
  <si>
    <t>SchoolIdentificationSystem</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</si>
  <si>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</si>
  <si>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</si>
  <si>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</si>
  <si>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</si>
  <si>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</si>
  <si>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</si>
  <si>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</si>
  <si>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</si>
  <si>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</si>
  <si>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</si>
  <si>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</si>
  <si>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</si>
  <si>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</si>
  <si>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</si>
  <si>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</si>
  <si>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</si>
  <si>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</si>
  <si>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</si>
  <si>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r>
      <t>Turnaround</t>
    </r>
    <r>
      <rPr>
        <sz val="10"/>
        <color theme="1"/>
        <rFont val="Calibri"/>
        <family val="2"/>
        <scheme val="minor"/>
      </rPr>
      <t xml:space="preserve"> - Turnaround model
</t>
    </r>
    <r>
      <rPr>
        <b/>
        <sz val="10"/>
        <color theme="1"/>
        <rFont val="Calibri"/>
        <family val="2"/>
        <scheme val="minor"/>
      </rPr>
      <t>Restart</t>
    </r>
    <r>
      <rPr>
        <sz val="10"/>
        <color theme="1"/>
        <rFont val="Calibri"/>
        <family val="2"/>
        <scheme val="minor"/>
      </rPr>
      <t xml:space="preserve"> - Restart model
</t>
    </r>
    <r>
      <rPr>
        <b/>
        <sz val="10"/>
        <color theme="1"/>
        <rFont val="Calibri"/>
        <family val="2"/>
        <scheme val="minor"/>
      </rPr>
      <t>Closure</t>
    </r>
    <r>
      <rPr>
        <sz val="10"/>
        <color theme="1"/>
        <rFont val="Calibri"/>
        <family val="2"/>
        <scheme val="minor"/>
      </rPr>
      <t xml:space="preserve"> - School closure model
</t>
    </r>
    <r>
      <rPr>
        <b/>
        <sz val="10"/>
        <color theme="1"/>
        <rFont val="Calibri"/>
        <family val="2"/>
        <scheme val="minor"/>
      </rPr>
      <t>Transformation</t>
    </r>
    <r>
      <rPr>
        <sz val="10"/>
        <color theme="1"/>
        <rFont val="Calibri"/>
        <family val="2"/>
        <scheme val="minor"/>
      </rPr>
      <t xml:space="preserve"> - Transformation model
</t>
    </r>
  </si>
  <si>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</si>
  <si>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</si>
  <si>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</si>
  <si>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</si>
  <si>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</si>
  <si>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</si>
  <si>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</si>
  <si>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</si>
  <si>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r>
      <t>CorrectiveAction</t>
    </r>
    <r>
      <rPr>
        <sz val="10"/>
        <color theme="1"/>
        <rFont val="Calibri"/>
        <family val="2"/>
        <scheme val="minor"/>
      </rPr>
      <t xml:space="preserve"> - Corrective action
</t>
    </r>
    <r>
      <rPr>
        <b/>
        <sz val="10"/>
        <color theme="1"/>
        <rFont val="Calibri"/>
        <family val="2"/>
        <scheme val="minor"/>
      </rPr>
      <t>Year1</t>
    </r>
    <r>
      <rPr>
        <sz val="10"/>
        <color theme="1"/>
        <rFont val="Calibri"/>
        <family val="2"/>
        <scheme val="minor"/>
      </rPr>
      <t xml:space="preserve"> - Improvement status Year 1
</t>
    </r>
    <r>
      <rPr>
        <b/>
        <sz val="10"/>
        <color theme="1"/>
        <rFont val="Calibri"/>
        <family val="2"/>
        <scheme val="minor"/>
      </rPr>
      <t>Year2</t>
    </r>
    <r>
      <rPr>
        <sz val="10"/>
        <color theme="1"/>
        <rFont val="Calibri"/>
        <family val="2"/>
        <scheme val="minor"/>
      </rPr>
      <t xml:space="preserve"> - Improvement status Year 2
</t>
    </r>
    <r>
      <rPr>
        <b/>
        <sz val="10"/>
        <color theme="1"/>
        <rFont val="Calibri"/>
        <family val="2"/>
        <scheme val="minor"/>
      </rPr>
      <t>Planning</t>
    </r>
    <r>
      <rPr>
        <sz val="10"/>
        <color theme="1"/>
        <rFont val="Calibri"/>
        <family val="2"/>
        <scheme val="minor"/>
      </rPr>
      <t xml:space="preserve"> - Planning for restructuring
</t>
    </r>
    <r>
      <rPr>
        <b/>
        <sz val="10"/>
        <color theme="1"/>
        <rFont val="Calibri"/>
        <family val="2"/>
        <scheme val="minor"/>
      </rPr>
      <t>Restructuring</t>
    </r>
    <r>
      <rPr>
        <sz val="10"/>
        <color theme="1"/>
        <rFont val="Calibri"/>
        <family val="2"/>
        <scheme val="minor"/>
      </rPr>
      <t xml:space="preserve"> - Restructuring
</t>
    </r>
    <r>
      <rPr>
        <b/>
        <sz val="10"/>
        <color theme="1"/>
        <rFont val="Calibri"/>
        <family val="2"/>
        <scheme val="minor"/>
      </rPr>
      <t>NA</t>
    </r>
    <r>
      <rPr>
        <sz val="10"/>
        <color theme="1"/>
        <rFont val="Calibri"/>
        <family val="2"/>
        <scheme val="minor"/>
      </rPr>
      <t xml:space="preserve"> - Not applicable
</t>
    </r>
  </si>
  <si>
    <t>000240</t>
  </si>
  <si>
    <t>SchoolImprovementStatus</t>
  </si>
  <si>
    <t>School Level</t>
  </si>
  <si>
    <t>An indication of the level of the education institution.</t>
  </si>
  <si>
    <r>
      <t>00013</t>
    </r>
    <r>
      <rPr>
        <sz val="10"/>
        <color theme="1"/>
        <rFont val="Calibri"/>
        <family val="2"/>
        <scheme val="minor"/>
      </rPr>
      <t xml:space="preserve"> - Adult
</t>
    </r>
    <r>
      <rPr>
        <b/>
        <sz val="10"/>
        <color theme="1"/>
        <rFont val="Calibri"/>
        <family val="2"/>
        <scheme val="minor"/>
      </rPr>
      <t>01302</t>
    </r>
    <r>
      <rPr>
        <sz val="10"/>
        <color theme="1"/>
        <rFont val="Calibri"/>
        <family val="2"/>
        <scheme val="minor"/>
      </rPr>
      <t xml:space="preserve"> - All levels
</t>
    </r>
    <r>
      <rPr>
        <b/>
        <sz val="10"/>
        <color theme="1"/>
        <rFont val="Calibri"/>
        <family val="2"/>
        <scheme val="minor"/>
      </rPr>
      <t>01304</t>
    </r>
    <r>
      <rPr>
        <sz val="10"/>
        <color theme="1"/>
        <rFont val="Calibri"/>
        <family val="2"/>
        <scheme val="minor"/>
      </rPr>
      <t xml:space="preserve"> - Elementary
</t>
    </r>
    <r>
      <rPr>
        <b/>
        <sz val="10"/>
        <color theme="1"/>
        <rFont val="Calibri"/>
        <family val="2"/>
        <scheme val="minor"/>
      </rPr>
      <t>02402</t>
    </r>
    <r>
      <rPr>
        <sz val="10"/>
        <color theme="1"/>
        <rFont val="Calibri"/>
        <family val="2"/>
        <scheme val="minor"/>
      </rPr>
      <t xml:space="preserve"> - High school
</t>
    </r>
    <r>
      <rPr>
        <b/>
        <sz val="10"/>
        <color theme="1"/>
        <rFont val="Calibri"/>
        <family val="2"/>
        <scheme val="minor"/>
      </rPr>
      <t>00787</t>
    </r>
    <r>
      <rPr>
        <sz val="10"/>
        <color theme="1"/>
        <rFont val="Calibri"/>
        <family val="2"/>
        <scheme val="minor"/>
      </rPr>
      <t xml:space="preserve"> - Infant/toddler
</t>
    </r>
    <r>
      <rPr>
        <b/>
        <sz val="10"/>
        <color theme="1"/>
        <rFont val="Calibri"/>
        <family val="2"/>
        <scheme val="minor"/>
      </rPr>
      <t>02399</t>
    </r>
    <r>
      <rPr>
        <sz val="10"/>
        <color theme="1"/>
        <rFont val="Calibri"/>
        <family val="2"/>
        <scheme val="minor"/>
      </rPr>
      <t xml:space="preserve"> - Intermediate
</t>
    </r>
    <r>
      <rPr>
        <b/>
        <sz val="10"/>
        <color theme="1"/>
        <rFont val="Calibri"/>
        <family val="2"/>
        <scheme val="minor"/>
      </rPr>
      <t>02602</t>
    </r>
    <r>
      <rPr>
        <sz val="10"/>
        <color theme="1"/>
        <rFont val="Calibri"/>
        <family val="2"/>
        <scheme val="minor"/>
      </rPr>
      <t xml:space="preserve"> - Junior high school
</t>
    </r>
    <r>
      <rPr>
        <b/>
        <sz val="10"/>
        <color theme="1"/>
        <rFont val="Calibri"/>
        <family val="2"/>
        <scheme val="minor"/>
      </rPr>
      <t>02400</t>
    </r>
    <r>
      <rPr>
        <sz val="10"/>
        <color theme="1"/>
        <rFont val="Calibri"/>
        <family val="2"/>
        <scheme val="minor"/>
      </rPr>
      <t xml:space="preserve"> - Middle
</t>
    </r>
    <r>
      <rPr>
        <b/>
        <sz val="10"/>
        <color theme="1"/>
        <rFont val="Calibri"/>
        <family val="2"/>
        <scheme val="minor"/>
      </rPr>
      <t>01981</t>
    </r>
    <r>
      <rPr>
        <sz val="10"/>
        <color theme="1"/>
        <rFont val="Calibri"/>
        <family val="2"/>
        <scheme val="minor"/>
      </rPr>
      <t xml:space="preserve"> - Pre-kindergarten/early childhood
</t>
    </r>
    <r>
      <rPr>
        <b/>
        <sz val="10"/>
        <color theme="1"/>
        <rFont val="Calibri"/>
        <family val="2"/>
        <scheme val="minor"/>
      </rPr>
      <t>02397</t>
    </r>
    <r>
      <rPr>
        <sz val="10"/>
        <color theme="1"/>
        <rFont val="Calibri"/>
        <family val="2"/>
        <scheme val="minor"/>
      </rPr>
      <t xml:space="preserve"> - Primary
</t>
    </r>
    <r>
      <rPr>
        <b/>
        <sz val="10"/>
        <color theme="1"/>
        <rFont val="Calibri"/>
        <family val="2"/>
        <scheme val="minor"/>
      </rPr>
      <t>02403</t>
    </r>
    <r>
      <rPr>
        <sz val="10"/>
        <color theme="1"/>
        <rFont val="Calibri"/>
        <family val="2"/>
        <scheme val="minor"/>
      </rPr>
      <t xml:space="preserve"> - Secondary
</t>
    </r>
    <r>
      <rPr>
        <b/>
        <sz val="10"/>
        <color theme="1"/>
        <rFont val="Calibri"/>
        <family val="2"/>
        <scheme val="minor"/>
      </rPr>
      <t>73066</t>
    </r>
    <r>
      <rPr>
        <sz val="10"/>
        <color theme="1"/>
        <rFont val="Calibri"/>
        <family val="2"/>
        <scheme val="minor"/>
      </rPr>
      <t xml:space="preserve"> - Joint secondary and postsecondary
</t>
    </r>
  </si>
  <si>
    <t>000241</t>
  </si>
  <si>
    <t>SchoolLevel</t>
  </si>
  <si>
    <t>School Operational Status</t>
  </si>
  <si>
    <t>The current status of the school operations, exclusive of scheduled breaks, holidays, or other temporary interruptions.</t>
  </si>
  <si>
    <r>
      <t>Open</t>
    </r>
    <r>
      <rPr>
        <sz val="10"/>
        <color theme="1"/>
        <rFont val="Calibri"/>
        <family val="2"/>
        <scheme val="minor"/>
      </rPr>
      <t xml:space="preserve"> - Open
</t>
    </r>
    <r>
      <rPr>
        <b/>
        <sz val="10"/>
        <color theme="1"/>
        <rFont val="Calibri"/>
        <family val="2"/>
        <scheme val="minor"/>
      </rPr>
      <t>Closed</t>
    </r>
    <r>
      <rPr>
        <sz val="10"/>
        <color theme="1"/>
        <rFont val="Calibri"/>
        <family val="2"/>
        <scheme val="minor"/>
      </rPr>
      <t xml:space="preserve"> - Closed
</t>
    </r>
    <r>
      <rPr>
        <b/>
        <sz val="10"/>
        <color theme="1"/>
        <rFont val="Calibri"/>
        <family val="2"/>
        <scheme val="minor"/>
      </rPr>
      <t>New</t>
    </r>
    <r>
      <rPr>
        <sz val="10"/>
        <color theme="1"/>
        <rFont val="Calibri"/>
        <family val="2"/>
        <scheme val="minor"/>
      </rPr>
      <t xml:space="preserve"> - New
</t>
    </r>
    <r>
      <rPr>
        <b/>
        <sz val="10"/>
        <color theme="1"/>
        <rFont val="Calibri"/>
        <family val="2"/>
        <scheme val="minor"/>
      </rPr>
      <t>Added</t>
    </r>
    <r>
      <rPr>
        <sz val="10"/>
        <color theme="1"/>
        <rFont val="Calibri"/>
        <family val="2"/>
        <scheme val="minor"/>
      </rPr>
      <t xml:space="preserve"> - Added
</t>
    </r>
    <r>
      <rPr>
        <b/>
        <sz val="10"/>
        <color theme="1"/>
        <rFont val="Calibri"/>
        <family val="2"/>
        <scheme val="minor"/>
      </rPr>
      <t>ChangedAgency</t>
    </r>
    <r>
      <rPr>
        <sz val="10"/>
        <color theme="1"/>
        <rFont val="Calibri"/>
        <family val="2"/>
        <scheme val="minor"/>
      </rPr>
      <t xml:space="preserve"> - Changed Agency
</t>
    </r>
    <r>
      <rPr>
        <b/>
        <sz val="10"/>
        <color theme="1"/>
        <rFont val="Calibri"/>
        <family val="2"/>
        <scheme val="minor"/>
      </rPr>
      <t>Inactive</t>
    </r>
    <r>
      <rPr>
        <sz val="10"/>
        <color theme="1"/>
        <rFont val="Calibri"/>
        <family val="2"/>
        <scheme val="minor"/>
      </rPr>
      <t xml:space="preserve"> - Inactive
</t>
    </r>
    <r>
      <rPr>
        <b/>
        <sz val="10"/>
        <color theme="1"/>
        <rFont val="Calibri"/>
        <family val="2"/>
        <scheme val="minor"/>
      </rPr>
      <t>FutureSchool</t>
    </r>
    <r>
      <rPr>
        <sz val="10"/>
        <color theme="1"/>
        <rFont val="Calibri"/>
        <family val="2"/>
        <scheme val="minor"/>
      </rPr>
      <t xml:space="preserve"> - Future school
</t>
    </r>
    <r>
      <rPr>
        <b/>
        <sz val="10"/>
        <color theme="1"/>
        <rFont val="Calibri"/>
        <family val="2"/>
        <scheme val="minor"/>
      </rPr>
      <t>Reopened</t>
    </r>
    <r>
      <rPr>
        <sz val="10"/>
        <color theme="1"/>
        <rFont val="Calibri"/>
        <family val="2"/>
        <scheme val="minor"/>
      </rPr>
      <t xml:space="preserve"> - Reopened
</t>
    </r>
  </si>
  <si>
    <t>000533</t>
  </si>
  <si>
    <t>SchoolOperationalStatus</t>
  </si>
  <si>
    <t>School Type</t>
  </si>
  <si>
    <t>The type of education institution as classified by its primary focus.</t>
  </si>
  <si>
    <r>
      <t>Regular</t>
    </r>
    <r>
      <rPr>
        <sz val="10"/>
        <color theme="1"/>
        <rFont val="Calibri"/>
        <family val="2"/>
        <scheme val="minor"/>
      </rPr>
      <t xml:space="preserve"> - Regular School
</t>
    </r>
    <r>
      <rPr>
        <b/>
        <sz val="10"/>
        <color theme="1"/>
        <rFont val="Calibri"/>
        <family val="2"/>
        <scheme val="minor"/>
      </rPr>
      <t>Special</t>
    </r>
    <r>
      <rPr>
        <sz val="10"/>
        <color theme="1"/>
        <rFont val="Calibri"/>
        <family val="2"/>
        <scheme val="minor"/>
      </rPr>
      <t xml:space="preserve"> - Special Education School
</t>
    </r>
    <r>
      <rPr>
        <b/>
        <sz val="10"/>
        <color theme="1"/>
        <rFont val="Calibri"/>
        <family val="2"/>
        <scheme val="minor"/>
      </rPr>
      <t>CareerAndTechnical</t>
    </r>
    <r>
      <rPr>
        <sz val="10"/>
        <color theme="1"/>
        <rFont val="Calibri"/>
        <family val="2"/>
        <scheme val="minor"/>
      </rPr>
      <t xml:space="preserve"> - Career and Technical Education School
</t>
    </r>
    <r>
      <rPr>
        <b/>
        <sz val="10"/>
        <color theme="1"/>
        <rFont val="Calibri"/>
        <family val="2"/>
        <scheme val="minor"/>
      </rPr>
      <t>Alternative</t>
    </r>
    <r>
      <rPr>
        <sz val="10"/>
        <color theme="1"/>
        <rFont val="Calibri"/>
        <family val="2"/>
        <scheme val="minor"/>
      </rPr>
      <t xml:space="preserve"> - Alternative Education School
</t>
    </r>
    <r>
      <rPr>
        <b/>
        <sz val="10"/>
        <color theme="1"/>
        <rFont val="Calibri"/>
        <family val="2"/>
        <scheme val="minor"/>
      </rPr>
      <t>Reportable</t>
    </r>
    <r>
      <rPr>
        <sz val="10"/>
        <color theme="1"/>
        <rFont val="Calibri"/>
        <family val="2"/>
        <scheme val="minor"/>
      </rPr>
      <t xml:space="preserve"> - Reportable Program
</t>
    </r>
  </si>
  <si>
    <t>000242</t>
  </si>
  <si>
    <t>SchoolType</t>
  </si>
  <si>
    <t>School Year</t>
  </si>
  <si>
    <t>The year for a reported school session.</t>
  </si>
  <si>
    <t>K12 -&gt; Calendar -&gt; Session
K12 -&gt; K12 School -&gt; Accountability
K12 -&gt; K12 School -&gt; Session
K12 -&gt; LEA -&gt; Accountability
K12 -&gt; SEA -&gt; Accountability</t>
  </si>
  <si>
    <t>For academic years that span a calendar year this is the four digit year-end. E.g. 2013 for 2012-2013</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</si>
  <si>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</si>
  <si>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</si>
  <si>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</si>
  <si>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</si>
  <si>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</si>
  <si>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</si>
  <si>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</si>
  <si>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</si>
  <si>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r>
      <t>03066</t>
    </r>
    <r>
      <rPr>
        <sz val="10"/>
        <color theme="1"/>
        <rFont val="Calibri"/>
        <family val="2"/>
        <scheme val="minor"/>
      </rPr>
      <t xml:space="preserve"> - Alcohol-related
</t>
    </r>
    <r>
      <rPr>
        <b/>
        <sz val="10"/>
        <color theme="1"/>
        <rFont val="Calibri"/>
        <family val="2"/>
        <scheme val="minor"/>
      </rPr>
      <t>03067</t>
    </r>
    <r>
      <rPr>
        <sz val="10"/>
        <color theme="1"/>
        <rFont val="Calibri"/>
        <family val="2"/>
        <scheme val="minor"/>
      </rPr>
      <t xml:space="preserve"> - Drug-related
</t>
    </r>
    <r>
      <rPr>
        <b/>
        <sz val="10"/>
        <color theme="1"/>
        <rFont val="Calibri"/>
        <family val="2"/>
        <scheme val="minor"/>
      </rPr>
      <t>03068</t>
    </r>
    <r>
      <rPr>
        <sz val="10"/>
        <color theme="1"/>
        <rFont val="Calibri"/>
        <family val="2"/>
        <scheme val="minor"/>
      </rPr>
      <t xml:space="preserve"> - Gang-related
</t>
    </r>
    <r>
      <rPr>
        <b/>
        <sz val="10"/>
        <color theme="1"/>
        <rFont val="Calibri"/>
        <family val="2"/>
        <scheme val="minor"/>
      </rPr>
      <t>13778</t>
    </r>
    <r>
      <rPr>
        <sz val="10"/>
        <color theme="1"/>
        <rFont val="Calibri"/>
        <family val="2"/>
        <scheme val="minor"/>
      </rPr>
      <t xml:space="preserve"> - Hate-related (Disability)
</t>
    </r>
    <r>
      <rPr>
        <b/>
        <sz val="10"/>
        <color theme="1"/>
        <rFont val="Calibri"/>
        <family val="2"/>
        <scheme val="minor"/>
      </rPr>
      <t>13777</t>
    </r>
    <r>
      <rPr>
        <sz val="10"/>
        <color theme="1"/>
        <rFont val="Calibri"/>
        <family val="2"/>
        <scheme val="minor"/>
      </rPr>
      <t xml:space="preserve"> - Hate-related (Other)
</t>
    </r>
    <r>
      <rPr>
        <b/>
        <sz val="10"/>
        <color theme="1"/>
        <rFont val="Calibri"/>
        <family val="2"/>
        <scheme val="minor"/>
      </rPr>
      <t>13779</t>
    </r>
    <r>
      <rPr>
        <sz val="10"/>
        <color theme="1"/>
        <rFont val="Calibri"/>
        <family val="2"/>
        <scheme val="minor"/>
      </rPr>
      <t xml:space="preserve"> - Hate-related (Race, Color, or National Origin)
</t>
    </r>
    <r>
      <rPr>
        <b/>
        <sz val="10"/>
        <color theme="1"/>
        <rFont val="Calibri"/>
        <family val="2"/>
        <scheme val="minor"/>
      </rPr>
      <t>13780</t>
    </r>
    <r>
      <rPr>
        <sz val="10"/>
        <color theme="1"/>
        <rFont val="Calibri"/>
        <family val="2"/>
        <scheme val="minor"/>
      </rPr>
      <t xml:space="preserve"> - Hate-related (Sex)
</t>
    </r>
    <r>
      <rPr>
        <b/>
        <sz val="10"/>
        <color theme="1"/>
        <rFont val="Calibri"/>
        <family val="2"/>
        <scheme val="minor"/>
      </rPr>
      <t>03070</t>
    </r>
    <r>
      <rPr>
        <sz val="10"/>
        <color theme="1"/>
        <rFont val="Calibri"/>
        <family val="2"/>
        <scheme val="minor"/>
      </rPr>
      <t xml:space="preserve"> - Weapon-related
</t>
    </r>
  </si>
  <si>
    <t>000627</t>
  </si>
  <si>
    <t>SecondaryIncidentBehavior</t>
  </si>
  <si>
    <t>Section 504 Status</t>
  </si>
  <si>
    <t>Individuals with disabilities who are being provided with related aids and services under Section 504 of the Rehabilitation Act of 1973, as amended.</t>
  </si>
  <si>
    <t>Career and Technical -&gt; CTE Student -&gt; Disability
Early Learning -&gt; EL Child -&gt; Disability
K12 -&gt; K12 Student -&gt; Disability
K12 -&gt; K12 Student -&gt; Individualized Program -&gt; Eligibility -&gt; Determination</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</si>
  <si>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</si>
  <si>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</si>
  <si>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</si>
  <si>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</si>
  <si>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</si>
  <si>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</si>
  <si>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</si>
  <si>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</si>
  <si>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</si>
  <si>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</si>
  <si>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</si>
  <si>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</si>
  <si>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</si>
  <si>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</si>
  <si>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</si>
  <si>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</si>
  <si>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</si>
  <si>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</si>
  <si>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Extends Outside School Year</t>
  </si>
  <si>
    <t>Determination if this service continues outside school year.</t>
  </si>
  <si>
    <t>001717</t>
  </si>
  <si>
    <t>ServiceExtendsOutsideSchoolYear</t>
  </si>
  <si>
    <t>Service Option Variation</t>
  </si>
  <si>
    <t>Nature of early childhood program, class or group in which a person is enrolled.</t>
  </si>
  <si>
    <r>
      <t>FullDayFullYear</t>
    </r>
    <r>
      <rPr>
        <sz val="10"/>
        <color theme="1"/>
        <rFont val="Calibri"/>
        <family val="2"/>
        <scheme val="minor"/>
      </rPr>
      <t xml:space="preserve"> - Full-day/full-year
</t>
    </r>
    <r>
      <rPr>
        <b/>
        <sz val="10"/>
        <color theme="1"/>
        <rFont val="Calibri"/>
        <family val="2"/>
        <scheme val="minor"/>
      </rPr>
      <t>FullDayPartYear</t>
    </r>
    <r>
      <rPr>
        <sz val="10"/>
        <color theme="1"/>
        <rFont val="Calibri"/>
        <family val="2"/>
        <scheme val="minor"/>
      </rPr>
      <t xml:space="preserve"> - Full-day/part-year
</t>
    </r>
    <r>
      <rPr>
        <b/>
        <sz val="10"/>
        <color theme="1"/>
        <rFont val="Calibri"/>
        <family val="2"/>
        <scheme val="minor"/>
      </rPr>
      <t>PartDayFullYear</t>
    </r>
    <r>
      <rPr>
        <sz val="10"/>
        <color theme="1"/>
        <rFont val="Calibri"/>
        <family val="2"/>
        <scheme val="minor"/>
      </rPr>
      <t xml:space="preserve"> - Part-day/full-year
</t>
    </r>
    <r>
      <rPr>
        <b/>
        <sz val="10"/>
        <color theme="1"/>
        <rFont val="Calibri"/>
        <family val="2"/>
        <scheme val="minor"/>
      </rPr>
      <t>PartDayPartYear</t>
    </r>
    <r>
      <rPr>
        <sz val="10"/>
        <color theme="1"/>
        <rFont val="Calibri"/>
        <family val="2"/>
        <scheme val="minor"/>
      </rPr>
      <t xml:space="preserve"> - Part-day/part-year
</t>
    </r>
    <r>
      <rPr>
        <b/>
        <sz val="10"/>
        <color theme="1"/>
        <rFont val="Calibri"/>
        <family val="2"/>
        <scheme val="minor"/>
      </rPr>
      <t>HomeBased</t>
    </r>
    <r>
      <rPr>
        <sz val="10"/>
        <color theme="1"/>
        <rFont val="Calibri"/>
        <family val="2"/>
        <scheme val="minor"/>
      </rPr>
      <t xml:space="preserve"> - Home based
</t>
    </r>
    <r>
      <rPr>
        <b/>
        <sz val="10"/>
        <color theme="1"/>
        <rFont val="Calibri"/>
        <family val="2"/>
        <scheme val="minor"/>
      </rPr>
      <t>NA</t>
    </r>
    <r>
      <rPr>
        <sz val="10"/>
        <color theme="1"/>
        <rFont val="Calibri"/>
        <family val="2"/>
        <scheme val="minor"/>
      </rPr>
      <t xml:space="preserve"> - Not applicable
</t>
    </r>
  </si>
  <si>
    <t>000353</t>
  </si>
  <si>
    <t>ServiceOptionVariation</t>
  </si>
  <si>
    <t>Service Partner Description</t>
  </si>
  <si>
    <t>A description of the type of services that the partner organization provides.</t>
  </si>
  <si>
    <t>Early Learning -&gt; EL Child -&gt; Services -&gt; Service Partners
Early Learning -&gt; EL Organization -&gt; Service Partners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</si>
  <si>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</si>
  <si>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</si>
  <si>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</si>
  <si>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</si>
  <si>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</si>
  <si>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</si>
  <si>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Service Setting Description</t>
  </si>
  <si>
    <t>Description of the setting in which the services are delivered.</t>
  </si>
  <si>
    <t>001718</t>
  </si>
  <si>
    <t>ServiceSettingDescription</t>
  </si>
  <si>
    <t>Session Attendance Term Indicator</t>
  </si>
  <si>
    <t>Indicates that the session is an attendance term.</t>
  </si>
  <si>
    <t>Adult Education -&gt; Course Section
Career and Technical -&gt; Course Section
K12 -&gt; Calendar -&gt; Session
K12 -&gt; Course Section
K12 -&gt; K12 School -&gt; Session</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</si>
  <si>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</si>
  <si>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</si>
  <si>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</si>
  <si>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</si>
  <si>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</si>
  <si>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</si>
  <si>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</si>
  <si>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</si>
  <si>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</si>
  <si>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</si>
  <si>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</si>
  <si>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</si>
  <si>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</si>
  <si>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</si>
  <si>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</si>
  <si>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</si>
  <si>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Adult Education -&gt; Course Section
Career and Technical -&gt; Course Section
K12 -&gt; Course Section
K12 -&gt; K12 School -&gt; Session
Postsecondary -&gt; PS Institution -&gt; Directory</t>
  </si>
  <si>
    <t>000252</t>
  </si>
  <si>
    <t>SessionDesignator</t>
  </si>
  <si>
    <t>Session End Date</t>
  </si>
  <si>
    <t>The year, month and day on which a session ends.</t>
  </si>
  <si>
    <t>000253</t>
  </si>
  <si>
    <t>SessionEndDate</t>
  </si>
  <si>
    <t>Session End Time</t>
  </si>
  <si>
    <t>The hour, minute and second on which a session ends.</t>
  </si>
  <si>
    <t>Early Learning -&gt; EL Organization -&gt; Organization Information
K12 -&gt; Calendar -&gt; Session</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</si>
  <si>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</si>
  <si>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</si>
  <si>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</si>
  <si>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</si>
  <si>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</si>
  <si>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</si>
  <si>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</si>
  <si>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</si>
  <si>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</si>
  <si>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</si>
  <si>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</si>
  <si>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</si>
  <si>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</si>
  <si>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</si>
  <si>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</si>
  <si>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</si>
  <si>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r>
      <t>FullSchoolYear</t>
    </r>
    <r>
      <rPr>
        <sz val="10"/>
        <color theme="1"/>
        <rFont val="Calibri"/>
        <family val="2"/>
        <scheme val="minor"/>
      </rPr>
      <t xml:space="preserve"> - Full School Year
</t>
    </r>
    <r>
      <rPr>
        <b/>
        <sz val="10"/>
        <color theme="1"/>
        <rFont val="Calibri"/>
        <family val="2"/>
        <scheme val="minor"/>
      </rPr>
      <t>Intersession</t>
    </r>
    <r>
      <rPr>
        <sz val="10"/>
        <color theme="1"/>
        <rFont val="Calibri"/>
        <family val="2"/>
        <scheme val="minor"/>
      </rPr>
      <t xml:space="preserve"> - Intersession
</t>
    </r>
    <r>
      <rPr>
        <b/>
        <sz val="10"/>
        <color theme="1"/>
        <rFont val="Calibri"/>
        <family val="2"/>
        <scheme val="minor"/>
      </rPr>
      <t>LongSession</t>
    </r>
    <r>
      <rPr>
        <sz val="10"/>
        <color theme="1"/>
        <rFont val="Calibri"/>
        <family val="2"/>
        <scheme val="minor"/>
      </rPr>
      <t xml:space="preserve"> - Long Session
</t>
    </r>
    <r>
      <rPr>
        <b/>
        <sz val="10"/>
        <color theme="1"/>
        <rFont val="Calibri"/>
        <family val="2"/>
        <scheme val="minor"/>
      </rPr>
      <t>MiniTerm</t>
    </r>
    <r>
      <rPr>
        <sz val="10"/>
        <color theme="1"/>
        <rFont val="Calibri"/>
        <family val="2"/>
        <scheme val="minor"/>
      </rPr>
      <t xml:space="preserve"> - Mini Term
</t>
    </r>
    <r>
      <rPr>
        <b/>
        <sz val="10"/>
        <color theme="1"/>
        <rFont val="Calibri"/>
        <family val="2"/>
        <scheme val="minor"/>
      </rPr>
      <t>Quarter</t>
    </r>
    <r>
      <rPr>
        <sz val="10"/>
        <color theme="1"/>
        <rFont val="Calibri"/>
        <family val="2"/>
        <scheme val="minor"/>
      </rPr>
      <t xml:space="preserve"> - Quarter
</t>
    </r>
    <r>
      <rPr>
        <b/>
        <sz val="10"/>
        <color theme="1"/>
        <rFont val="Calibri"/>
        <family val="2"/>
        <scheme val="minor"/>
      </rPr>
      <t>Quinmester</t>
    </r>
    <r>
      <rPr>
        <sz val="10"/>
        <color theme="1"/>
        <rFont val="Calibri"/>
        <family val="2"/>
        <scheme val="minor"/>
      </rPr>
      <t xml:space="preserve"> - Quinmester
</t>
    </r>
    <r>
      <rPr>
        <b/>
        <sz val="10"/>
        <color theme="1"/>
        <rFont val="Calibri"/>
        <family val="2"/>
        <scheme val="minor"/>
      </rPr>
      <t>Semester</t>
    </r>
    <r>
      <rPr>
        <sz val="10"/>
        <color theme="1"/>
        <rFont val="Calibri"/>
        <family val="2"/>
        <scheme val="minor"/>
      </rPr>
      <t xml:space="preserve"> - Semester
</t>
    </r>
    <r>
      <rPr>
        <b/>
        <sz val="10"/>
        <color theme="1"/>
        <rFont val="Calibri"/>
        <family val="2"/>
        <scheme val="minor"/>
      </rPr>
      <t>SummerTerm</t>
    </r>
    <r>
      <rPr>
        <sz val="10"/>
        <color theme="1"/>
        <rFont val="Calibri"/>
        <family val="2"/>
        <scheme val="minor"/>
      </rPr>
      <t xml:space="preserve"> - Summer Term
</t>
    </r>
    <r>
      <rPr>
        <b/>
        <sz val="10"/>
        <color theme="1"/>
        <rFont val="Calibri"/>
        <family val="2"/>
        <scheme val="minor"/>
      </rPr>
      <t>Trimester</t>
    </r>
    <r>
      <rPr>
        <sz val="10"/>
        <color theme="1"/>
        <rFont val="Calibri"/>
        <family val="2"/>
        <scheme val="minor"/>
      </rPr>
      <t xml:space="preserve"> - Trimester
</t>
    </r>
    <r>
      <rPr>
        <b/>
        <sz val="10"/>
        <color theme="1"/>
        <rFont val="Calibri"/>
        <family val="2"/>
        <scheme val="minor"/>
      </rPr>
      <t>TwelveMonth</t>
    </r>
    <r>
      <rPr>
        <sz val="10"/>
        <color theme="1"/>
        <rFont val="Calibri"/>
        <family val="2"/>
        <scheme val="minor"/>
      </rPr>
      <t xml:space="preserve"> - Twelve Month
</t>
    </r>
    <r>
      <rPr>
        <b/>
        <sz val="10"/>
        <color theme="1"/>
        <rFont val="Calibri"/>
        <family val="2"/>
        <scheme val="minor"/>
      </rPr>
      <t>Other</t>
    </r>
    <r>
      <rPr>
        <sz val="10"/>
        <color theme="1"/>
        <rFont val="Calibri"/>
        <family val="2"/>
        <scheme val="minor"/>
      </rPr>
      <t xml:space="preserve"> - Other
</t>
    </r>
  </si>
  <si>
    <t>Adult Education -&gt; Course Section
Career and Technical -&gt; Course Section
K12 -&gt; Course Section
K12 -&gt; K12 School -&gt; Session</t>
  </si>
  <si>
    <t>000254</t>
  </si>
  <si>
    <t>SessionType</t>
  </si>
  <si>
    <t>Sex</t>
  </si>
  <si>
    <t>The concept describing the biological traits that distinguish the males and females of a species.</t>
  </si>
  <si>
    <r>
      <t>Male</t>
    </r>
    <r>
      <rPr>
        <sz val="10"/>
        <color theme="1"/>
        <rFont val="Calibri"/>
        <family val="2"/>
        <scheme val="minor"/>
      </rPr>
      <t xml:space="preserve"> - Male
</t>
    </r>
    <r>
      <rPr>
        <b/>
        <sz val="10"/>
        <color theme="1"/>
        <rFont val="Calibri"/>
        <family val="2"/>
        <scheme val="minor"/>
      </rPr>
      <t>Female</t>
    </r>
    <r>
      <rPr>
        <sz val="10"/>
        <color theme="1"/>
        <rFont val="Calibri"/>
        <family val="2"/>
        <scheme val="minor"/>
      </rPr>
      <t xml:space="preserve"> - Female
</t>
    </r>
    <r>
      <rPr>
        <b/>
        <sz val="10"/>
        <color theme="1"/>
        <rFont val="Calibri"/>
        <family val="2"/>
        <scheme val="minor"/>
      </rPr>
      <t>NotSelected</t>
    </r>
    <r>
      <rPr>
        <sz val="10"/>
        <color theme="1"/>
        <rFont val="Calibri"/>
        <family val="2"/>
        <scheme val="minor"/>
      </rPr>
      <t xml:space="preserve"> - Not selected
</t>
    </r>
  </si>
  <si>
    <t>Postsecondary: As defined in IPEDS</t>
  </si>
  <si>
    <t>000255</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</si>
  <si>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</si>
  <si>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</si>
  <si>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</si>
  <si>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</si>
  <si>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</si>
  <si>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Short Name of Institution</t>
  </si>
  <si>
    <t>The name of the institution, which may be the abbreviated form of the full legally accepted name.</t>
  </si>
  <si>
    <t>Adult Education -&gt; AE Provider
Adult Education -&gt; AE Staff -&gt; Education
Early Learning -&gt; EL Staff -&gt; Education
K12 -&gt; K12 School -&gt; Identification
K12 -&gt; K12 Staff -&gt; Education
Postsecondary -&gt; PS Institution -&gt; Directory
Postsecondary -&gt; PS Student -&gt; K12 Transcript</t>
  </si>
  <si>
    <t>An abbreviated name of an institution is commonly used, especially in reports and applications, e.g. a K12 school with the full legal name "Dr. Martin Luther King, Jr. Elementary School" may use "King Elementary".</t>
  </si>
  <si>
    <t>001487</t>
  </si>
  <si>
    <t>ShortNameOfInstitution</t>
  </si>
  <si>
    <t>Shortened Expulsion</t>
  </si>
  <si>
    <t>An expulsion with or without services that is shortened to a term of less than one year by the superintendent or chief administrator of a school district.</t>
  </si>
  <si>
    <t>000514</t>
  </si>
  <si>
    <t>ShortenedExpulsion</t>
  </si>
  <si>
    <t>Significant Cognitive Disability Indicator</t>
  </si>
  <si>
    <t>Student has an existing IDEA disability with cognitive impairments which may prevent him/her from attaining grade-level achievement standards.</t>
  </si>
  <si>
    <t>001765</t>
  </si>
  <si>
    <t>SignificantCognitiveDisabilityIndicator</t>
  </si>
  <si>
    <t>Single Parent or Single Pregnant Woman Status</t>
  </si>
  <si>
    <t>A student who, at some time during the school year, is either a pregnant female student who is unmarried; or a male or female student who is unmarried or legally separated from a spouse and has a minor child or children.</t>
  </si>
  <si>
    <t>Adult Education -&gt; AE Student -&gt; Status
Career and Technical -&gt; CTE Student -&gt; Program Participation
Postsecondary -&gt; PS Student -&gt; Demographic</t>
  </si>
  <si>
    <t>000580</t>
  </si>
  <si>
    <t>SingleParentOrSinglePregnantWomanStatus</t>
  </si>
  <si>
    <t>Site Name</t>
  </si>
  <si>
    <t>The full, legally accepted name of the institution at the site level.</t>
  </si>
  <si>
    <t>Early Learning -&gt; EL Organization -&gt; Site Level Characteristics</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</si>
  <si>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</si>
  <si>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</si>
  <si>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</si>
  <si>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</si>
  <si>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</si>
  <si>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</si>
  <si>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</si>
  <si>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</si>
  <si>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</si>
  <si>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</si>
  <si>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</si>
  <si>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</si>
  <si>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</si>
  <si>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</si>
  <si>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</si>
  <si>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</si>
  <si>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r>
      <t>Wages</t>
    </r>
    <r>
      <rPr>
        <sz val="10"/>
        <color theme="1"/>
        <rFont val="Calibri"/>
        <family val="2"/>
        <scheme val="minor"/>
      </rPr>
      <t xml:space="preserve"> - Wages
</t>
    </r>
    <r>
      <rPr>
        <b/>
        <sz val="10"/>
        <color theme="1"/>
        <rFont val="Calibri"/>
        <family val="2"/>
        <scheme val="minor"/>
      </rPr>
      <t>Alimony</t>
    </r>
    <r>
      <rPr>
        <sz val="10"/>
        <color theme="1"/>
        <rFont val="Calibri"/>
        <family val="2"/>
        <scheme val="minor"/>
      </rPr>
      <t xml:space="preserve"> - Alimony
</t>
    </r>
    <r>
      <rPr>
        <b/>
        <sz val="10"/>
        <color theme="1"/>
        <rFont val="Calibri"/>
        <family val="2"/>
        <scheme val="minor"/>
      </rPr>
      <t>ChildSupport</t>
    </r>
    <r>
      <rPr>
        <sz val="10"/>
        <color theme="1"/>
        <rFont val="Calibri"/>
        <family val="2"/>
        <scheme val="minor"/>
      </rPr>
      <t xml:space="preserve"> - Child support
</t>
    </r>
    <r>
      <rPr>
        <b/>
        <sz val="10"/>
        <color theme="1"/>
        <rFont val="Calibri"/>
        <family val="2"/>
        <scheme val="minor"/>
      </rPr>
      <t>WorkersComp</t>
    </r>
    <r>
      <rPr>
        <sz val="10"/>
        <color theme="1"/>
        <rFont val="Calibri"/>
        <family val="2"/>
        <scheme val="minor"/>
      </rPr>
      <t xml:space="preserve"> - Worker's compensation
</t>
    </r>
    <r>
      <rPr>
        <b/>
        <sz val="10"/>
        <color theme="1"/>
        <rFont val="Calibri"/>
        <family val="2"/>
        <scheme val="minor"/>
      </rPr>
      <t>Unemployment</t>
    </r>
    <r>
      <rPr>
        <sz val="10"/>
        <color theme="1"/>
        <rFont val="Calibri"/>
        <family val="2"/>
        <scheme val="minor"/>
      </rPr>
      <t xml:space="preserve"> - Unemployment
</t>
    </r>
    <r>
      <rPr>
        <b/>
        <sz val="10"/>
        <color theme="1"/>
        <rFont val="Calibri"/>
        <family val="2"/>
        <scheme val="minor"/>
      </rPr>
      <t>SSI</t>
    </r>
    <r>
      <rPr>
        <sz val="10"/>
        <color theme="1"/>
        <rFont val="Calibri"/>
        <family val="2"/>
        <scheme val="minor"/>
      </rPr>
      <t xml:space="preserve"> - Supplemental security income
</t>
    </r>
    <r>
      <rPr>
        <b/>
        <sz val="10"/>
        <color theme="1"/>
        <rFont val="Calibri"/>
        <family val="2"/>
        <scheme val="minor"/>
      </rPr>
      <t>TANF</t>
    </r>
    <r>
      <rPr>
        <sz val="10"/>
        <color theme="1"/>
        <rFont val="Calibri"/>
        <family val="2"/>
        <scheme val="minor"/>
      </rPr>
      <t xml:space="preserve"> - Temporary assistance for needy families
</t>
    </r>
    <r>
      <rPr>
        <b/>
        <sz val="10"/>
        <color theme="1"/>
        <rFont val="Calibri"/>
        <family val="2"/>
        <scheme val="minor"/>
      </rPr>
      <t>Agricultural</t>
    </r>
    <r>
      <rPr>
        <sz val="10"/>
        <color theme="1"/>
        <rFont val="Calibri"/>
        <family val="2"/>
        <scheme val="minor"/>
      </rPr>
      <t xml:space="preserve"> - Agricultural
</t>
    </r>
    <r>
      <rPr>
        <b/>
        <sz val="10"/>
        <color theme="1"/>
        <rFont val="Calibri"/>
        <family val="2"/>
        <scheme val="minor"/>
      </rPr>
      <t>Other</t>
    </r>
    <r>
      <rPr>
        <sz val="10"/>
        <color theme="1"/>
        <rFont val="Calibri"/>
        <family val="2"/>
        <scheme val="minor"/>
      </rPr>
      <t xml:space="preserve"> - Other
</t>
    </r>
  </si>
  <si>
    <t>000333</t>
  </si>
  <si>
    <t>SourceOfFamilyIncome</t>
  </si>
  <si>
    <t>Special Circumstances Population Served</t>
  </si>
  <si>
    <t>Program provides services to meet the needs of children in special circumstances.</t>
  </si>
  <si>
    <r>
      <t>ELL</t>
    </r>
    <r>
      <rPr>
        <sz val="10"/>
        <color theme="1"/>
        <rFont val="Calibri"/>
        <family val="2"/>
        <scheme val="minor"/>
      </rPr>
      <t xml:space="preserve"> - English language learners
</t>
    </r>
    <r>
      <rPr>
        <b/>
        <sz val="10"/>
        <color theme="1"/>
        <rFont val="Calibri"/>
        <family val="2"/>
        <scheme val="minor"/>
      </rPr>
      <t>CWD</t>
    </r>
    <r>
      <rPr>
        <sz val="10"/>
        <color theme="1"/>
        <rFont val="Calibri"/>
        <family val="2"/>
        <scheme val="minor"/>
      </rPr>
      <t xml:space="preserve"> - Children with disabilities
</t>
    </r>
    <r>
      <rPr>
        <b/>
        <sz val="10"/>
        <color theme="1"/>
        <rFont val="Calibri"/>
        <family val="2"/>
        <scheme val="minor"/>
      </rPr>
      <t>Homeless</t>
    </r>
    <r>
      <rPr>
        <sz val="10"/>
        <color theme="1"/>
        <rFont val="Calibri"/>
        <family val="2"/>
        <scheme val="minor"/>
      </rPr>
      <t xml:space="preserve"> - Homeless
</t>
    </r>
    <r>
      <rPr>
        <b/>
        <sz val="10"/>
        <color theme="1"/>
        <rFont val="Calibri"/>
        <family val="2"/>
        <scheme val="minor"/>
      </rPr>
      <t>MentalHealth</t>
    </r>
    <r>
      <rPr>
        <sz val="10"/>
        <color theme="1"/>
        <rFont val="Calibri"/>
        <family val="2"/>
        <scheme val="minor"/>
      </rPr>
      <t xml:space="preserve"> - Mental health
</t>
    </r>
    <r>
      <rPr>
        <b/>
        <sz val="10"/>
        <color theme="1"/>
        <rFont val="Calibri"/>
        <family val="2"/>
        <scheme val="minor"/>
      </rPr>
      <t>SpecialHealthNeeds</t>
    </r>
    <r>
      <rPr>
        <sz val="10"/>
        <color theme="1"/>
        <rFont val="Calibri"/>
        <family val="2"/>
        <scheme val="minor"/>
      </rPr>
      <t xml:space="preserve"> - Special health needs
</t>
    </r>
    <r>
      <rPr>
        <b/>
        <sz val="10"/>
        <color theme="1"/>
        <rFont val="Calibri"/>
        <family val="2"/>
        <scheme val="minor"/>
      </rPr>
      <t>Foster</t>
    </r>
    <r>
      <rPr>
        <sz val="10"/>
        <color theme="1"/>
        <rFont val="Calibri"/>
        <family val="2"/>
        <scheme val="minor"/>
      </rPr>
      <t xml:space="preserve"> - Foster
</t>
    </r>
    <r>
      <rPr>
        <b/>
        <sz val="10"/>
        <color theme="1"/>
        <rFont val="Calibri"/>
        <family val="2"/>
        <scheme val="minor"/>
      </rPr>
      <t>Other</t>
    </r>
    <r>
      <rPr>
        <sz val="10"/>
        <color theme="1"/>
        <rFont val="Calibri"/>
        <family val="2"/>
        <scheme val="minor"/>
      </rPr>
      <t xml:space="preserve"> - Other
</t>
    </r>
  </si>
  <si>
    <t>000852</t>
  </si>
  <si>
    <t>SpecialCircumstancesPopulationServed</t>
  </si>
  <si>
    <t>Special Education Age Group Taught</t>
  </si>
  <si>
    <t>The age range of special education students taught.</t>
  </si>
  <si>
    <r>
      <t>3TO5</t>
    </r>
    <r>
      <rPr>
        <sz val="10"/>
        <color theme="1"/>
        <rFont val="Calibri"/>
        <family val="2"/>
        <scheme val="minor"/>
      </rPr>
      <t xml:space="preserve"> - 3 through 5
</t>
    </r>
    <r>
      <rPr>
        <b/>
        <sz val="10"/>
        <color theme="1"/>
        <rFont val="Calibri"/>
        <family val="2"/>
        <scheme val="minor"/>
      </rPr>
      <t>6TO21</t>
    </r>
    <r>
      <rPr>
        <sz val="10"/>
        <color theme="1"/>
        <rFont val="Calibri"/>
        <family val="2"/>
        <scheme val="minor"/>
      </rPr>
      <t xml:space="preserve"> - 6 through 21
</t>
    </r>
  </si>
  <si>
    <t>000564</t>
  </si>
  <si>
    <t>SpecialEducationAgeGroupTaught</t>
  </si>
  <si>
    <t>Special Education Exit Reason</t>
  </si>
  <si>
    <t>The reason children who were in special education at the start of the reporting period were not in special education at the end of the reporting period.</t>
  </si>
  <si>
    <r>
      <t>HighSchoolDiploma</t>
    </r>
    <r>
      <rPr>
        <sz val="10"/>
        <color theme="1"/>
        <rFont val="Calibri"/>
        <family val="2"/>
        <scheme val="minor"/>
      </rPr>
      <t xml:space="preserve"> - Graduated with regular high school diploma
</t>
    </r>
    <r>
      <rPr>
        <b/>
        <sz val="10"/>
        <color theme="1"/>
        <rFont val="Calibri"/>
        <family val="2"/>
        <scheme val="minor"/>
      </rPr>
      <t>ReceivedCertificate</t>
    </r>
    <r>
      <rPr>
        <sz val="10"/>
        <color theme="1"/>
        <rFont val="Calibri"/>
        <family val="2"/>
        <scheme val="minor"/>
      </rPr>
      <t xml:space="preserve"> - Received a certificate
</t>
    </r>
    <r>
      <rPr>
        <b/>
        <sz val="10"/>
        <color theme="1"/>
        <rFont val="Calibri"/>
        <family val="2"/>
        <scheme val="minor"/>
      </rPr>
      <t>ReachedMaximumAge</t>
    </r>
    <r>
      <rPr>
        <sz val="10"/>
        <color theme="1"/>
        <rFont val="Calibri"/>
        <family val="2"/>
        <scheme val="minor"/>
      </rPr>
      <t xml:space="preserve"> - Reached maximum age
</t>
    </r>
    <r>
      <rPr>
        <b/>
        <sz val="10"/>
        <color theme="1"/>
        <rFont val="Calibri"/>
        <family val="2"/>
        <scheme val="minor"/>
      </rPr>
      <t>Died</t>
    </r>
    <r>
      <rPr>
        <sz val="10"/>
        <color theme="1"/>
        <rFont val="Calibri"/>
        <family val="2"/>
        <scheme val="minor"/>
      </rPr>
      <t xml:space="preserve"> - Died
</t>
    </r>
    <r>
      <rPr>
        <b/>
        <sz val="10"/>
        <color theme="1"/>
        <rFont val="Calibri"/>
        <family val="2"/>
        <scheme val="minor"/>
      </rPr>
      <t>MovedAndContinuing</t>
    </r>
    <r>
      <rPr>
        <sz val="10"/>
        <color theme="1"/>
        <rFont val="Calibri"/>
        <family val="2"/>
        <scheme val="minor"/>
      </rPr>
      <t xml:space="preserve"> - Moved, known to be continuing
</t>
    </r>
    <r>
      <rPr>
        <b/>
        <sz val="10"/>
        <color theme="1"/>
        <rFont val="Calibri"/>
        <family val="2"/>
        <scheme val="minor"/>
      </rPr>
      <t>DroppedOut</t>
    </r>
    <r>
      <rPr>
        <sz val="10"/>
        <color theme="1"/>
        <rFont val="Calibri"/>
        <family val="2"/>
        <scheme val="minor"/>
      </rPr>
      <t xml:space="preserve"> - Dropped out
</t>
    </r>
    <r>
      <rPr>
        <b/>
        <sz val="10"/>
        <color theme="1"/>
        <rFont val="Calibri"/>
        <family val="2"/>
        <scheme val="minor"/>
      </rPr>
      <t>Transferred</t>
    </r>
    <r>
      <rPr>
        <sz val="10"/>
        <color theme="1"/>
        <rFont val="Calibri"/>
        <family val="2"/>
        <scheme val="minor"/>
      </rPr>
      <t xml:space="preserve"> - Transferred to regular education
</t>
    </r>
    <r>
      <rPr>
        <b/>
        <sz val="10"/>
        <color theme="1"/>
        <rFont val="Calibri"/>
        <family val="2"/>
        <scheme val="minor"/>
      </rPr>
      <t>PartCNoLongerEligible</t>
    </r>
    <r>
      <rPr>
        <sz val="10"/>
        <color theme="1"/>
        <rFont val="Calibri"/>
        <family val="2"/>
        <scheme val="minor"/>
      </rPr>
      <t xml:space="preserve"> - No longer eligible for Part C prior to reaching age three.
</t>
    </r>
    <r>
      <rPr>
        <b/>
        <sz val="10"/>
        <color theme="1"/>
        <rFont val="Calibri"/>
        <family val="2"/>
        <scheme val="minor"/>
      </rPr>
      <t>PartBEligibleExitingPartC</t>
    </r>
    <r>
      <rPr>
        <sz val="10"/>
        <color theme="1"/>
        <rFont val="Calibri"/>
        <family val="2"/>
        <scheme val="minor"/>
      </rPr>
      <t xml:space="preserve"> - Part B eligible, exiting Part C.
</t>
    </r>
    <r>
      <rPr>
        <b/>
        <sz val="10"/>
        <color theme="1"/>
        <rFont val="Calibri"/>
        <family val="2"/>
        <scheme val="minor"/>
      </rPr>
      <t>PartBEligibleContinuingPartC</t>
    </r>
    <r>
      <rPr>
        <sz val="10"/>
        <color theme="1"/>
        <rFont val="Calibri"/>
        <family val="2"/>
        <scheme val="minor"/>
      </rPr>
      <t xml:space="preserve"> - Part B eligible, continuing in Part C.
</t>
    </r>
    <r>
      <rPr>
        <b/>
        <sz val="10"/>
        <color theme="1"/>
        <rFont val="Calibri"/>
        <family val="2"/>
        <scheme val="minor"/>
      </rPr>
      <t>NotPartBEligibleExitingPartCWithReferrrals</t>
    </r>
    <r>
      <rPr>
        <sz val="10"/>
        <color theme="1"/>
        <rFont val="Calibri"/>
        <family val="2"/>
        <scheme val="minor"/>
      </rPr>
      <t xml:space="preserve"> - Not eligible for Part B, exit with referrals to other programs.
</t>
    </r>
    <r>
      <rPr>
        <b/>
        <sz val="10"/>
        <color theme="1"/>
        <rFont val="Calibri"/>
        <family val="2"/>
        <scheme val="minor"/>
      </rPr>
      <t>NotPartBEligibleExitingPartCWithoutReferrrals</t>
    </r>
    <r>
      <rPr>
        <sz val="10"/>
        <color theme="1"/>
        <rFont val="Calibri"/>
        <family val="2"/>
        <scheme val="minor"/>
      </rPr>
      <t xml:space="preserve"> - Not eligible for Part B, exit with no referrals.
</t>
    </r>
    <r>
      <rPr>
        <b/>
        <sz val="10"/>
        <color theme="1"/>
        <rFont val="Calibri"/>
        <family val="2"/>
        <scheme val="minor"/>
      </rPr>
      <t>PartBEligibilityNotDeterminedExitingPartC</t>
    </r>
    <r>
      <rPr>
        <sz val="10"/>
        <color theme="1"/>
        <rFont val="Calibri"/>
        <family val="2"/>
        <scheme val="minor"/>
      </rPr>
      <t xml:space="preserve"> - Part B eligibility not determined.
</t>
    </r>
    <r>
      <rPr>
        <b/>
        <sz val="10"/>
        <color theme="1"/>
        <rFont val="Calibri"/>
        <family val="2"/>
        <scheme val="minor"/>
      </rPr>
      <t>WithdrawalByParent</t>
    </r>
    <r>
      <rPr>
        <sz val="10"/>
        <color theme="1"/>
        <rFont val="Calibri"/>
        <family val="2"/>
        <scheme val="minor"/>
      </rPr>
      <t xml:space="preserve"> - Withdrawal by parent (or guardian).
</t>
    </r>
    <r>
      <rPr>
        <b/>
        <sz val="10"/>
        <color theme="1"/>
        <rFont val="Calibri"/>
        <family val="2"/>
        <scheme val="minor"/>
      </rPr>
      <t>MovedOutOfState</t>
    </r>
    <r>
      <rPr>
        <sz val="10"/>
        <color theme="1"/>
        <rFont val="Calibri"/>
        <family val="2"/>
        <scheme val="minor"/>
      </rPr>
      <t xml:space="preserve"> - Moved out of State
</t>
    </r>
    <r>
      <rPr>
        <b/>
        <sz val="10"/>
        <color theme="1"/>
        <rFont val="Calibri"/>
        <family val="2"/>
        <scheme val="minor"/>
      </rPr>
      <t>Unreachable</t>
    </r>
    <r>
      <rPr>
        <sz val="10"/>
        <color theme="1"/>
        <rFont val="Calibri"/>
        <family val="2"/>
        <scheme val="minor"/>
      </rPr>
      <t xml:space="preserve"> - Attempts to contact the parent and/or child were unsuccessful.
</t>
    </r>
    <r>
      <rPr>
        <b/>
        <sz val="10"/>
        <color theme="1"/>
        <rFont val="Calibri"/>
        <family val="2"/>
        <scheme val="minor"/>
      </rPr>
      <t>GraduatedAlternateDiploma</t>
    </r>
    <r>
      <rPr>
        <sz val="10"/>
        <color theme="1"/>
        <rFont val="Calibri"/>
        <family val="2"/>
        <scheme val="minor"/>
      </rPr>
      <t xml:space="preserve"> - Graduated with an alternate diploma
</t>
    </r>
  </si>
  <si>
    <t>Early Learning -&gt; EL Child -&gt; Services
K12 -&gt; K12 Student -&gt; IDEA</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</si>
  <si>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</si>
  <si>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</si>
  <si>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</si>
  <si>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</si>
  <si>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</si>
  <si>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</si>
  <si>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</si>
  <si>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</si>
  <si>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</si>
  <si>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</si>
  <si>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</si>
  <si>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</si>
  <si>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</si>
  <si>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</si>
  <si>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</si>
  <si>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</si>
  <si>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</si>
  <si>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</si>
  <si>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</si>
  <si>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</si>
  <si>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Special Education Support Services Category</t>
  </si>
  <si>
    <t>Titles of personnel employed and contracted to provide special education and related services for children with disabilities.</t>
  </si>
  <si>
    <r>
      <t>PSYCH</t>
    </r>
    <r>
      <rPr>
        <sz val="10"/>
        <color theme="1"/>
        <rFont val="Calibri"/>
        <family val="2"/>
        <scheme val="minor"/>
      </rPr>
      <t xml:space="preserve"> - Psychologists
</t>
    </r>
    <r>
      <rPr>
        <b/>
        <sz val="10"/>
        <color theme="1"/>
        <rFont val="Calibri"/>
        <family val="2"/>
        <scheme val="minor"/>
      </rPr>
      <t>SOCIALWORK</t>
    </r>
    <r>
      <rPr>
        <sz val="10"/>
        <color theme="1"/>
        <rFont val="Calibri"/>
        <family val="2"/>
        <scheme val="minor"/>
      </rPr>
      <t xml:space="preserve"> - Social Workers
</t>
    </r>
    <r>
      <rPr>
        <b/>
        <sz val="10"/>
        <color theme="1"/>
        <rFont val="Calibri"/>
        <family val="2"/>
        <scheme val="minor"/>
      </rPr>
      <t>OCCTHERAP</t>
    </r>
    <r>
      <rPr>
        <sz val="10"/>
        <color theme="1"/>
        <rFont val="Calibri"/>
        <family val="2"/>
        <scheme val="minor"/>
      </rPr>
      <t xml:space="preserve"> - Occupational Therapists
</t>
    </r>
    <r>
      <rPr>
        <b/>
        <sz val="10"/>
        <color theme="1"/>
        <rFont val="Calibri"/>
        <family val="2"/>
        <scheme val="minor"/>
      </rPr>
      <t>AUDIO</t>
    </r>
    <r>
      <rPr>
        <sz val="10"/>
        <color theme="1"/>
        <rFont val="Calibri"/>
        <family val="2"/>
        <scheme val="minor"/>
      </rPr>
      <t xml:space="preserve"> - Audiologists
</t>
    </r>
    <r>
      <rPr>
        <b/>
        <sz val="10"/>
        <color theme="1"/>
        <rFont val="Calibri"/>
        <family val="2"/>
        <scheme val="minor"/>
      </rPr>
      <t>PEANDREC</t>
    </r>
    <r>
      <rPr>
        <sz val="10"/>
        <color theme="1"/>
        <rFont val="Calibri"/>
        <family val="2"/>
        <scheme val="minor"/>
      </rPr>
      <t xml:space="preserve"> - Physical Education Teachers and Recreation and Therapeutic Recreation Specialists
</t>
    </r>
    <r>
      <rPr>
        <b/>
        <sz val="10"/>
        <color theme="1"/>
        <rFont val="Calibri"/>
        <family val="2"/>
        <scheme val="minor"/>
      </rPr>
      <t>PHYSTHERAP</t>
    </r>
    <r>
      <rPr>
        <sz val="10"/>
        <color theme="1"/>
        <rFont val="Calibri"/>
        <family val="2"/>
        <scheme val="minor"/>
      </rPr>
      <t xml:space="preserve"> - Physical Therapists
</t>
    </r>
    <r>
      <rPr>
        <b/>
        <sz val="10"/>
        <color theme="1"/>
        <rFont val="Calibri"/>
        <family val="2"/>
        <scheme val="minor"/>
      </rPr>
      <t>SPEECHPATH</t>
    </r>
    <r>
      <rPr>
        <sz val="10"/>
        <color theme="1"/>
        <rFont val="Calibri"/>
        <family val="2"/>
        <scheme val="minor"/>
      </rPr>
      <t xml:space="preserve"> - Speech-Language Pathologists
</t>
    </r>
    <r>
      <rPr>
        <b/>
        <sz val="10"/>
        <color theme="1"/>
        <rFont val="Calibri"/>
        <family val="2"/>
        <scheme val="minor"/>
      </rPr>
      <t>INTERPRET</t>
    </r>
    <r>
      <rPr>
        <sz val="10"/>
        <color theme="1"/>
        <rFont val="Calibri"/>
        <family val="2"/>
        <scheme val="minor"/>
      </rPr>
      <t xml:space="preserve"> - Interpreters
</t>
    </r>
    <r>
      <rPr>
        <b/>
        <sz val="10"/>
        <color theme="1"/>
        <rFont val="Calibri"/>
        <family val="2"/>
        <scheme val="minor"/>
      </rPr>
      <t>COUNSELOR</t>
    </r>
    <r>
      <rPr>
        <sz val="10"/>
        <color theme="1"/>
        <rFont val="Calibri"/>
        <family val="2"/>
        <scheme val="minor"/>
      </rPr>
      <t xml:space="preserve"> - Counselors and Rehabilitation Counselors
</t>
    </r>
    <r>
      <rPr>
        <b/>
        <sz val="10"/>
        <color theme="1"/>
        <rFont val="Calibri"/>
        <family val="2"/>
        <scheme val="minor"/>
      </rPr>
      <t>ORIENTMOBIL</t>
    </r>
    <r>
      <rPr>
        <sz val="10"/>
        <color theme="1"/>
        <rFont val="Calibri"/>
        <family val="2"/>
        <scheme val="minor"/>
      </rPr>
      <t xml:space="preserve"> - Orientation and Mobility Specialists
</t>
    </r>
    <r>
      <rPr>
        <b/>
        <sz val="10"/>
        <color theme="1"/>
        <rFont val="Calibri"/>
        <family val="2"/>
        <scheme val="minor"/>
      </rPr>
      <t>MEDNURSE</t>
    </r>
    <r>
      <rPr>
        <sz val="10"/>
        <color theme="1"/>
        <rFont val="Calibri"/>
        <family val="2"/>
        <scheme val="minor"/>
      </rPr>
      <t xml:space="preserve"> - Medical/Nursing Service Staff
</t>
    </r>
  </si>
  <si>
    <t>K12 -&gt; K12 Staff -&gt; Assignment
K12 -&gt; K12 Student -&gt; Individualized Program -&gt; Services -&gt; Service Provider</t>
  </si>
  <si>
    <t>000558</t>
  </si>
  <si>
    <t>SpecialEducationSupportServicesCategory</t>
  </si>
  <si>
    <t>Special Education Teacher</t>
  </si>
  <si>
    <t>An indication of whether a teacher is employed or contracted to work with children with disabilities who are ages 3 through 21.</t>
  </si>
  <si>
    <t>000264</t>
  </si>
  <si>
    <t>SpecialEducationTeacher</t>
  </si>
  <si>
    <t>Special Needs Policy</t>
  </si>
  <si>
    <t>Program ensures that policies are in place for Individualized Education Programs (IEPs) or Individual Family Service Plans (IFSPs) to meet the child's unique needs.</t>
  </si>
  <si>
    <t>Early Learning -&gt; EL Organization -&gt; Inclusion</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</si>
  <si>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</si>
  <si>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</si>
  <si>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</si>
  <si>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</si>
  <si>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</si>
  <si>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</si>
  <si>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</si>
  <si>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</si>
  <si>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</si>
  <si>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</si>
  <si>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</si>
  <si>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</si>
  <si>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</si>
  <si>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</si>
  <si>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</si>
  <si>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</si>
  <si>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</si>
  <si>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</si>
  <si>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</si>
  <si>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</si>
  <si>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</si>
  <si>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</si>
  <si>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</si>
  <si>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</si>
  <si>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</si>
  <si>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</si>
  <si>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</si>
  <si>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</si>
  <si>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</si>
  <si>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</si>
  <si>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</si>
  <si>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</si>
  <si>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Total annualized salary of staff at the specific school/program indicated on the record in the school/program year specified on the record.</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</si>
  <si>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</si>
  <si>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</si>
  <si>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</si>
  <si>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</si>
  <si>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</si>
  <si>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</si>
  <si>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</si>
  <si>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</si>
  <si>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</si>
  <si>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</si>
  <si>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</si>
  <si>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</si>
  <si>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</si>
  <si>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</si>
  <si>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</si>
  <si>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The quantitative or qualitative range of possible scores/rating for a person's performance (e.g., 0 - 10; Poor, Fair, Average, Good, Excellent).</t>
  </si>
  <si>
    <t>000103</t>
  </si>
  <si>
    <t>StaffEvaluationScale</t>
  </si>
  <si>
    <t>Staff Evaluation Score or Rating</t>
  </si>
  <si>
    <t>The actual quantitative or qualitative assessment of a person's performance.</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</si>
  <si>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</si>
  <si>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</si>
  <si>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</si>
  <si>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</si>
  <si>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</si>
  <si>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</si>
  <si>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</si>
  <si>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</si>
  <si>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Early Learning -&gt; EL Staff -&gt; Employment
K12 -&gt; K12 Staff -&gt; Assignment</t>
  </si>
  <si>
    <t>000118</t>
  </si>
  <si>
    <t>Staff FTE</t>
  </si>
  <si>
    <t>StaffFullTimeEquivalency</t>
  </si>
  <si>
    <t>K-12 -&gt; Civil Rights Data Collection
K-12 -&gt; Teacher Compensation Survey</t>
  </si>
  <si>
    <t>Staff Member Identification System</t>
  </si>
  <si>
    <t>A coding scheme that is used for identification and record-keeping purposes by schools, social services, registry, or other agencies to refer to a staff member.</t>
  </si>
  <si>
    <r>
      <t>SSN</t>
    </r>
    <r>
      <rPr>
        <sz val="10"/>
        <color theme="1"/>
        <rFont val="Calibri"/>
        <family val="2"/>
        <scheme val="minor"/>
      </rPr>
      <t xml:space="preserve"> - Social Security Administration number
</t>
    </r>
    <r>
      <rPr>
        <b/>
        <sz val="10"/>
        <color theme="1"/>
        <rFont val="Calibri"/>
        <family val="2"/>
        <scheme val="minor"/>
      </rPr>
      <t>USVisa</t>
    </r>
    <r>
      <rPr>
        <sz val="10"/>
        <color theme="1"/>
        <rFont val="Calibri"/>
        <family val="2"/>
        <scheme val="minor"/>
      </rPr>
      <t xml:space="preserve"> - US government Visa number
</t>
    </r>
    <r>
      <rPr>
        <b/>
        <sz val="10"/>
        <color theme="1"/>
        <rFont val="Calibri"/>
        <family val="2"/>
        <scheme val="minor"/>
      </rPr>
      <t>PIN</t>
    </r>
    <r>
      <rPr>
        <sz val="10"/>
        <color theme="1"/>
        <rFont val="Calibri"/>
        <family val="2"/>
        <scheme val="minor"/>
      </rPr>
      <t xml:space="preserve"> - Personal identification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DriversLicense</t>
    </r>
    <r>
      <rPr>
        <sz val="10"/>
        <color theme="1"/>
        <rFont val="Calibri"/>
        <family val="2"/>
        <scheme val="minor"/>
      </rPr>
      <t xml:space="preserve"> - Driver's license number
</t>
    </r>
    <r>
      <rPr>
        <b/>
        <sz val="10"/>
        <color theme="1"/>
        <rFont val="Calibri"/>
        <family val="2"/>
        <scheme val="minor"/>
      </rPr>
      <t>Medicaid</t>
    </r>
    <r>
      <rPr>
        <sz val="10"/>
        <color theme="1"/>
        <rFont val="Calibri"/>
        <family val="2"/>
        <scheme val="minor"/>
      </rPr>
      <t xml:space="preserve"> - Medicaid number
</t>
    </r>
    <r>
      <rPr>
        <b/>
        <sz val="10"/>
        <color theme="1"/>
        <rFont val="Calibri"/>
        <family val="2"/>
        <scheme val="minor"/>
      </rPr>
      <t>HealthRecord</t>
    </r>
    <r>
      <rPr>
        <sz val="10"/>
        <color theme="1"/>
        <rFont val="Calibri"/>
        <family val="2"/>
        <scheme val="minor"/>
      </rPr>
      <t xml:space="preserve"> - Health record number
</t>
    </r>
    <r>
      <rPr>
        <b/>
        <sz val="10"/>
        <color theme="1"/>
        <rFont val="Calibri"/>
        <family val="2"/>
        <scheme val="minor"/>
      </rPr>
      <t>ProfessionalCertificate</t>
    </r>
    <r>
      <rPr>
        <sz val="10"/>
        <color theme="1"/>
        <rFont val="Calibri"/>
        <family val="2"/>
        <scheme val="minor"/>
      </rPr>
      <t xml:space="preserve"> - Professional certificate or license number
</t>
    </r>
    <r>
      <rPr>
        <b/>
        <sz val="10"/>
        <color theme="1"/>
        <rFont val="Calibri"/>
        <family val="2"/>
        <scheme val="minor"/>
      </rPr>
      <t>School</t>
    </r>
    <r>
      <rPr>
        <sz val="10"/>
        <color theme="1"/>
        <rFont val="Calibri"/>
        <family val="2"/>
        <scheme val="minor"/>
      </rPr>
      <t xml:space="preserve"> - School-assigned number
</t>
    </r>
    <r>
      <rPr>
        <b/>
        <sz val="10"/>
        <color theme="1"/>
        <rFont val="Calibri"/>
        <family val="2"/>
        <scheme val="minor"/>
      </rPr>
      <t>District</t>
    </r>
    <r>
      <rPr>
        <sz val="10"/>
        <color theme="1"/>
        <rFont val="Calibri"/>
        <family val="2"/>
        <scheme val="minor"/>
      </rPr>
      <t xml:space="preserve"> - District-assigned number
</t>
    </r>
    <r>
      <rPr>
        <b/>
        <sz val="10"/>
        <color theme="1"/>
        <rFont val="Calibri"/>
        <family val="2"/>
        <scheme val="minor"/>
      </rPr>
      <t>State</t>
    </r>
    <r>
      <rPr>
        <sz val="10"/>
        <color theme="1"/>
        <rFont val="Calibri"/>
        <family val="2"/>
        <scheme val="minor"/>
      </rPr>
      <t xml:space="preserve"> - State-assigned number
</t>
    </r>
    <r>
      <rPr>
        <b/>
        <sz val="10"/>
        <color theme="1"/>
        <rFont val="Calibri"/>
        <family val="2"/>
        <scheme val="minor"/>
      </rPr>
      <t>OtherFederal</t>
    </r>
    <r>
      <rPr>
        <sz val="10"/>
        <color theme="1"/>
        <rFont val="Calibri"/>
        <family val="2"/>
        <scheme val="minor"/>
      </rPr>
      <t xml:space="preserve"> - Other federally assigned number
</t>
    </r>
    <r>
      <rPr>
        <b/>
        <sz val="10"/>
        <color theme="1"/>
        <rFont val="Calibri"/>
        <family val="2"/>
        <scheme val="minor"/>
      </rPr>
      <t>SelectiveService</t>
    </r>
    <r>
      <rPr>
        <sz val="10"/>
        <color theme="1"/>
        <rFont val="Calibri"/>
        <family val="2"/>
        <scheme val="minor"/>
      </rPr>
      <t xml:space="preserve"> - Selective Service Number
</t>
    </r>
    <r>
      <rPr>
        <b/>
        <sz val="10"/>
        <color theme="1"/>
        <rFont val="Calibri"/>
        <family val="2"/>
        <scheme val="minor"/>
      </rPr>
      <t>CanadianSIN</t>
    </r>
    <r>
      <rPr>
        <sz val="10"/>
        <color theme="1"/>
        <rFont val="Calibri"/>
        <family val="2"/>
        <scheme val="minor"/>
      </rPr>
      <t xml:space="preserve"> - Canadian Social Insurance Number
</t>
    </r>
    <r>
      <rPr>
        <b/>
        <sz val="10"/>
        <color theme="1"/>
        <rFont val="Calibri"/>
        <family val="2"/>
        <scheme val="minor"/>
      </rPr>
      <t>Other</t>
    </r>
    <r>
      <rPr>
        <sz val="10"/>
        <color theme="1"/>
        <rFont val="Calibri"/>
        <family val="2"/>
        <scheme val="minor"/>
      </rPr>
      <t xml:space="preserve"> - Other
</t>
    </r>
  </si>
  <si>
    <t>Adult Education -&gt; AE Staff -&gt; Identity -&gt; Identification
Adult Education -&gt; Course Section -&gt; Staff
Career and Technical -&gt; Course Section -&gt; Staff
Career and Technical -&gt; CTE Staff -&gt; Identity -&gt; Identification
Early Learning -&gt; EL Staff -&gt; Identity -&gt; Identification
Early Learning -&gt; EL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</si>
  <si>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001074</t>
  </si>
  <si>
    <t>StaffMemberIdentificationSystem</t>
  </si>
  <si>
    <t>Early Learning -&gt; Staff Quality
K-12 -&gt; LEA-to-LEA Student Record Exchange
K-12 -&gt; LEA-to-SEA Student Record Exchange
K-12 -&gt; Teacher Compensation Survey
K-12 -&gt; Teacher-Student Data Link -&gt; Staff Assignment</t>
  </si>
  <si>
    <t>Staff Member Identifier</t>
  </si>
  <si>
    <t>A unique number or alphanumeric code assigned to a staff member by a school, school system, a state, registry, or other agency or entity.</t>
  </si>
  <si>
    <t>001070</t>
  </si>
  <si>
    <t>StaffMemberIdentifier</t>
  </si>
  <si>
    <t>Early Learning -&gt; Staff Quality
K-12 -&gt; LEA-to-LEA Student Record Exchange
K-12 -&gt; LEA-to-SEA Student Record Exchange
K-12 -&gt; Teacher Compensation Survey
K-12 -&gt; Teacher-Student Data Link -&gt; Staff Assignment
Postsecondary Education -&gt; IPEDS -&gt; HR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</si>
  <si>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</si>
  <si>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</si>
  <si>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</si>
  <si>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</si>
  <si>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</si>
  <si>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</si>
  <si>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</si>
  <si>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</si>
  <si>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</si>
  <si>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A Bureau of Labor Statistics coding system for classifying occupations by work performed and, in some cases, on the skills, education and training needed to perform the work at a competent level. See http://www.bls.gov/soc/soc_structure_2010.pdf.</t>
  </si>
  <si>
    <t>Career and Technical -&gt; CTE Staff -&gt; Employment (added)
Career and Technical -&gt; CTE Student -&gt; Demographic (added)
Early Learning -&gt; EL Staff -&gt; Employment (added)
Early Learning -&gt; Parent/Guardian -&gt; Demographic
K12 -&gt; K12 Staff -&gt; Employment (added)
K12 -&gt; K12 Student -&gt; Demographic (added)
K12 -&gt; Parent/Guardian -&gt; Demographic
Postsecondary -&gt; Parent/Guardian -&gt; Demographic (added)
Postsecondary -&gt; PS Staff -&gt; Employment
Postsecondary -&gt; PS Student -&gt; Demographic (added)
Workforce -&gt; Workforce Program Participant -&gt; Employment (added)</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</si>
  <si>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</si>
  <si>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</si>
  <si>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</si>
  <si>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</si>
  <si>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</si>
  <si>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</si>
  <si>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</si>
  <si>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</si>
  <si>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</si>
  <si>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</si>
  <si>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r>
      <t>SAT_Reading</t>
    </r>
    <r>
      <rPr>
        <sz val="10"/>
        <color theme="1"/>
        <rFont val="Calibri"/>
        <family val="2"/>
        <scheme val="minor"/>
      </rPr>
      <t xml:space="preserve"> - SAT Reading
</t>
    </r>
    <r>
      <rPr>
        <b/>
        <sz val="10"/>
        <color theme="1"/>
        <rFont val="Calibri"/>
        <family val="2"/>
        <scheme val="minor"/>
      </rPr>
      <t>SAT_Writing</t>
    </r>
    <r>
      <rPr>
        <sz val="10"/>
        <color theme="1"/>
        <rFont val="Calibri"/>
        <family val="2"/>
        <scheme val="minor"/>
      </rPr>
      <t xml:space="preserve"> - SAT Writing
</t>
    </r>
    <r>
      <rPr>
        <b/>
        <sz val="10"/>
        <color theme="1"/>
        <rFont val="Calibri"/>
        <family val="2"/>
        <scheme val="minor"/>
      </rPr>
      <t>SAT_Math</t>
    </r>
    <r>
      <rPr>
        <sz val="10"/>
        <color theme="1"/>
        <rFont val="Calibri"/>
        <family val="2"/>
        <scheme val="minor"/>
      </rPr>
      <t xml:space="preserve"> - SAT Math
</t>
    </r>
    <r>
      <rPr>
        <b/>
        <sz val="10"/>
        <color theme="1"/>
        <rFont val="Calibri"/>
        <family val="2"/>
        <scheme val="minor"/>
      </rPr>
      <t>SAT_Total</t>
    </r>
    <r>
      <rPr>
        <sz val="10"/>
        <color theme="1"/>
        <rFont val="Calibri"/>
        <family val="2"/>
        <scheme val="minor"/>
      </rPr>
      <t xml:space="preserve"> - SAT Total
</t>
    </r>
    <r>
      <rPr>
        <b/>
        <sz val="10"/>
        <color theme="1"/>
        <rFont val="Calibri"/>
        <family val="2"/>
        <scheme val="minor"/>
      </rPr>
      <t>ACT_English</t>
    </r>
    <r>
      <rPr>
        <sz val="10"/>
        <color theme="1"/>
        <rFont val="Calibri"/>
        <family val="2"/>
        <scheme val="minor"/>
      </rPr>
      <t xml:space="preserve"> - ACT English
</t>
    </r>
    <r>
      <rPr>
        <b/>
        <sz val="10"/>
        <color theme="1"/>
        <rFont val="Calibri"/>
        <family val="2"/>
        <scheme val="minor"/>
      </rPr>
      <t>ACT_Math</t>
    </r>
    <r>
      <rPr>
        <sz val="10"/>
        <color theme="1"/>
        <rFont val="Calibri"/>
        <family val="2"/>
        <scheme val="minor"/>
      </rPr>
      <t xml:space="preserve"> - ACT Math
</t>
    </r>
    <r>
      <rPr>
        <b/>
        <sz val="10"/>
        <color theme="1"/>
        <rFont val="Calibri"/>
        <family val="2"/>
        <scheme val="minor"/>
      </rPr>
      <t>ACT_Reading</t>
    </r>
    <r>
      <rPr>
        <sz val="10"/>
        <color theme="1"/>
        <rFont val="Calibri"/>
        <family val="2"/>
        <scheme val="minor"/>
      </rPr>
      <t xml:space="preserve"> - ACT Reading
</t>
    </r>
    <r>
      <rPr>
        <b/>
        <sz val="10"/>
        <color theme="1"/>
        <rFont val="Calibri"/>
        <family val="2"/>
        <scheme val="minor"/>
      </rPr>
      <t>ACT_Science</t>
    </r>
    <r>
      <rPr>
        <sz val="10"/>
        <color theme="1"/>
        <rFont val="Calibri"/>
        <family val="2"/>
        <scheme val="minor"/>
      </rPr>
      <t xml:space="preserve"> - ACT Science
</t>
    </r>
    <r>
      <rPr>
        <b/>
        <sz val="10"/>
        <color theme="1"/>
        <rFont val="Calibri"/>
        <family val="2"/>
        <scheme val="minor"/>
      </rPr>
      <t>ACT_Composite</t>
    </r>
    <r>
      <rPr>
        <sz val="10"/>
        <color theme="1"/>
        <rFont val="Calibri"/>
        <family val="2"/>
        <scheme val="minor"/>
      </rPr>
      <t xml:space="preserve"> - ACT Composite
</t>
    </r>
    <r>
      <rPr>
        <b/>
        <sz val="10"/>
        <color theme="1"/>
        <rFont val="Calibri"/>
        <family val="2"/>
        <scheme val="minor"/>
      </rPr>
      <t>COMPASS_reading</t>
    </r>
    <r>
      <rPr>
        <sz val="10"/>
        <color theme="1"/>
        <rFont val="Calibri"/>
        <family val="2"/>
        <scheme val="minor"/>
      </rPr>
      <t xml:space="preserve"> - COMPASS reading
</t>
    </r>
    <r>
      <rPr>
        <b/>
        <sz val="10"/>
        <color theme="1"/>
        <rFont val="Calibri"/>
        <family val="2"/>
        <scheme val="minor"/>
      </rPr>
      <t>COMPASS_writing</t>
    </r>
    <r>
      <rPr>
        <sz val="10"/>
        <color theme="1"/>
        <rFont val="Calibri"/>
        <family val="2"/>
        <scheme val="minor"/>
      </rPr>
      <t xml:space="preserve"> - COMPASS writing
</t>
    </r>
    <r>
      <rPr>
        <b/>
        <sz val="10"/>
        <color theme="1"/>
        <rFont val="Calibri"/>
        <family val="2"/>
        <scheme val="minor"/>
      </rPr>
      <t>COMPASS_math</t>
    </r>
    <r>
      <rPr>
        <sz val="10"/>
        <color theme="1"/>
        <rFont val="Calibri"/>
        <family val="2"/>
        <scheme val="minor"/>
      </rPr>
      <t xml:space="preserve"> - COMPASS math
</t>
    </r>
    <r>
      <rPr>
        <b/>
        <sz val="10"/>
        <color theme="1"/>
        <rFont val="Calibri"/>
        <family val="2"/>
        <scheme val="minor"/>
      </rPr>
      <t>Accuplacer_reading</t>
    </r>
    <r>
      <rPr>
        <sz val="10"/>
        <color theme="1"/>
        <rFont val="Calibri"/>
        <family val="2"/>
        <scheme val="minor"/>
      </rPr>
      <t xml:space="preserve"> - Accuplacer reading
</t>
    </r>
    <r>
      <rPr>
        <b/>
        <sz val="10"/>
        <color theme="1"/>
        <rFont val="Calibri"/>
        <family val="2"/>
        <scheme val="minor"/>
      </rPr>
      <t>Accuplacer_writing</t>
    </r>
    <r>
      <rPr>
        <sz val="10"/>
        <color theme="1"/>
        <rFont val="Calibri"/>
        <family val="2"/>
        <scheme val="minor"/>
      </rPr>
      <t xml:space="preserve"> - Accuplacer writing
</t>
    </r>
    <r>
      <rPr>
        <b/>
        <sz val="10"/>
        <color theme="1"/>
        <rFont val="Calibri"/>
        <family val="2"/>
        <scheme val="minor"/>
      </rPr>
      <t>Accuplacer_math</t>
    </r>
    <r>
      <rPr>
        <sz val="10"/>
        <color theme="1"/>
        <rFont val="Calibri"/>
        <family val="2"/>
        <scheme val="minor"/>
      </rPr>
      <t xml:space="preserve"> - Accuplacer math
</t>
    </r>
    <r>
      <rPr>
        <b/>
        <sz val="10"/>
        <color theme="1"/>
        <rFont val="Calibri"/>
        <family val="2"/>
        <scheme val="minor"/>
      </rPr>
      <t>Other</t>
    </r>
    <r>
      <rPr>
        <sz val="10"/>
        <color theme="1"/>
        <rFont val="Calibri"/>
        <family val="2"/>
        <scheme val="minor"/>
      </rPr>
      <t xml:space="preserve"> - Other
</t>
    </r>
  </si>
  <si>
    <t>000266</t>
  </si>
  <si>
    <t>StandardizedAdmissionTestType</t>
  </si>
  <si>
    <t>Start Time</t>
  </si>
  <si>
    <t>The starting hour, minute and second.</t>
  </si>
  <si>
    <t>001919</t>
  </si>
  <si>
    <t>StartTime</t>
  </si>
  <si>
    <t>State Abbreviation</t>
  </si>
  <si>
    <t>The abbreviation for the state (within the United States) or outlying area in which an address is located.</t>
  </si>
  <si>
    <t>000267</t>
  </si>
  <si>
    <t>StateAbbreviation</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</si>
  <si>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</si>
  <si>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State Agency Identification System</t>
  </si>
  <si>
    <t>A coding scheme that is used for identification and record-keeping purposes by to refer to a state agency.</t>
  </si>
  <si>
    <r>
      <t>State</t>
    </r>
    <r>
      <rPr>
        <sz val="10"/>
        <color theme="1"/>
        <rFont val="Calibri"/>
        <family val="2"/>
        <scheme val="minor"/>
      </rPr>
      <t xml:space="preserve"> - State-assigned number
</t>
    </r>
    <r>
      <rPr>
        <b/>
        <sz val="10"/>
        <color theme="1"/>
        <rFont val="Calibri"/>
        <family val="2"/>
        <scheme val="minor"/>
      </rPr>
      <t>Federal</t>
    </r>
    <r>
      <rPr>
        <sz val="10"/>
        <color theme="1"/>
        <rFont val="Calibri"/>
        <family val="2"/>
        <scheme val="minor"/>
      </rPr>
      <t xml:space="preserve"> - Federal identification number
</t>
    </r>
  </si>
  <si>
    <t>Assessments -&gt; Assessment Registration
K12 -&gt; SEA -&gt; Identification</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</si>
  <si>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</si>
  <si>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</si>
  <si>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</si>
  <si>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</si>
  <si>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</si>
  <si>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</si>
  <si>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</si>
  <si>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</si>
  <si>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r>
      <t>01</t>
    </r>
    <r>
      <rPr>
        <sz val="10"/>
        <color theme="1"/>
        <rFont val="Calibri"/>
        <family val="2"/>
        <scheme val="minor"/>
      </rPr>
      <t xml:space="preserve"> - Alabama
</t>
    </r>
    <r>
      <rPr>
        <b/>
        <sz val="10"/>
        <color theme="1"/>
        <rFont val="Calibri"/>
        <family val="2"/>
        <scheme val="minor"/>
      </rPr>
      <t>02</t>
    </r>
    <r>
      <rPr>
        <sz val="10"/>
        <color theme="1"/>
        <rFont val="Calibri"/>
        <family val="2"/>
        <scheme val="minor"/>
      </rPr>
      <t xml:space="preserve"> - Alaska
</t>
    </r>
    <r>
      <rPr>
        <b/>
        <sz val="10"/>
        <color theme="1"/>
        <rFont val="Calibri"/>
        <family val="2"/>
        <scheme val="minor"/>
      </rPr>
      <t>04</t>
    </r>
    <r>
      <rPr>
        <sz val="10"/>
        <color theme="1"/>
        <rFont val="Calibri"/>
        <family val="2"/>
        <scheme val="minor"/>
      </rPr>
      <t xml:space="preserve"> - Arizona
</t>
    </r>
    <r>
      <rPr>
        <b/>
        <sz val="10"/>
        <color theme="1"/>
        <rFont val="Calibri"/>
        <family val="2"/>
        <scheme val="minor"/>
      </rPr>
      <t>05</t>
    </r>
    <r>
      <rPr>
        <sz val="10"/>
        <color theme="1"/>
        <rFont val="Calibri"/>
        <family val="2"/>
        <scheme val="minor"/>
      </rPr>
      <t xml:space="preserve"> - Arkansas
</t>
    </r>
    <r>
      <rPr>
        <b/>
        <sz val="10"/>
        <color theme="1"/>
        <rFont val="Calibri"/>
        <family val="2"/>
        <scheme val="minor"/>
      </rPr>
      <t>06</t>
    </r>
    <r>
      <rPr>
        <sz val="10"/>
        <color theme="1"/>
        <rFont val="Calibri"/>
        <family val="2"/>
        <scheme val="minor"/>
      </rPr>
      <t xml:space="preserve"> - California
</t>
    </r>
    <r>
      <rPr>
        <b/>
        <sz val="10"/>
        <color theme="1"/>
        <rFont val="Calibri"/>
        <family val="2"/>
        <scheme val="minor"/>
      </rPr>
      <t>08</t>
    </r>
    <r>
      <rPr>
        <sz val="10"/>
        <color theme="1"/>
        <rFont val="Calibri"/>
        <family val="2"/>
        <scheme val="minor"/>
      </rPr>
      <t xml:space="preserve"> - Colorado
</t>
    </r>
    <r>
      <rPr>
        <b/>
        <sz val="10"/>
        <color theme="1"/>
        <rFont val="Calibri"/>
        <family val="2"/>
        <scheme val="minor"/>
      </rPr>
      <t>09</t>
    </r>
    <r>
      <rPr>
        <sz val="10"/>
        <color theme="1"/>
        <rFont val="Calibri"/>
        <family val="2"/>
        <scheme val="minor"/>
      </rPr>
      <t xml:space="preserve"> - Connecticut
</t>
    </r>
    <r>
      <rPr>
        <b/>
        <sz val="10"/>
        <color theme="1"/>
        <rFont val="Calibri"/>
        <family val="2"/>
        <scheme val="minor"/>
      </rPr>
      <t>10</t>
    </r>
    <r>
      <rPr>
        <sz val="10"/>
        <color theme="1"/>
        <rFont val="Calibri"/>
        <family val="2"/>
        <scheme val="minor"/>
      </rPr>
      <t xml:space="preserve"> - Delaware
</t>
    </r>
    <r>
      <rPr>
        <b/>
        <sz val="10"/>
        <color theme="1"/>
        <rFont val="Calibri"/>
        <family val="2"/>
        <scheme val="minor"/>
      </rPr>
      <t>11</t>
    </r>
    <r>
      <rPr>
        <sz val="10"/>
        <color theme="1"/>
        <rFont val="Calibri"/>
        <family val="2"/>
        <scheme val="minor"/>
      </rPr>
      <t xml:space="preserve"> - District of Columbia
</t>
    </r>
    <r>
      <rPr>
        <b/>
        <sz val="10"/>
        <color theme="1"/>
        <rFont val="Calibri"/>
        <family val="2"/>
        <scheme val="minor"/>
      </rPr>
      <t>12</t>
    </r>
    <r>
      <rPr>
        <sz val="10"/>
        <color theme="1"/>
        <rFont val="Calibri"/>
        <family val="2"/>
        <scheme val="minor"/>
      </rPr>
      <t xml:space="preserve"> - Florida
</t>
    </r>
    <r>
      <rPr>
        <b/>
        <sz val="10"/>
        <color theme="1"/>
        <rFont val="Calibri"/>
        <family val="2"/>
        <scheme val="minor"/>
      </rPr>
      <t>13</t>
    </r>
    <r>
      <rPr>
        <sz val="10"/>
        <color theme="1"/>
        <rFont val="Calibri"/>
        <family val="2"/>
        <scheme val="minor"/>
      </rPr>
      <t xml:space="preserve"> - Georgia
</t>
    </r>
    <r>
      <rPr>
        <b/>
        <sz val="10"/>
        <color theme="1"/>
        <rFont val="Calibri"/>
        <family val="2"/>
        <scheme val="minor"/>
      </rPr>
      <t>15</t>
    </r>
    <r>
      <rPr>
        <sz val="10"/>
        <color theme="1"/>
        <rFont val="Calibri"/>
        <family val="2"/>
        <scheme val="minor"/>
      </rPr>
      <t xml:space="preserve"> - Hawaii
</t>
    </r>
    <r>
      <rPr>
        <b/>
        <sz val="10"/>
        <color theme="1"/>
        <rFont val="Calibri"/>
        <family val="2"/>
        <scheme val="minor"/>
      </rPr>
      <t>16</t>
    </r>
    <r>
      <rPr>
        <sz val="10"/>
        <color theme="1"/>
        <rFont val="Calibri"/>
        <family val="2"/>
        <scheme val="minor"/>
      </rPr>
      <t xml:space="preserve"> - Idaho
</t>
    </r>
    <r>
      <rPr>
        <b/>
        <sz val="10"/>
        <color theme="1"/>
        <rFont val="Calibri"/>
        <family val="2"/>
        <scheme val="minor"/>
      </rPr>
      <t>17</t>
    </r>
    <r>
      <rPr>
        <sz val="10"/>
        <color theme="1"/>
        <rFont val="Calibri"/>
        <family val="2"/>
        <scheme val="minor"/>
      </rPr>
      <t xml:space="preserve"> - Illinois
</t>
    </r>
    <r>
      <rPr>
        <b/>
        <sz val="10"/>
        <color theme="1"/>
        <rFont val="Calibri"/>
        <family val="2"/>
        <scheme val="minor"/>
      </rPr>
      <t>18</t>
    </r>
    <r>
      <rPr>
        <sz val="10"/>
        <color theme="1"/>
        <rFont val="Calibri"/>
        <family val="2"/>
        <scheme val="minor"/>
      </rPr>
      <t xml:space="preserve"> - Indiana
</t>
    </r>
    <r>
      <rPr>
        <b/>
        <sz val="10"/>
        <color theme="1"/>
        <rFont val="Calibri"/>
        <family val="2"/>
        <scheme val="minor"/>
      </rPr>
      <t>19</t>
    </r>
    <r>
      <rPr>
        <sz val="10"/>
        <color theme="1"/>
        <rFont val="Calibri"/>
        <family val="2"/>
        <scheme val="minor"/>
      </rPr>
      <t xml:space="preserve"> - Iowa
</t>
    </r>
    <r>
      <rPr>
        <b/>
        <sz val="10"/>
        <color theme="1"/>
        <rFont val="Calibri"/>
        <family val="2"/>
        <scheme val="minor"/>
      </rPr>
      <t>20</t>
    </r>
    <r>
      <rPr>
        <sz val="10"/>
        <color theme="1"/>
        <rFont val="Calibri"/>
        <family val="2"/>
        <scheme val="minor"/>
      </rPr>
      <t xml:space="preserve"> - Kansas 
</t>
    </r>
    <r>
      <rPr>
        <b/>
        <sz val="10"/>
        <color theme="1"/>
        <rFont val="Calibri"/>
        <family val="2"/>
        <scheme val="minor"/>
      </rPr>
      <t>21</t>
    </r>
    <r>
      <rPr>
        <sz val="10"/>
        <color theme="1"/>
        <rFont val="Calibri"/>
        <family val="2"/>
        <scheme val="minor"/>
      </rPr>
      <t xml:space="preserve"> - Kentucky
</t>
    </r>
    <r>
      <rPr>
        <b/>
        <sz val="10"/>
        <color theme="1"/>
        <rFont val="Calibri"/>
        <family val="2"/>
        <scheme val="minor"/>
      </rPr>
      <t>22</t>
    </r>
    <r>
      <rPr>
        <sz val="10"/>
        <color theme="1"/>
        <rFont val="Calibri"/>
        <family val="2"/>
        <scheme val="minor"/>
      </rPr>
      <t xml:space="preserve"> - Louisiana
</t>
    </r>
    <r>
      <rPr>
        <b/>
        <sz val="10"/>
        <color theme="1"/>
        <rFont val="Calibri"/>
        <family val="2"/>
        <scheme val="minor"/>
      </rPr>
      <t>23</t>
    </r>
    <r>
      <rPr>
        <sz val="10"/>
        <color theme="1"/>
        <rFont val="Calibri"/>
        <family val="2"/>
        <scheme val="minor"/>
      </rPr>
      <t xml:space="preserve"> - Maine
</t>
    </r>
    <r>
      <rPr>
        <b/>
        <sz val="10"/>
        <color theme="1"/>
        <rFont val="Calibri"/>
        <family val="2"/>
        <scheme val="minor"/>
      </rPr>
      <t>24</t>
    </r>
    <r>
      <rPr>
        <sz val="10"/>
        <color theme="1"/>
        <rFont val="Calibri"/>
        <family val="2"/>
        <scheme val="minor"/>
      </rPr>
      <t xml:space="preserve"> - Maryland
</t>
    </r>
    <r>
      <rPr>
        <b/>
        <sz val="10"/>
        <color theme="1"/>
        <rFont val="Calibri"/>
        <family val="2"/>
        <scheme val="minor"/>
      </rPr>
      <t>25</t>
    </r>
    <r>
      <rPr>
        <sz val="10"/>
        <color theme="1"/>
        <rFont val="Calibri"/>
        <family val="2"/>
        <scheme val="minor"/>
      </rPr>
      <t xml:space="preserve"> - Massachusetts
</t>
    </r>
    <r>
      <rPr>
        <b/>
        <sz val="10"/>
        <color theme="1"/>
        <rFont val="Calibri"/>
        <family val="2"/>
        <scheme val="minor"/>
      </rPr>
      <t>26</t>
    </r>
    <r>
      <rPr>
        <sz val="10"/>
        <color theme="1"/>
        <rFont val="Calibri"/>
        <family val="2"/>
        <scheme val="minor"/>
      </rPr>
      <t xml:space="preserve"> - Michigan
</t>
    </r>
    <r>
      <rPr>
        <b/>
        <sz val="10"/>
        <color theme="1"/>
        <rFont val="Calibri"/>
        <family val="2"/>
        <scheme val="minor"/>
      </rPr>
      <t>27</t>
    </r>
    <r>
      <rPr>
        <sz val="10"/>
        <color theme="1"/>
        <rFont val="Calibri"/>
        <family val="2"/>
        <scheme val="minor"/>
      </rPr>
      <t xml:space="preserve"> - Minnesota
</t>
    </r>
    <r>
      <rPr>
        <b/>
        <sz val="10"/>
        <color theme="1"/>
        <rFont val="Calibri"/>
        <family val="2"/>
        <scheme val="minor"/>
      </rPr>
      <t>28</t>
    </r>
    <r>
      <rPr>
        <sz val="10"/>
        <color theme="1"/>
        <rFont val="Calibri"/>
        <family val="2"/>
        <scheme val="minor"/>
      </rPr>
      <t xml:space="preserve"> - Mississippi
</t>
    </r>
    <r>
      <rPr>
        <b/>
        <sz val="10"/>
        <color theme="1"/>
        <rFont val="Calibri"/>
        <family val="2"/>
        <scheme val="minor"/>
      </rPr>
      <t>29</t>
    </r>
    <r>
      <rPr>
        <sz val="10"/>
        <color theme="1"/>
        <rFont val="Calibri"/>
        <family val="2"/>
        <scheme val="minor"/>
      </rPr>
      <t xml:space="preserve"> - Missouri
</t>
    </r>
    <r>
      <rPr>
        <b/>
        <sz val="10"/>
        <color theme="1"/>
        <rFont val="Calibri"/>
        <family val="2"/>
        <scheme val="minor"/>
      </rPr>
      <t>30</t>
    </r>
    <r>
      <rPr>
        <sz val="10"/>
        <color theme="1"/>
        <rFont val="Calibri"/>
        <family val="2"/>
        <scheme val="minor"/>
      </rPr>
      <t xml:space="preserve"> - Montana
</t>
    </r>
    <r>
      <rPr>
        <b/>
        <sz val="10"/>
        <color theme="1"/>
        <rFont val="Calibri"/>
        <family val="2"/>
        <scheme val="minor"/>
      </rPr>
      <t>31</t>
    </r>
    <r>
      <rPr>
        <sz val="10"/>
        <color theme="1"/>
        <rFont val="Calibri"/>
        <family val="2"/>
        <scheme val="minor"/>
      </rPr>
      <t xml:space="preserve"> - Nebraska
</t>
    </r>
    <r>
      <rPr>
        <b/>
        <sz val="10"/>
        <color theme="1"/>
        <rFont val="Calibri"/>
        <family val="2"/>
        <scheme val="minor"/>
      </rPr>
      <t>32</t>
    </r>
    <r>
      <rPr>
        <sz val="10"/>
        <color theme="1"/>
        <rFont val="Calibri"/>
        <family val="2"/>
        <scheme val="minor"/>
      </rPr>
      <t xml:space="preserve"> - Nevada
</t>
    </r>
    <r>
      <rPr>
        <b/>
        <sz val="10"/>
        <color theme="1"/>
        <rFont val="Calibri"/>
        <family val="2"/>
        <scheme val="minor"/>
      </rPr>
      <t>33</t>
    </r>
    <r>
      <rPr>
        <sz val="10"/>
        <color theme="1"/>
        <rFont val="Calibri"/>
        <family val="2"/>
        <scheme val="minor"/>
      </rPr>
      <t xml:space="preserve"> - New Hampshire
</t>
    </r>
    <r>
      <rPr>
        <b/>
        <sz val="10"/>
        <color theme="1"/>
        <rFont val="Calibri"/>
        <family val="2"/>
        <scheme val="minor"/>
      </rPr>
      <t>34</t>
    </r>
    <r>
      <rPr>
        <sz val="10"/>
        <color theme="1"/>
        <rFont val="Calibri"/>
        <family val="2"/>
        <scheme val="minor"/>
      </rPr>
      <t xml:space="preserve"> - New Jersey
</t>
    </r>
    <r>
      <rPr>
        <b/>
        <sz val="10"/>
        <color theme="1"/>
        <rFont val="Calibri"/>
        <family val="2"/>
        <scheme val="minor"/>
      </rPr>
      <t>35</t>
    </r>
    <r>
      <rPr>
        <sz val="10"/>
        <color theme="1"/>
        <rFont val="Calibri"/>
        <family val="2"/>
        <scheme val="minor"/>
      </rPr>
      <t xml:space="preserve"> - New Mexico
</t>
    </r>
    <r>
      <rPr>
        <b/>
        <sz val="10"/>
        <color theme="1"/>
        <rFont val="Calibri"/>
        <family val="2"/>
        <scheme val="minor"/>
      </rPr>
      <t>36</t>
    </r>
    <r>
      <rPr>
        <sz val="10"/>
        <color theme="1"/>
        <rFont val="Calibri"/>
        <family val="2"/>
        <scheme val="minor"/>
      </rPr>
      <t xml:space="preserve"> - New York
</t>
    </r>
    <r>
      <rPr>
        <b/>
        <sz val="10"/>
        <color theme="1"/>
        <rFont val="Calibri"/>
        <family val="2"/>
        <scheme val="minor"/>
      </rPr>
      <t>37</t>
    </r>
    <r>
      <rPr>
        <sz val="10"/>
        <color theme="1"/>
        <rFont val="Calibri"/>
        <family val="2"/>
        <scheme val="minor"/>
      </rPr>
      <t xml:space="preserve"> - North Carolina
</t>
    </r>
    <r>
      <rPr>
        <b/>
        <sz val="10"/>
        <color theme="1"/>
        <rFont val="Calibri"/>
        <family val="2"/>
        <scheme val="minor"/>
      </rPr>
      <t>38</t>
    </r>
    <r>
      <rPr>
        <sz val="10"/>
        <color theme="1"/>
        <rFont val="Calibri"/>
        <family val="2"/>
        <scheme val="minor"/>
      </rPr>
      <t xml:space="preserve"> - North Dakota
</t>
    </r>
    <r>
      <rPr>
        <b/>
        <sz val="10"/>
        <color theme="1"/>
        <rFont val="Calibri"/>
        <family val="2"/>
        <scheme val="minor"/>
      </rPr>
      <t>39</t>
    </r>
    <r>
      <rPr>
        <sz val="10"/>
        <color theme="1"/>
        <rFont val="Calibri"/>
        <family val="2"/>
        <scheme val="minor"/>
      </rPr>
      <t xml:space="preserve"> - Ohio
</t>
    </r>
    <r>
      <rPr>
        <b/>
        <sz val="10"/>
        <color theme="1"/>
        <rFont val="Calibri"/>
        <family val="2"/>
        <scheme val="minor"/>
      </rPr>
      <t>40</t>
    </r>
    <r>
      <rPr>
        <sz val="10"/>
        <color theme="1"/>
        <rFont val="Calibri"/>
        <family val="2"/>
        <scheme val="minor"/>
      </rPr>
      <t xml:space="preserve"> - Oklahoma
</t>
    </r>
    <r>
      <rPr>
        <b/>
        <sz val="10"/>
        <color theme="1"/>
        <rFont val="Calibri"/>
        <family val="2"/>
        <scheme val="minor"/>
      </rPr>
      <t>41</t>
    </r>
    <r>
      <rPr>
        <sz val="10"/>
        <color theme="1"/>
        <rFont val="Calibri"/>
        <family val="2"/>
        <scheme val="minor"/>
      </rPr>
      <t xml:space="preserve"> - Oregon
</t>
    </r>
    <r>
      <rPr>
        <b/>
        <sz val="10"/>
        <color theme="1"/>
        <rFont val="Calibri"/>
        <family val="2"/>
        <scheme val="minor"/>
      </rPr>
      <t>42</t>
    </r>
    <r>
      <rPr>
        <sz val="10"/>
        <color theme="1"/>
        <rFont val="Calibri"/>
        <family val="2"/>
        <scheme val="minor"/>
      </rPr>
      <t xml:space="preserve"> - Pennsylvania
</t>
    </r>
    <r>
      <rPr>
        <b/>
        <sz val="10"/>
        <color theme="1"/>
        <rFont val="Calibri"/>
        <family val="2"/>
        <scheme val="minor"/>
      </rPr>
      <t>44</t>
    </r>
    <r>
      <rPr>
        <sz val="10"/>
        <color theme="1"/>
        <rFont val="Calibri"/>
        <family val="2"/>
        <scheme val="minor"/>
      </rPr>
      <t xml:space="preserve"> - Rhode Island
</t>
    </r>
    <r>
      <rPr>
        <b/>
        <sz val="10"/>
        <color theme="1"/>
        <rFont val="Calibri"/>
        <family val="2"/>
        <scheme val="minor"/>
      </rPr>
      <t>45</t>
    </r>
    <r>
      <rPr>
        <sz val="10"/>
        <color theme="1"/>
        <rFont val="Calibri"/>
        <family val="2"/>
        <scheme val="minor"/>
      </rPr>
      <t xml:space="preserve"> - South Carolina
</t>
    </r>
    <r>
      <rPr>
        <b/>
        <sz val="10"/>
        <color theme="1"/>
        <rFont val="Calibri"/>
        <family val="2"/>
        <scheme val="minor"/>
      </rPr>
      <t>46</t>
    </r>
    <r>
      <rPr>
        <sz val="10"/>
        <color theme="1"/>
        <rFont val="Calibri"/>
        <family val="2"/>
        <scheme val="minor"/>
      </rPr>
      <t xml:space="preserve"> - South Dakota
</t>
    </r>
    <r>
      <rPr>
        <b/>
        <sz val="10"/>
        <color theme="1"/>
        <rFont val="Calibri"/>
        <family val="2"/>
        <scheme val="minor"/>
      </rPr>
      <t>47</t>
    </r>
    <r>
      <rPr>
        <sz val="10"/>
        <color theme="1"/>
        <rFont val="Calibri"/>
        <family val="2"/>
        <scheme val="minor"/>
      </rPr>
      <t xml:space="preserve"> - Tennessee
</t>
    </r>
    <r>
      <rPr>
        <b/>
        <sz val="10"/>
        <color theme="1"/>
        <rFont val="Calibri"/>
        <family val="2"/>
        <scheme val="minor"/>
      </rPr>
      <t>48</t>
    </r>
    <r>
      <rPr>
        <sz val="10"/>
        <color theme="1"/>
        <rFont val="Calibri"/>
        <family val="2"/>
        <scheme val="minor"/>
      </rPr>
      <t xml:space="preserve"> - Texas
</t>
    </r>
    <r>
      <rPr>
        <b/>
        <sz val="10"/>
        <color theme="1"/>
        <rFont val="Calibri"/>
        <family val="2"/>
        <scheme val="minor"/>
      </rPr>
      <t>49</t>
    </r>
    <r>
      <rPr>
        <sz val="10"/>
        <color theme="1"/>
        <rFont val="Calibri"/>
        <family val="2"/>
        <scheme val="minor"/>
      </rPr>
      <t xml:space="preserve"> - Utah
</t>
    </r>
    <r>
      <rPr>
        <b/>
        <sz val="10"/>
        <color theme="1"/>
        <rFont val="Calibri"/>
        <family val="2"/>
        <scheme val="minor"/>
      </rPr>
      <t>50</t>
    </r>
    <r>
      <rPr>
        <sz val="10"/>
        <color theme="1"/>
        <rFont val="Calibri"/>
        <family val="2"/>
        <scheme val="minor"/>
      </rPr>
      <t xml:space="preserve"> - Vermont
</t>
    </r>
    <r>
      <rPr>
        <b/>
        <sz val="10"/>
        <color theme="1"/>
        <rFont val="Calibri"/>
        <family val="2"/>
        <scheme val="minor"/>
      </rPr>
      <t>51</t>
    </r>
    <r>
      <rPr>
        <sz val="10"/>
        <color theme="1"/>
        <rFont val="Calibri"/>
        <family val="2"/>
        <scheme val="minor"/>
      </rPr>
      <t xml:space="preserve"> - Virginia
</t>
    </r>
    <r>
      <rPr>
        <b/>
        <sz val="10"/>
        <color theme="1"/>
        <rFont val="Calibri"/>
        <family val="2"/>
        <scheme val="minor"/>
      </rPr>
      <t>53</t>
    </r>
    <r>
      <rPr>
        <sz val="10"/>
        <color theme="1"/>
        <rFont val="Calibri"/>
        <family val="2"/>
        <scheme val="minor"/>
      </rPr>
      <t xml:space="preserve"> - Washington
</t>
    </r>
    <r>
      <rPr>
        <b/>
        <sz val="10"/>
        <color theme="1"/>
        <rFont val="Calibri"/>
        <family val="2"/>
        <scheme val="minor"/>
      </rPr>
      <t>54</t>
    </r>
    <r>
      <rPr>
        <sz val="10"/>
        <color theme="1"/>
        <rFont val="Calibri"/>
        <family val="2"/>
        <scheme val="minor"/>
      </rPr>
      <t xml:space="preserve"> - West Virginia
</t>
    </r>
    <r>
      <rPr>
        <b/>
        <sz val="10"/>
        <color theme="1"/>
        <rFont val="Calibri"/>
        <family val="2"/>
        <scheme val="minor"/>
      </rPr>
      <t>55</t>
    </r>
    <r>
      <rPr>
        <sz val="10"/>
        <color theme="1"/>
        <rFont val="Calibri"/>
        <family val="2"/>
        <scheme val="minor"/>
      </rPr>
      <t xml:space="preserve"> - Wisconsin
</t>
    </r>
    <r>
      <rPr>
        <b/>
        <sz val="10"/>
        <color theme="1"/>
        <rFont val="Calibri"/>
        <family val="2"/>
        <scheme val="minor"/>
      </rPr>
      <t>56</t>
    </r>
    <r>
      <rPr>
        <sz val="10"/>
        <color theme="1"/>
        <rFont val="Calibri"/>
        <family val="2"/>
        <scheme val="minor"/>
      </rPr>
      <t xml:space="preserve"> - Wyoming
</t>
    </r>
    <r>
      <rPr>
        <b/>
        <sz val="10"/>
        <color theme="1"/>
        <rFont val="Calibri"/>
        <family val="2"/>
        <scheme val="minor"/>
      </rPr>
      <t>60</t>
    </r>
    <r>
      <rPr>
        <sz val="10"/>
        <color theme="1"/>
        <rFont val="Calibri"/>
        <family val="2"/>
        <scheme val="minor"/>
      </rPr>
      <t xml:space="preserve"> - American Samoa
</t>
    </r>
    <r>
      <rPr>
        <b/>
        <sz val="10"/>
        <color theme="1"/>
        <rFont val="Calibri"/>
        <family val="2"/>
        <scheme val="minor"/>
      </rPr>
      <t>64</t>
    </r>
    <r>
      <rPr>
        <sz val="10"/>
        <color theme="1"/>
        <rFont val="Calibri"/>
        <family val="2"/>
        <scheme val="minor"/>
      </rPr>
      <t xml:space="preserve"> - Federated States of Micronesia
</t>
    </r>
    <r>
      <rPr>
        <b/>
        <sz val="10"/>
        <color theme="1"/>
        <rFont val="Calibri"/>
        <family val="2"/>
        <scheme val="minor"/>
      </rPr>
      <t>66</t>
    </r>
    <r>
      <rPr>
        <sz val="10"/>
        <color theme="1"/>
        <rFont val="Calibri"/>
        <family val="2"/>
        <scheme val="minor"/>
      </rPr>
      <t xml:space="preserve"> - Guam
</t>
    </r>
    <r>
      <rPr>
        <b/>
        <sz val="10"/>
        <color theme="1"/>
        <rFont val="Calibri"/>
        <family val="2"/>
        <scheme val="minor"/>
      </rPr>
      <t>68</t>
    </r>
    <r>
      <rPr>
        <sz val="10"/>
        <color theme="1"/>
        <rFont val="Calibri"/>
        <family val="2"/>
        <scheme val="minor"/>
      </rPr>
      <t xml:space="preserve"> - Marshall Islands
</t>
    </r>
    <r>
      <rPr>
        <b/>
        <sz val="10"/>
        <color theme="1"/>
        <rFont val="Calibri"/>
        <family val="2"/>
        <scheme val="minor"/>
      </rPr>
      <t>69</t>
    </r>
    <r>
      <rPr>
        <sz val="10"/>
        <color theme="1"/>
        <rFont val="Calibri"/>
        <family val="2"/>
        <scheme val="minor"/>
      </rPr>
      <t xml:space="preserve"> - Northern Mariana Islands
</t>
    </r>
    <r>
      <rPr>
        <b/>
        <sz val="10"/>
        <color theme="1"/>
        <rFont val="Calibri"/>
        <family val="2"/>
        <scheme val="minor"/>
      </rPr>
      <t>70</t>
    </r>
    <r>
      <rPr>
        <sz val="10"/>
        <color theme="1"/>
        <rFont val="Calibri"/>
        <family val="2"/>
        <scheme val="minor"/>
      </rPr>
      <t xml:space="preserve"> - Palau 
</t>
    </r>
    <r>
      <rPr>
        <b/>
        <sz val="10"/>
        <color theme="1"/>
        <rFont val="Calibri"/>
        <family val="2"/>
        <scheme val="minor"/>
      </rPr>
      <t>72</t>
    </r>
    <r>
      <rPr>
        <sz val="10"/>
        <color theme="1"/>
        <rFont val="Calibri"/>
        <family val="2"/>
        <scheme val="minor"/>
      </rPr>
      <t xml:space="preserve"> - Puerto Rico
</t>
    </r>
    <r>
      <rPr>
        <b/>
        <sz val="10"/>
        <color theme="1"/>
        <rFont val="Calibri"/>
        <family val="2"/>
        <scheme val="minor"/>
      </rPr>
      <t>78</t>
    </r>
    <r>
      <rPr>
        <sz val="10"/>
        <color theme="1"/>
        <rFont val="Calibri"/>
        <family val="2"/>
        <scheme val="minor"/>
      </rPr>
      <t xml:space="preserve"> - Virgin Islands of the U.S.
</t>
    </r>
  </si>
  <si>
    <t>Early Learning -&gt; EL Organization -&gt; Identification
K12 -&gt; K12 School -&gt; Address
K12 -&gt; LEA -&gt; Address
K12 -&gt; SEA -&gt; Address</t>
  </si>
  <si>
    <t>000424</t>
  </si>
  <si>
    <t>StateANSICode</t>
  </si>
  <si>
    <t>Early Learning -&gt; Staff Quality
K-12 -&gt; EDFacts
K-12 -&gt; Teacher Compensation Survey</t>
  </si>
  <si>
    <t>State Approved Technical Assistance Provider Status</t>
  </si>
  <si>
    <t>An indication of whether an individual has been approved as a technical assistance provider through a state process.</t>
  </si>
  <si>
    <t>Technical assistance may be for organizations or staff depending on context. See the document https://ceds.ed.gov/pdf/ceds-addresses-professional-development-data-elements.pdf.</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</si>
  <si>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</si>
  <si>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</si>
  <si>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</si>
  <si>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</si>
  <si>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</si>
  <si>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</si>
  <si>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</si>
  <si>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</si>
  <si>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</si>
  <si>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</si>
  <si>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</si>
  <si>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</si>
  <si>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</si>
  <si>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</si>
  <si>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K-12 -&gt; Consolidated State Performance Report
K-12 -&gt; EDFacts</t>
  </si>
  <si>
    <t>State Full Academic Year</t>
  </si>
  <si>
    <t>An indication of whether a student was in membership in the state education unit for a full academic year, according to the state’s definition of Full Academic Year.</t>
  </si>
  <si>
    <t>001761</t>
  </si>
  <si>
    <t>StateFullAcademicYear</t>
  </si>
  <si>
    <t>State Issuing Professional Credential or License</t>
  </si>
  <si>
    <t>State where the professional license/credential was issued.</t>
  </si>
  <si>
    <r>
      <t>AK</t>
    </r>
    <r>
      <rPr>
        <sz val="10"/>
        <color theme="1"/>
        <rFont val="Calibri"/>
        <family val="2"/>
        <scheme val="minor"/>
      </rPr>
      <t xml:space="preserve"> - Alaska
</t>
    </r>
    <r>
      <rPr>
        <b/>
        <sz val="10"/>
        <color theme="1"/>
        <rFont val="Calibri"/>
        <family val="2"/>
        <scheme val="minor"/>
      </rPr>
      <t>AL</t>
    </r>
    <r>
      <rPr>
        <sz val="10"/>
        <color theme="1"/>
        <rFont val="Calibri"/>
        <family val="2"/>
        <scheme val="minor"/>
      </rPr>
      <t xml:space="preserve"> - Alabama
</t>
    </r>
    <r>
      <rPr>
        <b/>
        <sz val="10"/>
        <color theme="1"/>
        <rFont val="Calibri"/>
        <family val="2"/>
        <scheme val="minor"/>
      </rPr>
      <t>AR</t>
    </r>
    <r>
      <rPr>
        <sz val="10"/>
        <color theme="1"/>
        <rFont val="Calibri"/>
        <family val="2"/>
        <scheme val="minor"/>
      </rPr>
      <t xml:space="preserve"> - Arkansas
</t>
    </r>
    <r>
      <rPr>
        <b/>
        <sz val="10"/>
        <color theme="1"/>
        <rFont val="Calibri"/>
        <family val="2"/>
        <scheme val="minor"/>
      </rPr>
      <t>AS</t>
    </r>
    <r>
      <rPr>
        <sz val="10"/>
        <color theme="1"/>
        <rFont val="Calibri"/>
        <family val="2"/>
        <scheme val="minor"/>
      </rPr>
      <t xml:space="preserve"> - American Samoa
</t>
    </r>
    <r>
      <rPr>
        <b/>
        <sz val="10"/>
        <color theme="1"/>
        <rFont val="Calibri"/>
        <family val="2"/>
        <scheme val="minor"/>
      </rPr>
      <t>AZ</t>
    </r>
    <r>
      <rPr>
        <sz val="10"/>
        <color theme="1"/>
        <rFont val="Calibri"/>
        <family val="2"/>
        <scheme val="minor"/>
      </rPr>
      <t xml:space="preserve"> - Arizona
</t>
    </r>
    <r>
      <rPr>
        <b/>
        <sz val="10"/>
        <color theme="1"/>
        <rFont val="Calibri"/>
        <family val="2"/>
        <scheme val="minor"/>
      </rPr>
      <t>CA</t>
    </r>
    <r>
      <rPr>
        <sz val="10"/>
        <color theme="1"/>
        <rFont val="Calibri"/>
        <family val="2"/>
        <scheme val="minor"/>
      </rPr>
      <t xml:space="preserve"> - California
</t>
    </r>
    <r>
      <rPr>
        <b/>
        <sz val="10"/>
        <color theme="1"/>
        <rFont val="Calibri"/>
        <family val="2"/>
        <scheme val="minor"/>
      </rPr>
      <t>CO</t>
    </r>
    <r>
      <rPr>
        <sz val="10"/>
        <color theme="1"/>
        <rFont val="Calibri"/>
        <family val="2"/>
        <scheme val="minor"/>
      </rPr>
      <t xml:space="preserve"> - Colorado
</t>
    </r>
    <r>
      <rPr>
        <b/>
        <sz val="10"/>
        <color theme="1"/>
        <rFont val="Calibri"/>
        <family val="2"/>
        <scheme val="minor"/>
      </rPr>
      <t>CT</t>
    </r>
    <r>
      <rPr>
        <sz val="10"/>
        <color theme="1"/>
        <rFont val="Calibri"/>
        <family val="2"/>
        <scheme val="minor"/>
      </rPr>
      <t xml:space="preserve"> - Connecticut
</t>
    </r>
    <r>
      <rPr>
        <b/>
        <sz val="10"/>
        <color theme="1"/>
        <rFont val="Calibri"/>
        <family val="2"/>
        <scheme val="minor"/>
      </rPr>
      <t>DC</t>
    </r>
    <r>
      <rPr>
        <sz val="10"/>
        <color theme="1"/>
        <rFont val="Calibri"/>
        <family val="2"/>
        <scheme val="minor"/>
      </rPr>
      <t xml:space="preserve"> - District of Columbia
</t>
    </r>
    <r>
      <rPr>
        <b/>
        <sz val="10"/>
        <color theme="1"/>
        <rFont val="Calibri"/>
        <family val="2"/>
        <scheme val="minor"/>
      </rPr>
      <t>DE</t>
    </r>
    <r>
      <rPr>
        <sz val="10"/>
        <color theme="1"/>
        <rFont val="Calibri"/>
        <family val="2"/>
        <scheme val="minor"/>
      </rPr>
      <t xml:space="preserve"> - Delaware
</t>
    </r>
    <r>
      <rPr>
        <b/>
        <sz val="10"/>
        <color theme="1"/>
        <rFont val="Calibri"/>
        <family val="2"/>
        <scheme val="minor"/>
      </rPr>
      <t>FL</t>
    </r>
    <r>
      <rPr>
        <sz val="10"/>
        <color theme="1"/>
        <rFont val="Calibri"/>
        <family val="2"/>
        <scheme val="minor"/>
      </rPr>
      <t xml:space="preserve"> - Florida
</t>
    </r>
    <r>
      <rPr>
        <b/>
        <sz val="10"/>
        <color theme="1"/>
        <rFont val="Calibri"/>
        <family val="2"/>
        <scheme val="minor"/>
      </rPr>
      <t>FM</t>
    </r>
    <r>
      <rPr>
        <sz val="10"/>
        <color theme="1"/>
        <rFont val="Calibri"/>
        <family val="2"/>
        <scheme val="minor"/>
      </rPr>
      <t xml:space="preserve"> - Federated States of Micronesia
</t>
    </r>
    <r>
      <rPr>
        <b/>
        <sz val="10"/>
        <color theme="1"/>
        <rFont val="Calibri"/>
        <family val="2"/>
        <scheme val="minor"/>
      </rPr>
      <t>GA</t>
    </r>
    <r>
      <rPr>
        <sz val="10"/>
        <color theme="1"/>
        <rFont val="Calibri"/>
        <family val="2"/>
        <scheme val="minor"/>
      </rPr>
      <t xml:space="preserve"> - Georgia
</t>
    </r>
    <r>
      <rPr>
        <b/>
        <sz val="10"/>
        <color theme="1"/>
        <rFont val="Calibri"/>
        <family val="2"/>
        <scheme val="minor"/>
      </rPr>
      <t>GU</t>
    </r>
    <r>
      <rPr>
        <sz val="10"/>
        <color theme="1"/>
        <rFont val="Calibri"/>
        <family val="2"/>
        <scheme val="minor"/>
      </rPr>
      <t xml:space="preserve"> - Guam
</t>
    </r>
    <r>
      <rPr>
        <b/>
        <sz val="10"/>
        <color theme="1"/>
        <rFont val="Calibri"/>
        <family val="2"/>
        <scheme val="minor"/>
      </rPr>
      <t>HI</t>
    </r>
    <r>
      <rPr>
        <sz val="10"/>
        <color theme="1"/>
        <rFont val="Calibri"/>
        <family val="2"/>
        <scheme val="minor"/>
      </rPr>
      <t xml:space="preserve"> - Hawaii
</t>
    </r>
    <r>
      <rPr>
        <b/>
        <sz val="10"/>
        <color theme="1"/>
        <rFont val="Calibri"/>
        <family val="2"/>
        <scheme val="minor"/>
      </rPr>
      <t>IA</t>
    </r>
    <r>
      <rPr>
        <sz val="10"/>
        <color theme="1"/>
        <rFont val="Calibri"/>
        <family val="2"/>
        <scheme val="minor"/>
      </rPr>
      <t xml:space="preserve"> - Iowa
</t>
    </r>
    <r>
      <rPr>
        <b/>
        <sz val="10"/>
        <color theme="1"/>
        <rFont val="Calibri"/>
        <family val="2"/>
        <scheme val="minor"/>
      </rPr>
      <t>ID</t>
    </r>
    <r>
      <rPr>
        <sz val="10"/>
        <color theme="1"/>
        <rFont val="Calibri"/>
        <family val="2"/>
        <scheme val="minor"/>
      </rPr>
      <t xml:space="preserve"> - Idaho
</t>
    </r>
    <r>
      <rPr>
        <b/>
        <sz val="10"/>
        <color theme="1"/>
        <rFont val="Calibri"/>
        <family val="2"/>
        <scheme val="minor"/>
      </rPr>
      <t>IL</t>
    </r>
    <r>
      <rPr>
        <sz val="10"/>
        <color theme="1"/>
        <rFont val="Calibri"/>
        <family val="2"/>
        <scheme val="minor"/>
      </rPr>
      <t xml:space="preserve"> - Illinois
</t>
    </r>
    <r>
      <rPr>
        <b/>
        <sz val="10"/>
        <color theme="1"/>
        <rFont val="Calibri"/>
        <family val="2"/>
        <scheme val="minor"/>
      </rPr>
      <t>IN</t>
    </r>
    <r>
      <rPr>
        <sz val="10"/>
        <color theme="1"/>
        <rFont val="Calibri"/>
        <family val="2"/>
        <scheme val="minor"/>
      </rPr>
      <t xml:space="preserve"> - Indiana
</t>
    </r>
    <r>
      <rPr>
        <b/>
        <sz val="10"/>
        <color theme="1"/>
        <rFont val="Calibri"/>
        <family val="2"/>
        <scheme val="minor"/>
      </rPr>
      <t>KS</t>
    </r>
    <r>
      <rPr>
        <sz val="10"/>
        <color theme="1"/>
        <rFont val="Calibri"/>
        <family val="2"/>
        <scheme val="minor"/>
      </rPr>
      <t xml:space="preserve"> - Kansas
</t>
    </r>
    <r>
      <rPr>
        <b/>
        <sz val="10"/>
        <color theme="1"/>
        <rFont val="Calibri"/>
        <family val="2"/>
        <scheme val="minor"/>
      </rPr>
      <t>KY</t>
    </r>
    <r>
      <rPr>
        <sz val="10"/>
        <color theme="1"/>
        <rFont val="Calibri"/>
        <family val="2"/>
        <scheme val="minor"/>
      </rPr>
      <t xml:space="preserve"> - Kentucky
</t>
    </r>
    <r>
      <rPr>
        <b/>
        <sz val="10"/>
        <color theme="1"/>
        <rFont val="Calibri"/>
        <family val="2"/>
        <scheme val="minor"/>
      </rPr>
      <t>LA</t>
    </r>
    <r>
      <rPr>
        <sz val="10"/>
        <color theme="1"/>
        <rFont val="Calibri"/>
        <family val="2"/>
        <scheme val="minor"/>
      </rPr>
      <t xml:space="preserve"> - Louisiana
</t>
    </r>
    <r>
      <rPr>
        <b/>
        <sz val="10"/>
        <color theme="1"/>
        <rFont val="Calibri"/>
        <family val="2"/>
        <scheme val="minor"/>
      </rPr>
      <t>MA</t>
    </r>
    <r>
      <rPr>
        <sz val="10"/>
        <color theme="1"/>
        <rFont val="Calibri"/>
        <family val="2"/>
        <scheme val="minor"/>
      </rPr>
      <t xml:space="preserve"> - Massachusetts
</t>
    </r>
    <r>
      <rPr>
        <b/>
        <sz val="10"/>
        <color theme="1"/>
        <rFont val="Calibri"/>
        <family val="2"/>
        <scheme val="minor"/>
      </rPr>
      <t>MD</t>
    </r>
    <r>
      <rPr>
        <sz val="10"/>
        <color theme="1"/>
        <rFont val="Calibri"/>
        <family val="2"/>
        <scheme val="minor"/>
      </rPr>
      <t xml:space="preserve"> - Maryland
</t>
    </r>
    <r>
      <rPr>
        <b/>
        <sz val="10"/>
        <color theme="1"/>
        <rFont val="Calibri"/>
        <family val="2"/>
        <scheme val="minor"/>
      </rPr>
      <t>ME</t>
    </r>
    <r>
      <rPr>
        <sz val="10"/>
        <color theme="1"/>
        <rFont val="Calibri"/>
        <family val="2"/>
        <scheme val="minor"/>
      </rPr>
      <t xml:space="preserve"> - Maine
</t>
    </r>
    <r>
      <rPr>
        <b/>
        <sz val="10"/>
        <color theme="1"/>
        <rFont val="Calibri"/>
        <family val="2"/>
        <scheme val="minor"/>
      </rPr>
      <t>MH</t>
    </r>
    <r>
      <rPr>
        <sz val="10"/>
        <color theme="1"/>
        <rFont val="Calibri"/>
        <family val="2"/>
        <scheme val="minor"/>
      </rPr>
      <t xml:space="preserve"> - Marshall Islands
</t>
    </r>
    <r>
      <rPr>
        <b/>
        <sz val="10"/>
        <color theme="1"/>
        <rFont val="Calibri"/>
        <family val="2"/>
        <scheme val="minor"/>
      </rPr>
      <t>MI</t>
    </r>
    <r>
      <rPr>
        <sz val="10"/>
        <color theme="1"/>
        <rFont val="Calibri"/>
        <family val="2"/>
        <scheme val="minor"/>
      </rPr>
      <t xml:space="preserve"> - Michigan
</t>
    </r>
    <r>
      <rPr>
        <b/>
        <sz val="10"/>
        <color theme="1"/>
        <rFont val="Calibri"/>
        <family val="2"/>
        <scheme val="minor"/>
      </rPr>
      <t>MN</t>
    </r>
    <r>
      <rPr>
        <sz val="10"/>
        <color theme="1"/>
        <rFont val="Calibri"/>
        <family val="2"/>
        <scheme val="minor"/>
      </rPr>
      <t xml:space="preserve"> - Minnesota
</t>
    </r>
    <r>
      <rPr>
        <b/>
        <sz val="10"/>
        <color theme="1"/>
        <rFont val="Calibri"/>
        <family val="2"/>
        <scheme val="minor"/>
      </rPr>
      <t>MO</t>
    </r>
    <r>
      <rPr>
        <sz val="10"/>
        <color theme="1"/>
        <rFont val="Calibri"/>
        <family val="2"/>
        <scheme val="minor"/>
      </rPr>
      <t xml:space="preserve"> - Missouri
</t>
    </r>
    <r>
      <rPr>
        <b/>
        <sz val="10"/>
        <color theme="1"/>
        <rFont val="Calibri"/>
        <family val="2"/>
        <scheme val="minor"/>
      </rPr>
      <t>MP</t>
    </r>
    <r>
      <rPr>
        <sz val="10"/>
        <color theme="1"/>
        <rFont val="Calibri"/>
        <family val="2"/>
        <scheme val="minor"/>
      </rPr>
      <t xml:space="preserve"> - Northern Marianas
</t>
    </r>
    <r>
      <rPr>
        <b/>
        <sz val="10"/>
        <color theme="1"/>
        <rFont val="Calibri"/>
        <family val="2"/>
        <scheme val="minor"/>
      </rPr>
      <t>MS</t>
    </r>
    <r>
      <rPr>
        <sz val="10"/>
        <color theme="1"/>
        <rFont val="Calibri"/>
        <family val="2"/>
        <scheme val="minor"/>
      </rPr>
      <t xml:space="preserve"> - Mississippi
</t>
    </r>
    <r>
      <rPr>
        <b/>
        <sz val="10"/>
        <color theme="1"/>
        <rFont val="Calibri"/>
        <family val="2"/>
        <scheme val="minor"/>
      </rPr>
      <t>MT</t>
    </r>
    <r>
      <rPr>
        <sz val="10"/>
        <color theme="1"/>
        <rFont val="Calibri"/>
        <family val="2"/>
        <scheme val="minor"/>
      </rPr>
      <t xml:space="preserve"> - Montana
</t>
    </r>
    <r>
      <rPr>
        <b/>
        <sz val="10"/>
        <color theme="1"/>
        <rFont val="Calibri"/>
        <family val="2"/>
        <scheme val="minor"/>
      </rPr>
      <t>NC</t>
    </r>
    <r>
      <rPr>
        <sz val="10"/>
        <color theme="1"/>
        <rFont val="Calibri"/>
        <family val="2"/>
        <scheme val="minor"/>
      </rPr>
      <t xml:space="preserve"> - North Carolina
</t>
    </r>
    <r>
      <rPr>
        <b/>
        <sz val="10"/>
        <color theme="1"/>
        <rFont val="Calibri"/>
        <family val="2"/>
        <scheme val="minor"/>
      </rPr>
      <t>ND</t>
    </r>
    <r>
      <rPr>
        <sz val="10"/>
        <color theme="1"/>
        <rFont val="Calibri"/>
        <family val="2"/>
        <scheme val="minor"/>
      </rPr>
      <t xml:space="preserve"> - North Dakota
</t>
    </r>
    <r>
      <rPr>
        <b/>
        <sz val="10"/>
        <color theme="1"/>
        <rFont val="Calibri"/>
        <family val="2"/>
        <scheme val="minor"/>
      </rPr>
      <t>NE</t>
    </r>
    <r>
      <rPr>
        <sz val="10"/>
        <color theme="1"/>
        <rFont val="Calibri"/>
        <family val="2"/>
        <scheme val="minor"/>
      </rPr>
      <t xml:space="preserve"> - Nebraska
</t>
    </r>
    <r>
      <rPr>
        <b/>
        <sz val="10"/>
        <color theme="1"/>
        <rFont val="Calibri"/>
        <family val="2"/>
        <scheme val="minor"/>
      </rPr>
      <t>NH</t>
    </r>
    <r>
      <rPr>
        <sz val="10"/>
        <color theme="1"/>
        <rFont val="Calibri"/>
        <family val="2"/>
        <scheme val="minor"/>
      </rPr>
      <t xml:space="preserve"> - New Hampshire
</t>
    </r>
    <r>
      <rPr>
        <b/>
        <sz val="10"/>
        <color theme="1"/>
        <rFont val="Calibri"/>
        <family val="2"/>
        <scheme val="minor"/>
      </rPr>
      <t>NJ</t>
    </r>
    <r>
      <rPr>
        <sz val="10"/>
        <color theme="1"/>
        <rFont val="Calibri"/>
        <family val="2"/>
        <scheme val="minor"/>
      </rPr>
      <t xml:space="preserve"> - New Jersey
</t>
    </r>
    <r>
      <rPr>
        <b/>
        <sz val="10"/>
        <color theme="1"/>
        <rFont val="Calibri"/>
        <family val="2"/>
        <scheme val="minor"/>
      </rPr>
      <t>NM</t>
    </r>
    <r>
      <rPr>
        <sz val="10"/>
        <color theme="1"/>
        <rFont val="Calibri"/>
        <family val="2"/>
        <scheme val="minor"/>
      </rPr>
      <t xml:space="preserve"> - New Mexico
</t>
    </r>
    <r>
      <rPr>
        <b/>
        <sz val="10"/>
        <color theme="1"/>
        <rFont val="Calibri"/>
        <family val="2"/>
        <scheme val="minor"/>
      </rPr>
      <t>NV</t>
    </r>
    <r>
      <rPr>
        <sz val="10"/>
        <color theme="1"/>
        <rFont val="Calibri"/>
        <family val="2"/>
        <scheme val="minor"/>
      </rPr>
      <t xml:space="preserve"> - Nevada
</t>
    </r>
    <r>
      <rPr>
        <b/>
        <sz val="10"/>
        <color theme="1"/>
        <rFont val="Calibri"/>
        <family val="2"/>
        <scheme val="minor"/>
      </rPr>
      <t>NY</t>
    </r>
    <r>
      <rPr>
        <sz val="10"/>
        <color theme="1"/>
        <rFont val="Calibri"/>
        <family val="2"/>
        <scheme val="minor"/>
      </rPr>
      <t xml:space="preserve"> - New York
</t>
    </r>
    <r>
      <rPr>
        <b/>
        <sz val="10"/>
        <color theme="1"/>
        <rFont val="Calibri"/>
        <family val="2"/>
        <scheme val="minor"/>
      </rPr>
      <t>OH</t>
    </r>
    <r>
      <rPr>
        <sz val="10"/>
        <color theme="1"/>
        <rFont val="Calibri"/>
        <family val="2"/>
        <scheme val="minor"/>
      </rPr>
      <t xml:space="preserve"> - Ohio
</t>
    </r>
    <r>
      <rPr>
        <b/>
        <sz val="10"/>
        <color theme="1"/>
        <rFont val="Calibri"/>
        <family val="2"/>
        <scheme val="minor"/>
      </rPr>
      <t>OK</t>
    </r>
    <r>
      <rPr>
        <sz val="10"/>
        <color theme="1"/>
        <rFont val="Calibri"/>
        <family val="2"/>
        <scheme val="minor"/>
      </rPr>
      <t xml:space="preserve"> - Oklahoma
</t>
    </r>
    <r>
      <rPr>
        <b/>
        <sz val="10"/>
        <color theme="1"/>
        <rFont val="Calibri"/>
        <family val="2"/>
        <scheme val="minor"/>
      </rPr>
      <t>OR</t>
    </r>
    <r>
      <rPr>
        <sz val="10"/>
        <color theme="1"/>
        <rFont val="Calibri"/>
        <family val="2"/>
        <scheme val="minor"/>
      </rPr>
      <t xml:space="preserve"> - Oregon
</t>
    </r>
    <r>
      <rPr>
        <b/>
        <sz val="10"/>
        <color theme="1"/>
        <rFont val="Calibri"/>
        <family val="2"/>
        <scheme val="minor"/>
      </rPr>
      <t>PA</t>
    </r>
    <r>
      <rPr>
        <sz val="10"/>
        <color theme="1"/>
        <rFont val="Calibri"/>
        <family val="2"/>
        <scheme val="minor"/>
      </rPr>
      <t xml:space="preserve"> - Pennsylvania
</t>
    </r>
    <r>
      <rPr>
        <b/>
        <sz val="10"/>
        <color theme="1"/>
        <rFont val="Calibri"/>
        <family val="2"/>
        <scheme val="minor"/>
      </rPr>
      <t>PR</t>
    </r>
    <r>
      <rPr>
        <sz val="10"/>
        <color theme="1"/>
        <rFont val="Calibri"/>
        <family val="2"/>
        <scheme val="minor"/>
      </rPr>
      <t xml:space="preserve"> - Puerto Rico
</t>
    </r>
    <r>
      <rPr>
        <b/>
        <sz val="10"/>
        <color theme="1"/>
        <rFont val="Calibri"/>
        <family val="2"/>
        <scheme val="minor"/>
      </rPr>
      <t>PW</t>
    </r>
    <r>
      <rPr>
        <sz val="10"/>
        <color theme="1"/>
        <rFont val="Calibri"/>
        <family val="2"/>
        <scheme val="minor"/>
      </rPr>
      <t xml:space="preserve"> - Palau
</t>
    </r>
    <r>
      <rPr>
        <b/>
        <sz val="10"/>
        <color theme="1"/>
        <rFont val="Calibri"/>
        <family val="2"/>
        <scheme val="minor"/>
      </rPr>
      <t>RI</t>
    </r>
    <r>
      <rPr>
        <sz val="10"/>
        <color theme="1"/>
        <rFont val="Calibri"/>
        <family val="2"/>
        <scheme val="minor"/>
      </rPr>
      <t xml:space="preserve"> - Rhode Island
</t>
    </r>
    <r>
      <rPr>
        <b/>
        <sz val="10"/>
        <color theme="1"/>
        <rFont val="Calibri"/>
        <family val="2"/>
        <scheme val="minor"/>
      </rPr>
      <t>SC</t>
    </r>
    <r>
      <rPr>
        <sz val="10"/>
        <color theme="1"/>
        <rFont val="Calibri"/>
        <family val="2"/>
        <scheme val="minor"/>
      </rPr>
      <t xml:space="preserve"> - South Carolina
</t>
    </r>
    <r>
      <rPr>
        <b/>
        <sz val="10"/>
        <color theme="1"/>
        <rFont val="Calibri"/>
        <family val="2"/>
        <scheme val="minor"/>
      </rPr>
      <t>SD</t>
    </r>
    <r>
      <rPr>
        <sz val="10"/>
        <color theme="1"/>
        <rFont val="Calibri"/>
        <family val="2"/>
        <scheme val="minor"/>
      </rPr>
      <t xml:space="preserve"> - South Dakota
</t>
    </r>
    <r>
      <rPr>
        <b/>
        <sz val="10"/>
        <color theme="1"/>
        <rFont val="Calibri"/>
        <family val="2"/>
        <scheme val="minor"/>
      </rPr>
      <t>TN</t>
    </r>
    <r>
      <rPr>
        <sz val="10"/>
        <color theme="1"/>
        <rFont val="Calibri"/>
        <family val="2"/>
        <scheme val="minor"/>
      </rPr>
      <t xml:space="preserve"> - Tennessee
</t>
    </r>
    <r>
      <rPr>
        <b/>
        <sz val="10"/>
        <color theme="1"/>
        <rFont val="Calibri"/>
        <family val="2"/>
        <scheme val="minor"/>
      </rPr>
      <t>TX</t>
    </r>
    <r>
      <rPr>
        <sz val="10"/>
        <color theme="1"/>
        <rFont val="Calibri"/>
        <family val="2"/>
        <scheme val="minor"/>
      </rPr>
      <t xml:space="preserve"> - Texas
</t>
    </r>
    <r>
      <rPr>
        <b/>
        <sz val="10"/>
        <color theme="1"/>
        <rFont val="Calibri"/>
        <family val="2"/>
        <scheme val="minor"/>
      </rPr>
      <t>UT</t>
    </r>
    <r>
      <rPr>
        <sz val="10"/>
        <color theme="1"/>
        <rFont val="Calibri"/>
        <family val="2"/>
        <scheme val="minor"/>
      </rPr>
      <t xml:space="preserve"> - Utah
</t>
    </r>
    <r>
      <rPr>
        <b/>
        <sz val="10"/>
        <color theme="1"/>
        <rFont val="Calibri"/>
        <family val="2"/>
        <scheme val="minor"/>
      </rPr>
      <t>VA</t>
    </r>
    <r>
      <rPr>
        <sz val="10"/>
        <color theme="1"/>
        <rFont val="Calibri"/>
        <family val="2"/>
        <scheme val="minor"/>
      </rPr>
      <t xml:space="preserve"> - Virginia
</t>
    </r>
    <r>
      <rPr>
        <b/>
        <sz val="10"/>
        <color theme="1"/>
        <rFont val="Calibri"/>
        <family val="2"/>
        <scheme val="minor"/>
      </rPr>
      <t>VI</t>
    </r>
    <r>
      <rPr>
        <sz val="10"/>
        <color theme="1"/>
        <rFont val="Calibri"/>
        <family val="2"/>
        <scheme val="minor"/>
      </rPr>
      <t xml:space="preserve"> - Virgin Islands
</t>
    </r>
    <r>
      <rPr>
        <b/>
        <sz val="10"/>
        <color theme="1"/>
        <rFont val="Calibri"/>
        <family val="2"/>
        <scheme val="minor"/>
      </rPr>
      <t>VT</t>
    </r>
    <r>
      <rPr>
        <sz val="10"/>
        <color theme="1"/>
        <rFont val="Calibri"/>
        <family val="2"/>
        <scheme val="minor"/>
      </rPr>
      <t xml:space="preserve"> - Vermont
</t>
    </r>
    <r>
      <rPr>
        <b/>
        <sz val="10"/>
        <color theme="1"/>
        <rFont val="Calibri"/>
        <family val="2"/>
        <scheme val="minor"/>
      </rPr>
      <t>WA</t>
    </r>
    <r>
      <rPr>
        <sz val="10"/>
        <color theme="1"/>
        <rFont val="Calibri"/>
        <family val="2"/>
        <scheme val="minor"/>
      </rPr>
      <t xml:space="preserve"> - Washington
</t>
    </r>
    <r>
      <rPr>
        <b/>
        <sz val="10"/>
        <color theme="1"/>
        <rFont val="Calibri"/>
        <family val="2"/>
        <scheme val="minor"/>
      </rPr>
      <t>WI</t>
    </r>
    <r>
      <rPr>
        <sz val="10"/>
        <color theme="1"/>
        <rFont val="Calibri"/>
        <family val="2"/>
        <scheme val="minor"/>
      </rPr>
      <t xml:space="preserve"> - Wisconsin
</t>
    </r>
    <r>
      <rPr>
        <b/>
        <sz val="10"/>
        <color theme="1"/>
        <rFont val="Calibri"/>
        <family val="2"/>
        <scheme val="minor"/>
      </rPr>
      <t>WV</t>
    </r>
    <r>
      <rPr>
        <sz val="10"/>
        <color theme="1"/>
        <rFont val="Calibri"/>
        <family val="2"/>
        <scheme val="minor"/>
      </rPr>
      <t xml:space="preserve"> - West Virginia
</t>
    </r>
    <r>
      <rPr>
        <b/>
        <sz val="10"/>
        <color theme="1"/>
        <rFont val="Calibri"/>
        <family val="2"/>
        <scheme val="minor"/>
      </rPr>
      <t>WY</t>
    </r>
    <r>
      <rPr>
        <sz val="10"/>
        <color theme="1"/>
        <rFont val="Calibri"/>
        <family val="2"/>
        <scheme val="minor"/>
      </rPr>
      <t xml:space="preserve"> - Wyoming
</t>
    </r>
  </si>
  <si>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</si>
  <si>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</si>
  <si>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</si>
  <si>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</si>
  <si>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</si>
  <si>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</si>
  <si>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</si>
  <si>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</si>
  <si>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</si>
  <si>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</si>
  <si>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</si>
  <si>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</si>
  <si>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</si>
  <si>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</si>
  <si>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</si>
  <si>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</si>
  <si>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</si>
  <si>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r>
      <t>HighQuartile</t>
    </r>
    <r>
      <rPr>
        <sz val="10"/>
        <color theme="1"/>
        <rFont val="Calibri"/>
        <family val="2"/>
        <scheme val="minor"/>
      </rPr>
      <t xml:space="preserve"> - High poverty quartile school
</t>
    </r>
    <r>
      <rPr>
        <b/>
        <sz val="10"/>
        <color theme="1"/>
        <rFont val="Calibri"/>
        <family val="2"/>
        <scheme val="minor"/>
      </rPr>
      <t>LowQuartile</t>
    </r>
    <r>
      <rPr>
        <sz val="10"/>
        <color theme="1"/>
        <rFont val="Calibri"/>
        <family val="2"/>
        <scheme val="minor"/>
      </rPr>
      <t xml:space="preserve"> - Low poverty quartile school
</t>
    </r>
    <r>
      <rPr>
        <b/>
        <sz val="10"/>
        <color theme="1"/>
        <rFont val="Calibri"/>
        <family val="2"/>
        <scheme val="minor"/>
      </rPr>
      <t>Neither</t>
    </r>
    <r>
      <rPr>
        <sz val="10"/>
        <color theme="1"/>
        <rFont val="Calibri"/>
        <family val="2"/>
        <scheme val="minor"/>
      </rPr>
      <t xml:space="preserve"> - Neither high nor low poverty quartile school
</t>
    </r>
  </si>
  <si>
    <t>000585</t>
  </si>
  <si>
    <t>StatePovertyDesignation</t>
  </si>
  <si>
    <t>State Transferability of Funds</t>
  </si>
  <si>
    <t>Did the State transfer funds under the State Transferability authority of Section 6123(a)</t>
  </si>
  <si>
    <t>000445</t>
  </si>
  <si>
    <t>StateTransferabilityOfFunds</t>
  </si>
  <si>
    <t>Status End Date</t>
  </si>
  <si>
    <t>The last year, month and day when a status applied to an individual.</t>
  </si>
  <si>
    <t>K12 -&gt; K12 Student -&gt; Economically Disadvantaged
K12 -&gt; K12 Student -&gt; Homeless
K12 -&gt; K12 Student -&gt; Immigrant</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</si>
  <si>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</si>
  <si>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001228</t>
  </si>
  <si>
    <t>StatusEndDate</t>
  </si>
  <si>
    <t>Status Start Date</t>
  </si>
  <si>
    <t>The year, month and day that a status became applicable to an individual.</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</si>
  <si>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</si>
  <si>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</si>
  <si>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</si>
  <si>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</si>
  <si>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Numeric - between 0 and 1</t>
  </si>
  <si>
    <t>000271</t>
  </si>
  <si>
    <t>StudentAttendanceRate</t>
  </si>
  <si>
    <t>Student Course Section Grade Earned</t>
  </si>
  <si>
    <t>A final indicator of student performance in a course section as submitted by the instructor.</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</si>
  <si>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</si>
  <si>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000124</t>
  </si>
  <si>
    <t>StudentCourseSectionGradeEarned</t>
  </si>
  <si>
    <t>Student Course Section Grade Narrative</t>
  </si>
  <si>
    <t>The narrative of the student performance in a course section as submitted by the instructor.</t>
  </si>
  <si>
    <t>Adult Education -&gt; Course Section -&gt; Enrollment
Career and Technical -&gt; Course Section -&gt; Enrollment
K12 -&gt; Course Section -&gt; Enrollment
K12 -&gt; K12 Student -&gt; Academic Record
Postsecondary -&gt; Course Section -&gt; Enrollment</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</si>
  <si>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</si>
  <si>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</si>
  <si>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</si>
  <si>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</si>
  <si>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</si>
  <si>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</si>
  <si>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Enrollment Access Type</t>
  </si>
  <si>
    <t>The designation of how students secure access to age appropriate public schools, or publicly funded charter or private schools.</t>
  </si>
  <si>
    <r>
      <t>75027</t>
    </r>
    <r>
      <rPr>
        <sz val="10"/>
        <color theme="1"/>
        <rFont val="Calibri"/>
        <family val="2"/>
        <scheme val="minor"/>
      </rPr>
      <t xml:space="preserve"> - Feeder school rights
</t>
    </r>
    <r>
      <rPr>
        <b/>
        <sz val="10"/>
        <color theme="1"/>
        <rFont val="Calibri"/>
        <family val="2"/>
        <scheme val="minor"/>
      </rPr>
      <t>75028</t>
    </r>
    <r>
      <rPr>
        <sz val="10"/>
        <color theme="1"/>
        <rFont val="Calibri"/>
        <family val="2"/>
        <scheme val="minor"/>
      </rPr>
      <t xml:space="preserve"> - Geographic right
</t>
    </r>
    <r>
      <rPr>
        <b/>
        <sz val="10"/>
        <color theme="1"/>
        <rFont val="Calibri"/>
        <family val="2"/>
        <scheme val="minor"/>
      </rPr>
      <t>75029</t>
    </r>
    <r>
      <rPr>
        <sz val="10"/>
        <color theme="1"/>
        <rFont val="Calibri"/>
        <family val="2"/>
        <scheme val="minor"/>
      </rPr>
      <t xml:space="preserve"> - Lottery
</t>
    </r>
    <r>
      <rPr>
        <b/>
        <sz val="10"/>
        <color theme="1"/>
        <rFont val="Calibri"/>
        <family val="2"/>
        <scheme val="minor"/>
      </rPr>
      <t>75030</t>
    </r>
    <r>
      <rPr>
        <sz val="10"/>
        <color theme="1"/>
        <rFont val="Calibri"/>
        <family val="2"/>
        <scheme val="minor"/>
      </rPr>
      <t xml:space="preserve"> - Policy preference
</t>
    </r>
    <r>
      <rPr>
        <b/>
        <sz val="10"/>
        <color theme="1"/>
        <rFont val="Calibri"/>
        <family val="2"/>
        <scheme val="minor"/>
      </rPr>
      <t>75031</t>
    </r>
    <r>
      <rPr>
        <sz val="10"/>
        <color theme="1"/>
        <rFont val="Calibri"/>
        <family val="2"/>
        <scheme val="minor"/>
      </rPr>
      <t xml:space="preserve"> - Selective admissions
</t>
    </r>
  </si>
  <si>
    <t>001862</t>
  </si>
  <si>
    <t>StudentEnrollmentAccessType</t>
  </si>
  <si>
    <t>Student Identification System</t>
  </si>
  <si>
    <t>A coding scheme that is used for identification and record-keeping purposes by schools, social services, or other agencies to refer to a student.</t>
  </si>
  <si>
    <r>
      <t>CanadianSIN</t>
    </r>
    <r>
      <rPr>
        <sz val="10"/>
        <color theme="1"/>
        <rFont val="Calibri"/>
        <family val="2"/>
        <scheme val="minor"/>
      </rPr>
      <t xml:space="preserve"> - Canadian Social Insurance Number
</t>
    </r>
    <r>
      <rPr>
        <b/>
        <sz val="10"/>
        <color theme="1"/>
        <rFont val="Calibri"/>
        <family val="2"/>
        <scheme val="minor"/>
      </rPr>
      <t>District</t>
    </r>
    <r>
      <rPr>
        <sz val="10"/>
        <color theme="1"/>
        <rFont val="Calibri"/>
        <family val="2"/>
        <scheme val="minor"/>
      </rPr>
      <t xml:space="preserve"> - District-assigned number
</t>
    </r>
    <r>
      <rPr>
        <b/>
        <sz val="10"/>
        <color theme="1"/>
        <rFont val="Calibri"/>
        <family val="2"/>
        <scheme val="minor"/>
      </rPr>
      <t>Family</t>
    </r>
    <r>
      <rPr>
        <sz val="10"/>
        <color theme="1"/>
        <rFont val="Calibri"/>
        <family val="2"/>
        <scheme val="minor"/>
      </rPr>
      <t xml:space="preserve"> - Family unit number
</t>
    </r>
    <r>
      <rPr>
        <b/>
        <sz val="10"/>
        <color theme="1"/>
        <rFont val="Calibri"/>
        <family val="2"/>
        <scheme val="minor"/>
      </rPr>
      <t>Federal</t>
    </r>
    <r>
      <rPr>
        <sz val="10"/>
        <color theme="1"/>
        <rFont val="Calibri"/>
        <family val="2"/>
        <scheme val="minor"/>
      </rPr>
      <t xml:space="preserve"> - Federal identification number
</t>
    </r>
    <r>
      <rPr>
        <b/>
        <sz val="10"/>
        <color theme="1"/>
        <rFont val="Calibri"/>
        <family val="2"/>
        <scheme val="minor"/>
      </rPr>
      <t>NationalMigrant</t>
    </r>
    <r>
      <rPr>
        <sz val="10"/>
        <color theme="1"/>
        <rFont val="Calibri"/>
        <family val="2"/>
        <scheme val="minor"/>
      </rPr>
      <t xml:space="preserve"> - National migrant number
</t>
    </r>
    <r>
      <rPr>
        <b/>
        <sz val="10"/>
        <color theme="1"/>
        <rFont val="Calibri"/>
        <family val="2"/>
        <scheme val="minor"/>
      </rPr>
      <t>School</t>
    </r>
    <r>
      <rPr>
        <sz val="10"/>
        <color theme="1"/>
        <rFont val="Calibri"/>
        <family val="2"/>
        <scheme val="minor"/>
      </rPr>
      <t xml:space="preserve"> - School-assigned number
</t>
    </r>
    <r>
      <rPr>
        <b/>
        <sz val="10"/>
        <color theme="1"/>
        <rFont val="Calibri"/>
        <family val="2"/>
        <scheme val="minor"/>
      </rPr>
      <t>SSN</t>
    </r>
    <r>
      <rPr>
        <sz val="10"/>
        <color theme="1"/>
        <rFont val="Calibri"/>
        <family val="2"/>
        <scheme val="minor"/>
      </rPr>
      <t xml:space="preserve"> - Social Security Administration number
</t>
    </r>
    <r>
      <rPr>
        <b/>
        <sz val="10"/>
        <color theme="1"/>
        <rFont val="Calibri"/>
        <family val="2"/>
        <scheme val="minor"/>
      </rPr>
      <t>State</t>
    </r>
    <r>
      <rPr>
        <sz val="10"/>
        <color theme="1"/>
        <rFont val="Calibri"/>
        <family val="2"/>
        <scheme val="minor"/>
      </rPr>
      <t xml:space="preserve"> - State-assigned number
</t>
    </r>
    <r>
      <rPr>
        <b/>
        <sz val="10"/>
        <color theme="1"/>
        <rFont val="Calibri"/>
        <family val="2"/>
        <scheme val="minor"/>
      </rPr>
      <t>StateMigrant</t>
    </r>
    <r>
      <rPr>
        <sz val="10"/>
        <color theme="1"/>
        <rFont val="Calibri"/>
        <family val="2"/>
        <scheme val="minor"/>
      </rPr>
      <t xml:space="preserve"> - State migrant number
</t>
    </r>
  </si>
  <si>
    <t>Adult Education -&gt; AE Student -&gt; Identity -&gt; Identification
Adult Education -&gt; Course Section -&gt; Enrollment
Career and Technical -&gt; Course Section -&gt; Enrollment
Career and Technical -&gt; CTE Student -&gt; Identity -&gt; Identification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</si>
  <si>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001075</t>
  </si>
  <si>
    <t>StudentIdentificationSystem</t>
  </si>
  <si>
    <t>K-12 -&gt; High School Generated Transcript
K-12 -&gt; LEA-to-LEA Student Record Exchange
K-12 -&gt; LEA-to-SEA Student Record Exchange
K-12 -&gt; Teacher-Student Data Link -&gt; Enrollment
Postsecondary Education -&gt; Transition</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</si>
  <si>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</si>
  <si>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</si>
  <si>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</si>
  <si>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</si>
  <si>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</si>
  <si>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</si>
  <si>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r>
      <t>Undergraduate</t>
    </r>
    <r>
      <rPr>
        <sz val="10"/>
        <color theme="1"/>
        <rFont val="Calibri"/>
        <family val="2"/>
        <scheme val="minor"/>
      </rPr>
      <t xml:space="preserve"> - Undergraduate
</t>
    </r>
    <r>
      <rPr>
        <b/>
        <sz val="10"/>
        <color theme="1"/>
        <rFont val="Calibri"/>
        <family val="2"/>
        <scheme val="minor"/>
      </rPr>
      <t>Graduate</t>
    </r>
    <r>
      <rPr>
        <sz val="10"/>
        <color theme="1"/>
        <rFont val="Calibri"/>
        <family val="2"/>
        <scheme val="minor"/>
      </rPr>
      <t xml:space="preserve"> - Graduate
</t>
    </r>
  </si>
  <si>
    <t>000272</t>
  </si>
  <si>
    <t>StudentLevel</t>
  </si>
  <si>
    <t>Student Support Service Type</t>
  </si>
  <si>
    <t>Type of related or ancillary services offered or provided to a person or a group of persons within the formal educational system or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</si>
  <si>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r>
      <t>00290</t>
    </r>
    <r>
      <rPr>
        <sz val="10"/>
        <color theme="1"/>
        <rFont val="Calibri"/>
        <family val="2"/>
        <scheme val="minor"/>
      </rPr>
      <t xml:space="preserve"> - Adaptive physical education
</t>
    </r>
    <r>
      <rPr>
        <b/>
        <sz val="10"/>
        <color theme="1"/>
        <rFont val="Calibri"/>
        <family val="2"/>
        <scheme val="minor"/>
      </rPr>
      <t>00291</t>
    </r>
    <r>
      <rPr>
        <sz val="10"/>
        <color theme="1"/>
        <rFont val="Calibri"/>
        <family val="2"/>
        <scheme val="minor"/>
      </rPr>
      <t xml:space="preserve"> - Art therapy
</t>
    </r>
    <r>
      <rPr>
        <b/>
        <sz val="10"/>
        <color theme="1"/>
        <rFont val="Calibri"/>
        <family val="2"/>
        <scheme val="minor"/>
      </rPr>
      <t>00292</t>
    </r>
    <r>
      <rPr>
        <sz val="10"/>
        <color theme="1"/>
        <rFont val="Calibri"/>
        <family val="2"/>
        <scheme val="minor"/>
      </rPr>
      <t xml:space="preserve"> - Assistive technology services
</t>
    </r>
    <r>
      <rPr>
        <b/>
        <sz val="10"/>
        <color theme="1"/>
        <rFont val="Calibri"/>
        <family val="2"/>
        <scheme val="minor"/>
      </rPr>
      <t>00293</t>
    </r>
    <r>
      <rPr>
        <sz val="10"/>
        <color theme="1"/>
        <rFont val="Calibri"/>
        <family val="2"/>
        <scheme val="minor"/>
      </rPr>
      <t xml:space="preserve"> - Audiological services
</t>
    </r>
    <r>
      <rPr>
        <b/>
        <sz val="10"/>
        <color theme="1"/>
        <rFont val="Calibri"/>
        <family val="2"/>
        <scheme val="minor"/>
      </rPr>
      <t>73050</t>
    </r>
    <r>
      <rPr>
        <sz val="10"/>
        <color theme="1"/>
        <rFont val="Calibri"/>
        <family val="2"/>
        <scheme val="minor"/>
      </rPr>
      <t xml:space="preserve"> - Augmentative Communication Service
</t>
    </r>
    <r>
      <rPr>
        <b/>
        <sz val="10"/>
        <color theme="1"/>
        <rFont val="Calibri"/>
        <family val="2"/>
        <scheme val="minor"/>
      </rPr>
      <t>73051</t>
    </r>
    <r>
      <rPr>
        <sz val="10"/>
        <color theme="1"/>
        <rFont val="Calibri"/>
        <family val="2"/>
        <scheme val="minor"/>
      </rPr>
      <t xml:space="preserve"> - Autism Spectrum Disorder Service
</t>
    </r>
    <r>
      <rPr>
        <b/>
        <sz val="10"/>
        <color theme="1"/>
        <rFont val="Calibri"/>
        <family val="2"/>
        <scheme val="minor"/>
      </rPr>
      <t>73052</t>
    </r>
    <r>
      <rPr>
        <sz val="10"/>
        <color theme="1"/>
        <rFont val="Calibri"/>
        <family val="2"/>
        <scheme val="minor"/>
      </rPr>
      <t xml:space="preserve"> - Behavior and Behavioral Consultation Service
</t>
    </r>
    <r>
      <rPr>
        <b/>
        <sz val="10"/>
        <color theme="1"/>
        <rFont val="Calibri"/>
        <family val="2"/>
        <scheme val="minor"/>
      </rPr>
      <t>73053</t>
    </r>
    <r>
      <rPr>
        <sz val="10"/>
        <color theme="1"/>
        <rFont val="Calibri"/>
        <family val="2"/>
        <scheme val="minor"/>
      </rPr>
      <t xml:space="preserve"> - Braille Service
</t>
    </r>
    <r>
      <rPr>
        <b/>
        <sz val="10"/>
        <color theme="1"/>
        <rFont val="Calibri"/>
        <family val="2"/>
        <scheme val="minor"/>
      </rPr>
      <t>00878</t>
    </r>
    <r>
      <rPr>
        <sz val="10"/>
        <color theme="1"/>
        <rFont val="Calibri"/>
        <family val="2"/>
        <scheme val="minor"/>
      </rPr>
      <t xml:space="preserve"> - Case management services
</t>
    </r>
    <r>
      <rPr>
        <b/>
        <sz val="10"/>
        <color theme="1"/>
        <rFont val="Calibri"/>
        <family val="2"/>
        <scheme val="minor"/>
      </rPr>
      <t>00295</t>
    </r>
    <r>
      <rPr>
        <sz val="10"/>
        <color theme="1"/>
        <rFont val="Calibri"/>
        <family val="2"/>
        <scheme val="minor"/>
      </rPr>
      <t xml:space="preserve"> - Children's protective services
</t>
    </r>
    <r>
      <rPr>
        <b/>
        <sz val="10"/>
        <color theme="1"/>
        <rFont val="Calibri"/>
        <family val="2"/>
        <scheme val="minor"/>
      </rPr>
      <t>00881</t>
    </r>
    <r>
      <rPr>
        <sz val="10"/>
        <color theme="1"/>
        <rFont val="Calibri"/>
        <family val="2"/>
        <scheme val="minor"/>
      </rPr>
      <t xml:space="preserve"> - Communication services
</t>
    </r>
    <r>
      <rPr>
        <b/>
        <sz val="10"/>
        <color theme="1"/>
        <rFont val="Calibri"/>
        <family val="2"/>
        <scheme val="minor"/>
      </rPr>
      <t>00882</t>
    </r>
    <r>
      <rPr>
        <sz val="10"/>
        <color theme="1"/>
        <rFont val="Calibri"/>
        <family val="2"/>
        <scheme val="minor"/>
      </rPr>
      <t xml:space="preserve"> - Community recreational services
</t>
    </r>
    <r>
      <rPr>
        <b/>
        <sz val="10"/>
        <color theme="1"/>
        <rFont val="Calibri"/>
        <family val="2"/>
        <scheme val="minor"/>
      </rPr>
      <t>73048</t>
    </r>
    <r>
      <rPr>
        <sz val="10"/>
        <color theme="1"/>
        <rFont val="Calibri"/>
        <family val="2"/>
        <scheme val="minor"/>
      </rPr>
      <t xml:space="preserve"> - Curriculum planning
</t>
    </r>
    <r>
      <rPr>
        <b/>
        <sz val="10"/>
        <color theme="1"/>
        <rFont val="Calibri"/>
        <family val="2"/>
        <scheme val="minor"/>
      </rPr>
      <t>00334</t>
    </r>
    <r>
      <rPr>
        <sz val="10"/>
        <color theme="1"/>
        <rFont val="Calibri"/>
        <family val="2"/>
        <scheme val="minor"/>
      </rPr>
      <t xml:space="preserve"> - Developmental childcare program
</t>
    </r>
    <r>
      <rPr>
        <b/>
        <sz val="10"/>
        <color theme="1"/>
        <rFont val="Calibri"/>
        <family val="2"/>
        <scheme val="minor"/>
      </rPr>
      <t>73047</t>
    </r>
    <r>
      <rPr>
        <sz val="10"/>
        <color theme="1"/>
        <rFont val="Calibri"/>
        <family val="2"/>
        <scheme val="minor"/>
      </rPr>
      <t xml:space="preserve"> - Early Intervention / Early Childhood Special Education Special Service
</t>
    </r>
    <r>
      <rPr>
        <b/>
        <sz val="10"/>
        <color theme="1"/>
        <rFont val="Calibri"/>
        <family val="2"/>
        <scheme val="minor"/>
      </rPr>
      <t>00297</t>
    </r>
    <r>
      <rPr>
        <sz val="10"/>
        <color theme="1"/>
        <rFont val="Calibri"/>
        <family val="2"/>
        <scheme val="minor"/>
      </rPr>
      <t xml:space="preserve"> - Early intervention services
</t>
    </r>
    <r>
      <rPr>
        <b/>
        <sz val="10"/>
        <color theme="1"/>
        <rFont val="Calibri"/>
        <family val="2"/>
        <scheme val="minor"/>
      </rPr>
      <t>00298</t>
    </r>
    <r>
      <rPr>
        <sz val="10"/>
        <color theme="1"/>
        <rFont val="Calibri"/>
        <family val="2"/>
        <scheme val="minor"/>
      </rPr>
      <t xml:space="preserve"> - Educational therapy
</t>
    </r>
    <r>
      <rPr>
        <b/>
        <sz val="10"/>
        <color theme="1"/>
        <rFont val="Calibri"/>
        <family val="2"/>
        <scheme val="minor"/>
      </rPr>
      <t>73054</t>
    </r>
    <r>
      <rPr>
        <sz val="10"/>
        <color theme="1"/>
        <rFont val="Calibri"/>
        <family val="2"/>
        <scheme val="minor"/>
      </rPr>
      <t xml:space="preserve"> - ESL/Migrant Service
</t>
    </r>
    <r>
      <rPr>
        <b/>
        <sz val="10"/>
        <color theme="1"/>
        <rFont val="Calibri"/>
        <family val="2"/>
        <scheme val="minor"/>
      </rPr>
      <t>00299</t>
    </r>
    <r>
      <rPr>
        <sz val="10"/>
        <color theme="1"/>
        <rFont val="Calibri"/>
        <family val="2"/>
        <scheme val="minor"/>
      </rPr>
      <t xml:space="preserve"> - Family counseling
</t>
    </r>
    <r>
      <rPr>
        <b/>
        <sz val="10"/>
        <color theme="1"/>
        <rFont val="Calibri"/>
        <family val="2"/>
        <scheme val="minor"/>
      </rPr>
      <t>00333</t>
    </r>
    <r>
      <rPr>
        <sz val="10"/>
        <color theme="1"/>
        <rFont val="Calibri"/>
        <family val="2"/>
        <scheme val="minor"/>
      </rPr>
      <t xml:space="preserve"> - Family training, counseling, and home visits
</t>
    </r>
    <r>
      <rPr>
        <b/>
        <sz val="10"/>
        <color theme="1"/>
        <rFont val="Calibri"/>
        <family val="2"/>
        <scheme val="minor"/>
      </rPr>
      <t>00303</t>
    </r>
    <r>
      <rPr>
        <sz val="10"/>
        <color theme="1"/>
        <rFont val="Calibri"/>
        <family val="2"/>
        <scheme val="minor"/>
      </rPr>
      <t xml:space="preserve"> - Health care
</t>
    </r>
    <r>
      <rPr>
        <b/>
        <sz val="10"/>
        <color theme="1"/>
        <rFont val="Calibri"/>
        <family val="2"/>
        <scheme val="minor"/>
      </rPr>
      <t>00883</t>
    </r>
    <r>
      <rPr>
        <sz val="10"/>
        <color theme="1"/>
        <rFont val="Calibri"/>
        <family val="2"/>
        <scheme val="minor"/>
      </rPr>
      <t xml:space="preserve"> - Independent living
</t>
    </r>
    <r>
      <rPr>
        <b/>
        <sz val="10"/>
        <color theme="1"/>
        <rFont val="Calibri"/>
        <family val="2"/>
        <scheme val="minor"/>
      </rPr>
      <t>73049</t>
    </r>
    <r>
      <rPr>
        <sz val="10"/>
        <color theme="1"/>
        <rFont val="Calibri"/>
        <family val="2"/>
        <scheme val="minor"/>
      </rPr>
      <t xml:space="preserve"> - Instructional Aide/Assistant/Intervener Service
</t>
    </r>
    <r>
      <rPr>
        <b/>
        <sz val="10"/>
        <color theme="1"/>
        <rFont val="Calibri"/>
        <family val="2"/>
        <scheme val="minor"/>
      </rPr>
      <t>00304</t>
    </r>
    <r>
      <rPr>
        <sz val="10"/>
        <color theme="1"/>
        <rFont val="Calibri"/>
        <family val="2"/>
        <scheme val="minor"/>
      </rPr>
      <t xml:space="preserve"> - Interpretation for the hearing impaired
</t>
    </r>
    <r>
      <rPr>
        <b/>
        <sz val="10"/>
        <color theme="1"/>
        <rFont val="Calibri"/>
        <family val="2"/>
        <scheme val="minor"/>
      </rPr>
      <t>00332</t>
    </r>
    <r>
      <rPr>
        <sz val="10"/>
        <color theme="1"/>
        <rFont val="Calibri"/>
        <family val="2"/>
        <scheme val="minor"/>
      </rPr>
      <t xml:space="preserve"> - Medical services only for diagnostic or evaluation purposes
</t>
    </r>
    <r>
      <rPr>
        <b/>
        <sz val="10"/>
        <color theme="1"/>
        <rFont val="Calibri"/>
        <family val="2"/>
        <scheme val="minor"/>
      </rPr>
      <t>00305</t>
    </r>
    <r>
      <rPr>
        <sz val="10"/>
        <color theme="1"/>
        <rFont val="Calibri"/>
        <family val="2"/>
        <scheme val="minor"/>
      </rPr>
      <t xml:space="preserve"> - Mental health counseling
</t>
    </r>
    <r>
      <rPr>
        <b/>
        <sz val="10"/>
        <color theme="1"/>
        <rFont val="Calibri"/>
        <family val="2"/>
        <scheme val="minor"/>
      </rPr>
      <t>00884</t>
    </r>
    <r>
      <rPr>
        <sz val="10"/>
        <color theme="1"/>
        <rFont val="Calibri"/>
        <family val="2"/>
        <scheme val="minor"/>
      </rPr>
      <t xml:space="preserve"> - Mental health services
</t>
    </r>
    <r>
      <rPr>
        <b/>
        <sz val="10"/>
        <color theme="1"/>
        <rFont val="Calibri"/>
        <family val="2"/>
        <scheme val="minor"/>
      </rPr>
      <t>00306</t>
    </r>
    <r>
      <rPr>
        <sz val="10"/>
        <color theme="1"/>
        <rFont val="Calibri"/>
        <family val="2"/>
        <scheme val="minor"/>
      </rPr>
      <t xml:space="preserve"> - Music therapy
</t>
    </r>
    <r>
      <rPr>
        <b/>
        <sz val="10"/>
        <color theme="1"/>
        <rFont val="Calibri"/>
        <family val="2"/>
        <scheme val="minor"/>
      </rPr>
      <t>00300</t>
    </r>
    <r>
      <rPr>
        <sz val="10"/>
        <color theme="1"/>
        <rFont val="Calibri"/>
        <family val="2"/>
        <scheme val="minor"/>
      </rPr>
      <t xml:space="preserve"> - National School Nutrition programs
</t>
    </r>
    <r>
      <rPr>
        <b/>
        <sz val="10"/>
        <color theme="1"/>
        <rFont val="Calibri"/>
        <family val="2"/>
        <scheme val="minor"/>
      </rPr>
      <t>00308</t>
    </r>
    <r>
      <rPr>
        <sz val="10"/>
        <color theme="1"/>
        <rFont val="Calibri"/>
        <family val="2"/>
        <scheme val="minor"/>
      </rPr>
      <t xml:space="preserve"> - Note-taking assistance
</t>
    </r>
    <r>
      <rPr>
        <b/>
        <sz val="10"/>
        <color theme="1"/>
        <rFont val="Calibri"/>
        <family val="2"/>
        <scheme val="minor"/>
      </rPr>
      <t>00335</t>
    </r>
    <r>
      <rPr>
        <sz val="10"/>
        <color theme="1"/>
        <rFont val="Calibri"/>
        <family val="2"/>
        <scheme val="minor"/>
      </rPr>
      <t xml:space="preserve"> - Nursing service
</t>
    </r>
    <r>
      <rPr>
        <b/>
        <sz val="10"/>
        <color theme="1"/>
        <rFont val="Calibri"/>
        <family val="2"/>
        <scheme val="minor"/>
      </rPr>
      <t>00336</t>
    </r>
    <r>
      <rPr>
        <sz val="10"/>
        <color theme="1"/>
        <rFont val="Calibri"/>
        <family val="2"/>
        <scheme val="minor"/>
      </rPr>
      <t xml:space="preserve"> - Nutrition services
</t>
    </r>
    <r>
      <rPr>
        <b/>
        <sz val="10"/>
        <color theme="1"/>
        <rFont val="Calibri"/>
        <family val="2"/>
        <scheme val="minor"/>
      </rPr>
      <t>00309</t>
    </r>
    <r>
      <rPr>
        <sz val="10"/>
        <color theme="1"/>
        <rFont val="Calibri"/>
        <family val="2"/>
        <scheme val="minor"/>
      </rPr>
      <t xml:space="preserve"> - Occupational therapy
</t>
    </r>
    <r>
      <rPr>
        <b/>
        <sz val="10"/>
        <color theme="1"/>
        <rFont val="Calibri"/>
        <family val="2"/>
        <scheme val="minor"/>
      </rPr>
      <t>00310</t>
    </r>
    <r>
      <rPr>
        <sz val="10"/>
        <color theme="1"/>
        <rFont val="Calibri"/>
        <family val="2"/>
        <scheme val="minor"/>
      </rPr>
      <t xml:space="preserve"> - Orientation and mobility services
</t>
    </r>
    <r>
      <rPr>
        <b/>
        <sz val="10"/>
        <color theme="1"/>
        <rFont val="Calibri"/>
        <family val="2"/>
        <scheme val="minor"/>
      </rPr>
      <t>00311</t>
    </r>
    <r>
      <rPr>
        <sz val="10"/>
        <color theme="1"/>
        <rFont val="Calibri"/>
        <family val="2"/>
        <scheme val="minor"/>
      </rPr>
      <t xml:space="preserve"> - Parenting skills assistance
</t>
    </r>
    <r>
      <rPr>
        <b/>
        <sz val="10"/>
        <color theme="1"/>
        <rFont val="Calibri"/>
        <family val="2"/>
        <scheme val="minor"/>
      </rPr>
      <t>00312</t>
    </r>
    <r>
      <rPr>
        <sz val="10"/>
        <color theme="1"/>
        <rFont val="Calibri"/>
        <family val="2"/>
        <scheme val="minor"/>
      </rPr>
      <t xml:space="preserve"> - Peer services
</t>
    </r>
    <r>
      <rPr>
        <b/>
        <sz val="10"/>
        <color theme="1"/>
        <rFont val="Calibri"/>
        <family val="2"/>
        <scheme val="minor"/>
      </rPr>
      <t>00313</t>
    </r>
    <r>
      <rPr>
        <sz val="10"/>
        <color theme="1"/>
        <rFont val="Calibri"/>
        <family val="2"/>
        <scheme val="minor"/>
      </rPr>
      <t xml:space="preserve"> - Physical therapy
</t>
    </r>
    <r>
      <rPr>
        <b/>
        <sz val="10"/>
        <color theme="1"/>
        <rFont val="Calibri"/>
        <family val="2"/>
        <scheme val="minor"/>
      </rPr>
      <t>00331</t>
    </r>
    <r>
      <rPr>
        <sz val="10"/>
        <color theme="1"/>
        <rFont val="Calibri"/>
        <family val="2"/>
        <scheme val="minor"/>
      </rPr>
      <t xml:space="preserve"> - Psychological services
</t>
    </r>
    <r>
      <rPr>
        <b/>
        <sz val="10"/>
        <color theme="1"/>
        <rFont val="Calibri"/>
        <family val="2"/>
        <scheme val="minor"/>
      </rPr>
      <t>00314</t>
    </r>
    <r>
      <rPr>
        <sz val="10"/>
        <color theme="1"/>
        <rFont val="Calibri"/>
        <family val="2"/>
        <scheme val="minor"/>
      </rPr>
      <t xml:space="preserve"> - Reader service
</t>
    </r>
    <r>
      <rPr>
        <b/>
        <sz val="10"/>
        <color theme="1"/>
        <rFont val="Calibri"/>
        <family val="2"/>
        <scheme val="minor"/>
      </rPr>
      <t>00315</t>
    </r>
    <r>
      <rPr>
        <sz val="10"/>
        <color theme="1"/>
        <rFont val="Calibri"/>
        <family val="2"/>
        <scheme val="minor"/>
      </rPr>
      <t xml:space="preserve"> - Recreation service
</t>
    </r>
    <r>
      <rPr>
        <b/>
        <sz val="10"/>
        <color theme="1"/>
        <rFont val="Calibri"/>
        <family val="2"/>
        <scheme val="minor"/>
      </rPr>
      <t>00318</t>
    </r>
    <r>
      <rPr>
        <sz val="10"/>
        <color theme="1"/>
        <rFont val="Calibri"/>
        <family val="2"/>
        <scheme val="minor"/>
      </rPr>
      <t xml:space="preserve"> - Rehabilitation counseling services
</t>
    </r>
    <r>
      <rPr>
        <b/>
        <sz val="10"/>
        <color theme="1"/>
        <rFont val="Calibri"/>
        <family val="2"/>
        <scheme val="minor"/>
      </rPr>
      <t>00885</t>
    </r>
    <r>
      <rPr>
        <sz val="10"/>
        <color theme="1"/>
        <rFont val="Calibri"/>
        <family val="2"/>
        <scheme val="minor"/>
      </rPr>
      <t xml:space="preserve"> - Residential services
</t>
    </r>
    <r>
      <rPr>
        <b/>
        <sz val="10"/>
        <color theme="1"/>
        <rFont val="Calibri"/>
        <family val="2"/>
        <scheme val="minor"/>
      </rPr>
      <t>73046</t>
    </r>
    <r>
      <rPr>
        <sz val="10"/>
        <color theme="1"/>
        <rFont val="Calibri"/>
        <family val="2"/>
        <scheme val="minor"/>
      </rPr>
      <t xml:space="preserve"> - Respite Care
</t>
    </r>
    <r>
      <rPr>
        <b/>
        <sz val="10"/>
        <color theme="1"/>
        <rFont val="Calibri"/>
        <family val="2"/>
        <scheme val="minor"/>
      </rPr>
      <t>00319</t>
    </r>
    <r>
      <rPr>
        <sz val="10"/>
        <color theme="1"/>
        <rFont val="Calibri"/>
        <family val="2"/>
        <scheme val="minor"/>
      </rPr>
      <t xml:space="preserve"> - School clothing
</t>
    </r>
    <r>
      <rPr>
        <b/>
        <sz val="10"/>
        <color theme="1"/>
        <rFont val="Calibri"/>
        <family val="2"/>
        <scheme val="minor"/>
      </rPr>
      <t>00302</t>
    </r>
    <r>
      <rPr>
        <sz val="10"/>
        <color theme="1"/>
        <rFont val="Calibri"/>
        <family val="2"/>
        <scheme val="minor"/>
      </rPr>
      <t xml:space="preserve"> - School counseling
</t>
    </r>
    <r>
      <rPr>
        <b/>
        <sz val="10"/>
        <color theme="1"/>
        <rFont val="Calibri"/>
        <family val="2"/>
        <scheme val="minor"/>
      </rPr>
      <t>00320</t>
    </r>
    <r>
      <rPr>
        <sz val="10"/>
        <color theme="1"/>
        <rFont val="Calibri"/>
        <family val="2"/>
        <scheme val="minor"/>
      </rPr>
      <t xml:space="preserve"> - School health nursing services
</t>
    </r>
    <r>
      <rPr>
        <b/>
        <sz val="10"/>
        <color theme="1"/>
        <rFont val="Calibri"/>
        <family val="2"/>
        <scheme val="minor"/>
      </rPr>
      <t>00294</t>
    </r>
    <r>
      <rPr>
        <sz val="10"/>
        <color theme="1"/>
        <rFont val="Calibri"/>
        <family val="2"/>
        <scheme val="minor"/>
      </rPr>
      <t xml:space="preserve"> - Service coordination (case management services)
</t>
    </r>
    <r>
      <rPr>
        <b/>
        <sz val="10"/>
        <color theme="1"/>
        <rFont val="Calibri"/>
        <family val="2"/>
        <scheme val="minor"/>
      </rPr>
      <t>00337</t>
    </r>
    <r>
      <rPr>
        <sz val="10"/>
        <color theme="1"/>
        <rFont val="Calibri"/>
        <family val="2"/>
        <scheme val="minor"/>
      </rPr>
      <t xml:space="preserve"> - Social work services
</t>
    </r>
    <r>
      <rPr>
        <b/>
        <sz val="10"/>
        <color theme="1"/>
        <rFont val="Calibri"/>
        <family val="2"/>
        <scheme val="minor"/>
      </rPr>
      <t>00321</t>
    </r>
    <r>
      <rPr>
        <sz val="10"/>
        <color theme="1"/>
        <rFont val="Calibri"/>
        <family val="2"/>
        <scheme val="minor"/>
      </rPr>
      <t xml:space="preserve"> - Special transportation
</t>
    </r>
    <r>
      <rPr>
        <b/>
        <sz val="10"/>
        <color theme="1"/>
        <rFont val="Calibri"/>
        <family val="2"/>
        <scheme val="minor"/>
      </rPr>
      <t>00322</t>
    </r>
    <r>
      <rPr>
        <sz val="10"/>
        <color theme="1"/>
        <rFont val="Calibri"/>
        <family val="2"/>
        <scheme val="minor"/>
      </rPr>
      <t xml:space="preserve"> - Speech-language therapy
</t>
    </r>
    <r>
      <rPr>
        <b/>
        <sz val="10"/>
        <color theme="1"/>
        <rFont val="Calibri"/>
        <family val="2"/>
        <scheme val="minor"/>
      </rPr>
      <t>00323</t>
    </r>
    <r>
      <rPr>
        <sz val="10"/>
        <color theme="1"/>
        <rFont val="Calibri"/>
        <family val="2"/>
        <scheme val="minor"/>
      </rPr>
      <t xml:space="preserve"> - Study skills assistance
</t>
    </r>
    <r>
      <rPr>
        <b/>
        <sz val="10"/>
        <color theme="1"/>
        <rFont val="Calibri"/>
        <family val="2"/>
        <scheme val="minor"/>
      </rPr>
      <t>00324</t>
    </r>
    <r>
      <rPr>
        <sz val="10"/>
        <color theme="1"/>
        <rFont val="Calibri"/>
        <family val="2"/>
        <scheme val="minor"/>
      </rPr>
      <t xml:space="preserve"> - Substance abuse education/prevention
</t>
    </r>
    <r>
      <rPr>
        <b/>
        <sz val="10"/>
        <color theme="1"/>
        <rFont val="Calibri"/>
        <family val="2"/>
        <scheme val="minor"/>
      </rPr>
      <t>00886</t>
    </r>
    <r>
      <rPr>
        <sz val="10"/>
        <color theme="1"/>
        <rFont val="Calibri"/>
        <family val="2"/>
        <scheme val="minor"/>
      </rPr>
      <t xml:space="preserve"> - Supported employment services
</t>
    </r>
    <r>
      <rPr>
        <b/>
        <sz val="10"/>
        <color theme="1"/>
        <rFont val="Calibri"/>
        <family val="2"/>
        <scheme val="minor"/>
      </rPr>
      <t>00887</t>
    </r>
    <r>
      <rPr>
        <sz val="10"/>
        <color theme="1"/>
        <rFont val="Calibri"/>
        <family val="2"/>
        <scheme val="minor"/>
      </rPr>
      <t xml:space="preserve"> - Technological aids
</t>
    </r>
    <r>
      <rPr>
        <b/>
        <sz val="10"/>
        <color theme="1"/>
        <rFont val="Calibri"/>
        <family val="2"/>
        <scheme val="minor"/>
      </rPr>
      <t>00325</t>
    </r>
    <r>
      <rPr>
        <sz val="10"/>
        <color theme="1"/>
        <rFont val="Calibri"/>
        <family val="2"/>
        <scheme val="minor"/>
      </rPr>
      <t xml:space="preserve"> - Teen/adolescent family planning
</t>
    </r>
    <r>
      <rPr>
        <b/>
        <sz val="10"/>
        <color theme="1"/>
        <rFont val="Calibri"/>
        <family val="2"/>
        <scheme val="minor"/>
      </rPr>
      <t>00326</t>
    </r>
    <r>
      <rPr>
        <sz val="10"/>
        <color theme="1"/>
        <rFont val="Calibri"/>
        <family val="2"/>
        <scheme val="minor"/>
      </rPr>
      <t xml:space="preserve"> - Test assistance
</t>
    </r>
    <r>
      <rPr>
        <b/>
        <sz val="10"/>
        <color theme="1"/>
        <rFont val="Calibri"/>
        <family val="2"/>
        <scheme val="minor"/>
      </rPr>
      <t>00327</t>
    </r>
    <r>
      <rPr>
        <sz val="10"/>
        <color theme="1"/>
        <rFont val="Calibri"/>
        <family val="2"/>
        <scheme val="minor"/>
      </rPr>
      <t xml:space="preserve"> - Translation/interpreter services
</t>
    </r>
    <r>
      <rPr>
        <b/>
        <sz val="10"/>
        <color theme="1"/>
        <rFont val="Calibri"/>
        <family val="2"/>
        <scheme val="minor"/>
      </rPr>
      <t>00888</t>
    </r>
    <r>
      <rPr>
        <sz val="10"/>
        <color theme="1"/>
        <rFont val="Calibri"/>
        <family val="2"/>
        <scheme val="minor"/>
      </rPr>
      <t xml:space="preserve"> - Transportation services
</t>
    </r>
    <r>
      <rPr>
        <b/>
        <sz val="10"/>
        <color theme="1"/>
        <rFont val="Calibri"/>
        <family val="2"/>
        <scheme val="minor"/>
      </rPr>
      <t>00329</t>
    </r>
    <r>
      <rPr>
        <sz val="10"/>
        <color theme="1"/>
        <rFont val="Calibri"/>
        <family val="2"/>
        <scheme val="minor"/>
      </rPr>
      <t xml:space="preserve"> - Tutoring services
</t>
    </r>
    <r>
      <rPr>
        <b/>
        <sz val="10"/>
        <color theme="1"/>
        <rFont val="Calibri"/>
        <family val="2"/>
        <scheme val="minor"/>
      </rPr>
      <t>00330</t>
    </r>
    <r>
      <rPr>
        <sz val="10"/>
        <color theme="1"/>
        <rFont val="Calibri"/>
        <family val="2"/>
        <scheme val="minor"/>
      </rPr>
      <t xml:space="preserve"> - Vision services
</t>
    </r>
    <r>
      <rPr>
        <b/>
        <sz val="10"/>
        <color theme="1"/>
        <rFont val="Calibri"/>
        <family val="2"/>
        <scheme val="minor"/>
      </rPr>
      <t>00889</t>
    </r>
    <r>
      <rPr>
        <sz val="10"/>
        <color theme="1"/>
        <rFont val="Calibri"/>
        <family val="2"/>
        <scheme val="minor"/>
      </rPr>
      <t xml:space="preserve"> - Career and technical education rehabilitation training and job placement
</t>
    </r>
    <r>
      <rPr>
        <b/>
        <sz val="10"/>
        <color theme="1"/>
        <rFont val="Calibri"/>
        <family val="2"/>
        <scheme val="minor"/>
      </rPr>
      <t>09999</t>
    </r>
    <r>
      <rPr>
        <sz val="10"/>
        <color theme="1"/>
        <rFont val="Calibri"/>
        <family val="2"/>
        <scheme val="minor"/>
      </rPr>
      <t xml:space="preserve"> - Other
</t>
    </r>
  </si>
  <si>
    <t>K12 -&gt; K12 School -&gt; Institution Characteristics
K12 -&gt; K12 Student -&gt; Individualized Program
K12 -&gt; K12 Student -&gt; Individualized Program -&gt; Services</t>
  </si>
  <si>
    <t>Updated definition to reflect that services can both be offered by an organization and provided to a person.</t>
  </si>
  <si>
    <t>At the organization level, this element indicates the services offered to students. At the person level, this element indicates the services received by students.</t>
  </si>
  <si>
    <t>000273</t>
  </si>
  <si>
    <t>StudentSupportServiceType</t>
  </si>
  <si>
    <t>Submission Date</t>
  </si>
  <si>
    <t>The month, day, and year on which a report is submitted.</t>
  </si>
  <si>
    <t>001758</t>
  </si>
  <si>
    <t>SubmissionDate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</si>
  <si>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</si>
  <si>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</si>
  <si>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</si>
  <si>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</si>
  <si>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</si>
  <si>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An indication of the number of clock hours (minimum) a student is required to complete associated with a supervised clinical experience.</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</si>
  <si>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</si>
  <si>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</si>
  <si>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</si>
  <si>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</si>
  <si>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</si>
  <si>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</si>
  <si>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</si>
  <si>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</si>
  <si>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</si>
  <si>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</si>
  <si>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</si>
  <si>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</si>
  <si>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</si>
  <si>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</si>
  <si>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</si>
  <si>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</si>
  <si>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</si>
  <si>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Targeted Support and Improvement Status</t>
  </si>
  <si>
    <t>The designation given to a school by the state for targeted support and improvement as part of its statewide system of annual meaningful differentiation.</t>
  </si>
  <si>
    <r>
      <t>NOTTSI</t>
    </r>
    <r>
      <rPr>
        <sz val="10"/>
        <color theme="1"/>
        <rFont val="Calibri"/>
        <family val="2"/>
        <scheme val="minor"/>
      </rPr>
      <t xml:space="preserve"> - Not targeted support and improvement
</t>
    </r>
    <r>
      <rPr>
        <b/>
        <sz val="10"/>
        <color theme="1"/>
        <rFont val="Calibri"/>
        <family val="2"/>
        <scheme val="minor"/>
      </rPr>
      <t>TSI</t>
    </r>
    <r>
      <rPr>
        <sz val="10"/>
        <color theme="1"/>
        <rFont val="Calibri"/>
        <family val="2"/>
        <scheme val="minor"/>
      </rPr>
      <t xml:space="preserve"> - Targeted support and improvement
</t>
    </r>
    <r>
      <rPr>
        <b/>
        <sz val="10"/>
        <color theme="1"/>
        <rFont val="Calibri"/>
        <family val="2"/>
        <scheme val="minor"/>
      </rPr>
      <t>TSIEXIT</t>
    </r>
    <r>
      <rPr>
        <sz val="10"/>
        <color theme="1"/>
        <rFont val="Calibri"/>
        <family val="2"/>
        <scheme val="minor"/>
      </rPr>
      <t xml:space="preserve"> - Targeted support and improvement - exit status
</t>
    </r>
  </si>
  <si>
    <t>001924</t>
  </si>
  <si>
    <t>TargetedSupportAndImprovementStatus</t>
  </si>
  <si>
    <t>Teacher Education Credential Exam Score Type</t>
  </si>
  <si>
    <t>An indication of the type of credential exam associated with a given exam score.</t>
  </si>
  <si>
    <t>Praxis I:</t>
  </si>
  <si>
    <t>000774</t>
  </si>
  <si>
    <t>TeacherEducationCredentialExamScoreType</t>
  </si>
  <si>
    <t>Reading</t>
  </si>
  <si>
    <t>Mathematics</t>
  </si>
  <si>
    <t>Writing</t>
  </si>
  <si>
    <t>Praxis II:</t>
  </si>
  <si>
    <t>Codes at http://www.ets.org/praxis/about/praxisii/content</t>
  </si>
  <si>
    <t>ACTFL codes at http://www.languagetesting.com/</t>
  </si>
  <si>
    <t>Teacher Education Credential Exam Type</t>
  </si>
  <si>
    <t>The type of examination used to assess teacher candidate's knowledge and skills.</t>
  </si>
  <si>
    <r>
      <t>PraxisI</t>
    </r>
    <r>
      <rPr>
        <sz val="10"/>
        <color theme="1"/>
        <rFont val="Calibri"/>
        <family val="2"/>
        <scheme val="minor"/>
      </rPr>
      <t xml:space="preserve"> - Praxis I
</t>
    </r>
    <r>
      <rPr>
        <b/>
        <sz val="10"/>
        <color theme="1"/>
        <rFont val="Calibri"/>
        <family val="2"/>
        <scheme val="minor"/>
      </rPr>
      <t>PraxisII</t>
    </r>
    <r>
      <rPr>
        <sz val="10"/>
        <color theme="1"/>
        <rFont val="Calibri"/>
        <family val="2"/>
        <scheme val="minor"/>
      </rPr>
      <t xml:space="preserve"> - Praxis II
</t>
    </r>
    <r>
      <rPr>
        <b/>
        <sz val="10"/>
        <color theme="1"/>
        <rFont val="Calibri"/>
        <family val="2"/>
        <scheme val="minor"/>
      </rPr>
      <t>ACTFL</t>
    </r>
    <r>
      <rPr>
        <sz val="10"/>
        <color theme="1"/>
        <rFont val="Calibri"/>
        <family val="2"/>
        <scheme val="minor"/>
      </rPr>
      <t xml:space="preserve"> - ACTFL
</t>
    </r>
    <r>
      <rPr>
        <b/>
        <sz val="10"/>
        <color theme="1"/>
        <rFont val="Calibri"/>
        <family val="2"/>
        <scheme val="minor"/>
      </rPr>
      <t>StateExam</t>
    </r>
    <r>
      <rPr>
        <sz val="10"/>
        <color theme="1"/>
        <rFont val="Calibri"/>
        <family val="2"/>
        <scheme val="minor"/>
      </rPr>
      <t xml:space="preserve"> - State Exam
</t>
    </r>
    <r>
      <rPr>
        <b/>
        <sz val="10"/>
        <color theme="1"/>
        <rFont val="Calibri"/>
        <family val="2"/>
        <scheme val="minor"/>
      </rPr>
      <t>Other</t>
    </r>
    <r>
      <rPr>
        <sz val="10"/>
        <color theme="1"/>
        <rFont val="Calibri"/>
        <family val="2"/>
        <scheme val="minor"/>
      </rPr>
      <t xml:space="preserve"> - Other
</t>
    </r>
  </si>
  <si>
    <t>000773</t>
  </si>
  <si>
    <t>TeacherEducationCredentialExamType</t>
  </si>
  <si>
    <t>Teacher Education Test Company</t>
  </si>
  <si>
    <t>The name of the company that provides the examination used in the teacher education program.</t>
  </si>
  <si>
    <r>
      <t>1</t>
    </r>
    <r>
      <rPr>
        <sz val="10"/>
        <color theme="1"/>
        <rFont val="Calibri"/>
        <family val="2"/>
        <scheme val="minor"/>
      </rPr>
      <t xml:space="preserve"> - Educational Testing Service (ETS)
</t>
    </r>
    <r>
      <rPr>
        <b/>
        <sz val="10"/>
        <color theme="1"/>
        <rFont val="Calibri"/>
        <family val="2"/>
        <scheme val="minor"/>
      </rPr>
      <t>2</t>
    </r>
    <r>
      <rPr>
        <sz val="10"/>
        <color theme="1"/>
        <rFont val="Calibri"/>
        <family val="2"/>
        <scheme val="minor"/>
      </rPr>
      <t xml:space="preserve"> - Evaluation Systems Group of Pearson
</t>
    </r>
    <r>
      <rPr>
        <b/>
        <sz val="10"/>
        <color theme="1"/>
        <rFont val="Calibri"/>
        <family val="2"/>
        <scheme val="minor"/>
      </rPr>
      <t>3</t>
    </r>
    <r>
      <rPr>
        <sz val="10"/>
        <color theme="1"/>
        <rFont val="Calibri"/>
        <family val="2"/>
        <scheme val="minor"/>
      </rPr>
      <t xml:space="preserve"> - College Board
</t>
    </r>
    <r>
      <rPr>
        <b/>
        <sz val="10"/>
        <color theme="1"/>
        <rFont val="Calibri"/>
        <family val="2"/>
        <scheme val="minor"/>
      </rPr>
      <t>4</t>
    </r>
    <r>
      <rPr>
        <sz val="10"/>
        <color theme="1"/>
        <rFont val="Calibri"/>
        <family val="2"/>
        <scheme val="minor"/>
      </rPr>
      <t xml:space="preserve"> - American Board for Certification of Teacher Excellence (ABCTE)
</t>
    </r>
    <r>
      <rPr>
        <b/>
        <sz val="10"/>
        <color theme="1"/>
        <rFont val="Calibri"/>
        <family val="2"/>
        <scheme val="minor"/>
      </rPr>
      <t>5</t>
    </r>
    <r>
      <rPr>
        <sz val="10"/>
        <color theme="1"/>
        <rFont val="Calibri"/>
        <family val="2"/>
        <scheme val="minor"/>
      </rPr>
      <t xml:space="preserve"> - American Council on the Teaching of Foreign Languages (ACTFL)
</t>
    </r>
    <r>
      <rPr>
        <b/>
        <sz val="10"/>
        <color theme="1"/>
        <rFont val="Calibri"/>
        <family val="2"/>
        <scheme val="minor"/>
      </rPr>
      <t>98</t>
    </r>
    <r>
      <rPr>
        <sz val="10"/>
        <color theme="1"/>
        <rFont val="Calibri"/>
        <family val="2"/>
        <scheme val="minor"/>
      </rPr>
      <t xml:space="preserve"> - State
</t>
    </r>
    <r>
      <rPr>
        <b/>
        <sz val="10"/>
        <color theme="1"/>
        <rFont val="Calibri"/>
        <family val="2"/>
        <scheme val="minor"/>
      </rPr>
      <t>99</t>
    </r>
    <r>
      <rPr>
        <sz val="10"/>
        <color theme="1"/>
        <rFont val="Calibri"/>
        <family val="2"/>
        <scheme val="minor"/>
      </rPr>
      <t xml:space="preserve"> - Other
</t>
    </r>
  </si>
  <si>
    <t>000766</t>
  </si>
  <si>
    <t>TeacherEducationTestCompany</t>
  </si>
  <si>
    <t>Teacher of Record</t>
  </si>
  <si>
    <t>Staff member who has a Teacher of Record responsibility for a Class Section based upon the state's definition of Teacher of Record.</t>
  </si>
  <si>
    <t>Adult Education -&gt; Course Section -&gt; Staff
Career and Technical -&gt; Course Section -&gt; Staff
K12 -&gt; Course Section -&gt; Staff</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</si>
  <si>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</si>
  <si>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</si>
  <si>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</si>
  <si>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</si>
  <si>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</si>
  <si>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</si>
  <si>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000768</t>
  </si>
  <si>
    <t>TeacherPreparationProgramCompleterStatus</t>
  </si>
  <si>
    <t>Teacher Preparation Program Enrollment Status</t>
  </si>
  <si>
    <t>An indication of whether a person is pursuing certification as a teacher.</t>
  </si>
  <si>
    <r>
      <t>No</t>
    </r>
    <r>
      <rPr>
        <sz val="10"/>
        <color theme="1"/>
        <rFont val="Calibri"/>
        <family val="2"/>
        <scheme val="minor"/>
      </rPr>
      <t xml:space="preserve"> - No
</t>
    </r>
    <r>
      <rPr>
        <b/>
        <sz val="10"/>
        <color theme="1"/>
        <rFont val="Calibri"/>
        <family val="2"/>
        <scheme val="minor"/>
      </rPr>
      <t>SeekingCandidacy</t>
    </r>
    <r>
      <rPr>
        <sz val="10"/>
        <color theme="1"/>
        <rFont val="Calibri"/>
        <family val="2"/>
        <scheme val="minor"/>
      </rPr>
      <t xml:space="preserve"> - Seeking Candidacy
</t>
    </r>
    <r>
      <rPr>
        <b/>
        <sz val="10"/>
        <color theme="1"/>
        <rFont val="Calibri"/>
        <family val="2"/>
        <scheme val="minor"/>
      </rPr>
      <t>Enrolled</t>
    </r>
    <r>
      <rPr>
        <sz val="10"/>
        <color theme="1"/>
        <rFont val="Calibri"/>
        <family val="2"/>
        <scheme val="minor"/>
      </rPr>
      <t xml:space="preserve"> - Enrolled
</t>
    </r>
  </si>
  <si>
    <t>000767</t>
  </si>
  <si>
    <t>TeacherPreparationProgramEnrollmentStatus</t>
  </si>
  <si>
    <t>Teacher Student Data Link Exclusion Flag</t>
  </si>
  <si>
    <t>Indicates that the student is excluded from calculation of value-added or growth attribution calculations used for teacher evaluation.</t>
  </si>
  <si>
    <t>K12 -&gt; Course Section -&gt; Teacher Student Data Link Exclusion</t>
  </si>
  <si>
    <t>The context for this element is the intersection of a teacher assignment to a Class/Section and a student enrollment to a Class/Section. It may be represented in a data model as a separate entity such as Teacher Student Data Link Exclusion.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</si>
  <si>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</si>
  <si>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</si>
  <si>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</si>
  <si>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</si>
  <si>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</si>
  <si>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</si>
  <si>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</si>
  <si>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</si>
  <si>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All CEDS Exit and End Dates represent the last day of the date range specified, such as the last day that a person was employed.</t>
  </si>
  <si>
    <t>000646</t>
  </si>
  <si>
    <t>TeachingAssignmentEndDate</t>
  </si>
  <si>
    <t>Teaching Assignment Role</t>
  </si>
  <si>
    <t>The role that the Staff Member has been assigned for a Class Section. (A teacher may have the lead responsibility for one section and serve a supporting role for another section of the same course.)</t>
  </si>
  <si>
    <r>
      <t>LeadTeacher</t>
    </r>
    <r>
      <rPr>
        <sz val="10"/>
        <color theme="1"/>
        <rFont val="Calibri"/>
        <family val="2"/>
        <scheme val="minor"/>
      </rPr>
      <t xml:space="preserve"> - Lead Teacher
</t>
    </r>
    <r>
      <rPr>
        <b/>
        <sz val="10"/>
        <color theme="1"/>
        <rFont val="Calibri"/>
        <family val="2"/>
        <scheme val="minor"/>
      </rPr>
      <t>TeamTeacher</t>
    </r>
    <r>
      <rPr>
        <sz val="10"/>
        <color theme="1"/>
        <rFont val="Calibri"/>
        <family val="2"/>
        <scheme val="minor"/>
      </rPr>
      <t xml:space="preserve"> - Team Teacher
</t>
    </r>
    <r>
      <rPr>
        <b/>
        <sz val="10"/>
        <color theme="1"/>
        <rFont val="Calibri"/>
        <family val="2"/>
        <scheme val="minor"/>
      </rPr>
      <t>ContributingProfessional</t>
    </r>
    <r>
      <rPr>
        <sz val="10"/>
        <color theme="1"/>
        <rFont val="Calibri"/>
        <family val="2"/>
        <scheme val="minor"/>
      </rPr>
      <t xml:space="preserve"> - Contributing Professional
</t>
    </r>
  </si>
  <si>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</si>
  <si>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</si>
  <si>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</si>
  <si>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</si>
  <si>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</si>
  <si>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</si>
  <si>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</si>
  <si>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</si>
  <si>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r>
      <t>01050</t>
    </r>
    <r>
      <rPr>
        <sz val="10"/>
        <color theme="1"/>
        <rFont val="Calibri"/>
        <family val="2"/>
        <scheme val="minor"/>
      </rPr>
      <t xml:space="preserve"> - Associate's degree (two years or more) 
</t>
    </r>
    <r>
      <rPr>
        <b/>
        <sz val="10"/>
        <color theme="1"/>
        <rFont val="Calibri"/>
        <family val="2"/>
        <scheme val="minor"/>
      </rPr>
      <t>01235</t>
    </r>
    <r>
      <rPr>
        <sz val="10"/>
        <color theme="1"/>
        <rFont val="Calibri"/>
        <family val="2"/>
        <scheme val="minor"/>
      </rPr>
      <t xml:space="preserve"> - 4-year bachelor's degree
</t>
    </r>
    <r>
      <rPr>
        <b/>
        <sz val="10"/>
        <color theme="1"/>
        <rFont val="Calibri"/>
        <family val="2"/>
        <scheme val="minor"/>
      </rPr>
      <t>01236</t>
    </r>
    <r>
      <rPr>
        <sz val="10"/>
        <color theme="1"/>
        <rFont val="Calibri"/>
        <family val="2"/>
        <scheme val="minor"/>
      </rPr>
      <t xml:space="preserve"> - 5-year bachelor's degree
</t>
    </r>
    <r>
      <rPr>
        <b/>
        <sz val="10"/>
        <color theme="1"/>
        <rFont val="Calibri"/>
        <family val="2"/>
        <scheme val="minor"/>
      </rPr>
      <t>73205</t>
    </r>
    <r>
      <rPr>
        <sz val="10"/>
        <color theme="1"/>
        <rFont val="Calibri"/>
        <family val="2"/>
        <scheme val="minor"/>
      </rPr>
      <t xml:space="preserve"> - Post-baccalaureate certificate
</t>
    </r>
    <r>
      <rPr>
        <b/>
        <sz val="10"/>
        <color theme="1"/>
        <rFont val="Calibri"/>
        <family val="2"/>
        <scheme val="minor"/>
      </rPr>
      <t>01237</t>
    </r>
    <r>
      <rPr>
        <sz val="10"/>
        <color theme="1"/>
        <rFont val="Calibri"/>
        <family val="2"/>
        <scheme val="minor"/>
      </rPr>
      <t xml:space="preserve"> - Master's degree
</t>
    </r>
    <r>
      <rPr>
        <b/>
        <sz val="10"/>
        <color theme="1"/>
        <rFont val="Calibri"/>
        <family val="2"/>
        <scheme val="minor"/>
      </rPr>
      <t>73081</t>
    </r>
    <r>
      <rPr>
        <sz val="10"/>
        <color theme="1"/>
        <rFont val="Calibri"/>
        <family val="2"/>
        <scheme val="minor"/>
      </rPr>
      <t xml:space="preserve"> - Post-master’s certificate
</t>
    </r>
    <r>
      <rPr>
        <b/>
        <sz val="10"/>
        <color theme="1"/>
        <rFont val="Calibri"/>
        <family val="2"/>
        <scheme val="minor"/>
      </rPr>
      <t>01238</t>
    </r>
    <r>
      <rPr>
        <sz val="10"/>
        <color theme="1"/>
        <rFont val="Calibri"/>
        <family val="2"/>
        <scheme val="minor"/>
      </rPr>
      <t xml:space="preserve"> - Doctoral degree
</t>
    </r>
    <r>
      <rPr>
        <b/>
        <sz val="10"/>
        <color theme="1"/>
        <rFont val="Calibri"/>
        <family val="2"/>
        <scheme val="minor"/>
      </rPr>
      <t>73206</t>
    </r>
    <r>
      <rPr>
        <sz val="10"/>
        <color theme="1"/>
        <rFont val="Calibri"/>
        <family val="2"/>
        <scheme val="minor"/>
      </rPr>
      <t xml:space="preserve"> - Post-doctoral certificate
</t>
    </r>
    <r>
      <rPr>
        <b/>
        <sz val="10"/>
        <color theme="1"/>
        <rFont val="Calibri"/>
        <family val="2"/>
        <scheme val="minor"/>
      </rPr>
      <t>01239</t>
    </r>
    <r>
      <rPr>
        <sz val="10"/>
        <color theme="1"/>
        <rFont val="Calibri"/>
        <family val="2"/>
        <scheme val="minor"/>
      </rPr>
      <t xml:space="preserve"> - Met state testing requirement
</t>
    </r>
    <r>
      <rPr>
        <b/>
        <sz val="10"/>
        <color theme="1"/>
        <rFont val="Calibri"/>
        <family val="2"/>
        <scheme val="minor"/>
      </rPr>
      <t>01240</t>
    </r>
    <r>
      <rPr>
        <sz val="10"/>
        <color theme="1"/>
        <rFont val="Calibri"/>
        <family val="2"/>
        <scheme val="minor"/>
      </rPr>
      <t xml:space="preserve"> - Special/alternative program completion
</t>
    </r>
    <r>
      <rPr>
        <b/>
        <sz val="10"/>
        <color theme="1"/>
        <rFont val="Calibri"/>
        <family val="2"/>
        <scheme val="minor"/>
      </rPr>
      <t>01241</t>
    </r>
    <r>
      <rPr>
        <sz val="10"/>
        <color theme="1"/>
        <rFont val="Calibri"/>
        <family val="2"/>
        <scheme val="minor"/>
      </rPr>
      <t xml:space="preserve"> - Relevant experience
</t>
    </r>
    <r>
      <rPr>
        <b/>
        <sz val="10"/>
        <color theme="1"/>
        <rFont val="Calibri"/>
        <family val="2"/>
        <scheme val="minor"/>
      </rPr>
      <t>01242</t>
    </r>
    <r>
      <rPr>
        <sz val="10"/>
        <color theme="1"/>
        <rFont val="Calibri"/>
        <family val="2"/>
        <scheme val="minor"/>
      </rPr>
      <t xml:space="preserve"> - Credentials based on reciprocation with another state
</t>
    </r>
  </si>
  <si>
    <t>Career and Technical -&gt; CTE Staff -&gt; Credential or License
K12 -&gt; K12 Staff -&gt; Credential or License
Postsecondary -&gt; PS Student -&gt; Teacher Education/Preparation</t>
  </si>
  <si>
    <t>000277</t>
  </si>
  <si>
    <t>TeachingCredentialBasis</t>
  </si>
  <si>
    <t>Teaching Credential Type</t>
  </si>
  <si>
    <t>An indication of the category of a legal document giving authorization to perform teaching assignment services.</t>
  </si>
  <si>
    <r>
      <t>Emergency</t>
    </r>
    <r>
      <rPr>
        <sz val="10"/>
        <color theme="1"/>
        <rFont val="Calibri"/>
        <family val="2"/>
        <scheme val="minor"/>
      </rPr>
      <t xml:space="preserve"> - Emergency
</t>
    </r>
    <r>
      <rPr>
        <b/>
        <sz val="10"/>
        <color theme="1"/>
        <rFont val="Calibri"/>
        <family val="2"/>
        <scheme val="minor"/>
      </rPr>
      <t>Intern</t>
    </r>
    <r>
      <rPr>
        <sz val="10"/>
        <color theme="1"/>
        <rFont val="Calibri"/>
        <family val="2"/>
        <scheme val="minor"/>
      </rPr>
      <t xml:space="preserve"> - Intern
</t>
    </r>
    <r>
      <rPr>
        <b/>
        <sz val="10"/>
        <color theme="1"/>
        <rFont val="Calibri"/>
        <family val="2"/>
        <scheme val="minor"/>
      </rPr>
      <t>Master</t>
    </r>
    <r>
      <rPr>
        <sz val="10"/>
        <color theme="1"/>
        <rFont val="Calibri"/>
        <family val="2"/>
        <scheme val="minor"/>
      </rPr>
      <t xml:space="preserve"> - Master
</t>
    </r>
    <r>
      <rPr>
        <b/>
        <sz val="10"/>
        <color theme="1"/>
        <rFont val="Calibri"/>
        <family val="2"/>
        <scheme val="minor"/>
      </rPr>
      <t>Nonrenewable</t>
    </r>
    <r>
      <rPr>
        <sz val="10"/>
        <color theme="1"/>
        <rFont val="Calibri"/>
        <family val="2"/>
        <scheme val="minor"/>
      </rPr>
      <t xml:space="preserve"> - Nonrenewable
</t>
    </r>
    <r>
      <rPr>
        <b/>
        <sz val="10"/>
        <color theme="1"/>
        <rFont val="Calibri"/>
        <family val="2"/>
        <scheme val="minor"/>
      </rPr>
      <t>Probationary</t>
    </r>
    <r>
      <rPr>
        <sz val="10"/>
        <color theme="1"/>
        <rFont val="Calibri"/>
        <family val="2"/>
        <scheme val="minor"/>
      </rPr>
      <t xml:space="preserve"> - Probationary/initial
</t>
    </r>
    <r>
      <rPr>
        <b/>
        <sz val="10"/>
        <color theme="1"/>
        <rFont val="Calibri"/>
        <family val="2"/>
        <scheme val="minor"/>
      </rPr>
      <t>Professional</t>
    </r>
    <r>
      <rPr>
        <sz val="10"/>
        <color theme="1"/>
        <rFont val="Calibri"/>
        <family val="2"/>
        <scheme val="minor"/>
      </rPr>
      <t xml:space="preserve"> - Professional
</t>
    </r>
    <r>
      <rPr>
        <b/>
        <sz val="10"/>
        <color theme="1"/>
        <rFont val="Calibri"/>
        <family val="2"/>
        <scheme val="minor"/>
      </rPr>
      <t>Provisional</t>
    </r>
    <r>
      <rPr>
        <sz val="10"/>
        <color theme="1"/>
        <rFont val="Calibri"/>
        <family val="2"/>
        <scheme val="minor"/>
      </rPr>
      <t xml:space="preserve"> - Provisional
</t>
    </r>
    <r>
      <rPr>
        <b/>
        <sz val="10"/>
        <color theme="1"/>
        <rFont val="Calibri"/>
        <family val="2"/>
        <scheme val="minor"/>
      </rPr>
      <t>Regular</t>
    </r>
    <r>
      <rPr>
        <sz val="10"/>
        <color theme="1"/>
        <rFont val="Calibri"/>
        <family val="2"/>
        <scheme val="minor"/>
      </rPr>
      <t xml:space="preserve"> - Regular/standard
</t>
    </r>
    <r>
      <rPr>
        <b/>
        <sz val="10"/>
        <color theme="1"/>
        <rFont val="Calibri"/>
        <family val="2"/>
        <scheme val="minor"/>
      </rPr>
      <t>Retired</t>
    </r>
    <r>
      <rPr>
        <sz val="10"/>
        <color theme="1"/>
        <rFont val="Calibri"/>
        <family val="2"/>
        <scheme val="minor"/>
      </rPr>
      <t xml:space="preserve"> - Retired
</t>
    </r>
    <r>
      <rPr>
        <b/>
        <sz val="10"/>
        <color theme="1"/>
        <rFont val="Calibri"/>
        <family val="2"/>
        <scheme val="minor"/>
      </rPr>
      <t>Specialist</t>
    </r>
    <r>
      <rPr>
        <sz val="10"/>
        <color theme="1"/>
        <rFont val="Calibri"/>
        <family val="2"/>
        <scheme val="minor"/>
      </rPr>
      <t xml:space="preserve"> - Specialist
</t>
    </r>
    <r>
      <rPr>
        <b/>
        <sz val="10"/>
        <color theme="1"/>
        <rFont val="Calibri"/>
        <family val="2"/>
        <scheme val="minor"/>
      </rPr>
      <t>Substitute</t>
    </r>
    <r>
      <rPr>
        <sz val="10"/>
        <color theme="1"/>
        <rFont val="Calibri"/>
        <family val="2"/>
        <scheme val="minor"/>
      </rPr>
      <t xml:space="preserve"> - Substitute
</t>
    </r>
    <r>
      <rPr>
        <b/>
        <sz val="10"/>
        <color theme="1"/>
        <rFont val="Calibri"/>
        <family val="2"/>
        <scheme val="minor"/>
      </rPr>
      <t>TeacherAssistant</t>
    </r>
    <r>
      <rPr>
        <sz val="10"/>
        <color theme="1"/>
        <rFont val="Calibri"/>
        <family val="2"/>
        <scheme val="minor"/>
      </rPr>
      <t xml:space="preserve"> - Teacher assistant
</t>
    </r>
    <r>
      <rPr>
        <b/>
        <sz val="10"/>
        <color theme="1"/>
        <rFont val="Calibri"/>
        <family val="2"/>
        <scheme val="minor"/>
      </rPr>
      <t>Temporary</t>
    </r>
    <r>
      <rPr>
        <sz val="10"/>
        <color theme="1"/>
        <rFont val="Calibri"/>
        <family val="2"/>
        <scheme val="minor"/>
      </rPr>
      <t xml:space="preserve"> - Temporary
</t>
    </r>
    <r>
      <rPr>
        <b/>
        <sz val="10"/>
        <color theme="1"/>
        <rFont val="Calibri"/>
        <family val="2"/>
        <scheme val="minor"/>
      </rPr>
      <t>09999</t>
    </r>
    <r>
      <rPr>
        <sz val="10"/>
        <color theme="1"/>
        <rFont val="Calibri"/>
        <family val="2"/>
        <scheme val="minor"/>
      </rPr>
      <t xml:space="preserve"> - Other
</t>
    </r>
  </si>
  <si>
    <t>K12 -&gt; K12 Staff -&gt; Credential or License
Postsecondary -&gt; PS Student -&gt; Teacher Education/Preparation</t>
  </si>
  <si>
    <t>000278</t>
  </si>
  <si>
    <t>TeachingCredentialType</t>
  </si>
  <si>
    <t>Technical Assistance Approved Indicator</t>
  </si>
  <si>
    <t>Indicates whether or not the technical assistance was approved.</t>
  </si>
  <si>
    <t>Early Learning -&gt; EL Organization -&gt; Professional Development
K12 -&gt; K12 School -&gt; Technical Assistance
K12 -&gt; K12 Staff -&gt; Technical Assistance
K12 -&gt; LEA -&gt; Technical Assistance</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</si>
  <si>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</si>
  <si>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</si>
  <si>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</si>
  <si>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</si>
  <si>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</si>
  <si>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</si>
  <si>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</si>
  <si>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</si>
  <si>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r>
      <t>01</t>
    </r>
    <r>
      <rPr>
        <sz val="10"/>
        <color theme="1"/>
        <rFont val="Calibri"/>
        <family val="2"/>
        <scheme val="minor"/>
      </rPr>
      <t xml:space="preserve"> - Core Knowledge Area
</t>
    </r>
    <r>
      <rPr>
        <b/>
        <sz val="10"/>
        <color theme="1"/>
        <rFont val="Calibri"/>
        <family val="2"/>
        <scheme val="minor"/>
      </rPr>
      <t>02</t>
    </r>
    <r>
      <rPr>
        <sz val="10"/>
        <color theme="1"/>
        <rFont val="Calibri"/>
        <family val="2"/>
        <scheme val="minor"/>
      </rPr>
      <t xml:space="preserve"> - Health Safety Technical Assistance
</t>
    </r>
    <r>
      <rPr>
        <b/>
        <sz val="10"/>
        <color theme="1"/>
        <rFont val="Calibri"/>
        <family val="2"/>
        <scheme val="minor"/>
      </rPr>
      <t>03</t>
    </r>
    <r>
      <rPr>
        <sz val="10"/>
        <color theme="1"/>
        <rFont val="Calibri"/>
        <family val="2"/>
        <scheme val="minor"/>
      </rPr>
      <t xml:space="preserve"> - Inclusion Technical Assistance
</t>
    </r>
    <r>
      <rPr>
        <b/>
        <sz val="10"/>
        <color theme="1"/>
        <rFont val="Calibri"/>
        <family val="2"/>
        <scheme val="minor"/>
      </rPr>
      <t>04</t>
    </r>
    <r>
      <rPr>
        <sz val="10"/>
        <color theme="1"/>
        <rFont val="Calibri"/>
        <family val="2"/>
        <scheme val="minor"/>
      </rPr>
      <t xml:space="preserve"> - Infant Toddler Care Technical Assistance
</t>
    </r>
    <r>
      <rPr>
        <b/>
        <sz val="10"/>
        <color theme="1"/>
        <rFont val="Calibri"/>
        <family val="2"/>
        <scheme val="minor"/>
      </rPr>
      <t>05</t>
    </r>
    <r>
      <rPr>
        <sz val="10"/>
        <color theme="1"/>
        <rFont val="Calibri"/>
        <family val="2"/>
        <scheme val="minor"/>
      </rPr>
      <t xml:space="preserve"> - Mental Health Technical Assistance
</t>
    </r>
    <r>
      <rPr>
        <b/>
        <sz val="10"/>
        <color theme="1"/>
        <rFont val="Calibri"/>
        <family val="2"/>
        <scheme val="minor"/>
      </rPr>
      <t>06</t>
    </r>
    <r>
      <rPr>
        <sz val="10"/>
        <color theme="1"/>
        <rFont val="Calibri"/>
        <family val="2"/>
        <scheme val="minor"/>
      </rPr>
      <t xml:space="preserve"> - Program Administration and Management Practices Technical Assistance
</t>
    </r>
    <r>
      <rPr>
        <b/>
        <sz val="10"/>
        <color theme="1"/>
        <rFont val="Calibri"/>
        <family val="2"/>
        <scheme val="minor"/>
      </rPr>
      <t>07</t>
    </r>
    <r>
      <rPr>
        <sz val="10"/>
        <color theme="1"/>
        <rFont val="Calibri"/>
        <family val="2"/>
        <scheme val="minor"/>
      </rPr>
      <t xml:space="preserve"> - School Age Technical Assistance
</t>
    </r>
    <r>
      <rPr>
        <b/>
        <sz val="10"/>
        <color theme="1"/>
        <rFont val="Calibri"/>
        <family val="2"/>
        <scheme val="minor"/>
      </rPr>
      <t>08</t>
    </r>
    <r>
      <rPr>
        <sz val="10"/>
        <color theme="1"/>
        <rFont val="Calibri"/>
        <family val="2"/>
        <scheme val="minor"/>
      </rPr>
      <t xml:space="preserve"> - Understanding Developmental Screening Technical Assistance
</t>
    </r>
    <r>
      <rPr>
        <b/>
        <sz val="10"/>
        <color theme="1"/>
        <rFont val="Calibri"/>
        <family val="2"/>
        <scheme val="minor"/>
      </rPr>
      <t>09</t>
    </r>
    <r>
      <rPr>
        <sz val="10"/>
        <color theme="1"/>
        <rFont val="Calibri"/>
        <family val="2"/>
        <scheme val="minor"/>
      </rPr>
      <t xml:space="preserve"> - Dual Language Learner Technical Assistance
</t>
    </r>
    <r>
      <rPr>
        <b/>
        <sz val="10"/>
        <color theme="1"/>
        <rFont val="Calibri"/>
        <family val="2"/>
        <scheme val="minor"/>
      </rPr>
      <t>10</t>
    </r>
    <r>
      <rPr>
        <sz val="10"/>
        <color theme="1"/>
        <rFont val="Calibri"/>
        <family val="2"/>
        <scheme val="minor"/>
      </rPr>
      <t xml:space="preserve"> - Language and Literacy Development
</t>
    </r>
    <r>
      <rPr>
        <b/>
        <sz val="10"/>
        <color theme="1"/>
        <rFont val="Calibri"/>
        <family val="2"/>
        <scheme val="minor"/>
      </rPr>
      <t>11</t>
    </r>
    <r>
      <rPr>
        <sz val="10"/>
        <color theme="1"/>
        <rFont val="Calibri"/>
        <family val="2"/>
        <scheme val="minor"/>
      </rPr>
      <t xml:space="preserve"> - Cognition and General Knowledge (including early mathematics and early scientific development)
</t>
    </r>
    <r>
      <rPr>
        <b/>
        <sz val="10"/>
        <color theme="1"/>
        <rFont val="Calibri"/>
        <family val="2"/>
        <scheme val="minor"/>
      </rPr>
      <t>12</t>
    </r>
    <r>
      <rPr>
        <sz val="10"/>
        <color theme="1"/>
        <rFont val="Calibri"/>
        <family val="2"/>
        <scheme val="minor"/>
      </rPr>
      <t xml:space="preserve"> - Approaches Toward Learning
</t>
    </r>
    <r>
      <rPr>
        <b/>
        <sz val="10"/>
        <color theme="1"/>
        <rFont val="Calibri"/>
        <family val="2"/>
        <scheme val="minor"/>
      </rPr>
      <t>13</t>
    </r>
    <r>
      <rPr>
        <sz val="10"/>
        <color theme="1"/>
        <rFont val="Calibri"/>
        <family val="2"/>
        <scheme val="minor"/>
      </rPr>
      <t xml:space="preserve"> - Physical Well-being and Motor Development (including adaptive skills)
</t>
    </r>
    <r>
      <rPr>
        <b/>
        <sz val="10"/>
        <color theme="1"/>
        <rFont val="Calibri"/>
        <family val="2"/>
        <scheme val="minor"/>
      </rPr>
      <t>14</t>
    </r>
    <r>
      <rPr>
        <sz val="10"/>
        <color theme="1"/>
        <rFont val="Calibri"/>
        <family val="2"/>
        <scheme val="minor"/>
      </rPr>
      <t xml:space="preserve"> - Social and Emotional Development
</t>
    </r>
  </si>
  <si>
    <t>001495</t>
  </si>
  <si>
    <t>TechnicalAssistanceType</t>
  </si>
  <si>
    <t>Technology Literacy Status in 8th Grade</t>
  </si>
  <si>
    <t>An indication of the technology literacy of 8th graders.</t>
  </si>
  <si>
    <r>
      <t>TechnologyLiterate</t>
    </r>
    <r>
      <rPr>
        <sz val="10"/>
        <color theme="1"/>
        <rFont val="Calibri"/>
        <family val="2"/>
        <scheme val="minor"/>
      </rPr>
      <t xml:space="preserve"> - Technology literate
</t>
    </r>
    <r>
      <rPr>
        <b/>
        <sz val="10"/>
        <color theme="1"/>
        <rFont val="Calibri"/>
        <family val="2"/>
        <scheme val="minor"/>
      </rPr>
      <t>NotTechnologyLiterate</t>
    </r>
    <r>
      <rPr>
        <sz val="10"/>
        <color theme="1"/>
        <rFont val="Calibri"/>
        <family val="2"/>
        <scheme val="minor"/>
      </rPr>
      <t xml:space="preserve"> - Not technology literate
</t>
    </r>
  </si>
  <si>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</si>
  <si>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</si>
  <si>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</si>
  <si>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</si>
  <si>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</si>
  <si>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</si>
  <si>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</si>
  <si>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</si>
  <si>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Organization -&gt; Telephone
Early Learning -&gt; EL Staff -&gt; Contact -&gt; Telephone
Early Learning -&gt; EL Staff -&gt; Professional Development -&gt; Instructor
Early Learning -&gt; EL Staff -&gt; Professional Development Activity -&gt; Session - Location
Early Learning -&gt; Parent/Guardian -&gt; Contact -&gt; Telephone
K12 -&gt; K12 School -&gt; Telephone
K12 -&gt; K12 Staff -&gt; Contact -&gt; Telephone
K12 -&gt; K12 Staff -&gt; Professional Development -&gt; Instructor
K12 -&gt; K12 Staff -&gt; Professional Development Activity -&gt; Session - Location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</si>
  <si>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Alphanumeric - 24 characters maximum</t>
  </si>
  <si>
    <t>000279</t>
  </si>
  <si>
    <t>TelephoneNumber</t>
  </si>
  <si>
    <t>Telephone Number Listed Status</t>
  </si>
  <si>
    <t>An indication of whether a telephone number is listed under a directory assistance service.</t>
  </si>
  <si>
    <r>
      <t>Listed</t>
    </r>
    <r>
      <rPr>
        <sz val="10"/>
        <color theme="1"/>
        <rFont val="Calibri"/>
        <family val="2"/>
        <scheme val="minor"/>
      </rPr>
      <t xml:space="preserve"> - Listed
</t>
    </r>
    <r>
      <rPr>
        <b/>
        <sz val="10"/>
        <color theme="1"/>
        <rFont val="Calibri"/>
        <family val="2"/>
        <scheme val="minor"/>
      </rPr>
      <t>Unknown</t>
    </r>
    <r>
      <rPr>
        <sz val="10"/>
        <color theme="1"/>
        <rFont val="Calibri"/>
        <family val="2"/>
        <scheme val="minor"/>
      </rPr>
      <t xml:space="preserve"> - Unknown
</t>
    </r>
    <r>
      <rPr>
        <b/>
        <sz val="10"/>
        <color theme="1"/>
        <rFont val="Calibri"/>
        <family val="2"/>
        <scheme val="minor"/>
      </rPr>
      <t>Unlisted</t>
    </r>
    <r>
      <rPr>
        <sz val="10"/>
        <color theme="1"/>
        <rFont val="Calibri"/>
        <family val="2"/>
        <scheme val="minor"/>
      </rPr>
      <t xml:space="preserve"> - Unlisted
</t>
    </r>
  </si>
  <si>
    <t>Adult Education -&gt; AE Staff -&gt; Contact -&gt; Telephone (added)
Adult Education -&gt; AE Student -&gt; Contact -&gt; Telephone (added)
Career and Technical -&gt; CTE Staff -&gt; Contact -&gt; Telephone (added)
Career and Technical -&gt; CTE Student -&gt; Contact -&gt; Telephone (added)
Early Learning -&gt; EL Child -&gt; Contact -&gt; Telephone (added)
Early Learning -&gt; EL Organization -&gt; Contact -&gt; Telephone (added)
Early Learning -&gt; EL Organization -&gt; Telephone (added)
Early Learning -&gt; EL Staff -&gt; Contact -&gt; Telephone (added)
Early Learning -&gt; EL Staff -&gt; Professional Development -&gt; Instructor (added)
Early Learning -&gt; EL Staff -&gt; Professional Development Activity -&gt; Session - Location (added)
Early Learning -&gt; Parent/Guardian -&gt; Contact -&gt; Telephone (added)
K12 -&gt; K12 School -&gt; Telephone (added)
K12 -&gt; K12 Staff -&gt; Contact -&gt; Telephone (added)
K12 -&gt; K12 Staff -&gt; Professional Development -&gt; Instructor (added)
K12 -&gt; K12 Staff -&gt; Professional Development Activity -&gt; Session - Location (added)
K12 -&gt; K12 Student -&gt; Contact -&gt; Telephone (added)
K12 -&gt; LEA -&gt; Telephone (added)
K12 -&gt; Organization -&gt; Contact -&gt; Telephone (added)
K12 -&gt; Organization -&gt; Telephone (added)
K12 -&gt; Parent/Guardian -&gt; Contact -&gt; Telephone (added)
K12 -&gt; SEA -&gt; Contact -&gt; Telephone (added)
Postsecondary -&gt; Organization -&gt; Contact -&gt; Telephone (added)
Postsecondary -&gt; Organization -&gt; Telephone (added)
Postsecondary -&gt; Parent/Guardian -&gt; Contact -&gt; Telephone (added)
Postsecondary -&gt; PS Staff -&gt; Contact -&gt; Telephone (added)
Postsecondary -&gt; PS Student -&gt; Contact -&gt; Telephone (added)
Workforce -&gt; Workforce Program Participant -&gt; Contact -&gt; Telephone (added)</t>
  </si>
  <si>
    <t>001927</t>
  </si>
  <si>
    <t>TelephoneNumberListedStatus</t>
  </si>
  <si>
    <t>Telephone Number Type</t>
  </si>
  <si>
    <t>The type of communication number listed for a person.</t>
  </si>
  <si>
    <r>
      <t>Home</t>
    </r>
    <r>
      <rPr>
        <sz val="10"/>
        <color theme="1"/>
        <rFont val="Calibri"/>
        <family val="2"/>
        <scheme val="minor"/>
      </rPr>
      <t xml:space="preserve"> - Home phone number
</t>
    </r>
    <r>
      <rPr>
        <b/>
        <sz val="10"/>
        <color theme="1"/>
        <rFont val="Calibri"/>
        <family val="2"/>
        <scheme val="minor"/>
      </rPr>
      <t>Work</t>
    </r>
    <r>
      <rPr>
        <sz val="10"/>
        <color theme="1"/>
        <rFont val="Calibri"/>
        <family val="2"/>
        <scheme val="minor"/>
      </rPr>
      <t xml:space="preserve"> - Work phone number
</t>
    </r>
    <r>
      <rPr>
        <b/>
        <sz val="10"/>
        <color theme="1"/>
        <rFont val="Calibri"/>
        <family val="2"/>
        <scheme val="minor"/>
      </rPr>
      <t>Mobile</t>
    </r>
    <r>
      <rPr>
        <sz val="10"/>
        <color theme="1"/>
        <rFont val="Calibri"/>
        <family val="2"/>
        <scheme val="minor"/>
      </rPr>
      <t xml:space="preserve"> - Mobile phone number
</t>
    </r>
    <r>
      <rPr>
        <b/>
        <sz val="10"/>
        <color theme="1"/>
        <rFont val="Calibri"/>
        <family val="2"/>
        <scheme val="minor"/>
      </rPr>
      <t>Fax</t>
    </r>
    <r>
      <rPr>
        <sz val="10"/>
        <color theme="1"/>
        <rFont val="Calibri"/>
        <family val="2"/>
        <scheme val="minor"/>
      </rPr>
      <t xml:space="preserve"> - Fax number
</t>
    </r>
    <r>
      <rPr>
        <b/>
        <sz val="10"/>
        <color theme="1"/>
        <rFont val="Calibri"/>
        <family val="2"/>
        <scheme val="minor"/>
      </rPr>
      <t>Other</t>
    </r>
    <r>
      <rPr>
        <sz val="10"/>
        <color theme="1"/>
        <rFont val="Calibri"/>
        <family val="2"/>
        <scheme val="minor"/>
      </rPr>
      <t xml:space="preserve"> - Other
</t>
    </r>
  </si>
  <si>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Staff -&gt; Contact -&gt; Telephone
Early Learning -&gt; EL Staff -&gt; Professional Development -&gt; Instructor
Early Learning -&gt; Parent/Guardian -&gt; Contact -&gt; Telephone
K12 -&gt; K12 Staff -&gt; Contact -&gt; Telephone
K12 -&gt; K12 Staff -&gt; Professional Development -&gt; Instructor
K12 -&gt; K12 Student -&gt; Contact -&gt; Telephone
K12 -&gt; Organization -&gt; Contact -&gt; Telephone
K12 -&gt; Parent/Guardian -&gt; Contact -&gt; Telephone
K12 -&gt; SEA -&gt; Contact -&gt; Telephone
Postsecondary -&gt; Organization -&gt; Contact -&gt; Telephone
Postsecondary -&gt; Parent/Guardian -&gt; Contact -&gt; Telephone
Postsecondary -&gt; PS Staff -&gt; Contact -&gt; Telephone
Postsecondary -&gt; PS Student -&gt; Contact -&gt; Telephone
Workforce -&gt; Workforce Program Participant -&gt; Contact -&gt; Telephone</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</si>
  <si>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</si>
  <si>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</si>
  <si>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</si>
  <si>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</si>
  <si>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</si>
  <si>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</si>
  <si>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</si>
  <si>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</si>
  <si>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</si>
  <si>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</si>
  <si>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</si>
  <si>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</si>
  <si>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</si>
  <si>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</si>
  <si>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</si>
  <si>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</si>
  <si>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</si>
  <si>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</si>
  <si>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</si>
  <si>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</si>
  <si>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r>
      <t>01</t>
    </r>
    <r>
      <rPr>
        <sz val="10"/>
        <color theme="1"/>
        <rFont val="Calibri"/>
        <family val="2"/>
        <scheme val="minor"/>
      </rPr>
      <t xml:space="preserve"> - Public Targeted Assistance Program
</t>
    </r>
    <r>
      <rPr>
        <b/>
        <sz val="10"/>
        <color theme="1"/>
        <rFont val="Calibri"/>
        <family val="2"/>
        <scheme val="minor"/>
      </rPr>
      <t>02</t>
    </r>
    <r>
      <rPr>
        <sz val="10"/>
        <color theme="1"/>
        <rFont val="Calibri"/>
        <family val="2"/>
        <scheme val="minor"/>
      </rPr>
      <t xml:space="preserve"> - Public Schoolwide Program
</t>
    </r>
    <r>
      <rPr>
        <b/>
        <sz val="10"/>
        <color theme="1"/>
        <rFont val="Calibri"/>
        <family val="2"/>
        <scheme val="minor"/>
      </rPr>
      <t>03</t>
    </r>
    <r>
      <rPr>
        <sz val="10"/>
        <color theme="1"/>
        <rFont val="Calibri"/>
        <family val="2"/>
        <scheme val="minor"/>
      </rPr>
      <t xml:space="preserve"> - Private school students participating
</t>
    </r>
    <r>
      <rPr>
        <b/>
        <sz val="10"/>
        <color theme="1"/>
        <rFont val="Calibri"/>
        <family val="2"/>
        <scheme val="minor"/>
      </rPr>
      <t>04</t>
    </r>
    <r>
      <rPr>
        <sz val="10"/>
        <color theme="1"/>
        <rFont val="Calibri"/>
        <family val="2"/>
        <scheme val="minor"/>
      </rPr>
      <t xml:space="preserve"> - Local Neglected Program
</t>
    </r>
    <r>
      <rPr>
        <b/>
        <sz val="10"/>
        <color theme="1"/>
        <rFont val="Calibri"/>
        <family val="2"/>
        <scheme val="minor"/>
      </rPr>
      <t>05</t>
    </r>
    <r>
      <rPr>
        <sz val="10"/>
        <color theme="1"/>
        <rFont val="Calibri"/>
        <family val="2"/>
        <scheme val="minor"/>
      </rPr>
      <t xml:space="preserve"> - Was not served
</t>
    </r>
  </si>
  <si>
    <t>000281</t>
  </si>
  <si>
    <t>TitleIIndicator</t>
  </si>
  <si>
    <t>Title I Instructional Services</t>
  </si>
  <si>
    <t>The type of instructional services provided to students in ESEA Title I programs.</t>
  </si>
  <si>
    <r>
      <t>ReadingLanguageArts</t>
    </r>
    <r>
      <rPr>
        <sz val="10"/>
        <color theme="1"/>
        <rFont val="Calibri"/>
        <family val="2"/>
        <scheme val="minor"/>
      </rPr>
      <t xml:space="preserve"> - Reading/Language Arts
</t>
    </r>
    <r>
      <rPr>
        <b/>
        <sz val="10"/>
        <color theme="1"/>
        <rFont val="Calibri"/>
        <family val="2"/>
        <scheme val="minor"/>
      </rPr>
      <t>Mathematics</t>
    </r>
    <r>
      <rPr>
        <sz val="10"/>
        <color theme="1"/>
        <rFont val="Calibri"/>
        <family val="2"/>
        <scheme val="minor"/>
      </rPr>
      <t xml:space="preserve"> - Mathematics
</t>
    </r>
    <r>
      <rPr>
        <b/>
        <sz val="10"/>
        <color theme="1"/>
        <rFont val="Calibri"/>
        <family val="2"/>
        <scheme val="minor"/>
      </rPr>
      <t>Science</t>
    </r>
    <r>
      <rPr>
        <sz val="10"/>
        <color theme="1"/>
        <rFont val="Calibri"/>
        <family val="2"/>
        <scheme val="minor"/>
      </rPr>
      <t xml:space="preserve"> - Science
</t>
    </r>
    <r>
      <rPr>
        <b/>
        <sz val="10"/>
        <color theme="1"/>
        <rFont val="Calibri"/>
        <family val="2"/>
        <scheme val="minor"/>
      </rPr>
      <t>SocialSciences</t>
    </r>
    <r>
      <rPr>
        <sz val="10"/>
        <color theme="1"/>
        <rFont val="Calibri"/>
        <family val="2"/>
        <scheme val="minor"/>
      </rPr>
      <t xml:space="preserve"> - Social Sciences
</t>
    </r>
    <r>
      <rPr>
        <b/>
        <sz val="10"/>
        <color theme="1"/>
        <rFont val="Calibri"/>
        <family val="2"/>
        <scheme val="minor"/>
      </rPr>
      <t>CareerAndTechnical</t>
    </r>
    <r>
      <rPr>
        <sz val="10"/>
        <color theme="1"/>
        <rFont val="Calibri"/>
        <family val="2"/>
        <scheme val="minor"/>
      </rPr>
      <t xml:space="preserve"> - Career and Technical Education
</t>
    </r>
    <r>
      <rPr>
        <b/>
        <sz val="10"/>
        <color theme="1"/>
        <rFont val="Calibri"/>
        <family val="2"/>
        <scheme val="minor"/>
      </rPr>
      <t>Other</t>
    </r>
    <r>
      <rPr>
        <sz val="10"/>
        <color theme="1"/>
        <rFont val="Calibri"/>
        <family val="2"/>
        <scheme val="minor"/>
      </rPr>
      <t xml:space="preserve"> - Other
</t>
    </r>
  </si>
  <si>
    <t>000282</t>
  </si>
  <si>
    <t>TitleIInstructionalServices</t>
  </si>
  <si>
    <t>Title I Program Staff Category</t>
  </si>
  <si>
    <t>Titles of employment, official status, or rank for staff working in a Title I program.</t>
  </si>
  <si>
    <r>
      <t>TitleITeacher</t>
    </r>
    <r>
      <rPr>
        <sz val="10"/>
        <color theme="1"/>
        <rFont val="Calibri"/>
        <family val="2"/>
        <scheme val="minor"/>
      </rPr>
      <t xml:space="preserve"> - Title I Teachers
</t>
    </r>
    <r>
      <rPr>
        <b/>
        <sz val="10"/>
        <color theme="1"/>
        <rFont val="Calibri"/>
        <family val="2"/>
        <scheme val="minor"/>
      </rPr>
      <t>TitleIParaprofessional</t>
    </r>
    <r>
      <rPr>
        <sz val="10"/>
        <color theme="1"/>
        <rFont val="Calibri"/>
        <family val="2"/>
        <scheme val="minor"/>
      </rPr>
      <t xml:space="preserve"> - Title I Paraprofessionals 
</t>
    </r>
    <r>
      <rPr>
        <b/>
        <sz val="10"/>
        <color theme="1"/>
        <rFont val="Calibri"/>
        <family val="2"/>
        <scheme val="minor"/>
      </rPr>
      <t>TitleISupportStaff</t>
    </r>
    <r>
      <rPr>
        <sz val="10"/>
        <color theme="1"/>
        <rFont val="Calibri"/>
        <family val="2"/>
        <scheme val="minor"/>
      </rPr>
      <t xml:space="preserve"> - Title I Clerical Support Staff
</t>
    </r>
    <r>
      <rPr>
        <b/>
        <sz val="10"/>
        <color theme="1"/>
        <rFont val="Calibri"/>
        <family val="2"/>
        <scheme val="minor"/>
      </rPr>
      <t>TitleIAdministrator</t>
    </r>
    <r>
      <rPr>
        <sz val="10"/>
        <color theme="1"/>
        <rFont val="Calibri"/>
        <family val="2"/>
        <scheme val="minor"/>
      </rPr>
      <t xml:space="preserve"> - Title I Administrators (non-clerical)
</t>
    </r>
    <r>
      <rPr>
        <b/>
        <sz val="10"/>
        <color theme="1"/>
        <rFont val="Calibri"/>
        <family val="2"/>
        <scheme val="minor"/>
      </rPr>
      <t>TitleIOtherParaprofessional</t>
    </r>
    <r>
      <rPr>
        <sz val="10"/>
        <color theme="1"/>
        <rFont val="Calibri"/>
        <family val="2"/>
        <scheme val="minor"/>
      </rPr>
      <t xml:space="preserve"> - Title I Other Paraprofessionals
</t>
    </r>
  </si>
  <si>
    <t>000283</t>
  </si>
  <si>
    <t>TitleIProgramStaffCategory</t>
  </si>
  <si>
    <t>Title I Program Type</t>
  </si>
  <si>
    <t>The type of Title I program offered in the school or district.</t>
  </si>
  <si>
    <r>
      <t>TargetedAssistanceProgram</t>
    </r>
    <r>
      <rPr>
        <sz val="10"/>
        <color theme="1"/>
        <rFont val="Calibri"/>
        <family val="2"/>
        <scheme val="minor"/>
      </rPr>
      <t xml:space="preserve"> - Public Targeted Assistance Program
</t>
    </r>
    <r>
      <rPr>
        <b/>
        <sz val="10"/>
        <color theme="1"/>
        <rFont val="Calibri"/>
        <family val="2"/>
        <scheme val="minor"/>
      </rPr>
      <t>SchoolwideProgram</t>
    </r>
    <r>
      <rPr>
        <sz val="10"/>
        <color theme="1"/>
        <rFont val="Calibri"/>
        <family val="2"/>
        <scheme val="minor"/>
      </rPr>
      <t xml:space="preserve"> - Public Schoolwide Program
</t>
    </r>
    <r>
      <rPr>
        <b/>
        <sz val="10"/>
        <color theme="1"/>
        <rFont val="Calibri"/>
        <family val="2"/>
        <scheme val="minor"/>
      </rPr>
      <t>PrivateSchoolStudents</t>
    </r>
    <r>
      <rPr>
        <sz val="10"/>
        <color theme="1"/>
        <rFont val="Calibri"/>
        <family val="2"/>
        <scheme val="minor"/>
      </rPr>
      <t xml:space="preserve"> - Private School Students Participating
</t>
    </r>
    <r>
      <rPr>
        <b/>
        <sz val="10"/>
        <color theme="1"/>
        <rFont val="Calibri"/>
        <family val="2"/>
        <scheme val="minor"/>
      </rPr>
      <t>LocalNeglectedProgram</t>
    </r>
    <r>
      <rPr>
        <sz val="10"/>
        <color theme="1"/>
        <rFont val="Calibri"/>
        <family val="2"/>
        <scheme val="minor"/>
      </rPr>
      <t xml:space="preserve"> - Local Neglected Program
</t>
    </r>
  </si>
  <si>
    <t>K12 -&gt; K12 School -&gt; Institution Characteristics
K12 -&gt; LEA -&gt; Programs and Services</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</si>
  <si>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</si>
  <si>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</si>
  <si>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</si>
  <si>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</si>
  <si>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r>
      <t>TGELGBNOPROG</t>
    </r>
    <r>
      <rPr>
        <sz val="10"/>
        <color theme="1"/>
        <rFont val="Calibri"/>
        <family val="2"/>
        <scheme val="minor"/>
      </rPr>
      <t xml:space="preserve"> - Title I Targeted Assistance Eligible School- No Program
</t>
    </r>
    <r>
      <rPr>
        <b/>
        <sz val="10"/>
        <color theme="1"/>
        <rFont val="Calibri"/>
        <family val="2"/>
        <scheme val="minor"/>
      </rPr>
      <t>TGELGBTGPROG</t>
    </r>
    <r>
      <rPr>
        <sz val="10"/>
        <color theme="1"/>
        <rFont val="Calibri"/>
        <family val="2"/>
        <scheme val="minor"/>
      </rPr>
      <t xml:space="preserve"> - Title I Targeted Assistance School
</t>
    </r>
    <r>
      <rPr>
        <b/>
        <sz val="10"/>
        <color theme="1"/>
        <rFont val="Calibri"/>
        <family val="2"/>
        <scheme val="minor"/>
      </rPr>
      <t>SWELIGTGPROG</t>
    </r>
    <r>
      <rPr>
        <sz val="10"/>
        <color theme="1"/>
        <rFont val="Calibri"/>
        <family val="2"/>
        <scheme val="minor"/>
      </rPr>
      <t xml:space="preserve"> - Title I, Schoolwide eligible-Title I Targeted Assistance Program
</t>
    </r>
    <r>
      <rPr>
        <b/>
        <sz val="10"/>
        <color theme="1"/>
        <rFont val="Calibri"/>
        <family val="2"/>
        <scheme val="minor"/>
      </rPr>
      <t>SWELIGNOPROG</t>
    </r>
    <r>
      <rPr>
        <sz val="10"/>
        <color theme="1"/>
        <rFont val="Calibri"/>
        <family val="2"/>
        <scheme val="minor"/>
      </rPr>
      <t xml:space="preserve"> - Title I Schoolwide Eligible School - No Program
</t>
    </r>
    <r>
      <rPr>
        <b/>
        <sz val="10"/>
        <color theme="1"/>
        <rFont val="Calibri"/>
        <family val="2"/>
        <scheme val="minor"/>
      </rPr>
      <t>SWELIGSWPROG</t>
    </r>
    <r>
      <rPr>
        <sz val="10"/>
        <color theme="1"/>
        <rFont val="Calibri"/>
        <family val="2"/>
        <scheme val="minor"/>
      </rPr>
      <t xml:space="preserve"> - Title I Schoolwide School
</t>
    </r>
    <r>
      <rPr>
        <b/>
        <sz val="10"/>
        <color theme="1"/>
        <rFont val="Calibri"/>
        <family val="2"/>
        <scheme val="minor"/>
      </rPr>
      <t>NOTTITLE1ELIG</t>
    </r>
    <r>
      <rPr>
        <sz val="10"/>
        <color theme="1"/>
        <rFont val="Calibri"/>
        <family val="2"/>
        <scheme val="minor"/>
      </rPr>
      <t xml:space="preserve"> - Not a Title I School
</t>
    </r>
  </si>
  <si>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</si>
  <si>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</si>
  <si>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</si>
  <si>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</si>
  <si>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</si>
  <si>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</si>
  <si>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</si>
  <si>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</si>
  <si>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</si>
  <si>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</si>
  <si>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</si>
  <si>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</si>
  <si>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</si>
  <si>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</si>
  <si>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</si>
  <si>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</si>
  <si>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</si>
  <si>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</si>
  <si>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</si>
  <si>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</si>
  <si>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r>
      <t>HealthDentalEyeCare</t>
    </r>
    <r>
      <rPr>
        <sz val="10"/>
        <color theme="1"/>
        <rFont val="Calibri"/>
        <family val="2"/>
        <scheme val="minor"/>
      </rPr>
      <t xml:space="preserve"> - Health, Dental and Eye Care
</t>
    </r>
    <r>
      <rPr>
        <b/>
        <sz val="10"/>
        <color theme="1"/>
        <rFont val="Calibri"/>
        <family val="2"/>
        <scheme val="minor"/>
      </rPr>
      <t>GuidanceAdvocacy</t>
    </r>
    <r>
      <rPr>
        <sz val="10"/>
        <color theme="1"/>
        <rFont val="Calibri"/>
        <family val="2"/>
        <scheme val="minor"/>
      </rPr>
      <t xml:space="preserve"> - Supporting Guidance/Advocacy
</t>
    </r>
    <r>
      <rPr>
        <b/>
        <sz val="10"/>
        <color theme="1"/>
        <rFont val="Calibri"/>
        <family val="2"/>
        <scheme val="minor"/>
      </rPr>
      <t>Other</t>
    </r>
    <r>
      <rPr>
        <sz val="10"/>
        <color theme="1"/>
        <rFont val="Calibri"/>
        <family val="2"/>
        <scheme val="minor"/>
      </rPr>
      <t xml:space="preserve"> - Other
</t>
    </r>
  </si>
  <si>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</si>
  <si>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</si>
  <si>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</si>
  <si>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</si>
  <si>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</si>
  <si>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</si>
  <si>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</si>
  <si>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</si>
  <si>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</si>
  <si>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</si>
  <si>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</si>
  <si>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</si>
  <si>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r>
      <t>PROGRESS</t>
    </r>
    <r>
      <rPr>
        <sz val="10"/>
        <color theme="1"/>
        <rFont val="Calibri"/>
        <family val="2"/>
        <scheme val="minor"/>
      </rPr>
      <t xml:space="preserve"> - Making progress
</t>
    </r>
    <r>
      <rPr>
        <b/>
        <sz val="10"/>
        <color theme="1"/>
        <rFont val="Calibri"/>
        <family val="2"/>
        <scheme val="minor"/>
      </rPr>
      <t>NOPROGRESS</t>
    </r>
    <r>
      <rPr>
        <sz val="10"/>
        <color theme="1"/>
        <rFont val="Calibri"/>
        <family val="2"/>
        <scheme val="minor"/>
      </rPr>
      <t xml:space="preserve"> - Did not make progress
</t>
    </r>
    <r>
      <rPr>
        <b/>
        <sz val="10"/>
        <color theme="1"/>
        <rFont val="Calibri"/>
        <family val="2"/>
        <scheme val="minor"/>
      </rPr>
      <t>PROFICIENT</t>
    </r>
    <r>
      <rPr>
        <sz val="10"/>
        <color theme="1"/>
        <rFont val="Calibri"/>
        <family val="2"/>
        <scheme val="minor"/>
      </rPr>
      <t xml:space="preserve"> - Attained proficiency
</t>
    </r>
  </si>
  <si>
    <t>000536</t>
  </si>
  <si>
    <t>TitleIIIAccountabilityProgressStatus</t>
  </si>
  <si>
    <t>Title III English Learner Participation Status</t>
  </si>
  <si>
    <t>An indication that an English Learner student is served by an English language instruction educational program supported with Title III of ESEA funds.</t>
  </si>
  <si>
    <t>000565</t>
  </si>
  <si>
    <t>Title III LEP Participation Status</t>
  </si>
  <si>
    <t>TitleIIIEnglishLearnerParticipationStatus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</si>
  <si>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</si>
  <si>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</si>
  <si>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</si>
  <si>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</si>
  <si>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</si>
  <si>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</si>
  <si>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</si>
  <si>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</si>
  <si>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</si>
  <si>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education programs.</t>
  </si>
  <si>
    <r>
      <t>DualLanguage</t>
    </r>
    <r>
      <rPr>
        <sz val="10"/>
        <color theme="1"/>
        <rFont val="Calibri"/>
        <family val="2"/>
        <scheme val="minor"/>
      </rPr>
      <t xml:space="preserve"> - Dual language
</t>
    </r>
    <r>
      <rPr>
        <b/>
        <sz val="10"/>
        <color theme="1"/>
        <rFont val="Calibri"/>
        <family val="2"/>
        <scheme val="minor"/>
      </rPr>
      <t>TwoWayImmersion</t>
    </r>
    <r>
      <rPr>
        <sz val="10"/>
        <color theme="1"/>
        <rFont val="Calibri"/>
        <family val="2"/>
        <scheme val="minor"/>
      </rPr>
      <t xml:space="preserve"> - Two-way immersion
</t>
    </r>
    <r>
      <rPr>
        <b/>
        <sz val="10"/>
        <color theme="1"/>
        <rFont val="Calibri"/>
        <family val="2"/>
        <scheme val="minor"/>
      </rPr>
      <t>TransitionalBilingual</t>
    </r>
    <r>
      <rPr>
        <sz val="10"/>
        <color theme="1"/>
        <rFont val="Calibri"/>
        <family val="2"/>
        <scheme val="minor"/>
      </rPr>
      <t xml:space="preserve"> - Transitional bilingual
</t>
    </r>
    <r>
      <rPr>
        <b/>
        <sz val="10"/>
        <color theme="1"/>
        <rFont val="Calibri"/>
        <family val="2"/>
        <scheme val="minor"/>
      </rPr>
      <t>DevelopmentalBilingual</t>
    </r>
    <r>
      <rPr>
        <sz val="10"/>
        <color theme="1"/>
        <rFont val="Calibri"/>
        <family val="2"/>
        <scheme val="minor"/>
      </rPr>
      <t xml:space="preserve"> - Developmental bilingual
</t>
    </r>
    <r>
      <rPr>
        <b/>
        <sz val="10"/>
        <color theme="1"/>
        <rFont val="Calibri"/>
        <family val="2"/>
        <scheme val="minor"/>
      </rPr>
      <t>HeritageLanguage</t>
    </r>
    <r>
      <rPr>
        <sz val="10"/>
        <color theme="1"/>
        <rFont val="Calibri"/>
        <family val="2"/>
        <scheme val="minor"/>
      </rPr>
      <t xml:space="preserve"> - Heritage language
</t>
    </r>
    <r>
      <rPr>
        <b/>
        <sz val="10"/>
        <color theme="1"/>
        <rFont val="Calibri"/>
        <family val="2"/>
        <scheme val="minor"/>
      </rPr>
      <t>ShelteredEnglishInstruction</t>
    </r>
    <r>
      <rPr>
        <sz val="10"/>
        <color theme="1"/>
        <rFont val="Calibri"/>
        <family val="2"/>
        <scheme val="minor"/>
      </rPr>
      <t xml:space="preserve"> - Sheltered English instruction
</t>
    </r>
    <r>
      <rPr>
        <b/>
        <sz val="10"/>
        <color theme="1"/>
        <rFont val="Calibri"/>
        <family val="2"/>
        <scheme val="minor"/>
      </rPr>
      <t>StructuredEnglishImmersion</t>
    </r>
    <r>
      <rPr>
        <sz val="10"/>
        <color theme="1"/>
        <rFont val="Calibri"/>
        <family val="2"/>
        <scheme val="minor"/>
      </rPr>
      <t xml:space="preserve"> - Structured English immersion
</t>
    </r>
    <r>
      <rPr>
        <b/>
        <sz val="10"/>
        <color theme="1"/>
        <rFont val="Calibri"/>
        <family val="2"/>
        <scheme val="minor"/>
      </rPr>
      <t>SDAIE</t>
    </r>
    <r>
      <rPr>
        <sz val="10"/>
        <color theme="1"/>
        <rFont val="Calibri"/>
        <family val="2"/>
        <scheme val="minor"/>
      </rPr>
      <t xml:space="preserve"> - Specially designed academic instruction delivered in English (SDAIE)
</t>
    </r>
    <r>
      <rPr>
        <b/>
        <sz val="10"/>
        <color theme="1"/>
        <rFont val="Calibri"/>
        <family val="2"/>
        <scheme val="minor"/>
      </rPr>
      <t>ContentBasedESL</t>
    </r>
    <r>
      <rPr>
        <sz val="10"/>
        <color theme="1"/>
        <rFont val="Calibri"/>
        <family val="2"/>
        <scheme val="minor"/>
      </rPr>
      <t xml:space="preserve"> - Content-based ESL
</t>
    </r>
    <r>
      <rPr>
        <b/>
        <sz val="10"/>
        <color theme="1"/>
        <rFont val="Calibri"/>
        <family val="2"/>
        <scheme val="minor"/>
      </rPr>
      <t>PullOutESL</t>
    </r>
    <r>
      <rPr>
        <sz val="10"/>
        <color theme="1"/>
        <rFont val="Calibri"/>
        <family val="2"/>
        <scheme val="minor"/>
      </rPr>
      <t xml:space="preserve"> - Pull-out ESL
</t>
    </r>
    <r>
      <rPr>
        <b/>
        <sz val="10"/>
        <color theme="1"/>
        <rFont val="Calibri"/>
        <family val="2"/>
        <scheme val="minor"/>
      </rPr>
      <t>NewcomerPrograms</t>
    </r>
    <r>
      <rPr>
        <sz val="10"/>
        <color theme="1"/>
        <rFont val="Calibri"/>
        <family val="2"/>
        <scheme val="minor"/>
      </rPr>
      <t xml:space="preserve"> - Newcomer Programs
</t>
    </r>
    <r>
      <rPr>
        <b/>
        <sz val="10"/>
        <color theme="1"/>
        <rFont val="Calibri"/>
        <family val="2"/>
        <scheme val="minor"/>
      </rPr>
      <t>Other</t>
    </r>
    <r>
      <rPr>
        <sz val="10"/>
        <color theme="1"/>
        <rFont val="Calibri"/>
        <family val="2"/>
        <scheme val="minor"/>
      </rPr>
      <t xml:space="preserve"> - Other
</t>
    </r>
  </si>
  <si>
    <t>000447</t>
  </si>
  <si>
    <t>TitleIIILanguageInstructionProgramType</t>
  </si>
  <si>
    <t>Title III Professional Development Type</t>
  </si>
  <si>
    <t>The type of Title III professional development utilized.</t>
  </si>
  <si>
    <r>
      <t>InstructionalStrategies</t>
    </r>
    <r>
      <rPr>
        <sz val="10"/>
        <color theme="1"/>
        <rFont val="Calibri"/>
        <family val="2"/>
        <scheme val="minor"/>
      </rPr>
      <t xml:space="preserve"> - Instructional strategies
</t>
    </r>
    <r>
      <rPr>
        <b/>
        <sz val="10"/>
        <color theme="1"/>
        <rFont val="Calibri"/>
        <family val="2"/>
        <scheme val="minor"/>
      </rPr>
      <t>Assessment</t>
    </r>
    <r>
      <rPr>
        <sz val="10"/>
        <color theme="1"/>
        <rFont val="Calibri"/>
        <family val="2"/>
        <scheme val="minor"/>
      </rPr>
      <t xml:space="preserve"> - Assessment
</t>
    </r>
    <r>
      <rPr>
        <b/>
        <sz val="10"/>
        <color theme="1"/>
        <rFont val="Calibri"/>
        <family val="2"/>
        <scheme val="minor"/>
      </rPr>
      <t>ELPContentStandards</t>
    </r>
    <r>
      <rPr>
        <sz val="10"/>
        <color theme="1"/>
        <rFont val="Calibri"/>
        <family val="2"/>
        <scheme val="minor"/>
      </rPr>
      <t xml:space="preserve"> - ELP and content standards
</t>
    </r>
    <r>
      <rPr>
        <b/>
        <sz val="10"/>
        <color theme="1"/>
        <rFont val="Calibri"/>
        <family val="2"/>
        <scheme val="minor"/>
      </rPr>
      <t>CurriculumAlignmentELP</t>
    </r>
    <r>
      <rPr>
        <sz val="10"/>
        <color theme="1"/>
        <rFont val="Calibri"/>
        <family val="2"/>
        <scheme val="minor"/>
      </rPr>
      <t xml:space="preserve"> - Curriculum alignment to ELP standards
</t>
    </r>
    <r>
      <rPr>
        <b/>
        <sz val="10"/>
        <color theme="1"/>
        <rFont val="Calibri"/>
        <family val="2"/>
        <scheme val="minor"/>
      </rPr>
      <t>SubjectMatter</t>
    </r>
    <r>
      <rPr>
        <sz val="10"/>
        <color theme="1"/>
        <rFont val="Calibri"/>
        <family val="2"/>
        <scheme val="minor"/>
      </rPr>
      <t xml:space="preserve"> - Subject matter
</t>
    </r>
    <r>
      <rPr>
        <b/>
        <sz val="10"/>
        <color theme="1"/>
        <rFont val="Calibri"/>
        <family val="2"/>
        <scheme val="minor"/>
      </rPr>
      <t>Other</t>
    </r>
    <r>
      <rPr>
        <sz val="10"/>
        <color theme="1"/>
        <rFont val="Calibri"/>
        <family val="2"/>
        <scheme val="minor"/>
      </rPr>
      <t xml:space="preserve"> - Other
</t>
    </r>
  </si>
  <si>
    <t>000487</t>
  </si>
  <si>
    <t>TitleIIIProfessionalDevelopmentType</t>
  </si>
  <si>
    <t>Title IV Participant and Recipient</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</si>
  <si>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</si>
  <si>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</si>
  <si>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</si>
  <si>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</si>
  <si>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</si>
  <si>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</si>
  <si>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</si>
  <si>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</si>
  <si>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</si>
  <si>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</si>
  <si>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</si>
  <si>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</si>
  <si>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</si>
  <si>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</si>
  <si>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</si>
  <si>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</si>
  <si>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</si>
  <si>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r>
      <t>YesStateDefined</t>
    </r>
    <r>
      <rPr>
        <sz val="10"/>
        <color theme="1"/>
        <rFont val="Calibri"/>
        <family val="2"/>
        <scheme val="minor"/>
      </rPr>
      <t xml:space="preserve"> - Yes, state defined
</t>
    </r>
    <r>
      <rPr>
        <b/>
        <sz val="10"/>
        <color theme="1"/>
        <rFont val="Calibri"/>
        <family val="2"/>
        <scheme val="minor"/>
      </rPr>
      <t>YesInstitutionDefined</t>
    </r>
    <r>
      <rPr>
        <sz val="10"/>
        <color theme="1"/>
        <rFont val="Calibri"/>
        <family val="2"/>
        <scheme val="minor"/>
      </rPr>
      <t xml:space="preserve"> - Yes, institution defined
</t>
    </r>
  </si>
  <si>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</si>
  <si>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</si>
  <si>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</si>
  <si>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</si>
  <si>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</si>
  <si>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</si>
  <si>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</si>
  <si>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</si>
  <si>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</si>
  <si>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</si>
  <si>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</si>
  <si>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</si>
  <si>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Adult Education -&gt; AE Staff -&gt; Demographic (added)
Adult Education -&gt; AE Student -&gt; Demographic (added)
Career and Technical -&gt; CTE Staff -&gt; Demographic (added)
Career and Technical -&gt; CTE Student -&gt; Demographic (added)
Early Learning -&gt; EL Child -&gt; Demographic (added)
Early Learning -&gt; EL Staff -&gt; Demographic (added)
Early Learning -&gt; Parent/Guardian -&gt; Demographic (added)
K12 -&gt; K12 Staff -&gt; Demographic (added)
K12 -&gt; K12 Student -&gt; Demographic
K12 -&gt; Parent/Guardian -&gt; Demographic (added)
Postsecondary -&gt; Parent/Guardian -&gt; Demographic (added)
Postsecondary -&gt; PS Staff -&gt; Demographic (added)
Postsecondary -&gt; PS Student -&gt; Demographic (added)</t>
  </si>
  <si>
    <t>Updated option set to reflect the latest list of federally recognized tribes from the Bureau of Indian Affairs (BIA), to include definitions, and to limit description length to 150 characters. Element applied to additional DES contexts.</t>
  </si>
  <si>
    <t>001657</t>
  </si>
  <si>
    <t>TribalAffiliation</t>
  </si>
  <si>
    <t>Trimester When Prenatal Care Began</t>
  </si>
  <si>
    <t>The trimester of pregnancy in which a child's mother began receiving prenatal health care.</t>
  </si>
  <si>
    <r>
      <t>FirstTrimester</t>
    </r>
    <r>
      <rPr>
        <sz val="10"/>
        <color theme="1"/>
        <rFont val="Calibri"/>
        <family val="2"/>
        <scheme val="minor"/>
      </rPr>
      <t xml:space="preserve"> - First trimester
</t>
    </r>
    <r>
      <rPr>
        <b/>
        <sz val="10"/>
        <color theme="1"/>
        <rFont val="Calibri"/>
        <family val="2"/>
        <scheme val="minor"/>
      </rPr>
      <t>SecondTrimester</t>
    </r>
    <r>
      <rPr>
        <sz val="10"/>
        <color theme="1"/>
        <rFont val="Calibri"/>
        <family val="2"/>
        <scheme val="minor"/>
      </rPr>
      <t xml:space="preserve"> - Second trimester
</t>
    </r>
    <r>
      <rPr>
        <b/>
        <sz val="10"/>
        <color theme="1"/>
        <rFont val="Calibri"/>
        <family val="2"/>
        <scheme val="minor"/>
      </rPr>
      <t>ThirdTrimester</t>
    </r>
    <r>
      <rPr>
        <sz val="10"/>
        <color theme="1"/>
        <rFont val="Calibri"/>
        <family val="2"/>
        <scheme val="minor"/>
      </rPr>
      <t xml:space="preserve"> - Third trimester
</t>
    </r>
    <r>
      <rPr>
        <b/>
        <sz val="10"/>
        <color theme="1"/>
        <rFont val="Calibri"/>
        <family val="2"/>
        <scheme val="minor"/>
      </rPr>
      <t>NoPrenatalHealthCare</t>
    </r>
    <r>
      <rPr>
        <sz val="10"/>
        <color theme="1"/>
        <rFont val="Calibri"/>
        <family val="2"/>
        <scheme val="minor"/>
      </rPr>
      <t xml:space="preserve"> - No prenatal health care
</t>
    </r>
  </si>
  <si>
    <t>Early Learning -&gt; EL Child -&gt; Health -&gt; Birth/Prenatal</t>
  </si>
  <si>
    <t>001630</t>
  </si>
  <si>
    <t>TrimesterWhenPrenatalCareBegan</t>
  </si>
  <si>
    <t>Truant Status</t>
  </si>
  <si>
    <t>An indication that a student is identified as a truant as defined by state rules.</t>
  </si>
  <si>
    <t>Some data systems may require additional information on truancy based on local requirements. For example, capturing students who reach the statutory truancy status but then are in and out of attendance after that point, may require use of Number of Days in Attendance in conjunction with Truancy.</t>
  </si>
  <si>
    <t>000569</t>
  </si>
  <si>
    <t>TruantStatus</t>
  </si>
  <si>
    <t>Tuition - Published</t>
  </si>
  <si>
    <t>The published tuition for first time, full-time undergraduate students (lower of in-district or in-state for public institutions). Tuition may be charged per term, per course, per credit or per program.</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</si>
  <si>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</si>
  <si>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</si>
  <si>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</si>
  <si>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</si>
  <si>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</si>
  <si>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Adult Education -&gt; Course Section
Career and Technical -&gt; Course Section
Early Learning -&gt; EL Staff -&gt; Professional Development
K12 -&gt; Course Section
K12 -&gt; K12 Course
K12 -&gt; K12 Staff -&gt; Professional Development</t>
  </si>
  <si>
    <t>The initial use case is for professional development courses/programs, but could apply to student programs/courses as well.</t>
  </si>
  <si>
    <t>001575</t>
  </si>
  <si>
    <t>TuitionFunded</t>
  </si>
  <si>
    <t>Tuition Residency Type</t>
  </si>
  <si>
    <t>A person's residency status for tuition purposes.</t>
  </si>
  <si>
    <r>
      <t>InDistrict</t>
    </r>
    <r>
      <rPr>
        <sz val="10"/>
        <color theme="1"/>
        <rFont val="Calibri"/>
        <family val="2"/>
        <scheme val="minor"/>
      </rPr>
      <t xml:space="preserve"> - In-district
</t>
    </r>
    <r>
      <rPr>
        <b/>
        <sz val="10"/>
        <color theme="1"/>
        <rFont val="Calibri"/>
        <family val="2"/>
        <scheme val="minor"/>
      </rPr>
      <t>InState</t>
    </r>
    <r>
      <rPr>
        <sz val="10"/>
        <color theme="1"/>
        <rFont val="Calibri"/>
        <family val="2"/>
        <scheme val="minor"/>
      </rPr>
      <t xml:space="preserve"> - In-state
</t>
    </r>
    <r>
      <rPr>
        <b/>
        <sz val="10"/>
        <color theme="1"/>
        <rFont val="Calibri"/>
        <family val="2"/>
        <scheme val="minor"/>
      </rPr>
      <t>OutOfState</t>
    </r>
    <r>
      <rPr>
        <sz val="10"/>
        <color theme="1"/>
        <rFont val="Calibri"/>
        <family val="2"/>
        <scheme val="minor"/>
      </rPr>
      <t xml:space="preserve"> - Out-of-state
</t>
    </r>
    <r>
      <rPr>
        <b/>
        <sz val="10"/>
        <color theme="1"/>
        <rFont val="Calibri"/>
        <family val="2"/>
        <scheme val="minor"/>
      </rPr>
      <t>NoDifferential</t>
    </r>
    <r>
      <rPr>
        <sz val="10"/>
        <color theme="1"/>
        <rFont val="Calibri"/>
        <family val="2"/>
        <scheme val="minor"/>
      </rPr>
      <t xml:space="preserve"> - No differential tuition based on residency
</t>
    </r>
  </si>
  <si>
    <t>000297</t>
  </si>
  <si>
    <t>TuitionResidencyType</t>
  </si>
  <si>
    <t>Tuition Unit</t>
  </si>
  <si>
    <t>The component for which tuition is being charged. It might be a time period (term, quarter, year, etc.) or it might be an entity of education (course, credit hour, etc.).</t>
  </si>
  <si>
    <r>
      <t>PerTerm</t>
    </r>
    <r>
      <rPr>
        <sz val="10"/>
        <color theme="1"/>
        <rFont val="Calibri"/>
        <family val="2"/>
        <scheme val="minor"/>
      </rPr>
      <t xml:space="preserve"> - Per Term
</t>
    </r>
    <r>
      <rPr>
        <b/>
        <sz val="10"/>
        <color theme="1"/>
        <rFont val="Calibri"/>
        <family val="2"/>
        <scheme val="minor"/>
      </rPr>
      <t>PerYear</t>
    </r>
    <r>
      <rPr>
        <sz val="10"/>
        <color theme="1"/>
        <rFont val="Calibri"/>
        <family val="2"/>
        <scheme val="minor"/>
      </rPr>
      <t xml:space="preserve"> - Per Year
</t>
    </r>
    <r>
      <rPr>
        <b/>
        <sz val="10"/>
        <color theme="1"/>
        <rFont val="Calibri"/>
        <family val="2"/>
        <scheme val="minor"/>
      </rPr>
      <t>PerProgram</t>
    </r>
    <r>
      <rPr>
        <sz val="10"/>
        <color theme="1"/>
        <rFont val="Calibri"/>
        <family val="2"/>
        <scheme val="minor"/>
      </rPr>
      <t xml:space="preserve"> - Per Program
</t>
    </r>
    <r>
      <rPr>
        <b/>
        <sz val="10"/>
        <color theme="1"/>
        <rFont val="Calibri"/>
        <family val="2"/>
        <scheme val="minor"/>
      </rPr>
      <t>PerCourse</t>
    </r>
    <r>
      <rPr>
        <sz val="10"/>
        <color theme="1"/>
        <rFont val="Calibri"/>
        <family val="2"/>
        <scheme val="minor"/>
      </rPr>
      <t xml:space="preserve"> - Per Course
</t>
    </r>
    <r>
      <rPr>
        <b/>
        <sz val="10"/>
        <color theme="1"/>
        <rFont val="Calibri"/>
        <family val="2"/>
        <scheme val="minor"/>
      </rPr>
      <t>PerCredit</t>
    </r>
    <r>
      <rPr>
        <sz val="10"/>
        <color theme="1"/>
        <rFont val="Calibri"/>
        <family val="2"/>
        <scheme val="minor"/>
      </rPr>
      <t xml:space="preserve"> - Per Credit
</t>
    </r>
  </si>
  <si>
    <t>000746</t>
  </si>
  <si>
    <t>TuitionUnit</t>
  </si>
  <si>
    <t>Type of Use of the Rural Low-Income Schools Program</t>
  </si>
  <si>
    <t>The type of use of the Rural Low-Income Schools Program (RLIS) (Title VI, Part B, Subpart 2) Grant Funds.</t>
  </si>
  <si>
    <r>
      <t>01</t>
    </r>
    <r>
      <rPr>
        <sz val="10"/>
        <color theme="1"/>
        <rFont val="Calibri"/>
        <family val="2"/>
        <scheme val="minor"/>
      </rPr>
      <t xml:space="preserve"> - Teacher recruitment and retention
</t>
    </r>
    <r>
      <rPr>
        <b/>
        <sz val="10"/>
        <color theme="1"/>
        <rFont val="Calibri"/>
        <family val="2"/>
        <scheme val="minor"/>
      </rPr>
      <t>02</t>
    </r>
    <r>
      <rPr>
        <sz val="10"/>
        <color theme="1"/>
        <rFont val="Calibri"/>
        <family val="2"/>
        <scheme val="minor"/>
      </rPr>
      <t xml:space="preserve"> - Teacher professional development
</t>
    </r>
    <r>
      <rPr>
        <b/>
        <sz val="10"/>
        <color theme="1"/>
        <rFont val="Calibri"/>
        <family val="2"/>
        <scheme val="minor"/>
      </rPr>
      <t>03</t>
    </r>
    <r>
      <rPr>
        <sz val="10"/>
        <color theme="1"/>
        <rFont val="Calibri"/>
        <family val="2"/>
        <scheme val="minor"/>
      </rPr>
      <t xml:space="preserve"> - Educational technology
</t>
    </r>
    <r>
      <rPr>
        <b/>
        <sz val="10"/>
        <color theme="1"/>
        <rFont val="Calibri"/>
        <family val="2"/>
        <scheme val="minor"/>
      </rPr>
      <t>04</t>
    </r>
    <r>
      <rPr>
        <sz val="10"/>
        <color theme="1"/>
        <rFont val="Calibri"/>
        <family val="2"/>
        <scheme val="minor"/>
      </rPr>
      <t xml:space="preserve"> - Parental involvement activities
</t>
    </r>
    <r>
      <rPr>
        <b/>
        <sz val="10"/>
        <color theme="1"/>
        <rFont val="Calibri"/>
        <family val="2"/>
        <scheme val="minor"/>
      </rPr>
      <t>05</t>
    </r>
    <r>
      <rPr>
        <sz val="10"/>
        <color theme="1"/>
        <rFont val="Calibri"/>
        <family val="2"/>
        <scheme val="minor"/>
      </rPr>
      <t xml:space="preserve"> - Activities authorized under the Safe and Drug-Free Schools Program (Title IV, Part A)
</t>
    </r>
    <r>
      <rPr>
        <b/>
        <sz val="10"/>
        <color theme="1"/>
        <rFont val="Calibri"/>
        <family val="2"/>
        <scheme val="minor"/>
      </rPr>
      <t>06</t>
    </r>
    <r>
      <rPr>
        <sz val="10"/>
        <color theme="1"/>
        <rFont val="Calibri"/>
        <family val="2"/>
        <scheme val="minor"/>
      </rPr>
      <t xml:space="preserve"> - Activities authorized under Title I, Part A
</t>
    </r>
    <r>
      <rPr>
        <b/>
        <sz val="10"/>
        <color theme="1"/>
        <rFont val="Calibri"/>
        <family val="2"/>
        <scheme val="minor"/>
      </rPr>
      <t>07</t>
    </r>
    <r>
      <rPr>
        <sz val="10"/>
        <color theme="1"/>
        <rFont val="Calibri"/>
        <family val="2"/>
        <scheme val="minor"/>
      </rPr>
      <t xml:space="preserve"> - Activities authorized under Title III (Language instruction for English Learner and immigrant students)
</t>
    </r>
  </si>
  <si>
    <t>K12 -&gt; K12 School -&gt; Federal Funds
K12 -&gt; K12 Student -&gt; English Learner
K12 -&gt; LEA -&gt; Federal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</si>
  <si>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</si>
  <si>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</si>
  <si>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</si>
  <si>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</si>
  <si>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</si>
  <si>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</si>
  <si>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</si>
  <si>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</si>
  <si>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</si>
  <si>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</si>
  <si>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</si>
  <si>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</si>
  <si>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</si>
  <si>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r>
      <t>USCitizen</t>
    </r>
    <r>
      <rPr>
        <sz val="10"/>
        <color theme="1"/>
        <rFont val="Calibri"/>
        <family val="2"/>
        <scheme val="minor"/>
      </rPr>
      <t xml:space="preserve"> - US Citizen
</t>
    </r>
    <r>
      <rPr>
        <b/>
        <sz val="10"/>
        <color theme="1"/>
        <rFont val="Calibri"/>
        <family val="2"/>
        <scheme val="minor"/>
      </rPr>
      <t>PermanentResident</t>
    </r>
    <r>
      <rPr>
        <sz val="10"/>
        <color theme="1"/>
        <rFont val="Calibri"/>
        <family val="2"/>
        <scheme val="minor"/>
      </rPr>
      <t xml:space="preserve"> - Permanent resident
</t>
    </r>
    <r>
      <rPr>
        <b/>
        <sz val="10"/>
        <color theme="1"/>
        <rFont val="Calibri"/>
        <family val="2"/>
        <scheme val="minor"/>
      </rPr>
      <t>ResidentAlien</t>
    </r>
    <r>
      <rPr>
        <sz val="10"/>
        <color theme="1"/>
        <rFont val="Calibri"/>
        <family val="2"/>
        <scheme val="minor"/>
      </rPr>
      <t xml:space="preserve"> - Resident alien
</t>
    </r>
    <r>
      <rPr>
        <b/>
        <sz val="10"/>
        <color theme="1"/>
        <rFont val="Calibri"/>
        <family val="2"/>
        <scheme val="minor"/>
      </rPr>
      <t>NonResidentAlien</t>
    </r>
    <r>
      <rPr>
        <sz val="10"/>
        <color theme="1"/>
        <rFont val="Calibri"/>
        <family val="2"/>
        <scheme val="minor"/>
      </rPr>
      <t xml:space="preserve"> - Non-resident alien
</t>
    </r>
    <r>
      <rPr>
        <b/>
        <sz val="10"/>
        <color theme="1"/>
        <rFont val="Calibri"/>
        <family val="2"/>
        <scheme val="minor"/>
      </rPr>
      <t>Refugee</t>
    </r>
    <r>
      <rPr>
        <sz val="10"/>
        <color theme="1"/>
        <rFont val="Calibri"/>
        <family val="2"/>
        <scheme val="minor"/>
      </rPr>
      <t xml:space="preserve"> - Refugee
</t>
    </r>
  </si>
  <si>
    <t>Postsecondary -&gt; PS Staff -&gt; Demographic
Postsecondary -&gt; PS Student -&gt; Demographic</t>
  </si>
  <si>
    <t>000299</t>
  </si>
  <si>
    <t>UnitedStatesCitizenshipStatus</t>
  </si>
  <si>
    <t>Postsecondary Education -&gt; IPEDS
Postsecondary Education -&gt; IPEDS -&gt; HR</t>
  </si>
  <si>
    <t>Virtual Indicator</t>
  </si>
  <si>
    <t>Indicates a school, institution, program, or course section focuses primarily on instruction in which students and teachers are separated by time and/or location and interact through the use of computers and/or telecommunications technologies.</t>
  </si>
  <si>
    <t>Adult Education -&gt; Course Section
Career and Technical -&gt; Course Section
K12 -&gt; Course Section
K12 -&gt; K12 School -&gt; Directory
Postsecondary -&gt; PS Institution -&gt; Directory</t>
  </si>
  <si>
    <t>001160</t>
  </si>
  <si>
    <t>VirtualIndicator</t>
  </si>
  <si>
    <t>Virtual School Status</t>
  </si>
  <si>
    <t>An indication of the extent to which a public school offers instruction in which students and teachers are separated by time and/or location, and interaction occurs via computers and/or telecommunications technologies.</t>
  </si>
  <si>
    <r>
      <t>FaceVirtual</t>
    </r>
    <r>
      <rPr>
        <sz val="10"/>
        <color theme="1"/>
        <rFont val="Calibri"/>
        <family val="2"/>
        <scheme val="minor"/>
      </rPr>
      <t xml:space="preserve"> - Face Virtual
</t>
    </r>
    <r>
      <rPr>
        <b/>
        <sz val="10"/>
        <color theme="1"/>
        <rFont val="Calibri"/>
        <family val="2"/>
        <scheme val="minor"/>
      </rPr>
      <t>FullVirtual</t>
    </r>
    <r>
      <rPr>
        <sz val="10"/>
        <color theme="1"/>
        <rFont val="Calibri"/>
        <family val="2"/>
        <scheme val="minor"/>
      </rPr>
      <t xml:space="preserve"> - Full Virtual
</t>
    </r>
    <r>
      <rPr>
        <b/>
        <sz val="10"/>
        <color theme="1"/>
        <rFont val="Calibri"/>
        <family val="2"/>
        <scheme val="minor"/>
      </rPr>
      <t>NotVirtual</t>
    </r>
    <r>
      <rPr>
        <sz val="10"/>
        <color theme="1"/>
        <rFont val="Calibri"/>
        <family val="2"/>
        <scheme val="minor"/>
      </rPr>
      <t xml:space="preserve"> - Not Virtual
</t>
    </r>
    <r>
      <rPr>
        <b/>
        <sz val="10"/>
        <color theme="1"/>
        <rFont val="Calibri"/>
        <family val="2"/>
        <scheme val="minor"/>
      </rPr>
      <t>SupplementalVirtual</t>
    </r>
    <r>
      <rPr>
        <sz val="10"/>
        <color theme="1"/>
        <rFont val="Calibri"/>
        <family val="2"/>
        <scheme val="minor"/>
      </rPr>
      <t xml:space="preserve"> - Supplemental Virtual
</t>
    </r>
  </si>
  <si>
    <t>001766</t>
  </si>
  <si>
    <t>VirtualSchoolStatus</t>
  </si>
  <si>
    <t>Visa Type</t>
  </si>
  <si>
    <t>An indicator of a non-US citizen's Visa type.</t>
  </si>
  <si>
    <r>
      <t>F1</t>
    </r>
    <r>
      <rPr>
        <sz val="10"/>
        <color theme="1"/>
        <rFont val="Calibri"/>
        <family val="2"/>
        <scheme val="minor"/>
      </rPr>
      <t xml:space="preserve"> - Foreign Student Visa
</t>
    </r>
    <r>
      <rPr>
        <b/>
        <sz val="10"/>
        <color theme="1"/>
        <rFont val="Calibri"/>
        <family val="2"/>
        <scheme val="minor"/>
      </rPr>
      <t>M1</t>
    </r>
    <r>
      <rPr>
        <sz val="10"/>
        <color theme="1"/>
        <rFont val="Calibri"/>
        <family val="2"/>
        <scheme val="minor"/>
      </rPr>
      <t xml:space="preserve"> - Foreign Student pursuing vocational or non-academic studies Visa
</t>
    </r>
    <r>
      <rPr>
        <b/>
        <sz val="10"/>
        <color theme="1"/>
        <rFont val="Calibri"/>
        <family val="2"/>
        <scheme val="minor"/>
      </rPr>
      <t>H1</t>
    </r>
    <r>
      <rPr>
        <sz val="10"/>
        <color theme="1"/>
        <rFont val="Calibri"/>
        <family val="2"/>
        <scheme val="minor"/>
      </rPr>
      <t xml:space="preserve"> - Employment Visa
</t>
    </r>
    <r>
      <rPr>
        <b/>
        <sz val="10"/>
        <color theme="1"/>
        <rFont val="Calibri"/>
        <family val="2"/>
        <scheme val="minor"/>
      </rPr>
      <t>B1</t>
    </r>
    <r>
      <rPr>
        <sz val="10"/>
        <color theme="1"/>
        <rFont val="Calibri"/>
        <family val="2"/>
        <scheme val="minor"/>
      </rPr>
      <t xml:space="preserve"> - Business Visa
</t>
    </r>
    <r>
      <rPr>
        <b/>
        <sz val="10"/>
        <color theme="1"/>
        <rFont val="Calibri"/>
        <family val="2"/>
        <scheme val="minor"/>
      </rPr>
      <t>B2</t>
    </r>
    <r>
      <rPr>
        <sz val="10"/>
        <color theme="1"/>
        <rFont val="Calibri"/>
        <family val="2"/>
        <scheme val="minor"/>
      </rPr>
      <t xml:space="preserve"> - Tourist Visa
</t>
    </r>
    <r>
      <rPr>
        <b/>
        <sz val="10"/>
        <color theme="1"/>
        <rFont val="Calibri"/>
        <family val="2"/>
        <scheme val="minor"/>
      </rPr>
      <t>J1</t>
    </r>
    <r>
      <rPr>
        <sz val="10"/>
        <color theme="1"/>
        <rFont val="Calibri"/>
        <family val="2"/>
        <scheme val="minor"/>
      </rPr>
      <t xml:space="preserve"> - Exchange Scholar Visa
</t>
    </r>
    <r>
      <rPr>
        <b/>
        <sz val="10"/>
        <color theme="1"/>
        <rFont val="Calibri"/>
        <family val="2"/>
        <scheme val="minor"/>
      </rPr>
      <t>OV</t>
    </r>
    <r>
      <rPr>
        <sz val="10"/>
        <color theme="1"/>
        <rFont val="Calibri"/>
        <family val="2"/>
        <scheme val="minor"/>
      </rPr>
      <t xml:space="preserve"> - Other Visa
</t>
    </r>
  </si>
  <si>
    <t>000196</t>
  </si>
  <si>
    <t>VisaType</t>
  </si>
  <si>
    <t>Vision Screening Date</t>
  </si>
  <si>
    <t>The year, month and day of a vision screening.</t>
  </si>
  <si>
    <t>Early Learning -&gt; EL Child -&gt; Health -&gt; Vision
K12 -&gt; K12 Student -&gt; Health -&gt; Vision</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</si>
  <si>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</si>
  <si>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</si>
  <si>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</si>
  <si>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</si>
  <si>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</si>
  <si>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</si>
  <si>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</si>
  <si>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</si>
  <si>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r>
      <t>01</t>
    </r>
    <r>
      <rPr>
        <sz val="10"/>
        <color theme="1"/>
        <rFont val="Calibri"/>
        <family val="2"/>
        <scheme val="minor"/>
      </rPr>
      <t xml:space="preserve"> - Collected as an hourly wage amount
</t>
    </r>
    <r>
      <rPr>
        <b/>
        <sz val="10"/>
        <color theme="1"/>
        <rFont val="Calibri"/>
        <family val="2"/>
        <scheme val="minor"/>
      </rPr>
      <t>02</t>
    </r>
    <r>
      <rPr>
        <sz val="10"/>
        <color theme="1"/>
        <rFont val="Calibri"/>
        <family val="2"/>
        <scheme val="minor"/>
      </rPr>
      <t xml:space="preserve"> - Collected as salary and converted to an hourly wage amount
</t>
    </r>
    <r>
      <rPr>
        <b/>
        <sz val="10"/>
        <color theme="1"/>
        <rFont val="Calibri"/>
        <family val="2"/>
        <scheme val="minor"/>
      </rPr>
      <t>03</t>
    </r>
    <r>
      <rPr>
        <sz val="10"/>
        <color theme="1"/>
        <rFont val="Calibri"/>
        <family val="2"/>
        <scheme val="minor"/>
      </rPr>
      <t xml:space="preserve"> - Collected in both methods but method not tracked on an individual record
</t>
    </r>
    <r>
      <rPr>
        <b/>
        <sz val="10"/>
        <color theme="1"/>
        <rFont val="Calibri"/>
        <family val="2"/>
        <scheme val="minor"/>
      </rPr>
      <t>99</t>
    </r>
    <r>
      <rPr>
        <sz val="10"/>
        <color theme="1"/>
        <rFont val="Calibri"/>
        <family val="2"/>
        <scheme val="minor"/>
      </rPr>
      <t xml:space="preserve"> - Wage data not present
</t>
    </r>
  </si>
  <si>
    <t>000798</t>
  </si>
  <si>
    <t>WageCollectionCode</t>
  </si>
  <si>
    <t>Wage Verification Code</t>
  </si>
  <si>
    <t>An indication of whether the wage information has been verified.</t>
  </si>
  <si>
    <r>
      <t>01</t>
    </r>
    <r>
      <rPr>
        <sz val="10"/>
        <color theme="1"/>
        <rFont val="Calibri"/>
        <family val="2"/>
        <scheme val="minor"/>
      </rPr>
      <t xml:space="preserve"> - Verified
</t>
    </r>
    <r>
      <rPr>
        <b/>
        <sz val="10"/>
        <color theme="1"/>
        <rFont val="Calibri"/>
        <family val="2"/>
        <scheme val="minor"/>
      </rPr>
      <t>02</t>
    </r>
    <r>
      <rPr>
        <sz val="10"/>
        <color theme="1"/>
        <rFont val="Calibri"/>
        <family val="2"/>
        <scheme val="minor"/>
      </rPr>
      <t xml:space="preserve"> - Not verified
</t>
    </r>
    <r>
      <rPr>
        <b/>
        <sz val="10"/>
        <color theme="1"/>
        <rFont val="Calibri"/>
        <family val="2"/>
        <scheme val="minor"/>
      </rPr>
      <t>03</t>
    </r>
    <r>
      <rPr>
        <sz val="10"/>
        <color theme="1"/>
        <rFont val="Calibri"/>
        <family val="2"/>
        <scheme val="minor"/>
      </rPr>
      <t xml:space="preserve"> - Wage data not present
</t>
    </r>
  </si>
  <si>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</si>
  <si>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</si>
  <si>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</si>
  <si>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</si>
  <si>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</si>
  <si>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</si>
  <si>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</si>
  <si>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</si>
  <si>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r>
      <t>Firearm</t>
    </r>
    <r>
      <rPr>
        <sz val="10"/>
        <color theme="1"/>
        <rFont val="Calibri"/>
        <family val="2"/>
        <scheme val="minor"/>
      </rPr>
      <t xml:space="preserve"> - Firearm
</t>
    </r>
    <r>
      <rPr>
        <b/>
        <sz val="10"/>
        <color theme="1"/>
        <rFont val="Calibri"/>
        <family val="2"/>
        <scheme val="minor"/>
      </rPr>
      <t>Handgun</t>
    </r>
    <r>
      <rPr>
        <sz val="10"/>
        <color theme="1"/>
        <rFont val="Calibri"/>
        <family val="2"/>
        <scheme val="minor"/>
      </rPr>
      <t xml:space="preserve"> - Handgun
</t>
    </r>
    <r>
      <rPr>
        <b/>
        <sz val="10"/>
        <color theme="1"/>
        <rFont val="Calibri"/>
        <family val="2"/>
        <scheme val="minor"/>
      </rPr>
      <t>Shotgun</t>
    </r>
    <r>
      <rPr>
        <sz val="10"/>
        <color theme="1"/>
        <rFont val="Calibri"/>
        <family val="2"/>
        <scheme val="minor"/>
      </rPr>
      <t xml:space="preserve"> - Shotgun
</t>
    </r>
    <r>
      <rPr>
        <b/>
        <sz val="10"/>
        <color theme="1"/>
        <rFont val="Calibri"/>
        <family val="2"/>
        <scheme val="minor"/>
      </rPr>
      <t>Rifle</t>
    </r>
    <r>
      <rPr>
        <sz val="10"/>
        <color theme="1"/>
        <rFont val="Calibri"/>
        <family val="2"/>
        <scheme val="minor"/>
      </rPr>
      <t xml:space="preserve"> - Rifle
</t>
    </r>
    <r>
      <rPr>
        <b/>
        <sz val="10"/>
        <color theme="1"/>
        <rFont val="Calibri"/>
        <family val="2"/>
        <scheme val="minor"/>
      </rPr>
      <t>OtherFirearm</t>
    </r>
    <r>
      <rPr>
        <sz val="10"/>
        <color theme="1"/>
        <rFont val="Calibri"/>
        <family val="2"/>
        <scheme val="minor"/>
      </rPr>
      <t xml:space="preserve"> - Other Firearm
</t>
    </r>
    <r>
      <rPr>
        <b/>
        <sz val="10"/>
        <color theme="1"/>
        <rFont val="Calibri"/>
        <family val="2"/>
        <scheme val="minor"/>
      </rPr>
      <t>Knife</t>
    </r>
    <r>
      <rPr>
        <sz val="10"/>
        <color theme="1"/>
        <rFont val="Calibri"/>
        <family val="2"/>
        <scheme val="minor"/>
      </rPr>
      <t xml:space="preserve"> - Knife
</t>
    </r>
    <r>
      <rPr>
        <b/>
        <sz val="10"/>
        <color theme="1"/>
        <rFont val="Calibri"/>
        <family val="2"/>
        <scheme val="minor"/>
      </rPr>
      <t>KnifeLessThanTwoPointFiveInches</t>
    </r>
    <r>
      <rPr>
        <sz val="10"/>
        <color theme="1"/>
        <rFont val="Calibri"/>
        <family val="2"/>
        <scheme val="minor"/>
      </rPr>
      <t xml:space="preserve"> - Knife Less Than 2.5 Inches
</t>
    </r>
    <r>
      <rPr>
        <b/>
        <sz val="10"/>
        <color theme="1"/>
        <rFont val="Calibri"/>
        <family val="2"/>
        <scheme val="minor"/>
      </rPr>
      <t>KnifeLessThanThreeInches</t>
    </r>
    <r>
      <rPr>
        <sz val="10"/>
        <color theme="1"/>
        <rFont val="Calibri"/>
        <family val="2"/>
        <scheme val="minor"/>
      </rPr>
      <t xml:space="preserve"> - Knife Less Than Three Inches
</t>
    </r>
    <r>
      <rPr>
        <b/>
        <sz val="10"/>
        <color theme="1"/>
        <rFont val="Calibri"/>
        <family val="2"/>
        <scheme val="minor"/>
      </rPr>
      <t>KnifeGreaterThanThreeInches</t>
    </r>
    <r>
      <rPr>
        <sz val="10"/>
        <color theme="1"/>
        <rFont val="Calibri"/>
        <family val="2"/>
        <scheme val="minor"/>
      </rPr>
      <t xml:space="preserve"> - Knife Greater Than Three Inches
</t>
    </r>
    <r>
      <rPr>
        <b/>
        <sz val="10"/>
        <color theme="1"/>
        <rFont val="Calibri"/>
        <family val="2"/>
        <scheme val="minor"/>
      </rPr>
      <t>OtherSharpObject</t>
    </r>
    <r>
      <rPr>
        <sz val="10"/>
        <color theme="1"/>
        <rFont val="Calibri"/>
        <family val="2"/>
        <scheme val="minor"/>
      </rPr>
      <t xml:space="preserve"> - Other sharp object
</t>
    </r>
    <r>
      <rPr>
        <b/>
        <sz val="10"/>
        <color theme="1"/>
        <rFont val="Calibri"/>
        <family val="2"/>
        <scheme val="minor"/>
      </rPr>
      <t>OtherObject</t>
    </r>
    <r>
      <rPr>
        <sz val="10"/>
        <color theme="1"/>
        <rFont val="Calibri"/>
        <family val="2"/>
        <scheme val="minor"/>
      </rPr>
      <t xml:space="preserve"> - Other object
</t>
    </r>
    <r>
      <rPr>
        <b/>
        <sz val="10"/>
        <color theme="1"/>
        <rFont val="Calibri"/>
        <family val="2"/>
        <scheme val="minor"/>
      </rPr>
      <t>Substance</t>
    </r>
    <r>
      <rPr>
        <sz val="10"/>
        <color theme="1"/>
        <rFont val="Calibri"/>
        <family val="2"/>
        <scheme val="minor"/>
      </rPr>
      <t xml:space="preserve"> - Substance used as weapon
</t>
    </r>
    <r>
      <rPr>
        <b/>
        <sz val="10"/>
        <color theme="1"/>
        <rFont val="Calibri"/>
        <family val="2"/>
        <scheme val="minor"/>
      </rPr>
      <t>OtherWeapon</t>
    </r>
    <r>
      <rPr>
        <sz val="10"/>
        <color theme="1"/>
        <rFont val="Calibri"/>
        <family val="2"/>
        <scheme val="minor"/>
      </rPr>
      <t xml:space="preserve"> - Other weapon
</t>
    </r>
    <r>
      <rPr>
        <b/>
        <sz val="10"/>
        <color theme="1"/>
        <rFont val="Calibri"/>
        <family val="2"/>
        <scheme val="minor"/>
      </rPr>
      <t>None</t>
    </r>
    <r>
      <rPr>
        <sz val="10"/>
        <color theme="1"/>
        <rFont val="Calibri"/>
        <family val="2"/>
        <scheme val="minor"/>
      </rPr>
      <t xml:space="preserve"> - None
</t>
    </r>
    <r>
      <rPr>
        <b/>
        <sz val="10"/>
        <color theme="1"/>
        <rFont val="Calibri"/>
        <family val="2"/>
        <scheme val="minor"/>
      </rPr>
      <t>Unknown</t>
    </r>
    <r>
      <rPr>
        <sz val="10"/>
        <color theme="1"/>
        <rFont val="Calibri"/>
        <family val="2"/>
        <scheme val="minor"/>
      </rPr>
      <t xml:space="preserve"> - Unknown weapon
</t>
    </r>
  </si>
  <si>
    <t>See Forum Guide to Crime, Violence, and Discipline Incident Data http://nces.ed.gov/pubs2011/2011806.pdf Forum Guide.</t>
  </si>
  <si>
    <t>001211</t>
  </si>
  <si>
    <t>WeaponType</t>
  </si>
  <si>
    <t>Web Site Address</t>
  </si>
  <si>
    <t>The Uniform Resource Locator (URL) for the unique address of a Web page.</t>
  </si>
  <si>
    <t>Early Learning -&gt; EL Organization -&gt; Contact
K12 -&gt; K12 School -&gt; Directory
K12 -&gt; LEA -&gt; Directory
K12 -&gt; Organization -&gt; Contact
K12 -&gt; SEA -&gt; Contact
Postsecondary -&gt; Organization -&gt; Contact
Postsecondary -&gt; PS Institution -&gt; Directory</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</si>
  <si>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</si>
  <si>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</si>
  <si>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</si>
  <si>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</si>
  <si>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</si>
  <si>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</si>
  <si>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</si>
  <si>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</si>
  <si>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</si>
  <si>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</si>
  <si>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</si>
  <si>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</si>
  <si>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</si>
  <si>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</si>
  <si>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</si>
  <si>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</si>
  <si>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</si>
  <si>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</si>
  <si>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</si>
  <si>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</si>
  <si>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</si>
  <si>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Race White</t>
  </si>
  <si>
    <t>Work-based Learning Opportunity Type</t>
  </si>
  <si>
    <t>The type of work-based learning opportunity a student participated in.</t>
  </si>
  <si>
    <r>
      <t>Apprenticeship</t>
    </r>
    <r>
      <rPr>
        <sz val="10"/>
        <color theme="1"/>
        <rFont val="Calibri"/>
        <family val="2"/>
        <scheme val="minor"/>
      </rPr>
      <t xml:space="preserve"> - Apprenticeship
</t>
    </r>
    <r>
      <rPr>
        <b/>
        <sz val="10"/>
        <color theme="1"/>
        <rFont val="Calibri"/>
        <family val="2"/>
        <scheme val="minor"/>
      </rPr>
      <t>ClinicalWork</t>
    </r>
    <r>
      <rPr>
        <sz val="10"/>
        <color theme="1"/>
        <rFont val="Calibri"/>
        <family val="2"/>
        <scheme val="minor"/>
      </rPr>
      <t xml:space="preserve"> - Clinical work experience
</t>
    </r>
    <r>
      <rPr>
        <b/>
        <sz val="10"/>
        <color theme="1"/>
        <rFont val="Calibri"/>
        <family val="2"/>
        <scheme val="minor"/>
      </rPr>
      <t>CooperativeEducation</t>
    </r>
    <r>
      <rPr>
        <sz val="10"/>
        <color theme="1"/>
        <rFont val="Calibri"/>
        <family val="2"/>
        <scheme val="minor"/>
      </rPr>
      <t xml:space="preserve"> - Cooperative education
</t>
    </r>
    <r>
      <rPr>
        <b/>
        <sz val="10"/>
        <color theme="1"/>
        <rFont val="Calibri"/>
        <family val="2"/>
        <scheme val="minor"/>
      </rPr>
      <t>JobShadowing</t>
    </r>
    <r>
      <rPr>
        <sz val="10"/>
        <color theme="1"/>
        <rFont val="Calibri"/>
        <family val="2"/>
        <scheme val="minor"/>
      </rPr>
      <t xml:space="preserve"> - Job shadowing
</t>
    </r>
    <r>
      <rPr>
        <b/>
        <sz val="10"/>
        <color theme="1"/>
        <rFont val="Calibri"/>
        <family val="2"/>
        <scheme val="minor"/>
      </rPr>
      <t>Mentorship</t>
    </r>
    <r>
      <rPr>
        <sz val="10"/>
        <color theme="1"/>
        <rFont val="Calibri"/>
        <family val="2"/>
        <scheme val="minor"/>
      </rPr>
      <t xml:space="preserve"> - Mentorship
</t>
    </r>
    <r>
      <rPr>
        <b/>
        <sz val="10"/>
        <color theme="1"/>
        <rFont val="Calibri"/>
        <family val="2"/>
        <scheme val="minor"/>
      </rPr>
      <t>NonPaidInternship</t>
    </r>
    <r>
      <rPr>
        <sz val="10"/>
        <color theme="1"/>
        <rFont val="Calibri"/>
        <family val="2"/>
        <scheme val="minor"/>
      </rPr>
      <t xml:space="preserve"> - Non-Paid Internship
</t>
    </r>
    <r>
      <rPr>
        <b/>
        <sz val="10"/>
        <color theme="1"/>
        <rFont val="Calibri"/>
        <family val="2"/>
        <scheme val="minor"/>
      </rPr>
      <t>OnTheJob</t>
    </r>
    <r>
      <rPr>
        <sz val="10"/>
        <color theme="1"/>
        <rFont val="Calibri"/>
        <family val="2"/>
        <scheme val="minor"/>
      </rPr>
      <t xml:space="preserve"> - On-the-Job
</t>
    </r>
    <r>
      <rPr>
        <b/>
        <sz val="10"/>
        <color theme="1"/>
        <rFont val="Calibri"/>
        <family val="2"/>
        <scheme val="minor"/>
      </rPr>
      <t>PaidInternship</t>
    </r>
    <r>
      <rPr>
        <sz val="10"/>
        <color theme="1"/>
        <rFont val="Calibri"/>
        <family val="2"/>
        <scheme val="minor"/>
      </rPr>
      <t xml:space="preserve"> - Paid internship
</t>
    </r>
    <r>
      <rPr>
        <b/>
        <sz val="10"/>
        <color theme="1"/>
        <rFont val="Calibri"/>
        <family val="2"/>
        <scheme val="minor"/>
      </rPr>
      <t>ServiceLearning</t>
    </r>
    <r>
      <rPr>
        <sz val="10"/>
        <color theme="1"/>
        <rFont val="Calibri"/>
        <family val="2"/>
        <scheme val="minor"/>
      </rPr>
      <t xml:space="preserve"> - Service learning
</t>
    </r>
    <r>
      <rPr>
        <b/>
        <sz val="10"/>
        <color theme="1"/>
        <rFont val="Calibri"/>
        <family val="2"/>
        <scheme val="minor"/>
      </rPr>
      <t>SupervisedAgricultural</t>
    </r>
    <r>
      <rPr>
        <sz val="10"/>
        <color theme="1"/>
        <rFont val="Calibri"/>
        <family val="2"/>
        <scheme val="minor"/>
      </rPr>
      <t xml:space="preserve"> - Supervised agricultural experience
</t>
    </r>
    <r>
      <rPr>
        <b/>
        <sz val="10"/>
        <color theme="1"/>
        <rFont val="Calibri"/>
        <family val="2"/>
        <scheme val="minor"/>
      </rPr>
      <t>UnpaidInternship</t>
    </r>
    <r>
      <rPr>
        <sz val="10"/>
        <color theme="1"/>
        <rFont val="Calibri"/>
        <family val="2"/>
        <scheme val="minor"/>
      </rPr>
      <t xml:space="preserve"> - Unpaid internship
</t>
    </r>
    <r>
      <rPr>
        <b/>
        <sz val="10"/>
        <color theme="1"/>
        <rFont val="Calibri"/>
        <family val="2"/>
        <scheme val="minor"/>
      </rPr>
      <t>Other</t>
    </r>
    <r>
      <rPr>
        <sz val="10"/>
        <color theme="1"/>
        <rFont val="Calibri"/>
        <family val="2"/>
        <scheme val="minor"/>
      </rPr>
      <t xml:space="preserve"> - Other
</t>
    </r>
  </si>
  <si>
    <t>Adult Education -&gt; Course Section
Career and Technical -&gt; Course Section
Career and Technical -&gt; CTE Student -&gt; Program Participation
K12 -&gt; K12 Course
K12 -&gt; K12 Student -&gt; Program
Postsecondary -&gt; Course Section
Postsecondary -&gt; PS Student -&gt; Program Participation</t>
  </si>
  <si>
    <t>001499</t>
  </si>
  <si>
    <t>WorkBasedLearningOpportunityType</t>
  </si>
  <si>
    <t>Workforce Program Participation End Date</t>
  </si>
  <si>
    <t>The year, month, and day of the last day of the reference period during which data are matched between education and workforce data sources.</t>
  </si>
  <si>
    <t>Workforce -&gt; Workforce Program Participant -&gt; Program Participation</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</si>
  <si>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</si>
  <si>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</si>
  <si>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</si>
  <si>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</si>
  <si>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</si>
  <si>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</si>
  <si>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</si>
  <si>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Workforce Program Type</t>
  </si>
  <si>
    <t>The type of workforce and employment development program that an individual is participating in.</t>
  </si>
  <si>
    <r>
      <t>01</t>
    </r>
    <r>
      <rPr>
        <sz val="10"/>
        <color theme="1"/>
        <rFont val="Calibri"/>
        <family val="2"/>
        <scheme val="minor"/>
      </rPr>
      <t xml:space="preserve"> - Labor Exchange Services
</t>
    </r>
    <r>
      <rPr>
        <b/>
        <sz val="10"/>
        <color theme="1"/>
        <rFont val="Calibri"/>
        <family val="2"/>
        <scheme val="minor"/>
      </rPr>
      <t>02</t>
    </r>
    <r>
      <rPr>
        <sz val="10"/>
        <color theme="1"/>
        <rFont val="Calibri"/>
        <family val="2"/>
        <scheme val="minor"/>
      </rPr>
      <t xml:space="preserve"> - Adult Workforce Investment Act Program
</t>
    </r>
    <r>
      <rPr>
        <b/>
        <sz val="10"/>
        <color theme="1"/>
        <rFont val="Calibri"/>
        <family val="2"/>
        <scheme val="minor"/>
      </rPr>
      <t>03</t>
    </r>
    <r>
      <rPr>
        <sz val="10"/>
        <color theme="1"/>
        <rFont val="Calibri"/>
        <family val="2"/>
        <scheme val="minor"/>
      </rPr>
      <t xml:space="preserve"> - Dislocated Worker Workforce Investment Act Program
</t>
    </r>
    <r>
      <rPr>
        <b/>
        <sz val="10"/>
        <color theme="1"/>
        <rFont val="Calibri"/>
        <family val="2"/>
        <scheme val="minor"/>
      </rPr>
      <t>04</t>
    </r>
    <r>
      <rPr>
        <sz val="10"/>
        <color theme="1"/>
        <rFont val="Calibri"/>
        <family val="2"/>
        <scheme val="minor"/>
      </rPr>
      <t xml:space="preserve"> - Youth Workforce Investment Act Program
</t>
    </r>
    <r>
      <rPr>
        <b/>
        <sz val="10"/>
        <color theme="1"/>
        <rFont val="Calibri"/>
        <family val="2"/>
        <scheme val="minor"/>
      </rPr>
      <t>05</t>
    </r>
    <r>
      <rPr>
        <sz val="10"/>
        <color theme="1"/>
        <rFont val="Calibri"/>
        <family val="2"/>
        <scheme val="minor"/>
      </rPr>
      <t xml:space="preserve"> - Job Corps
</t>
    </r>
    <r>
      <rPr>
        <b/>
        <sz val="10"/>
        <color theme="1"/>
        <rFont val="Calibri"/>
        <family val="2"/>
        <scheme val="minor"/>
      </rPr>
      <t>06</t>
    </r>
    <r>
      <rPr>
        <sz val="10"/>
        <color theme="1"/>
        <rFont val="Calibri"/>
        <family val="2"/>
        <scheme val="minor"/>
      </rPr>
      <t xml:space="preserve"> - Adult Education and Literacy
</t>
    </r>
    <r>
      <rPr>
        <b/>
        <sz val="10"/>
        <color theme="1"/>
        <rFont val="Calibri"/>
        <family val="2"/>
        <scheme val="minor"/>
      </rPr>
      <t>07</t>
    </r>
    <r>
      <rPr>
        <sz val="10"/>
        <color theme="1"/>
        <rFont val="Calibri"/>
        <family val="2"/>
        <scheme val="minor"/>
      </rPr>
      <t xml:space="preserve"> - National Farmworker Jobs Program
</t>
    </r>
    <r>
      <rPr>
        <b/>
        <sz val="10"/>
        <color theme="1"/>
        <rFont val="Calibri"/>
        <family val="2"/>
        <scheme val="minor"/>
      </rPr>
      <t>08</t>
    </r>
    <r>
      <rPr>
        <sz val="10"/>
        <color theme="1"/>
        <rFont val="Calibri"/>
        <family val="2"/>
        <scheme val="minor"/>
      </rPr>
      <t xml:space="preserve"> - Indian and Native American Programs
</t>
    </r>
    <r>
      <rPr>
        <b/>
        <sz val="10"/>
        <color theme="1"/>
        <rFont val="Calibri"/>
        <family val="2"/>
        <scheme val="minor"/>
      </rPr>
      <t>09</t>
    </r>
    <r>
      <rPr>
        <sz val="10"/>
        <color theme="1"/>
        <rFont val="Calibri"/>
        <family val="2"/>
        <scheme val="minor"/>
      </rPr>
      <t xml:space="preserve"> - Veteran's Programs
</t>
    </r>
    <r>
      <rPr>
        <b/>
        <sz val="10"/>
        <color theme="1"/>
        <rFont val="Calibri"/>
        <family val="2"/>
        <scheme val="minor"/>
      </rPr>
      <t>10</t>
    </r>
    <r>
      <rPr>
        <sz val="10"/>
        <color theme="1"/>
        <rFont val="Calibri"/>
        <family val="2"/>
        <scheme val="minor"/>
      </rPr>
      <t xml:space="preserve"> - Trade Adjustment Assistance Program
</t>
    </r>
    <r>
      <rPr>
        <b/>
        <sz val="10"/>
        <color theme="1"/>
        <rFont val="Calibri"/>
        <family val="2"/>
        <scheme val="minor"/>
      </rPr>
      <t>11</t>
    </r>
    <r>
      <rPr>
        <sz val="10"/>
        <color theme="1"/>
        <rFont val="Calibri"/>
        <family val="2"/>
        <scheme val="minor"/>
      </rPr>
      <t xml:space="preserve"> - YouthBuild Program
</t>
    </r>
    <r>
      <rPr>
        <b/>
        <sz val="10"/>
        <color theme="1"/>
        <rFont val="Calibri"/>
        <family val="2"/>
        <scheme val="minor"/>
      </rPr>
      <t>12</t>
    </r>
    <r>
      <rPr>
        <sz val="10"/>
        <color theme="1"/>
        <rFont val="Calibri"/>
        <family val="2"/>
        <scheme val="minor"/>
      </rPr>
      <t xml:space="preserve"> - Title V Older Worker Program
</t>
    </r>
    <r>
      <rPr>
        <b/>
        <sz val="10"/>
        <color theme="1"/>
        <rFont val="Calibri"/>
        <family val="2"/>
        <scheme val="minor"/>
      </rPr>
      <t>13</t>
    </r>
    <r>
      <rPr>
        <sz val="10"/>
        <color theme="1"/>
        <rFont val="Calibri"/>
        <family val="2"/>
        <scheme val="minor"/>
      </rPr>
      <t xml:space="preserve"> - Registered Apprenticeship
</t>
    </r>
    <r>
      <rPr>
        <b/>
        <sz val="10"/>
        <color theme="1"/>
        <rFont val="Calibri"/>
        <family val="2"/>
        <scheme val="minor"/>
      </rPr>
      <t>14</t>
    </r>
    <r>
      <rPr>
        <sz val="10"/>
        <color theme="1"/>
        <rFont val="Calibri"/>
        <family val="2"/>
        <scheme val="minor"/>
      </rPr>
      <t xml:space="preserve"> - Non-traditional Apprenticeship
</t>
    </r>
    <r>
      <rPr>
        <b/>
        <sz val="10"/>
        <color theme="1"/>
        <rFont val="Calibri"/>
        <family val="2"/>
        <scheme val="minor"/>
      </rPr>
      <t>15</t>
    </r>
    <r>
      <rPr>
        <sz val="10"/>
        <color theme="1"/>
        <rFont val="Calibri"/>
        <family val="2"/>
        <scheme val="minor"/>
      </rPr>
      <t xml:space="preserve"> - Vocational Rehabilitation
</t>
    </r>
    <r>
      <rPr>
        <b/>
        <sz val="10"/>
        <color theme="1"/>
        <rFont val="Calibri"/>
        <family val="2"/>
        <scheme val="minor"/>
      </rPr>
      <t>16</t>
    </r>
    <r>
      <rPr>
        <sz val="10"/>
        <color theme="1"/>
        <rFont val="Calibri"/>
        <family val="2"/>
        <scheme val="minor"/>
      </rPr>
      <t xml:space="preserve"> - Food Stamp Employment and Training Program
</t>
    </r>
    <r>
      <rPr>
        <b/>
        <sz val="10"/>
        <color theme="1"/>
        <rFont val="Calibri"/>
        <family val="2"/>
        <scheme val="minor"/>
      </rPr>
      <t>17</t>
    </r>
    <r>
      <rPr>
        <sz val="10"/>
        <color theme="1"/>
        <rFont val="Calibri"/>
        <family val="2"/>
        <scheme val="minor"/>
      </rPr>
      <t xml:space="preserve"> - TANF Employment and Training Program
</t>
    </r>
    <r>
      <rPr>
        <b/>
        <sz val="10"/>
        <color theme="1"/>
        <rFont val="Calibri"/>
        <family val="2"/>
        <scheme val="minor"/>
      </rPr>
      <t>18</t>
    </r>
    <r>
      <rPr>
        <sz val="10"/>
        <color theme="1"/>
        <rFont val="Calibri"/>
        <family val="2"/>
        <scheme val="minor"/>
      </rPr>
      <t xml:space="preserve"> - Other On-The-Job training Program
</t>
    </r>
    <r>
      <rPr>
        <b/>
        <sz val="10"/>
        <color theme="1"/>
        <rFont val="Calibri"/>
        <family val="2"/>
        <scheme val="minor"/>
      </rPr>
      <t>19</t>
    </r>
    <r>
      <rPr>
        <sz val="10"/>
        <color theme="1"/>
        <rFont val="Calibri"/>
        <family val="2"/>
        <scheme val="minor"/>
      </rPr>
      <t xml:space="preserve"> - Other Workforce Related Employment and Training Program
</t>
    </r>
    <r>
      <rPr>
        <b/>
        <sz val="10"/>
        <color theme="1"/>
        <rFont val="Calibri"/>
        <family val="2"/>
        <scheme val="minor"/>
      </rPr>
      <t>99</t>
    </r>
    <r>
      <rPr>
        <sz val="10"/>
        <color theme="1"/>
        <rFont val="Calibri"/>
        <family val="2"/>
        <scheme val="minor"/>
      </rPr>
      <t xml:space="preserve"> - No identified services
</t>
    </r>
  </si>
  <si>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</si>
  <si>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000997</t>
  </si>
  <si>
    <t>WorkforceProgramType</t>
  </si>
  <si>
    <t>Years of Prior Adult Education Teaching Experience</t>
  </si>
  <si>
    <t>The total number of years that a person has previously held a teaching position in one or more adult education programs.</t>
  </si>
  <si>
    <t>Adult Education -&gt; AE Staff -&gt; Experience</t>
  </si>
  <si>
    <t>000788</t>
  </si>
  <si>
    <t>YearsofPriorAETeachingExperience</t>
  </si>
  <si>
    <t>Years of Prior Teaching Experience</t>
  </si>
  <si>
    <t>The total number of years prior to this job that a person has previously held a teaching position in one or more education institutions.</t>
  </si>
  <si>
    <t>000302</t>
  </si>
  <si>
    <t>YearsOfPriorTeachingExperience</t>
  </si>
  <si>
    <t>Marked "Assessment Result Included in Adequate Yearly Progress Calculation" as "Removed". The element was effectively removed in version 6 and has had no DES context since then.</t>
  </si>
  <si>
    <t>An indication of whether the assignment is the staff member's primary assignment.</t>
  </si>
  <si>
    <t>Corrected typo; removed "this" before "the staff" in the definition.</t>
  </si>
  <si>
    <t>CIP codes are available at: https://nces.ed.gov/ipeds/cipcode/browse.aspx?y=55.</t>
  </si>
  <si>
    <t>See URL column</t>
  </si>
  <si>
    <t>Career and Technical -&gt; CTE Student -&gt; Status (added)
Early Learning -&gt; EL Child -&gt; Status (added)
K12 -&gt; K12 Student -&gt; Status (added)
Postsecondary -&gt; PS Student -&gt; Status (added)</t>
  </si>
  <si>
    <t>Early Learning</t>
  </si>
  <si>
    <t>EL Organization</t>
  </si>
  <si>
    <t>No</t>
  </si>
  <si>
    <r>
      <t>Active</t>
    </r>
    <r>
      <rPr>
        <sz val="11"/>
        <color theme="1"/>
        <rFont val="Calibri"/>
        <family val="2"/>
        <scheme val="minor"/>
      </rPr>
      <t xml:space="preserve"> - Active
</t>
    </r>
    <r>
      <rPr>
        <b/>
        <sz val="11"/>
        <color theme="1"/>
        <rFont val="Calibri"/>
        <family val="2"/>
        <scheme val="minor"/>
      </rPr>
      <t>Inactive</t>
    </r>
    <r>
      <rPr>
        <sz val="11"/>
        <color theme="1"/>
        <rFont val="Calibri"/>
        <family val="2"/>
        <scheme val="minor"/>
      </rPr>
      <t xml:space="preserve"> - Inactive
</t>
    </r>
  </si>
  <si>
    <t>Identification</t>
  </si>
  <si>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FEIN</t>
    </r>
    <r>
      <rPr>
        <sz val="11"/>
        <color theme="1"/>
        <rFont val="Calibri"/>
        <family val="2"/>
        <scheme val="minor"/>
      </rPr>
      <t xml:space="preserve"> - Federal employer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LicenseNumber</t>
    </r>
    <r>
      <rPr>
        <sz val="11"/>
        <color theme="1"/>
        <rFont val="Calibri"/>
        <family val="2"/>
        <scheme val="minor"/>
      </rPr>
      <t xml:space="preserve"> - License Number
</t>
    </r>
    <r>
      <rPr>
        <b/>
        <sz val="11"/>
        <color theme="1"/>
        <rFont val="Calibri"/>
        <family val="2"/>
        <scheme val="minor"/>
      </rPr>
      <t>Other</t>
    </r>
    <r>
      <rPr>
        <sz val="11"/>
        <color theme="1"/>
        <rFont val="Calibri"/>
        <family val="2"/>
        <scheme val="minor"/>
      </rPr>
      <t xml:space="preserve"> - Other
</t>
    </r>
  </si>
  <si>
    <r>
      <t>Employer</t>
    </r>
    <r>
      <rPr>
        <sz val="11"/>
        <color theme="1"/>
        <rFont val="Calibri"/>
        <family val="2"/>
        <scheme val="minor"/>
      </rPr>
      <t xml:space="preserve"> - Employer
</t>
    </r>
    <r>
      <rPr>
        <b/>
        <sz val="11"/>
        <color theme="1"/>
        <rFont val="Calibri"/>
        <family val="2"/>
        <scheme val="minor"/>
      </rPr>
      <t>K12School</t>
    </r>
    <r>
      <rPr>
        <sz val="11"/>
        <color theme="1"/>
        <rFont val="Calibri"/>
        <family val="2"/>
        <scheme val="minor"/>
      </rPr>
      <t xml:space="preserve"> - K12 School
</t>
    </r>
    <r>
      <rPr>
        <b/>
        <sz val="11"/>
        <color theme="1"/>
        <rFont val="Calibri"/>
        <family val="2"/>
        <scheme val="minor"/>
      </rPr>
      <t>LEA</t>
    </r>
    <r>
      <rPr>
        <sz val="11"/>
        <color theme="1"/>
        <rFont val="Calibri"/>
        <family val="2"/>
        <scheme val="minor"/>
      </rPr>
      <t xml:space="preserve"> - Local Education Agency (LEA)
</t>
    </r>
    <r>
      <rPr>
        <b/>
        <sz val="11"/>
        <color theme="1"/>
        <rFont val="Calibri"/>
        <family val="2"/>
        <scheme val="minor"/>
      </rPr>
      <t>IEU</t>
    </r>
    <r>
      <rPr>
        <sz val="11"/>
        <color theme="1"/>
        <rFont val="Calibri"/>
        <family val="2"/>
        <scheme val="minor"/>
      </rPr>
      <t xml:space="preserve"> - Intermediate Educational Unit (IEU)
</t>
    </r>
    <r>
      <rPr>
        <b/>
        <sz val="11"/>
        <color theme="1"/>
        <rFont val="Calibri"/>
        <family val="2"/>
        <scheme val="minor"/>
      </rPr>
      <t>SEA</t>
    </r>
    <r>
      <rPr>
        <sz val="11"/>
        <color theme="1"/>
        <rFont val="Calibri"/>
        <family val="2"/>
        <scheme val="minor"/>
      </rPr>
      <t xml:space="preserve"> - State Education Agency (SEA)
</t>
    </r>
    <r>
      <rPr>
        <b/>
        <sz val="11"/>
        <color theme="1"/>
        <rFont val="Calibri"/>
        <family val="2"/>
        <scheme val="minor"/>
      </rPr>
      <t>Recruiter</t>
    </r>
    <r>
      <rPr>
        <sz val="11"/>
        <color theme="1"/>
        <rFont val="Calibri"/>
        <family val="2"/>
        <scheme val="minor"/>
      </rPr>
      <t xml:space="preserve"> - Recruiter
</t>
    </r>
    <r>
      <rPr>
        <b/>
        <sz val="11"/>
        <color theme="1"/>
        <rFont val="Calibri"/>
        <family val="2"/>
        <scheme val="minor"/>
      </rPr>
      <t>EmployeeBenefitCarrier</t>
    </r>
    <r>
      <rPr>
        <sz val="11"/>
        <color theme="1"/>
        <rFont val="Calibri"/>
        <family val="2"/>
        <scheme val="minor"/>
      </rPr>
      <t xml:space="preserve"> - Employee Benefit Carrier
</t>
    </r>
    <r>
      <rPr>
        <b/>
        <sz val="11"/>
        <color theme="1"/>
        <rFont val="Calibri"/>
        <family val="2"/>
        <scheme val="minor"/>
      </rPr>
      <t>EmployeeBenefitContributor</t>
    </r>
    <r>
      <rPr>
        <sz val="11"/>
        <color theme="1"/>
        <rFont val="Calibri"/>
        <family val="2"/>
        <scheme val="minor"/>
      </rPr>
      <t xml:space="preserve"> - Employee Benefit Contributor
</t>
    </r>
    <r>
      <rPr>
        <b/>
        <sz val="11"/>
        <color theme="1"/>
        <rFont val="Calibri"/>
        <family val="2"/>
        <scheme val="minor"/>
      </rPr>
      <t>ProfessionalMembershipOrganization</t>
    </r>
    <r>
      <rPr>
        <sz val="11"/>
        <color theme="1"/>
        <rFont val="Calibri"/>
        <family val="2"/>
        <scheme val="minor"/>
      </rPr>
      <t xml:space="preserve"> - Professional Membership Organization
</t>
    </r>
    <r>
      <rPr>
        <b/>
        <sz val="11"/>
        <color theme="1"/>
        <rFont val="Calibri"/>
        <family val="2"/>
        <scheme val="minor"/>
      </rPr>
      <t>EducationInstitution</t>
    </r>
    <r>
      <rPr>
        <sz val="11"/>
        <color theme="1"/>
        <rFont val="Calibri"/>
        <family val="2"/>
        <scheme val="minor"/>
      </rPr>
      <t xml:space="preserve"> - Education Institution
</t>
    </r>
    <r>
      <rPr>
        <b/>
        <sz val="11"/>
        <color theme="1"/>
        <rFont val="Calibri"/>
        <family val="2"/>
        <scheme val="minor"/>
      </rPr>
      <t>StaffDevelopmentProvider</t>
    </r>
    <r>
      <rPr>
        <sz val="11"/>
        <color theme="1"/>
        <rFont val="Calibri"/>
        <family val="2"/>
        <scheme val="minor"/>
      </rPr>
      <t xml:space="preserve"> - Staff Development Provider
</t>
    </r>
    <r>
      <rPr>
        <b/>
        <sz val="11"/>
        <color theme="1"/>
        <rFont val="Calibri"/>
        <family val="2"/>
        <scheme val="minor"/>
      </rPr>
      <t>Facility</t>
    </r>
    <r>
      <rPr>
        <sz val="11"/>
        <color theme="1"/>
        <rFont val="Calibri"/>
        <family val="2"/>
        <scheme val="minor"/>
      </rPr>
      <t xml:space="preserve"> - Facility
</t>
    </r>
    <r>
      <rPr>
        <b/>
        <sz val="11"/>
        <color theme="1"/>
        <rFont val="Calibri"/>
        <family val="2"/>
        <scheme val="minor"/>
      </rPr>
      <t>Course</t>
    </r>
    <r>
      <rPr>
        <sz val="11"/>
        <color theme="1"/>
        <rFont val="Calibri"/>
        <family val="2"/>
        <scheme val="minor"/>
      </rPr>
      <t xml:space="preserve"> - Course
</t>
    </r>
    <r>
      <rPr>
        <b/>
        <sz val="11"/>
        <color theme="1"/>
        <rFont val="Calibri"/>
        <family val="2"/>
        <scheme val="minor"/>
      </rPr>
      <t>CourseSection</t>
    </r>
    <r>
      <rPr>
        <sz val="11"/>
        <color theme="1"/>
        <rFont val="Calibri"/>
        <family val="2"/>
        <scheme val="minor"/>
      </rPr>
      <t xml:space="preserve"> - Course Section
</t>
    </r>
    <r>
      <rPr>
        <b/>
        <sz val="11"/>
        <color theme="1"/>
        <rFont val="Calibri"/>
        <family val="2"/>
        <scheme val="minor"/>
      </rPr>
      <t>Program</t>
    </r>
    <r>
      <rPr>
        <sz val="11"/>
        <color theme="1"/>
        <rFont val="Calibri"/>
        <family val="2"/>
        <scheme val="minor"/>
      </rPr>
      <t xml:space="preserve"> - Program
</t>
    </r>
    <r>
      <rPr>
        <b/>
        <sz val="11"/>
        <color theme="1"/>
        <rFont val="Calibri"/>
        <family val="2"/>
        <scheme val="minor"/>
      </rPr>
      <t>PostsecondaryInstitution</t>
    </r>
    <r>
      <rPr>
        <sz val="11"/>
        <color theme="1"/>
        <rFont val="Calibri"/>
        <family val="2"/>
        <scheme val="minor"/>
      </rPr>
      <t xml:space="preserve"> - Postsecondary Institution
</t>
    </r>
    <r>
      <rPr>
        <b/>
        <sz val="11"/>
        <color theme="1"/>
        <rFont val="Calibri"/>
        <family val="2"/>
        <scheme val="minor"/>
      </rPr>
      <t>AdultEducationProvider</t>
    </r>
    <r>
      <rPr>
        <sz val="11"/>
        <color theme="1"/>
        <rFont val="Calibri"/>
        <family val="2"/>
        <scheme val="minor"/>
      </rPr>
      <t xml:space="preserve"> - Adult Education Provider
</t>
    </r>
    <r>
      <rPr>
        <b/>
        <sz val="11"/>
        <color theme="1"/>
        <rFont val="Calibri"/>
        <family val="2"/>
        <scheme val="minor"/>
      </rPr>
      <t>ServiceProvider</t>
    </r>
    <r>
      <rPr>
        <sz val="11"/>
        <color theme="1"/>
        <rFont val="Calibri"/>
        <family val="2"/>
        <scheme val="minor"/>
      </rPr>
      <t xml:space="preserve"> - Service Provider
</t>
    </r>
    <r>
      <rPr>
        <b/>
        <sz val="11"/>
        <color theme="1"/>
        <rFont val="Calibri"/>
        <family val="2"/>
        <scheme val="minor"/>
      </rPr>
      <t>AffiliatedInstitution</t>
    </r>
    <r>
      <rPr>
        <sz val="11"/>
        <color theme="1"/>
        <rFont val="Calibri"/>
        <family val="2"/>
        <scheme val="minor"/>
      </rPr>
      <t xml:space="preserve"> - Affiliated Institution
</t>
    </r>
    <r>
      <rPr>
        <b/>
        <sz val="11"/>
        <color theme="1"/>
        <rFont val="Calibri"/>
        <family val="2"/>
        <scheme val="minor"/>
      </rPr>
      <t>GoverningBoard</t>
    </r>
    <r>
      <rPr>
        <sz val="11"/>
        <color theme="1"/>
        <rFont val="Calibri"/>
        <family val="2"/>
        <scheme val="minor"/>
      </rPr>
      <t xml:space="preserve"> - Governing Board
</t>
    </r>
    <r>
      <rPr>
        <b/>
        <sz val="11"/>
        <color theme="1"/>
        <rFont val="Calibri"/>
        <family val="2"/>
        <scheme val="minor"/>
      </rPr>
      <t>CredentialingOrganization</t>
    </r>
    <r>
      <rPr>
        <sz val="11"/>
        <color theme="1"/>
        <rFont val="Calibri"/>
        <family val="2"/>
        <scheme val="minor"/>
      </rPr>
      <t xml:space="preserve"> - Credentialing Organization
</t>
    </r>
    <r>
      <rPr>
        <b/>
        <sz val="11"/>
        <color theme="1"/>
        <rFont val="Calibri"/>
        <family val="2"/>
        <scheme val="minor"/>
      </rPr>
      <t>AccreditingOrganization</t>
    </r>
    <r>
      <rPr>
        <sz val="11"/>
        <color theme="1"/>
        <rFont val="Calibri"/>
        <family val="2"/>
        <scheme val="minor"/>
      </rPr>
      <t xml:space="preserve"> - Accrediting Organization
</t>
    </r>
    <r>
      <rPr>
        <b/>
        <sz val="11"/>
        <color theme="1"/>
        <rFont val="Calibri"/>
        <family val="2"/>
        <scheme val="minor"/>
      </rPr>
      <t>EducationOrganizationNetwork</t>
    </r>
    <r>
      <rPr>
        <sz val="11"/>
        <color theme="1"/>
        <rFont val="Calibri"/>
        <family val="2"/>
        <scheme val="minor"/>
      </rPr>
      <t xml:space="preserve"> - Education Organization Network
</t>
    </r>
    <r>
      <rPr>
        <b/>
        <sz val="11"/>
        <color theme="1"/>
        <rFont val="Calibri"/>
        <family val="2"/>
        <scheme val="minor"/>
      </rPr>
      <t>IDEAPartCLeadAgency</t>
    </r>
    <r>
      <rPr>
        <sz val="11"/>
        <color theme="1"/>
        <rFont val="Calibri"/>
        <family val="2"/>
        <scheme val="minor"/>
      </rPr>
      <t xml:space="preserve"> - IDEA Part C Lead Agency
</t>
    </r>
    <r>
      <rPr>
        <b/>
        <sz val="11"/>
        <color theme="1"/>
        <rFont val="Calibri"/>
        <family val="2"/>
        <scheme val="minor"/>
      </rPr>
      <t>CharterSchoolManagementOrganization</t>
    </r>
    <r>
      <rPr>
        <sz val="11"/>
        <color theme="1"/>
        <rFont val="Calibri"/>
        <family val="2"/>
        <scheme val="minor"/>
      </rPr>
      <t xml:space="preserve"> - Charter School Management Organization
</t>
    </r>
    <r>
      <rPr>
        <b/>
        <sz val="11"/>
        <color theme="1"/>
        <rFont val="Calibri"/>
        <family val="2"/>
        <scheme val="minor"/>
      </rPr>
      <t>CharterSchoolAuthorizingOrganization</t>
    </r>
    <r>
      <rPr>
        <sz val="11"/>
        <color theme="1"/>
        <rFont val="Calibri"/>
        <family val="2"/>
        <scheme val="minor"/>
      </rPr>
      <t xml:space="preserve"> - Charter School Authorizing Organization
</t>
    </r>
    <r>
      <rPr>
        <b/>
        <sz val="11"/>
        <color theme="1"/>
        <rFont val="Calibri"/>
        <family val="2"/>
        <scheme val="minor"/>
      </rPr>
      <t>EmergencyResponseAgency</t>
    </r>
    <r>
      <rPr>
        <sz val="11"/>
        <color theme="1"/>
        <rFont val="Calibri"/>
        <family val="2"/>
        <scheme val="minor"/>
      </rPr>
      <t xml:space="preserve"> - Emergency Response Agency
</t>
    </r>
    <r>
      <rPr>
        <b/>
        <sz val="11"/>
        <color theme="1"/>
        <rFont val="Calibri"/>
        <family val="2"/>
        <scheme val="minor"/>
      </rPr>
      <t>EarlyCollege</t>
    </r>
    <r>
      <rPr>
        <sz val="11"/>
        <color theme="1"/>
        <rFont val="Calibri"/>
        <family val="2"/>
        <scheme val="minor"/>
      </rPr>
      <t xml:space="preserve"> - Early College
</t>
    </r>
  </si>
  <si>
    <r>
      <t>01</t>
    </r>
    <r>
      <rPr>
        <sz val="11"/>
        <color theme="1"/>
        <rFont val="Calibri"/>
        <family val="2"/>
        <scheme val="minor"/>
      </rPr>
      <t xml:space="preserve"> - Alabama
</t>
    </r>
    <r>
      <rPr>
        <b/>
        <sz val="11"/>
        <color theme="1"/>
        <rFont val="Calibri"/>
        <family val="2"/>
        <scheme val="minor"/>
      </rPr>
      <t>02</t>
    </r>
    <r>
      <rPr>
        <sz val="11"/>
        <color theme="1"/>
        <rFont val="Calibri"/>
        <family val="2"/>
        <scheme val="minor"/>
      </rPr>
      <t xml:space="preserve"> - Alaska
</t>
    </r>
    <r>
      <rPr>
        <b/>
        <sz val="11"/>
        <color theme="1"/>
        <rFont val="Calibri"/>
        <family val="2"/>
        <scheme val="minor"/>
      </rPr>
      <t>04</t>
    </r>
    <r>
      <rPr>
        <sz val="11"/>
        <color theme="1"/>
        <rFont val="Calibri"/>
        <family val="2"/>
        <scheme val="minor"/>
      </rPr>
      <t xml:space="preserve"> - Arizona
</t>
    </r>
    <r>
      <rPr>
        <b/>
        <sz val="11"/>
        <color theme="1"/>
        <rFont val="Calibri"/>
        <family val="2"/>
        <scheme val="minor"/>
      </rPr>
      <t>05</t>
    </r>
    <r>
      <rPr>
        <sz val="11"/>
        <color theme="1"/>
        <rFont val="Calibri"/>
        <family val="2"/>
        <scheme val="minor"/>
      </rPr>
      <t xml:space="preserve"> - Arkansas
</t>
    </r>
    <r>
      <rPr>
        <b/>
        <sz val="11"/>
        <color theme="1"/>
        <rFont val="Calibri"/>
        <family val="2"/>
        <scheme val="minor"/>
      </rPr>
      <t>06</t>
    </r>
    <r>
      <rPr>
        <sz val="11"/>
        <color theme="1"/>
        <rFont val="Calibri"/>
        <family val="2"/>
        <scheme val="minor"/>
      </rPr>
      <t xml:space="preserve"> - California
</t>
    </r>
    <r>
      <rPr>
        <b/>
        <sz val="11"/>
        <color theme="1"/>
        <rFont val="Calibri"/>
        <family val="2"/>
        <scheme val="minor"/>
      </rPr>
      <t>08</t>
    </r>
    <r>
      <rPr>
        <sz val="11"/>
        <color theme="1"/>
        <rFont val="Calibri"/>
        <family val="2"/>
        <scheme val="minor"/>
      </rPr>
      <t xml:space="preserve"> - Colorado
</t>
    </r>
    <r>
      <rPr>
        <b/>
        <sz val="11"/>
        <color theme="1"/>
        <rFont val="Calibri"/>
        <family val="2"/>
        <scheme val="minor"/>
      </rPr>
      <t>09</t>
    </r>
    <r>
      <rPr>
        <sz val="11"/>
        <color theme="1"/>
        <rFont val="Calibri"/>
        <family val="2"/>
        <scheme val="minor"/>
      </rPr>
      <t xml:space="preserve"> - Connecticut
</t>
    </r>
    <r>
      <rPr>
        <b/>
        <sz val="11"/>
        <color theme="1"/>
        <rFont val="Calibri"/>
        <family val="2"/>
        <scheme val="minor"/>
      </rPr>
      <t>10</t>
    </r>
    <r>
      <rPr>
        <sz val="11"/>
        <color theme="1"/>
        <rFont val="Calibri"/>
        <family val="2"/>
        <scheme val="minor"/>
      </rPr>
      <t xml:space="preserve"> - Delaware
</t>
    </r>
    <r>
      <rPr>
        <b/>
        <sz val="11"/>
        <color theme="1"/>
        <rFont val="Calibri"/>
        <family val="2"/>
        <scheme val="minor"/>
      </rPr>
      <t>11</t>
    </r>
    <r>
      <rPr>
        <sz val="11"/>
        <color theme="1"/>
        <rFont val="Calibri"/>
        <family val="2"/>
        <scheme val="minor"/>
      </rPr>
      <t xml:space="preserve"> - District of Columbia
</t>
    </r>
    <r>
      <rPr>
        <b/>
        <sz val="11"/>
        <color theme="1"/>
        <rFont val="Calibri"/>
        <family val="2"/>
        <scheme val="minor"/>
      </rPr>
      <t>12</t>
    </r>
    <r>
      <rPr>
        <sz val="11"/>
        <color theme="1"/>
        <rFont val="Calibri"/>
        <family val="2"/>
        <scheme val="minor"/>
      </rPr>
      <t xml:space="preserve"> - Florida
</t>
    </r>
    <r>
      <rPr>
        <b/>
        <sz val="11"/>
        <color theme="1"/>
        <rFont val="Calibri"/>
        <family val="2"/>
        <scheme val="minor"/>
      </rPr>
      <t>13</t>
    </r>
    <r>
      <rPr>
        <sz val="11"/>
        <color theme="1"/>
        <rFont val="Calibri"/>
        <family val="2"/>
        <scheme val="minor"/>
      </rPr>
      <t xml:space="preserve"> - Georgia
</t>
    </r>
    <r>
      <rPr>
        <b/>
        <sz val="11"/>
        <color theme="1"/>
        <rFont val="Calibri"/>
        <family val="2"/>
        <scheme val="minor"/>
      </rPr>
      <t>15</t>
    </r>
    <r>
      <rPr>
        <sz val="11"/>
        <color theme="1"/>
        <rFont val="Calibri"/>
        <family val="2"/>
        <scheme val="minor"/>
      </rPr>
      <t xml:space="preserve"> - Hawaii
</t>
    </r>
    <r>
      <rPr>
        <b/>
        <sz val="11"/>
        <color theme="1"/>
        <rFont val="Calibri"/>
        <family val="2"/>
        <scheme val="minor"/>
      </rPr>
      <t>16</t>
    </r>
    <r>
      <rPr>
        <sz val="11"/>
        <color theme="1"/>
        <rFont val="Calibri"/>
        <family val="2"/>
        <scheme val="minor"/>
      </rPr>
      <t xml:space="preserve"> - Idaho
</t>
    </r>
    <r>
      <rPr>
        <b/>
        <sz val="11"/>
        <color theme="1"/>
        <rFont val="Calibri"/>
        <family val="2"/>
        <scheme val="minor"/>
      </rPr>
      <t>17</t>
    </r>
    <r>
      <rPr>
        <sz val="11"/>
        <color theme="1"/>
        <rFont val="Calibri"/>
        <family val="2"/>
        <scheme val="minor"/>
      </rPr>
      <t xml:space="preserve"> - Illinois
</t>
    </r>
    <r>
      <rPr>
        <b/>
        <sz val="11"/>
        <color theme="1"/>
        <rFont val="Calibri"/>
        <family val="2"/>
        <scheme val="minor"/>
      </rPr>
      <t>18</t>
    </r>
    <r>
      <rPr>
        <sz val="11"/>
        <color theme="1"/>
        <rFont val="Calibri"/>
        <family val="2"/>
        <scheme val="minor"/>
      </rPr>
      <t xml:space="preserve"> - Indiana
</t>
    </r>
    <r>
      <rPr>
        <b/>
        <sz val="11"/>
        <color theme="1"/>
        <rFont val="Calibri"/>
        <family val="2"/>
        <scheme val="minor"/>
      </rPr>
      <t>19</t>
    </r>
    <r>
      <rPr>
        <sz val="11"/>
        <color theme="1"/>
        <rFont val="Calibri"/>
        <family val="2"/>
        <scheme val="minor"/>
      </rPr>
      <t xml:space="preserve"> - Iowa
</t>
    </r>
    <r>
      <rPr>
        <b/>
        <sz val="11"/>
        <color theme="1"/>
        <rFont val="Calibri"/>
        <family val="2"/>
        <scheme val="minor"/>
      </rPr>
      <t>20</t>
    </r>
    <r>
      <rPr>
        <sz val="11"/>
        <color theme="1"/>
        <rFont val="Calibri"/>
        <family val="2"/>
        <scheme val="minor"/>
      </rPr>
      <t xml:space="preserve"> - Kansas 
</t>
    </r>
    <r>
      <rPr>
        <b/>
        <sz val="11"/>
        <color theme="1"/>
        <rFont val="Calibri"/>
        <family val="2"/>
        <scheme val="minor"/>
      </rPr>
      <t>21</t>
    </r>
    <r>
      <rPr>
        <sz val="11"/>
        <color theme="1"/>
        <rFont val="Calibri"/>
        <family val="2"/>
        <scheme val="minor"/>
      </rPr>
      <t xml:space="preserve"> - Kentucky
</t>
    </r>
    <r>
      <rPr>
        <b/>
        <sz val="11"/>
        <color theme="1"/>
        <rFont val="Calibri"/>
        <family val="2"/>
        <scheme val="minor"/>
      </rPr>
      <t>22</t>
    </r>
    <r>
      <rPr>
        <sz val="11"/>
        <color theme="1"/>
        <rFont val="Calibri"/>
        <family val="2"/>
        <scheme val="minor"/>
      </rPr>
      <t xml:space="preserve"> - Louisiana
</t>
    </r>
    <r>
      <rPr>
        <b/>
        <sz val="11"/>
        <color theme="1"/>
        <rFont val="Calibri"/>
        <family val="2"/>
        <scheme val="minor"/>
      </rPr>
      <t>23</t>
    </r>
    <r>
      <rPr>
        <sz val="11"/>
        <color theme="1"/>
        <rFont val="Calibri"/>
        <family val="2"/>
        <scheme val="minor"/>
      </rPr>
      <t xml:space="preserve"> - Maine
</t>
    </r>
    <r>
      <rPr>
        <b/>
        <sz val="11"/>
        <color theme="1"/>
        <rFont val="Calibri"/>
        <family val="2"/>
        <scheme val="minor"/>
      </rPr>
      <t>24</t>
    </r>
    <r>
      <rPr>
        <sz val="11"/>
        <color theme="1"/>
        <rFont val="Calibri"/>
        <family val="2"/>
        <scheme val="minor"/>
      </rPr>
      <t xml:space="preserve"> - Maryland
</t>
    </r>
    <r>
      <rPr>
        <b/>
        <sz val="11"/>
        <color theme="1"/>
        <rFont val="Calibri"/>
        <family val="2"/>
        <scheme val="minor"/>
      </rPr>
      <t>25</t>
    </r>
    <r>
      <rPr>
        <sz val="11"/>
        <color theme="1"/>
        <rFont val="Calibri"/>
        <family val="2"/>
        <scheme val="minor"/>
      </rPr>
      <t xml:space="preserve"> - Massachusetts
</t>
    </r>
    <r>
      <rPr>
        <b/>
        <sz val="11"/>
        <color theme="1"/>
        <rFont val="Calibri"/>
        <family val="2"/>
        <scheme val="minor"/>
      </rPr>
      <t>26</t>
    </r>
    <r>
      <rPr>
        <sz val="11"/>
        <color theme="1"/>
        <rFont val="Calibri"/>
        <family val="2"/>
        <scheme val="minor"/>
      </rPr>
      <t xml:space="preserve"> - Michigan
</t>
    </r>
    <r>
      <rPr>
        <b/>
        <sz val="11"/>
        <color theme="1"/>
        <rFont val="Calibri"/>
        <family val="2"/>
        <scheme val="minor"/>
      </rPr>
      <t>27</t>
    </r>
    <r>
      <rPr>
        <sz val="11"/>
        <color theme="1"/>
        <rFont val="Calibri"/>
        <family val="2"/>
        <scheme val="minor"/>
      </rPr>
      <t xml:space="preserve"> - Minnesota
</t>
    </r>
    <r>
      <rPr>
        <b/>
        <sz val="11"/>
        <color theme="1"/>
        <rFont val="Calibri"/>
        <family val="2"/>
        <scheme val="minor"/>
      </rPr>
      <t>28</t>
    </r>
    <r>
      <rPr>
        <sz val="11"/>
        <color theme="1"/>
        <rFont val="Calibri"/>
        <family val="2"/>
        <scheme val="minor"/>
      </rPr>
      <t xml:space="preserve"> - Mississippi
</t>
    </r>
    <r>
      <rPr>
        <b/>
        <sz val="11"/>
        <color theme="1"/>
        <rFont val="Calibri"/>
        <family val="2"/>
        <scheme val="minor"/>
      </rPr>
      <t>29</t>
    </r>
    <r>
      <rPr>
        <sz val="11"/>
        <color theme="1"/>
        <rFont val="Calibri"/>
        <family val="2"/>
        <scheme val="minor"/>
      </rPr>
      <t xml:space="preserve"> - Missouri
</t>
    </r>
    <r>
      <rPr>
        <b/>
        <sz val="11"/>
        <color theme="1"/>
        <rFont val="Calibri"/>
        <family val="2"/>
        <scheme val="minor"/>
      </rPr>
      <t>30</t>
    </r>
    <r>
      <rPr>
        <sz val="11"/>
        <color theme="1"/>
        <rFont val="Calibri"/>
        <family val="2"/>
        <scheme val="minor"/>
      </rPr>
      <t xml:space="preserve"> - Montana
</t>
    </r>
    <r>
      <rPr>
        <b/>
        <sz val="11"/>
        <color theme="1"/>
        <rFont val="Calibri"/>
        <family val="2"/>
        <scheme val="minor"/>
      </rPr>
      <t>31</t>
    </r>
    <r>
      <rPr>
        <sz val="11"/>
        <color theme="1"/>
        <rFont val="Calibri"/>
        <family val="2"/>
        <scheme val="minor"/>
      </rPr>
      <t xml:space="preserve"> - Nebraska
</t>
    </r>
    <r>
      <rPr>
        <b/>
        <sz val="11"/>
        <color theme="1"/>
        <rFont val="Calibri"/>
        <family val="2"/>
        <scheme val="minor"/>
      </rPr>
      <t>32</t>
    </r>
    <r>
      <rPr>
        <sz val="11"/>
        <color theme="1"/>
        <rFont val="Calibri"/>
        <family val="2"/>
        <scheme val="minor"/>
      </rPr>
      <t xml:space="preserve"> - Nevada
</t>
    </r>
    <r>
      <rPr>
        <b/>
        <sz val="11"/>
        <color theme="1"/>
        <rFont val="Calibri"/>
        <family val="2"/>
        <scheme val="minor"/>
      </rPr>
      <t>33</t>
    </r>
    <r>
      <rPr>
        <sz val="11"/>
        <color theme="1"/>
        <rFont val="Calibri"/>
        <family val="2"/>
        <scheme val="minor"/>
      </rPr>
      <t xml:space="preserve"> - New Hampshire
</t>
    </r>
    <r>
      <rPr>
        <b/>
        <sz val="11"/>
        <color theme="1"/>
        <rFont val="Calibri"/>
        <family val="2"/>
        <scheme val="minor"/>
      </rPr>
      <t>34</t>
    </r>
    <r>
      <rPr>
        <sz val="11"/>
        <color theme="1"/>
        <rFont val="Calibri"/>
        <family val="2"/>
        <scheme val="minor"/>
      </rPr>
      <t xml:space="preserve"> - New Jersey
</t>
    </r>
    <r>
      <rPr>
        <b/>
        <sz val="11"/>
        <color theme="1"/>
        <rFont val="Calibri"/>
        <family val="2"/>
        <scheme val="minor"/>
      </rPr>
      <t>35</t>
    </r>
    <r>
      <rPr>
        <sz val="11"/>
        <color theme="1"/>
        <rFont val="Calibri"/>
        <family val="2"/>
        <scheme val="minor"/>
      </rPr>
      <t xml:space="preserve"> - New Mexico
</t>
    </r>
    <r>
      <rPr>
        <b/>
        <sz val="11"/>
        <color theme="1"/>
        <rFont val="Calibri"/>
        <family val="2"/>
        <scheme val="minor"/>
      </rPr>
      <t>36</t>
    </r>
    <r>
      <rPr>
        <sz val="11"/>
        <color theme="1"/>
        <rFont val="Calibri"/>
        <family val="2"/>
        <scheme val="minor"/>
      </rPr>
      <t xml:space="preserve"> - New York
</t>
    </r>
    <r>
      <rPr>
        <b/>
        <sz val="11"/>
        <color theme="1"/>
        <rFont val="Calibri"/>
        <family val="2"/>
        <scheme val="minor"/>
      </rPr>
      <t>37</t>
    </r>
    <r>
      <rPr>
        <sz val="11"/>
        <color theme="1"/>
        <rFont val="Calibri"/>
        <family val="2"/>
        <scheme val="minor"/>
      </rPr>
      <t xml:space="preserve"> - North Carolina
</t>
    </r>
    <r>
      <rPr>
        <b/>
        <sz val="11"/>
        <color theme="1"/>
        <rFont val="Calibri"/>
        <family val="2"/>
        <scheme val="minor"/>
      </rPr>
      <t>38</t>
    </r>
    <r>
      <rPr>
        <sz val="11"/>
        <color theme="1"/>
        <rFont val="Calibri"/>
        <family val="2"/>
        <scheme val="minor"/>
      </rPr>
      <t xml:space="preserve"> - North Dakota
</t>
    </r>
    <r>
      <rPr>
        <b/>
        <sz val="11"/>
        <color theme="1"/>
        <rFont val="Calibri"/>
        <family val="2"/>
        <scheme val="minor"/>
      </rPr>
      <t>39</t>
    </r>
    <r>
      <rPr>
        <sz val="11"/>
        <color theme="1"/>
        <rFont val="Calibri"/>
        <family val="2"/>
        <scheme val="minor"/>
      </rPr>
      <t xml:space="preserve"> - Ohio
</t>
    </r>
    <r>
      <rPr>
        <b/>
        <sz val="11"/>
        <color theme="1"/>
        <rFont val="Calibri"/>
        <family val="2"/>
        <scheme val="minor"/>
      </rPr>
      <t>40</t>
    </r>
    <r>
      <rPr>
        <sz val="11"/>
        <color theme="1"/>
        <rFont val="Calibri"/>
        <family val="2"/>
        <scheme val="minor"/>
      </rPr>
      <t xml:space="preserve"> - Oklahoma
</t>
    </r>
    <r>
      <rPr>
        <b/>
        <sz val="11"/>
        <color theme="1"/>
        <rFont val="Calibri"/>
        <family val="2"/>
        <scheme val="minor"/>
      </rPr>
      <t>41</t>
    </r>
    <r>
      <rPr>
        <sz val="11"/>
        <color theme="1"/>
        <rFont val="Calibri"/>
        <family val="2"/>
        <scheme val="minor"/>
      </rPr>
      <t xml:space="preserve"> - Oregon
</t>
    </r>
    <r>
      <rPr>
        <b/>
        <sz val="11"/>
        <color theme="1"/>
        <rFont val="Calibri"/>
        <family val="2"/>
        <scheme val="minor"/>
      </rPr>
      <t>42</t>
    </r>
    <r>
      <rPr>
        <sz val="11"/>
        <color theme="1"/>
        <rFont val="Calibri"/>
        <family val="2"/>
        <scheme val="minor"/>
      </rPr>
      <t xml:space="preserve"> - Pennsylvania
</t>
    </r>
    <r>
      <rPr>
        <b/>
        <sz val="11"/>
        <color theme="1"/>
        <rFont val="Calibri"/>
        <family val="2"/>
        <scheme val="minor"/>
      </rPr>
      <t>44</t>
    </r>
    <r>
      <rPr>
        <sz val="11"/>
        <color theme="1"/>
        <rFont val="Calibri"/>
        <family val="2"/>
        <scheme val="minor"/>
      </rPr>
      <t xml:space="preserve"> - Rhode Island
</t>
    </r>
    <r>
      <rPr>
        <b/>
        <sz val="11"/>
        <color theme="1"/>
        <rFont val="Calibri"/>
        <family val="2"/>
        <scheme val="minor"/>
      </rPr>
      <t>45</t>
    </r>
    <r>
      <rPr>
        <sz val="11"/>
        <color theme="1"/>
        <rFont val="Calibri"/>
        <family val="2"/>
        <scheme val="minor"/>
      </rPr>
      <t xml:space="preserve"> - South Carolina
</t>
    </r>
    <r>
      <rPr>
        <b/>
        <sz val="11"/>
        <color theme="1"/>
        <rFont val="Calibri"/>
        <family val="2"/>
        <scheme val="minor"/>
      </rPr>
      <t>46</t>
    </r>
    <r>
      <rPr>
        <sz val="11"/>
        <color theme="1"/>
        <rFont val="Calibri"/>
        <family val="2"/>
        <scheme val="minor"/>
      </rPr>
      <t xml:space="preserve"> - South Dakota
</t>
    </r>
    <r>
      <rPr>
        <b/>
        <sz val="11"/>
        <color theme="1"/>
        <rFont val="Calibri"/>
        <family val="2"/>
        <scheme val="minor"/>
      </rPr>
      <t>47</t>
    </r>
    <r>
      <rPr>
        <sz val="11"/>
        <color theme="1"/>
        <rFont val="Calibri"/>
        <family val="2"/>
        <scheme val="minor"/>
      </rPr>
      <t xml:space="preserve"> - Tennessee
</t>
    </r>
    <r>
      <rPr>
        <b/>
        <sz val="11"/>
        <color theme="1"/>
        <rFont val="Calibri"/>
        <family val="2"/>
        <scheme val="minor"/>
      </rPr>
      <t>48</t>
    </r>
    <r>
      <rPr>
        <sz val="11"/>
        <color theme="1"/>
        <rFont val="Calibri"/>
        <family val="2"/>
        <scheme val="minor"/>
      </rPr>
      <t xml:space="preserve"> - Texas
</t>
    </r>
    <r>
      <rPr>
        <b/>
        <sz val="11"/>
        <color theme="1"/>
        <rFont val="Calibri"/>
        <family val="2"/>
        <scheme val="minor"/>
      </rPr>
      <t>49</t>
    </r>
    <r>
      <rPr>
        <sz val="11"/>
        <color theme="1"/>
        <rFont val="Calibri"/>
        <family val="2"/>
        <scheme val="minor"/>
      </rPr>
      <t xml:space="preserve"> - Utah
</t>
    </r>
    <r>
      <rPr>
        <b/>
        <sz val="11"/>
        <color theme="1"/>
        <rFont val="Calibri"/>
        <family val="2"/>
        <scheme val="minor"/>
      </rPr>
      <t>50</t>
    </r>
    <r>
      <rPr>
        <sz val="11"/>
        <color theme="1"/>
        <rFont val="Calibri"/>
        <family val="2"/>
        <scheme val="minor"/>
      </rPr>
      <t xml:space="preserve"> - Vermont
</t>
    </r>
    <r>
      <rPr>
        <b/>
        <sz val="11"/>
        <color theme="1"/>
        <rFont val="Calibri"/>
        <family val="2"/>
        <scheme val="minor"/>
      </rPr>
      <t>51</t>
    </r>
    <r>
      <rPr>
        <sz val="11"/>
        <color theme="1"/>
        <rFont val="Calibri"/>
        <family val="2"/>
        <scheme val="minor"/>
      </rPr>
      <t xml:space="preserve"> - Virginia
</t>
    </r>
    <r>
      <rPr>
        <b/>
        <sz val="11"/>
        <color theme="1"/>
        <rFont val="Calibri"/>
        <family val="2"/>
        <scheme val="minor"/>
      </rPr>
      <t>53</t>
    </r>
    <r>
      <rPr>
        <sz val="11"/>
        <color theme="1"/>
        <rFont val="Calibri"/>
        <family val="2"/>
        <scheme val="minor"/>
      </rPr>
      <t xml:space="preserve"> - Washington
</t>
    </r>
    <r>
      <rPr>
        <b/>
        <sz val="11"/>
        <color theme="1"/>
        <rFont val="Calibri"/>
        <family val="2"/>
        <scheme val="minor"/>
      </rPr>
      <t>54</t>
    </r>
    <r>
      <rPr>
        <sz val="11"/>
        <color theme="1"/>
        <rFont val="Calibri"/>
        <family val="2"/>
        <scheme val="minor"/>
      </rPr>
      <t xml:space="preserve"> - West Virginia
</t>
    </r>
    <r>
      <rPr>
        <b/>
        <sz val="11"/>
        <color theme="1"/>
        <rFont val="Calibri"/>
        <family val="2"/>
        <scheme val="minor"/>
      </rPr>
      <t>55</t>
    </r>
    <r>
      <rPr>
        <sz val="11"/>
        <color theme="1"/>
        <rFont val="Calibri"/>
        <family val="2"/>
        <scheme val="minor"/>
      </rPr>
      <t xml:space="preserve"> - Wisconsin
</t>
    </r>
    <r>
      <rPr>
        <b/>
        <sz val="11"/>
        <color theme="1"/>
        <rFont val="Calibri"/>
        <family val="2"/>
        <scheme val="minor"/>
      </rPr>
      <t>56</t>
    </r>
    <r>
      <rPr>
        <sz val="11"/>
        <color theme="1"/>
        <rFont val="Calibri"/>
        <family val="2"/>
        <scheme val="minor"/>
      </rPr>
      <t xml:space="preserve"> - Wyoming
</t>
    </r>
    <r>
      <rPr>
        <b/>
        <sz val="11"/>
        <color theme="1"/>
        <rFont val="Calibri"/>
        <family val="2"/>
        <scheme val="minor"/>
      </rPr>
      <t>60</t>
    </r>
    <r>
      <rPr>
        <sz val="11"/>
        <color theme="1"/>
        <rFont val="Calibri"/>
        <family val="2"/>
        <scheme val="minor"/>
      </rPr>
      <t xml:space="preserve"> - American Samoa
</t>
    </r>
    <r>
      <rPr>
        <b/>
        <sz val="11"/>
        <color theme="1"/>
        <rFont val="Calibri"/>
        <family val="2"/>
        <scheme val="minor"/>
      </rPr>
      <t>64</t>
    </r>
    <r>
      <rPr>
        <sz val="11"/>
        <color theme="1"/>
        <rFont val="Calibri"/>
        <family val="2"/>
        <scheme val="minor"/>
      </rPr>
      <t xml:space="preserve"> - Federated States of Micronesia
</t>
    </r>
    <r>
      <rPr>
        <b/>
        <sz val="11"/>
        <color theme="1"/>
        <rFont val="Calibri"/>
        <family val="2"/>
        <scheme val="minor"/>
      </rPr>
      <t>66</t>
    </r>
    <r>
      <rPr>
        <sz val="11"/>
        <color theme="1"/>
        <rFont val="Calibri"/>
        <family val="2"/>
        <scheme val="minor"/>
      </rPr>
      <t xml:space="preserve"> - Guam
</t>
    </r>
    <r>
      <rPr>
        <b/>
        <sz val="11"/>
        <color theme="1"/>
        <rFont val="Calibri"/>
        <family val="2"/>
        <scheme val="minor"/>
      </rPr>
      <t>68</t>
    </r>
    <r>
      <rPr>
        <sz val="11"/>
        <color theme="1"/>
        <rFont val="Calibri"/>
        <family val="2"/>
        <scheme val="minor"/>
      </rPr>
      <t xml:space="preserve"> - Marshall Islands
</t>
    </r>
    <r>
      <rPr>
        <b/>
        <sz val="11"/>
        <color theme="1"/>
        <rFont val="Calibri"/>
        <family val="2"/>
        <scheme val="minor"/>
      </rPr>
      <t>69</t>
    </r>
    <r>
      <rPr>
        <sz val="11"/>
        <color theme="1"/>
        <rFont val="Calibri"/>
        <family val="2"/>
        <scheme val="minor"/>
      </rPr>
      <t xml:space="preserve"> - Northern Mariana Islands
</t>
    </r>
    <r>
      <rPr>
        <b/>
        <sz val="11"/>
        <color theme="1"/>
        <rFont val="Calibri"/>
        <family val="2"/>
        <scheme val="minor"/>
      </rPr>
      <t>70</t>
    </r>
    <r>
      <rPr>
        <sz val="11"/>
        <color theme="1"/>
        <rFont val="Calibri"/>
        <family val="2"/>
        <scheme val="minor"/>
      </rPr>
      <t xml:space="preserve"> - Palau 
</t>
    </r>
    <r>
      <rPr>
        <b/>
        <sz val="11"/>
        <color theme="1"/>
        <rFont val="Calibri"/>
        <family val="2"/>
        <scheme val="minor"/>
      </rPr>
      <t>72</t>
    </r>
    <r>
      <rPr>
        <sz val="11"/>
        <color theme="1"/>
        <rFont val="Calibri"/>
        <family val="2"/>
        <scheme val="minor"/>
      </rPr>
      <t xml:space="preserve"> - Puerto Rico
</t>
    </r>
    <r>
      <rPr>
        <b/>
        <sz val="11"/>
        <color theme="1"/>
        <rFont val="Calibri"/>
        <family val="2"/>
        <scheme val="minor"/>
      </rPr>
      <t>78</t>
    </r>
    <r>
      <rPr>
        <sz val="11"/>
        <color theme="1"/>
        <rFont val="Calibri"/>
        <family val="2"/>
        <scheme val="minor"/>
      </rPr>
      <t xml:space="preserve"> - Virgin Islands of the U.S.
</t>
    </r>
  </si>
  <si>
    <r>
      <t>AuthorizingBody</t>
    </r>
    <r>
      <rPr>
        <sz val="11"/>
        <color theme="1"/>
        <rFont val="Calibri"/>
        <family val="2"/>
        <scheme val="minor"/>
      </rPr>
      <t xml:space="preserve"> - Authorizing Body
</t>
    </r>
    <r>
      <rPr>
        <b/>
        <sz val="11"/>
        <color theme="1"/>
        <rFont val="Calibri"/>
        <family val="2"/>
        <scheme val="minor"/>
      </rPr>
      <t>OperatingBody</t>
    </r>
    <r>
      <rPr>
        <sz val="11"/>
        <color theme="1"/>
        <rFont val="Calibri"/>
        <family val="2"/>
        <scheme val="minor"/>
      </rPr>
      <t xml:space="preserve"> - Operating Body
</t>
    </r>
    <r>
      <rPr>
        <b/>
        <sz val="11"/>
        <color theme="1"/>
        <rFont val="Calibri"/>
        <family val="2"/>
        <scheme val="minor"/>
      </rPr>
      <t>SecondaryAuthorizingBody</t>
    </r>
    <r>
      <rPr>
        <sz val="11"/>
        <color theme="1"/>
        <rFont val="Calibri"/>
        <family val="2"/>
        <scheme val="minor"/>
      </rPr>
      <t xml:space="preserve"> - Secondary Authorizing Body
</t>
    </r>
  </si>
  <si>
    <t>Address</t>
  </si>
  <si>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Shipping</t>
    </r>
    <r>
      <rPr>
        <sz val="11"/>
        <color theme="1"/>
        <rFont val="Calibri"/>
        <family val="2"/>
        <scheme val="minor"/>
      </rPr>
      <t xml:space="preserve"> - Shipping
</t>
    </r>
  </si>
  <si>
    <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r>
      <rPr>
        <b/>
        <sz val="11"/>
        <color theme="1"/>
        <rFont val="Calibri"/>
        <family val="2"/>
        <scheme val="minor"/>
      </rPr>
      <t>AA</t>
    </r>
    <r>
      <rPr>
        <sz val="11"/>
        <color theme="1"/>
        <rFont val="Calibri"/>
        <family val="2"/>
        <scheme val="minor"/>
      </rPr>
      <t xml:space="preserve"> - Armed Forces America
</t>
    </r>
    <r>
      <rPr>
        <b/>
        <sz val="11"/>
        <color theme="1"/>
        <rFont val="Calibri"/>
        <family val="2"/>
        <scheme val="minor"/>
      </rPr>
      <t>AE</t>
    </r>
    <r>
      <rPr>
        <sz val="11"/>
        <color theme="1"/>
        <rFont val="Calibri"/>
        <family val="2"/>
        <scheme val="minor"/>
      </rPr>
      <t xml:space="preserve"> - Armed Forces Africa, Canada, Europe, and Mideast
</t>
    </r>
    <r>
      <rPr>
        <b/>
        <sz val="11"/>
        <color theme="1"/>
        <rFont val="Calibri"/>
        <family val="2"/>
        <scheme val="minor"/>
      </rPr>
      <t>AP</t>
    </r>
    <r>
      <rPr>
        <sz val="11"/>
        <color theme="1"/>
        <rFont val="Calibri"/>
        <family val="2"/>
        <scheme val="minor"/>
      </rPr>
      <t xml:space="preserve"> - Armed Forces Pacific
</t>
    </r>
  </si>
  <si>
    <t>Yes</t>
  </si>
  <si>
    <t>Telephone</t>
  </si>
  <si>
    <r>
      <t>Main</t>
    </r>
    <r>
      <rPr>
        <sz val="11"/>
        <color theme="1"/>
        <rFont val="Calibri"/>
        <family val="2"/>
        <scheme val="minor"/>
      </rPr>
      <t xml:space="preserve"> - Main phone number
</t>
    </r>
    <r>
      <rPr>
        <b/>
        <sz val="11"/>
        <color theme="1"/>
        <rFont val="Calibri"/>
        <family val="2"/>
        <scheme val="minor"/>
      </rPr>
      <t>Administrative</t>
    </r>
    <r>
      <rPr>
        <sz val="11"/>
        <color theme="1"/>
        <rFont val="Calibri"/>
        <family val="2"/>
        <scheme val="minor"/>
      </rPr>
      <t xml:space="preserve"> - Administrative phone number
</t>
    </r>
    <r>
      <rPr>
        <b/>
        <sz val="11"/>
        <color theme="1"/>
        <rFont val="Calibri"/>
        <family val="2"/>
        <scheme val="minor"/>
      </rPr>
      <t>HealthClinic</t>
    </r>
    <r>
      <rPr>
        <sz val="11"/>
        <color theme="1"/>
        <rFont val="Calibri"/>
        <family val="2"/>
        <scheme val="minor"/>
      </rPr>
      <t xml:space="preserve"> - Health clinic phone number
</t>
    </r>
    <r>
      <rPr>
        <b/>
        <sz val="11"/>
        <color theme="1"/>
        <rFont val="Calibri"/>
        <family val="2"/>
        <scheme val="minor"/>
      </rPr>
      <t>Attendance</t>
    </r>
    <r>
      <rPr>
        <sz val="11"/>
        <color theme="1"/>
        <rFont val="Calibri"/>
        <family val="2"/>
        <scheme val="minor"/>
      </rPr>
      <t xml:space="preserve"> - Attendance line
</t>
    </r>
    <r>
      <rPr>
        <b/>
        <sz val="11"/>
        <color theme="1"/>
        <rFont val="Calibri"/>
        <family val="2"/>
        <scheme val="minor"/>
      </rPr>
      <t>Fax</t>
    </r>
    <r>
      <rPr>
        <sz val="11"/>
        <color theme="1"/>
        <rFont val="Calibri"/>
        <family val="2"/>
        <scheme val="minor"/>
      </rPr>
      <t xml:space="preserve"> - Fax number
</t>
    </r>
    <r>
      <rPr>
        <b/>
        <sz val="11"/>
        <color theme="1"/>
        <rFont val="Calibri"/>
        <family val="2"/>
        <scheme val="minor"/>
      </rPr>
      <t>FoodServices</t>
    </r>
    <r>
      <rPr>
        <sz val="11"/>
        <color theme="1"/>
        <rFont val="Calibri"/>
        <family val="2"/>
        <scheme val="minor"/>
      </rPr>
      <t xml:space="preserve"> - Cafeteria/Food Services
</t>
    </r>
    <r>
      <rPr>
        <b/>
        <sz val="11"/>
        <color theme="1"/>
        <rFont val="Calibri"/>
        <family val="2"/>
        <scheme val="minor"/>
      </rPr>
      <t>Other</t>
    </r>
    <r>
      <rPr>
        <sz val="11"/>
        <color theme="1"/>
        <rFont val="Calibri"/>
        <family val="2"/>
        <scheme val="minor"/>
      </rPr>
      <t xml:space="preserve"> - Other
</t>
    </r>
  </si>
  <si>
    <r>
      <t>Listed</t>
    </r>
    <r>
      <rPr>
        <sz val="11"/>
        <color theme="1"/>
        <rFont val="Calibri"/>
        <family val="2"/>
        <scheme val="minor"/>
      </rPr>
      <t xml:space="preserve"> - Listed
</t>
    </r>
    <r>
      <rPr>
        <b/>
        <sz val="11"/>
        <color theme="1"/>
        <rFont val="Calibri"/>
        <family val="2"/>
        <scheme val="minor"/>
      </rPr>
      <t>Unknown</t>
    </r>
    <r>
      <rPr>
        <sz val="11"/>
        <color theme="1"/>
        <rFont val="Calibri"/>
        <family val="2"/>
        <scheme val="minor"/>
      </rPr>
      <t xml:space="preserve"> - Unknown
</t>
    </r>
    <r>
      <rPr>
        <b/>
        <sz val="11"/>
        <color theme="1"/>
        <rFont val="Calibri"/>
        <family val="2"/>
        <scheme val="minor"/>
      </rPr>
      <t>Unlisted</t>
    </r>
    <r>
      <rPr>
        <sz val="11"/>
        <color theme="1"/>
        <rFont val="Calibri"/>
        <family val="2"/>
        <scheme val="minor"/>
      </rPr>
      <t xml:space="preserve"> - Unlisted
</t>
    </r>
  </si>
  <si>
    <t>Contact</t>
  </si>
  <si>
    <t>Contact-&gt;Name</t>
  </si>
  <si>
    <t>Contact-&gt;Address</t>
  </si>
  <si>
    <r>
      <t>AF</t>
    </r>
    <r>
      <rPr>
        <sz val="11"/>
        <color theme="1"/>
        <rFont val="Calibri"/>
        <family val="2"/>
        <scheme val="minor"/>
      </rPr>
      <t xml:space="preserve"> - AFGHANISTAN
</t>
    </r>
    <r>
      <rPr>
        <b/>
        <sz val="11"/>
        <color theme="1"/>
        <rFont val="Calibri"/>
        <family val="2"/>
        <scheme val="minor"/>
      </rPr>
      <t>AX</t>
    </r>
    <r>
      <rPr>
        <sz val="11"/>
        <color theme="1"/>
        <rFont val="Calibri"/>
        <family val="2"/>
        <scheme val="minor"/>
      </rPr>
      <t xml:space="preserve"> - ÅLAND ISLANDS
</t>
    </r>
    <r>
      <rPr>
        <b/>
        <sz val="11"/>
        <color theme="1"/>
        <rFont val="Calibri"/>
        <family val="2"/>
        <scheme val="minor"/>
      </rPr>
      <t>AL</t>
    </r>
    <r>
      <rPr>
        <sz val="11"/>
        <color theme="1"/>
        <rFont val="Calibri"/>
        <family val="2"/>
        <scheme val="minor"/>
      </rPr>
      <t xml:space="preserve"> - ALBANIA
</t>
    </r>
    <r>
      <rPr>
        <b/>
        <sz val="11"/>
        <color theme="1"/>
        <rFont val="Calibri"/>
        <family val="2"/>
        <scheme val="minor"/>
      </rPr>
      <t>DZ</t>
    </r>
    <r>
      <rPr>
        <sz val="11"/>
        <color theme="1"/>
        <rFont val="Calibri"/>
        <family val="2"/>
        <scheme val="minor"/>
      </rPr>
      <t xml:space="preserve"> - ALGERIA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AD</t>
    </r>
    <r>
      <rPr>
        <sz val="11"/>
        <color theme="1"/>
        <rFont val="Calibri"/>
        <family val="2"/>
        <scheme val="minor"/>
      </rPr>
      <t xml:space="preserve"> - ANDORRA
</t>
    </r>
    <r>
      <rPr>
        <b/>
        <sz val="11"/>
        <color theme="1"/>
        <rFont val="Calibri"/>
        <family val="2"/>
        <scheme val="minor"/>
      </rPr>
      <t>AO</t>
    </r>
    <r>
      <rPr>
        <sz val="11"/>
        <color theme="1"/>
        <rFont val="Calibri"/>
        <family val="2"/>
        <scheme val="minor"/>
      </rPr>
      <t xml:space="preserve"> - ANGOLA
</t>
    </r>
    <r>
      <rPr>
        <b/>
        <sz val="11"/>
        <color theme="1"/>
        <rFont val="Calibri"/>
        <family val="2"/>
        <scheme val="minor"/>
      </rPr>
      <t>AI</t>
    </r>
    <r>
      <rPr>
        <sz val="11"/>
        <color theme="1"/>
        <rFont val="Calibri"/>
        <family val="2"/>
        <scheme val="minor"/>
      </rPr>
      <t xml:space="preserve"> - ANGUILLA
</t>
    </r>
    <r>
      <rPr>
        <b/>
        <sz val="11"/>
        <color theme="1"/>
        <rFont val="Calibri"/>
        <family val="2"/>
        <scheme val="minor"/>
      </rPr>
      <t>AQ</t>
    </r>
    <r>
      <rPr>
        <sz val="11"/>
        <color theme="1"/>
        <rFont val="Calibri"/>
        <family val="2"/>
        <scheme val="minor"/>
      </rPr>
      <t xml:space="preserve"> - ANTARCTICA
</t>
    </r>
    <r>
      <rPr>
        <b/>
        <sz val="11"/>
        <color theme="1"/>
        <rFont val="Calibri"/>
        <family val="2"/>
        <scheme val="minor"/>
      </rPr>
      <t>AG</t>
    </r>
    <r>
      <rPr>
        <sz val="11"/>
        <color theme="1"/>
        <rFont val="Calibri"/>
        <family val="2"/>
        <scheme val="minor"/>
      </rPr>
      <t xml:space="preserve"> - ANTIGUA AND BARBUDA
</t>
    </r>
    <r>
      <rPr>
        <b/>
        <sz val="11"/>
        <color theme="1"/>
        <rFont val="Calibri"/>
        <family val="2"/>
        <scheme val="minor"/>
      </rPr>
      <t>AR</t>
    </r>
    <r>
      <rPr>
        <sz val="11"/>
        <color theme="1"/>
        <rFont val="Calibri"/>
        <family val="2"/>
        <scheme val="minor"/>
      </rPr>
      <t xml:space="preserve"> - ARGENTINA
</t>
    </r>
    <r>
      <rPr>
        <b/>
        <sz val="11"/>
        <color theme="1"/>
        <rFont val="Calibri"/>
        <family val="2"/>
        <scheme val="minor"/>
      </rPr>
      <t>AM</t>
    </r>
    <r>
      <rPr>
        <sz val="11"/>
        <color theme="1"/>
        <rFont val="Calibri"/>
        <family val="2"/>
        <scheme val="minor"/>
      </rPr>
      <t xml:space="preserve"> - ARMENIA
</t>
    </r>
    <r>
      <rPr>
        <b/>
        <sz val="11"/>
        <color theme="1"/>
        <rFont val="Calibri"/>
        <family val="2"/>
        <scheme val="minor"/>
      </rPr>
      <t>AW</t>
    </r>
    <r>
      <rPr>
        <sz val="11"/>
        <color theme="1"/>
        <rFont val="Calibri"/>
        <family val="2"/>
        <scheme val="minor"/>
      </rPr>
      <t xml:space="preserve"> - ARUBA
</t>
    </r>
    <r>
      <rPr>
        <b/>
        <sz val="11"/>
        <color theme="1"/>
        <rFont val="Calibri"/>
        <family val="2"/>
        <scheme val="minor"/>
      </rPr>
      <t>AU</t>
    </r>
    <r>
      <rPr>
        <sz val="11"/>
        <color theme="1"/>
        <rFont val="Calibri"/>
        <family val="2"/>
        <scheme val="minor"/>
      </rPr>
      <t xml:space="preserve"> - AUSTRALIA
</t>
    </r>
    <r>
      <rPr>
        <b/>
        <sz val="11"/>
        <color theme="1"/>
        <rFont val="Calibri"/>
        <family val="2"/>
        <scheme val="minor"/>
      </rPr>
      <t>AT</t>
    </r>
    <r>
      <rPr>
        <sz val="11"/>
        <color theme="1"/>
        <rFont val="Calibri"/>
        <family val="2"/>
        <scheme val="minor"/>
      </rPr>
      <t xml:space="preserve"> - AUSTRIA
</t>
    </r>
    <r>
      <rPr>
        <b/>
        <sz val="11"/>
        <color theme="1"/>
        <rFont val="Calibri"/>
        <family val="2"/>
        <scheme val="minor"/>
      </rPr>
      <t>AZ</t>
    </r>
    <r>
      <rPr>
        <sz val="11"/>
        <color theme="1"/>
        <rFont val="Calibri"/>
        <family val="2"/>
        <scheme val="minor"/>
      </rPr>
      <t xml:space="preserve"> - AZERBAIJAN
</t>
    </r>
    <r>
      <rPr>
        <b/>
        <sz val="11"/>
        <color theme="1"/>
        <rFont val="Calibri"/>
        <family val="2"/>
        <scheme val="minor"/>
      </rPr>
      <t>BS</t>
    </r>
    <r>
      <rPr>
        <sz val="11"/>
        <color theme="1"/>
        <rFont val="Calibri"/>
        <family val="2"/>
        <scheme val="minor"/>
      </rPr>
      <t xml:space="preserve"> - BAHAMAS
</t>
    </r>
    <r>
      <rPr>
        <b/>
        <sz val="11"/>
        <color theme="1"/>
        <rFont val="Calibri"/>
        <family val="2"/>
        <scheme val="minor"/>
      </rPr>
      <t>BH</t>
    </r>
    <r>
      <rPr>
        <sz val="11"/>
        <color theme="1"/>
        <rFont val="Calibri"/>
        <family val="2"/>
        <scheme val="minor"/>
      </rPr>
      <t xml:space="preserve"> - BAHRAIN
</t>
    </r>
    <r>
      <rPr>
        <b/>
        <sz val="11"/>
        <color theme="1"/>
        <rFont val="Calibri"/>
        <family val="2"/>
        <scheme val="minor"/>
      </rPr>
      <t>BD</t>
    </r>
    <r>
      <rPr>
        <sz val="11"/>
        <color theme="1"/>
        <rFont val="Calibri"/>
        <family val="2"/>
        <scheme val="minor"/>
      </rPr>
      <t xml:space="preserve"> - BANGLADESH
</t>
    </r>
    <r>
      <rPr>
        <b/>
        <sz val="11"/>
        <color theme="1"/>
        <rFont val="Calibri"/>
        <family val="2"/>
        <scheme val="minor"/>
      </rPr>
      <t>BB</t>
    </r>
    <r>
      <rPr>
        <sz val="11"/>
        <color theme="1"/>
        <rFont val="Calibri"/>
        <family val="2"/>
        <scheme val="minor"/>
      </rPr>
      <t xml:space="preserve"> - BARBADOS
</t>
    </r>
    <r>
      <rPr>
        <b/>
        <sz val="11"/>
        <color theme="1"/>
        <rFont val="Calibri"/>
        <family val="2"/>
        <scheme val="minor"/>
      </rPr>
      <t>BY</t>
    </r>
    <r>
      <rPr>
        <sz val="11"/>
        <color theme="1"/>
        <rFont val="Calibri"/>
        <family val="2"/>
        <scheme val="minor"/>
      </rPr>
      <t xml:space="preserve"> - BELARUS
</t>
    </r>
    <r>
      <rPr>
        <b/>
        <sz val="11"/>
        <color theme="1"/>
        <rFont val="Calibri"/>
        <family val="2"/>
        <scheme val="minor"/>
      </rPr>
      <t>BE</t>
    </r>
    <r>
      <rPr>
        <sz val="11"/>
        <color theme="1"/>
        <rFont val="Calibri"/>
        <family val="2"/>
        <scheme val="minor"/>
      </rPr>
      <t xml:space="preserve"> - BELGIUM
</t>
    </r>
    <r>
      <rPr>
        <b/>
        <sz val="11"/>
        <color theme="1"/>
        <rFont val="Calibri"/>
        <family val="2"/>
        <scheme val="minor"/>
      </rPr>
      <t>BZ</t>
    </r>
    <r>
      <rPr>
        <sz val="11"/>
        <color theme="1"/>
        <rFont val="Calibri"/>
        <family val="2"/>
        <scheme val="minor"/>
      </rPr>
      <t xml:space="preserve"> - BELIZE
</t>
    </r>
    <r>
      <rPr>
        <b/>
        <sz val="11"/>
        <color theme="1"/>
        <rFont val="Calibri"/>
        <family val="2"/>
        <scheme val="minor"/>
      </rPr>
      <t>BJ</t>
    </r>
    <r>
      <rPr>
        <sz val="11"/>
        <color theme="1"/>
        <rFont val="Calibri"/>
        <family val="2"/>
        <scheme val="minor"/>
      </rPr>
      <t xml:space="preserve"> - BENIN
</t>
    </r>
    <r>
      <rPr>
        <b/>
        <sz val="11"/>
        <color theme="1"/>
        <rFont val="Calibri"/>
        <family val="2"/>
        <scheme val="minor"/>
      </rPr>
      <t>BM</t>
    </r>
    <r>
      <rPr>
        <sz val="11"/>
        <color theme="1"/>
        <rFont val="Calibri"/>
        <family val="2"/>
        <scheme val="minor"/>
      </rPr>
      <t xml:space="preserve"> - BERMUDA
</t>
    </r>
    <r>
      <rPr>
        <b/>
        <sz val="11"/>
        <color theme="1"/>
        <rFont val="Calibri"/>
        <family val="2"/>
        <scheme val="minor"/>
      </rPr>
      <t>BT</t>
    </r>
    <r>
      <rPr>
        <sz val="11"/>
        <color theme="1"/>
        <rFont val="Calibri"/>
        <family val="2"/>
        <scheme val="minor"/>
      </rPr>
      <t xml:space="preserve"> - BHUTAN
</t>
    </r>
    <r>
      <rPr>
        <b/>
        <sz val="11"/>
        <color theme="1"/>
        <rFont val="Calibri"/>
        <family val="2"/>
        <scheme val="minor"/>
      </rPr>
      <t>BO</t>
    </r>
    <r>
      <rPr>
        <sz val="11"/>
        <color theme="1"/>
        <rFont val="Calibri"/>
        <family val="2"/>
        <scheme val="minor"/>
      </rPr>
      <t xml:space="preserve"> - BOLIVIA (PLURINATIONAL STATE OF)
</t>
    </r>
    <r>
      <rPr>
        <b/>
        <sz val="11"/>
        <color theme="1"/>
        <rFont val="Calibri"/>
        <family val="2"/>
        <scheme val="minor"/>
      </rPr>
      <t>BQ</t>
    </r>
    <r>
      <rPr>
        <sz val="11"/>
        <color theme="1"/>
        <rFont val="Calibri"/>
        <family val="2"/>
        <scheme val="minor"/>
      </rPr>
      <t xml:space="preserve"> - BONAIRE, SINT EUSTATIUS AND SABA
</t>
    </r>
    <r>
      <rPr>
        <b/>
        <sz val="11"/>
        <color theme="1"/>
        <rFont val="Calibri"/>
        <family val="2"/>
        <scheme val="minor"/>
      </rPr>
      <t>BA</t>
    </r>
    <r>
      <rPr>
        <sz val="11"/>
        <color theme="1"/>
        <rFont val="Calibri"/>
        <family val="2"/>
        <scheme val="minor"/>
      </rPr>
      <t xml:space="preserve"> - BOSNIA AND HERZEGOVINA
</t>
    </r>
    <r>
      <rPr>
        <b/>
        <sz val="11"/>
        <color theme="1"/>
        <rFont val="Calibri"/>
        <family val="2"/>
        <scheme val="minor"/>
      </rPr>
      <t>BW</t>
    </r>
    <r>
      <rPr>
        <sz val="11"/>
        <color theme="1"/>
        <rFont val="Calibri"/>
        <family val="2"/>
        <scheme val="minor"/>
      </rPr>
      <t xml:space="preserve"> - BOTSWANA
</t>
    </r>
    <r>
      <rPr>
        <b/>
        <sz val="11"/>
        <color theme="1"/>
        <rFont val="Calibri"/>
        <family val="2"/>
        <scheme val="minor"/>
      </rPr>
      <t>BV</t>
    </r>
    <r>
      <rPr>
        <sz val="11"/>
        <color theme="1"/>
        <rFont val="Calibri"/>
        <family val="2"/>
        <scheme val="minor"/>
      </rPr>
      <t xml:space="preserve"> - BOUVET ISLAND
</t>
    </r>
    <r>
      <rPr>
        <b/>
        <sz val="11"/>
        <color theme="1"/>
        <rFont val="Calibri"/>
        <family val="2"/>
        <scheme val="minor"/>
      </rPr>
      <t>BR</t>
    </r>
    <r>
      <rPr>
        <sz val="11"/>
        <color theme="1"/>
        <rFont val="Calibri"/>
        <family val="2"/>
        <scheme val="minor"/>
      </rPr>
      <t xml:space="preserve"> - BRAZIL
</t>
    </r>
    <r>
      <rPr>
        <b/>
        <sz val="11"/>
        <color theme="1"/>
        <rFont val="Calibri"/>
        <family val="2"/>
        <scheme val="minor"/>
      </rPr>
      <t>IO</t>
    </r>
    <r>
      <rPr>
        <sz val="11"/>
        <color theme="1"/>
        <rFont val="Calibri"/>
        <family val="2"/>
        <scheme val="minor"/>
      </rPr>
      <t xml:space="preserve"> - BRITISH INDIAN OCEAN TERRITORY
</t>
    </r>
    <r>
      <rPr>
        <b/>
        <sz val="11"/>
        <color theme="1"/>
        <rFont val="Calibri"/>
        <family val="2"/>
        <scheme val="minor"/>
      </rPr>
      <t>BN</t>
    </r>
    <r>
      <rPr>
        <sz val="11"/>
        <color theme="1"/>
        <rFont val="Calibri"/>
        <family val="2"/>
        <scheme val="minor"/>
      </rPr>
      <t xml:space="preserve"> - BRUNEI DARUSSALAM
</t>
    </r>
    <r>
      <rPr>
        <b/>
        <sz val="11"/>
        <color theme="1"/>
        <rFont val="Calibri"/>
        <family val="2"/>
        <scheme val="minor"/>
      </rPr>
      <t>BG</t>
    </r>
    <r>
      <rPr>
        <sz val="11"/>
        <color theme="1"/>
        <rFont val="Calibri"/>
        <family val="2"/>
        <scheme val="minor"/>
      </rPr>
      <t xml:space="preserve"> - BULGARIA
</t>
    </r>
    <r>
      <rPr>
        <b/>
        <sz val="11"/>
        <color theme="1"/>
        <rFont val="Calibri"/>
        <family val="2"/>
        <scheme val="minor"/>
      </rPr>
      <t>BF</t>
    </r>
    <r>
      <rPr>
        <sz val="11"/>
        <color theme="1"/>
        <rFont val="Calibri"/>
        <family val="2"/>
        <scheme val="minor"/>
      </rPr>
      <t xml:space="preserve"> - BURKINA FASO
</t>
    </r>
    <r>
      <rPr>
        <b/>
        <sz val="11"/>
        <color theme="1"/>
        <rFont val="Calibri"/>
        <family val="2"/>
        <scheme val="minor"/>
      </rPr>
      <t>BI</t>
    </r>
    <r>
      <rPr>
        <sz val="11"/>
        <color theme="1"/>
        <rFont val="Calibri"/>
        <family val="2"/>
        <scheme val="minor"/>
      </rPr>
      <t xml:space="preserve"> - BURUNDI
</t>
    </r>
    <r>
      <rPr>
        <b/>
        <sz val="11"/>
        <color theme="1"/>
        <rFont val="Calibri"/>
        <family val="2"/>
        <scheme val="minor"/>
      </rPr>
      <t>KH</t>
    </r>
    <r>
      <rPr>
        <sz val="11"/>
        <color theme="1"/>
        <rFont val="Calibri"/>
        <family val="2"/>
        <scheme val="minor"/>
      </rPr>
      <t xml:space="preserve"> - CAMBODIA
</t>
    </r>
    <r>
      <rPr>
        <b/>
        <sz val="11"/>
        <color theme="1"/>
        <rFont val="Calibri"/>
        <family val="2"/>
        <scheme val="minor"/>
      </rPr>
      <t>CM</t>
    </r>
    <r>
      <rPr>
        <sz val="11"/>
        <color theme="1"/>
        <rFont val="Calibri"/>
        <family val="2"/>
        <scheme val="minor"/>
      </rPr>
      <t xml:space="preserve"> - CAMEROON
</t>
    </r>
    <r>
      <rPr>
        <b/>
        <sz val="11"/>
        <color theme="1"/>
        <rFont val="Calibri"/>
        <family val="2"/>
        <scheme val="minor"/>
      </rPr>
      <t>CA</t>
    </r>
    <r>
      <rPr>
        <sz val="11"/>
        <color theme="1"/>
        <rFont val="Calibri"/>
        <family val="2"/>
        <scheme val="minor"/>
      </rPr>
      <t xml:space="preserve"> - CANADA
</t>
    </r>
    <r>
      <rPr>
        <b/>
        <sz val="11"/>
        <color theme="1"/>
        <rFont val="Calibri"/>
        <family val="2"/>
        <scheme val="minor"/>
      </rPr>
      <t>CV</t>
    </r>
    <r>
      <rPr>
        <sz val="11"/>
        <color theme="1"/>
        <rFont val="Calibri"/>
        <family val="2"/>
        <scheme val="minor"/>
      </rPr>
      <t xml:space="preserve"> - CABO VERDE
</t>
    </r>
    <r>
      <rPr>
        <b/>
        <sz val="11"/>
        <color theme="1"/>
        <rFont val="Calibri"/>
        <family val="2"/>
        <scheme val="minor"/>
      </rPr>
      <t>KY</t>
    </r>
    <r>
      <rPr>
        <sz val="11"/>
        <color theme="1"/>
        <rFont val="Calibri"/>
        <family val="2"/>
        <scheme val="minor"/>
      </rPr>
      <t xml:space="preserve"> - CAYMAN ISLANDS
</t>
    </r>
    <r>
      <rPr>
        <b/>
        <sz val="11"/>
        <color theme="1"/>
        <rFont val="Calibri"/>
        <family val="2"/>
        <scheme val="minor"/>
      </rPr>
      <t>CF</t>
    </r>
    <r>
      <rPr>
        <sz val="11"/>
        <color theme="1"/>
        <rFont val="Calibri"/>
        <family val="2"/>
        <scheme val="minor"/>
      </rPr>
      <t xml:space="preserve"> - CENTRAL AFRICAN REPUBLIC
</t>
    </r>
    <r>
      <rPr>
        <b/>
        <sz val="11"/>
        <color theme="1"/>
        <rFont val="Calibri"/>
        <family val="2"/>
        <scheme val="minor"/>
      </rPr>
      <t>TD</t>
    </r>
    <r>
      <rPr>
        <sz val="11"/>
        <color theme="1"/>
        <rFont val="Calibri"/>
        <family val="2"/>
        <scheme val="minor"/>
      </rPr>
      <t xml:space="preserve"> - CHAD
</t>
    </r>
    <r>
      <rPr>
        <b/>
        <sz val="11"/>
        <color theme="1"/>
        <rFont val="Calibri"/>
        <family val="2"/>
        <scheme val="minor"/>
      </rPr>
      <t>CL</t>
    </r>
    <r>
      <rPr>
        <sz val="11"/>
        <color theme="1"/>
        <rFont val="Calibri"/>
        <family val="2"/>
        <scheme val="minor"/>
      </rPr>
      <t xml:space="preserve"> - CHILE
</t>
    </r>
    <r>
      <rPr>
        <b/>
        <sz val="11"/>
        <color theme="1"/>
        <rFont val="Calibri"/>
        <family val="2"/>
        <scheme val="minor"/>
      </rPr>
      <t>CN</t>
    </r>
    <r>
      <rPr>
        <sz val="11"/>
        <color theme="1"/>
        <rFont val="Calibri"/>
        <family val="2"/>
        <scheme val="minor"/>
      </rPr>
      <t xml:space="preserve"> - CHINA
</t>
    </r>
    <r>
      <rPr>
        <b/>
        <sz val="11"/>
        <color theme="1"/>
        <rFont val="Calibri"/>
        <family val="2"/>
        <scheme val="minor"/>
      </rPr>
      <t>CX</t>
    </r>
    <r>
      <rPr>
        <sz val="11"/>
        <color theme="1"/>
        <rFont val="Calibri"/>
        <family val="2"/>
        <scheme val="minor"/>
      </rPr>
      <t xml:space="preserve"> - CHRISTMAS ISLAND
</t>
    </r>
    <r>
      <rPr>
        <b/>
        <sz val="11"/>
        <color theme="1"/>
        <rFont val="Calibri"/>
        <family val="2"/>
        <scheme val="minor"/>
      </rPr>
      <t>CC</t>
    </r>
    <r>
      <rPr>
        <sz val="11"/>
        <color theme="1"/>
        <rFont val="Calibri"/>
        <family val="2"/>
        <scheme val="minor"/>
      </rPr>
      <t xml:space="preserve"> - COCOS (KEELING) ISLANDS
</t>
    </r>
    <r>
      <rPr>
        <b/>
        <sz val="11"/>
        <color theme="1"/>
        <rFont val="Calibri"/>
        <family val="2"/>
        <scheme val="minor"/>
      </rPr>
      <t>CO</t>
    </r>
    <r>
      <rPr>
        <sz val="11"/>
        <color theme="1"/>
        <rFont val="Calibri"/>
        <family val="2"/>
        <scheme val="minor"/>
      </rPr>
      <t xml:space="preserve"> - COLOMBIA
</t>
    </r>
    <r>
      <rPr>
        <b/>
        <sz val="11"/>
        <color theme="1"/>
        <rFont val="Calibri"/>
        <family val="2"/>
        <scheme val="minor"/>
      </rPr>
      <t>KM</t>
    </r>
    <r>
      <rPr>
        <sz val="11"/>
        <color theme="1"/>
        <rFont val="Calibri"/>
        <family val="2"/>
        <scheme val="minor"/>
      </rPr>
      <t xml:space="preserve"> - COMOROS
</t>
    </r>
    <r>
      <rPr>
        <b/>
        <sz val="11"/>
        <color theme="1"/>
        <rFont val="Calibri"/>
        <family val="2"/>
        <scheme val="minor"/>
      </rPr>
      <t>CG</t>
    </r>
    <r>
      <rPr>
        <sz val="11"/>
        <color theme="1"/>
        <rFont val="Calibri"/>
        <family val="2"/>
        <scheme val="minor"/>
      </rPr>
      <t xml:space="preserve"> - CONGO
</t>
    </r>
    <r>
      <rPr>
        <b/>
        <sz val="11"/>
        <color theme="1"/>
        <rFont val="Calibri"/>
        <family val="2"/>
        <scheme val="minor"/>
      </rPr>
      <t>CD</t>
    </r>
    <r>
      <rPr>
        <sz val="11"/>
        <color theme="1"/>
        <rFont val="Calibri"/>
        <family val="2"/>
        <scheme val="minor"/>
      </rPr>
      <t xml:space="preserve"> - CONGO, DEMOCRATIC REPUBLIC OF THE
</t>
    </r>
    <r>
      <rPr>
        <b/>
        <sz val="11"/>
        <color theme="1"/>
        <rFont val="Calibri"/>
        <family val="2"/>
        <scheme val="minor"/>
      </rPr>
      <t>CK</t>
    </r>
    <r>
      <rPr>
        <sz val="11"/>
        <color theme="1"/>
        <rFont val="Calibri"/>
        <family val="2"/>
        <scheme val="minor"/>
      </rPr>
      <t xml:space="preserve"> - COOK ISLANDS
</t>
    </r>
    <r>
      <rPr>
        <b/>
        <sz val="11"/>
        <color theme="1"/>
        <rFont val="Calibri"/>
        <family val="2"/>
        <scheme val="minor"/>
      </rPr>
      <t>CR</t>
    </r>
    <r>
      <rPr>
        <sz val="11"/>
        <color theme="1"/>
        <rFont val="Calibri"/>
        <family val="2"/>
        <scheme val="minor"/>
      </rPr>
      <t xml:space="preserve"> - COSTA RICA
</t>
    </r>
    <r>
      <rPr>
        <b/>
        <sz val="11"/>
        <color theme="1"/>
        <rFont val="Calibri"/>
        <family val="2"/>
        <scheme val="minor"/>
      </rPr>
      <t>CI</t>
    </r>
    <r>
      <rPr>
        <sz val="11"/>
        <color theme="1"/>
        <rFont val="Calibri"/>
        <family val="2"/>
        <scheme val="minor"/>
      </rPr>
      <t xml:space="preserve"> - CÔTE D'IVOIRE
</t>
    </r>
    <r>
      <rPr>
        <b/>
        <sz val="11"/>
        <color theme="1"/>
        <rFont val="Calibri"/>
        <family val="2"/>
        <scheme val="minor"/>
      </rPr>
      <t>HR</t>
    </r>
    <r>
      <rPr>
        <sz val="11"/>
        <color theme="1"/>
        <rFont val="Calibri"/>
        <family val="2"/>
        <scheme val="minor"/>
      </rPr>
      <t xml:space="preserve"> - CROATIA
</t>
    </r>
    <r>
      <rPr>
        <b/>
        <sz val="11"/>
        <color theme="1"/>
        <rFont val="Calibri"/>
        <family val="2"/>
        <scheme val="minor"/>
      </rPr>
      <t>CU</t>
    </r>
    <r>
      <rPr>
        <sz val="11"/>
        <color theme="1"/>
        <rFont val="Calibri"/>
        <family val="2"/>
        <scheme val="minor"/>
      </rPr>
      <t xml:space="preserve"> - CUBA
</t>
    </r>
    <r>
      <rPr>
        <b/>
        <sz val="11"/>
        <color theme="1"/>
        <rFont val="Calibri"/>
        <family val="2"/>
        <scheme val="minor"/>
      </rPr>
      <t>CW</t>
    </r>
    <r>
      <rPr>
        <sz val="11"/>
        <color theme="1"/>
        <rFont val="Calibri"/>
        <family val="2"/>
        <scheme val="minor"/>
      </rPr>
      <t xml:space="preserve"> - CURAÇAO
</t>
    </r>
    <r>
      <rPr>
        <b/>
        <sz val="11"/>
        <color theme="1"/>
        <rFont val="Calibri"/>
        <family val="2"/>
        <scheme val="minor"/>
      </rPr>
      <t>CY</t>
    </r>
    <r>
      <rPr>
        <sz val="11"/>
        <color theme="1"/>
        <rFont val="Calibri"/>
        <family val="2"/>
        <scheme val="minor"/>
      </rPr>
      <t xml:space="preserve"> - CYPRUS
</t>
    </r>
    <r>
      <rPr>
        <b/>
        <sz val="11"/>
        <color theme="1"/>
        <rFont val="Calibri"/>
        <family val="2"/>
        <scheme val="minor"/>
      </rPr>
      <t>CZ</t>
    </r>
    <r>
      <rPr>
        <sz val="11"/>
        <color theme="1"/>
        <rFont val="Calibri"/>
        <family val="2"/>
        <scheme val="minor"/>
      </rPr>
      <t xml:space="preserve"> - CZECHIA
</t>
    </r>
    <r>
      <rPr>
        <b/>
        <sz val="11"/>
        <color theme="1"/>
        <rFont val="Calibri"/>
        <family val="2"/>
        <scheme val="minor"/>
      </rPr>
      <t>DK</t>
    </r>
    <r>
      <rPr>
        <sz val="11"/>
        <color theme="1"/>
        <rFont val="Calibri"/>
        <family val="2"/>
        <scheme val="minor"/>
      </rPr>
      <t xml:space="preserve"> - DENMARK
</t>
    </r>
    <r>
      <rPr>
        <b/>
        <sz val="11"/>
        <color theme="1"/>
        <rFont val="Calibri"/>
        <family val="2"/>
        <scheme val="minor"/>
      </rPr>
      <t>DJ</t>
    </r>
    <r>
      <rPr>
        <sz val="11"/>
        <color theme="1"/>
        <rFont val="Calibri"/>
        <family val="2"/>
        <scheme val="minor"/>
      </rPr>
      <t xml:space="preserve"> - DJIBOUTI
</t>
    </r>
    <r>
      <rPr>
        <b/>
        <sz val="11"/>
        <color theme="1"/>
        <rFont val="Calibri"/>
        <family val="2"/>
        <scheme val="minor"/>
      </rPr>
      <t>DM</t>
    </r>
    <r>
      <rPr>
        <sz val="11"/>
        <color theme="1"/>
        <rFont val="Calibri"/>
        <family val="2"/>
        <scheme val="minor"/>
      </rPr>
      <t xml:space="preserve"> - DOMINICA
</t>
    </r>
    <r>
      <rPr>
        <b/>
        <sz val="11"/>
        <color theme="1"/>
        <rFont val="Calibri"/>
        <family val="2"/>
        <scheme val="minor"/>
      </rPr>
      <t>DO</t>
    </r>
    <r>
      <rPr>
        <sz val="11"/>
        <color theme="1"/>
        <rFont val="Calibri"/>
        <family val="2"/>
        <scheme val="minor"/>
      </rPr>
      <t xml:space="preserve"> - DOMINICAN REPUBLIC
</t>
    </r>
    <r>
      <rPr>
        <b/>
        <sz val="11"/>
        <color theme="1"/>
        <rFont val="Calibri"/>
        <family val="2"/>
        <scheme val="minor"/>
      </rPr>
      <t>EC</t>
    </r>
    <r>
      <rPr>
        <sz val="11"/>
        <color theme="1"/>
        <rFont val="Calibri"/>
        <family val="2"/>
        <scheme val="minor"/>
      </rPr>
      <t xml:space="preserve"> - ECUADOR
</t>
    </r>
    <r>
      <rPr>
        <b/>
        <sz val="11"/>
        <color theme="1"/>
        <rFont val="Calibri"/>
        <family val="2"/>
        <scheme val="minor"/>
      </rPr>
      <t>EG</t>
    </r>
    <r>
      <rPr>
        <sz val="11"/>
        <color theme="1"/>
        <rFont val="Calibri"/>
        <family val="2"/>
        <scheme val="minor"/>
      </rPr>
      <t xml:space="preserve"> - EGYPT
</t>
    </r>
    <r>
      <rPr>
        <b/>
        <sz val="11"/>
        <color theme="1"/>
        <rFont val="Calibri"/>
        <family val="2"/>
        <scheme val="minor"/>
      </rPr>
      <t>SV</t>
    </r>
    <r>
      <rPr>
        <sz val="11"/>
        <color theme="1"/>
        <rFont val="Calibri"/>
        <family val="2"/>
        <scheme val="minor"/>
      </rPr>
      <t xml:space="preserve"> - EL SALVADOR
</t>
    </r>
    <r>
      <rPr>
        <b/>
        <sz val="11"/>
        <color theme="1"/>
        <rFont val="Calibri"/>
        <family val="2"/>
        <scheme val="minor"/>
      </rPr>
      <t>GQ</t>
    </r>
    <r>
      <rPr>
        <sz val="11"/>
        <color theme="1"/>
        <rFont val="Calibri"/>
        <family val="2"/>
        <scheme val="minor"/>
      </rPr>
      <t xml:space="preserve"> - EQUATORIAL GUINEA
</t>
    </r>
    <r>
      <rPr>
        <b/>
        <sz val="11"/>
        <color theme="1"/>
        <rFont val="Calibri"/>
        <family val="2"/>
        <scheme val="minor"/>
      </rPr>
      <t>ER</t>
    </r>
    <r>
      <rPr>
        <sz val="11"/>
        <color theme="1"/>
        <rFont val="Calibri"/>
        <family val="2"/>
        <scheme val="minor"/>
      </rPr>
      <t xml:space="preserve"> - ERITREA
</t>
    </r>
    <r>
      <rPr>
        <b/>
        <sz val="11"/>
        <color theme="1"/>
        <rFont val="Calibri"/>
        <family val="2"/>
        <scheme val="minor"/>
      </rPr>
      <t>EE</t>
    </r>
    <r>
      <rPr>
        <sz val="11"/>
        <color theme="1"/>
        <rFont val="Calibri"/>
        <family val="2"/>
        <scheme val="minor"/>
      </rPr>
      <t xml:space="preserve"> - ESTONIA
</t>
    </r>
    <r>
      <rPr>
        <b/>
        <sz val="11"/>
        <color theme="1"/>
        <rFont val="Calibri"/>
        <family val="2"/>
        <scheme val="minor"/>
      </rPr>
      <t>ET</t>
    </r>
    <r>
      <rPr>
        <sz val="11"/>
        <color theme="1"/>
        <rFont val="Calibri"/>
        <family val="2"/>
        <scheme val="minor"/>
      </rPr>
      <t xml:space="preserve"> - ETHIOPIA
</t>
    </r>
    <r>
      <rPr>
        <b/>
        <sz val="11"/>
        <color theme="1"/>
        <rFont val="Calibri"/>
        <family val="2"/>
        <scheme val="minor"/>
      </rPr>
      <t>FK</t>
    </r>
    <r>
      <rPr>
        <sz val="11"/>
        <color theme="1"/>
        <rFont val="Calibri"/>
        <family val="2"/>
        <scheme val="minor"/>
      </rPr>
      <t xml:space="preserve"> - FALKLAND ISLANDS (MALVINAS)
</t>
    </r>
    <r>
      <rPr>
        <b/>
        <sz val="11"/>
        <color theme="1"/>
        <rFont val="Calibri"/>
        <family val="2"/>
        <scheme val="minor"/>
      </rPr>
      <t>FO</t>
    </r>
    <r>
      <rPr>
        <sz val="11"/>
        <color theme="1"/>
        <rFont val="Calibri"/>
        <family val="2"/>
        <scheme val="minor"/>
      </rPr>
      <t xml:space="preserve"> - FAROE ISLANDS
</t>
    </r>
    <r>
      <rPr>
        <b/>
        <sz val="11"/>
        <color theme="1"/>
        <rFont val="Calibri"/>
        <family val="2"/>
        <scheme val="minor"/>
      </rPr>
      <t>FJ</t>
    </r>
    <r>
      <rPr>
        <sz val="11"/>
        <color theme="1"/>
        <rFont val="Calibri"/>
        <family val="2"/>
        <scheme val="minor"/>
      </rPr>
      <t xml:space="preserve"> - FIJI
</t>
    </r>
    <r>
      <rPr>
        <b/>
        <sz val="11"/>
        <color theme="1"/>
        <rFont val="Calibri"/>
        <family val="2"/>
        <scheme val="minor"/>
      </rPr>
      <t>FI</t>
    </r>
    <r>
      <rPr>
        <sz val="11"/>
        <color theme="1"/>
        <rFont val="Calibri"/>
        <family val="2"/>
        <scheme val="minor"/>
      </rPr>
      <t xml:space="preserve"> - FINLAND
</t>
    </r>
    <r>
      <rPr>
        <b/>
        <sz val="11"/>
        <color theme="1"/>
        <rFont val="Calibri"/>
        <family val="2"/>
        <scheme val="minor"/>
      </rPr>
      <t>FR</t>
    </r>
    <r>
      <rPr>
        <sz val="11"/>
        <color theme="1"/>
        <rFont val="Calibri"/>
        <family val="2"/>
        <scheme val="minor"/>
      </rPr>
      <t xml:space="preserve"> - FRANCE
</t>
    </r>
    <r>
      <rPr>
        <b/>
        <sz val="11"/>
        <color theme="1"/>
        <rFont val="Calibri"/>
        <family val="2"/>
        <scheme val="minor"/>
      </rPr>
      <t>GF</t>
    </r>
    <r>
      <rPr>
        <sz val="11"/>
        <color theme="1"/>
        <rFont val="Calibri"/>
        <family val="2"/>
        <scheme val="minor"/>
      </rPr>
      <t xml:space="preserve"> - FRENCH GUIANA
</t>
    </r>
    <r>
      <rPr>
        <b/>
        <sz val="11"/>
        <color theme="1"/>
        <rFont val="Calibri"/>
        <family val="2"/>
        <scheme val="minor"/>
      </rPr>
      <t>PF</t>
    </r>
    <r>
      <rPr>
        <sz val="11"/>
        <color theme="1"/>
        <rFont val="Calibri"/>
        <family val="2"/>
        <scheme val="minor"/>
      </rPr>
      <t xml:space="preserve"> - FRENCH POLYNESIA
</t>
    </r>
    <r>
      <rPr>
        <b/>
        <sz val="11"/>
        <color theme="1"/>
        <rFont val="Calibri"/>
        <family val="2"/>
        <scheme val="minor"/>
      </rPr>
      <t>TF</t>
    </r>
    <r>
      <rPr>
        <sz val="11"/>
        <color theme="1"/>
        <rFont val="Calibri"/>
        <family val="2"/>
        <scheme val="minor"/>
      </rPr>
      <t xml:space="preserve"> - FRENCH SOUTHERN TERRITORIES
</t>
    </r>
    <r>
      <rPr>
        <b/>
        <sz val="11"/>
        <color theme="1"/>
        <rFont val="Calibri"/>
        <family val="2"/>
        <scheme val="minor"/>
      </rPr>
      <t>GA</t>
    </r>
    <r>
      <rPr>
        <sz val="11"/>
        <color theme="1"/>
        <rFont val="Calibri"/>
        <family val="2"/>
        <scheme val="minor"/>
      </rPr>
      <t xml:space="preserve"> - GABON
</t>
    </r>
    <r>
      <rPr>
        <b/>
        <sz val="11"/>
        <color theme="1"/>
        <rFont val="Calibri"/>
        <family val="2"/>
        <scheme val="minor"/>
      </rPr>
      <t>GM</t>
    </r>
    <r>
      <rPr>
        <sz val="11"/>
        <color theme="1"/>
        <rFont val="Calibri"/>
        <family val="2"/>
        <scheme val="minor"/>
      </rPr>
      <t xml:space="preserve"> - GAMBIA
</t>
    </r>
    <r>
      <rPr>
        <b/>
        <sz val="11"/>
        <color theme="1"/>
        <rFont val="Calibri"/>
        <family val="2"/>
        <scheme val="minor"/>
      </rPr>
      <t>GE</t>
    </r>
    <r>
      <rPr>
        <sz val="11"/>
        <color theme="1"/>
        <rFont val="Calibri"/>
        <family val="2"/>
        <scheme val="minor"/>
      </rPr>
      <t xml:space="preserve"> - GEORGIA
</t>
    </r>
    <r>
      <rPr>
        <b/>
        <sz val="11"/>
        <color theme="1"/>
        <rFont val="Calibri"/>
        <family val="2"/>
        <scheme val="minor"/>
      </rPr>
      <t>DE</t>
    </r>
    <r>
      <rPr>
        <sz val="11"/>
        <color theme="1"/>
        <rFont val="Calibri"/>
        <family val="2"/>
        <scheme val="minor"/>
      </rPr>
      <t xml:space="preserve"> - GERMANY
</t>
    </r>
    <r>
      <rPr>
        <b/>
        <sz val="11"/>
        <color theme="1"/>
        <rFont val="Calibri"/>
        <family val="2"/>
        <scheme val="minor"/>
      </rPr>
      <t>GH</t>
    </r>
    <r>
      <rPr>
        <sz val="11"/>
        <color theme="1"/>
        <rFont val="Calibri"/>
        <family val="2"/>
        <scheme val="minor"/>
      </rPr>
      <t xml:space="preserve"> - GHANA
</t>
    </r>
    <r>
      <rPr>
        <b/>
        <sz val="11"/>
        <color theme="1"/>
        <rFont val="Calibri"/>
        <family val="2"/>
        <scheme val="minor"/>
      </rPr>
      <t>GI</t>
    </r>
    <r>
      <rPr>
        <sz val="11"/>
        <color theme="1"/>
        <rFont val="Calibri"/>
        <family val="2"/>
        <scheme val="minor"/>
      </rPr>
      <t xml:space="preserve"> - GIBRALTAR
</t>
    </r>
    <r>
      <rPr>
        <b/>
        <sz val="11"/>
        <color theme="1"/>
        <rFont val="Calibri"/>
        <family val="2"/>
        <scheme val="minor"/>
      </rPr>
      <t>GR</t>
    </r>
    <r>
      <rPr>
        <sz val="11"/>
        <color theme="1"/>
        <rFont val="Calibri"/>
        <family val="2"/>
        <scheme val="minor"/>
      </rPr>
      <t xml:space="preserve"> - GREECE
</t>
    </r>
    <r>
      <rPr>
        <b/>
        <sz val="11"/>
        <color theme="1"/>
        <rFont val="Calibri"/>
        <family val="2"/>
        <scheme val="minor"/>
      </rPr>
      <t>GL</t>
    </r>
    <r>
      <rPr>
        <sz val="11"/>
        <color theme="1"/>
        <rFont val="Calibri"/>
        <family val="2"/>
        <scheme val="minor"/>
      </rPr>
      <t xml:space="preserve"> - GREENLAND
</t>
    </r>
    <r>
      <rPr>
        <b/>
        <sz val="11"/>
        <color theme="1"/>
        <rFont val="Calibri"/>
        <family val="2"/>
        <scheme val="minor"/>
      </rPr>
      <t>GD</t>
    </r>
    <r>
      <rPr>
        <sz val="11"/>
        <color theme="1"/>
        <rFont val="Calibri"/>
        <family val="2"/>
        <scheme val="minor"/>
      </rPr>
      <t xml:space="preserve"> - GRENADA
</t>
    </r>
    <r>
      <rPr>
        <b/>
        <sz val="11"/>
        <color theme="1"/>
        <rFont val="Calibri"/>
        <family val="2"/>
        <scheme val="minor"/>
      </rPr>
      <t>GP</t>
    </r>
    <r>
      <rPr>
        <sz val="11"/>
        <color theme="1"/>
        <rFont val="Calibri"/>
        <family val="2"/>
        <scheme val="minor"/>
      </rPr>
      <t xml:space="preserve"> - GUADELOUPE
</t>
    </r>
    <r>
      <rPr>
        <b/>
        <sz val="11"/>
        <color theme="1"/>
        <rFont val="Calibri"/>
        <family val="2"/>
        <scheme val="minor"/>
      </rPr>
      <t>GU</t>
    </r>
    <r>
      <rPr>
        <sz val="11"/>
        <color theme="1"/>
        <rFont val="Calibri"/>
        <family val="2"/>
        <scheme val="minor"/>
      </rPr>
      <t xml:space="preserve"> - GUAM
</t>
    </r>
    <r>
      <rPr>
        <b/>
        <sz val="11"/>
        <color theme="1"/>
        <rFont val="Calibri"/>
        <family val="2"/>
        <scheme val="minor"/>
      </rPr>
      <t>GT</t>
    </r>
    <r>
      <rPr>
        <sz val="11"/>
        <color theme="1"/>
        <rFont val="Calibri"/>
        <family val="2"/>
        <scheme val="minor"/>
      </rPr>
      <t xml:space="preserve"> - GUATEMALA
</t>
    </r>
    <r>
      <rPr>
        <b/>
        <sz val="11"/>
        <color theme="1"/>
        <rFont val="Calibri"/>
        <family val="2"/>
        <scheme val="minor"/>
      </rPr>
      <t>GG</t>
    </r>
    <r>
      <rPr>
        <sz val="11"/>
        <color theme="1"/>
        <rFont val="Calibri"/>
        <family val="2"/>
        <scheme val="minor"/>
      </rPr>
      <t xml:space="preserve"> - GUERNSEY
</t>
    </r>
    <r>
      <rPr>
        <b/>
        <sz val="11"/>
        <color theme="1"/>
        <rFont val="Calibri"/>
        <family val="2"/>
        <scheme val="minor"/>
      </rPr>
      <t>GN</t>
    </r>
    <r>
      <rPr>
        <sz val="11"/>
        <color theme="1"/>
        <rFont val="Calibri"/>
        <family val="2"/>
        <scheme val="minor"/>
      </rPr>
      <t xml:space="preserve"> - GUINEA
</t>
    </r>
    <r>
      <rPr>
        <b/>
        <sz val="11"/>
        <color theme="1"/>
        <rFont val="Calibri"/>
        <family val="2"/>
        <scheme val="minor"/>
      </rPr>
      <t>GW</t>
    </r>
    <r>
      <rPr>
        <sz val="11"/>
        <color theme="1"/>
        <rFont val="Calibri"/>
        <family val="2"/>
        <scheme val="minor"/>
      </rPr>
      <t xml:space="preserve"> - GUINEA-BISSAU
</t>
    </r>
    <r>
      <rPr>
        <b/>
        <sz val="11"/>
        <color theme="1"/>
        <rFont val="Calibri"/>
        <family val="2"/>
        <scheme val="minor"/>
      </rPr>
      <t>GY</t>
    </r>
    <r>
      <rPr>
        <sz val="11"/>
        <color theme="1"/>
        <rFont val="Calibri"/>
        <family val="2"/>
        <scheme val="minor"/>
      </rPr>
      <t xml:space="preserve"> - GUYANA
</t>
    </r>
    <r>
      <rPr>
        <b/>
        <sz val="11"/>
        <color theme="1"/>
        <rFont val="Calibri"/>
        <family val="2"/>
        <scheme val="minor"/>
      </rPr>
      <t>HT</t>
    </r>
    <r>
      <rPr>
        <sz val="11"/>
        <color theme="1"/>
        <rFont val="Calibri"/>
        <family val="2"/>
        <scheme val="minor"/>
      </rPr>
      <t xml:space="preserve"> - HAITI
</t>
    </r>
    <r>
      <rPr>
        <b/>
        <sz val="11"/>
        <color theme="1"/>
        <rFont val="Calibri"/>
        <family val="2"/>
        <scheme val="minor"/>
      </rPr>
      <t>HM</t>
    </r>
    <r>
      <rPr>
        <sz val="11"/>
        <color theme="1"/>
        <rFont val="Calibri"/>
        <family val="2"/>
        <scheme val="minor"/>
      </rPr>
      <t xml:space="preserve"> - HEARD ISLAND AND MCDONALD ISLANDS
</t>
    </r>
    <r>
      <rPr>
        <b/>
        <sz val="11"/>
        <color theme="1"/>
        <rFont val="Calibri"/>
        <family val="2"/>
        <scheme val="minor"/>
      </rPr>
      <t>VA</t>
    </r>
    <r>
      <rPr>
        <sz val="11"/>
        <color theme="1"/>
        <rFont val="Calibri"/>
        <family val="2"/>
        <scheme val="minor"/>
      </rPr>
      <t xml:space="preserve"> - HOLY SEE
</t>
    </r>
    <r>
      <rPr>
        <b/>
        <sz val="11"/>
        <color theme="1"/>
        <rFont val="Calibri"/>
        <family val="2"/>
        <scheme val="minor"/>
      </rPr>
      <t>HN</t>
    </r>
    <r>
      <rPr>
        <sz val="11"/>
        <color theme="1"/>
        <rFont val="Calibri"/>
        <family val="2"/>
        <scheme val="minor"/>
      </rPr>
      <t xml:space="preserve"> - HONDURAS
</t>
    </r>
    <r>
      <rPr>
        <b/>
        <sz val="11"/>
        <color theme="1"/>
        <rFont val="Calibri"/>
        <family val="2"/>
        <scheme val="minor"/>
      </rPr>
      <t>HK</t>
    </r>
    <r>
      <rPr>
        <sz val="11"/>
        <color theme="1"/>
        <rFont val="Calibri"/>
        <family val="2"/>
        <scheme val="minor"/>
      </rPr>
      <t xml:space="preserve"> - HONG KONG
</t>
    </r>
    <r>
      <rPr>
        <b/>
        <sz val="11"/>
        <color theme="1"/>
        <rFont val="Calibri"/>
        <family val="2"/>
        <scheme val="minor"/>
      </rPr>
      <t>HU</t>
    </r>
    <r>
      <rPr>
        <sz val="11"/>
        <color theme="1"/>
        <rFont val="Calibri"/>
        <family val="2"/>
        <scheme val="minor"/>
      </rPr>
      <t xml:space="preserve"> - HUNGARY
</t>
    </r>
    <r>
      <rPr>
        <b/>
        <sz val="11"/>
        <color theme="1"/>
        <rFont val="Calibri"/>
        <family val="2"/>
        <scheme val="minor"/>
      </rPr>
      <t>IS</t>
    </r>
    <r>
      <rPr>
        <sz val="11"/>
        <color theme="1"/>
        <rFont val="Calibri"/>
        <family val="2"/>
        <scheme val="minor"/>
      </rPr>
      <t xml:space="preserve"> - ICELAND
</t>
    </r>
    <r>
      <rPr>
        <b/>
        <sz val="11"/>
        <color theme="1"/>
        <rFont val="Calibri"/>
        <family val="2"/>
        <scheme val="minor"/>
      </rPr>
      <t>IN</t>
    </r>
    <r>
      <rPr>
        <sz val="11"/>
        <color theme="1"/>
        <rFont val="Calibri"/>
        <family val="2"/>
        <scheme val="minor"/>
      </rPr>
      <t xml:space="preserve"> - INDIA
</t>
    </r>
    <r>
      <rPr>
        <b/>
        <sz val="11"/>
        <color theme="1"/>
        <rFont val="Calibri"/>
        <family val="2"/>
        <scheme val="minor"/>
      </rPr>
      <t>ID</t>
    </r>
    <r>
      <rPr>
        <sz val="11"/>
        <color theme="1"/>
        <rFont val="Calibri"/>
        <family val="2"/>
        <scheme val="minor"/>
      </rPr>
      <t xml:space="preserve"> - INDONESIA
</t>
    </r>
    <r>
      <rPr>
        <b/>
        <sz val="11"/>
        <color theme="1"/>
        <rFont val="Calibri"/>
        <family val="2"/>
        <scheme val="minor"/>
      </rPr>
      <t>IR</t>
    </r>
    <r>
      <rPr>
        <sz val="11"/>
        <color theme="1"/>
        <rFont val="Calibri"/>
        <family val="2"/>
        <scheme val="minor"/>
      </rPr>
      <t xml:space="preserve"> - IRAN (ISLAMIC REPUBLIC OF)
</t>
    </r>
    <r>
      <rPr>
        <b/>
        <sz val="11"/>
        <color theme="1"/>
        <rFont val="Calibri"/>
        <family val="2"/>
        <scheme val="minor"/>
      </rPr>
      <t>IQ</t>
    </r>
    <r>
      <rPr>
        <sz val="11"/>
        <color theme="1"/>
        <rFont val="Calibri"/>
        <family val="2"/>
        <scheme val="minor"/>
      </rPr>
      <t xml:space="preserve"> - IRAQ
</t>
    </r>
    <r>
      <rPr>
        <b/>
        <sz val="11"/>
        <color theme="1"/>
        <rFont val="Calibri"/>
        <family val="2"/>
        <scheme val="minor"/>
      </rPr>
      <t>IE</t>
    </r>
    <r>
      <rPr>
        <sz val="11"/>
        <color theme="1"/>
        <rFont val="Calibri"/>
        <family val="2"/>
        <scheme val="minor"/>
      </rPr>
      <t xml:space="preserve"> - IRELAND
</t>
    </r>
    <r>
      <rPr>
        <b/>
        <sz val="11"/>
        <color theme="1"/>
        <rFont val="Calibri"/>
        <family val="2"/>
        <scheme val="minor"/>
      </rPr>
      <t>IM</t>
    </r>
    <r>
      <rPr>
        <sz val="11"/>
        <color theme="1"/>
        <rFont val="Calibri"/>
        <family val="2"/>
        <scheme val="minor"/>
      </rPr>
      <t xml:space="preserve"> - ISLE OF MAN
</t>
    </r>
    <r>
      <rPr>
        <b/>
        <sz val="11"/>
        <color theme="1"/>
        <rFont val="Calibri"/>
        <family val="2"/>
        <scheme val="minor"/>
      </rPr>
      <t>IL</t>
    </r>
    <r>
      <rPr>
        <sz val="11"/>
        <color theme="1"/>
        <rFont val="Calibri"/>
        <family val="2"/>
        <scheme val="minor"/>
      </rPr>
      <t xml:space="preserve"> - ISRAEL
</t>
    </r>
    <r>
      <rPr>
        <b/>
        <sz val="11"/>
        <color theme="1"/>
        <rFont val="Calibri"/>
        <family val="2"/>
        <scheme val="minor"/>
      </rPr>
      <t>IT</t>
    </r>
    <r>
      <rPr>
        <sz val="11"/>
        <color theme="1"/>
        <rFont val="Calibri"/>
        <family val="2"/>
        <scheme val="minor"/>
      </rPr>
      <t xml:space="preserve"> - ITALY
</t>
    </r>
    <r>
      <rPr>
        <b/>
        <sz val="11"/>
        <color theme="1"/>
        <rFont val="Calibri"/>
        <family val="2"/>
        <scheme val="minor"/>
      </rPr>
      <t>JM</t>
    </r>
    <r>
      <rPr>
        <sz val="11"/>
        <color theme="1"/>
        <rFont val="Calibri"/>
        <family val="2"/>
        <scheme val="minor"/>
      </rPr>
      <t xml:space="preserve"> - JAMAICA
</t>
    </r>
    <r>
      <rPr>
        <b/>
        <sz val="11"/>
        <color theme="1"/>
        <rFont val="Calibri"/>
        <family val="2"/>
        <scheme val="minor"/>
      </rPr>
      <t>JP</t>
    </r>
    <r>
      <rPr>
        <sz val="11"/>
        <color theme="1"/>
        <rFont val="Calibri"/>
        <family val="2"/>
        <scheme val="minor"/>
      </rPr>
      <t xml:space="preserve"> - JAPAN
</t>
    </r>
    <r>
      <rPr>
        <b/>
        <sz val="11"/>
        <color theme="1"/>
        <rFont val="Calibri"/>
        <family val="2"/>
        <scheme val="minor"/>
      </rPr>
      <t>JE</t>
    </r>
    <r>
      <rPr>
        <sz val="11"/>
        <color theme="1"/>
        <rFont val="Calibri"/>
        <family val="2"/>
        <scheme val="minor"/>
      </rPr>
      <t xml:space="preserve"> - JERSEY
</t>
    </r>
    <r>
      <rPr>
        <b/>
        <sz val="11"/>
        <color theme="1"/>
        <rFont val="Calibri"/>
        <family val="2"/>
        <scheme val="minor"/>
      </rPr>
      <t>JO</t>
    </r>
    <r>
      <rPr>
        <sz val="11"/>
        <color theme="1"/>
        <rFont val="Calibri"/>
        <family val="2"/>
        <scheme val="minor"/>
      </rPr>
      <t xml:space="preserve"> - JORDAN
</t>
    </r>
    <r>
      <rPr>
        <b/>
        <sz val="11"/>
        <color theme="1"/>
        <rFont val="Calibri"/>
        <family val="2"/>
        <scheme val="minor"/>
      </rPr>
      <t>KZ</t>
    </r>
    <r>
      <rPr>
        <sz val="11"/>
        <color theme="1"/>
        <rFont val="Calibri"/>
        <family val="2"/>
        <scheme val="minor"/>
      </rPr>
      <t xml:space="preserve"> - KAZAKHSTAN
</t>
    </r>
    <r>
      <rPr>
        <b/>
        <sz val="11"/>
        <color theme="1"/>
        <rFont val="Calibri"/>
        <family val="2"/>
        <scheme val="minor"/>
      </rPr>
      <t>KE</t>
    </r>
    <r>
      <rPr>
        <sz val="11"/>
        <color theme="1"/>
        <rFont val="Calibri"/>
        <family val="2"/>
        <scheme val="minor"/>
      </rPr>
      <t xml:space="preserve"> - KENYA
</t>
    </r>
    <r>
      <rPr>
        <b/>
        <sz val="11"/>
        <color theme="1"/>
        <rFont val="Calibri"/>
        <family val="2"/>
        <scheme val="minor"/>
      </rPr>
      <t>KI</t>
    </r>
    <r>
      <rPr>
        <sz val="11"/>
        <color theme="1"/>
        <rFont val="Calibri"/>
        <family val="2"/>
        <scheme val="minor"/>
      </rPr>
      <t xml:space="preserve"> - KIRIBATI
</t>
    </r>
    <r>
      <rPr>
        <b/>
        <sz val="11"/>
        <color theme="1"/>
        <rFont val="Calibri"/>
        <family val="2"/>
        <scheme val="minor"/>
      </rPr>
      <t>KP</t>
    </r>
    <r>
      <rPr>
        <sz val="11"/>
        <color theme="1"/>
        <rFont val="Calibri"/>
        <family val="2"/>
        <scheme val="minor"/>
      </rPr>
      <t xml:space="preserve"> - KOREA (DEMOCRATIC PEOPLE'S REPUBLIC OF)
</t>
    </r>
    <r>
      <rPr>
        <b/>
        <sz val="11"/>
        <color theme="1"/>
        <rFont val="Calibri"/>
        <family val="2"/>
        <scheme val="minor"/>
      </rPr>
      <t>KR</t>
    </r>
    <r>
      <rPr>
        <sz val="11"/>
        <color theme="1"/>
        <rFont val="Calibri"/>
        <family val="2"/>
        <scheme val="minor"/>
      </rPr>
      <t xml:space="preserve"> - KOREA, REPUBLIC OF
</t>
    </r>
    <r>
      <rPr>
        <b/>
        <sz val="11"/>
        <color theme="1"/>
        <rFont val="Calibri"/>
        <family val="2"/>
        <scheme val="minor"/>
      </rPr>
      <t>KW</t>
    </r>
    <r>
      <rPr>
        <sz val="11"/>
        <color theme="1"/>
        <rFont val="Calibri"/>
        <family val="2"/>
        <scheme val="minor"/>
      </rPr>
      <t xml:space="preserve"> - KUWAIT
</t>
    </r>
    <r>
      <rPr>
        <b/>
        <sz val="11"/>
        <color theme="1"/>
        <rFont val="Calibri"/>
        <family val="2"/>
        <scheme val="minor"/>
      </rPr>
      <t>KG</t>
    </r>
    <r>
      <rPr>
        <sz val="11"/>
        <color theme="1"/>
        <rFont val="Calibri"/>
        <family val="2"/>
        <scheme val="minor"/>
      </rPr>
      <t xml:space="preserve"> - KYRGYZSTAN
</t>
    </r>
    <r>
      <rPr>
        <b/>
        <sz val="11"/>
        <color theme="1"/>
        <rFont val="Calibri"/>
        <family val="2"/>
        <scheme val="minor"/>
      </rPr>
      <t>LA</t>
    </r>
    <r>
      <rPr>
        <sz val="11"/>
        <color theme="1"/>
        <rFont val="Calibri"/>
        <family val="2"/>
        <scheme val="minor"/>
      </rPr>
      <t xml:space="preserve"> - LAO PEOPLE'S DEMOCRATIC REPUBLIC
</t>
    </r>
    <r>
      <rPr>
        <b/>
        <sz val="11"/>
        <color theme="1"/>
        <rFont val="Calibri"/>
        <family val="2"/>
        <scheme val="minor"/>
      </rPr>
      <t>LV</t>
    </r>
    <r>
      <rPr>
        <sz val="11"/>
        <color theme="1"/>
        <rFont val="Calibri"/>
        <family val="2"/>
        <scheme val="minor"/>
      </rPr>
      <t xml:space="preserve"> - LATVIA
</t>
    </r>
    <r>
      <rPr>
        <b/>
        <sz val="11"/>
        <color theme="1"/>
        <rFont val="Calibri"/>
        <family val="2"/>
        <scheme val="minor"/>
      </rPr>
      <t>LB</t>
    </r>
    <r>
      <rPr>
        <sz val="11"/>
        <color theme="1"/>
        <rFont val="Calibri"/>
        <family val="2"/>
        <scheme val="minor"/>
      </rPr>
      <t xml:space="preserve"> - LEBANON
</t>
    </r>
    <r>
      <rPr>
        <b/>
        <sz val="11"/>
        <color theme="1"/>
        <rFont val="Calibri"/>
        <family val="2"/>
        <scheme val="minor"/>
      </rPr>
      <t>LS</t>
    </r>
    <r>
      <rPr>
        <sz val="11"/>
        <color theme="1"/>
        <rFont val="Calibri"/>
        <family val="2"/>
        <scheme val="minor"/>
      </rPr>
      <t xml:space="preserve"> - LESOTHO
</t>
    </r>
    <r>
      <rPr>
        <b/>
        <sz val="11"/>
        <color theme="1"/>
        <rFont val="Calibri"/>
        <family val="2"/>
        <scheme val="minor"/>
      </rPr>
      <t>LR</t>
    </r>
    <r>
      <rPr>
        <sz val="11"/>
        <color theme="1"/>
        <rFont val="Calibri"/>
        <family val="2"/>
        <scheme val="minor"/>
      </rPr>
      <t xml:space="preserve"> - LIBERIA
</t>
    </r>
    <r>
      <rPr>
        <b/>
        <sz val="11"/>
        <color theme="1"/>
        <rFont val="Calibri"/>
        <family val="2"/>
        <scheme val="minor"/>
      </rPr>
      <t>LY</t>
    </r>
    <r>
      <rPr>
        <sz val="11"/>
        <color theme="1"/>
        <rFont val="Calibri"/>
        <family val="2"/>
        <scheme val="minor"/>
      </rPr>
      <t xml:space="preserve"> - LIBYA
</t>
    </r>
    <r>
      <rPr>
        <b/>
        <sz val="11"/>
        <color theme="1"/>
        <rFont val="Calibri"/>
        <family val="2"/>
        <scheme val="minor"/>
      </rPr>
      <t>LI</t>
    </r>
    <r>
      <rPr>
        <sz val="11"/>
        <color theme="1"/>
        <rFont val="Calibri"/>
        <family val="2"/>
        <scheme val="minor"/>
      </rPr>
      <t xml:space="preserve"> - LIECHTENSTEIN
</t>
    </r>
    <r>
      <rPr>
        <b/>
        <sz val="11"/>
        <color theme="1"/>
        <rFont val="Calibri"/>
        <family val="2"/>
        <scheme val="minor"/>
      </rPr>
      <t>LT</t>
    </r>
    <r>
      <rPr>
        <sz val="11"/>
        <color theme="1"/>
        <rFont val="Calibri"/>
        <family val="2"/>
        <scheme val="minor"/>
      </rPr>
      <t xml:space="preserve"> - LITHUANIA
</t>
    </r>
    <r>
      <rPr>
        <b/>
        <sz val="11"/>
        <color theme="1"/>
        <rFont val="Calibri"/>
        <family val="2"/>
        <scheme val="minor"/>
      </rPr>
      <t>LU</t>
    </r>
    <r>
      <rPr>
        <sz val="11"/>
        <color theme="1"/>
        <rFont val="Calibri"/>
        <family val="2"/>
        <scheme val="minor"/>
      </rPr>
      <t xml:space="preserve"> - LUXEMBOURG
</t>
    </r>
    <r>
      <rPr>
        <b/>
        <sz val="11"/>
        <color theme="1"/>
        <rFont val="Calibri"/>
        <family val="2"/>
        <scheme val="minor"/>
      </rPr>
      <t>MO</t>
    </r>
    <r>
      <rPr>
        <sz val="11"/>
        <color theme="1"/>
        <rFont val="Calibri"/>
        <family val="2"/>
        <scheme val="minor"/>
      </rPr>
      <t xml:space="preserve"> - MACAO
</t>
    </r>
    <r>
      <rPr>
        <b/>
        <sz val="11"/>
        <color theme="1"/>
        <rFont val="Calibri"/>
        <family val="2"/>
        <scheme val="minor"/>
      </rPr>
      <t>MK</t>
    </r>
    <r>
      <rPr>
        <sz val="11"/>
        <color theme="1"/>
        <rFont val="Calibri"/>
        <family val="2"/>
        <scheme val="minor"/>
      </rPr>
      <t xml:space="preserve"> - NORTH MACEDONIA
</t>
    </r>
    <r>
      <rPr>
        <b/>
        <sz val="11"/>
        <color theme="1"/>
        <rFont val="Calibri"/>
        <family val="2"/>
        <scheme val="minor"/>
      </rPr>
      <t>MG</t>
    </r>
    <r>
      <rPr>
        <sz val="11"/>
        <color theme="1"/>
        <rFont val="Calibri"/>
        <family val="2"/>
        <scheme val="minor"/>
      </rPr>
      <t xml:space="preserve"> - MADAGASCAR
</t>
    </r>
    <r>
      <rPr>
        <b/>
        <sz val="11"/>
        <color theme="1"/>
        <rFont val="Calibri"/>
        <family val="2"/>
        <scheme val="minor"/>
      </rPr>
      <t>MW</t>
    </r>
    <r>
      <rPr>
        <sz val="11"/>
        <color theme="1"/>
        <rFont val="Calibri"/>
        <family val="2"/>
        <scheme val="minor"/>
      </rPr>
      <t xml:space="preserve"> - MALAWI
</t>
    </r>
    <r>
      <rPr>
        <b/>
        <sz val="11"/>
        <color theme="1"/>
        <rFont val="Calibri"/>
        <family val="2"/>
        <scheme val="minor"/>
      </rPr>
      <t>MY</t>
    </r>
    <r>
      <rPr>
        <sz val="11"/>
        <color theme="1"/>
        <rFont val="Calibri"/>
        <family val="2"/>
        <scheme val="minor"/>
      </rPr>
      <t xml:space="preserve"> - MALAYSIA
</t>
    </r>
    <r>
      <rPr>
        <b/>
        <sz val="11"/>
        <color theme="1"/>
        <rFont val="Calibri"/>
        <family val="2"/>
        <scheme val="minor"/>
      </rPr>
      <t>MV</t>
    </r>
    <r>
      <rPr>
        <sz val="11"/>
        <color theme="1"/>
        <rFont val="Calibri"/>
        <family val="2"/>
        <scheme val="minor"/>
      </rPr>
      <t xml:space="preserve"> - MALDIVES
</t>
    </r>
    <r>
      <rPr>
        <b/>
        <sz val="11"/>
        <color theme="1"/>
        <rFont val="Calibri"/>
        <family val="2"/>
        <scheme val="minor"/>
      </rPr>
      <t>ML</t>
    </r>
    <r>
      <rPr>
        <sz val="11"/>
        <color theme="1"/>
        <rFont val="Calibri"/>
        <family val="2"/>
        <scheme val="minor"/>
      </rPr>
      <t xml:space="preserve"> - MALI
</t>
    </r>
    <r>
      <rPr>
        <b/>
        <sz val="11"/>
        <color theme="1"/>
        <rFont val="Calibri"/>
        <family val="2"/>
        <scheme val="minor"/>
      </rPr>
      <t>MT</t>
    </r>
    <r>
      <rPr>
        <sz val="11"/>
        <color theme="1"/>
        <rFont val="Calibri"/>
        <family val="2"/>
        <scheme val="minor"/>
      </rPr>
      <t xml:space="preserve"> - MALTA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MQ</t>
    </r>
    <r>
      <rPr>
        <sz val="11"/>
        <color theme="1"/>
        <rFont val="Calibri"/>
        <family val="2"/>
        <scheme val="minor"/>
      </rPr>
      <t xml:space="preserve"> - MARTINIQUE
</t>
    </r>
    <r>
      <rPr>
        <b/>
        <sz val="11"/>
        <color theme="1"/>
        <rFont val="Calibri"/>
        <family val="2"/>
        <scheme val="minor"/>
      </rPr>
      <t>MR</t>
    </r>
    <r>
      <rPr>
        <sz val="11"/>
        <color theme="1"/>
        <rFont val="Calibri"/>
        <family val="2"/>
        <scheme val="minor"/>
      </rPr>
      <t xml:space="preserve"> - MAURITANIA
</t>
    </r>
    <r>
      <rPr>
        <b/>
        <sz val="11"/>
        <color theme="1"/>
        <rFont val="Calibri"/>
        <family val="2"/>
        <scheme val="minor"/>
      </rPr>
      <t>MU</t>
    </r>
    <r>
      <rPr>
        <sz val="11"/>
        <color theme="1"/>
        <rFont val="Calibri"/>
        <family val="2"/>
        <scheme val="minor"/>
      </rPr>
      <t xml:space="preserve"> - MAURITIUS
</t>
    </r>
    <r>
      <rPr>
        <b/>
        <sz val="11"/>
        <color theme="1"/>
        <rFont val="Calibri"/>
        <family val="2"/>
        <scheme val="minor"/>
      </rPr>
      <t>YT</t>
    </r>
    <r>
      <rPr>
        <sz val="11"/>
        <color theme="1"/>
        <rFont val="Calibri"/>
        <family val="2"/>
        <scheme val="minor"/>
      </rPr>
      <t xml:space="preserve"> - MAYOTTE
</t>
    </r>
    <r>
      <rPr>
        <b/>
        <sz val="11"/>
        <color theme="1"/>
        <rFont val="Calibri"/>
        <family val="2"/>
        <scheme val="minor"/>
      </rPr>
      <t>MX</t>
    </r>
    <r>
      <rPr>
        <sz val="11"/>
        <color theme="1"/>
        <rFont val="Calibri"/>
        <family val="2"/>
        <scheme val="minor"/>
      </rPr>
      <t xml:space="preserve"> - MEXICO
</t>
    </r>
    <r>
      <rPr>
        <b/>
        <sz val="11"/>
        <color theme="1"/>
        <rFont val="Calibri"/>
        <family val="2"/>
        <scheme val="minor"/>
      </rPr>
      <t>FM</t>
    </r>
    <r>
      <rPr>
        <sz val="11"/>
        <color theme="1"/>
        <rFont val="Calibri"/>
        <family val="2"/>
        <scheme val="minor"/>
      </rPr>
      <t xml:space="preserve"> - MICRONESIA (FEDERATED STATES OF)
</t>
    </r>
    <r>
      <rPr>
        <b/>
        <sz val="11"/>
        <color theme="1"/>
        <rFont val="Calibri"/>
        <family val="2"/>
        <scheme val="minor"/>
      </rPr>
      <t>MD</t>
    </r>
    <r>
      <rPr>
        <sz val="11"/>
        <color theme="1"/>
        <rFont val="Calibri"/>
        <family val="2"/>
        <scheme val="minor"/>
      </rPr>
      <t xml:space="preserve"> - MOLDOVA, REPUBLIC OF
</t>
    </r>
    <r>
      <rPr>
        <b/>
        <sz val="11"/>
        <color theme="1"/>
        <rFont val="Calibri"/>
        <family val="2"/>
        <scheme val="minor"/>
      </rPr>
      <t>MC</t>
    </r>
    <r>
      <rPr>
        <sz val="11"/>
        <color theme="1"/>
        <rFont val="Calibri"/>
        <family val="2"/>
        <scheme val="minor"/>
      </rPr>
      <t xml:space="preserve"> - MONACO
</t>
    </r>
    <r>
      <rPr>
        <b/>
        <sz val="11"/>
        <color theme="1"/>
        <rFont val="Calibri"/>
        <family val="2"/>
        <scheme val="minor"/>
      </rPr>
      <t>MN</t>
    </r>
    <r>
      <rPr>
        <sz val="11"/>
        <color theme="1"/>
        <rFont val="Calibri"/>
        <family val="2"/>
        <scheme val="minor"/>
      </rPr>
      <t xml:space="preserve"> - MONGOLIA
</t>
    </r>
    <r>
      <rPr>
        <b/>
        <sz val="11"/>
        <color theme="1"/>
        <rFont val="Calibri"/>
        <family val="2"/>
        <scheme val="minor"/>
      </rPr>
      <t>ME</t>
    </r>
    <r>
      <rPr>
        <sz val="11"/>
        <color theme="1"/>
        <rFont val="Calibri"/>
        <family val="2"/>
        <scheme val="minor"/>
      </rPr>
      <t xml:space="preserve"> - MONTENEGRO
</t>
    </r>
    <r>
      <rPr>
        <b/>
        <sz val="11"/>
        <color theme="1"/>
        <rFont val="Calibri"/>
        <family val="2"/>
        <scheme val="minor"/>
      </rPr>
      <t>MS</t>
    </r>
    <r>
      <rPr>
        <sz val="11"/>
        <color theme="1"/>
        <rFont val="Calibri"/>
        <family val="2"/>
        <scheme val="minor"/>
      </rPr>
      <t xml:space="preserve"> - MONTSERRAT
</t>
    </r>
    <r>
      <rPr>
        <b/>
        <sz val="11"/>
        <color theme="1"/>
        <rFont val="Calibri"/>
        <family val="2"/>
        <scheme val="minor"/>
      </rPr>
      <t>MA</t>
    </r>
    <r>
      <rPr>
        <sz val="11"/>
        <color theme="1"/>
        <rFont val="Calibri"/>
        <family val="2"/>
        <scheme val="minor"/>
      </rPr>
      <t xml:space="preserve"> - MOROCCO
</t>
    </r>
    <r>
      <rPr>
        <b/>
        <sz val="11"/>
        <color theme="1"/>
        <rFont val="Calibri"/>
        <family val="2"/>
        <scheme val="minor"/>
      </rPr>
      <t>MZ</t>
    </r>
    <r>
      <rPr>
        <sz val="11"/>
        <color theme="1"/>
        <rFont val="Calibri"/>
        <family val="2"/>
        <scheme val="minor"/>
      </rPr>
      <t xml:space="preserve"> - MOZAMBIQUE
</t>
    </r>
    <r>
      <rPr>
        <b/>
        <sz val="11"/>
        <color theme="1"/>
        <rFont val="Calibri"/>
        <family val="2"/>
        <scheme val="minor"/>
      </rPr>
      <t>MM</t>
    </r>
    <r>
      <rPr>
        <sz val="11"/>
        <color theme="1"/>
        <rFont val="Calibri"/>
        <family val="2"/>
        <scheme val="minor"/>
      </rPr>
      <t xml:space="preserve"> - MYANMAR
</t>
    </r>
    <r>
      <rPr>
        <b/>
        <sz val="11"/>
        <color theme="1"/>
        <rFont val="Calibri"/>
        <family val="2"/>
        <scheme val="minor"/>
      </rPr>
      <t>NA</t>
    </r>
    <r>
      <rPr>
        <sz val="11"/>
        <color theme="1"/>
        <rFont val="Calibri"/>
        <family val="2"/>
        <scheme val="minor"/>
      </rPr>
      <t xml:space="preserve"> - NAMIBIA
</t>
    </r>
    <r>
      <rPr>
        <b/>
        <sz val="11"/>
        <color theme="1"/>
        <rFont val="Calibri"/>
        <family val="2"/>
        <scheme val="minor"/>
      </rPr>
      <t>NR</t>
    </r>
    <r>
      <rPr>
        <sz val="11"/>
        <color theme="1"/>
        <rFont val="Calibri"/>
        <family val="2"/>
        <scheme val="minor"/>
      </rPr>
      <t xml:space="preserve"> - NAURU
</t>
    </r>
    <r>
      <rPr>
        <b/>
        <sz val="11"/>
        <color theme="1"/>
        <rFont val="Calibri"/>
        <family val="2"/>
        <scheme val="minor"/>
      </rPr>
      <t>NP</t>
    </r>
    <r>
      <rPr>
        <sz val="11"/>
        <color theme="1"/>
        <rFont val="Calibri"/>
        <family val="2"/>
        <scheme val="minor"/>
      </rPr>
      <t xml:space="preserve"> - NEPAL
</t>
    </r>
    <r>
      <rPr>
        <b/>
        <sz val="11"/>
        <color theme="1"/>
        <rFont val="Calibri"/>
        <family val="2"/>
        <scheme val="minor"/>
      </rPr>
      <t>NL</t>
    </r>
    <r>
      <rPr>
        <sz val="11"/>
        <color theme="1"/>
        <rFont val="Calibri"/>
        <family val="2"/>
        <scheme val="minor"/>
      </rPr>
      <t xml:space="preserve"> - NETHERLANDS
</t>
    </r>
    <r>
      <rPr>
        <b/>
        <sz val="11"/>
        <color theme="1"/>
        <rFont val="Calibri"/>
        <family val="2"/>
        <scheme val="minor"/>
      </rPr>
      <t>NC</t>
    </r>
    <r>
      <rPr>
        <sz val="11"/>
        <color theme="1"/>
        <rFont val="Calibri"/>
        <family val="2"/>
        <scheme val="minor"/>
      </rPr>
      <t xml:space="preserve"> - NEW CALEDONIA
</t>
    </r>
    <r>
      <rPr>
        <b/>
        <sz val="11"/>
        <color theme="1"/>
        <rFont val="Calibri"/>
        <family val="2"/>
        <scheme val="minor"/>
      </rPr>
      <t>NZ</t>
    </r>
    <r>
      <rPr>
        <sz val="11"/>
        <color theme="1"/>
        <rFont val="Calibri"/>
        <family val="2"/>
        <scheme val="minor"/>
      </rPr>
      <t xml:space="preserve"> - NEW ZEALAND
</t>
    </r>
    <r>
      <rPr>
        <b/>
        <sz val="11"/>
        <color theme="1"/>
        <rFont val="Calibri"/>
        <family val="2"/>
        <scheme val="minor"/>
      </rPr>
      <t>NI</t>
    </r>
    <r>
      <rPr>
        <sz val="11"/>
        <color theme="1"/>
        <rFont val="Calibri"/>
        <family val="2"/>
        <scheme val="minor"/>
      </rPr>
      <t xml:space="preserve"> - NICARAGUA
</t>
    </r>
    <r>
      <rPr>
        <b/>
        <sz val="11"/>
        <color theme="1"/>
        <rFont val="Calibri"/>
        <family val="2"/>
        <scheme val="minor"/>
      </rPr>
      <t>NE</t>
    </r>
    <r>
      <rPr>
        <sz val="11"/>
        <color theme="1"/>
        <rFont val="Calibri"/>
        <family val="2"/>
        <scheme val="minor"/>
      </rPr>
      <t xml:space="preserve"> - NIGER
</t>
    </r>
    <r>
      <rPr>
        <b/>
        <sz val="11"/>
        <color theme="1"/>
        <rFont val="Calibri"/>
        <family val="2"/>
        <scheme val="minor"/>
      </rPr>
      <t>NG</t>
    </r>
    <r>
      <rPr>
        <sz val="11"/>
        <color theme="1"/>
        <rFont val="Calibri"/>
        <family val="2"/>
        <scheme val="minor"/>
      </rPr>
      <t xml:space="preserve"> - NIGERIA
</t>
    </r>
    <r>
      <rPr>
        <b/>
        <sz val="11"/>
        <color theme="1"/>
        <rFont val="Calibri"/>
        <family val="2"/>
        <scheme val="minor"/>
      </rPr>
      <t>NU</t>
    </r>
    <r>
      <rPr>
        <sz val="11"/>
        <color theme="1"/>
        <rFont val="Calibri"/>
        <family val="2"/>
        <scheme val="minor"/>
      </rPr>
      <t xml:space="preserve"> - NIUE
</t>
    </r>
    <r>
      <rPr>
        <b/>
        <sz val="11"/>
        <color theme="1"/>
        <rFont val="Calibri"/>
        <family val="2"/>
        <scheme val="minor"/>
      </rPr>
      <t>NF</t>
    </r>
    <r>
      <rPr>
        <sz val="11"/>
        <color theme="1"/>
        <rFont val="Calibri"/>
        <family val="2"/>
        <scheme val="minor"/>
      </rPr>
      <t xml:space="preserve"> - NORFOLK ISLAND
</t>
    </r>
    <r>
      <rPr>
        <b/>
        <sz val="11"/>
        <color theme="1"/>
        <rFont val="Calibri"/>
        <family val="2"/>
        <scheme val="minor"/>
      </rPr>
      <t>MP</t>
    </r>
    <r>
      <rPr>
        <sz val="11"/>
        <color theme="1"/>
        <rFont val="Calibri"/>
        <family val="2"/>
        <scheme val="minor"/>
      </rPr>
      <t xml:space="preserve"> - NORTHERN MARIANA ISLANDS
</t>
    </r>
    <r>
      <rPr>
        <b/>
        <sz val="11"/>
        <color theme="1"/>
        <rFont val="Calibri"/>
        <family val="2"/>
        <scheme val="minor"/>
      </rPr>
      <t>NO</t>
    </r>
    <r>
      <rPr>
        <sz val="11"/>
        <color theme="1"/>
        <rFont val="Calibri"/>
        <family val="2"/>
        <scheme val="minor"/>
      </rPr>
      <t xml:space="preserve"> - NORWAY
</t>
    </r>
    <r>
      <rPr>
        <b/>
        <sz val="11"/>
        <color theme="1"/>
        <rFont val="Calibri"/>
        <family val="2"/>
        <scheme val="minor"/>
      </rPr>
      <t>OM</t>
    </r>
    <r>
      <rPr>
        <sz val="11"/>
        <color theme="1"/>
        <rFont val="Calibri"/>
        <family val="2"/>
        <scheme val="minor"/>
      </rPr>
      <t xml:space="preserve"> - OMAN
</t>
    </r>
    <r>
      <rPr>
        <b/>
        <sz val="11"/>
        <color theme="1"/>
        <rFont val="Calibri"/>
        <family val="2"/>
        <scheme val="minor"/>
      </rPr>
      <t>PK</t>
    </r>
    <r>
      <rPr>
        <sz val="11"/>
        <color theme="1"/>
        <rFont val="Calibri"/>
        <family val="2"/>
        <scheme val="minor"/>
      </rPr>
      <t xml:space="preserve"> - PAKISTAN
</t>
    </r>
    <r>
      <rPr>
        <b/>
        <sz val="11"/>
        <color theme="1"/>
        <rFont val="Calibri"/>
        <family val="2"/>
        <scheme val="minor"/>
      </rPr>
      <t>PW</t>
    </r>
    <r>
      <rPr>
        <sz val="11"/>
        <color theme="1"/>
        <rFont val="Calibri"/>
        <family val="2"/>
        <scheme val="minor"/>
      </rPr>
      <t xml:space="preserve"> - PALAU
</t>
    </r>
    <r>
      <rPr>
        <b/>
        <sz val="11"/>
        <color theme="1"/>
        <rFont val="Calibri"/>
        <family val="2"/>
        <scheme val="minor"/>
      </rPr>
      <t>PS</t>
    </r>
    <r>
      <rPr>
        <sz val="11"/>
        <color theme="1"/>
        <rFont val="Calibri"/>
        <family val="2"/>
        <scheme val="minor"/>
      </rPr>
      <t xml:space="preserve"> - PALESTINE, STATE OF
</t>
    </r>
    <r>
      <rPr>
        <b/>
        <sz val="11"/>
        <color theme="1"/>
        <rFont val="Calibri"/>
        <family val="2"/>
        <scheme val="minor"/>
      </rPr>
      <t>PA</t>
    </r>
    <r>
      <rPr>
        <sz val="11"/>
        <color theme="1"/>
        <rFont val="Calibri"/>
        <family val="2"/>
        <scheme val="minor"/>
      </rPr>
      <t xml:space="preserve"> - PANAMA
</t>
    </r>
    <r>
      <rPr>
        <b/>
        <sz val="11"/>
        <color theme="1"/>
        <rFont val="Calibri"/>
        <family val="2"/>
        <scheme val="minor"/>
      </rPr>
      <t>PG</t>
    </r>
    <r>
      <rPr>
        <sz val="11"/>
        <color theme="1"/>
        <rFont val="Calibri"/>
        <family val="2"/>
        <scheme val="minor"/>
      </rPr>
      <t xml:space="preserve"> - PAPUA NEW GUINEA
</t>
    </r>
    <r>
      <rPr>
        <b/>
        <sz val="11"/>
        <color theme="1"/>
        <rFont val="Calibri"/>
        <family val="2"/>
        <scheme val="minor"/>
      </rPr>
      <t>PY</t>
    </r>
    <r>
      <rPr>
        <sz val="11"/>
        <color theme="1"/>
        <rFont val="Calibri"/>
        <family val="2"/>
        <scheme val="minor"/>
      </rPr>
      <t xml:space="preserve"> - PARAGUAY
</t>
    </r>
    <r>
      <rPr>
        <b/>
        <sz val="11"/>
        <color theme="1"/>
        <rFont val="Calibri"/>
        <family val="2"/>
        <scheme val="minor"/>
      </rPr>
      <t>PE</t>
    </r>
    <r>
      <rPr>
        <sz val="11"/>
        <color theme="1"/>
        <rFont val="Calibri"/>
        <family val="2"/>
        <scheme val="minor"/>
      </rPr>
      <t xml:space="preserve"> - PERU
</t>
    </r>
    <r>
      <rPr>
        <b/>
        <sz val="11"/>
        <color theme="1"/>
        <rFont val="Calibri"/>
        <family val="2"/>
        <scheme val="minor"/>
      </rPr>
      <t>PH</t>
    </r>
    <r>
      <rPr>
        <sz val="11"/>
        <color theme="1"/>
        <rFont val="Calibri"/>
        <family val="2"/>
        <scheme val="minor"/>
      </rPr>
      <t xml:space="preserve"> - PHILIPPINES
</t>
    </r>
    <r>
      <rPr>
        <b/>
        <sz val="11"/>
        <color theme="1"/>
        <rFont val="Calibri"/>
        <family val="2"/>
        <scheme val="minor"/>
      </rPr>
      <t>PN</t>
    </r>
    <r>
      <rPr>
        <sz val="11"/>
        <color theme="1"/>
        <rFont val="Calibri"/>
        <family val="2"/>
        <scheme val="minor"/>
      </rPr>
      <t xml:space="preserve"> - PITCAIRN
</t>
    </r>
    <r>
      <rPr>
        <b/>
        <sz val="11"/>
        <color theme="1"/>
        <rFont val="Calibri"/>
        <family val="2"/>
        <scheme val="minor"/>
      </rPr>
      <t>PL</t>
    </r>
    <r>
      <rPr>
        <sz val="11"/>
        <color theme="1"/>
        <rFont val="Calibri"/>
        <family val="2"/>
        <scheme val="minor"/>
      </rPr>
      <t xml:space="preserve"> - POLAND
</t>
    </r>
    <r>
      <rPr>
        <b/>
        <sz val="11"/>
        <color theme="1"/>
        <rFont val="Calibri"/>
        <family val="2"/>
        <scheme val="minor"/>
      </rPr>
      <t>PT</t>
    </r>
    <r>
      <rPr>
        <sz val="11"/>
        <color theme="1"/>
        <rFont val="Calibri"/>
        <family val="2"/>
        <scheme val="minor"/>
      </rPr>
      <t xml:space="preserve"> - PORTUGAL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QA</t>
    </r>
    <r>
      <rPr>
        <sz val="11"/>
        <color theme="1"/>
        <rFont val="Calibri"/>
        <family val="2"/>
        <scheme val="minor"/>
      </rPr>
      <t xml:space="preserve"> - QATAR
</t>
    </r>
    <r>
      <rPr>
        <b/>
        <sz val="11"/>
        <color theme="1"/>
        <rFont val="Calibri"/>
        <family val="2"/>
        <scheme val="minor"/>
      </rPr>
      <t>RE</t>
    </r>
    <r>
      <rPr>
        <sz val="11"/>
        <color theme="1"/>
        <rFont val="Calibri"/>
        <family val="2"/>
        <scheme val="minor"/>
      </rPr>
      <t xml:space="preserve"> - RÉUNION
</t>
    </r>
    <r>
      <rPr>
        <b/>
        <sz val="11"/>
        <color theme="1"/>
        <rFont val="Calibri"/>
        <family val="2"/>
        <scheme val="minor"/>
      </rPr>
      <t>RO</t>
    </r>
    <r>
      <rPr>
        <sz val="11"/>
        <color theme="1"/>
        <rFont val="Calibri"/>
        <family val="2"/>
        <scheme val="minor"/>
      </rPr>
      <t xml:space="preserve"> - ROMANIA
</t>
    </r>
    <r>
      <rPr>
        <b/>
        <sz val="11"/>
        <color theme="1"/>
        <rFont val="Calibri"/>
        <family val="2"/>
        <scheme val="minor"/>
      </rPr>
      <t>RU</t>
    </r>
    <r>
      <rPr>
        <sz val="11"/>
        <color theme="1"/>
        <rFont val="Calibri"/>
        <family val="2"/>
        <scheme val="minor"/>
      </rPr>
      <t xml:space="preserve"> - RUSSIAN FEDERATION
</t>
    </r>
    <r>
      <rPr>
        <b/>
        <sz val="11"/>
        <color theme="1"/>
        <rFont val="Calibri"/>
        <family val="2"/>
        <scheme val="minor"/>
      </rPr>
      <t>RW</t>
    </r>
    <r>
      <rPr>
        <sz val="11"/>
        <color theme="1"/>
        <rFont val="Calibri"/>
        <family val="2"/>
        <scheme val="minor"/>
      </rPr>
      <t xml:space="preserve"> - RWANDA
</t>
    </r>
    <r>
      <rPr>
        <b/>
        <sz val="11"/>
        <color theme="1"/>
        <rFont val="Calibri"/>
        <family val="2"/>
        <scheme val="minor"/>
      </rPr>
      <t>BL</t>
    </r>
    <r>
      <rPr>
        <sz val="11"/>
        <color theme="1"/>
        <rFont val="Calibri"/>
        <family val="2"/>
        <scheme val="minor"/>
      </rPr>
      <t xml:space="preserve"> - SAINT BARTHÉLEMY
</t>
    </r>
    <r>
      <rPr>
        <b/>
        <sz val="11"/>
        <color theme="1"/>
        <rFont val="Calibri"/>
        <family val="2"/>
        <scheme val="minor"/>
      </rPr>
      <t>SH</t>
    </r>
    <r>
      <rPr>
        <sz val="11"/>
        <color theme="1"/>
        <rFont val="Calibri"/>
        <family val="2"/>
        <scheme val="minor"/>
      </rPr>
      <t xml:space="preserve"> - SAINT HELENA, ASCENSION AND TRISTAN DA CUNHA
</t>
    </r>
    <r>
      <rPr>
        <b/>
        <sz val="11"/>
        <color theme="1"/>
        <rFont val="Calibri"/>
        <family val="2"/>
        <scheme val="minor"/>
      </rPr>
      <t>KN</t>
    </r>
    <r>
      <rPr>
        <sz val="11"/>
        <color theme="1"/>
        <rFont val="Calibri"/>
        <family val="2"/>
        <scheme val="minor"/>
      </rPr>
      <t xml:space="preserve"> - SAINT KITTS AND NEVIS
</t>
    </r>
    <r>
      <rPr>
        <b/>
        <sz val="11"/>
        <color theme="1"/>
        <rFont val="Calibri"/>
        <family val="2"/>
        <scheme val="minor"/>
      </rPr>
      <t>LC</t>
    </r>
    <r>
      <rPr>
        <sz val="11"/>
        <color theme="1"/>
        <rFont val="Calibri"/>
        <family val="2"/>
        <scheme val="minor"/>
      </rPr>
      <t xml:space="preserve"> - SAINT LUCIA
</t>
    </r>
    <r>
      <rPr>
        <b/>
        <sz val="11"/>
        <color theme="1"/>
        <rFont val="Calibri"/>
        <family val="2"/>
        <scheme val="minor"/>
      </rPr>
      <t>MF</t>
    </r>
    <r>
      <rPr>
        <sz val="11"/>
        <color theme="1"/>
        <rFont val="Calibri"/>
        <family val="2"/>
        <scheme val="minor"/>
      </rPr>
      <t xml:space="preserve"> - SAINT MARTIN (FRENCH PART)
</t>
    </r>
    <r>
      <rPr>
        <b/>
        <sz val="11"/>
        <color theme="1"/>
        <rFont val="Calibri"/>
        <family val="2"/>
        <scheme val="minor"/>
      </rPr>
      <t>PM</t>
    </r>
    <r>
      <rPr>
        <sz val="11"/>
        <color theme="1"/>
        <rFont val="Calibri"/>
        <family val="2"/>
        <scheme val="minor"/>
      </rPr>
      <t xml:space="preserve"> - SAINT PIERRE AND MIQUELON
</t>
    </r>
    <r>
      <rPr>
        <b/>
        <sz val="11"/>
        <color theme="1"/>
        <rFont val="Calibri"/>
        <family val="2"/>
        <scheme val="minor"/>
      </rPr>
      <t>VC</t>
    </r>
    <r>
      <rPr>
        <sz val="11"/>
        <color theme="1"/>
        <rFont val="Calibri"/>
        <family val="2"/>
        <scheme val="minor"/>
      </rPr>
      <t xml:space="preserve"> - SAINT VINCENT AND THE GRENADINES
</t>
    </r>
    <r>
      <rPr>
        <b/>
        <sz val="11"/>
        <color theme="1"/>
        <rFont val="Calibri"/>
        <family val="2"/>
        <scheme val="minor"/>
      </rPr>
      <t>WS</t>
    </r>
    <r>
      <rPr>
        <sz val="11"/>
        <color theme="1"/>
        <rFont val="Calibri"/>
        <family val="2"/>
        <scheme val="minor"/>
      </rPr>
      <t xml:space="preserve"> - SAMOA
</t>
    </r>
    <r>
      <rPr>
        <b/>
        <sz val="11"/>
        <color theme="1"/>
        <rFont val="Calibri"/>
        <family val="2"/>
        <scheme val="minor"/>
      </rPr>
      <t>SM</t>
    </r>
    <r>
      <rPr>
        <sz val="11"/>
        <color theme="1"/>
        <rFont val="Calibri"/>
        <family val="2"/>
        <scheme val="minor"/>
      </rPr>
      <t xml:space="preserve"> - SAN MARINO
</t>
    </r>
    <r>
      <rPr>
        <b/>
        <sz val="11"/>
        <color theme="1"/>
        <rFont val="Calibri"/>
        <family val="2"/>
        <scheme val="minor"/>
      </rPr>
      <t>ST</t>
    </r>
    <r>
      <rPr>
        <sz val="11"/>
        <color theme="1"/>
        <rFont val="Calibri"/>
        <family val="2"/>
        <scheme val="minor"/>
      </rPr>
      <t xml:space="preserve"> - SAO TOME AND PRINCIPE
</t>
    </r>
    <r>
      <rPr>
        <b/>
        <sz val="11"/>
        <color theme="1"/>
        <rFont val="Calibri"/>
        <family val="2"/>
        <scheme val="minor"/>
      </rPr>
      <t>SA</t>
    </r>
    <r>
      <rPr>
        <sz val="11"/>
        <color theme="1"/>
        <rFont val="Calibri"/>
        <family val="2"/>
        <scheme val="minor"/>
      </rPr>
      <t xml:space="preserve"> - SAUDI ARABIA
</t>
    </r>
    <r>
      <rPr>
        <b/>
        <sz val="11"/>
        <color theme="1"/>
        <rFont val="Calibri"/>
        <family val="2"/>
        <scheme val="minor"/>
      </rPr>
      <t>SN</t>
    </r>
    <r>
      <rPr>
        <sz val="11"/>
        <color theme="1"/>
        <rFont val="Calibri"/>
        <family val="2"/>
        <scheme val="minor"/>
      </rPr>
      <t xml:space="preserve"> - SENEGAL
</t>
    </r>
    <r>
      <rPr>
        <b/>
        <sz val="11"/>
        <color theme="1"/>
        <rFont val="Calibri"/>
        <family val="2"/>
        <scheme val="minor"/>
      </rPr>
      <t>RS</t>
    </r>
    <r>
      <rPr>
        <sz val="11"/>
        <color theme="1"/>
        <rFont val="Calibri"/>
        <family val="2"/>
        <scheme val="minor"/>
      </rPr>
      <t xml:space="preserve"> - SERBIA
</t>
    </r>
    <r>
      <rPr>
        <b/>
        <sz val="11"/>
        <color theme="1"/>
        <rFont val="Calibri"/>
        <family val="2"/>
        <scheme val="minor"/>
      </rPr>
      <t>SC</t>
    </r>
    <r>
      <rPr>
        <sz val="11"/>
        <color theme="1"/>
        <rFont val="Calibri"/>
        <family val="2"/>
        <scheme val="minor"/>
      </rPr>
      <t xml:space="preserve"> - SEYCHELLES
</t>
    </r>
    <r>
      <rPr>
        <b/>
        <sz val="11"/>
        <color theme="1"/>
        <rFont val="Calibri"/>
        <family val="2"/>
        <scheme val="minor"/>
      </rPr>
      <t>SL</t>
    </r>
    <r>
      <rPr>
        <sz val="11"/>
        <color theme="1"/>
        <rFont val="Calibri"/>
        <family val="2"/>
        <scheme val="minor"/>
      </rPr>
      <t xml:space="preserve"> - SIERRA LEONE
</t>
    </r>
    <r>
      <rPr>
        <b/>
        <sz val="11"/>
        <color theme="1"/>
        <rFont val="Calibri"/>
        <family val="2"/>
        <scheme val="minor"/>
      </rPr>
      <t>SG</t>
    </r>
    <r>
      <rPr>
        <sz val="11"/>
        <color theme="1"/>
        <rFont val="Calibri"/>
        <family val="2"/>
        <scheme val="minor"/>
      </rPr>
      <t xml:space="preserve"> - SINGAPORE
</t>
    </r>
    <r>
      <rPr>
        <b/>
        <sz val="11"/>
        <color theme="1"/>
        <rFont val="Calibri"/>
        <family val="2"/>
        <scheme val="minor"/>
      </rPr>
      <t>SX</t>
    </r>
    <r>
      <rPr>
        <sz val="11"/>
        <color theme="1"/>
        <rFont val="Calibri"/>
        <family val="2"/>
        <scheme val="minor"/>
      </rPr>
      <t xml:space="preserve"> - SINT MAARTEN (DUTCH PART)
</t>
    </r>
    <r>
      <rPr>
        <b/>
        <sz val="11"/>
        <color theme="1"/>
        <rFont val="Calibri"/>
        <family val="2"/>
        <scheme val="minor"/>
      </rPr>
      <t>SK</t>
    </r>
    <r>
      <rPr>
        <sz val="11"/>
        <color theme="1"/>
        <rFont val="Calibri"/>
        <family val="2"/>
        <scheme val="minor"/>
      </rPr>
      <t xml:space="preserve"> - SLOVAKIA
</t>
    </r>
    <r>
      <rPr>
        <b/>
        <sz val="11"/>
        <color theme="1"/>
        <rFont val="Calibri"/>
        <family val="2"/>
        <scheme val="minor"/>
      </rPr>
      <t>SI</t>
    </r>
    <r>
      <rPr>
        <sz val="11"/>
        <color theme="1"/>
        <rFont val="Calibri"/>
        <family val="2"/>
        <scheme val="minor"/>
      </rPr>
      <t xml:space="preserve"> - SLOVENIA
</t>
    </r>
    <r>
      <rPr>
        <b/>
        <sz val="11"/>
        <color theme="1"/>
        <rFont val="Calibri"/>
        <family val="2"/>
        <scheme val="minor"/>
      </rPr>
      <t>SB</t>
    </r>
    <r>
      <rPr>
        <sz val="11"/>
        <color theme="1"/>
        <rFont val="Calibri"/>
        <family val="2"/>
        <scheme val="minor"/>
      </rPr>
      <t xml:space="preserve"> - SOLOMON ISLANDS
</t>
    </r>
    <r>
      <rPr>
        <b/>
        <sz val="11"/>
        <color theme="1"/>
        <rFont val="Calibri"/>
        <family val="2"/>
        <scheme val="minor"/>
      </rPr>
      <t>SO</t>
    </r>
    <r>
      <rPr>
        <sz val="11"/>
        <color theme="1"/>
        <rFont val="Calibri"/>
        <family val="2"/>
        <scheme val="minor"/>
      </rPr>
      <t xml:space="preserve"> - SOMALIA
</t>
    </r>
    <r>
      <rPr>
        <b/>
        <sz val="11"/>
        <color theme="1"/>
        <rFont val="Calibri"/>
        <family val="2"/>
        <scheme val="minor"/>
      </rPr>
      <t>ZA</t>
    </r>
    <r>
      <rPr>
        <sz val="11"/>
        <color theme="1"/>
        <rFont val="Calibri"/>
        <family val="2"/>
        <scheme val="minor"/>
      </rPr>
      <t xml:space="preserve"> - SOUTH AFRICA
</t>
    </r>
    <r>
      <rPr>
        <b/>
        <sz val="11"/>
        <color theme="1"/>
        <rFont val="Calibri"/>
        <family val="2"/>
        <scheme val="minor"/>
      </rPr>
      <t>GS</t>
    </r>
    <r>
      <rPr>
        <sz val="11"/>
        <color theme="1"/>
        <rFont val="Calibri"/>
        <family val="2"/>
        <scheme val="minor"/>
      </rPr>
      <t xml:space="preserve"> - SOUTH GEORGIA AND THE SOUTH SANDWICH ISLANDS
</t>
    </r>
    <r>
      <rPr>
        <b/>
        <sz val="11"/>
        <color theme="1"/>
        <rFont val="Calibri"/>
        <family val="2"/>
        <scheme val="minor"/>
      </rPr>
      <t>SS</t>
    </r>
    <r>
      <rPr>
        <sz val="11"/>
        <color theme="1"/>
        <rFont val="Calibri"/>
        <family val="2"/>
        <scheme val="minor"/>
      </rPr>
      <t xml:space="preserve"> - SOUTH SUDAN
</t>
    </r>
    <r>
      <rPr>
        <b/>
        <sz val="11"/>
        <color theme="1"/>
        <rFont val="Calibri"/>
        <family val="2"/>
        <scheme val="minor"/>
      </rPr>
      <t>ES</t>
    </r>
    <r>
      <rPr>
        <sz val="11"/>
        <color theme="1"/>
        <rFont val="Calibri"/>
        <family val="2"/>
        <scheme val="minor"/>
      </rPr>
      <t xml:space="preserve"> - SPAIN
</t>
    </r>
    <r>
      <rPr>
        <b/>
        <sz val="11"/>
        <color theme="1"/>
        <rFont val="Calibri"/>
        <family val="2"/>
        <scheme val="minor"/>
      </rPr>
      <t>LK</t>
    </r>
    <r>
      <rPr>
        <sz val="11"/>
        <color theme="1"/>
        <rFont val="Calibri"/>
        <family val="2"/>
        <scheme val="minor"/>
      </rPr>
      <t xml:space="preserve"> - SRI LANKA
</t>
    </r>
    <r>
      <rPr>
        <b/>
        <sz val="11"/>
        <color theme="1"/>
        <rFont val="Calibri"/>
        <family val="2"/>
        <scheme val="minor"/>
      </rPr>
      <t>SD</t>
    </r>
    <r>
      <rPr>
        <sz val="11"/>
        <color theme="1"/>
        <rFont val="Calibri"/>
        <family val="2"/>
        <scheme val="minor"/>
      </rPr>
      <t xml:space="preserve"> - SUDAN
</t>
    </r>
    <r>
      <rPr>
        <b/>
        <sz val="11"/>
        <color theme="1"/>
        <rFont val="Calibri"/>
        <family val="2"/>
        <scheme val="minor"/>
      </rPr>
      <t>SR</t>
    </r>
    <r>
      <rPr>
        <sz val="11"/>
        <color theme="1"/>
        <rFont val="Calibri"/>
        <family val="2"/>
        <scheme val="minor"/>
      </rPr>
      <t xml:space="preserve"> - SURINAME
</t>
    </r>
    <r>
      <rPr>
        <b/>
        <sz val="11"/>
        <color theme="1"/>
        <rFont val="Calibri"/>
        <family val="2"/>
        <scheme val="minor"/>
      </rPr>
      <t>SJ</t>
    </r>
    <r>
      <rPr>
        <sz val="11"/>
        <color theme="1"/>
        <rFont val="Calibri"/>
        <family val="2"/>
        <scheme val="minor"/>
      </rPr>
      <t xml:space="preserve"> - SVALBARD AND JAN MAYEN
</t>
    </r>
    <r>
      <rPr>
        <b/>
        <sz val="11"/>
        <color theme="1"/>
        <rFont val="Calibri"/>
        <family val="2"/>
        <scheme val="minor"/>
      </rPr>
      <t>SZ</t>
    </r>
    <r>
      <rPr>
        <sz val="11"/>
        <color theme="1"/>
        <rFont val="Calibri"/>
        <family val="2"/>
        <scheme val="minor"/>
      </rPr>
      <t xml:space="preserve"> - ESWATINI
</t>
    </r>
    <r>
      <rPr>
        <b/>
        <sz val="11"/>
        <color theme="1"/>
        <rFont val="Calibri"/>
        <family val="2"/>
        <scheme val="minor"/>
      </rPr>
      <t>SE</t>
    </r>
    <r>
      <rPr>
        <sz val="11"/>
        <color theme="1"/>
        <rFont val="Calibri"/>
        <family val="2"/>
        <scheme val="minor"/>
      </rPr>
      <t xml:space="preserve"> - SWEDEN
</t>
    </r>
    <r>
      <rPr>
        <b/>
        <sz val="11"/>
        <color theme="1"/>
        <rFont val="Calibri"/>
        <family val="2"/>
        <scheme val="minor"/>
      </rPr>
      <t>CH</t>
    </r>
    <r>
      <rPr>
        <sz val="11"/>
        <color theme="1"/>
        <rFont val="Calibri"/>
        <family val="2"/>
        <scheme val="minor"/>
      </rPr>
      <t xml:space="preserve"> - SWITZERLAND
</t>
    </r>
    <r>
      <rPr>
        <b/>
        <sz val="11"/>
        <color theme="1"/>
        <rFont val="Calibri"/>
        <family val="2"/>
        <scheme val="minor"/>
      </rPr>
      <t>SY</t>
    </r>
    <r>
      <rPr>
        <sz val="11"/>
        <color theme="1"/>
        <rFont val="Calibri"/>
        <family val="2"/>
        <scheme val="minor"/>
      </rPr>
      <t xml:space="preserve"> - SYRIAN ARAB REPUBLIC
</t>
    </r>
    <r>
      <rPr>
        <b/>
        <sz val="11"/>
        <color theme="1"/>
        <rFont val="Calibri"/>
        <family val="2"/>
        <scheme val="minor"/>
      </rPr>
      <t>TW</t>
    </r>
    <r>
      <rPr>
        <sz val="11"/>
        <color theme="1"/>
        <rFont val="Calibri"/>
        <family val="2"/>
        <scheme val="minor"/>
      </rPr>
      <t xml:space="preserve"> - TAIWAN
</t>
    </r>
    <r>
      <rPr>
        <b/>
        <sz val="11"/>
        <color theme="1"/>
        <rFont val="Calibri"/>
        <family val="2"/>
        <scheme val="minor"/>
      </rPr>
      <t>TJ</t>
    </r>
    <r>
      <rPr>
        <sz val="11"/>
        <color theme="1"/>
        <rFont val="Calibri"/>
        <family val="2"/>
        <scheme val="minor"/>
      </rPr>
      <t xml:space="preserve"> - TAJIKISTAN
</t>
    </r>
    <r>
      <rPr>
        <b/>
        <sz val="11"/>
        <color theme="1"/>
        <rFont val="Calibri"/>
        <family val="2"/>
        <scheme val="minor"/>
      </rPr>
      <t>TZ</t>
    </r>
    <r>
      <rPr>
        <sz val="11"/>
        <color theme="1"/>
        <rFont val="Calibri"/>
        <family val="2"/>
        <scheme val="minor"/>
      </rPr>
      <t xml:space="preserve"> - TANZANIA, UNITED REPUBLIC OF
</t>
    </r>
    <r>
      <rPr>
        <b/>
        <sz val="11"/>
        <color theme="1"/>
        <rFont val="Calibri"/>
        <family val="2"/>
        <scheme val="minor"/>
      </rPr>
      <t>TH</t>
    </r>
    <r>
      <rPr>
        <sz val="11"/>
        <color theme="1"/>
        <rFont val="Calibri"/>
        <family val="2"/>
        <scheme val="minor"/>
      </rPr>
      <t xml:space="preserve"> - THAILAND
</t>
    </r>
    <r>
      <rPr>
        <b/>
        <sz val="11"/>
        <color theme="1"/>
        <rFont val="Calibri"/>
        <family val="2"/>
        <scheme val="minor"/>
      </rPr>
      <t>TL</t>
    </r>
    <r>
      <rPr>
        <sz val="11"/>
        <color theme="1"/>
        <rFont val="Calibri"/>
        <family val="2"/>
        <scheme val="minor"/>
      </rPr>
      <t xml:space="preserve"> - TIMOR-LESTE
</t>
    </r>
    <r>
      <rPr>
        <b/>
        <sz val="11"/>
        <color theme="1"/>
        <rFont val="Calibri"/>
        <family val="2"/>
        <scheme val="minor"/>
      </rPr>
      <t>TG</t>
    </r>
    <r>
      <rPr>
        <sz val="11"/>
        <color theme="1"/>
        <rFont val="Calibri"/>
        <family val="2"/>
        <scheme val="minor"/>
      </rPr>
      <t xml:space="preserve"> - TOGO
</t>
    </r>
    <r>
      <rPr>
        <b/>
        <sz val="11"/>
        <color theme="1"/>
        <rFont val="Calibri"/>
        <family val="2"/>
        <scheme val="minor"/>
      </rPr>
      <t>TK</t>
    </r>
    <r>
      <rPr>
        <sz val="11"/>
        <color theme="1"/>
        <rFont val="Calibri"/>
        <family val="2"/>
        <scheme val="minor"/>
      </rPr>
      <t xml:space="preserve"> - TOKELAU
</t>
    </r>
    <r>
      <rPr>
        <b/>
        <sz val="11"/>
        <color theme="1"/>
        <rFont val="Calibri"/>
        <family val="2"/>
        <scheme val="minor"/>
      </rPr>
      <t>TO</t>
    </r>
    <r>
      <rPr>
        <sz val="11"/>
        <color theme="1"/>
        <rFont val="Calibri"/>
        <family val="2"/>
        <scheme val="minor"/>
      </rPr>
      <t xml:space="preserve"> - TONGA
</t>
    </r>
    <r>
      <rPr>
        <b/>
        <sz val="11"/>
        <color theme="1"/>
        <rFont val="Calibri"/>
        <family val="2"/>
        <scheme val="minor"/>
      </rPr>
      <t>TT</t>
    </r>
    <r>
      <rPr>
        <sz val="11"/>
        <color theme="1"/>
        <rFont val="Calibri"/>
        <family val="2"/>
        <scheme val="minor"/>
      </rPr>
      <t xml:space="preserve"> - TRINIDAD AND TOBAGO
</t>
    </r>
    <r>
      <rPr>
        <b/>
        <sz val="11"/>
        <color theme="1"/>
        <rFont val="Calibri"/>
        <family val="2"/>
        <scheme val="minor"/>
      </rPr>
      <t>TN</t>
    </r>
    <r>
      <rPr>
        <sz val="11"/>
        <color theme="1"/>
        <rFont val="Calibri"/>
        <family val="2"/>
        <scheme val="minor"/>
      </rPr>
      <t xml:space="preserve"> - TUNISIA
</t>
    </r>
    <r>
      <rPr>
        <b/>
        <sz val="11"/>
        <color theme="1"/>
        <rFont val="Calibri"/>
        <family val="2"/>
        <scheme val="minor"/>
      </rPr>
      <t>TR</t>
    </r>
    <r>
      <rPr>
        <sz val="11"/>
        <color theme="1"/>
        <rFont val="Calibri"/>
        <family val="2"/>
        <scheme val="minor"/>
      </rPr>
      <t xml:space="preserve"> - TURKEY
</t>
    </r>
    <r>
      <rPr>
        <b/>
        <sz val="11"/>
        <color theme="1"/>
        <rFont val="Calibri"/>
        <family val="2"/>
        <scheme val="minor"/>
      </rPr>
      <t>TM</t>
    </r>
    <r>
      <rPr>
        <sz val="11"/>
        <color theme="1"/>
        <rFont val="Calibri"/>
        <family val="2"/>
        <scheme val="minor"/>
      </rPr>
      <t xml:space="preserve"> - TURKMENISTAN
</t>
    </r>
    <r>
      <rPr>
        <b/>
        <sz val="11"/>
        <color theme="1"/>
        <rFont val="Calibri"/>
        <family val="2"/>
        <scheme val="minor"/>
      </rPr>
      <t>TC</t>
    </r>
    <r>
      <rPr>
        <sz val="11"/>
        <color theme="1"/>
        <rFont val="Calibri"/>
        <family val="2"/>
        <scheme val="minor"/>
      </rPr>
      <t xml:space="preserve"> - TURKS AND CAICOS ISLANDS
</t>
    </r>
    <r>
      <rPr>
        <b/>
        <sz val="11"/>
        <color theme="1"/>
        <rFont val="Calibri"/>
        <family val="2"/>
        <scheme val="minor"/>
      </rPr>
      <t>TV</t>
    </r>
    <r>
      <rPr>
        <sz val="11"/>
        <color theme="1"/>
        <rFont val="Calibri"/>
        <family val="2"/>
        <scheme val="minor"/>
      </rPr>
      <t xml:space="preserve"> - TUVALU
</t>
    </r>
    <r>
      <rPr>
        <b/>
        <sz val="11"/>
        <color theme="1"/>
        <rFont val="Calibri"/>
        <family val="2"/>
        <scheme val="minor"/>
      </rPr>
      <t>UG</t>
    </r>
    <r>
      <rPr>
        <sz val="11"/>
        <color theme="1"/>
        <rFont val="Calibri"/>
        <family val="2"/>
        <scheme val="minor"/>
      </rPr>
      <t xml:space="preserve"> - UGANDA
</t>
    </r>
    <r>
      <rPr>
        <b/>
        <sz val="11"/>
        <color theme="1"/>
        <rFont val="Calibri"/>
        <family val="2"/>
        <scheme val="minor"/>
      </rPr>
      <t>UA</t>
    </r>
    <r>
      <rPr>
        <sz val="11"/>
        <color theme="1"/>
        <rFont val="Calibri"/>
        <family val="2"/>
        <scheme val="minor"/>
      </rPr>
      <t xml:space="preserve"> - UKRAINE
</t>
    </r>
    <r>
      <rPr>
        <b/>
        <sz val="11"/>
        <color theme="1"/>
        <rFont val="Calibri"/>
        <family val="2"/>
        <scheme val="minor"/>
      </rPr>
      <t>AE</t>
    </r>
    <r>
      <rPr>
        <sz val="11"/>
        <color theme="1"/>
        <rFont val="Calibri"/>
        <family val="2"/>
        <scheme val="minor"/>
      </rPr>
      <t xml:space="preserve"> - UNITED ARAB EMIRATES
</t>
    </r>
    <r>
      <rPr>
        <b/>
        <sz val="11"/>
        <color theme="1"/>
        <rFont val="Calibri"/>
        <family val="2"/>
        <scheme val="minor"/>
      </rPr>
      <t>GB</t>
    </r>
    <r>
      <rPr>
        <sz val="11"/>
        <color theme="1"/>
        <rFont val="Calibri"/>
        <family val="2"/>
        <scheme val="minor"/>
      </rPr>
      <t xml:space="preserve"> - UNITED KINGDOM OF GREAT BRITAIN AND NORTHERN IRELAND
</t>
    </r>
    <r>
      <rPr>
        <b/>
        <sz val="11"/>
        <color theme="1"/>
        <rFont val="Calibri"/>
        <family val="2"/>
        <scheme val="minor"/>
      </rPr>
      <t>US</t>
    </r>
    <r>
      <rPr>
        <sz val="11"/>
        <color theme="1"/>
        <rFont val="Calibri"/>
        <family val="2"/>
        <scheme val="minor"/>
      </rPr>
      <t xml:space="preserve"> - UNITED STATES OF AMERICA
</t>
    </r>
    <r>
      <rPr>
        <b/>
        <sz val="11"/>
        <color theme="1"/>
        <rFont val="Calibri"/>
        <family val="2"/>
        <scheme val="minor"/>
      </rPr>
      <t>UM</t>
    </r>
    <r>
      <rPr>
        <sz val="11"/>
        <color theme="1"/>
        <rFont val="Calibri"/>
        <family val="2"/>
        <scheme val="minor"/>
      </rPr>
      <t xml:space="preserve"> - UNITED STATES MINOR OUTLYING ISLANDS
</t>
    </r>
    <r>
      <rPr>
        <b/>
        <sz val="11"/>
        <color theme="1"/>
        <rFont val="Calibri"/>
        <family val="2"/>
        <scheme val="minor"/>
      </rPr>
      <t>UY</t>
    </r>
    <r>
      <rPr>
        <sz val="11"/>
        <color theme="1"/>
        <rFont val="Calibri"/>
        <family val="2"/>
        <scheme val="minor"/>
      </rPr>
      <t xml:space="preserve"> - URUGUAY
</t>
    </r>
    <r>
      <rPr>
        <b/>
        <sz val="11"/>
        <color theme="1"/>
        <rFont val="Calibri"/>
        <family val="2"/>
        <scheme val="minor"/>
      </rPr>
      <t>UZ</t>
    </r>
    <r>
      <rPr>
        <sz val="11"/>
        <color theme="1"/>
        <rFont val="Calibri"/>
        <family val="2"/>
        <scheme val="minor"/>
      </rPr>
      <t xml:space="preserve"> - UZBEKISTAN
</t>
    </r>
    <r>
      <rPr>
        <b/>
        <sz val="11"/>
        <color theme="1"/>
        <rFont val="Calibri"/>
        <family val="2"/>
        <scheme val="minor"/>
      </rPr>
      <t>VU</t>
    </r>
    <r>
      <rPr>
        <sz val="11"/>
        <color theme="1"/>
        <rFont val="Calibri"/>
        <family val="2"/>
        <scheme val="minor"/>
      </rPr>
      <t xml:space="preserve"> - VANUATU
</t>
    </r>
    <r>
      <rPr>
        <b/>
        <sz val="11"/>
        <color theme="1"/>
        <rFont val="Calibri"/>
        <family val="2"/>
        <scheme val="minor"/>
      </rPr>
      <t>VE</t>
    </r>
    <r>
      <rPr>
        <sz val="11"/>
        <color theme="1"/>
        <rFont val="Calibri"/>
        <family val="2"/>
        <scheme val="minor"/>
      </rPr>
      <t xml:space="preserve"> - VENEZUELA (BOLIVARIAN REPUBLIC OF)
</t>
    </r>
    <r>
      <rPr>
        <b/>
        <sz val="11"/>
        <color theme="1"/>
        <rFont val="Calibri"/>
        <family val="2"/>
        <scheme val="minor"/>
      </rPr>
      <t>VN</t>
    </r>
    <r>
      <rPr>
        <sz val="11"/>
        <color theme="1"/>
        <rFont val="Calibri"/>
        <family val="2"/>
        <scheme val="minor"/>
      </rPr>
      <t xml:space="preserve"> - VIET NAM
</t>
    </r>
    <r>
      <rPr>
        <b/>
        <sz val="11"/>
        <color theme="1"/>
        <rFont val="Calibri"/>
        <family val="2"/>
        <scheme val="minor"/>
      </rPr>
      <t>VG</t>
    </r>
    <r>
      <rPr>
        <sz val="11"/>
        <color theme="1"/>
        <rFont val="Calibri"/>
        <family val="2"/>
        <scheme val="minor"/>
      </rPr>
      <t xml:space="preserve"> - VIRGIN ISLANDS (BRITISH)
</t>
    </r>
    <r>
      <rPr>
        <b/>
        <sz val="11"/>
        <color theme="1"/>
        <rFont val="Calibri"/>
        <family val="2"/>
        <scheme val="minor"/>
      </rPr>
      <t>VI</t>
    </r>
    <r>
      <rPr>
        <sz val="11"/>
        <color theme="1"/>
        <rFont val="Calibri"/>
        <family val="2"/>
        <scheme val="minor"/>
      </rPr>
      <t xml:space="preserve"> - VIRGIN ISLANDS (U.S.)
</t>
    </r>
    <r>
      <rPr>
        <b/>
        <sz val="11"/>
        <color theme="1"/>
        <rFont val="Calibri"/>
        <family val="2"/>
        <scheme val="minor"/>
      </rPr>
      <t>WF</t>
    </r>
    <r>
      <rPr>
        <sz val="11"/>
        <color theme="1"/>
        <rFont val="Calibri"/>
        <family val="2"/>
        <scheme val="minor"/>
      </rPr>
      <t xml:space="preserve"> - WALLIS AND FUTUNA
</t>
    </r>
    <r>
      <rPr>
        <b/>
        <sz val="11"/>
        <color theme="1"/>
        <rFont val="Calibri"/>
        <family val="2"/>
        <scheme val="minor"/>
      </rPr>
      <t>EH</t>
    </r>
    <r>
      <rPr>
        <sz val="11"/>
        <color theme="1"/>
        <rFont val="Calibri"/>
        <family val="2"/>
        <scheme val="minor"/>
      </rPr>
      <t xml:space="preserve"> - WESTERN SAHARA
</t>
    </r>
    <r>
      <rPr>
        <b/>
        <sz val="11"/>
        <color theme="1"/>
        <rFont val="Calibri"/>
        <family val="2"/>
        <scheme val="minor"/>
      </rPr>
      <t>YE</t>
    </r>
    <r>
      <rPr>
        <sz val="11"/>
        <color theme="1"/>
        <rFont val="Calibri"/>
        <family val="2"/>
        <scheme val="minor"/>
      </rPr>
      <t xml:space="preserve"> - YEMEN
</t>
    </r>
    <r>
      <rPr>
        <b/>
        <sz val="11"/>
        <color theme="1"/>
        <rFont val="Calibri"/>
        <family val="2"/>
        <scheme val="minor"/>
      </rPr>
      <t>ZM</t>
    </r>
    <r>
      <rPr>
        <sz val="11"/>
        <color theme="1"/>
        <rFont val="Calibri"/>
        <family val="2"/>
        <scheme val="minor"/>
      </rPr>
      <t xml:space="preserve"> - ZAMBIA
</t>
    </r>
    <r>
      <rPr>
        <b/>
        <sz val="11"/>
        <color theme="1"/>
        <rFont val="Calibri"/>
        <family val="2"/>
        <scheme val="minor"/>
      </rPr>
      <t>ZW</t>
    </r>
    <r>
      <rPr>
        <sz val="11"/>
        <color theme="1"/>
        <rFont val="Calibri"/>
        <family val="2"/>
        <scheme val="minor"/>
      </rPr>
      <t xml:space="preserve"> - ZIMBABWE
</t>
    </r>
  </si>
  <si>
    <t>Contact-&gt;Telephone</t>
  </si>
  <si>
    <r>
      <t>Home</t>
    </r>
    <r>
      <rPr>
        <sz val="11"/>
        <color theme="1"/>
        <rFont val="Calibri"/>
        <family val="2"/>
        <scheme val="minor"/>
      </rPr>
      <t xml:space="preserve"> - Home phone number
</t>
    </r>
    <r>
      <rPr>
        <b/>
        <sz val="11"/>
        <color theme="1"/>
        <rFont val="Calibri"/>
        <family val="2"/>
        <scheme val="minor"/>
      </rPr>
      <t>Work</t>
    </r>
    <r>
      <rPr>
        <sz val="11"/>
        <color theme="1"/>
        <rFont val="Calibri"/>
        <family val="2"/>
        <scheme val="minor"/>
      </rPr>
      <t xml:space="preserve"> - Work phone number
</t>
    </r>
    <r>
      <rPr>
        <b/>
        <sz val="11"/>
        <color theme="1"/>
        <rFont val="Calibri"/>
        <family val="2"/>
        <scheme val="minor"/>
      </rPr>
      <t>Mobile</t>
    </r>
    <r>
      <rPr>
        <sz val="11"/>
        <color theme="1"/>
        <rFont val="Calibri"/>
        <family val="2"/>
        <scheme val="minor"/>
      </rPr>
      <t xml:space="preserve"> - Mobile phone number
</t>
    </r>
    <r>
      <rPr>
        <b/>
        <sz val="11"/>
        <color theme="1"/>
        <rFont val="Calibri"/>
        <family val="2"/>
        <scheme val="minor"/>
      </rPr>
      <t>Fax</t>
    </r>
    <r>
      <rPr>
        <sz val="11"/>
        <color theme="1"/>
        <rFont val="Calibri"/>
        <family val="2"/>
        <scheme val="minor"/>
      </rPr>
      <t xml:space="preserve"> - Fax number
</t>
    </r>
    <r>
      <rPr>
        <b/>
        <sz val="11"/>
        <color theme="1"/>
        <rFont val="Calibri"/>
        <family val="2"/>
        <scheme val="minor"/>
      </rPr>
      <t>Other</t>
    </r>
    <r>
      <rPr>
        <sz val="11"/>
        <color theme="1"/>
        <rFont val="Calibri"/>
        <family val="2"/>
        <scheme val="minor"/>
      </rPr>
      <t xml:space="preserve"> - Other
</t>
    </r>
  </si>
  <si>
    <t>Contact-&gt;Email</t>
  </si>
  <si>
    <r>
      <t>Home</t>
    </r>
    <r>
      <rPr>
        <sz val="11"/>
        <color theme="1"/>
        <rFont val="Calibri"/>
        <family val="2"/>
        <scheme val="minor"/>
      </rPr>
      <t xml:space="preserve"> - Home/personal
</t>
    </r>
    <r>
      <rPr>
        <b/>
        <sz val="11"/>
        <color theme="1"/>
        <rFont val="Calibri"/>
        <family val="2"/>
        <scheme val="minor"/>
      </rPr>
      <t>Work</t>
    </r>
    <r>
      <rPr>
        <sz val="11"/>
        <color theme="1"/>
        <rFont val="Calibri"/>
        <family val="2"/>
        <scheme val="minor"/>
      </rPr>
      <t xml:space="preserve"> - Work
</t>
    </r>
    <r>
      <rPr>
        <b/>
        <sz val="11"/>
        <color theme="1"/>
        <rFont val="Calibri"/>
        <family val="2"/>
        <scheme val="minor"/>
      </rPr>
      <t>Organizational</t>
    </r>
    <r>
      <rPr>
        <sz val="11"/>
        <color theme="1"/>
        <rFont val="Calibri"/>
        <family val="2"/>
        <scheme val="minor"/>
      </rPr>
      <t xml:space="preserve"> - Organizational (school) address
</t>
    </r>
    <r>
      <rPr>
        <b/>
        <sz val="11"/>
        <color theme="1"/>
        <rFont val="Calibri"/>
        <family val="2"/>
        <scheme val="minor"/>
      </rPr>
      <t>Other</t>
    </r>
    <r>
      <rPr>
        <sz val="11"/>
        <color theme="1"/>
        <rFont val="Calibri"/>
        <family val="2"/>
        <scheme val="minor"/>
      </rPr>
      <t xml:space="preserve"> - Other
</t>
    </r>
  </si>
  <si>
    <t>Contact-&gt;Other Name</t>
  </si>
  <si>
    <r>
      <t>Alias</t>
    </r>
    <r>
      <rPr>
        <sz val="11"/>
        <color theme="1"/>
        <rFont val="Calibri"/>
        <family val="2"/>
        <scheme val="minor"/>
      </rPr>
      <t xml:space="preserve"> - Alias
</t>
    </r>
    <r>
      <rPr>
        <b/>
        <sz val="11"/>
        <color theme="1"/>
        <rFont val="Calibri"/>
        <family val="2"/>
        <scheme val="minor"/>
      </rPr>
      <t>Nickname</t>
    </r>
    <r>
      <rPr>
        <sz val="11"/>
        <color theme="1"/>
        <rFont val="Calibri"/>
        <family val="2"/>
        <scheme val="minor"/>
      </rPr>
      <t xml:space="preserve"> - Nickname
</t>
    </r>
    <r>
      <rPr>
        <b/>
        <sz val="11"/>
        <color theme="1"/>
        <rFont val="Calibri"/>
        <family val="2"/>
        <scheme val="minor"/>
      </rPr>
      <t>OtherName</t>
    </r>
    <r>
      <rPr>
        <sz val="11"/>
        <color theme="1"/>
        <rFont val="Calibri"/>
        <family val="2"/>
        <scheme val="minor"/>
      </rPr>
      <t xml:space="preserve"> - Other name
</t>
    </r>
    <r>
      <rPr>
        <b/>
        <sz val="11"/>
        <color theme="1"/>
        <rFont val="Calibri"/>
        <family val="2"/>
        <scheme val="minor"/>
      </rPr>
      <t>PreviousLegalName</t>
    </r>
    <r>
      <rPr>
        <sz val="11"/>
        <color theme="1"/>
        <rFont val="Calibri"/>
        <family val="2"/>
        <scheme val="minor"/>
      </rPr>
      <t xml:space="preserve"> - Previous legal name
</t>
    </r>
    <r>
      <rPr>
        <b/>
        <sz val="11"/>
        <color theme="1"/>
        <rFont val="Calibri"/>
        <family val="2"/>
        <scheme val="minor"/>
      </rPr>
      <t>PreferredFamilyName</t>
    </r>
    <r>
      <rPr>
        <sz val="11"/>
        <color theme="1"/>
        <rFont val="Calibri"/>
        <family val="2"/>
        <scheme val="minor"/>
      </rPr>
      <t xml:space="preserve"> - Preferred Family Name
</t>
    </r>
    <r>
      <rPr>
        <b/>
        <sz val="11"/>
        <color theme="1"/>
        <rFont val="Calibri"/>
        <family val="2"/>
        <scheme val="minor"/>
      </rPr>
      <t>PreferredGivenName</t>
    </r>
    <r>
      <rPr>
        <sz val="11"/>
        <color theme="1"/>
        <rFont val="Calibri"/>
        <family val="2"/>
        <scheme val="minor"/>
      </rPr>
      <t xml:space="preserve"> - Preferred Given Name
</t>
    </r>
    <r>
      <rPr>
        <b/>
        <sz val="11"/>
        <color theme="1"/>
        <rFont val="Calibri"/>
        <family val="2"/>
        <scheme val="minor"/>
      </rPr>
      <t>FullName</t>
    </r>
    <r>
      <rPr>
        <sz val="11"/>
        <color theme="1"/>
        <rFont val="Calibri"/>
        <family val="2"/>
        <scheme val="minor"/>
      </rPr>
      <t xml:space="preserve"> - Full Name
</t>
    </r>
  </si>
  <si>
    <t>Organization Information</t>
  </si>
  <si>
    <r>
      <t>HeadStart</t>
    </r>
    <r>
      <rPr>
        <sz val="11"/>
        <color theme="1"/>
        <rFont val="Calibri"/>
        <family val="2"/>
        <scheme val="minor"/>
      </rPr>
      <t xml:space="preserve"> - Head Start
</t>
    </r>
    <r>
      <rPr>
        <b/>
        <sz val="11"/>
        <color theme="1"/>
        <rFont val="Calibri"/>
        <family val="2"/>
        <scheme val="minor"/>
      </rPr>
      <t>EarlyHeadStart</t>
    </r>
    <r>
      <rPr>
        <sz val="11"/>
        <color theme="1"/>
        <rFont val="Calibri"/>
        <family val="2"/>
        <scheme val="minor"/>
      </rPr>
      <t xml:space="preserve"> - Early Head Start
</t>
    </r>
    <r>
      <rPr>
        <b/>
        <sz val="11"/>
        <color theme="1"/>
        <rFont val="Calibri"/>
        <family val="2"/>
        <scheme val="minor"/>
      </rPr>
      <t>StatePreschool</t>
    </r>
    <r>
      <rPr>
        <sz val="11"/>
        <color theme="1"/>
        <rFont val="Calibri"/>
        <family val="2"/>
        <scheme val="minor"/>
      </rPr>
      <t xml:space="preserve"> - State Preschool
</t>
    </r>
    <r>
      <rPr>
        <b/>
        <sz val="11"/>
        <color theme="1"/>
        <rFont val="Calibri"/>
        <family val="2"/>
        <scheme val="minor"/>
      </rPr>
      <t>PublicPreschool</t>
    </r>
    <r>
      <rPr>
        <sz val="11"/>
        <color theme="1"/>
        <rFont val="Calibri"/>
        <family val="2"/>
        <scheme val="minor"/>
      </rPr>
      <t xml:space="preserve"> - Public Preschool
</t>
    </r>
    <r>
      <rPr>
        <b/>
        <sz val="11"/>
        <color theme="1"/>
        <rFont val="Calibri"/>
        <family val="2"/>
        <scheme val="minor"/>
      </rPr>
      <t>PrivatePreschool</t>
    </r>
    <r>
      <rPr>
        <sz val="11"/>
        <color theme="1"/>
        <rFont val="Calibri"/>
        <family val="2"/>
        <scheme val="minor"/>
      </rPr>
      <t xml:space="preserve"> - Private Preschool
</t>
    </r>
    <r>
      <rPr>
        <b/>
        <sz val="11"/>
        <color theme="1"/>
        <rFont val="Calibri"/>
        <family val="2"/>
        <scheme val="minor"/>
      </rPr>
      <t>EarlyChildhoodSpecialEducation</t>
    </r>
    <r>
      <rPr>
        <sz val="11"/>
        <color theme="1"/>
        <rFont val="Calibri"/>
        <family val="2"/>
        <scheme val="minor"/>
      </rPr>
      <t xml:space="preserve"> - Early Childhood Special Education (619)
</t>
    </r>
    <r>
      <rPr>
        <b/>
        <sz val="11"/>
        <color theme="1"/>
        <rFont val="Calibri"/>
        <family val="2"/>
        <scheme val="minor"/>
      </rPr>
      <t>HomeVisiting</t>
    </r>
    <r>
      <rPr>
        <sz val="11"/>
        <color theme="1"/>
        <rFont val="Calibri"/>
        <family val="2"/>
        <scheme val="minor"/>
      </rPr>
      <t xml:space="preserve"> - Home Visiting
</t>
    </r>
    <r>
      <rPr>
        <b/>
        <sz val="11"/>
        <color theme="1"/>
        <rFont val="Calibri"/>
        <family val="2"/>
        <scheme val="minor"/>
      </rPr>
      <t>ChildCare</t>
    </r>
    <r>
      <rPr>
        <sz val="11"/>
        <color theme="1"/>
        <rFont val="Calibri"/>
        <family val="2"/>
        <scheme val="minor"/>
      </rPr>
      <t xml:space="preserve"> - Child Care
</t>
    </r>
    <r>
      <rPr>
        <b/>
        <sz val="11"/>
        <color theme="1"/>
        <rFont val="Calibri"/>
        <family val="2"/>
        <scheme val="minor"/>
      </rPr>
      <t>EarlyInterventionPartC</t>
    </r>
    <r>
      <rPr>
        <sz val="11"/>
        <color theme="1"/>
        <rFont val="Calibri"/>
        <family val="2"/>
        <scheme val="minor"/>
      </rPr>
      <t xml:space="preserve"> - Early Intervention Services Part C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None</t>
    </r>
    <r>
      <rPr>
        <sz val="11"/>
        <color theme="1"/>
        <rFont val="Calibri"/>
        <family val="2"/>
        <scheme val="minor"/>
      </rPr>
      <t xml:space="preserve"> - None
</t>
    </r>
  </si>
  <si>
    <r>
      <t>01</t>
    </r>
    <r>
      <rPr>
        <sz val="11"/>
        <color theme="1"/>
        <rFont val="Calibri"/>
        <family val="2"/>
        <scheme val="minor"/>
      </rPr>
      <t xml:space="preserve"> - Health insurance
</t>
    </r>
    <r>
      <rPr>
        <b/>
        <sz val="11"/>
        <color theme="1"/>
        <rFont val="Calibri"/>
        <family val="2"/>
        <scheme val="minor"/>
      </rPr>
      <t>02</t>
    </r>
    <r>
      <rPr>
        <sz val="11"/>
        <color theme="1"/>
        <rFont val="Calibri"/>
        <family val="2"/>
        <scheme val="minor"/>
      </rPr>
      <t xml:space="preserve"> - Dental insurance
</t>
    </r>
    <r>
      <rPr>
        <b/>
        <sz val="11"/>
        <color theme="1"/>
        <rFont val="Calibri"/>
        <family val="2"/>
        <scheme val="minor"/>
      </rPr>
      <t>03</t>
    </r>
    <r>
      <rPr>
        <sz val="11"/>
        <color theme="1"/>
        <rFont val="Calibri"/>
        <family val="2"/>
        <scheme val="minor"/>
      </rPr>
      <t xml:space="preserve"> - Vision
</t>
    </r>
    <r>
      <rPr>
        <b/>
        <sz val="11"/>
        <color theme="1"/>
        <rFont val="Calibri"/>
        <family val="2"/>
        <scheme val="minor"/>
      </rPr>
      <t>04</t>
    </r>
    <r>
      <rPr>
        <sz val="11"/>
        <color theme="1"/>
        <rFont val="Calibri"/>
        <family val="2"/>
        <scheme val="minor"/>
      </rPr>
      <t xml:space="preserve"> - Disability insurance
</t>
    </r>
    <r>
      <rPr>
        <b/>
        <sz val="11"/>
        <color theme="1"/>
        <rFont val="Calibri"/>
        <family val="2"/>
        <scheme val="minor"/>
      </rPr>
      <t>05</t>
    </r>
    <r>
      <rPr>
        <sz val="11"/>
        <color theme="1"/>
        <rFont val="Calibri"/>
        <family val="2"/>
        <scheme val="minor"/>
      </rPr>
      <t xml:space="preserve"> - Retirement
</t>
    </r>
    <r>
      <rPr>
        <b/>
        <sz val="11"/>
        <color theme="1"/>
        <rFont val="Calibri"/>
        <family val="2"/>
        <scheme val="minor"/>
      </rPr>
      <t>06</t>
    </r>
    <r>
      <rPr>
        <sz val="11"/>
        <color theme="1"/>
        <rFont val="Calibri"/>
        <family val="2"/>
        <scheme val="minor"/>
      </rPr>
      <t xml:space="preserve"> - Professional membership fees paid
</t>
    </r>
    <r>
      <rPr>
        <b/>
        <sz val="11"/>
        <color theme="1"/>
        <rFont val="Calibri"/>
        <family val="2"/>
        <scheme val="minor"/>
      </rPr>
      <t>07</t>
    </r>
    <r>
      <rPr>
        <sz val="11"/>
        <color theme="1"/>
        <rFont val="Calibri"/>
        <family val="2"/>
        <scheme val="minor"/>
      </rPr>
      <t xml:space="preserve"> - Sick leave
</t>
    </r>
    <r>
      <rPr>
        <b/>
        <sz val="11"/>
        <color theme="1"/>
        <rFont val="Calibri"/>
        <family val="2"/>
        <scheme val="minor"/>
      </rPr>
      <t>08</t>
    </r>
    <r>
      <rPr>
        <sz val="11"/>
        <color theme="1"/>
        <rFont val="Calibri"/>
        <family val="2"/>
        <scheme val="minor"/>
      </rPr>
      <t xml:space="preserve"> - Leave
</t>
    </r>
    <r>
      <rPr>
        <b/>
        <sz val="11"/>
        <color theme="1"/>
        <rFont val="Calibri"/>
        <family val="2"/>
        <scheme val="minor"/>
      </rPr>
      <t>09</t>
    </r>
    <r>
      <rPr>
        <sz val="11"/>
        <color theme="1"/>
        <rFont val="Calibri"/>
        <family val="2"/>
        <scheme val="minor"/>
      </rPr>
      <t xml:space="preserve"> - Vacation
</t>
    </r>
    <r>
      <rPr>
        <b/>
        <sz val="11"/>
        <color theme="1"/>
        <rFont val="Calibri"/>
        <family val="2"/>
        <scheme val="minor"/>
      </rPr>
      <t>10</t>
    </r>
    <r>
      <rPr>
        <sz val="11"/>
        <color theme="1"/>
        <rFont val="Calibri"/>
        <family val="2"/>
        <scheme val="minor"/>
      </rPr>
      <t xml:space="preserve"> - Holiday
</t>
    </r>
    <r>
      <rPr>
        <b/>
        <sz val="11"/>
        <color theme="1"/>
        <rFont val="Calibri"/>
        <family val="2"/>
        <scheme val="minor"/>
      </rPr>
      <t>11</t>
    </r>
    <r>
      <rPr>
        <sz val="11"/>
        <color theme="1"/>
        <rFont val="Calibri"/>
        <family val="2"/>
        <scheme val="minor"/>
      </rPr>
      <t xml:space="preserve"> - Personal leave
</t>
    </r>
    <r>
      <rPr>
        <b/>
        <sz val="11"/>
        <color theme="1"/>
        <rFont val="Calibri"/>
        <family val="2"/>
        <scheme val="minor"/>
      </rPr>
      <t>12</t>
    </r>
    <r>
      <rPr>
        <sz val="11"/>
        <color theme="1"/>
        <rFont val="Calibri"/>
        <family val="2"/>
        <scheme val="minor"/>
      </rPr>
      <t xml:space="preserve"> - Family leave
</t>
    </r>
    <r>
      <rPr>
        <b/>
        <sz val="11"/>
        <color theme="1"/>
        <rFont val="Calibri"/>
        <family val="2"/>
        <scheme val="minor"/>
      </rPr>
      <t>13</t>
    </r>
    <r>
      <rPr>
        <sz val="11"/>
        <color theme="1"/>
        <rFont val="Calibri"/>
        <family val="2"/>
        <scheme val="minor"/>
      </rPr>
      <t xml:space="preserve"> - Bereavement leave
</t>
    </r>
    <r>
      <rPr>
        <b/>
        <sz val="11"/>
        <color theme="1"/>
        <rFont val="Calibri"/>
        <family val="2"/>
        <scheme val="minor"/>
      </rPr>
      <t>14</t>
    </r>
    <r>
      <rPr>
        <sz val="11"/>
        <color theme="1"/>
        <rFont val="Calibri"/>
        <family val="2"/>
        <scheme val="minor"/>
      </rPr>
      <t xml:space="preserve"> - Jury duty leave
</t>
    </r>
    <r>
      <rPr>
        <b/>
        <sz val="11"/>
        <color theme="1"/>
        <rFont val="Calibri"/>
        <family val="2"/>
        <scheme val="minor"/>
      </rPr>
      <t>15</t>
    </r>
    <r>
      <rPr>
        <sz val="11"/>
        <color theme="1"/>
        <rFont val="Calibri"/>
        <family val="2"/>
        <scheme val="minor"/>
      </rPr>
      <t xml:space="preserve"> - Life insurance
</t>
    </r>
    <r>
      <rPr>
        <b/>
        <sz val="11"/>
        <color theme="1"/>
        <rFont val="Calibri"/>
        <family val="2"/>
        <scheme val="minor"/>
      </rPr>
      <t>16</t>
    </r>
    <r>
      <rPr>
        <sz val="11"/>
        <color theme="1"/>
        <rFont val="Calibri"/>
        <family val="2"/>
        <scheme val="minor"/>
      </rPr>
      <t xml:space="preserve"> - Maternity leave
</t>
    </r>
    <r>
      <rPr>
        <b/>
        <sz val="11"/>
        <color theme="1"/>
        <rFont val="Calibri"/>
        <family val="2"/>
        <scheme val="minor"/>
      </rPr>
      <t>17</t>
    </r>
    <r>
      <rPr>
        <sz val="11"/>
        <color theme="1"/>
        <rFont val="Calibri"/>
        <family val="2"/>
        <scheme val="minor"/>
      </rPr>
      <t xml:space="preserve"> - Paternity leave
</t>
    </r>
    <r>
      <rPr>
        <b/>
        <sz val="11"/>
        <color theme="1"/>
        <rFont val="Calibri"/>
        <family val="2"/>
        <scheme val="minor"/>
      </rPr>
      <t>18</t>
    </r>
    <r>
      <rPr>
        <sz val="11"/>
        <color theme="1"/>
        <rFont val="Calibri"/>
        <family val="2"/>
        <scheme val="minor"/>
      </rPr>
      <t xml:space="preserve"> - Family medical leave
</t>
    </r>
    <r>
      <rPr>
        <b/>
        <sz val="11"/>
        <color theme="1"/>
        <rFont val="Calibri"/>
        <family val="2"/>
        <scheme val="minor"/>
      </rPr>
      <t>19</t>
    </r>
    <r>
      <rPr>
        <sz val="11"/>
        <color theme="1"/>
        <rFont val="Calibri"/>
        <family val="2"/>
        <scheme val="minor"/>
      </rPr>
      <t xml:space="preserve"> - Flex plan-dependent care
</t>
    </r>
    <r>
      <rPr>
        <b/>
        <sz val="11"/>
        <color theme="1"/>
        <rFont val="Calibri"/>
        <family val="2"/>
        <scheme val="minor"/>
      </rPr>
      <t>20</t>
    </r>
    <r>
      <rPr>
        <sz val="11"/>
        <color theme="1"/>
        <rFont val="Calibri"/>
        <family val="2"/>
        <scheme val="minor"/>
      </rPr>
      <t xml:space="preserve"> - Flex plan-medical (MSA/HSA)
</t>
    </r>
    <r>
      <rPr>
        <b/>
        <sz val="11"/>
        <color theme="1"/>
        <rFont val="Calibri"/>
        <family val="2"/>
        <scheme val="minor"/>
      </rPr>
      <t>21</t>
    </r>
    <r>
      <rPr>
        <sz val="11"/>
        <color theme="1"/>
        <rFont val="Calibri"/>
        <family val="2"/>
        <scheme val="minor"/>
      </rPr>
      <t xml:space="preserve"> - Transportation
</t>
    </r>
    <r>
      <rPr>
        <b/>
        <sz val="11"/>
        <color theme="1"/>
        <rFont val="Calibri"/>
        <family val="2"/>
        <scheme val="minor"/>
      </rPr>
      <t>22</t>
    </r>
    <r>
      <rPr>
        <sz val="11"/>
        <color theme="1"/>
        <rFont val="Calibri"/>
        <family val="2"/>
        <scheme val="minor"/>
      </rPr>
      <t xml:space="preserve"> - Parking
</t>
    </r>
    <r>
      <rPr>
        <b/>
        <sz val="11"/>
        <color theme="1"/>
        <rFont val="Calibri"/>
        <family val="2"/>
        <scheme val="minor"/>
      </rPr>
      <t>23</t>
    </r>
    <r>
      <rPr>
        <sz val="11"/>
        <color theme="1"/>
        <rFont val="Calibri"/>
        <family val="2"/>
        <scheme val="minor"/>
      </rPr>
      <t xml:space="preserve"> - Flex schedule/time
</t>
    </r>
    <r>
      <rPr>
        <b/>
        <sz val="11"/>
        <color theme="1"/>
        <rFont val="Calibri"/>
        <family val="2"/>
        <scheme val="minor"/>
      </rPr>
      <t>24</t>
    </r>
    <r>
      <rPr>
        <sz val="11"/>
        <color theme="1"/>
        <rFont val="Calibri"/>
        <family val="2"/>
        <scheme val="minor"/>
      </rPr>
      <t xml:space="preserve"> - Employee Assistance Program (EAP)
</t>
    </r>
    <r>
      <rPr>
        <b/>
        <sz val="11"/>
        <color theme="1"/>
        <rFont val="Calibri"/>
        <family val="2"/>
        <scheme val="minor"/>
      </rPr>
      <t>25</t>
    </r>
    <r>
      <rPr>
        <sz val="11"/>
        <color theme="1"/>
        <rFont val="Calibri"/>
        <family val="2"/>
        <scheme val="minor"/>
      </rPr>
      <t xml:space="preserve"> - Paid training
</t>
    </r>
    <r>
      <rPr>
        <b/>
        <sz val="11"/>
        <color theme="1"/>
        <rFont val="Calibri"/>
        <family val="2"/>
        <scheme val="minor"/>
      </rPr>
      <t>26</t>
    </r>
    <r>
      <rPr>
        <sz val="11"/>
        <color theme="1"/>
        <rFont val="Calibri"/>
        <family val="2"/>
        <scheme val="minor"/>
      </rPr>
      <t xml:space="preserve"> - Tuition reimbursement
</t>
    </r>
    <r>
      <rPr>
        <b/>
        <sz val="11"/>
        <color theme="1"/>
        <rFont val="Calibri"/>
        <family val="2"/>
        <scheme val="minor"/>
      </rPr>
      <t>27</t>
    </r>
    <r>
      <rPr>
        <sz val="11"/>
        <color theme="1"/>
        <rFont val="Calibri"/>
        <family val="2"/>
        <scheme val="minor"/>
      </rPr>
      <t xml:space="preserve"> - Child care fee assistance
</t>
    </r>
    <r>
      <rPr>
        <b/>
        <sz val="11"/>
        <color theme="1"/>
        <rFont val="Calibri"/>
        <family val="2"/>
        <scheme val="minor"/>
      </rPr>
      <t>28</t>
    </r>
    <r>
      <rPr>
        <sz val="11"/>
        <color theme="1"/>
        <rFont val="Calibri"/>
        <family val="2"/>
        <scheme val="minor"/>
      </rPr>
      <t xml:space="preserve"> - Bonus
</t>
    </r>
  </si>
  <si>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</si>
  <si>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r>
      <t>Library</t>
    </r>
    <r>
      <rPr>
        <sz val="11"/>
        <color theme="1"/>
        <rFont val="Calibri"/>
        <family val="2"/>
        <scheme val="minor"/>
      </rPr>
      <t xml:space="preserve"> - Library
</t>
    </r>
    <r>
      <rPr>
        <b/>
        <sz val="11"/>
        <color theme="1"/>
        <rFont val="Calibri"/>
        <family val="2"/>
        <scheme val="minor"/>
      </rPr>
      <t>School</t>
    </r>
    <r>
      <rPr>
        <sz val="11"/>
        <color theme="1"/>
        <rFont val="Calibri"/>
        <family val="2"/>
        <scheme val="minor"/>
      </rPr>
      <t xml:space="preserve"> - School
</t>
    </r>
    <r>
      <rPr>
        <b/>
        <sz val="11"/>
        <color theme="1"/>
        <rFont val="Calibri"/>
        <family val="2"/>
        <scheme val="minor"/>
      </rPr>
      <t>ChildDevelopmentCenter</t>
    </r>
    <r>
      <rPr>
        <sz val="11"/>
        <color theme="1"/>
        <rFont val="Calibri"/>
        <family val="2"/>
        <scheme val="minor"/>
      </rPr>
      <t xml:space="preserve"> - Child development center
</t>
    </r>
    <r>
      <rPr>
        <b/>
        <sz val="11"/>
        <color theme="1"/>
        <rFont val="Calibri"/>
        <family val="2"/>
        <scheme val="minor"/>
      </rPr>
      <t>Hospital</t>
    </r>
    <r>
      <rPr>
        <sz val="11"/>
        <color theme="1"/>
        <rFont val="Calibri"/>
        <family val="2"/>
        <scheme val="minor"/>
      </rPr>
      <t xml:space="preserve"> - Hospital
</t>
    </r>
    <r>
      <rPr>
        <b/>
        <sz val="11"/>
        <color theme="1"/>
        <rFont val="Calibri"/>
        <family val="2"/>
        <scheme val="minor"/>
      </rPr>
      <t>PublicK12School</t>
    </r>
    <r>
      <rPr>
        <sz val="11"/>
        <color theme="1"/>
        <rFont val="Calibri"/>
        <family val="2"/>
        <scheme val="minor"/>
      </rPr>
      <t xml:space="preserve"> - Public K12 School
</t>
    </r>
    <r>
      <rPr>
        <b/>
        <sz val="11"/>
        <color theme="1"/>
        <rFont val="Calibri"/>
        <family val="2"/>
        <scheme val="minor"/>
      </rPr>
      <t>University</t>
    </r>
    <r>
      <rPr>
        <sz val="11"/>
        <color theme="1"/>
        <rFont val="Calibri"/>
        <family val="2"/>
        <scheme val="minor"/>
      </rPr>
      <t xml:space="preserve"> - University
</t>
    </r>
    <r>
      <rPr>
        <b/>
        <sz val="11"/>
        <color theme="1"/>
        <rFont val="Calibri"/>
        <family val="2"/>
        <scheme val="minor"/>
      </rPr>
      <t>Other</t>
    </r>
    <r>
      <rPr>
        <sz val="11"/>
        <color theme="1"/>
        <rFont val="Calibri"/>
        <family val="2"/>
        <scheme val="minor"/>
      </rPr>
      <t xml:space="preserve"> - Other
</t>
    </r>
  </si>
  <si>
    <t>Directory</t>
  </si>
  <si>
    <r>
      <t>FullDayFullYear</t>
    </r>
    <r>
      <rPr>
        <sz val="11"/>
        <color theme="1"/>
        <rFont val="Calibri"/>
        <family val="2"/>
        <scheme val="minor"/>
      </rPr>
      <t xml:space="preserve"> - Full-day/full-year
</t>
    </r>
    <r>
      <rPr>
        <b/>
        <sz val="11"/>
        <color theme="1"/>
        <rFont val="Calibri"/>
        <family val="2"/>
        <scheme val="minor"/>
      </rPr>
      <t>FullDayPartYear</t>
    </r>
    <r>
      <rPr>
        <sz val="11"/>
        <color theme="1"/>
        <rFont val="Calibri"/>
        <family val="2"/>
        <scheme val="minor"/>
      </rPr>
      <t xml:space="preserve"> - Full-day/part-year
</t>
    </r>
    <r>
      <rPr>
        <b/>
        <sz val="11"/>
        <color theme="1"/>
        <rFont val="Calibri"/>
        <family val="2"/>
        <scheme val="minor"/>
      </rPr>
      <t>PartDayFullYear</t>
    </r>
    <r>
      <rPr>
        <sz val="11"/>
        <color theme="1"/>
        <rFont val="Calibri"/>
        <family val="2"/>
        <scheme val="minor"/>
      </rPr>
      <t xml:space="preserve"> - Part-day/full-year
</t>
    </r>
    <r>
      <rPr>
        <b/>
        <sz val="11"/>
        <color theme="1"/>
        <rFont val="Calibri"/>
        <family val="2"/>
        <scheme val="minor"/>
      </rPr>
      <t>PartDayPartYear</t>
    </r>
    <r>
      <rPr>
        <sz val="11"/>
        <color theme="1"/>
        <rFont val="Calibri"/>
        <family val="2"/>
        <scheme val="minor"/>
      </rPr>
      <t xml:space="preserve"> - Part-day/part-year
</t>
    </r>
    <r>
      <rPr>
        <b/>
        <sz val="11"/>
        <color theme="1"/>
        <rFont val="Calibri"/>
        <family val="2"/>
        <scheme val="minor"/>
      </rPr>
      <t>HomeBased</t>
    </r>
    <r>
      <rPr>
        <sz val="11"/>
        <color theme="1"/>
        <rFont val="Calibri"/>
        <family val="2"/>
        <scheme val="minor"/>
      </rPr>
      <t xml:space="preserve"> - Home based
</t>
    </r>
    <r>
      <rPr>
        <b/>
        <sz val="11"/>
        <color theme="1"/>
        <rFont val="Calibri"/>
        <family val="2"/>
        <scheme val="minor"/>
      </rPr>
      <t>NA</t>
    </r>
    <r>
      <rPr>
        <sz val="11"/>
        <color theme="1"/>
        <rFont val="Calibri"/>
        <family val="2"/>
        <scheme val="minor"/>
      </rPr>
      <t xml:space="preserve"> - Not applicable
</t>
    </r>
  </si>
  <si>
    <r>
      <t>HomeBased</t>
    </r>
    <r>
      <rPr>
        <sz val="11"/>
        <color theme="1"/>
        <rFont val="Calibri"/>
        <family val="2"/>
        <scheme val="minor"/>
      </rPr>
      <t xml:space="preserve"> - Home-based (Child's Home)
</t>
    </r>
    <r>
      <rPr>
        <b/>
        <sz val="11"/>
        <color theme="1"/>
        <rFont val="Calibri"/>
        <family val="2"/>
        <scheme val="minor"/>
      </rPr>
      <t>CommunityBased</t>
    </r>
    <r>
      <rPr>
        <sz val="11"/>
        <color theme="1"/>
        <rFont val="Calibri"/>
        <family val="2"/>
        <scheme val="minor"/>
      </rPr>
      <t xml:space="preserve"> - Community-based (outside the child's home)
</t>
    </r>
    <r>
      <rPr>
        <b/>
        <sz val="11"/>
        <color theme="1"/>
        <rFont val="Calibri"/>
        <family val="2"/>
        <scheme val="minor"/>
      </rPr>
      <t>CenterBased</t>
    </r>
    <r>
      <rPr>
        <sz val="11"/>
        <color theme="1"/>
        <rFont val="Calibri"/>
        <family val="2"/>
        <scheme val="minor"/>
      </rPr>
      <t xml:space="preserve"> - Center-based (including a school setting)
</t>
    </r>
    <r>
      <rPr>
        <b/>
        <sz val="11"/>
        <color theme="1"/>
        <rFont val="Calibri"/>
        <family val="2"/>
        <scheme val="minor"/>
      </rPr>
      <t>CenterBasedSpecial</t>
    </r>
    <r>
      <rPr>
        <sz val="11"/>
        <color theme="1"/>
        <rFont val="Calibri"/>
        <family val="2"/>
        <scheme val="minor"/>
      </rPr>
      <t xml:space="preserve"> - Center-based for children with special needs
</t>
    </r>
    <r>
      <rPr>
        <b/>
        <sz val="11"/>
        <color theme="1"/>
        <rFont val="Calibri"/>
        <family val="2"/>
        <scheme val="minor"/>
      </rPr>
      <t>FamilyChildCare</t>
    </r>
    <r>
      <rPr>
        <sz val="11"/>
        <color theme="1"/>
        <rFont val="Calibri"/>
        <family val="2"/>
        <scheme val="minor"/>
      </rPr>
      <t xml:space="preserve"> - Family Child Care Home (Provider's Home)
</t>
    </r>
    <r>
      <rPr>
        <b/>
        <sz val="11"/>
        <color theme="1"/>
        <rFont val="Calibri"/>
        <family val="2"/>
        <scheme val="minor"/>
      </rPr>
      <t>MultiSetting</t>
    </r>
    <r>
      <rPr>
        <sz val="11"/>
        <color theme="1"/>
        <rFont val="Calibri"/>
        <family val="2"/>
        <scheme val="minor"/>
      </rPr>
      <t xml:space="preserve"> - Multi-setting
</t>
    </r>
    <r>
      <rPr>
        <b/>
        <sz val="11"/>
        <color theme="1"/>
        <rFont val="Calibri"/>
        <family val="2"/>
        <scheme val="minor"/>
      </rPr>
      <t>LocallyDesigned</t>
    </r>
    <r>
      <rPr>
        <sz val="11"/>
        <color theme="1"/>
        <rFont val="Calibri"/>
        <family val="2"/>
        <scheme val="minor"/>
      </rPr>
      <t xml:space="preserve"> - Locally designed
</t>
    </r>
  </si>
  <si>
    <r>
      <t>ELL</t>
    </r>
    <r>
      <rPr>
        <sz val="11"/>
        <color theme="1"/>
        <rFont val="Calibri"/>
        <family val="2"/>
        <scheme val="minor"/>
      </rPr>
      <t xml:space="preserve"> - English language learners
</t>
    </r>
    <r>
      <rPr>
        <b/>
        <sz val="11"/>
        <color theme="1"/>
        <rFont val="Calibri"/>
        <family val="2"/>
        <scheme val="minor"/>
      </rPr>
      <t>CWD</t>
    </r>
    <r>
      <rPr>
        <sz val="11"/>
        <color theme="1"/>
        <rFont val="Calibri"/>
        <family val="2"/>
        <scheme val="minor"/>
      </rPr>
      <t xml:space="preserve"> - Children with disabilities
</t>
    </r>
    <r>
      <rPr>
        <b/>
        <sz val="11"/>
        <color theme="1"/>
        <rFont val="Calibri"/>
        <family val="2"/>
        <scheme val="minor"/>
      </rPr>
      <t>Homeless</t>
    </r>
    <r>
      <rPr>
        <sz val="11"/>
        <color theme="1"/>
        <rFont val="Calibri"/>
        <family val="2"/>
        <scheme val="minor"/>
      </rPr>
      <t xml:space="preserve"> - Homeless
</t>
    </r>
    <r>
      <rPr>
        <b/>
        <sz val="11"/>
        <color theme="1"/>
        <rFont val="Calibri"/>
        <family val="2"/>
        <scheme val="minor"/>
      </rPr>
      <t>MentalHealth</t>
    </r>
    <r>
      <rPr>
        <sz val="11"/>
        <color theme="1"/>
        <rFont val="Calibri"/>
        <family val="2"/>
        <scheme val="minor"/>
      </rPr>
      <t xml:space="preserve"> - Mental health
</t>
    </r>
    <r>
      <rPr>
        <b/>
        <sz val="11"/>
        <color theme="1"/>
        <rFont val="Calibri"/>
        <family val="2"/>
        <scheme val="minor"/>
      </rPr>
      <t>SpecialHealthNeeds</t>
    </r>
    <r>
      <rPr>
        <sz val="11"/>
        <color theme="1"/>
        <rFont val="Calibri"/>
        <family val="2"/>
        <scheme val="minor"/>
      </rPr>
      <t xml:space="preserve"> - Special health needs
</t>
    </r>
    <r>
      <rPr>
        <b/>
        <sz val="11"/>
        <color theme="1"/>
        <rFont val="Calibri"/>
        <family val="2"/>
        <scheme val="minor"/>
      </rPr>
      <t>Foster</t>
    </r>
    <r>
      <rPr>
        <sz val="11"/>
        <color theme="1"/>
        <rFont val="Calibri"/>
        <family val="2"/>
        <scheme val="minor"/>
      </rPr>
      <t xml:space="preserve"> - Foster
</t>
    </r>
    <r>
      <rPr>
        <b/>
        <sz val="11"/>
        <color theme="1"/>
        <rFont val="Calibri"/>
        <family val="2"/>
        <scheme val="minor"/>
      </rPr>
      <t>Other</t>
    </r>
    <r>
      <rPr>
        <sz val="11"/>
        <color theme="1"/>
        <rFont val="Calibri"/>
        <family val="2"/>
        <scheme val="minor"/>
      </rPr>
      <t xml:space="preserve"> - Other
</t>
    </r>
  </si>
  <si>
    <r>
      <t>1</t>
    </r>
    <r>
      <rPr>
        <sz val="11"/>
        <color theme="1"/>
        <rFont val="Calibri"/>
        <family val="2"/>
        <scheme val="minor"/>
      </rPr>
      <t xml:space="preserve"> - Counties in metro areas of 1 million population or more
</t>
    </r>
    <r>
      <rPr>
        <b/>
        <sz val="11"/>
        <color theme="1"/>
        <rFont val="Calibri"/>
        <family val="2"/>
        <scheme val="minor"/>
      </rPr>
      <t>2</t>
    </r>
    <r>
      <rPr>
        <sz val="11"/>
        <color theme="1"/>
        <rFont val="Calibri"/>
        <family val="2"/>
        <scheme val="minor"/>
      </rPr>
      <t xml:space="preserve"> - Counties in metro areas of 250,000 to 1 million population
</t>
    </r>
    <r>
      <rPr>
        <b/>
        <sz val="11"/>
        <color theme="1"/>
        <rFont val="Calibri"/>
        <family val="2"/>
        <scheme val="minor"/>
      </rPr>
      <t>3</t>
    </r>
    <r>
      <rPr>
        <sz val="11"/>
        <color theme="1"/>
        <rFont val="Calibri"/>
        <family val="2"/>
        <scheme val="minor"/>
      </rPr>
      <t xml:space="preserve"> - Counties in metro areas of fewer than 250,000 population
</t>
    </r>
    <r>
      <rPr>
        <b/>
        <sz val="11"/>
        <color theme="1"/>
        <rFont val="Calibri"/>
        <family val="2"/>
        <scheme val="minor"/>
      </rPr>
      <t>4</t>
    </r>
    <r>
      <rPr>
        <sz val="11"/>
        <color theme="1"/>
        <rFont val="Calibri"/>
        <family val="2"/>
        <scheme val="minor"/>
      </rPr>
      <t xml:space="preserve"> - Urban population of 20,000 or more, adjacent to a metro area
</t>
    </r>
    <r>
      <rPr>
        <b/>
        <sz val="11"/>
        <color theme="1"/>
        <rFont val="Calibri"/>
        <family val="2"/>
        <scheme val="minor"/>
      </rPr>
      <t>5</t>
    </r>
    <r>
      <rPr>
        <sz val="11"/>
        <color theme="1"/>
        <rFont val="Calibri"/>
        <family val="2"/>
        <scheme val="minor"/>
      </rPr>
      <t xml:space="preserve"> - Urban population of 20,000 or more, not adjacent to a metro area
</t>
    </r>
    <r>
      <rPr>
        <b/>
        <sz val="11"/>
        <color theme="1"/>
        <rFont val="Calibri"/>
        <family val="2"/>
        <scheme val="minor"/>
      </rPr>
      <t>6</t>
    </r>
    <r>
      <rPr>
        <sz val="11"/>
        <color theme="1"/>
        <rFont val="Calibri"/>
        <family val="2"/>
        <scheme val="minor"/>
      </rPr>
      <t xml:space="preserve"> - Urban population of 2,500 to 19,999, adjacent to a metro area
</t>
    </r>
    <r>
      <rPr>
        <b/>
        <sz val="11"/>
        <color theme="1"/>
        <rFont val="Calibri"/>
        <family val="2"/>
        <scheme val="minor"/>
      </rPr>
      <t>7</t>
    </r>
    <r>
      <rPr>
        <sz val="11"/>
        <color theme="1"/>
        <rFont val="Calibri"/>
        <family val="2"/>
        <scheme val="minor"/>
      </rPr>
      <t xml:space="preserve"> - Urban population of 2,500 to 19,999, not adjacent to a metro area
</t>
    </r>
    <r>
      <rPr>
        <b/>
        <sz val="11"/>
        <color theme="1"/>
        <rFont val="Calibri"/>
        <family val="2"/>
        <scheme val="minor"/>
      </rPr>
      <t>8</t>
    </r>
    <r>
      <rPr>
        <sz val="11"/>
        <color theme="1"/>
        <rFont val="Calibri"/>
        <family val="2"/>
        <scheme val="minor"/>
      </rPr>
      <t xml:space="preserve"> - Completely rural or less than 2,500 urban population, adjacent to a metro area
</t>
    </r>
    <r>
      <rPr>
        <b/>
        <sz val="11"/>
        <color theme="1"/>
        <rFont val="Calibri"/>
        <family val="2"/>
        <scheme val="minor"/>
      </rPr>
      <t>9</t>
    </r>
    <r>
      <rPr>
        <sz val="11"/>
        <color theme="1"/>
        <rFont val="Calibri"/>
        <family val="2"/>
        <scheme val="minor"/>
      </rPr>
      <t xml:space="preserve"> - Completely rural or less than 2,500 urban population, not adjacent to a metro area
</t>
    </r>
  </si>
  <si>
    <t>Site Level Characteristics</t>
  </si>
  <si>
    <t>Facility</t>
  </si>
  <si>
    <r>
      <t>ForProfit</t>
    </r>
    <r>
      <rPr>
        <sz val="11"/>
        <color theme="1"/>
        <rFont val="Calibri"/>
        <family val="2"/>
        <scheme val="minor"/>
      </rPr>
      <t xml:space="preserve"> - For-profit facility
</t>
    </r>
    <r>
      <rPr>
        <b/>
        <sz val="11"/>
        <color theme="1"/>
        <rFont val="Calibri"/>
        <family val="2"/>
        <scheme val="minor"/>
      </rPr>
      <t>NonProfit</t>
    </r>
    <r>
      <rPr>
        <sz val="11"/>
        <color theme="1"/>
        <rFont val="Calibri"/>
        <family val="2"/>
        <scheme val="minor"/>
      </rPr>
      <t xml:space="preserve"> - Non-profit facility
</t>
    </r>
    <r>
      <rPr>
        <b/>
        <sz val="11"/>
        <color theme="1"/>
        <rFont val="Calibri"/>
        <family val="2"/>
        <scheme val="minor"/>
      </rPr>
      <t>GovernmentRun</t>
    </r>
    <r>
      <rPr>
        <sz val="11"/>
        <color theme="1"/>
        <rFont val="Calibri"/>
        <family val="2"/>
        <scheme val="minor"/>
      </rPr>
      <t xml:space="preserve"> - Government run facility
</t>
    </r>
  </si>
  <si>
    <t>Licensing</t>
  </si>
  <si>
    <r>
      <t>Regulated</t>
    </r>
    <r>
      <rPr>
        <sz val="11"/>
        <color theme="1"/>
        <rFont val="Calibri"/>
        <family val="2"/>
        <scheme val="minor"/>
      </rPr>
      <t xml:space="preserve"> - Regulated
</t>
    </r>
    <r>
      <rPr>
        <b/>
        <sz val="11"/>
        <color theme="1"/>
        <rFont val="Calibri"/>
        <family val="2"/>
        <scheme val="minor"/>
      </rPr>
      <t>Unregulated</t>
    </r>
    <r>
      <rPr>
        <sz val="11"/>
        <color theme="1"/>
        <rFont val="Calibri"/>
        <family val="2"/>
        <scheme val="minor"/>
      </rPr>
      <t xml:space="preserve"> - Unregulated
</t>
    </r>
    <r>
      <rPr>
        <b/>
        <sz val="11"/>
        <color theme="1"/>
        <rFont val="Calibri"/>
        <family val="2"/>
        <scheme val="minor"/>
      </rPr>
      <t>Exempt</t>
    </r>
    <r>
      <rPr>
        <sz val="11"/>
        <color theme="1"/>
        <rFont val="Calibri"/>
        <family val="2"/>
        <scheme val="minor"/>
      </rPr>
      <t xml:space="preserve"> - Exempt
</t>
    </r>
  </si>
  <si>
    <r>
      <t>Unlicensed</t>
    </r>
    <r>
      <rPr>
        <sz val="11"/>
        <color theme="1"/>
        <rFont val="Calibri"/>
        <family val="2"/>
        <scheme val="minor"/>
      </rPr>
      <t xml:space="preserve"> - Unlicensed
</t>
    </r>
    <r>
      <rPr>
        <b/>
        <sz val="11"/>
        <color theme="1"/>
        <rFont val="Calibri"/>
        <family val="2"/>
        <scheme val="minor"/>
      </rPr>
      <t>ExemptRegulated</t>
    </r>
    <r>
      <rPr>
        <sz val="11"/>
        <color theme="1"/>
        <rFont val="Calibri"/>
        <family val="2"/>
        <scheme val="minor"/>
      </rPr>
      <t xml:space="preserve"> - Exempt - regulated
</t>
    </r>
    <r>
      <rPr>
        <b/>
        <sz val="11"/>
        <color theme="1"/>
        <rFont val="Calibri"/>
        <family val="2"/>
        <scheme val="minor"/>
      </rPr>
      <t>ExemptUnregulated</t>
    </r>
    <r>
      <rPr>
        <sz val="11"/>
        <color theme="1"/>
        <rFont val="Calibri"/>
        <family val="2"/>
        <scheme val="minor"/>
      </rPr>
      <t xml:space="preserve"> - Exempt - unregulated
</t>
    </r>
    <r>
      <rPr>
        <b/>
        <sz val="11"/>
        <color theme="1"/>
        <rFont val="Calibri"/>
        <family val="2"/>
        <scheme val="minor"/>
      </rPr>
      <t>Licensed</t>
    </r>
    <r>
      <rPr>
        <sz val="11"/>
        <color theme="1"/>
        <rFont val="Calibri"/>
        <family val="2"/>
        <scheme val="minor"/>
      </rPr>
      <t xml:space="preserve"> - Licensed
</t>
    </r>
  </si>
  <si>
    <t>QRIS Rating</t>
  </si>
  <si>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NotEligible</t>
    </r>
    <r>
      <rPr>
        <sz val="11"/>
        <color theme="1"/>
        <rFont val="Calibri"/>
        <family val="2"/>
        <scheme val="minor"/>
      </rPr>
      <t xml:space="preserve"> - Not Eligible
</t>
    </r>
    <r>
      <rPr>
        <b/>
        <sz val="11"/>
        <color theme="1"/>
        <rFont val="Calibri"/>
        <family val="2"/>
        <scheme val="minor"/>
      </rPr>
      <t>NoOperatingQRIS</t>
    </r>
    <r>
      <rPr>
        <sz val="11"/>
        <color theme="1"/>
        <rFont val="Calibri"/>
        <family val="2"/>
        <scheme val="minor"/>
      </rPr>
      <t xml:space="preserve"> - No Operating QRIS
</t>
    </r>
    <r>
      <rPr>
        <b/>
        <sz val="11"/>
        <color theme="1"/>
        <rFont val="Calibri"/>
        <family val="2"/>
        <scheme val="minor"/>
      </rPr>
      <t>InformationUnavailable</t>
    </r>
    <r>
      <rPr>
        <sz val="11"/>
        <color theme="1"/>
        <rFont val="Calibri"/>
        <family val="2"/>
        <scheme val="minor"/>
      </rPr>
      <t xml:space="preserve"> - Information Unavailable
</t>
    </r>
  </si>
  <si>
    <t>Monitoring</t>
  </si>
  <si>
    <r>
      <t>Announced</t>
    </r>
    <r>
      <rPr>
        <sz val="11"/>
        <color theme="1"/>
        <rFont val="Calibri"/>
        <family val="2"/>
        <scheme val="minor"/>
      </rPr>
      <t xml:space="preserve"> - Announced
</t>
    </r>
    <r>
      <rPr>
        <b/>
        <sz val="11"/>
        <color theme="1"/>
        <rFont val="Calibri"/>
        <family val="2"/>
        <scheme val="minor"/>
      </rPr>
      <t>Unannounced</t>
    </r>
    <r>
      <rPr>
        <sz val="11"/>
        <color theme="1"/>
        <rFont val="Calibri"/>
        <family val="2"/>
        <scheme val="minor"/>
      </rPr>
      <t xml:space="preserve"> - Unannounced
</t>
    </r>
  </si>
  <si>
    <r>
      <t>LicensingVisits</t>
    </r>
    <r>
      <rPr>
        <sz val="11"/>
        <color theme="1"/>
        <rFont val="Calibri"/>
        <family val="2"/>
        <scheme val="minor"/>
      </rPr>
      <t xml:space="preserve"> - Licensing Visits
</t>
    </r>
    <r>
      <rPr>
        <b/>
        <sz val="11"/>
        <color theme="1"/>
        <rFont val="Calibri"/>
        <family val="2"/>
        <scheme val="minor"/>
      </rPr>
      <t>HeathSafety</t>
    </r>
    <r>
      <rPr>
        <sz val="11"/>
        <color theme="1"/>
        <rFont val="Calibri"/>
        <family val="2"/>
        <scheme val="minor"/>
      </rPr>
      <t xml:space="preserve"> - Health and Safety
</t>
    </r>
    <r>
      <rPr>
        <b/>
        <sz val="11"/>
        <color theme="1"/>
        <rFont val="Calibri"/>
        <family val="2"/>
        <scheme val="minor"/>
      </rPr>
      <t>Renewal</t>
    </r>
    <r>
      <rPr>
        <sz val="11"/>
        <color theme="1"/>
        <rFont val="Calibri"/>
        <family val="2"/>
        <scheme val="minor"/>
      </rPr>
      <t xml:space="preserve"> - Renewal
</t>
    </r>
    <r>
      <rPr>
        <b/>
        <sz val="11"/>
        <color theme="1"/>
        <rFont val="Calibri"/>
        <family val="2"/>
        <scheme val="minor"/>
      </rPr>
      <t>Review</t>
    </r>
    <r>
      <rPr>
        <sz val="11"/>
        <color theme="1"/>
        <rFont val="Calibri"/>
        <family val="2"/>
        <scheme val="minor"/>
      </rPr>
      <t xml:space="preserve"> - Review
</t>
    </r>
    <r>
      <rPr>
        <b/>
        <sz val="11"/>
        <color theme="1"/>
        <rFont val="Calibri"/>
        <family val="2"/>
        <scheme val="minor"/>
      </rPr>
      <t>Other</t>
    </r>
    <r>
      <rPr>
        <sz val="11"/>
        <color theme="1"/>
        <rFont val="Calibri"/>
        <family val="2"/>
        <scheme val="minor"/>
      </rPr>
      <t xml:space="preserve"> - Other
</t>
    </r>
  </si>
  <si>
    <t>Accreditation</t>
  </si>
  <si>
    <r>
      <t>NAEYC</t>
    </r>
    <r>
      <rPr>
        <sz val="11"/>
        <color theme="1"/>
        <rFont val="Calibri"/>
        <family val="2"/>
        <scheme val="minor"/>
      </rPr>
      <t xml:space="preserve"> - National Association for the Education of Young Children
</t>
    </r>
    <r>
      <rPr>
        <b/>
        <sz val="11"/>
        <color theme="1"/>
        <rFont val="Calibri"/>
        <family val="2"/>
        <scheme val="minor"/>
      </rPr>
      <t>NECPA</t>
    </r>
    <r>
      <rPr>
        <sz val="11"/>
        <color theme="1"/>
        <rFont val="Calibri"/>
        <family val="2"/>
        <scheme val="minor"/>
      </rPr>
      <t xml:space="preserve"> - National Early Childhood Program Accreditation
</t>
    </r>
    <r>
      <rPr>
        <b/>
        <sz val="11"/>
        <color theme="1"/>
        <rFont val="Calibri"/>
        <family val="2"/>
        <scheme val="minor"/>
      </rPr>
      <t>NAC</t>
    </r>
    <r>
      <rPr>
        <sz val="11"/>
        <color theme="1"/>
        <rFont val="Calibri"/>
        <family val="2"/>
        <scheme val="minor"/>
      </rPr>
      <t xml:space="preserve"> - National Accreditation Commission
</t>
    </r>
    <r>
      <rPr>
        <b/>
        <sz val="11"/>
        <color theme="1"/>
        <rFont val="Calibri"/>
        <family val="2"/>
        <scheme val="minor"/>
      </rPr>
      <t>COA</t>
    </r>
    <r>
      <rPr>
        <sz val="11"/>
        <color theme="1"/>
        <rFont val="Calibri"/>
        <family val="2"/>
        <scheme val="minor"/>
      </rPr>
      <t xml:space="preserve"> - Council on Accreditation
</t>
    </r>
    <r>
      <rPr>
        <b/>
        <sz val="11"/>
        <color theme="1"/>
        <rFont val="Calibri"/>
        <family val="2"/>
        <scheme val="minor"/>
      </rPr>
      <t>NAFCC</t>
    </r>
    <r>
      <rPr>
        <sz val="11"/>
        <color theme="1"/>
        <rFont val="Calibri"/>
        <family val="2"/>
        <scheme val="minor"/>
      </rPr>
      <t xml:space="preserve"> - National Association for Family Child Care
</t>
    </r>
    <r>
      <rPr>
        <b/>
        <sz val="11"/>
        <color theme="1"/>
        <rFont val="Calibri"/>
        <family val="2"/>
        <scheme val="minor"/>
      </rPr>
      <t>SACS</t>
    </r>
    <r>
      <rPr>
        <sz val="11"/>
        <color theme="1"/>
        <rFont val="Calibri"/>
        <family val="2"/>
        <scheme val="minor"/>
      </rPr>
      <t xml:space="preserve"> - Southern Association of Colleges and Schools
</t>
    </r>
    <r>
      <rPr>
        <b/>
        <sz val="11"/>
        <color theme="1"/>
        <rFont val="Calibri"/>
        <family val="2"/>
        <scheme val="minor"/>
      </rPr>
      <t>NotAccredited</t>
    </r>
    <r>
      <rPr>
        <sz val="11"/>
        <color theme="1"/>
        <rFont val="Calibri"/>
        <family val="2"/>
        <scheme val="minor"/>
      </rPr>
      <t xml:space="preserve"> - Not accredited
</t>
    </r>
    <r>
      <rPr>
        <b/>
        <sz val="11"/>
        <color theme="1"/>
        <rFont val="Calibri"/>
        <family val="2"/>
        <scheme val="minor"/>
      </rPr>
      <t>Other</t>
    </r>
    <r>
      <rPr>
        <sz val="11"/>
        <color theme="1"/>
        <rFont val="Calibri"/>
        <family val="2"/>
        <scheme val="minor"/>
      </rPr>
      <t xml:space="preserve"> - Other Accreditation Agency
</t>
    </r>
  </si>
  <si>
    <t>Quality</t>
  </si>
  <si>
    <t>Policies</t>
  </si>
  <si>
    <r>
      <t>01</t>
    </r>
    <r>
      <rPr>
        <sz val="11"/>
        <color theme="1"/>
        <rFont val="Calibri"/>
        <family val="2"/>
        <scheme val="minor"/>
      </rPr>
      <t xml:space="preserve"> - Risk management plan
</t>
    </r>
    <r>
      <rPr>
        <b/>
        <sz val="11"/>
        <color theme="1"/>
        <rFont val="Calibri"/>
        <family val="2"/>
        <scheme val="minor"/>
      </rPr>
      <t>02</t>
    </r>
    <r>
      <rPr>
        <sz val="11"/>
        <color theme="1"/>
        <rFont val="Calibri"/>
        <family val="2"/>
        <scheme val="minor"/>
      </rPr>
      <t xml:space="preserve"> - Financial records
</t>
    </r>
    <r>
      <rPr>
        <b/>
        <sz val="11"/>
        <color theme="1"/>
        <rFont val="Calibri"/>
        <family val="2"/>
        <scheme val="minor"/>
      </rPr>
      <t>03</t>
    </r>
    <r>
      <rPr>
        <sz val="11"/>
        <color theme="1"/>
        <rFont val="Calibri"/>
        <family val="2"/>
        <scheme val="minor"/>
      </rPr>
      <t xml:space="preserve"> - Program administration and plan
</t>
    </r>
    <r>
      <rPr>
        <b/>
        <sz val="11"/>
        <color theme="1"/>
        <rFont val="Calibri"/>
        <family val="2"/>
        <scheme val="minor"/>
      </rPr>
      <t>04</t>
    </r>
    <r>
      <rPr>
        <sz val="11"/>
        <color theme="1"/>
        <rFont val="Calibri"/>
        <family val="2"/>
        <scheme val="minor"/>
      </rPr>
      <t xml:space="preserve"> - Marketing strategy
</t>
    </r>
    <r>
      <rPr>
        <b/>
        <sz val="11"/>
        <color theme="1"/>
        <rFont val="Calibri"/>
        <family val="2"/>
        <scheme val="minor"/>
      </rPr>
      <t>05</t>
    </r>
    <r>
      <rPr>
        <sz val="11"/>
        <color theme="1"/>
        <rFont val="Calibri"/>
        <family val="2"/>
        <scheme val="minor"/>
      </rPr>
      <t xml:space="preserve"> - Written program policies
</t>
    </r>
    <r>
      <rPr>
        <b/>
        <sz val="11"/>
        <color theme="1"/>
        <rFont val="Calibri"/>
        <family val="2"/>
        <scheme val="minor"/>
      </rPr>
      <t>06</t>
    </r>
    <r>
      <rPr>
        <sz val="11"/>
        <color theme="1"/>
        <rFont val="Calibri"/>
        <family val="2"/>
        <scheme val="minor"/>
      </rPr>
      <t xml:space="preserve"> - Program self assessment
</t>
    </r>
    <r>
      <rPr>
        <b/>
        <sz val="11"/>
        <color theme="1"/>
        <rFont val="Calibri"/>
        <family val="2"/>
        <scheme val="minor"/>
      </rPr>
      <t>99</t>
    </r>
    <r>
      <rPr>
        <sz val="11"/>
        <color theme="1"/>
        <rFont val="Calibri"/>
        <family val="2"/>
        <scheme val="minor"/>
      </rPr>
      <t xml:space="preserve"> - Other
</t>
    </r>
  </si>
  <si>
    <r>
      <t>01</t>
    </r>
    <r>
      <rPr>
        <sz val="11"/>
        <color theme="1"/>
        <rFont val="Calibri"/>
        <family val="2"/>
        <scheme val="minor"/>
      </rPr>
      <t xml:space="preserve"> - Staff feedback
</t>
    </r>
    <r>
      <rPr>
        <b/>
        <sz val="11"/>
        <color theme="1"/>
        <rFont val="Calibri"/>
        <family val="2"/>
        <scheme val="minor"/>
      </rPr>
      <t>02</t>
    </r>
    <r>
      <rPr>
        <sz val="11"/>
        <color theme="1"/>
        <rFont val="Calibri"/>
        <family val="2"/>
        <scheme val="minor"/>
      </rPr>
      <t xml:space="preserve"> - Staff meetings
</t>
    </r>
    <r>
      <rPr>
        <b/>
        <sz val="11"/>
        <color theme="1"/>
        <rFont val="Calibri"/>
        <family val="2"/>
        <scheme val="minor"/>
      </rPr>
      <t>03</t>
    </r>
    <r>
      <rPr>
        <sz val="11"/>
        <color theme="1"/>
        <rFont val="Calibri"/>
        <family val="2"/>
        <scheme val="minor"/>
      </rPr>
      <t xml:space="preserve"> - Annual performance evaluation
</t>
    </r>
    <r>
      <rPr>
        <b/>
        <sz val="11"/>
        <color theme="1"/>
        <rFont val="Calibri"/>
        <family val="2"/>
        <scheme val="minor"/>
      </rPr>
      <t>04</t>
    </r>
    <r>
      <rPr>
        <sz val="11"/>
        <color theme="1"/>
        <rFont val="Calibri"/>
        <family val="2"/>
        <scheme val="minor"/>
      </rPr>
      <t xml:space="preserve"> - Personal development plans
</t>
    </r>
    <r>
      <rPr>
        <b/>
        <sz val="11"/>
        <color theme="1"/>
        <rFont val="Calibri"/>
        <family val="2"/>
        <scheme val="minor"/>
      </rPr>
      <t>05</t>
    </r>
    <r>
      <rPr>
        <sz val="11"/>
        <color theme="1"/>
        <rFont val="Calibri"/>
        <family val="2"/>
        <scheme val="minor"/>
      </rPr>
      <t xml:space="preserve"> - New staff orientation
</t>
    </r>
  </si>
  <si>
    <t>Finance</t>
  </si>
  <si>
    <r>
      <t>HeadStart</t>
    </r>
    <r>
      <rPr>
        <sz val="11"/>
        <color theme="1"/>
        <rFont val="Calibri"/>
        <family val="2"/>
        <scheme val="minor"/>
      </rPr>
      <t xml:space="preserve"> - Head Start
</t>
    </r>
    <r>
      <rPr>
        <b/>
        <sz val="11"/>
        <color theme="1"/>
        <rFont val="Calibri"/>
        <family val="2"/>
        <scheme val="minor"/>
      </rPr>
      <t>EarlyHeadStart</t>
    </r>
    <r>
      <rPr>
        <sz val="11"/>
        <color theme="1"/>
        <rFont val="Calibri"/>
        <family val="2"/>
        <scheme val="minor"/>
      </rPr>
      <t xml:space="preserve"> - Early Head Start
</t>
    </r>
    <r>
      <rPr>
        <b/>
        <sz val="11"/>
        <color theme="1"/>
        <rFont val="Calibri"/>
        <family val="2"/>
        <scheme val="minor"/>
      </rPr>
      <t>CCDF</t>
    </r>
    <r>
      <rPr>
        <sz val="11"/>
        <color theme="1"/>
        <rFont val="Calibri"/>
        <family val="2"/>
        <scheme val="minor"/>
      </rPr>
      <t xml:space="preserve"> - Office of Child Care-CCDF
</t>
    </r>
    <r>
      <rPr>
        <b/>
        <sz val="11"/>
        <color theme="1"/>
        <rFont val="Calibri"/>
        <family val="2"/>
        <scheme val="minor"/>
      </rPr>
      <t>EarlyInterventionPartC</t>
    </r>
    <r>
      <rPr>
        <sz val="11"/>
        <color theme="1"/>
        <rFont val="Calibri"/>
        <family val="2"/>
        <scheme val="minor"/>
      </rPr>
      <t xml:space="preserve"> - Early Intevention Part C
</t>
    </r>
    <r>
      <rPr>
        <b/>
        <sz val="11"/>
        <color theme="1"/>
        <rFont val="Calibri"/>
        <family val="2"/>
        <scheme val="minor"/>
      </rPr>
      <t>PartB619</t>
    </r>
    <r>
      <rPr>
        <sz val="11"/>
        <color theme="1"/>
        <rFont val="Calibri"/>
        <family val="2"/>
        <scheme val="minor"/>
      </rPr>
      <t xml:space="preserve"> - Special Education Preschool Part B 619
</t>
    </r>
    <r>
      <rPr>
        <b/>
        <sz val="11"/>
        <color theme="1"/>
        <rFont val="Calibri"/>
        <family val="2"/>
        <scheme val="minor"/>
      </rPr>
      <t>TitleI</t>
    </r>
    <r>
      <rPr>
        <sz val="11"/>
        <color theme="1"/>
        <rFont val="Calibri"/>
        <family val="2"/>
        <scheme val="minor"/>
      </rPr>
      <t xml:space="preserve"> - Title I
</t>
    </r>
    <r>
      <rPr>
        <b/>
        <sz val="11"/>
        <color theme="1"/>
        <rFont val="Calibri"/>
        <family val="2"/>
        <scheme val="minor"/>
      </rPr>
      <t>MIECHV</t>
    </r>
    <r>
      <rPr>
        <sz val="11"/>
        <color theme="1"/>
        <rFont val="Calibri"/>
        <family val="2"/>
        <scheme val="minor"/>
      </rPr>
      <t xml:space="preserve"> - Maternal, Infant, and Early Childhood Home Visiting (MIECHV)
</t>
    </r>
    <r>
      <rPr>
        <b/>
        <sz val="11"/>
        <color theme="1"/>
        <rFont val="Calibri"/>
        <family val="2"/>
        <scheme val="minor"/>
      </rPr>
      <t>TitleVMCH</t>
    </r>
    <r>
      <rPr>
        <sz val="11"/>
        <color theme="1"/>
        <rFont val="Calibri"/>
        <family val="2"/>
        <scheme val="minor"/>
      </rPr>
      <t xml:space="preserve"> - Title V Maternal and Child Health (MCH)
</t>
    </r>
    <r>
      <rPr>
        <b/>
        <sz val="11"/>
        <color theme="1"/>
        <rFont val="Calibri"/>
        <family val="2"/>
        <scheme val="minor"/>
      </rPr>
      <t>PartB611IDEA</t>
    </r>
    <r>
      <rPr>
        <sz val="11"/>
        <color theme="1"/>
        <rFont val="Calibri"/>
        <family val="2"/>
        <scheme val="minor"/>
      </rPr>
      <t xml:space="preserve"> - Part B 611 Individuals with Disabilities Education Act (IDEA)
</t>
    </r>
    <r>
      <rPr>
        <b/>
        <sz val="11"/>
        <color theme="1"/>
        <rFont val="Calibri"/>
        <family val="2"/>
        <scheme val="minor"/>
      </rPr>
      <t>PartDIDEA</t>
    </r>
    <r>
      <rPr>
        <sz val="11"/>
        <color theme="1"/>
        <rFont val="Calibri"/>
        <family val="2"/>
        <scheme val="minor"/>
      </rPr>
      <t xml:space="preserve"> - Part D Individuals with Disabilities Education Act (IDEA)
</t>
    </r>
    <r>
      <rPr>
        <b/>
        <sz val="11"/>
        <color theme="1"/>
        <rFont val="Calibri"/>
        <family val="2"/>
        <scheme val="minor"/>
      </rPr>
      <t>Medicaid</t>
    </r>
    <r>
      <rPr>
        <sz val="11"/>
        <color theme="1"/>
        <rFont val="Calibri"/>
        <family val="2"/>
        <scheme val="minor"/>
      </rPr>
      <t xml:space="preserve"> - Medicaid
</t>
    </r>
    <r>
      <rPr>
        <b/>
        <sz val="11"/>
        <color theme="1"/>
        <rFont val="Calibri"/>
        <family val="2"/>
        <scheme val="minor"/>
      </rPr>
      <t>SCHIP</t>
    </r>
    <r>
      <rPr>
        <sz val="11"/>
        <color theme="1"/>
        <rFont val="Calibri"/>
        <family val="2"/>
        <scheme val="minor"/>
      </rPr>
      <t xml:space="preserve"> - State Children's Health Insurance Program (SCHIP)
</t>
    </r>
    <r>
      <rPr>
        <b/>
        <sz val="11"/>
        <color theme="1"/>
        <rFont val="Calibri"/>
        <family val="2"/>
        <scheme val="minor"/>
      </rPr>
      <t>WIC</t>
    </r>
    <r>
      <rPr>
        <sz val="11"/>
        <color theme="1"/>
        <rFont val="Calibri"/>
        <family val="2"/>
        <scheme val="minor"/>
      </rPr>
      <t xml:space="preserve"> - Special Supplemental Nutrition Program for Women Infants and Children (WIC)
</t>
    </r>
    <r>
      <rPr>
        <b/>
        <sz val="11"/>
        <color theme="1"/>
        <rFont val="Calibri"/>
        <family val="2"/>
        <scheme val="minor"/>
      </rPr>
      <t>TANF</t>
    </r>
    <r>
      <rPr>
        <sz val="11"/>
        <color theme="1"/>
        <rFont val="Calibri"/>
        <family val="2"/>
        <scheme val="minor"/>
      </rPr>
      <t xml:space="preserve"> - Temporary Assistance for Needy Families (TANF)
</t>
    </r>
    <r>
      <rPr>
        <b/>
        <sz val="11"/>
        <color theme="1"/>
        <rFont val="Calibri"/>
        <family val="2"/>
        <scheme val="minor"/>
      </rPr>
      <t>TitleVHomeVisiting</t>
    </r>
    <r>
      <rPr>
        <sz val="11"/>
        <color theme="1"/>
        <rFont val="Calibri"/>
        <family val="2"/>
        <scheme val="minor"/>
      </rPr>
      <t xml:space="preserve"> - Title V Home Visiting
</t>
    </r>
    <r>
      <rPr>
        <b/>
        <sz val="11"/>
        <color theme="1"/>
        <rFont val="Calibri"/>
        <family val="2"/>
        <scheme val="minor"/>
      </rPr>
      <t>SSBG</t>
    </r>
    <r>
      <rPr>
        <sz val="11"/>
        <color theme="1"/>
        <rFont val="Calibri"/>
        <family val="2"/>
        <scheme val="minor"/>
      </rPr>
      <t xml:space="preserve"> - Social Services Block Grant (SSBG)
</t>
    </r>
    <r>
      <rPr>
        <b/>
        <sz val="11"/>
        <color theme="1"/>
        <rFont val="Calibri"/>
        <family val="2"/>
        <scheme val="minor"/>
      </rPr>
      <t>ChampusTricare</t>
    </r>
    <r>
      <rPr>
        <sz val="11"/>
        <color theme="1"/>
        <rFont val="Calibri"/>
        <family val="2"/>
        <scheme val="minor"/>
      </rPr>
      <t xml:space="preserve"> - Champus/Tricare
</t>
    </r>
    <r>
      <rPr>
        <b/>
        <sz val="11"/>
        <color theme="1"/>
        <rFont val="Calibri"/>
        <family val="2"/>
        <scheme val="minor"/>
      </rPr>
      <t>ImpactAid</t>
    </r>
    <r>
      <rPr>
        <sz val="11"/>
        <color theme="1"/>
        <rFont val="Calibri"/>
        <family val="2"/>
        <scheme val="minor"/>
      </rPr>
      <t xml:space="preserve"> - Impact Aid
</t>
    </r>
    <r>
      <rPr>
        <b/>
        <sz val="11"/>
        <color theme="1"/>
        <rFont val="Calibri"/>
        <family val="2"/>
        <scheme val="minor"/>
      </rPr>
      <t>FamilyPreservation</t>
    </r>
    <r>
      <rPr>
        <sz val="11"/>
        <color theme="1"/>
        <rFont val="Calibri"/>
        <family val="2"/>
        <scheme val="minor"/>
      </rPr>
      <t xml:space="preserve"> - Family Preservation
</t>
    </r>
    <r>
      <rPr>
        <b/>
        <sz val="11"/>
        <color theme="1"/>
        <rFont val="Calibri"/>
        <family val="2"/>
        <scheme val="minor"/>
      </rPr>
      <t>DropoutPrevention</t>
    </r>
    <r>
      <rPr>
        <sz val="11"/>
        <color theme="1"/>
        <rFont val="Calibri"/>
        <family val="2"/>
        <scheme val="minor"/>
      </rPr>
      <t xml:space="preserve"> - Dropout Prevention
</t>
    </r>
    <r>
      <rPr>
        <b/>
        <sz val="11"/>
        <color theme="1"/>
        <rFont val="Calibri"/>
        <family val="2"/>
        <scheme val="minor"/>
      </rPr>
      <t>JuvenileJustice</t>
    </r>
    <r>
      <rPr>
        <sz val="11"/>
        <color theme="1"/>
        <rFont val="Calibri"/>
        <family val="2"/>
        <scheme val="minor"/>
      </rPr>
      <t xml:space="preserve"> - Juvenile Justice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</si>
  <si>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Head Start
</t>
    </r>
    <r>
      <rPr>
        <b/>
        <sz val="11"/>
        <color theme="1"/>
        <rFont val="Calibri"/>
        <family val="2"/>
        <scheme val="minor"/>
      </rPr>
      <t>02</t>
    </r>
    <r>
      <rPr>
        <sz val="11"/>
        <color theme="1"/>
        <rFont val="Calibri"/>
        <family val="2"/>
        <scheme val="minor"/>
      </rPr>
      <t xml:space="preserve"> - Early Head Start
</t>
    </r>
    <r>
      <rPr>
        <b/>
        <sz val="11"/>
        <color theme="1"/>
        <rFont val="Calibri"/>
        <family val="2"/>
        <scheme val="minor"/>
      </rPr>
      <t>03</t>
    </r>
    <r>
      <rPr>
        <sz val="11"/>
        <color theme="1"/>
        <rFont val="Calibri"/>
        <family val="2"/>
        <scheme val="minor"/>
      </rPr>
      <t xml:space="preserve"> - Office of Child Care-CCDF
</t>
    </r>
    <r>
      <rPr>
        <b/>
        <sz val="11"/>
        <color theme="1"/>
        <rFont val="Calibri"/>
        <family val="2"/>
        <scheme val="minor"/>
      </rPr>
      <t>04</t>
    </r>
    <r>
      <rPr>
        <sz val="11"/>
        <color theme="1"/>
        <rFont val="Calibri"/>
        <family val="2"/>
        <scheme val="minor"/>
      </rPr>
      <t xml:space="preserve"> - Early Intervention Part C
</t>
    </r>
    <r>
      <rPr>
        <b/>
        <sz val="11"/>
        <color theme="1"/>
        <rFont val="Calibri"/>
        <family val="2"/>
        <scheme val="minor"/>
      </rPr>
      <t>05</t>
    </r>
    <r>
      <rPr>
        <sz val="11"/>
        <color theme="1"/>
        <rFont val="Calibri"/>
        <family val="2"/>
        <scheme val="minor"/>
      </rPr>
      <t xml:space="preserve"> - Special Education Preschool Part B 619
</t>
    </r>
    <r>
      <rPr>
        <b/>
        <sz val="11"/>
        <color theme="1"/>
        <rFont val="Calibri"/>
        <family val="2"/>
        <scheme val="minor"/>
      </rPr>
      <t>99</t>
    </r>
    <r>
      <rPr>
        <sz val="11"/>
        <color theme="1"/>
        <rFont val="Calibri"/>
        <family val="2"/>
        <scheme val="minor"/>
      </rPr>
      <t xml:space="preserve"> - Other
</t>
    </r>
  </si>
  <si>
    <t>Compensation</t>
  </si>
  <si>
    <t>Professional Development</t>
  </si>
  <si>
    <r>
      <t>Onsite</t>
    </r>
    <r>
      <rPr>
        <sz val="11"/>
        <color theme="1"/>
        <rFont val="Calibri"/>
        <family val="2"/>
        <scheme val="minor"/>
      </rPr>
      <t xml:space="preserve"> - Onsite
</t>
    </r>
    <r>
      <rPr>
        <b/>
        <sz val="11"/>
        <color theme="1"/>
        <rFont val="Calibri"/>
        <family val="2"/>
        <scheme val="minor"/>
      </rPr>
      <t>Virtual</t>
    </r>
    <r>
      <rPr>
        <sz val="11"/>
        <color theme="1"/>
        <rFont val="Calibri"/>
        <family val="2"/>
        <scheme val="minor"/>
      </rPr>
      <t xml:space="preserve"> - Virtual classroom
</t>
    </r>
    <r>
      <rPr>
        <b/>
        <sz val="11"/>
        <color theme="1"/>
        <rFont val="Calibri"/>
        <family val="2"/>
        <scheme val="minor"/>
      </rPr>
      <t>Off-Site</t>
    </r>
    <r>
      <rPr>
        <sz val="11"/>
        <color theme="1"/>
        <rFont val="Calibri"/>
        <family val="2"/>
        <scheme val="minor"/>
      </rPr>
      <t xml:space="preserve"> - Off-site classroom
</t>
    </r>
    <r>
      <rPr>
        <b/>
        <sz val="11"/>
        <color theme="1"/>
        <rFont val="Calibri"/>
        <family val="2"/>
        <scheme val="minor"/>
      </rPr>
      <t>Conference</t>
    </r>
    <r>
      <rPr>
        <sz val="11"/>
        <color theme="1"/>
        <rFont val="Calibri"/>
        <family val="2"/>
        <scheme val="minor"/>
      </rPr>
      <t xml:space="preserve"> - Conference
</t>
    </r>
  </si>
  <si>
    <r>
      <t>01</t>
    </r>
    <r>
      <rPr>
        <sz val="11"/>
        <color theme="1"/>
        <rFont val="Calibri"/>
        <family val="2"/>
        <scheme val="minor"/>
      </rPr>
      <t xml:space="preserve"> - Core Knowledge Area
</t>
    </r>
    <r>
      <rPr>
        <b/>
        <sz val="11"/>
        <color theme="1"/>
        <rFont val="Calibri"/>
        <family val="2"/>
        <scheme val="minor"/>
      </rPr>
      <t>02</t>
    </r>
    <r>
      <rPr>
        <sz val="11"/>
        <color theme="1"/>
        <rFont val="Calibri"/>
        <family val="2"/>
        <scheme val="minor"/>
      </rPr>
      <t xml:space="preserve"> - Health Safety Technical Assistance
</t>
    </r>
    <r>
      <rPr>
        <b/>
        <sz val="11"/>
        <color theme="1"/>
        <rFont val="Calibri"/>
        <family val="2"/>
        <scheme val="minor"/>
      </rPr>
      <t>03</t>
    </r>
    <r>
      <rPr>
        <sz val="11"/>
        <color theme="1"/>
        <rFont val="Calibri"/>
        <family val="2"/>
        <scheme val="minor"/>
      </rPr>
      <t xml:space="preserve"> - Inclusion Technical Assistance
</t>
    </r>
    <r>
      <rPr>
        <b/>
        <sz val="11"/>
        <color theme="1"/>
        <rFont val="Calibri"/>
        <family val="2"/>
        <scheme val="minor"/>
      </rPr>
      <t>04</t>
    </r>
    <r>
      <rPr>
        <sz val="11"/>
        <color theme="1"/>
        <rFont val="Calibri"/>
        <family val="2"/>
        <scheme val="minor"/>
      </rPr>
      <t xml:space="preserve"> - Infant Toddler Care Technical Assistance
</t>
    </r>
    <r>
      <rPr>
        <b/>
        <sz val="11"/>
        <color theme="1"/>
        <rFont val="Calibri"/>
        <family val="2"/>
        <scheme val="minor"/>
      </rPr>
      <t>05</t>
    </r>
    <r>
      <rPr>
        <sz val="11"/>
        <color theme="1"/>
        <rFont val="Calibri"/>
        <family val="2"/>
        <scheme val="minor"/>
      </rPr>
      <t xml:space="preserve"> - Mental Health Technical Assistance
</t>
    </r>
    <r>
      <rPr>
        <b/>
        <sz val="11"/>
        <color theme="1"/>
        <rFont val="Calibri"/>
        <family val="2"/>
        <scheme val="minor"/>
      </rPr>
      <t>06</t>
    </r>
    <r>
      <rPr>
        <sz val="11"/>
        <color theme="1"/>
        <rFont val="Calibri"/>
        <family val="2"/>
        <scheme val="minor"/>
      </rPr>
      <t xml:space="preserve"> - Program Administration and Management Practices Technical Assistance
</t>
    </r>
    <r>
      <rPr>
        <b/>
        <sz val="11"/>
        <color theme="1"/>
        <rFont val="Calibri"/>
        <family val="2"/>
        <scheme val="minor"/>
      </rPr>
      <t>07</t>
    </r>
    <r>
      <rPr>
        <sz val="11"/>
        <color theme="1"/>
        <rFont val="Calibri"/>
        <family val="2"/>
        <scheme val="minor"/>
      </rPr>
      <t xml:space="preserve"> - School Age Technical Assistance
</t>
    </r>
    <r>
      <rPr>
        <b/>
        <sz val="11"/>
        <color theme="1"/>
        <rFont val="Calibri"/>
        <family val="2"/>
        <scheme val="minor"/>
      </rPr>
      <t>08</t>
    </r>
    <r>
      <rPr>
        <sz val="11"/>
        <color theme="1"/>
        <rFont val="Calibri"/>
        <family val="2"/>
        <scheme val="minor"/>
      </rPr>
      <t xml:space="preserve"> - Understanding Developmental Screening Technical Assistance
</t>
    </r>
    <r>
      <rPr>
        <b/>
        <sz val="11"/>
        <color theme="1"/>
        <rFont val="Calibri"/>
        <family val="2"/>
        <scheme val="minor"/>
      </rPr>
      <t>09</t>
    </r>
    <r>
      <rPr>
        <sz val="11"/>
        <color theme="1"/>
        <rFont val="Calibri"/>
        <family val="2"/>
        <scheme val="minor"/>
      </rPr>
      <t xml:space="preserve"> - Dual Language Learner Technical Assistance
</t>
    </r>
    <r>
      <rPr>
        <b/>
        <sz val="11"/>
        <color theme="1"/>
        <rFont val="Calibri"/>
        <family val="2"/>
        <scheme val="minor"/>
      </rPr>
      <t>10</t>
    </r>
    <r>
      <rPr>
        <sz val="11"/>
        <color theme="1"/>
        <rFont val="Calibri"/>
        <family val="2"/>
        <scheme val="minor"/>
      </rPr>
      <t xml:space="preserve"> - Language and Literacy Development
</t>
    </r>
    <r>
      <rPr>
        <b/>
        <sz val="11"/>
        <color theme="1"/>
        <rFont val="Calibri"/>
        <family val="2"/>
        <scheme val="minor"/>
      </rPr>
      <t>11</t>
    </r>
    <r>
      <rPr>
        <sz val="11"/>
        <color theme="1"/>
        <rFont val="Calibri"/>
        <family val="2"/>
        <scheme val="minor"/>
      </rPr>
      <t xml:space="preserve"> - Cognition and General Knowledge (including early mathematics and early scientific development)
</t>
    </r>
    <r>
      <rPr>
        <b/>
        <sz val="11"/>
        <color theme="1"/>
        <rFont val="Calibri"/>
        <family val="2"/>
        <scheme val="minor"/>
      </rPr>
      <t>12</t>
    </r>
    <r>
      <rPr>
        <sz val="11"/>
        <color theme="1"/>
        <rFont val="Calibri"/>
        <family val="2"/>
        <scheme val="minor"/>
      </rPr>
      <t xml:space="preserve"> - Approaches Toward Learning
</t>
    </r>
    <r>
      <rPr>
        <b/>
        <sz val="11"/>
        <color theme="1"/>
        <rFont val="Calibri"/>
        <family val="2"/>
        <scheme val="minor"/>
      </rPr>
      <t>13</t>
    </r>
    <r>
      <rPr>
        <sz val="11"/>
        <color theme="1"/>
        <rFont val="Calibri"/>
        <family val="2"/>
        <scheme val="minor"/>
      </rPr>
      <t xml:space="preserve"> - Physical Well-being and Motor Development (including adaptive skills)
</t>
    </r>
    <r>
      <rPr>
        <b/>
        <sz val="11"/>
        <color theme="1"/>
        <rFont val="Calibri"/>
        <family val="2"/>
        <scheme val="minor"/>
      </rPr>
      <t>14</t>
    </r>
    <r>
      <rPr>
        <sz val="11"/>
        <color theme="1"/>
        <rFont val="Calibri"/>
        <family val="2"/>
        <scheme val="minor"/>
      </rPr>
      <t xml:space="preserve"> - Social and Emotional Development
</t>
    </r>
  </si>
  <si>
    <t>Service Partners</t>
  </si>
  <si>
    <t>Cultural and Linguistic Diversity</t>
  </si>
  <si>
    <t>Health Promotion</t>
  </si>
  <si>
    <r>
      <t>Diphtheria</t>
    </r>
    <r>
      <rPr>
        <sz val="11"/>
        <color theme="1"/>
        <rFont val="Calibri"/>
        <family val="2"/>
        <scheme val="minor"/>
      </rPr>
      <t xml:space="preserve"> - Diphtheria
</t>
    </r>
    <r>
      <rPr>
        <b/>
        <sz val="11"/>
        <color theme="1"/>
        <rFont val="Calibri"/>
        <family val="2"/>
        <scheme val="minor"/>
      </rPr>
      <t>HaemophilusInfluenzae</t>
    </r>
    <r>
      <rPr>
        <sz val="11"/>
        <color theme="1"/>
        <rFont val="Calibri"/>
        <family val="2"/>
        <scheme val="minor"/>
      </rPr>
      <t xml:space="preserve"> - Haemophilus Influenzae
</t>
    </r>
    <r>
      <rPr>
        <b/>
        <sz val="11"/>
        <color theme="1"/>
        <rFont val="Calibri"/>
        <family val="2"/>
        <scheme val="minor"/>
      </rPr>
      <t>HepatitisA</t>
    </r>
    <r>
      <rPr>
        <sz val="11"/>
        <color theme="1"/>
        <rFont val="Calibri"/>
        <family val="2"/>
        <scheme val="minor"/>
      </rPr>
      <t xml:space="preserve"> - Hepatitis A
</t>
    </r>
    <r>
      <rPr>
        <b/>
        <sz val="11"/>
        <color theme="1"/>
        <rFont val="Calibri"/>
        <family val="2"/>
        <scheme val="minor"/>
      </rPr>
      <t>HepatitisB</t>
    </r>
    <r>
      <rPr>
        <sz val="11"/>
        <color theme="1"/>
        <rFont val="Calibri"/>
        <family val="2"/>
        <scheme val="minor"/>
      </rPr>
      <t xml:space="preserve"> - Hepatitis B
</t>
    </r>
    <r>
      <rPr>
        <b/>
        <sz val="11"/>
        <color theme="1"/>
        <rFont val="Calibri"/>
        <family val="2"/>
        <scheme val="minor"/>
      </rPr>
      <t>InactivatedPoliovirus</t>
    </r>
    <r>
      <rPr>
        <sz val="11"/>
        <color theme="1"/>
        <rFont val="Calibri"/>
        <family val="2"/>
        <scheme val="minor"/>
      </rPr>
      <t xml:space="preserve"> - Inactivated Poliovirus
</t>
    </r>
    <r>
      <rPr>
        <b/>
        <sz val="11"/>
        <color theme="1"/>
        <rFont val="Calibri"/>
        <family val="2"/>
        <scheme val="minor"/>
      </rPr>
      <t>Influenza</t>
    </r>
    <r>
      <rPr>
        <sz val="11"/>
        <color theme="1"/>
        <rFont val="Calibri"/>
        <family val="2"/>
        <scheme val="minor"/>
      </rPr>
      <t xml:space="preserve"> - Influenza
</t>
    </r>
    <r>
      <rPr>
        <b/>
        <sz val="11"/>
        <color theme="1"/>
        <rFont val="Calibri"/>
        <family val="2"/>
        <scheme val="minor"/>
      </rPr>
      <t>Meningococcal</t>
    </r>
    <r>
      <rPr>
        <sz val="11"/>
        <color theme="1"/>
        <rFont val="Calibri"/>
        <family val="2"/>
        <scheme val="minor"/>
      </rPr>
      <t xml:space="preserve"> - Meningococcal
</t>
    </r>
    <r>
      <rPr>
        <b/>
        <sz val="11"/>
        <color theme="1"/>
        <rFont val="Calibri"/>
        <family val="2"/>
        <scheme val="minor"/>
      </rPr>
      <t>Mumps</t>
    </r>
    <r>
      <rPr>
        <sz val="11"/>
        <color theme="1"/>
        <rFont val="Calibri"/>
        <family val="2"/>
        <scheme val="minor"/>
      </rPr>
      <t xml:space="preserve"> - Mumps
</t>
    </r>
    <r>
      <rPr>
        <b/>
        <sz val="11"/>
        <color theme="1"/>
        <rFont val="Calibri"/>
        <family val="2"/>
        <scheme val="minor"/>
      </rPr>
      <t>Pertussis</t>
    </r>
    <r>
      <rPr>
        <sz val="11"/>
        <color theme="1"/>
        <rFont val="Calibri"/>
        <family val="2"/>
        <scheme val="minor"/>
      </rPr>
      <t xml:space="preserve"> - Pertussis (Whooping Cough)
</t>
    </r>
    <r>
      <rPr>
        <b/>
        <sz val="11"/>
        <color theme="1"/>
        <rFont val="Calibri"/>
        <family val="2"/>
        <scheme val="minor"/>
      </rPr>
      <t>Pneumococcal</t>
    </r>
    <r>
      <rPr>
        <sz val="11"/>
        <color theme="1"/>
        <rFont val="Calibri"/>
        <family val="2"/>
        <scheme val="minor"/>
      </rPr>
      <t xml:space="preserve"> - Pneumococcal
</t>
    </r>
    <r>
      <rPr>
        <b/>
        <sz val="11"/>
        <color theme="1"/>
        <rFont val="Calibri"/>
        <family val="2"/>
        <scheme val="minor"/>
      </rPr>
      <t>RhImmuneGlobulin</t>
    </r>
    <r>
      <rPr>
        <sz val="11"/>
        <color theme="1"/>
        <rFont val="Calibri"/>
        <family val="2"/>
        <scheme val="minor"/>
      </rPr>
      <t xml:space="preserve"> - Rh. Immune Globulin
</t>
    </r>
    <r>
      <rPr>
        <b/>
        <sz val="11"/>
        <color theme="1"/>
        <rFont val="Calibri"/>
        <family val="2"/>
        <scheme val="minor"/>
      </rPr>
      <t>Rotavirus</t>
    </r>
    <r>
      <rPr>
        <sz val="11"/>
        <color theme="1"/>
        <rFont val="Calibri"/>
        <family val="2"/>
        <scheme val="minor"/>
      </rPr>
      <t xml:space="preserve"> - Rotavirus
</t>
    </r>
    <r>
      <rPr>
        <b/>
        <sz val="11"/>
        <color theme="1"/>
        <rFont val="Calibri"/>
        <family val="2"/>
        <scheme val="minor"/>
      </rPr>
      <t>Rubella</t>
    </r>
    <r>
      <rPr>
        <sz val="11"/>
        <color theme="1"/>
        <rFont val="Calibri"/>
        <family val="2"/>
        <scheme val="minor"/>
      </rPr>
      <t xml:space="preserve"> - Rubella (German measles)
</t>
    </r>
    <r>
      <rPr>
        <b/>
        <sz val="11"/>
        <color theme="1"/>
        <rFont val="Calibri"/>
        <family val="2"/>
        <scheme val="minor"/>
      </rPr>
      <t>Rubeola</t>
    </r>
    <r>
      <rPr>
        <sz val="11"/>
        <color theme="1"/>
        <rFont val="Calibri"/>
        <family val="2"/>
        <scheme val="minor"/>
      </rPr>
      <t xml:space="preserve"> - Rubeola (Measles)
</t>
    </r>
    <r>
      <rPr>
        <b/>
        <sz val="11"/>
        <color theme="1"/>
        <rFont val="Calibri"/>
        <family val="2"/>
        <scheme val="minor"/>
      </rPr>
      <t>Smallpox</t>
    </r>
    <r>
      <rPr>
        <sz val="11"/>
        <color theme="1"/>
        <rFont val="Calibri"/>
        <family val="2"/>
        <scheme val="minor"/>
      </rPr>
      <t xml:space="preserve"> - Smallpox
</t>
    </r>
    <r>
      <rPr>
        <b/>
        <sz val="11"/>
        <color theme="1"/>
        <rFont val="Calibri"/>
        <family val="2"/>
        <scheme val="minor"/>
      </rPr>
      <t>Tetanus</t>
    </r>
    <r>
      <rPr>
        <sz val="11"/>
        <color theme="1"/>
        <rFont val="Calibri"/>
        <family val="2"/>
        <scheme val="minor"/>
      </rPr>
      <t xml:space="preserve"> - Tetanus
</t>
    </r>
    <r>
      <rPr>
        <b/>
        <sz val="11"/>
        <color theme="1"/>
        <rFont val="Calibri"/>
        <family val="2"/>
        <scheme val="minor"/>
      </rPr>
      <t>Tuberculosis</t>
    </r>
    <r>
      <rPr>
        <sz val="11"/>
        <color theme="1"/>
        <rFont val="Calibri"/>
        <family val="2"/>
        <scheme val="minor"/>
      </rPr>
      <t xml:space="preserve"> - Tuberculosis (BCG)
</t>
    </r>
    <r>
      <rPr>
        <b/>
        <sz val="11"/>
        <color theme="1"/>
        <rFont val="Calibri"/>
        <family val="2"/>
        <scheme val="minor"/>
      </rPr>
      <t>Varicella</t>
    </r>
    <r>
      <rPr>
        <sz val="11"/>
        <color theme="1"/>
        <rFont val="Calibri"/>
        <family val="2"/>
        <scheme val="minor"/>
      </rPr>
      <t xml:space="preserve"> - Varicella
</t>
    </r>
    <r>
      <rPr>
        <b/>
        <sz val="11"/>
        <color theme="1"/>
        <rFont val="Calibri"/>
        <family val="2"/>
        <scheme val="minor"/>
      </rPr>
      <t>ParentOptOut</t>
    </r>
    <r>
      <rPr>
        <sz val="11"/>
        <color theme="1"/>
        <rFont val="Calibri"/>
        <family val="2"/>
        <scheme val="minor"/>
      </rPr>
      <t xml:space="preserve"> - Parent opt-out
</t>
    </r>
  </si>
  <si>
    <t>Inclusion</t>
  </si>
  <si>
    <t>Parental/Family Involvement</t>
  </si>
  <si>
    <r>
      <t>InPerson</t>
    </r>
    <r>
      <rPr>
        <sz val="11"/>
        <color theme="1"/>
        <rFont val="Calibri"/>
        <family val="2"/>
        <scheme val="minor"/>
      </rPr>
      <t xml:space="preserve"> - In-person
</t>
    </r>
    <r>
      <rPr>
        <b/>
        <sz val="11"/>
        <color theme="1"/>
        <rFont val="Calibri"/>
        <family val="2"/>
        <scheme val="minor"/>
      </rPr>
      <t>Phone</t>
    </r>
    <r>
      <rPr>
        <sz val="11"/>
        <color theme="1"/>
        <rFont val="Calibri"/>
        <family val="2"/>
        <scheme val="minor"/>
      </rPr>
      <t xml:space="preserve"> - Phone
</t>
    </r>
    <r>
      <rPr>
        <b/>
        <sz val="11"/>
        <color theme="1"/>
        <rFont val="Calibri"/>
        <family val="2"/>
        <scheme val="minor"/>
      </rPr>
      <t>Website</t>
    </r>
    <r>
      <rPr>
        <sz val="11"/>
        <color theme="1"/>
        <rFont val="Calibri"/>
        <family val="2"/>
        <scheme val="minor"/>
      </rPr>
      <t xml:space="preserve"> - Website
</t>
    </r>
    <r>
      <rPr>
        <b/>
        <sz val="11"/>
        <color theme="1"/>
        <rFont val="Calibri"/>
        <family val="2"/>
        <scheme val="minor"/>
      </rPr>
      <t>Email</t>
    </r>
    <r>
      <rPr>
        <sz val="11"/>
        <color theme="1"/>
        <rFont val="Calibri"/>
        <family val="2"/>
        <scheme val="minor"/>
      </rPr>
      <t xml:space="preserve"> - Email
</t>
    </r>
    <r>
      <rPr>
        <b/>
        <sz val="11"/>
        <color theme="1"/>
        <rFont val="Calibri"/>
        <family val="2"/>
        <scheme val="minor"/>
      </rPr>
      <t>Newsletter</t>
    </r>
    <r>
      <rPr>
        <sz val="11"/>
        <color theme="1"/>
        <rFont val="Calibri"/>
        <family val="2"/>
        <scheme val="minor"/>
      </rPr>
      <t xml:space="preserve"> - Newsletter
</t>
    </r>
    <r>
      <rPr>
        <b/>
        <sz val="11"/>
        <color theme="1"/>
        <rFont val="Calibri"/>
        <family val="2"/>
        <scheme val="minor"/>
      </rPr>
      <t>BulletinBoard</t>
    </r>
    <r>
      <rPr>
        <sz val="11"/>
        <color theme="1"/>
        <rFont val="Calibri"/>
        <family val="2"/>
        <scheme val="minor"/>
      </rPr>
      <t xml:space="preserve"> - Bulletin board
</t>
    </r>
    <r>
      <rPr>
        <b/>
        <sz val="11"/>
        <color theme="1"/>
        <rFont val="Calibri"/>
        <family val="2"/>
        <scheme val="minor"/>
      </rPr>
      <t>HomeVisit</t>
    </r>
    <r>
      <rPr>
        <sz val="11"/>
        <color theme="1"/>
        <rFont val="Calibri"/>
        <family val="2"/>
        <scheme val="minor"/>
      </rPr>
      <t xml:space="preserve"> - Home visit
</t>
    </r>
    <r>
      <rPr>
        <b/>
        <sz val="11"/>
        <color theme="1"/>
        <rFont val="Calibri"/>
        <family val="2"/>
        <scheme val="minor"/>
      </rPr>
      <t>Fax</t>
    </r>
    <r>
      <rPr>
        <sz val="11"/>
        <color theme="1"/>
        <rFont val="Calibri"/>
        <family val="2"/>
        <scheme val="minor"/>
      </rPr>
      <t xml:space="preserve"> - Fax
</t>
    </r>
    <r>
      <rPr>
        <b/>
        <sz val="11"/>
        <color theme="1"/>
        <rFont val="Calibri"/>
        <family val="2"/>
        <scheme val="minor"/>
      </rPr>
      <t>Other</t>
    </r>
    <r>
      <rPr>
        <sz val="11"/>
        <color theme="1"/>
        <rFont val="Calibri"/>
        <family val="2"/>
        <scheme val="minor"/>
      </rPr>
      <t xml:space="preserve"> - Other
</t>
    </r>
  </si>
  <si>
    <t>EL Child</t>
  </si>
  <si>
    <t>Identity-&gt;Name</t>
  </si>
  <si>
    <t>Identity-&gt;Other Name</t>
  </si>
  <si>
    <t>Identity-&gt;Identification</t>
  </si>
  <si>
    <r>
      <t>CanadianSIN</t>
    </r>
    <r>
      <rPr>
        <sz val="11"/>
        <color theme="1"/>
        <rFont val="Calibri"/>
        <family val="2"/>
        <scheme val="minor"/>
      </rPr>
      <t xml:space="preserve"> - Canadian Social Insurance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Family</t>
    </r>
    <r>
      <rPr>
        <sz val="11"/>
        <color theme="1"/>
        <rFont val="Calibri"/>
        <family val="2"/>
        <scheme val="minor"/>
      </rPr>
      <t xml:space="preserve"> - Family unit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NationalMigrant</t>
    </r>
    <r>
      <rPr>
        <sz val="11"/>
        <color theme="1"/>
        <rFont val="Calibri"/>
        <family val="2"/>
        <scheme val="minor"/>
      </rPr>
      <t xml:space="preserve"> - National migrant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SSN</t>
    </r>
    <r>
      <rPr>
        <sz val="11"/>
        <color theme="1"/>
        <rFont val="Calibri"/>
        <family val="2"/>
        <scheme val="minor"/>
      </rPr>
      <t xml:space="preserve"> - Social Security Administration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StateMigrant</t>
    </r>
    <r>
      <rPr>
        <sz val="11"/>
        <color theme="1"/>
        <rFont val="Calibri"/>
        <family val="2"/>
        <scheme val="minor"/>
      </rPr>
      <t xml:space="preserve"> - State migrant number
</t>
    </r>
    <r>
      <rPr>
        <b/>
        <sz val="11"/>
        <color theme="1"/>
        <rFont val="Calibri"/>
        <family val="2"/>
        <scheme val="minor"/>
      </rPr>
      <t>Program</t>
    </r>
    <r>
      <rPr>
        <sz val="11"/>
        <color theme="1"/>
        <rFont val="Calibri"/>
        <family val="2"/>
        <scheme val="minor"/>
      </rPr>
      <t xml:space="preserve"> - Program-assigned number
</t>
    </r>
  </si>
  <si>
    <r>
      <t>01003</t>
    </r>
    <r>
      <rPr>
        <sz val="11"/>
        <color theme="1"/>
        <rFont val="Calibri"/>
        <family val="2"/>
        <scheme val="minor"/>
      </rPr>
      <t xml:space="preserve"> - Baptismal or church certificate
</t>
    </r>
    <r>
      <rPr>
        <b/>
        <sz val="11"/>
        <color theme="1"/>
        <rFont val="Calibri"/>
        <family val="2"/>
        <scheme val="minor"/>
      </rPr>
      <t>01004</t>
    </r>
    <r>
      <rPr>
        <sz val="11"/>
        <color theme="1"/>
        <rFont val="Calibri"/>
        <family val="2"/>
        <scheme val="minor"/>
      </rPr>
      <t xml:space="preserve"> - Birth certificate
</t>
    </r>
    <r>
      <rPr>
        <b/>
        <sz val="11"/>
        <color theme="1"/>
        <rFont val="Calibri"/>
        <family val="2"/>
        <scheme val="minor"/>
      </rPr>
      <t>01012</t>
    </r>
    <r>
      <rPr>
        <sz val="11"/>
        <color theme="1"/>
        <rFont val="Calibri"/>
        <family val="2"/>
        <scheme val="minor"/>
      </rPr>
      <t xml:space="preserve"> - Driver's license
</t>
    </r>
    <r>
      <rPr>
        <b/>
        <sz val="11"/>
        <color theme="1"/>
        <rFont val="Calibri"/>
        <family val="2"/>
        <scheme val="minor"/>
      </rPr>
      <t>01005</t>
    </r>
    <r>
      <rPr>
        <sz val="11"/>
        <color theme="1"/>
        <rFont val="Calibri"/>
        <family val="2"/>
        <scheme val="minor"/>
      </rPr>
      <t xml:space="preserve"> - Entry in family Bible
</t>
    </r>
    <r>
      <rPr>
        <b/>
        <sz val="11"/>
        <color theme="1"/>
        <rFont val="Calibri"/>
        <family val="2"/>
        <scheme val="minor"/>
      </rPr>
      <t>01006</t>
    </r>
    <r>
      <rPr>
        <sz val="11"/>
        <color theme="1"/>
        <rFont val="Calibri"/>
        <family val="2"/>
        <scheme val="minor"/>
      </rPr>
      <t xml:space="preserve"> - Hospital certificate
</t>
    </r>
    <r>
      <rPr>
        <b/>
        <sz val="11"/>
        <color theme="1"/>
        <rFont val="Calibri"/>
        <family val="2"/>
        <scheme val="minor"/>
      </rPr>
      <t>01013</t>
    </r>
    <r>
      <rPr>
        <sz val="11"/>
        <color theme="1"/>
        <rFont val="Calibri"/>
        <family val="2"/>
        <scheme val="minor"/>
      </rPr>
      <t xml:space="preserve"> - Immigration document/visa
</t>
    </r>
    <r>
      <rPr>
        <b/>
        <sz val="11"/>
        <color theme="1"/>
        <rFont val="Calibri"/>
        <family val="2"/>
        <scheme val="minor"/>
      </rPr>
      <t>02382</t>
    </r>
    <r>
      <rPr>
        <sz val="11"/>
        <color theme="1"/>
        <rFont val="Calibri"/>
        <family val="2"/>
        <scheme val="minor"/>
      </rPr>
      <t xml:space="preserve"> - Life insurance policy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03424</t>
    </r>
    <r>
      <rPr>
        <sz val="11"/>
        <color theme="1"/>
        <rFont val="Calibri"/>
        <family val="2"/>
        <scheme val="minor"/>
      </rPr>
      <t xml:space="preserve"> - Other non-official document
</t>
    </r>
    <r>
      <rPr>
        <b/>
        <sz val="11"/>
        <color theme="1"/>
        <rFont val="Calibri"/>
        <family val="2"/>
        <scheme val="minor"/>
      </rPr>
      <t>03423</t>
    </r>
    <r>
      <rPr>
        <sz val="11"/>
        <color theme="1"/>
        <rFont val="Calibri"/>
        <family val="2"/>
        <scheme val="minor"/>
      </rPr>
      <t xml:space="preserve"> - Other official document
</t>
    </r>
    <r>
      <rPr>
        <b/>
        <sz val="11"/>
        <color theme="1"/>
        <rFont val="Calibri"/>
        <family val="2"/>
        <scheme val="minor"/>
      </rPr>
      <t>01007</t>
    </r>
    <r>
      <rPr>
        <sz val="11"/>
        <color theme="1"/>
        <rFont val="Calibri"/>
        <family val="2"/>
        <scheme val="minor"/>
      </rPr>
      <t xml:space="preserve"> - Parent's affidavit
</t>
    </r>
    <r>
      <rPr>
        <b/>
        <sz val="11"/>
        <color theme="1"/>
        <rFont val="Calibri"/>
        <family val="2"/>
        <scheme val="minor"/>
      </rPr>
      <t>01008</t>
    </r>
    <r>
      <rPr>
        <sz val="11"/>
        <color theme="1"/>
        <rFont val="Calibri"/>
        <family val="2"/>
        <scheme val="minor"/>
      </rPr>
      <t xml:space="preserve"> - Passport
</t>
    </r>
    <r>
      <rPr>
        <b/>
        <sz val="11"/>
        <color theme="1"/>
        <rFont val="Calibri"/>
        <family val="2"/>
        <scheme val="minor"/>
      </rPr>
      <t>01009</t>
    </r>
    <r>
      <rPr>
        <sz val="11"/>
        <color theme="1"/>
        <rFont val="Calibri"/>
        <family val="2"/>
        <scheme val="minor"/>
      </rPr>
      <t xml:space="preserve"> - Physician's certificate
</t>
    </r>
    <r>
      <rPr>
        <b/>
        <sz val="11"/>
        <color theme="1"/>
        <rFont val="Calibri"/>
        <family val="2"/>
        <scheme val="minor"/>
      </rPr>
      <t>01010</t>
    </r>
    <r>
      <rPr>
        <sz val="11"/>
        <color theme="1"/>
        <rFont val="Calibri"/>
        <family val="2"/>
        <scheme val="minor"/>
      </rPr>
      <t xml:space="preserve"> - Previously verified school records
</t>
    </r>
    <r>
      <rPr>
        <b/>
        <sz val="11"/>
        <color theme="1"/>
        <rFont val="Calibri"/>
        <family val="2"/>
        <scheme val="minor"/>
      </rPr>
      <t>01011</t>
    </r>
    <r>
      <rPr>
        <sz val="11"/>
        <color theme="1"/>
        <rFont val="Calibri"/>
        <family val="2"/>
        <scheme val="minor"/>
      </rPr>
      <t xml:space="preserve"> - State-issued ID
</t>
    </r>
  </si>
  <si>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Shipping</t>
    </r>
    <r>
      <rPr>
        <sz val="11"/>
        <color theme="1"/>
        <rFont val="Calibri"/>
        <family val="2"/>
        <scheme val="minor"/>
      </rPr>
      <t xml:space="preserve"> - Shipping
</t>
    </r>
    <r>
      <rPr>
        <b/>
        <sz val="11"/>
        <color theme="1"/>
        <rFont val="Calibri"/>
        <family val="2"/>
        <scheme val="minor"/>
      </rPr>
      <t>Billing</t>
    </r>
    <r>
      <rPr>
        <sz val="11"/>
        <color theme="1"/>
        <rFont val="Calibri"/>
        <family val="2"/>
        <scheme val="minor"/>
      </rPr>
      <t xml:space="preserve"> - Billing address
</t>
    </r>
    <r>
      <rPr>
        <b/>
        <sz val="11"/>
        <color theme="1"/>
        <rFont val="Calibri"/>
        <family val="2"/>
        <scheme val="minor"/>
      </rPr>
      <t>OnCampus</t>
    </r>
    <r>
      <rPr>
        <sz val="11"/>
        <color theme="1"/>
        <rFont val="Calibri"/>
        <family val="2"/>
        <scheme val="minor"/>
      </rPr>
      <t xml:space="preserve"> - On campus
</t>
    </r>
    <r>
      <rPr>
        <b/>
        <sz val="11"/>
        <color theme="1"/>
        <rFont val="Calibri"/>
        <family val="2"/>
        <scheme val="minor"/>
      </rPr>
      <t>OffCampus</t>
    </r>
    <r>
      <rPr>
        <sz val="11"/>
        <color theme="1"/>
        <rFont val="Calibri"/>
        <family val="2"/>
        <scheme val="minor"/>
      </rPr>
      <t xml:space="preserve"> - Off-campus, temporary
</t>
    </r>
    <r>
      <rPr>
        <b/>
        <sz val="11"/>
        <color theme="1"/>
        <rFont val="Calibri"/>
        <family val="2"/>
        <scheme val="minor"/>
      </rPr>
      <t>PermanentStudent</t>
    </r>
    <r>
      <rPr>
        <sz val="11"/>
        <color theme="1"/>
        <rFont val="Calibri"/>
        <family val="2"/>
        <scheme val="minor"/>
      </rPr>
      <t xml:space="preserve"> - Permanent, student
</t>
    </r>
    <r>
      <rPr>
        <b/>
        <sz val="11"/>
        <color theme="1"/>
        <rFont val="Calibri"/>
        <family val="2"/>
        <scheme val="minor"/>
      </rPr>
      <t>PermanentAdmission</t>
    </r>
    <r>
      <rPr>
        <sz val="11"/>
        <color theme="1"/>
        <rFont val="Calibri"/>
        <family val="2"/>
        <scheme val="minor"/>
      </rPr>
      <t xml:space="preserve"> - Permanent, at time of admission
</t>
    </r>
    <r>
      <rPr>
        <b/>
        <sz val="11"/>
        <color theme="1"/>
        <rFont val="Calibri"/>
        <family val="2"/>
        <scheme val="minor"/>
      </rPr>
      <t>FatherAddress</t>
    </r>
    <r>
      <rPr>
        <sz val="11"/>
        <color theme="1"/>
        <rFont val="Calibri"/>
        <family val="2"/>
        <scheme val="minor"/>
      </rPr>
      <t xml:space="preserve"> - Father's address
</t>
    </r>
    <r>
      <rPr>
        <b/>
        <sz val="11"/>
        <color theme="1"/>
        <rFont val="Calibri"/>
        <family val="2"/>
        <scheme val="minor"/>
      </rPr>
      <t>MotherAddress</t>
    </r>
    <r>
      <rPr>
        <sz val="11"/>
        <color theme="1"/>
        <rFont val="Calibri"/>
        <family val="2"/>
        <scheme val="minor"/>
      </rPr>
      <t xml:space="preserve"> - Mother's address
</t>
    </r>
    <r>
      <rPr>
        <b/>
        <sz val="11"/>
        <color theme="1"/>
        <rFont val="Calibri"/>
        <family val="2"/>
        <scheme val="minor"/>
      </rPr>
      <t>GuardianAddress</t>
    </r>
    <r>
      <rPr>
        <sz val="11"/>
        <color theme="1"/>
        <rFont val="Calibri"/>
        <family val="2"/>
        <scheme val="minor"/>
      </rPr>
      <t xml:space="preserve"> - Guardian's address
</t>
    </r>
  </si>
  <si>
    <t>Demographic</t>
  </si>
  <si>
    <r>
      <t>Male</t>
    </r>
    <r>
      <rPr>
        <sz val="11"/>
        <color theme="1"/>
        <rFont val="Calibri"/>
        <family val="2"/>
        <scheme val="minor"/>
      </rPr>
      <t xml:space="preserve"> - Male
</t>
    </r>
    <r>
      <rPr>
        <b/>
        <sz val="11"/>
        <color theme="1"/>
        <rFont val="Calibri"/>
        <family val="2"/>
        <scheme val="minor"/>
      </rPr>
      <t>Female</t>
    </r>
    <r>
      <rPr>
        <sz val="11"/>
        <color theme="1"/>
        <rFont val="Calibri"/>
        <family val="2"/>
        <scheme val="minor"/>
      </rPr>
      <t xml:space="preserve"> - Female
</t>
    </r>
    <r>
      <rPr>
        <b/>
        <sz val="11"/>
        <color theme="1"/>
        <rFont val="Calibri"/>
        <family val="2"/>
        <scheme val="minor"/>
      </rPr>
      <t>NotSelected</t>
    </r>
    <r>
      <rPr>
        <sz val="11"/>
        <color theme="1"/>
        <rFont val="Calibri"/>
        <family val="2"/>
        <scheme val="minor"/>
      </rPr>
      <t xml:space="preserve"> - Not selected
</t>
    </r>
  </si>
  <si>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NotSelected</t>
    </r>
    <r>
      <rPr>
        <sz val="11"/>
        <color theme="1"/>
        <rFont val="Calibri"/>
        <family val="2"/>
        <scheme val="minor"/>
      </rPr>
      <t xml:space="preserve"> - Not selected
</t>
    </r>
  </si>
  <si>
    <t>Referral</t>
  </si>
  <si>
    <r>
      <t>WaitingList</t>
    </r>
    <r>
      <rPr>
        <sz val="11"/>
        <color theme="1"/>
        <rFont val="Calibri"/>
        <family val="2"/>
        <scheme val="minor"/>
      </rPr>
      <t xml:space="preserve"> - Waiting list
</t>
    </r>
    <r>
      <rPr>
        <b/>
        <sz val="11"/>
        <color theme="1"/>
        <rFont val="Calibri"/>
        <family val="2"/>
        <scheme val="minor"/>
      </rPr>
      <t>ParentDeclined</t>
    </r>
    <r>
      <rPr>
        <sz val="11"/>
        <color theme="1"/>
        <rFont val="Calibri"/>
        <family val="2"/>
        <scheme val="minor"/>
      </rPr>
      <t xml:space="preserve"> - Parent declined service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Unreachable</t>
    </r>
    <r>
      <rPr>
        <sz val="11"/>
        <color theme="1"/>
        <rFont val="Calibri"/>
        <family val="2"/>
        <scheme val="minor"/>
      </rPr>
      <t xml:space="preserve"> - Unable to contact parent/family/guardian
</t>
    </r>
    <r>
      <rPr>
        <b/>
        <sz val="11"/>
        <color theme="1"/>
        <rFont val="Calibri"/>
        <family val="2"/>
        <scheme val="minor"/>
      </rPr>
      <t>NotEligible</t>
    </r>
    <r>
      <rPr>
        <sz val="11"/>
        <color theme="1"/>
        <rFont val="Calibri"/>
        <family val="2"/>
        <scheme val="minor"/>
      </rPr>
      <t xml:space="preserve"> - Not eligible
</t>
    </r>
    <r>
      <rPr>
        <b/>
        <sz val="11"/>
        <color theme="1"/>
        <rFont val="Calibri"/>
        <family val="2"/>
        <scheme val="minor"/>
      </rPr>
      <t>Other</t>
    </r>
    <r>
      <rPr>
        <sz val="11"/>
        <color theme="1"/>
        <rFont val="Calibri"/>
        <family val="2"/>
        <scheme val="minor"/>
      </rPr>
      <t xml:space="preserve"> - Other
</t>
    </r>
  </si>
  <si>
    <t>Health</t>
  </si>
  <si>
    <r>
      <t>Chronic</t>
    </r>
    <r>
      <rPr>
        <sz val="11"/>
        <color theme="1"/>
        <rFont val="Calibri"/>
        <family val="2"/>
        <scheme val="minor"/>
      </rPr>
      <t xml:space="preserve"> - Chronic
</t>
    </r>
    <r>
      <rPr>
        <b/>
        <sz val="11"/>
        <color theme="1"/>
        <rFont val="Calibri"/>
        <family val="2"/>
        <scheme val="minor"/>
      </rPr>
      <t>Acute</t>
    </r>
    <r>
      <rPr>
        <sz val="11"/>
        <color theme="1"/>
        <rFont val="Calibri"/>
        <family val="2"/>
        <scheme val="minor"/>
      </rPr>
      <t xml:space="preserve"> - Acute
</t>
    </r>
    <r>
      <rPr>
        <b/>
        <sz val="11"/>
        <color theme="1"/>
        <rFont val="Calibri"/>
        <family val="2"/>
        <scheme val="minor"/>
      </rPr>
      <t>None</t>
    </r>
    <r>
      <rPr>
        <sz val="11"/>
        <color theme="1"/>
        <rFont val="Calibri"/>
        <family val="2"/>
        <scheme val="minor"/>
      </rPr>
      <t xml:space="preserve"> - None
</t>
    </r>
  </si>
  <si>
    <r>
      <t>417930000</t>
    </r>
    <r>
      <rPr>
        <sz val="11"/>
        <color theme="1"/>
        <rFont val="Calibri"/>
        <family val="2"/>
        <scheme val="minor"/>
      </rPr>
      <t xml:space="preserve"> - Allergy to adhesive
</t>
    </r>
    <r>
      <rPr>
        <b/>
        <sz val="11"/>
        <color theme="1"/>
        <rFont val="Calibri"/>
        <family val="2"/>
        <scheme val="minor"/>
      </rPr>
      <t>419238009</t>
    </r>
    <r>
      <rPr>
        <sz val="11"/>
        <color theme="1"/>
        <rFont val="Calibri"/>
        <family val="2"/>
        <scheme val="minor"/>
      </rPr>
      <t xml:space="preserve"> - Allergy to adhesive bandage
</t>
    </r>
    <r>
      <rPr>
        <b/>
        <sz val="11"/>
        <color theme="1"/>
        <rFont val="Calibri"/>
        <family val="2"/>
        <scheme val="minor"/>
      </rPr>
      <t>420140004</t>
    </r>
    <r>
      <rPr>
        <sz val="11"/>
        <color theme="1"/>
        <rFont val="Calibri"/>
        <family val="2"/>
        <scheme val="minor"/>
      </rPr>
      <t xml:space="preserve"> - Allergy to alcohol
</t>
    </r>
    <r>
      <rPr>
        <b/>
        <sz val="11"/>
        <color theme="1"/>
        <rFont val="Calibri"/>
        <family val="2"/>
        <scheme val="minor"/>
      </rPr>
      <t>418606003</t>
    </r>
    <r>
      <rPr>
        <sz val="11"/>
        <color theme="1"/>
        <rFont val="Calibri"/>
        <family val="2"/>
        <scheme val="minor"/>
      </rPr>
      <t xml:space="preserve"> - Allergy to almond oil
</t>
    </r>
    <r>
      <rPr>
        <b/>
        <sz val="11"/>
        <color theme="1"/>
        <rFont val="Calibri"/>
        <family val="2"/>
        <scheme val="minor"/>
      </rPr>
      <t>439109008</t>
    </r>
    <r>
      <rPr>
        <sz val="11"/>
        <color theme="1"/>
        <rFont val="Calibri"/>
        <family val="2"/>
        <scheme val="minor"/>
      </rPr>
      <t xml:space="preserve"> - Allergy to alpha glucoside inhibitor
</t>
    </r>
    <r>
      <rPr>
        <b/>
        <sz val="11"/>
        <color theme="1"/>
        <rFont val="Calibri"/>
        <family val="2"/>
        <scheme val="minor"/>
      </rPr>
      <t>402306009</t>
    </r>
    <r>
      <rPr>
        <sz val="11"/>
        <color theme="1"/>
        <rFont val="Calibri"/>
        <family val="2"/>
        <scheme val="minor"/>
      </rPr>
      <t xml:space="preserve"> - Allergy to aluminum
</t>
    </r>
    <r>
      <rPr>
        <b/>
        <sz val="11"/>
        <color theme="1"/>
        <rFont val="Calibri"/>
        <family val="2"/>
        <scheme val="minor"/>
      </rPr>
      <t>439405005</t>
    </r>
    <r>
      <rPr>
        <sz val="11"/>
        <color theme="1"/>
        <rFont val="Calibri"/>
        <family val="2"/>
        <scheme val="minor"/>
      </rPr>
      <t xml:space="preserve"> - Allergy to angiotensin II receptor antagonist
</t>
    </r>
    <r>
      <rPr>
        <b/>
        <sz val="11"/>
        <color theme="1"/>
        <rFont val="Calibri"/>
        <family val="2"/>
        <scheme val="minor"/>
      </rPr>
      <t>232347008</t>
    </r>
    <r>
      <rPr>
        <sz val="11"/>
        <color theme="1"/>
        <rFont val="Calibri"/>
        <family val="2"/>
        <scheme val="minor"/>
      </rPr>
      <t xml:space="preserve"> - Allergy to animal
</t>
    </r>
    <r>
      <rPr>
        <b/>
        <sz val="11"/>
        <color theme="1"/>
        <rFont val="Calibri"/>
        <family val="2"/>
        <scheme val="minor"/>
      </rPr>
      <t>300911008</t>
    </r>
    <r>
      <rPr>
        <sz val="11"/>
        <color theme="1"/>
        <rFont val="Calibri"/>
        <family val="2"/>
        <scheme val="minor"/>
      </rPr>
      <t xml:space="preserve"> - Allergy to animal hair
</t>
    </r>
    <r>
      <rPr>
        <b/>
        <sz val="11"/>
        <color theme="1"/>
        <rFont val="Calibri"/>
        <family val="2"/>
        <scheme val="minor"/>
      </rPr>
      <t>91929009</t>
    </r>
    <r>
      <rPr>
        <sz val="11"/>
        <color theme="1"/>
        <rFont val="Calibri"/>
        <family val="2"/>
        <scheme val="minor"/>
      </rPr>
      <t xml:space="preserve"> - Allergy to anti-infective agent
</t>
    </r>
    <r>
      <rPr>
        <b/>
        <sz val="11"/>
        <color theme="1"/>
        <rFont val="Calibri"/>
        <family val="2"/>
        <scheme val="minor"/>
      </rPr>
      <t>418314004</t>
    </r>
    <r>
      <rPr>
        <sz val="11"/>
        <color theme="1"/>
        <rFont val="Calibri"/>
        <family val="2"/>
        <scheme val="minor"/>
      </rPr>
      <t xml:space="preserve"> - Allergy to apple juice
</t>
    </r>
    <r>
      <rPr>
        <b/>
        <sz val="11"/>
        <color theme="1"/>
        <rFont val="Calibri"/>
        <family val="2"/>
        <scheme val="minor"/>
      </rPr>
      <t>419180003</t>
    </r>
    <r>
      <rPr>
        <sz val="11"/>
        <color theme="1"/>
        <rFont val="Calibri"/>
        <family val="2"/>
        <scheme val="minor"/>
      </rPr>
      <t xml:space="preserve"> - Allergy to aspartame
</t>
    </r>
    <r>
      <rPr>
        <b/>
        <sz val="11"/>
        <color theme="1"/>
        <rFont val="Calibri"/>
        <family val="2"/>
        <scheme val="minor"/>
      </rPr>
      <t>294314002</t>
    </r>
    <r>
      <rPr>
        <sz val="11"/>
        <color theme="1"/>
        <rFont val="Calibri"/>
        <family val="2"/>
        <scheme val="minor"/>
      </rPr>
      <t xml:space="preserve"> - Allergy to bases and inactive substances
</t>
    </r>
    <r>
      <rPr>
        <b/>
        <sz val="11"/>
        <color theme="1"/>
        <rFont val="Calibri"/>
        <family val="2"/>
        <scheme val="minor"/>
      </rPr>
      <t>424213003</t>
    </r>
    <r>
      <rPr>
        <sz val="11"/>
        <color theme="1"/>
        <rFont val="Calibri"/>
        <family val="2"/>
        <scheme val="minor"/>
      </rPr>
      <t xml:space="preserve"> - Allergy to bee venom
</t>
    </r>
    <r>
      <rPr>
        <b/>
        <sz val="11"/>
        <color theme="1"/>
        <rFont val="Calibri"/>
        <family val="2"/>
        <scheme val="minor"/>
      </rPr>
      <t>402591008</t>
    </r>
    <r>
      <rPr>
        <sz val="11"/>
        <color theme="1"/>
        <rFont val="Calibri"/>
        <family val="2"/>
        <scheme val="minor"/>
      </rPr>
      <t xml:space="preserve"> - Allergy to biocide
</t>
    </r>
    <r>
      <rPr>
        <b/>
        <sz val="11"/>
        <color theme="1"/>
        <rFont val="Calibri"/>
        <family val="2"/>
        <scheme val="minor"/>
      </rPr>
      <t>402590009</t>
    </r>
    <r>
      <rPr>
        <sz val="11"/>
        <color theme="1"/>
        <rFont val="Calibri"/>
        <family val="2"/>
        <scheme val="minor"/>
      </rPr>
      <t xml:space="preserve"> - Allergy to biocide in cosmetic
</t>
    </r>
    <r>
      <rPr>
        <b/>
        <sz val="11"/>
        <color theme="1"/>
        <rFont val="Calibri"/>
        <family val="2"/>
        <scheme val="minor"/>
      </rPr>
      <t>418344001</t>
    </r>
    <r>
      <rPr>
        <sz val="11"/>
        <color theme="1"/>
        <rFont val="Calibri"/>
        <family val="2"/>
        <scheme val="minor"/>
      </rPr>
      <t xml:space="preserve"> - Allergy to caffeine
</t>
    </r>
    <r>
      <rPr>
        <b/>
        <sz val="11"/>
        <color theme="1"/>
        <rFont val="Calibri"/>
        <family val="2"/>
        <scheme val="minor"/>
      </rPr>
      <t>420080006</t>
    </r>
    <r>
      <rPr>
        <sz val="11"/>
        <color theme="1"/>
        <rFont val="Calibri"/>
        <family val="2"/>
        <scheme val="minor"/>
      </rPr>
      <t xml:space="preserve"> - Allergy to carrot
</t>
    </r>
    <r>
      <rPr>
        <b/>
        <sz val="11"/>
        <color theme="1"/>
        <rFont val="Calibri"/>
        <family val="2"/>
        <scheme val="minor"/>
      </rPr>
      <t>232346004</t>
    </r>
    <r>
      <rPr>
        <sz val="11"/>
        <color theme="1"/>
        <rFont val="Calibri"/>
        <family val="2"/>
        <scheme val="minor"/>
      </rPr>
      <t xml:space="preserve"> - Allergy to cat dander
</t>
    </r>
    <r>
      <rPr>
        <b/>
        <sz val="11"/>
        <color theme="1"/>
        <rFont val="Calibri"/>
        <family val="2"/>
        <scheme val="minor"/>
      </rPr>
      <t>418051002</t>
    </r>
    <r>
      <rPr>
        <sz val="11"/>
        <color theme="1"/>
        <rFont val="Calibri"/>
        <family val="2"/>
        <scheme val="minor"/>
      </rPr>
      <t xml:space="preserve"> - Allergy to cherry
</t>
    </r>
    <r>
      <rPr>
        <b/>
        <sz val="11"/>
        <color theme="1"/>
        <rFont val="Calibri"/>
        <family val="2"/>
        <scheme val="minor"/>
      </rPr>
      <t>441931002</t>
    </r>
    <r>
      <rPr>
        <sz val="11"/>
        <color theme="1"/>
        <rFont val="Calibri"/>
        <family val="2"/>
        <scheme val="minor"/>
      </rPr>
      <t xml:space="preserve"> - Allergy to chloroprocaine
</t>
    </r>
    <r>
      <rPr>
        <b/>
        <sz val="11"/>
        <color theme="1"/>
        <rFont val="Calibri"/>
        <family val="2"/>
        <scheme val="minor"/>
      </rPr>
      <t>418397007</t>
    </r>
    <r>
      <rPr>
        <sz val="11"/>
        <color theme="1"/>
        <rFont val="Calibri"/>
        <family val="2"/>
        <scheme val="minor"/>
      </rPr>
      <t xml:space="preserve"> - Allergy to cinnamon
</t>
    </r>
    <r>
      <rPr>
        <b/>
        <sz val="11"/>
        <color theme="1"/>
        <rFont val="Calibri"/>
        <family val="2"/>
        <scheme val="minor"/>
      </rPr>
      <t>448438007</t>
    </r>
    <r>
      <rPr>
        <sz val="11"/>
        <color theme="1"/>
        <rFont val="Calibri"/>
        <family val="2"/>
        <scheme val="minor"/>
      </rPr>
      <t xml:space="preserve"> - Allergy to cisatracurium
</t>
    </r>
    <r>
      <rPr>
        <b/>
        <sz val="11"/>
        <color theme="1"/>
        <rFont val="Calibri"/>
        <family val="2"/>
        <scheme val="minor"/>
      </rPr>
      <t>418085001</t>
    </r>
    <r>
      <rPr>
        <sz val="11"/>
        <color theme="1"/>
        <rFont val="Calibri"/>
        <family val="2"/>
        <scheme val="minor"/>
      </rPr>
      <t xml:space="preserve"> - Allergy to citrus fruit
</t>
    </r>
    <r>
      <rPr>
        <b/>
        <sz val="11"/>
        <color theme="1"/>
        <rFont val="Calibri"/>
        <family val="2"/>
        <scheme val="minor"/>
      </rPr>
      <t>419814004</t>
    </r>
    <r>
      <rPr>
        <sz val="11"/>
        <color theme="1"/>
        <rFont val="Calibri"/>
        <family val="2"/>
        <scheme val="minor"/>
      </rPr>
      <t xml:space="preserve"> - Allergy to coconut oil
</t>
    </r>
    <r>
      <rPr>
        <b/>
        <sz val="11"/>
        <color theme="1"/>
        <rFont val="Calibri"/>
        <family val="2"/>
        <scheme val="minor"/>
      </rPr>
      <t>419573007</t>
    </r>
    <r>
      <rPr>
        <sz val="11"/>
        <color theme="1"/>
        <rFont val="Calibri"/>
        <family val="2"/>
        <scheme val="minor"/>
      </rPr>
      <t xml:space="preserve"> - Allergy to corn
</t>
    </r>
    <r>
      <rPr>
        <b/>
        <sz val="11"/>
        <color theme="1"/>
        <rFont val="Calibri"/>
        <family val="2"/>
        <scheme val="minor"/>
      </rPr>
      <t>417982003</t>
    </r>
    <r>
      <rPr>
        <sz val="11"/>
        <color theme="1"/>
        <rFont val="Calibri"/>
        <family val="2"/>
        <scheme val="minor"/>
      </rPr>
      <t xml:space="preserve"> - Allergy to cosmetic
</t>
    </r>
    <r>
      <rPr>
        <b/>
        <sz val="11"/>
        <color theme="1"/>
        <rFont val="Calibri"/>
        <family val="2"/>
        <scheme val="minor"/>
      </rPr>
      <t>425525006</t>
    </r>
    <r>
      <rPr>
        <sz val="11"/>
        <color theme="1"/>
        <rFont val="Calibri"/>
        <family val="2"/>
        <scheme val="minor"/>
      </rPr>
      <t xml:space="preserve"> - Allergy to dairy product
</t>
    </r>
    <r>
      <rPr>
        <b/>
        <sz val="11"/>
        <color theme="1"/>
        <rFont val="Calibri"/>
        <family val="2"/>
        <scheme val="minor"/>
      </rPr>
      <t>447961002</t>
    </r>
    <r>
      <rPr>
        <sz val="11"/>
        <color theme="1"/>
        <rFont val="Calibri"/>
        <family val="2"/>
        <scheme val="minor"/>
      </rPr>
      <t xml:space="preserve"> - Allergy to dietary mushroom
</t>
    </r>
    <r>
      <rPr>
        <b/>
        <sz val="11"/>
        <color theme="1"/>
        <rFont val="Calibri"/>
        <family val="2"/>
        <scheme val="minor"/>
      </rPr>
      <t>419271008</t>
    </r>
    <r>
      <rPr>
        <sz val="11"/>
        <color theme="1"/>
        <rFont val="Calibri"/>
        <family val="2"/>
        <scheme val="minor"/>
      </rPr>
      <t xml:space="preserve"> - Allergy to dog dander
</t>
    </r>
    <r>
      <rPr>
        <b/>
        <sz val="11"/>
        <color theme="1"/>
        <rFont val="Calibri"/>
        <family val="2"/>
        <scheme val="minor"/>
      </rPr>
      <t>449324007</t>
    </r>
    <r>
      <rPr>
        <sz val="11"/>
        <color theme="1"/>
        <rFont val="Calibri"/>
        <family val="2"/>
        <scheme val="minor"/>
      </rPr>
      <t xml:space="preserve"> - Allergy to doxacurium
</t>
    </r>
    <r>
      <rPr>
        <b/>
        <sz val="11"/>
        <color theme="1"/>
        <rFont val="Calibri"/>
        <family val="2"/>
        <scheme val="minor"/>
      </rPr>
      <t>416098002</t>
    </r>
    <r>
      <rPr>
        <sz val="11"/>
        <color theme="1"/>
        <rFont val="Calibri"/>
        <family val="2"/>
        <scheme val="minor"/>
      </rPr>
      <t xml:space="preserve"> - Allergy to drug
</t>
    </r>
    <r>
      <rPr>
        <b/>
        <sz val="11"/>
        <color theme="1"/>
        <rFont val="Calibri"/>
        <family val="2"/>
        <scheme val="minor"/>
      </rPr>
      <t>402592001</t>
    </r>
    <r>
      <rPr>
        <sz val="11"/>
        <color theme="1"/>
        <rFont val="Calibri"/>
        <family val="2"/>
        <scheme val="minor"/>
      </rPr>
      <t xml:space="preserve"> - Allergy to drug in contact with skin
</t>
    </r>
    <r>
      <rPr>
        <b/>
        <sz val="11"/>
        <color theme="1"/>
        <rFont val="Calibri"/>
        <family val="2"/>
        <scheme val="minor"/>
      </rPr>
      <t>402593006</t>
    </r>
    <r>
      <rPr>
        <sz val="11"/>
        <color theme="1"/>
        <rFont val="Calibri"/>
        <family val="2"/>
        <scheme val="minor"/>
      </rPr>
      <t xml:space="preserve"> - Allergy to drug vehicle
</t>
    </r>
    <r>
      <rPr>
        <b/>
        <sz val="11"/>
        <color theme="1"/>
        <rFont val="Calibri"/>
        <family val="2"/>
        <scheme val="minor"/>
      </rPr>
      <t>418545001</t>
    </r>
    <r>
      <rPr>
        <sz val="11"/>
        <color theme="1"/>
        <rFont val="Calibri"/>
        <family val="2"/>
        <scheme val="minor"/>
      </rPr>
      <t xml:space="preserve"> - Allergy to dye
</t>
    </r>
    <r>
      <rPr>
        <b/>
        <sz val="11"/>
        <color theme="1"/>
        <rFont val="Calibri"/>
        <family val="2"/>
        <scheme val="minor"/>
      </rPr>
      <t>91930004</t>
    </r>
    <r>
      <rPr>
        <sz val="11"/>
        <color theme="1"/>
        <rFont val="Calibri"/>
        <family val="2"/>
        <scheme val="minor"/>
      </rPr>
      <t xml:space="preserve"> - Allergy to eggs
</t>
    </r>
    <r>
      <rPr>
        <b/>
        <sz val="11"/>
        <color theme="1"/>
        <rFont val="Calibri"/>
        <family val="2"/>
        <scheme val="minor"/>
      </rPr>
      <t>441725009</t>
    </r>
    <r>
      <rPr>
        <sz val="11"/>
        <color theme="1"/>
        <rFont val="Calibri"/>
        <family val="2"/>
        <scheme val="minor"/>
      </rPr>
      <t xml:space="preserve"> - Allergy to ertapenem
</t>
    </r>
    <r>
      <rPr>
        <b/>
        <sz val="11"/>
        <color theme="1"/>
        <rFont val="Calibri"/>
        <family val="2"/>
        <scheme val="minor"/>
      </rPr>
      <t>91931000</t>
    </r>
    <r>
      <rPr>
        <sz val="11"/>
        <color theme="1"/>
        <rFont val="Calibri"/>
        <family val="2"/>
        <scheme val="minor"/>
      </rPr>
      <t xml:space="preserve"> - Allergy to erythromycin
</t>
    </r>
    <r>
      <rPr>
        <b/>
        <sz val="11"/>
        <color theme="1"/>
        <rFont val="Calibri"/>
        <family val="2"/>
        <scheme val="minor"/>
      </rPr>
      <t>420140004</t>
    </r>
    <r>
      <rPr>
        <sz val="11"/>
        <color theme="1"/>
        <rFont val="Calibri"/>
        <family val="2"/>
        <scheme val="minor"/>
      </rPr>
      <t xml:space="preserve"> - Allergy to ethanol
</t>
    </r>
    <r>
      <rPr>
        <b/>
        <sz val="11"/>
        <color theme="1"/>
        <rFont val="Calibri"/>
        <family val="2"/>
        <scheme val="minor"/>
      </rPr>
      <t>420140004</t>
    </r>
    <r>
      <rPr>
        <sz val="11"/>
        <color theme="1"/>
        <rFont val="Calibri"/>
        <family val="2"/>
        <scheme val="minor"/>
      </rPr>
      <t xml:space="preserve"> - Allergy to ethyl alcohol
</t>
    </r>
    <r>
      <rPr>
        <b/>
        <sz val="11"/>
        <color theme="1"/>
        <rFont val="Calibri"/>
        <family val="2"/>
        <scheme val="minor"/>
      </rPr>
      <t>417532002</t>
    </r>
    <r>
      <rPr>
        <sz val="11"/>
        <color theme="1"/>
        <rFont val="Calibri"/>
        <family val="2"/>
        <scheme val="minor"/>
      </rPr>
      <t xml:space="preserve"> - Allergy to fish
</t>
    </r>
    <r>
      <rPr>
        <b/>
        <sz val="11"/>
        <color theme="1"/>
        <rFont val="Calibri"/>
        <family val="2"/>
        <scheme val="minor"/>
      </rPr>
      <t>402598002</t>
    </r>
    <r>
      <rPr>
        <sz val="11"/>
        <color theme="1"/>
        <rFont val="Calibri"/>
        <family val="2"/>
        <scheme val="minor"/>
      </rPr>
      <t xml:space="preserve"> - Allergy to flavor
</t>
    </r>
    <r>
      <rPr>
        <b/>
        <sz val="11"/>
        <color theme="1"/>
        <rFont val="Calibri"/>
        <family val="2"/>
        <scheme val="minor"/>
      </rPr>
      <t>91932007</t>
    </r>
    <r>
      <rPr>
        <sz val="11"/>
        <color theme="1"/>
        <rFont val="Calibri"/>
        <family val="2"/>
        <scheme val="minor"/>
      </rPr>
      <t xml:space="preserve"> - Allergy to fruit
</t>
    </r>
    <r>
      <rPr>
        <b/>
        <sz val="11"/>
        <color theme="1"/>
        <rFont val="Calibri"/>
        <family val="2"/>
        <scheme val="minor"/>
      </rPr>
      <t>418968001</t>
    </r>
    <r>
      <rPr>
        <sz val="11"/>
        <color theme="1"/>
        <rFont val="Calibri"/>
        <family val="2"/>
        <scheme val="minor"/>
      </rPr>
      <t xml:space="preserve"> - Allergy to gauze
</t>
    </r>
    <r>
      <rPr>
        <b/>
        <sz val="11"/>
        <color theme="1"/>
        <rFont val="Calibri"/>
        <family val="2"/>
        <scheme val="minor"/>
      </rPr>
      <t>418689008</t>
    </r>
    <r>
      <rPr>
        <sz val="11"/>
        <color theme="1"/>
        <rFont val="Calibri"/>
        <family val="2"/>
        <scheme val="minor"/>
      </rPr>
      <t xml:space="preserve"> - Allergy to grass pollen
</t>
    </r>
    <r>
      <rPr>
        <b/>
        <sz val="11"/>
        <color theme="1"/>
        <rFont val="Calibri"/>
        <family val="2"/>
        <scheme val="minor"/>
      </rPr>
      <t>418689008</t>
    </r>
    <r>
      <rPr>
        <sz val="11"/>
        <color theme="1"/>
        <rFont val="Calibri"/>
        <family val="2"/>
        <scheme val="minor"/>
      </rPr>
      <t xml:space="preserve"> - Allergy to hay
</t>
    </r>
    <r>
      <rPr>
        <b/>
        <sz val="11"/>
        <color theme="1"/>
        <rFont val="Calibri"/>
        <family val="2"/>
        <scheme val="minor"/>
      </rPr>
      <t>419063004</t>
    </r>
    <r>
      <rPr>
        <sz val="11"/>
        <color theme="1"/>
        <rFont val="Calibri"/>
        <family val="2"/>
        <scheme val="minor"/>
      </rPr>
      <t xml:space="preserve"> - Allergy to horse dander
</t>
    </r>
    <r>
      <rPr>
        <b/>
        <sz val="11"/>
        <color theme="1"/>
        <rFont val="Calibri"/>
        <family val="2"/>
        <scheme val="minor"/>
      </rPr>
      <t>442408006</t>
    </r>
    <r>
      <rPr>
        <sz val="11"/>
        <color theme="1"/>
        <rFont val="Calibri"/>
        <family val="2"/>
        <scheme val="minor"/>
      </rPr>
      <t xml:space="preserve"> - Allergy to imipenem
</t>
    </r>
    <r>
      <rPr>
        <b/>
        <sz val="11"/>
        <color theme="1"/>
        <rFont val="Calibri"/>
        <family val="2"/>
        <scheme val="minor"/>
      </rPr>
      <t>294162002</t>
    </r>
    <r>
      <rPr>
        <sz val="11"/>
        <color theme="1"/>
        <rFont val="Calibri"/>
        <family val="2"/>
        <scheme val="minor"/>
      </rPr>
      <t xml:space="preserve"> - Allergy to inhaled corticosteroids
</t>
    </r>
    <r>
      <rPr>
        <b/>
        <sz val="11"/>
        <color theme="1"/>
        <rFont val="Calibri"/>
        <family val="2"/>
        <scheme val="minor"/>
      </rPr>
      <t>409136006</t>
    </r>
    <r>
      <rPr>
        <sz val="11"/>
        <color theme="1"/>
        <rFont val="Calibri"/>
        <family val="2"/>
        <scheme val="minor"/>
      </rPr>
      <t xml:space="preserve"> - Allergy to legumes
</t>
    </r>
    <r>
      <rPr>
        <b/>
        <sz val="11"/>
        <color theme="1"/>
        <rFont val="Calibri"/>
        <family val="2"/>
        <scheme val="minor"/>
      </rPr>
      <t>402596003</t>
    </r>
    <r>
      <rPr>
        <sz val="11"/>
        <color theme="1"/>
        <rFont val="Calibri"/>
        <family val="2"/>
        <scheme val="minor"/>
      </rPr>
      <t xml:space="preserve"> - Allergy to lichen
</t>
    </r>
    <r>
      <rPr>
        <b/>
        <sz val="11"/>
        <color theme="1"/>
        <rFont val="Calibri"/>
        <family val="2"/>
        <scheme val="minor"/>
      </rPr>
      <t>418626004</t>
    </r>
    <r>
      <rPr>
        <sz val="11"/>
        <color theme="1"/>
        <rFont val="Calibri"/>
        <family val="2"/>
        <scheme val="minor"/>
      </rPr>
      <t xml:space="preserve"> - Allergy to lobster
</t>
    </r>
    <r>
      <rPr>
        <b/>
        <sz val="11"/>
        <color theme="1"/>
        <rFont val="Calibri"/>
        <family val="2"/>
        <scheme val="minor"/>
      </rPr>
      <t>91933002</t>
    </r>
    <r>
      <rPr>
        <sz val="11"/>
        <color theme="1"/>
        <rFont val="Calibri"/>
        <family val="2"/>
        <scheme val="minor"/>
      </rPr>
      <t xml:space="preserve"> - Allergy to macrolide antibiotic
</t>
    </r>
    <r>
      <rPr>
        <b/>
        <sz val="11"/>
        <color theme="1"/>
        <rFont val="Calibri"/>
        <family val="2"/>
        <scheme val="minor"/>
      </rPr>
      <t>439406006</t>
    </r>
    <r>
      <rPr>
        <sz val="11"/>
        <color theme="1"/>
        <rFont val="Calibri"/>
        <family val="2"/>
        <scheme val="minor"/>
      </rPr>
      <t xml:space="preserve"> - Allergy to meglitinide
</t>
    </r>
    <r>
      <rPr>
        <b/>
        <sz val="11"/>
        <color theme="1"/>
        <rFont val="Calibri"/>
        <family val="2"/>
        <scheme val="minor"/>
      </rPr>
      <t>442022002</t>
    </r>
    <r>
      <rPr>
        <sz val="11"/>
        <color theme="1"/>
        <rFont val="Calibri"/>
        <family val="2"/>
        <scheme val="minor"/>
      </rPr>
      <t xml:space="preserve"> - Allergy to meropenem
</t>
    </r>
    <r>
      <rPr>
        <b/>
        <sz val="11"/>
        <color theme="1"/>
        <rFont val="Calibri"/>
        <family val="2"/>
        <scheme val="minor"/>
      </rPr>
      <t>419474003</t>
    </r>
    <r>
      <rPr>
        <sz val="11"/>
        <color theme="1"/>
        <rFont val="Calibri"/>
        <family val="2"/>
        <scheme val="minor"/>
      </rPr>
      <t xml:space="preserve"> - Allergy to mildew
</t>
    </r>
    <r>
      <rPr>
        <b/>
        <sz val="11"/>
        <color theme="1"/>
        <rFont val="Calibri"/>
        <family val="2"/>
        <scheme val="minor"/>
      </rPr>
      <t>419474003</t>
    </r>
    <r>
      <rPr>
        <sz val="11"/>
        <color theme="1"/>
        <rFont val="Calibri"/>
        <family val="2"/>
        <scheme val="minor"/>
      </rPr>
      <t xml:space="preserve"> - Allergy to mold
</t>
    </r>
    <r>
      <rPr>
        <b/>
        <sz val="11"/>
        <color theme="1"/>
        <rFont val="Calibri"/>
        <family val="2"/>
        <scheme val="minor"/>
      </rPr>
      <t>419474003</t>
    </r>
    <r>
      <rPr>
        <sz val="11"/>
        <color theme="1"/>
        <rFont val="Calibri"/>
        <family val="2"/>
        <scheme val="minor"/>
      </rPr>
      <t xml:space="preserve"> - Allergy to mould
</t>
    </r>
    <r>
      <rPr>
        <b/>
        <sz val="11"/>
        <color theme="1"/>
        <rFont val="Calibri"/>
        <family val="2"/>
        <scheme val="minor"/>
      </rPr>
      <t>445395006</t>
    </r>
    <r>
      <rPr>
        <sz val="11"/>
        <color theme="1"/>
        <rFont val="Calibri"/>
        <family val="2"/>
        <scheme val="minor"/>
      </rPr>
      <t xml:space="preserve"> - Allergy to Myroxylon pereirae
</t>
    </r>
    <r>
      <rPr>
        <b/>
        <sz val="11"/>
        <color theme="1"/>
        <rFont val="Calibri"/>
        <family val="2"/>
        <scheme val="minor"/>
      </rPr>
      <t>419788000</t>
    </r>
    <r>
      <rPr>
        <sz val="11"/>
        <color theme="1"/>
        <rFont val="Calibri"/>
        <family val="2"/>
        <scheme val="minor"/>
      </rPr>
      <t xml:space="preserve"> - Allergy to nickel
</t>
    </r>
    <r>
      <rPr>
        <b/>
        <sz val="11"/>
        <color theme="1"/>
        <rFont val="Calibri"/>
        <family val="2"/>
        <scheme val="minor"/>
      </rPr>
      <t>91934008</t>
    </r>
    <r>
      <rPr>
        <sz val="11"/>
        <color theme="1"/>
        <rFont val="Calibri"/>
        <family val="2"/>
        <scheme val="minor"/>
      </rPr>
      <t xml:space="preserve"> - Allergy to nuts
</t>
    </r>
    <r>
      <rPr>
        <b/>
        <sz val="11"/>
        <color theme="1"/>
        <rFont val="Calibri"/>
        <family val="2"/>
        <scheme val="minor"/>
      </rPr>
      <t>419342009</t>
    </r>
    <r>
      <rPr>
        <sz val="11"/>
        <color theme="1"/>
        <rFont val="Calibri"/>
        <family val="2"/>
        <scheme val="minor"/>
      </rPr>
      <t xml:space="preserve"> - Allergy to oats
</t>
    </r>
    <r>
      <rPr>
        <b/>
        <sz val="11"/>
        <color theme="1"/>
        <rFont val="Calibri"/>
        <family val="2"/>
        <scheme val="minor"/>
      </rPr>
      <t>293580007</t>
    </r>
    <r>
      <rPr>
        <sz val="11"/>
        <color theme="1"/>
        <rFont val="Calibri"/>
        <family val="2"/>
        <scheme val="minor"/>
      </rPr>
      <t xml:space="preserve"> - Allergy to over-the-counter drug
</t>
    </r>
    <r>
      <rPr>
        <b/>
        <sz val="11"/>
        <color theme="1"/>
        <rFont val="Calibri"/>
        <family val="2"/>
        <scheme val="minor"/>
      </rPr>
      <t>419967000</t>
    </r>
    <r>
      <rPr>
        <sz val="11"/>
        <color theme="1"/>
        <rFont val="Calibri"/>
        <family val="2"/>
        <scheme val="minor"/>
      </rPr>
      <t xml:space="preserve"> - Allergy to oyster
</t>
    </r>
    <r>
      <rPr>
        <b/>
        <sz val="11"/>
        <color theme="1"/>
        <rFont val="Calibri"/>
        <family val="2"/>
        <scheme val="minor"/>
      </rPr>
      <t>91935009</t>
    </r>
    <r>
      <rPr>
        <sz val="11"/>
        <color theme="1"/>
        <rFont val="Calibri"/>
        <family val="2"/>
        <scheme val="minor"/>
      </rPr>
      <t xml:space="preserve"> - Allergy to peanuts
</t>
    </r>
    <r>
      <rPr>
        <b/>
        <sz val="11"/>
        <color theme="1"/>
        <rFont val="Calibri"/>
        <family val="2"/>
        <scheme val="minor"/>
      </rPr>
      <t>91936005</t>
    </r>
    <r>
      <rPr>
        <sz val="11"/>
        <color theme="1"/>
        <rFont val="Calibri"/>
        <family val="2"/>
        <scheme val="minor"/>
      </rPr>
      <t xml:space="preserve"> - Allergy to penicillin
</t>
    </r>
    <r>
      <rPr>
        <b/>
        <sz val="11"/>
        <color theme="1"/>
        <rFont val="Calibri"/>
        <family val="2"/>
        <scheme val="minor"/>
      </rPr>
      <t>448690007</t>
    </r>
    <r>
      <rPr>
        <sz val="11"/>
        <color theme="1"/>
        <rFont val="Calibri"/>
        <family val="2"/>
        <scheme val="minor"/>
      </rPr>
      <t xml:space="preserve"> - Allergy to phosphodiesterase 5 inhibitor
</t>
    </r>
    <r>
      <rPr>
        <b/>
        <sz val="11"/>
        <color theme="1"/>
        <rFont val="Calibri"/>
        <family val="2"/>
        <scheme val="minor"/>
      </rPr>
      <t>402594000</t>
    </r>
    <r>
      <rPr>
        <sz val="11"/>
        <color theme="1"/>
        <rFont val="Calibri"/>
        <family val="2"/>
        <scheme val="minor"/>
      </rPr>
      <t xml:space="preserve"> - Allergy to plant
</t>
    </r>
    <r>
      <rPr>
        <b/>
        <sz val="11"/>
        <color theme="1"/>
        <rFont val="Calibri"/>
        <family val="2"/>
        <scheme val="minor"/>
      </rPr>
      <t>300910009</t>
    </r>
    <r>
      <rPr>
        <sz val="11"/>
        <color theme="1"/>
        <rFont val="Calibri"/>
        <family val="2"/>
        <scheme val="minor"/>
      </rPr>
      <t xml:space="preserve"> - Allergy to pollen
</t>
    </r>
    <r>
      <rPr>
        <b/>
        <sz val="11"/>
        <color theme="1"/>
        <rFont val="Calibri"/>
        <family val="2"/>
        <scheme val="minor"/>
      </rPr>
      <t>417918006</t>
    </r>
    <r>
      <rPr>
        <sz val="11"/>
        <color theme="1"/>
        <rFont val="Calibri"/>
        <family val="2"/>
        <scheme val="minor"/>
      </rPr>
      <t xml:space="preserve"> - Allergy to pork
</t>
    </r>
    <r>
      <rPr>
        <b/>
        <sz val="11"/>
        <color theme="1"/>
        <rFont val="Calibri"/>
        <family val="2"/>
        <scheme val="minor"/>
      </rPr>
      <t>419619007</t>
    </r>
    <r>
      <rPr>
        <sz val="11"/>
        <color theme="1"/>
        <rFont val="Calibri"/>
        <family val="2"/>
        <scheme val="minor"/>
      </rPr>
      <t xml:space="preserve"> - Allergy to potato
</t>
    </r>
    <r>
      <rPr>
        <b/>
        <sz val="11"/>
        <color theme="1"/>
        <rFont val="Calibri"/>
        <family val="2"/>
        <scheme val="minor"/>
      </rPr>
      <t>409136006</t>
    </r>
    <r>
      <rPr>
        <sz val="11"/>
        <color theme="1"/>
        <rFont val="Calibri"/>
        <family val="2"/>
        <scheme val="minor"/>
      </rPr>
      <t xml:space="preserve"> - Allergy to pulse vegetables
</t>
    </r>
    <r>
      <rPr>
        <b/>
        <sz val="11"/>
        <color theme="1"/>
        <rFont val="Calibri"/>
        <family val="2"/>
        <scheme val="minor"/>
      </rPr>
      <t>418561004</t>
    </r>
    <r>
      <rPr>
        <sz val="11"/>
        <color theme="1"/>
        <rFont val="Calibri"/>
        <family val="2"/>
        <scheme val="minor"/>
      </rPr>
      <t xml:space="preserve"> - Allergy to ragweed pollen
</t>
    </r>
    <r>
      <rPr>
        <b/>
        <sz val="11"/>
        <color theme="1"/>
        <rFont val="Calibri"/>
        <family val="2"/>
        <scheme val="minor"/>
      </rPr>
      <t>473078001</t>
    </r>
    <r>
      <rPr>
        <sz val="11"/>
        <color theme="1"/>
        <rFont val="Calibri"/>
        <family val="2"/>
        <scheme val="minor"/>
      </rPr>
      <t xml:space="preserve"> - Allergy to raloxifene
</t>
    </r>
    <r>
      <rPr>
        <b/>
        <sz val="11"/>
        <color theme="1"/>
        <rFont val="Calibri"/>
        <family val="2"/>
        <scheme val="minor"/>
      </rPr>
      <t>449414003</t>
    </r>
    <r>
      <rPr>
        <sz val="11"/>
        <color theme="1"/>
        <rFont val="Calibri"/>
        <family val="2"/>
        <scheme val="minor"/>
      </rPr>
      <t xml:space="preserve"> - Allergy to rapacuronium
</t>
    </r>
    <r>
      <rPr>
        <b/>
        <sz val="11"/>
        <color theme="1"/>
        <rFont val="Calibri"/>
        <family val="2"/>
        <scheme val="minor"/>
      </rPr>
      <t>418815008</t>
    </r>
    <r>
      <rPr>
        <sz val="11"/>
        <color theme="1"/>
        <rFont val="Calibri"/>
        <family val="2"/>
        <scheme val="minor"/>
      </rPr>
      <t xml:space="preserve"> - Allergy to red meat
</t>
    </r>
    <r>
      <rPr>
        <b/>
        <sz val="11"/>
        <color theme="1"/>
        <rFont val="Calibri"/>
        <family val="2"/>
        <scheme val="minor"/>
      </rPr>
      <t>441992007</t>
    </r>
    <r>
      <rPr>
        <sz val="11"/>
        <color theme="1"/>
        <rFont val="Calibri"/>
        <family val="2"/>
        <scheme val="minor"/>
      </rPr>
      <t xml:space="preserve"> - Allergy to remifentanil
</t>
    </r>
    <r>
      <rPr>
        <b/>
        <sz val="11"/>
        <color theme="1"/>
        <rFont val="Calibri"/>
        <family val="2"/>
        <scheme val="minor"/>
      </rPr>
      <t>419412007</t>
    </r>
    <r>
      <rPr>
        <sz val="11"/>
        <color theme="1"/>
        <rFont val="Calibri"/>
        <family val="2"/>
        <scheme val="minor"/>
      </rPr>
      <t xml:space="preserve"> - Allergy to rubber
</t>
    </r>
    <r>
      <rPr>
        <b/>
        <sz val="11"/>
        <color theme="1"/>
        <rFont val="Calibri"/>
        <family val="2"/>
        <scheme val="minor"/>
      </rPr>
      <t>418184004</t>
    </r>
    <r>
      <rPr>
        <sz val="11"/>
        <color theme="1"/>
        <rFont val="Calibri"/>
        <family val="2"/>
        <scheme val="minor"/>
      </rPr>
      <t xml:space="preserve"> - Allergy to rye
</t>
    </r>
    <r>
      <rPr>
        <b/>
        <sz val="11"/>
        <color theme="1"/>
        <rFont val="Calibri"/>
        <family val="2"/>
        <scheme val="minor"/>
      </rPr>
      <t>422921000</t>
    </r>
    <r>
      <rPr>
        <sz val="11"/>
        <color theme="1"/>
        <rFont val="Calibri"/>
        <family val="2"/>
        <scheme val="minor"/>
      </rPr>
      <t xml:space="preserve"> - Allergy to scorpion venom
</t>
    </r>
    <r>
      <rPr>
        <b/>
        <sz val="11"/>
        <color theme="1"/>
        <rFont val="Calibri"/>
        <family val="2"/>
        <scheme val="minor"/>
      </rPr>
      <t>91937001</t>
    </r>
    <r>
      <rPr>
        <sz val="11"/>
        <color theme="1"/>
        <rFont val="Calibri"/>
        <family val="2"/>
        <scheme val="minor"/>
      </rPr>
      <t xml:space="preserve"> - Allergy to seafood
</t>
    </r>
    <r>
      <rPr>
        <b/>
        <sz val="11"/>
        <color theme="1"/>
        <rFont val="Calibri"/>
        <family val="2"/>
        <scheme val="minor"/>
      </rPr>
      <t>419101002</t>
    </r>
    <r>
      <rPr>
        <sz val="11"/>
        <color theme="1"/>
        <rFont val="Calibri"/>
        <family val="2"/>
        <scheme val="minor"/>
      </rPr>
      <t xml:space="preserve"> - Allergy to seed
</t>
    </r>
    <r>
      <rPr>
        <b/>
        <sz val="11"/>
        <color theme="1"/>
        <rFont val="Calibri"/>
        <family val="2"/>
        <scheme val="minor"/>
      </rPr>
      <t>441954006</t>
    </r>
    <r>
      <rPr>
        <sz val="11"/>
        <color theme="1"/>
        <rFont val="Calibri"/>
        <family val="2"/>
        <scheme val="minor"/>
      </rPr>
      <t xml:space="preserve"> - Allergy to sevoflurane
</t>
    </r>
    <r>
      <rPr>
        <b/>
        <sz val="11"/>
        <color theme="1"/>
        <rFont val="Calibri"/>
        <family val="2"/>
        <scheme val="minor"/>
      </rPr>
      <t>419972009</t>
    </r>
    <r>
      <rPr>
        <sz val="11"/>
        <color theme="1"/>
        <rFont val="Calibri"/>
        <family val="2"/>
        <scheme val="minor"/>
      </rPr>
      <t xml:space="preserve"> - Allergy to shrimp
</t>
    </r>
    <r>
      <rPr>
        <b/>
        <sz val="11"/>
        <color theme="1"/>
        <rFont val="Calibri"/>
        <family val="2"/>
        <scheme val="minor"/>
      </rPr>
      <t>427487000</t>
    </r>
    <r>
      <rPr>
        <sz val="11"/>
        <color theme="1"/>
        <rFont val="Calibri"/>
        <family val="2"/>
        <scheme val="minor"/>
      </rPr>
      <t xml:space="preserve"> - Allergy to spider venom
</t>
    </r>
    <r>
      <rPr>
        <b/>
        <sz val="11"/>
        <color theme="1"/>
        <rFont val="Calibri"/>
        <family val="2"/>
        <scheme val="minor"/>
      </rPr>
      <t>91938006</t>
    </r>
    <r>
      <rPr>
        <sz val="11"/>
        <color theme="1"/>
        <rFont val="Calibri"/>
        <family val="2"/>
        <scheme val="minor"/>
      </rPr>
      <t xml:space="preserve"> - Allergy to strawberries
</t>
    </r>
    <r>
      <rPr>
        <b/>
        <sz val="11"/>
        <color theme="1"/>
        <rFont val="Calibri"/>
        <family val="2"/>
        <scheme val="minor"/>
      </rPr>
      <t>419199007</t>
    </r>
    <r>
      <rPr>
        <sz val="11"/>
        <color theme="1"/>
        <rFont val="Calibri"/>
        <family val="2"/>
        <scheme val="minor"/>
      </rPr>
      <t xml:space="preserve"> - Allergy to substance
</t>
    </r>
    <r>
      <rPr>
        <b/>
        <sz val="11"/>
        <color theme="1"/>
        <rFont val="Calibri"/>
        <family val="2"/>
        <scheme val="minor"/>
      </rPr>
      <t>441955007</t>
    </r>
    <r>
      <rPr>
        <sz val="11"/>
        <color theme="1"/>
        <rFont val="Calibri"/>
        <family val="2"/>
        <scheme val="minor"/>
      </rPr>
      <t xml:space="preserve"> - Allergy to sufentanil
</t>
    </r>
    <r>
      <rPr>
        <b/>
        <sz val="11"/>
        <color theme="1"/>
        <rFont val="Calibri"/>
        <family val="2"/>
        <scheme val="minor"/>
      </rPr>
      <t>419421008</t>
    </r>
    <r>
      <rPr>
        <sz val="11"/>
        <color theme="1"/>
        <rFont val="Calibri"/>
        <family val="2"/>
        <scheme val="minor"/>
      </rPr>
      <t xml:space="preserve"> - Allergy to sulfite based food preservative
</t>
    </r>
    <r>
      <rPr>
        <b/>
        <sz val="11"/>
        <color theme="1"/>
        <rFont val="Calibri"/>
        <family val="2"/>
        <scheme val="minor"/>
      </rPr>
      <t>429239002</t>
    </r>
    <r>
      <rPr>
        <sz val="11"/>
        <color theme="1"/>
        <rFont val="Calibri"/>
        <family val="2"/>
        <scheme val="minor"/>
      </rPr>
      <t xml:space="preserve"> - Allergy to sulfonamide antibiotic
</t>
    </r>
    <r>
      <rPr>
        <b/>
        <sz val="11"/>
        <color theme="1"/>
        <rFont val="Calibri"/>
        <family val="2"/>
        <scheme val="minor"/>
      </rPr>
      <t>91939003</t>
    </r>
    <r>
      <rPr>
        <sz val="11"/>
        <color theme="1"/>
        <rFont val="Calibri"/>
        <family val="2"/>
        <scheme val="minor"/>
      </rPr>
      <t xml:space="preserve"> - Allergy to sulfonamides
</t>
    </r>
    <r>
      <rPr>
        <b/>
        <sz val="11"/>
        <color theme="1"/>
        <rFont val="Calibri"/>
        <family val="2"/>
        <scheme val="minor"/>
      </rPr>
      <t>419421008</t>
    </r>
    <r>
      <rPr>
        <sz val="11"/>
        <color theme="1"/>
        <rFont val="Calibri"/>
        <family val="2"/>
        <scheme val="minor"/>
      </rPr>
      <t xml:space="preserve"> - Allergy to sulphite based food preservative
</t>
    </r>
    <r>
      <rPr>
        <b/>
        <sz val="11"/>
        <color theme="1"/>
        <rFont val="Calibri"/>
        <family val="2"/>
        <scheme val="minor"/>
      </rPr>
      <t>429239002</t>
    </r>
    <r>
      <rPr>
        <sz val="11"/>
        <color theme="1"/>
        <rFont val="Calibri"/>
        <family val="2"/>
        <scheme val="minor"/>
      </rPr>
      <t xml:space="preserve"> - Allergy to sulphonamide antibiotic
</t>
    </r>
    <r>
      <rPr>
        <b/>
        <sz val="11"/>
        <color theme="1"/>
        <rFont val="Calibri"/>
        <family val="2"/>
        <scheme val="minor"/>
      </rPr>
      <t>91939003</t>
    </r>
    <r>
      <rPr>
        <sz val="11"/>
        <color theme="1"/>
        <rFont val="Calibri"/>
        <family val="2"/>
        <scheme val="minor"/>
      </rPr>
      <t xml:space="preserve"> - Allergy to sulphonamides
</t>
    </r>
    <r>
      <rPr>
        <b/>
        <sz val="11"/>
        <color theme="1"/>
        <rFont val="Calibri"/>
        <family val="2"/>
        <scheme val="minor"/>
      </rPr>
      <t>258155009</t>
    </r>
    <r>
      <rPr>
        <sz val="11"/>
        <color theme="1"/>
        <rFont val="Calibri"/>
        <family val="2"/>
        <scheme val="minor"/>
      </rPr>
      <t xml:space="preserve"> - Allergy to sunlight
</t>
    </r>
    <r>
      <rPr>
        <b/>
        <sz val="11"/>
        <color theme="1"/>
        <rFont val="Calibri"/>
        <family val="2"/>
        <scheme val="minor"/>
      </rPr>
      <t>473077006</t>
    </r>
    <r>
      <rPr>
        <sz val="11"/>
        <color theme="1"/>
        <rFont val="Calibri"/>
        <family val="2"/>
        <scheme val="minor"/>
      </rPr>
      <t xml:space="preserve"> - Allergy to teriparatide
</t>
    </r>
    <r>
      <rPr>
        <b/>
        <sz val="11"/>
        <color theme="1"/>
        <rFont val="Calibri"/>
        <family val="2"/>
        <scheme val="minor"/>
      </rPr>
      <t>439954005</t>
    </r>
    <r>
      <rPr>
        <sz val="11"/>
        <color theme="1"/>
        <rFont val="Calibri"/>
        <family val="2"/>
        <scheme val="minor"/>
      </rPr>
      <t xml:space="preserve"> - Allergy to thiazolidinedione
</t>
    </r>
    <r>
      <rPr>
        <b/>
        <sz val="11"/>
        <color theme="1"/>
        <rFont val="Calibri"/>
        <family val="2"/>
        <scheme val="minor"/>
      </rPr>
      <t>418779002</t>
    </r>
    <r>
      <rPr>
        <sz val="11"/>
        <color theme="1"/>
        <rFont val="Calibri"/>
        <family val="2"/>
        <scheme val="minor"/>
      </rPr>
      <t xml:space="preserve"> - Allergy to tomato
</t>
    </r>
    <r>
      <rPr>
        <b/>
        <sz val="11"/>
        <color theme="1"/>
        <rFont val="Calibri"/>
        <family val="2"/>
        <scheme val="minor"/>
      </rPr>
      <t>450767000</t>
    </r>
    <r>
      <rPr>
        <sz val="11"/>
        <color theme="1"/>
        <rFont val="Calibri"/>
        <family val="2"/>
        <scheme val="minor"/>
      </rPr>
      <t xml:space="preserve"> - Allergy to tramadol
</t>
    </r>
    <r>
      <rPr>
        <b/>
        <sz val="11"/>
        <color theme="1"/>
        <rFont val="Calibri"/>
        <family val="2"/>
        <scheme val="minor"/>
      </rPr>
      <t>419263009</t>
    </r>
    <r>
      <rPr>
        <sz val="11"/>
        <color theme="1"/>
        <rFont val="Calibri"/>
        <family val="2"/>
        <scheme val="minor"/>
      </rPr>
      <t xml:space="preserve"> - Allergy to tree pollen
</t>
    </r>
    <r>
      <rPr>
        <b/>
        <sz val="11"/>
        <color theme="1"/>
        <rFont val="Calibri"/>
        <family val="2"/>
        <scheme val="minor"/>
      </rPr>
      <t>402597007</t>
    </r>
    <r>
      <rPr>
        <sz val="11"/>
        <color theme="1"/>
        <rFont val="Calibri"/>
        <family val="2"/>
        <scheme val="minor"/>
      </rPr>
      <t xml:space="preserve"> - Allergy to tree resin
</t>
    </r>
    <r>
      <rPr>
        <b/>
        <sz val="11"/>
        <color theme="1"/>
        <rFont val="Calibri"/>
        <family val="2"/>
        <scheme val="minor"/>
      </rPr>
      <t>91940001</t>
    </r>
    <r>
      <rPr>
        <sz val="11"/>
        <color theme="1"/>
        <rFont val="Calibri"/>
        <family val="2"/>
        <scheme val="minor"/>
      </rPr>
      <t xml:space="preserve"> - Allergy to walnuts
</t>
    </r>
    <r>
      <rPr>
        <b/>
        <sz val="11"/>
        <color theme="1"/>
        <rFont val="Calibri"/>
        <family val="2"/>
        <scheme val="minor"/>
      </rPr>
      <t>423058007</t>
    </r>
    <r>
      <rPr>
        <sz val="11"/>
        <color theme="1"/>
        <rFont val="Calibri"/>
        <family val="2"/>
        <scheme val="minor"/>
      </rPr>
      <t xml:space="preserve"> - Allergy to wasp venom
</t>
    </r>
    <r>
      <rPr>
        <b/>
        <sz val="11"/>
        <color theme="1"/>
        <rFont val="Calibri"/>
        <family val="2"/>
        <scheme val="minor"/>
      </rPr>
      <t>419298007</t>
    </r>
    <r>
      <rPr>
        <sz val="11"/>
        <color theme="1"/>
        <rFont val="Calibri"/>
        <family val="2"/>
        <scheme val="minor"/>
      </rPr>
      <t xml:space="preserve"> - Allergy to watermelon
</t>
    </r>
    <r>
      <rPr>
        <b/>
        <sz val="11"/>
        <color theme="1"/>
        <rFont val="Calibri"/>
        <family val="2"/>
        <scheme val="minor"/>
      </rPr>
      <t>419210001</t>
    </r>
    <r>
      <rPr>
        <sz val="11"/>
        <color theme="1"/>
        <rFont val="Calibri"/>
        <family val="2"/>
        <scheme val="minor"/>
      </rPr>
      <t xml:space="preserve"> - Allergy to weed pollen
</t>
    </r>
    <r>
      <rPr>
        <b/>
        <sz val="11"/>
        <color theme="1"/>
        <rFont val="Calibri"/>
        <family val="2"/>
        <scheme val="minor"/>
      </rPr>
      <t>420174000</t>
    </r>
    <r>
      <rPr>
        <sz val="11"/>
        <color theme="1"/>
        <rFont val="Calibri"/>
        <family val="2"/>
        <scheme val="minor"/>
      </rPr>
      <t xml:space="preserve"> - Allergy to wheat
</t>
    </r>
    <r>
      <rPr>
        <b/>
        <sz val="11"/>
        <color theme="1"/>
        <rFont val="Calibri"/>
        <family val="2"/>
        <scheme val="minor"/>
      </rPr>
      <t>402595004</t>
    </r>
    <r>
      <rPr>
        <sz val="11"/>
        <color theme="1"/>
        <rFont val="Calibri"/>
        <family val="2"/>
        <scheme val="minor"/>
      </rPr>
      <t xml:space="preserve"> - Allergy to wood
</t>
    </r>
    <r>
      <rPr>
        <b/>
        <sz val="11"/>
        <color theme="1"/>
        <rFont val="Calibri"/>
        <family val="2"/>
        <scheme val="minor"/>
      </rPr>
      <t>425605001</t>
    </r>
    <r>
      <rPr>
        <sz val="11"/>
        <color theme="1"/>
        <rFont val="Calibri"/>
        <family val="2"/>
        <scheme val="minor"/>
      </rPr>
      <t xml:space="preserve"> - Allergy to wool
</t>
    </r>
  </si>
  <si>
    <r>
      <t>Mild</t>
    </r>
    <r>
      <rPr>
        <sz val="11"/>
        <color theme="1"/>
        <rFont val="Calibri"/>
        <family val="2"/>
        <scheme val="minor"/>
      </rPr>
      <t xml:space="preserve"> - Mild allergic reaction
</t>
    </r>
    <r>
      <rPr>
        <b/>
        <sz val="11"/>
        <color theme="1"/>
        <rFont val="Calibri"/>
        <family val="2"/>
        <scheme val="minor"/>
      </rPr>
      <t>Severe</t>
    </r>
    <r>
      <rPr>
        <sz val="11"/>
        <color theme="1"/>
        <rFont val="Calibri"/>
        <family val="2"/>
        <scheme val="minor"/>
      </rPr>
      <t xml:space="preserve"> - Severe allergic reaction
</t>
    </r>
  </si>
  <si>
    <t>Health-&gt;Immunization</t>
  </si>
  <si>
    <t>Health-&gt;Vision</t>
  </si>
  <si>
    <r>
      <t>Passed</t>
    </r>
    <r>
      <rPr>
        <sz val="11"/>
        <color theme="1"/>
        <rFont val="Calibri"/>
        <family val="2"/>
        <scheme val="minor"/>
      </rPr>
      <t xml:space="preserve"> - Passed
</t>
    </r>
    <r>
      <rPr>
        <b/>
        <sz val="11"/>
        <color theme="1"/>
        <rFont val="Calibri"/>
        <family val="2"/>
        <scheme val="minor"/>
      </rPr>
      <t>FurtherEvaluation</t>
    </r>
    <r>
      <rPr>
        <sz val="11"/>
        <color theme="1"/>
        <rFont val="Calibri"/>
        <family val="2"/>
        <scheme val="minor"/>
      </rPr>
      <t xml:space="preserve"> - Further Evaluation Needed
</t>
    </r>
  </si>
  <si>
    <t>Health-&gt;Hearing</t>
  </si>
  <si>
    <t>Health-&gt;Dental</t>
  </si>
  <si>
    <r>
      <t>NoTreatmentNeeded</t>
    </r>
    <r>
      <rPr>
        <sz val="11"/>
        <color theme="1"/>
        <rFont val="Calibri"/>
        <family val="2"/>
        <scheme val="minor"/>
      </rPr>
      <t xml:space="preserve"> - No Treatment Needed
</t>
    </r>
    <r>
      <rPr>
        <b/>
        <sz val="11"/>
        <color theme="1"/>
        <rFont val="Calibri"/>
        <family val="2"/>
        <scheme val="minor"/>
      </rPr>
      <t>TreatmentNeeded</t>
    </r>
    <r>
      <rPr>
        <sz val="11"/>
        <color theme="1"/>
        <rFont val="Calibri"/>
        <family val="2"/>
        <scheme val="minor"/>
      </rPr>
      <t xml:space="preserve"> - Treatment Needed
</t>
    </r>
    <r>
      <rPr>
        <b/>
        <sz val="11"/>
        <color theme="1"/>
        <rFont val="Calibri"/>
        <family val="2"/>
        <scheme val="minor"/>
      </rPr>
      <t>TreatmentReceived</t>
    </r>
    <r>
      <rPr>
        <sz val="11"/>
        <color theme="1"/>
        <rFont val="Calibri"/>
        <family val="2"/>
        <scheme val="minor"/>
      </rPr>
      <t xml:space="preserve"> - Treatment Received
</t>
    </r>
  </si>
  <si>
    <t>Health-&gt;Insurance</t>
  </si>
  <si>
    <r>
      <t>NonWorkplace</t>
    </r>
    <r>
      <rPr>
        <sz val="11"/>
        <color theme="1"/>
        <rFont val="Calibri"/>
        <family val="2"/>
        <scheme val="minor"/>
      </rPr>
      <t xml:space="preserve"> - Non-workplace or personal
</t>
    </r>
    <r>
      <rPr>
        <b/>
        <sz val="11"/>
        <color theme="1"/>
        <rFont val="Calibri"/>
        <family val="2"/>
        <scheme val="minor"/>
      </rPr>
      <t>Workplace</t>
    </r>
    <r>
      <rPr>
        <sz val="11"/>
        <color theme="1"/>
        <rFont val="Calibri"/>
        <family val="2"/>
        <scheme val="minor"/>
      </rPr>
      <t xml:space="preserve"> - Workplace
</t>
    </r>
    <r>
      <rPr>
        <b/>
        <sz val="11"/>
        <color theme="1"/>
        <rFont val="Calibri"/>
        <family val="2"/>
        <scheme val="minor"/>
      </rPr>
      <t>Medicaid</t>
    </r>
    <r>
      <rPr>
        <sz val="11"/>
        <color theme="1"/>
        <rFont val="Calibri"/>
        <family val="2"/>
        <scheme val="minor"/>
      </rPr>
      <t xml:space="preserve"> - Medicaid
</t>
    </r>
    <r>
      <rPr>
        <b/>
        <sz val="11"/>
        <color theme="1"/>
        <rFont val="Calibri"/>
        <family val="2"/>
        <scheme val="minor"/>
      </rPr>
      <t>CHIP</t>
    </r>
    <r>
      <rPr>
        <sz val="11"/>
        <color theme="1"/>
        <rFont val="Calibri"/>
        <family val="2"/>
        <scheme val="minor"/>
      </rPr>
      <t xml:space="preserve"> - Children's health insurance program
</t>
    </r>
    <r>
      <rPr>
        <b/>
        <sz val="11"/>
        <color theme="1"/>
        <rFont val="Calibri"/>
        <family val="2"/>
        <scheme val="minor"/>
      </rPr>
      <t>StateOnlyFunded</t>
    </r>
    <r>
      <rPr>
        <sz val="11"/>
        <color theme="1"/>
        <rFont val="Calibri"/>
        <family val="2"/>
        <scheme val="minor"/>
      </rPr>
      <t xml:space="preserve"> - State-only funded insurance
</t>
    </r>
    <r>
      <rPr>
        <b/>
        <sz val="11"/>
        <color theme="1"/>
        <rFont val="Calibri"/>
        <family val="2"/>
        <scheme val="minor"/>
      </rPr>
      <t>SSI</t>
    </r>
    <r>
      <rPr>
        <sz val="11"/>
        <color theme="1"/>
        <rFont val="Calibri"/>
        <family val="2"/>
        <scheme val="minor"/>
      </rPr>
      <t xml:space="preserve"> - Supplemental security income
</t>
    </r>
    <r>
      <rPr>
        <b/>
        <sz val="11"/>
        <color theme="1"/>
        <rFont val="Calibri"/>
        <family val="2"/>
        <scheme val="minor"/>
      </rPr>
      <t>Military</t>
    </r>
    <r>
      <rPr>
        <sz val="11"/>
        <color theme="1"/>
        <rFont val="Calibri"/>
        <family val="2"/>
        <scheme val="minor"/>
      </rPr>
      <t xml:space="preserve"> - Military medical
</t>
    </r>
    <r>
      <rPr>
        <b/>
        <sz val="11"/>
        <color theme="1"/>
        <rFont val="Calibri"/>
        <family val="2"/>
        <scheme val="minor"/>
      </rPr>
      <t>Veteran</t>
    </r>
    <r>
      <rPr>
        <sz val="11"/>
        <color theme="1"/>
        <rFont val="Calibri"/>
        <family val="2"/>
        <scheme val="minor"/>
      </rPr>
      <t xml:space="preserve"> - Veteran's medical
</t>
    </r>
    <r>
      <rPr>
        <b/>
        <sz val="11"/>
        <color theme="1"/>
        <rFont val="Calibri"/>
        <family val="2"/>
        <scheme val="minor"/>
      </rPr>
      <t>None</t>
    </r>
    <r>
      <rPr>
        <sz val="11"/>
        <color theme="1"/>
        <rFont val="Calibri"/>
        <family val="2"/>
        <scheme val="minor"/>
      </rPr>
      <t xml:space="preserve"> - None
</t>
    </r>
    <r>
      <rPr>
        <b/>
        <sz val="11"/>
        <color theme="1"/>
        <rFont val="Calibri"/>
        <family val="2"/>
        <scheme val="minor"/>
      </rPr>
      <t>Other</t>
    </r>
    <r>
      <rPr>
        <sz val="11"/>
        <color theme="1"/>
        <rFont val="Calibri"/>
        <family val="2"/>
        <scheme val="minor"/>
      </rPr>
      <t xml:space="preserve"> - Other
</t>
    </r>
  </si>
  <si>
    <t>Health-&gt;Birth/Prenatal</t>
  </si>
  <si>
    <r>
      <t>FirstTrimester</t>
    </r>
    <r>
      <rPr>
        <sz val="11"/>
        <color theme="1"/>
        <rFont val="Calibri"/>
        <family val="2"/>
        <scheme val="minor"/>
      </rPr>
      <t xml:space="preserve"> - First trimester
</t>
    </r>
    <r>
      <rPr>
        <b/>
        <sz val="11"/>
        <color theme="1"/>
        <rFont val="Calibri"/>
        <family val="2"/>
        <scheme val="minor"/>
      </rPr>
      <t>SecondTrimester</t>
    </r>
    <r>
      <rPr>
        <sz val="11"/>
        <color theme="1"/>
        <rFont val="Calibri"/>
        <family val="2"/>
        <scheme val="minor"/>
      </rPr>
      <t xml:space="preserve"> - Second trimester
</t>
    </r>
    <r>
      <rPr>
        <b/>
        <sz val="11"/>
        <color theme="1"/>
        <rFont val="Calibri"/>
        <family val="2"/>
        <scheme val="minor"/>
      </rPr>
      <t>ThirdTrimester</t>
    </r>
    <r>
      <rPr>
        <sz val="11"/>
        <color theme="1"/>
        <rFont val="Calibri"/>
        <family val="2"/>
        <scheme val="minor"/>
      </rPr>
      <t xml:space="preserve"> - Third trimester
</t>
    </r>
    <r>
      <rPr>
        <b/>
        <sz val="11"/>
        <color theme="1"/>
        <rFont val="Calibri"/>
        <family val="2"/>
        <scheme val="minor"/>
      </rPr>
      <t>NoPrenatalHealthCare</t>
    </r>
    <r>
      <rPr>
        <sz val="11"/>
        <color theme="1"/>
        <rFont val="Calibri"/>
        <family val="2"/>
        <scheme val="minor"/>
      </rPr>
      <t xml:space="preserve"> - No prenatal health care
</t>
    </r>
  </si>
  <si>
    <t>Health-&gt;Well Child Visits</t>
  </si>
  <si>
    <r>
      <t>Newborn</t>
    </r>
    <r>
      <rPr>
        <sz val="11"/>
        <color theme="1"/>
        <rFont val="Calibri"/>
        <family val="2"/>
        <scheme val="minor"/>
      </rPr>
      <t xml:space="preserve"> - Newborn well child visit
</t>
    </r>
    <r>
      <rPr>
        <b/>
        <sz val="11"/>
        <color theme="1"/>
        <rFont val="Calibri"/>
        <family val="2"/>
        <scheme val="minor"/>
      </rPr>
      <t>3To5Days</t>
    </r>
    <r>
      <rPr>
        <sz val="11"/>
        <color theme="1"/>
        <rFont val="Calibri"/>
        <family val="2"/>
        <scheme val="minor"/>
      </rPr>
      <t xml:space="preserve"> - 3 to 5 days well child visit
</t>
    </r>
    <r>
      <rPr>
        <b/>
        <sz val="11"/>
        <color theme="1"/>
        <rFont val="Calibri"/>
        <family val="2"/>
        <scheme val="minor"/>
      </rPr>
      <t>1Month</t>
    </r>
    <r>
      <rPr>
        <sz val="11"/>
        <color theme="1"/>
        <rFont val="Calibri"/>
        <family val="2"/>
        <scheme val="minor"/>
      </rPr>
      <t xml:space="preserve"> - 1 month well child visit
</t>
    </r>
    <r>
      <rPr>
        <b/>
        <sz val="11"/>
        <color theme="1"/>
        <rFont val="Calibri"/>
        <family val="2"/>
        <scheme val="minor"/>
      </rPr>
      <t>2Months</t>
    </r>
    <r>
      <rPr>
        <sz val="11"/>
        <color theme="1"/>
        <rFont val="Calibri"/>
        <family val="2"/>
        <scheme val="minor"/>
      </rPr>
      <t xml:space="preserve"> - 2 months well child visit
</t>
    </r>
    <r>
      <rPr>
        <b/>
        <sz val="11"/>
        <color theme="1"/>
        <rFont val="Calibri"/>
        <family val="2"/>
        <scheme val="minor"/>
      </rPr>
      <t>4Months</t>
    </r>
    <r>
      <rPr>
        <sz val="11"/>
        <color theme="1"/>
        <rFont val="Calibri"/>
        <family val="2"/>
        <scheme val="minor"/>
      </rPr>
      <t xml:space="preserve"> - 4 months well child visit
</t>
    </r>
    <r>
      <rPr>
        <b/>
        <sz val="11"/>
        <color theme="1"/>
        <rFont val="Calibri"/>
        <family val="2"/>
        <scheme val="minor"/>
      </rPr>
      <t>6Months</t>
    </r>
    <r>
      <rPr>
        <sz val="11"/>
        <color theme="1"/>
        <rFont val="Calibri"/>
        <family val="2"/>
        <scheme val="minor"/>
      </rPr>
      <t xml:space="preserve"> - 6 months well child visit
</t>
    </r>
    <r>
      <rPr>
        <b/>
        <sz val="11"/>
        <color theme="1"/>
        <rFont val="Calibri"/>
        <family val="2"/>
        <scheme val="minor"/>
      </rPr>
      <t>9Months</t>
    </r>
    <r>
      <rPr>
        <sz val="11"/>
        <color theme="1"/>
        <rFont val="Calibri"/>
        <family val="2"/>
        <scheme val="minor"/>
      </rPr>
      <t xml:space="preserve"> - 9 months well child visit
</t>
    </r>
    <r>
      <rPr>
        <b/>
        <sz val="11"/>
        <color theme="1"/>
        <rFont val="Calibri"/>
        <family val="2"/>
        <scheme val="minor"/>
      </rPr>
      <t>12Months</t>
    </r>
    <r>
      <rPr>
        <sz val="11"/>
        <color theme="1"/>
        <rFont val="Calibri"/>
        <family val="2"/>
        <scheme val="minor"/>
      </rPr>
      <t xml:space="preserve"> - 12 months well child visit
</t>
    </r>
    <r>
      <rPr>
        <b/>
        <sz val="11"/>
        <color theme="1"/>
        <rFont val="Calibri"/>
        <family val="2"/>
        <scheme val="minor"/>
      </rPr>
      <t>15Months</t>
    </r>
    <r>
      <rPr>
        <sz val="11"/>
        <color theme="1"/>
        <rFont val="Calibri"/>
        <family val="2"/>
        <scheme val="minor"/>
      </rPr>
      <t xml:space="preserve"> - 15 months well child visit
</t>
    </r>
    <r>
      <rPr>
        <b/>
        <sz val="11"/>
        <color theme="1"/>
        <rFont val="Calibri"/>
        <family val="2"/>
        <scheme val="minor"/>
      </rPr>
      <t>18Months</t>
    </r>
    <r>
      <rPr>
        <sz val="11"/>
        <color theme="1"/>
        <rFont val="Calibri"/>
        <family val="2"/>
        <scheme val="minor"/>
      </rPr>
      <t xml:space="preserve"> - 18 months well child visit
</t>
    </r>
    <r>
      <rPr>
        <b/>
        <sz val="11"/>
        <color theme="1"/>
        <rFont val="Calibri"/>
        <family val="2"/>
        <scheme val="minor"/>
      </rPr>
      <t>24Months</t>
    </r>
    <r>
      <rPr>
        <sz val="11"/>
        <color theme="1"/>
        <rFont val="Calibri"/>
        <family val="2"/>
        <scheme val="minor"/>
      </rPr>
      <t xml:space="preserve"> - 24 months well child visit
</t>
    </r>
    <r>
      <rPr>
        <b/>
        <sz val="11"/>
        <color theme="1"/>
        <rFont val="Calibri"/>
        <family val="2"/>
        <scheme val="minor"/>
      </rPr>
      <t>30Months</t>
    </r>
    <r>
      <rPr>
        <sz val="11"/>
        <color theme="1"/>
        <rFont val="Calibri"/>
        <family val="2"/>
        <scheme val="minor"/>
      </rPr>
      <t xml:space="preserve"> - 30 months well child visit
</t>
    </r>
    <r>
      <rPr>
        <b/>
        <sz val="11"/>
        <color theme="1"/>
        <rFont val="Calibri"/>
        <family val="2"/>
        <scheme val="minor"/>
      </rPr>
      <t>36Months</t>
    </r>
    <r>
      <rPr>
        <sz val="11"/>
        <color theme="1"/>
        <rFont val="Calibri"/>
        <family val="2"/>
        <scheme val="minor"/>
      </rPr>
      <t xml:space="preserve"> - 36 months well child visit
</t>
    </r>
    <r>
      <rPr>
        <b/>
        <sz val="11"/>
        <color theme="1"/>
        <rFont val="Calibri"/>
        <family val="2"/>
        <scheme val="minor"/>
      </rPr>
      <t>48Months</t>
    </r>
    <r>
      <rPr>
        <sz val="11"/>
        <color theme="1"/>
        <rFont val="Calibri"/>
        <family val="2"/>
        <scheme val="minor"/>
      </rPr>
      <t xml:space="preserve"> - 48 months well child visit
</t>
    </r>
    <r>
      <rPr>
        <b/>
        <sz val="11"/>
        <color theme="1"/>
        <rFont val="Calibri"/>
        <family val="2"/>
        <scheme val="minor"/>
      </rPr>
      <t>60Months</t>
    </r>
    <r>
      <rPr>
        <sz val="11"/>
        <color theme="1"/>
        <rFont val="Calibri"/>
        <family val="2"/>
        <scheme val="minor"/>
      </rPr>
      <t xml:space="preserve"> - 60 months well child visit
</t>
    </r>
  </si>
  <si>
    <t>Developmental Assessments</t>
  </si>
  <si>
    <r>
      <t>FurtherEvaluationNeeded</t>
    </r>
    <r>
      <rPr>
        <sz val="11"/>
        <color theme="1"/>
        <rFont val="Calibri"/>
        <family val="2"/>
        <scheme val="minor"/>
      </rPr>
      <t xml:space="preserve"> - Further evaluation needed
</t>
    </r>
    <r>
      <rPr>
        <b/>
        <sz val="11"/>
        <color theme="1"/>
        <rFont val="Calibri"/>
        <family val="2"/>
        <scheme val="minor"/>
      </rPr>
      <t>NoFurtherEvaluationNeeded</t>
    </r>
    <r>
      <rPr>
        <sz val="11"/>
        <color theme="1"/>
        <rFont val="Calibri"/>
        <family val="2"/>
        <scheme val="minor"/>
      </rPr>
      <t xml:space="preserve"> - No further evaluation needed
</t>
    </r>
    <r>
      <rPr>
        <b/>
        <sz val="11"/>
        <color theme="1"/>
        <rFont val="Calibri"/>
        <family val="2"/>
        <scheme val="minor"/>
      </rPr>
      <t>NoScreeningPerformed</t>
    </r>
    <r>
      <rPr>
        <sz val="11"/>
        <color theme="1"/>
        <rFont val="Calibri"/>
        <family val="2"/>
        <scheme val="minor"/>
      </rPr>
      <t xml:space="preserve"> - No Screening Performed
</t>
    </r>
    <r>
      <rPr>
        <b/>
        <sz val="11"/>
        <color theme="1"/>
        <rFont val="Calibri"/>
        <family val="2"/>
        <scheme val="minor"/>
      </rPr>
      <t>AssessmentToolUnavailable</t>
    </r>
    <r>
      <rPr>
        <sz val="11"/>
        <color theme="1"/>
        <rFont val="Calibri"/>
        <family val="2"/>
        <scheme val="minor"/>
      </rPr>
      <t xml:space="preserve"> - Appropriate Assessment Tool Unavailable
</t>
    </r>
    <r>
      <rPr>
        <b/>
        <sz val="11"/>
        <color theme="1"/>
        <rFont val="Calibri"/>
        <family val="2"/>
        <scheme val="minor"/>
      </rPr>
      <t>PersonnelUnavailable</t>
    </r>
    <r>
      <rPr>
        <sz val="11"/>
        <color theme="1"/>
        <rFont val="Calibri"/>
        <family val="2"/>
        <scheme val="minor"/>
      </rPr>
      <t xml:space="preserve"> - Personnel Unavailable
</t>
    </r>
  </si>
  <si>
    <r>
      <t>Adaptive</t>
    </r>
    <r>
      <rPr>
        <sz val="11"/>
        <color theme="1"/>
        <rFont val="Calibri"/>
        <family val="2"/>
        <scheme val="minor"/>
      </rPr>
      <t xml:space="preserve"> - Adaptive development delay
</t>
    </r>
    <r>
      <rPr>
        <b/>
        <sz val="11"/>
        <color theme="1"/>
        <rFont val="Calibri"/>
        <family val="2"/>
        <scheme val="minor"/>
      </rPr>
      <t>Cognitive</t>
    </r>
    <r>
      <rPr>
        <sz val="11"/>
        <color theme="1"/>
        <rFont val="Calibri"/>
        <family val="2"/>
        <scheme val="minor"/>
      </rPr>
      <t xml:space="preserve"> - Cognitive development delay
</t>
    </r>
    <r>
      <rPr>
        <b/>
        <sz val="11"/>
        <color theme="1"/>
        <rFont val="Calibri"/>
        <family val="2"/>
        <scheme val="minor"/>
      </rPr>
      <t>Communication</t>
    </r>
    <r>
      <rPr>
        <sz val="11"/>
        <color theme="1"/>
        <rFont val="Calibri"/>
        <family val="2"/>
        <scheme val="minor"/>
      </rPr>
      <t xml:space="preserve"> - Communication development delay
</t>
    </r>
    <r>
      <rPr>
        <b/>
        <sz val="11"/>
        <color theme="1"/>
        <rFont val="Calibri"/>
        <family val="2"/>
        <scheme val="minor"/>
      </rPr>
      <t>NoDelay</t>
    </r>
    <r>
      <rPr>
        <sz val="11"/>
        <color theme="1"/>
        <rFont val="Calibri"/>
        <family val="2"/>
        <scheme val="minor"/>
      </rPr>
      <t xml:space="preserve"> - No delay, needs follow-up
</t>
    </r>
    <r>
      <rPr>
        <b/>
        <sz val="11"/>
        <color theme="1"/>
        <rFont val="Calibri"/>
        <family val="2"/>
        <scheme val="minor"/>
      </rPr>
      <t>None</t>
    </r>
    <r>
      <rPr>
        <sz val="11"/>
        <color theme="1"/>
        <rFont val="Calibri"/>
        <family val="2"/>
        <scheme val="minor"/>
      </rPr>
      <t xml:space="preserve"> - None
</t>
    </r>
    <r>
      <rPr>
        <b/>
        <sz val="11"/>
        <color theme="1"/>
        <rFont val="Calibri"/>
        <family val="2"/>
        <scheme val="minor"/>
      </rPr>
      <t>CarnegieUnits</t>
    </r>
    <r>
      <rPr>
        <sz val="11"/>
        <color theme="1"/>
        <rFont val="Calibri"/>
        <family val="2"/>
        <scheme val="minor"/>
      </rPr>
      <t xml:space="preserve"> - Carnegie Units 
</t>
    </r>
    <r>
      <rPr>
        <b/>
        <sz val="11"/>
        <color theme="1"/>
        <rFont val="Calibri"/>
        <family val="2"/>
        <scheme val="minor"/>
      </rPr>
      <t>Physical</t>
    </r>
    <r>
      <rPr>
        <sz val="11"/>
        <color theme="1"/>
        <rFont val="Calibri"/>
        <family val="2"/>
        <scheme val="minor"/>
      </rPr>
      <t xml:space="preserve"> - Physical development delay
</t>
    </r>
    <r>
      <rPr>
        <b/>
        <sz val="11"/>
        <color theme="1"/>
        <rFont val="Calibri"/>
        <family val="2"/>
        <scheme val="minor"/>
      </rPr>
      <t>SocialEmotional</t>
    </r>
    <r>
      <rPr>
        <sz val="11"/>
        <color theme="1"/>
        <rFont val="Calibri"/>
        <family val="2"/>
        <scheme val="minor"/>
      </rPr>
      <t xml:space="preserve"> - Social or emotional development delay
</t>
    </r>
    <r>
      <rPr>
        <b/>
        <sz val="11"/>
        <color theme="1"/>
        <rFont val="Calibri"/>
        <family val="2"/>
        <scheme val="minor"/>
      </rPr>
      <t>NoDelayDetected</t>
    </r>
    <r>
      <rPr>
        <sz val="11"/>
        <color theme="1"/>
        <rFont val="Calibri"/>
        <family val="2"/>
        <scheme val="minor"/>
      </rPr>
      <t xml:space="preserve"> - No delay detected
</t>
    </r>
    <r>
      <rPr>
        <b/>
        <sz val="11"/>
        <color theme="1"/>
        <rFont val="Calibri"/>
        <family val="2"/>
        <scheme val="minor"/>
      </rPr>
      <t>EstablishedCondition</t>
    </r>
    <r>
      <rPr>
        <sz val="11"/>
        <color theme="1"/>
        <rFont val="Calibri"/>
        <family val="2"/>
        <scheme val="minor"/>
      </rPr>
      <t xml:space="preserve"> - Established condition
</t>
    </r>
    <r>
      <rPr>
        <b/>
        <sz val="11"/>
        <color theme="1"/>
        <rFont val="Calibri"/>
        <family val="2"/>
        <scheme val="minor"/>
      </rPr>
      <t>AtRisk</t>
    </r>
    <r>
      <rPr>
        <sz val="11"/>
        <color theme="1"/>
        <rFont val="Calibri"/>
        <family val="2"/>
        <scheme val="minor"/>
      </rPr>
      <t xml:space="preserve"> - At-risk of developing delay
</t>
    </r>
  </si>
  <si>
    <r>
      <t>01</t>
    </r>
    <r>
      <rPr>
        <sz val="11"/>
        <color theme="1"/>
        <rFont val="Calibri"/>
        <family val="2"/>
        <scheme val="minor"/>
      </rPr>
      <t xml:space="preserve"> - Language and Literacy
</t>
    </r>
    <r>
      <rPr>
        <b/>
        <sz val="11"/>
        <color theme="1"/>
        <rFont val="Calibri"/>
        <family val="2"/>
        <scheme val="minor"/>
      </rPr>
      <t>02</t>
    </r>
    <r>
      <rPr>
        <sz val="11"/>
        <color theme="1"/>
        <rFont val="Calibri"/>
        <family val="2"/>
        <scheme val="minor"/>
      </rPr>
      <t xml:space="preserve"> - Cognition and General Knowledge
</t>
    </r>
    <r>
      <rPr>
        <b/>
        <sz val="11"/>
        <color theme="1"/>
        <rFont val="Calibri"/>
        <family val="2"/>
        <scheme val="minor"/>
      </rPr>
      <t>03</t>
    </r>
    <r>
      <rPr>
        <sz val="11"/>
        <color theme="1"/>
        <rFont val="Calibri"/>
        <family val="2"/>
        <scheme val="minor"/>
      </rPr>
      <t xml:space="preserve"> - Approaches Toward Learning
</t>
    </r>
    <r>
      <rPr>
        <b/>
        <sz val="11"/>
        <color theme="1"/>
        <rFont val="Calibri"/>
        <family val="2"/>
        <scheme val="minor"/>
      </rPr>
      <t>04</t>
    </r>
    <r>
      <rPr>
        <sz val="11"/>
        <color theme="1"/>
        <rFont val="Calibri"/>
        <family val="2"/>
        <scheme val="minor"/>
      </rPr>
      <t xml:space="preserve"> - Physical Well-being and Motor
</t>
    </r>
    <r>
      <rPr>
        <b/>
        <sz val="11"/>
        <color theme="1"/>
        <rFont val="Calibri"/>
        <family val="2"/>
        <scheme val="minor"/>
      </rPr>
      <t>05</t>
    </r>
    <r>
      <rPr>
        <sz val="11"/>
        <color theme="1"/>
        <rFont val="Calibri"/>
        <family val="2"/>
        <scheme val="minor"/>
      </rPr>
      <t xml:space="preserve"> - Social and Emotional Development
</t>
    </r>
  </si>
  <si>
    <r>
      <t>Birth</t>
    </r>
    <r>
      <rPr>
        <sz val="11"/>
        <color theme="1"/>
        <rFont val="Calibri"/>
        <family val="2"/>
        <scheme val="minor"/>
      </rPr>
      <t xml:space="preserve"> - Birth
</t>
    </r>
    <r>
      <rPr>
        <b/>
        <sz val="11"/>
        <color theme="1"/>
        <rFont val="Calibri"/>
        <family val="2"/>
        <scheme val="minor"/>
      </rPr>
      <t>Prenatal</t>
    </r>
    <r>
      <rPr>
        <sz val="11"/>
        <color theme="1"/>
        <rFont val="Calibri"/>
        <family val="2"/>
        <scheme val="minor"/>
      </rPr>
      <t xml:space="preserve"> - Prenatal
</t>
    </r>
    <r>
      <rPr>
        <b/>
        <sz val="11"/>
        <color theme="1"/>
        <rFont val="Calibri"/>
        <family val="2"/>
        <scheme val="minor"/>
      </rP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</si>
  <si>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t>Eligibility</t>
  </si>
  <si>
    <r>
      <t>Age</t>
    </r>
    <r>
      <rPr>
        <sz val="11"/>
        <color theme="1"/>
        <rFont val="Calibri"/>
        <family val="2"/>
        <scheme val="minor"/>
      </rPr>
      <t xml:space="preserve"> - Age
</t>
    </r>
    <r>
      <rPr>
        <b/>
        <sz val="11"/>
        <color theme="1"/>
        <rFont val="Calibri"/>
        <family val="2"/>
        <scheme val="minor"/>
      </rPr>
      <t>FamilyIncome</t>
    </r>
    <r>
      <rPr>
        <sz val="11"/>
        <color theme="1"/>
        <rFont val="Calibri"/>
        <family val="2"/>
        <scheme val="minor"/>
      </rPr>
      <t xml:space="preserve"> - Family income
</t>
    </r>
    <r>
      <rPr>
        <b/>
        <sz val="11"/>
        <color theme="1"/>
        <rFont val="Calibri"/>
        <family val="2"/>
        <scheme val="minor"/>
      </rPr>
      <t>DisabilityStatus</t>
    </r>
    <r>
      <rPr>
        <sz val="11"/>
        <color theme="1"/>
        <rFont val="Calibri"/>
        <family val="2"/>
        <scheme val="minor"/>
      </rPr>
      <t xml:space="preserve"> - Disability Status
</t>
    </r>
    <r>
      <rPr>
        <b/>
        <sz val="11"/>
        <color theme="1"/>
        <rFont val="Calibri"/>
        <family val="2"/>
        <scheme val="minor"/>
      </rPr>
      <t>SSSI</t>
    </r>
    <r>
      <rPr>
        <sz val="11"/>
        <color theme="1"/>
        <rFont val="Calibri"/>
        <family val="2"/>
        <scheme val="minor"/>
      </rPr>
      <t xml:space="preserve"> - Supplemental social security income
</t>
    </r>
    <r>
      <rPr>
        <b/>
        <sz val="11"/>
        <color theme="1"/>
        <rFont val="Calibri"/>
        <family val="2"/>
        <scheme val="minor"/>
      </rPr>
      <t>WIC</t>
    </r>
    <r>
      <rPr>
        <sz val="11"/>
        <color theme="1"/>
        <rFont val="Calibri"/>
        <family val="2"/>
        <scheme val="minor"/>
      </rPr>
      <t xml:space="preserve"> - Women, infants, and children
</t>
    </r>
    <r>
      <rPr>
        <b/>
        <sz val="11"/>
        <color theme="1"/>
        <rFont val="Calibri"/>
        <family val="2"/>
        <scheme val="minor"/>
      </rPr>
      <t>TANF</t>
    </r>
    <r>
      <rPr>
        <sz val="11"/>
        <color theme="1"/>
        <rFont val="Calibri"/>
        <family val="2"/>
        <scheme val="minor"/>
      </rPr>
      <t xml:space="preserve"> - Temporary assistance for needy families
</t>
    </r>
    <r>
      <rPr>
        <b/>
        <sz val="11"/>
        <color theme="1"/>
        <rFont val="Calibri"/>
        <family val="2"/>
        <scheme val="minor"/>
      </rPr>
      <t>OtherPublicAssistance</t>
    </r>
    <r>
      <rPr>
        <sz val="11"/>
        <color theme="1"/>
        <rFont val="Calibri"/>
        <family val="2"/>
        <scheme val="minor"/>
      </rPr>
      <t xml:space="preserve"> - Other public assistance
</t>
    </r>
    <r>
      <rPr>
        <b/>
        <sz val="11"/>
        <color theme="1"/>
        <rFont val="Calibri"/>
        <family val="2"/>
        <scheme val="minor"/>
      </rPr>
      <t>Foster</t>
    </r>
    <r>
      <rPr>
        <sz val="11"/>
        <color theme="1"/>
        <rFont val="Calibri"/>
        <family val="2"/>
        <scheme val="minor"/>
      </rPr>
      <t xml:space="preserve"> - Foster
</t>
    </r>
    <r>
      <rPr>
        <b/>
        <sz val="11"/>
        <color theme="1"/>
        <rFont val="Calibri"/>
        <family val="2"/>
        <scheme val="minor"/>
      </rPr>
      <t>MilitaryFamily</t>
    </r>
    <r>
      <rPr>
        <sz val="11"/>
        <color theme="1"/>
        <rFont val="Calibri"/>
        <family val="2"/>
        <scheme val="minor"/>
      </rPr>
      <t xml:space="preserve"> - Military family
</t>
    </r>
    <r>
      <rPr>
        <b/>
        <sz val="11"/>
        <color theme="1"/>
        <rFont val="Calibri"/>
        <family val="2"/>
        <scheme val="minor"/>
      </rPr>
      <t>ELL</t>
    </r>
    <r>
      <rPr>
        <sz val="11"/>
        <color theme="1"/>
        <rFont val="Calibri"/>
        <family val="2"/>
        <scheme val="minor"/>
      </rPr>
      <t xml:space="preserve"> - Home language other than English
</t>
    </r>
    <r>
      <rPr>
        <b/>
        <sz val="11"/>
        <color theme="1"/>
        <rFont val="Calibri"/>
        <family val="2"/>
        <scheme val="minor"/>
      </rPr>
      <t>OtherFamilyRisk</t>
    </r>
    <r>
      <rPr>
        <sz val="11"/>
        <color theme="1"/>
        <rFont val="Calibri"/>
        <family val="2"/>
        <scheme val="minor"/>
      </rPr>
      <t xml:space="preserve"> - Other family risk factors
</t>
    </r>
    <r>
      <rPr>
        <b/>
        <sz val="11"/>
        <color theme="1"/>
        <rFont val="Calibri"/>
        <family val="2"/>
        <scheme val="minor"/>
      </rPr>
      <t>OtherChildRisk</t>
    </r>
    <r>
      <rPr>
        <sz val="11"/>
        <color theme="1"/>
        <rFont val="Calibri"/>
        <family val="2"/>
        <scheme val="minor"/>
      </rPr>
      <t xml:space="preserve"> - Other child risk factors
</t>
    </r>
    <r>
      <rPr>
        <b/>
        <sz val="11"/>
        <color theme="1"/>
        <rFont val="Calibri"/>
        <family val="2"/>
        <scheme val="minor"/>
      </rPr>
      <t>AtRisk</t>
    </r>
    <r>
      <rPr>
        <sz val="11"/>
        <color theme="1"/>
        <rFont val="Calibri"/>
        <family val="2"/>
        <scheme val="minor"/>
      </rPr>
      <t xml:space="preserve"> - At-risk of having a substantial developmental delay
</t>
    </r>
    <r>
      <rPr>
        <b/>
        <sz val="11"/>
        <color theme="1"/>
        <rFont val="Calibri"/>
        <family val="2"/>
        <scheme val="minor"/>
      </rPr>
      <t>Other</t>
    </r>
    <r>
      <rPr>
        <sz val="11"/>
        <color theme="1"/>
        <rFont val="Calibri"/>
        <family val="2"/>
        <scheme val="minor"/>
      </rPr>
      <t xml:space="preserve"> - Other
</t>
    </r>
  </si>
  <si>
    <r>
      <t>Pending</t>
    </r>
    <r>
      <rPr>
        <sz val="11"/>
        <color theme="1"/>
        <rFont val="Calibri"/>
        <family val="2"/>
        <scheme val="minor"/>
      </rPr>
      <t xml:space="preserve"> - Pending
</t>
    </r>
    <r>
      <rPr>
        <b/>
        <sz val="11"/>
        <color theme="1"/>
        <rFont val="Calibri"/>
        <family val="2"/>
        <scheme val="minor"/>
      </rPr>
      <t>NotEligible</t>
    </r>
    <r>
      <rPr>
        <sz val="11"/>
        <color theme="1"/>
        <rFont val="Calibri"/>
        <family val="2"/>
        <scheme val="minor"/>
      </rPr>
      <t xml:space="preserve"> - Not found eligible
</t>
    </r>
    <r>
      <rPr>
        <b/>
        <sz val="11"/>
        <color theme="1"/>
        <rFont val="Calibri"/>
        <family val="2"/>
        <scheme val="minor"/>
      </rPr>
      <t>Eligible</t>
    </r>
    <r>
      <rPr>
        <sz val="11"/>
        <color theme="1"/>
        <rFont val="Calibri"/>
        <family val="2"/>
        <scheme val="minor"/>
      </rPr>
      <t xml:space="preserve"> - Found eligible
</t>
    </r>
    <r>
      <rPr>
        <b/>
        <sz val="11"/>
        <color theme="1"/>
        <rFont val="Calibri"/>
        <family val="2"/>
        <scheme val="minor"/>
      </rPr>
      <t>NotActive</t>
    </r>
    <r>
      <rPr>
        <sz val="11"/>
        <color theme="1"/>
        <rFont val="Calibri"/>
        <family val="2"/>
        <scheme val="minor"/>
      </rPr>
      <t xml:space="preserve"> - Not yet active
</t>
    </r>
  </si>
  <si>
    <t>Language</t>
  </si>
  <si>
    <r>
      <t>Correspondence</t>
    </r>
    <r>
      <rPr>
        <sz val="11"/>
        <color theme="1"/>
        <rFont val="Calibri"/>
        <family val="2"/>
        <scheme val="minor"/>
      </rPr>
      <t xml:space="preserve"> - Correspondence language
</t>
    </r>
    <r>
      <rPr>
        <b/>
        <sz val="11"/>
        <color theme="1"/>
        <rFont val="Calibri"/>
        <family val="2"/>
        <scheme val="minor"/>
      </rPr>
      <t>Dominant</t>
    </r>
    <r>
      <rPr>
        <sz val="11"/>
        <color theme="1"/>
        <rFont val="Calibri"/>
        <family val="2"/>
        <scheme val="minor"/>
      </rPr>
      <t xml:space="preserve"> - Dominant language
</t>
    </r>
    <r>
      <rPr>
        <b/>
        <sz val="11"/>
        <color theme="1"/>
        <rFont val="Calibri"/>
        <family val="2"/>
        <scheme val="minor"/>
      </rPr>
      <t>Home</t>
    </r>
    <r>
      <rPr>
        <sz val="11"/>
        <color theme="1"/>
        <rFont val="Calibri"/>
        <family val="2"/>
        <scheme val="minor"/>
      </rPr>
      <t xml:space="preserve"> - Home language
</t>
    </r>
    <r>
      <rPr>
        <b/>
        <sz val="11"/>
        <color theme="1"/>
        <rFont val="Calibri"/>
        <family val="2"/>
        <scheme val="minor"/>
      </rPr>
      <t>Native</t>
    </r>
    <r>
      <rPr>
        <sz val="11"/>
        <color theme="1"/>
        <rFont val="Calibri"/>
        <family val="2"/>
        <scheme val="minor"/>
      </rPr>
      <t xml:space="preserve"> - Native language
</t>
    </r>
    <r>
      <rPr>
        <b/>
        <sz val="11"/>
        <color theme="1"/>
        <rFont val="Calibri"/>
        <family val="2"/>
        <scheme val="minor"/>
      </rPr>
      <t>OtherLanguageProficiency</t>
    </r>
    <r>
      <rPr>
        <sz val="11"/>
        <color theme="1"/>
        <rFont val="Calibri"/>
        <family val="2"/>
        <scheme val="minor"/>
      </rPr>
      <t xml:space="preserve"> - Other language proficiency
</t>
    </r>
    <r>
      <rPr>
        <b/>
        <sz val="11"/>
        <color theme="1"/>
        <rFont val="Calibri"/>
        <family val="2"/>
        <scheme val="minor"/>
      </rPr>
      <t>Other</t>
    </r>
    <r>
      <rPr>
        <sz val="11"/>
        <color theme="1"/>
        <rFont val="Calibri"/>
        <family val="2"/>
        <scheme val="minor"/>
      </rPr>
      <t xml:space="preserve"> - Other
</t>
    </r>
  </si>
  <si>
    <r>
      <t>aav</t>
    </r>
    <r>
      <rPr>
        <sz val="11"/>
        <color theme="1"/>
        <rFont val="Calibri"/>
        <family val="2"/>
        <scheme val="minor"/>
      </rPr>
      <t xml:space="preserve"> - Austro-Asiatic languages
</t>
    </r>
    <r>
      <rPr>
        <b/>
        <sz val="11"/>
        <color theme="1"/>
        <rFont val="Calibri"/>
        <family val="2"/>
        <scheme val="minor"/>
      </rPr>
      <t>afa</t>
    </r>
    <r>
      <rPr>
        <sz val="11"/>
        <color theme="1"/>
        <rFont val="Calibri"/>
        <family val="2"/>
        <scheme val="minor"/>
      </rPr>
      <t xml:space="preserve"> - Afro-Asiatic languages
</t>
    </r>
    <r>
      <rPr>
        <b/>
        <sz val="11"/>
        <color theme="1"/>
        <rFont val="Calibri"/>
        <family val="2"/>
        <scheme val="minor"/>
      </rPr>
      <t>alg</t>
    </r>
    <r>
      <rPr>
        <sz val="11"/>
        <color theme="1"/>
        <rFont val="Calibri"/>
        <family val="2"/>
        <scheme val="minor"/>
      </rPr>
      <t xml:space="preserve"> - Algonquian languages
</t>
    </r>
    <r>
      <rPr>
        <b/>
        <sz val="11"/>
        <color theme="1"/>
        <rFont val="Calibri"/>
        <family val="2"/>
        <scheme val="minor"/>
      </rPr>
      <t>alv</t>
    </r>
    <r>
      <rPr>
        <sz val="11"/>
        <color theme="1"/>
        <rFont val="Calibri"/>
        <family val="2"/>
        <scheme val="minor"/>
      </rPr>
      <t xml:space="preserve"> - Atlantic-Congo languages
</t>
    </r>
    <r>
      <rPr>
        <b/>
        <sz val="11"/>
        <color theme="1"/>
        <rFont val="Calibri"/>
        <family val="2"/>
        <scheme val="minor"/>
      </rPr>
      <t>apa</t>
    </r>
    <r>
      <rPr>
        <sz val="11"/>
        <color theme="1"/>
        <rFont val="Calibri"/>
        <family val="2"/>
        <scheme val="minor"/>
      </rPr>
      <t xml:space="preserve"> - Apache languages
</t>
    </r>
    <r>
      <rPr>
        <b/>
        <sz val="11"/>
        <color theme="1"/>
        <rFont val="Calibri"/>
        <family val="2"/>
        <scheme val="minor"/>
      </rPr>
      <t>aqa</t>
    </r>
    <r>
      <rPr>
        <sz val="11"/>
        <color theme="1"/>
        <rFont val="Calibri"/>
        <family val="2"/>
        <scheme val="minor"/>
      </rPr>
      <t xml:space="preserve"> - Alacalufan languages
</t>
    </r>
    <r>
      <rPr>
        <b/>
        <sz val="11"/>
        <color theme="1"/>
        <rFont val="Calibri"/>
        <family val="2"/>
        <scheme val="minor"/>
      </rPr>
      <t>aql</t>
    </r>
    <r>
      <rPr>
        <sz val="11"/>
        <color theme="1"/>
        <rFont val="Calibri"/>
        <family val="2"/>
        <scheme val="minor"/>
      </rPr>
      <t xml:space="preserve"> - Algic languages
</t>
    </r>
    <r>
      <rPr>
        <b/>
        <sz val="11"/>
        <color theme="1"/>
        <rFont val="Calibri"/>
        <family val="2"/>
        <scheme val="minor"/>
      </rPr>
      <t>art</t>
    </r>
    <r>
      <rPr>
        <sz val="11"/>
        <color theme="1"/>
        <rFont val="Calibri"/>
        <family val="2"/>
        <scheme val="minor"/>
      </rPr>
      <t xml:space="preserve"> - Artificial languages
</t>
    </r>
    <r>
      <rPr>
        <b/>
        <sz val="11"/>
        <color theme="1"/>
        <rFont val="Calibri"/>
        <family val="2"/>
        <scheme val="minor"/>
      </rPr>
      <t>ath</t>
    </r>
    <r>
      <rPr>
        <sz val="11"/>
        <color theme="1"/>
        <rFont val="Calibri"/>
        <family val="2"/>
        <scheme val="minor"/>
      </rPr>
      <t xml:space="preserve"> - Athapascan languages
</t>
    </r>
    <r>
      <rPr>
        <b/>
        <sz val="11"/>
        <color theme="1"/>
        <rFont val="Calibri"/>
        <family val="2"/>
        <scheme val="minor"/>
      </rPr>
      <t>auf</t>
    </r>
    <r>
      <rPr>
        <sz val="11"/>
        <color theme="1"/>
        <rFont val="Calibri"/>
        <family val="2"/>
        <scheme val="minor"/>
      </rPr>
      <t xml:space="preserve"> - Arauan languages
</t>
    </r>
    <r>
      <rPr>
        <b/>
        <sz val="11"/>
        <color theme="1"/>
        <rFont val="Calibri"/>
        <family val="2"/>
        <scheme val="minor"/>
      </rPr>
      <t>aus</t>
    </r>
    <r>
      <rPr>
        <sz val="11"/>
        <color theme="1"/>
        <rFont val="Calibri"/>
        <family val="2"/>
        <scheme val="minor"/>
      </rPr>
      <t xml:space="preserve"> - Australian languages
</t>
    </r>
    <r>
      <rPr>
        <b/>
        <sz val="11"/>
        <color theme="1"/>
        <rFont val="Calibri"/>
        <family val="2"/>
        <scheme val="minor"/>
      </rPr>
      <t>awd</t>
    </r>
    <r>
      <rPr>
        <sz val="11"/>
        <color theme="1"/>
        <rFont val="Calibri"/>
        <family val="2"/>
        <scheme val="minor"/>
      </rPr>
      <t xml:space="preserve"> - Arawakan languages
</t>
    </r>
    <r>
      <rPr>
        <b/>
        <sz val="11"/>
        <color theme="1"/>
        <rFont val="Calibri"/>
        <family val="2"/>
        <scheme val="minor"/>
      </rPr>
      <t>azc</t>
    </r>
    <r>
      <rPr>
        <sz val="11"/>
        <color theme="1"/>
        <rFont val="Calibri"/>
        <family val="2"/>
        <scheme val="minor"/>
      </rPr>
      <t xml:space="preserve"> - Uto-Aztecan languages
</t>
    </r>
    <r>
      <rPr>
        <b/>
        <sz val="11"/>
        <color theme="1"/>
        <rFont val="Calibri"/>
        <family val="2"/>
        <scheme val="minor"/>
      </rPr>
      <t>bad</t>
    </r>
    <r>
      <rPr>
        <sz val="11"/>
        <color theme="1"/>
        <rFont val="Calibri"/>
        <family val="2"/>
        <scheme val="minor"/>
      </rPr>
      <t xml:space="preserve"> - Banda languages
</t>
    </r>
    <r>
      <rPr>
        <b/>
        <sz val="11"/>
        <color theme="1"/>
        <rFont val="Calibri"/>
        <family val="2"/>
        <scheme val="minor"/>
      </rPr>
      <t>bai</t>
    </r>
    <r>
      <rPr>
        <sz val="11"/>
        <color theme="1"/>
        <rFont val="Calibri"/>
        <family val="2"/>
        <scheme val="minor"/>
      </rPr>
      <t xml:space="preserve"> - Bamileke languages
</t>
    </r>
    <r>
      <rPr>
        <b/>
        <sz val="11"/>
        <color theme="1"/>
        <rFont val="Calibri"/>
        <family val="2"/>
        <scheme val="minor"/>
      </rPr>
      <t>bat</t>
    </r>
    <r>
      <rPr>
        <sz val="11"/>
        <color theme="1"/>
        <rFont val="Calibri"/>
        <family val="2"/>
        <scheme val="minor"/>
      </rPr>
      <t xml:space="preserve"> - Baltic languages
</t>
    </r>
    <r>
      <rPr>
        <b/>
        <sz val="11"/>
        <color theme="1"/>
        <rFont val="Calibri"/>
        <family val="2"/>
        <scheme val="minor"/>
      </rPr>
      <t>ber</t>
    </r>
    <r>
      <rPr>
        <sz val="11"/>
        <color theme="1"/>
        <rFont val="Calibri"/>
        <family val="2"/>
        <scheme val="minor"/>
      </rPr>
      <t xml:space="preserve"> - Berber languages
</t>
    </r>
    <r>
      <rPr>
        <b/>
        <sz val="11"/>
        <color theme="1"/>
        <rFont val="Calibri"/>
        <family val="2"/>
        <scheme val="minor"/>
      </rPr>
      <t>bih</t>
    </r>
    <r>
      <rPr>
        <sz val="11"/>
        <color theme="1"/>
        <rFont val="Calibri"/>
        <family val="2"/>
        <scheme val="minor"/>
      </rPr>
      <t xml:space="preserve"> - Bihari languages
</t>
    </r>
    <r>
      <rPr>
        <b/>
        <sz val="11"/>
        <color theme="1"/>
        <rFont val="Calibri"/>
        <family val="2"/>
        <scheme val="minor"/>
      </rPr>
      <t>bnt</t>
    </r>
    <r>
      <rPr>
        <sz val="11"/>
        <color theme="1"/>
        <rFont val="Calibri"/>
        <family val="2"/>
        <scheme val="minor"/>
      </rPr>
      <t xml:space="preserve"> - Bantu languages
</t>
    </r>
    <r>
      <rPr>
        <b/>
        <sz val="11"/>
        <color theme="1"/>
        <rFont val="Calibri"/>
        <family val="2"/>
        <scheme val="minor"/>
      </rPr>
      <t>btk</t>
    </r>
    <r>
      <rPr>
        <sz val="11"/>
        <color theme="1"/>
        <rFont val="Calibri"/>
        <family val="2"/>
        <scheme val="minor"/>
      </rPr>
      <t xml:space="preserve"> - Batak languages
</t>
    </r>
    <r>
      <rPr>
        <b/>
        <sz val="11"/>
        <color theme="1"/>
        <rFont val="Calibri"/>
        <family val="2"/>
        <scheme val="minor"/>
      </rPr>
      <t>cai</t>
    </r>
    <r>
      <rPr>
        <sz val="11"/>
        <color theme="1"/>
        <rFont val="Calibri"/>
        <family val="2"/>
        <scheme val="minor"/>
      </rPr>
      <t xml:space="preserve"> - Central American Indian languages
</t>
    </r>
    <r>
      <rPr>
        <b/>
        <sz val="11"/>
        <color theme="1"/>
        <rFont val="Calibri"/>
        <family val="2"/>
        <scheme val="minor"/>
      </rPr>
      <t>cau</t>
    </r>
    <r>
      <rPr>
        <sz val="11"/>
        <color theme="1"/>
        <rFont val="Calibri"/>
        <family val="2"/>
        <scheme val="minor"/>
      </rPr>
      <t xml:space="preserve"> - Caucasian languages
</t>
    </r>
    <r>
      <rPr>
        <b/>
        <sz val="11"/>
        <color theme="1"/>
        <rFont val="Calibri"/>
        <family val="2"/>
        <scheme val="minor"/>
      </rPr>
      <t>cba</t>
    </r>
    <r>
      <rPr>
        <sz val="11"/>
        <color theme="1"/>
        <rFont val="Calibri"/>
        <family val="2"/>
        <scheme val="minor"/>
      </rPr>
      <t xml:space="preserve"> - Chibchan languages
</t>
    </r>
    <r>
      <rPr>
        <b/>
        <sz val="11"/>
        <color theme="1"/>
        <rFont val="Calibri"/>
        <family val="2"/>
        <scheme val="minor"/>
      </rPr>
      <t>ccn</t>
    </r>
    <r>
      <rPr>
        <sz val="11"/>
        <color theme="1"/>
        <rFont val="Calibri"/>
        <family val="2"/>
        <scheme val="minor"/>
      </rPr>
      <t xml:space="preserve"> - North Caucasian languages
</t>
    </r>
    <r>
      <rPr>
        <b/>
        <sz val="11"/>
        <color theme="1"/>
        <rFont val="Calibri"/>
        <family val="2"/>
        <scheme val="minor"/>
      </rPr>
      <t>ccs</t>
    </r>
    <r>
      <rPr>
        <sz val="11"/>
        <color theme="1"/>
        <rFont val="Calibri"/>
        <family val="2"/>
        <scheme val="minor"/>
      </rPr>
      <t xml:space="preserve"> - South Caucasian languages
</t>
    </r>
    <r>
      <rPr>
        <b/>
        <sz val="11"/>
        <color theme="1"/>
        <rFont val="Calibri"/>
        <family val="2"/>
        <scheme val="minor"/>
      </rPr>
      <t>cdc</t>
    </r>
    <r>
      <rPr>
        <sz val="11"/>
        <color theme="1"/>
        <rFont val="Calibri"/>
        <family val="2"/>
        <scheme val="minor"/>
      </rPr>
      <t xml:space="preserve"> - Chadic languages
</t>
    </r>
    <r>
      <rPr>
        <b/>
        <sz val="11"/>
        <color theme="1"/>
        <rFont val="Calibri"/>
        <family val="2"/>
        <scheme val="minor"/>
      </rPr>
      <t>cdd</t>
    </r>
    <r>
      <rPr>
        <sz val="11"/>
        <color theme="1"/>
        <rFont val="Calibri"/>
        <family val="2"/>
        <scheme val="minor"/>
      </rPr>
      <t xml:space="preserve"> - Caddoan languages
</t>
    </r>
    <r>
      <rPr>
        <b/>
        <sz val="11"/>
        <color theme="1"/>
        <rFont val="Calibri"/>
        <family val="2"/>
        <scheme val="minor"/>
      </rPr>
      <t>cel</t>
    </r>
    <r>
      <rPr>
        <sz val="11"/>
        <color theme="1"/>
        <rFont val="Calibri"/>
        <family val="2"/>
        <scheme val="minor"/>
      </rPr>
      <t xml:space="preserve"> - Celtic languages
</t>
    </r>
    <r>
      <rPr>
        <b/>
        <sz val="11"/>
        <color theme="1"/>
        <rFont val="Calibri"/>
        <family val="2"/>
        <scheme val="minor"/>
      </rPr>
      <t>cmc</t>
    </r>
    <r>
      <rPr>
        <sz val="11"/>
        <color theme="1"/>
        <rFont val="Calibri"/>
        <family val="2"/>
        <scheme val="minor"/>
      </rPr>
      <t xml:space="preserve"> - Chamic languages
</t>
    </r>
    <r>
      <rPr>
        <b/>
        <sz val="11"/>
        <color theme="1"/>
        <rFont val="Calibri"/>
        <family val="2"/>
        <scheme val="minor"/>
      </rPr>
      <t>cpe</t>
    </r>
    <r>
      <rPr>
        <sz val="11"/>
        <color theme="1"/>
        <rFont val="Calibri"/>
        <family val="2"/>
        <scheme val="minor"/>
      </rPr>
      <t xml:space="preserve"> - Creoles and pidgins, Englishâ€‘based
</t>
    </r>
    <r>
      <rPr>
        <b/>
        <sz val="11"/>
        <color theme="1"/>
        <rFont val="Calibri"/>
        <family val="2"/>
        <scheme val="minor"/>
      </rPr>
      <t>cpf</t>
    </r>
    <r>
      <rPr>
        <sz val="11"/>
        <color theme="1"/>
        <rFont val="Calibri"/>
        <family val="2"/>
        <scheme val="minor"/>
      </rPr>
      <t xml:space="preserve"> - Creoles and pidgins, Frenchâ€‘based
</t>
    </r>
    <r>
      <rPr>
        <b/>
        <sz val="11"/>
        <color theme="1"/>
        <rFont val="Calibri"/>
        <family val="2"/>
        <scheme val="minor"/>
      </rPr>
      <t>cpp</t>
    </r>
    <r>
      <rPr>
        <sz val="11"/>
        <color theme="1"/>
        <rFont val="Calibri"/>
        <family val="2"/>
        <scheme val="minor"/>
      </rPr>
      <t xml:space="preserve"> - Creoles and pidgins, Portuguese-based
</t>
    </r>
    <r>
      <rPr>
        <b/>
        <sz val="11"/>
        <color theme="1"/>
        <rFont val="Calibri"/>
        <family val="2"/>
        <scheme val="minor"/>
      </rPr>
      <t>crp</t>
    </r>
    <r>
      <rPr>
        <sz val="11"/>
        <color theme="1"/>
        <rFont val="Calibri"/>
        <family val="2"/>
        <scheme val="minor"/>
      </rPr>
      <t xml:space="preserve"> - Creoles and pidgins
</t>
    </r>
    <r>
      <rPr>
        <b/>
        <sz val="11"/>
        <color theme="1"/>
        <rFont val="Calibri"/>
        <family val="2"/>
        <scheme val="minor"/>
      </rPr>
      <t>csu</t>
    </r>
    <r>
      <rPr>
        <sz val="11"/>
        <color theme="1"/>
        <rFont val="Calibri"/>
        <family val="2"/>
        <scheme val="minor"/>
      </rPr>
      <t xml:space="preserve"> - Central Sudanic languages
</t>
    </r>
    <r>
      <rPr>
        <b/>
        <sz val="11"/>
        <color theme="1"/>
        <rFont val="Calibri"/>
        <family val="2"/>
        <scheme val="minor"/>
      </rPr>
      <t>cus</t>
    </r>
    <r>
      <rPr>
        <sz val="11"/>
        <color theme="1"/>
        <rFont val="Calibri"/>
        <family val="2"/>
        <scheme val="minor"/>
      </rPr>
      <t xml:space="preserve"> - Cushitic languages
</t>
    </r>
    <r>
      <rPr>
        <b/>
        <sz val="11"/>
        <color theme="1"/>
        <rFont val="Calibri"/>
        <family val="2"/>
        <scheme val="minor"/>
      </rPr>
      <t>day</t>
    </r>
    <r>
      <rPr>
        <sz val="11"/>
        <color theme="1"/>
        <rFont val="Calibri"/>
        <family val="2"/>
        <scheme val="minor"/>
      </rPr>
      <t xml:space="preserve"> - Land Dayak languages
</t>
    </r>
    <r>
      <rPr>
        <b/>
        <sz val="11"/>
        <color theme="1"/>
        <rFont val="Calibri"/>
        <family val="2"/>
        <scheme val="minor"/>
      </rPr>
      <t>dmn</t>
    </r>
    <r>
      <rPr>
        <sz val="11"/>
        <color theme="1"/>
        <rFont val="Calibri"/>
        <family val="2"/>
        <scheme val="minor"/>
      </rPr>
      <t xml:space="preserve"> - Mande languages
</t>
    </r>
    <r>
      <rPr>
        <b/>
        <sz val="11"/>
        <color theme="1"/>
        <rFont val="Calibri"/>
        <family val="2"/>
        <scheme val="minor"/>
      </rPr>
      <t>dra</t>
    </r>
    <r>
      <rPr>
        <sz val="11"/>
        <color theme="1"/>
        <rFont val="Calibri"/>
        <family val="2"/>
        <scheme val="minor"/>
      </rPr>
      <t xml:space="preserve"> - Dravidian languages
</t>
    </r>
    <r>
      <rPr>
        <b/>
        <sz val="11"/>
        <color theme="1"/>
        <rFont val="Calibri"/>
        <family val="2"/>
        <scheme val="minor"/>
      </rPr>
      <t>egx</t>
    </r>
    <r>
      <rPr>
        <sz val="11"/>
        <color theme="1"/>
        <rFont val="Calibri"/>
        <family val="2"/>
        <scheme val="minor"/>
      </rPr>
      <t xml:space="preserve"> - Egyptian languages
</t>
    </r>
    <r>
      <rPr>
        <b/>
        <sz val="11"/>
        <color theme="1"/>
        <rFont val="Calibri"/>
        <family val="2"/>
        <scheme val="minor"/>
      </rPr>
      <t>esx</t>
    </r>
    <r>
      <rPr>
        <sz val="11"/>
        <color theme="1"/>
        <rFont val="Calibri"/>
        <family val="2"/>
        <scheme val="minor"/>
      </rPr>
      <t xml:space="preserve"> - Eskimo-Aleut languages
</t>
    </r>
    <r>
      <rPr>
        <b/>
        <sz val="11"/>
        <color theme="1"/>
        <rFont val="Calibri"/>
        <family val="2"/>
        <scheme val="minor"/>
      </rPr>
      <t>euq</t>
    </r>
    <r>
      <rPr>
        <sz val="11"/>
        <color theme="1"/>
        <rFont val="Calibri"/>
        <family val="2"/>
        <scheme val="minor"/>
      </rPr>
      <t xml:space="preserve"> - Basque (family)
</t>
    </r>
    <r>
      <rPr>
        <b/>
        <sz val="11"/>
        <color theme="1"/>
        <rFont val="Calibri"/>
        <family val="2"/>
        <scheme val="minor"/>
      </rPr>
      <t>fiu</t>
    </r>
    <r>
      <rPr>
        <sz val="11"/>
        <color theme="1"/>
        <rFont val="Calibri"/>
        <family val="2"/>
        <scheme val="minor"/>
      </rPr>
      <t xml:space="preserve"> - Finno-Ugrian languages
</t>
    </r>
    <r>
      <rPr>
        <b/>
        <sz val="11"/>
        <color theme="1"/>
        <rFont val="Calibri"/>
        <family val="2"/>
        <scheme val="minor"/>
      </rPr>
      <t>fox</t>
    </r>
    <r>
      <rPr>
        <sz val="11"/>
        <color theme="1"/>
        <rFont val="Calibri"/>
        <family val="2"/>
        <scheme val="minor"/>
      </rPr>
      <t xml:space="preserve"> - Formosan languages
</t>
    </r>
    <r>
      <rPr>
        <b/>
        <sz val="11"/>
        <color theme="1"/>
        <rFont val="Calibri"/>
        <family val="2"/>
        <scheme val="minor"/>
      </rPr>
      <t>gem</t>
    </r>
    <r>
      <rPr>
        <sz val="11"/>
        <color theme="1"/>
        <rFont val="Calibri"/>
        <family val="2"/>
        <scheme val="minor"/>
      </rPr>
      <t xml:space="preserve"> - Germanic languages
</t>
    </r>
    <r>
      <rPr>
        <b/>
        <sz val="11"/>
        <color theme="1"/>
        <rFont val="Calibri"/>
        <family val="2"/>
        <scheme val="minor"/>
      </rPr>
      <t>gme</t>
    </r>
    <r>
      <rPr>
        <sz val="11"/>
        <color theme="1"/>
        <rFont val="Calibri"/>
        <family val="2"/>
        <scheme val="minor"/>
      </rPr>
      <t xml:space="preserve"> - East Germanic languages
</t>
    </r>
    <r>
      <rPr>
        <b/>
        <sz val="11"/>
        <color theme="1"/>
        <rFont val="Calibri"/>
        <family val="2"/>
        <scheme val="minor"/>
      </rPr>
      <t>gmq</t>
    </r>
    <r>
      <rPr>
        <sz val="11"/>
        <color theme="1"/>
        <rFont val="Calibri"/>
        <family val="2"/>
        <scheme val="minor"/>
      </rPr>
      <t xml:space="preserve"> - North Germanic languages
</t>
    </r>
    <r>
      <rPr>
        <b/>
        <sz val="11"/>
        <color theme="1"/>
        <rFont val="Calibri"/>
        <family val="2"/>
        <scheme val="minor"/>
      </rPr>
      <t>gmw</t>
    </r>
    <r>
      <rPr>
        <sz val="11"/>
        <color theme="1"/>
        <rFont val="Calibri"/>
        <family val="2"/>
        <scheme val="minor"/>
      </rPr>
      <t xml:space="preserve"> - West Germanic languages
</t>
    </r>
    <r>
      <rPr>
        <b/>
        <sz val="11"/>
        <color theme="1"/>
        <rFont val="Calibri"/>
        <family val="2"/>
        <scheme val="minor"/>
      </rPr>
      <t>grk</t>
    </r>
    <r>
      <rPr>
        <sz val="11"/>
        <color theme="1"/>
        <rFont val="Calibri"/>
        <family val="2"/>
        <scheme val="minor"/>
      </rPr>
      <t xml:space="preserve"> - Greek languages
</t>
    </r>
    <r>
      <rPr>
        <b/>
        <sz val="11"/>
        <color theme="1"/>
        <rFont val="Calibri"/>
        <family val="2"/>
        <scheme val="minor"/>
      </rPr>
      <t>hmx</t>
    </r>
    <r>
      <rPr>
        <sz val="11"/>
        <color theme="1"/>
        <rFont val="Calibri"/>
        <family val="2"/>
        <scheme val="minor"/>
      </rPr>
      <t xml:space="preserve"> - Hmong-Mien languages
</t>
    </r>
    <r>
      <rPr>
        <b/>
        <sz val="11"/>
        <color theme="1"/>
        <rFont val="Calibri"/>
        <family val="2"/>
        <scheme val="minor"/>
      </rPr>
      <t>hok</t>
    </r>
    <r>
      <rPr>
        <sz val="11"/>
        <color theme="1"/>
        <rFont val="Calibri"/>
        <family val="2"/>
        <scheme val="minor"/>
      </rPr>
      <t xml:space="preserve"> - Hokan languages
</t>
    </r>
    <r>
      <rPr>
        <b/>
        <sz val="11"/>
        <color theme="1"/>
        <rFont val="Calibri"/>
        <family val="2"/>
        <scheme val="minor"/>
      </rPr>
      <t>hyx</t>
    </r>
    <r>
      <rPr>
        <sz val="11"/>
        <color theme="1"/>
        <rFont val="Calibri"/>
        <family val="2"/>
        <scheme val="minor"/>
      </rPr>
      <t xml:space="preserve"> - Armenian (family)
</t>
    </r>
    <r>
      <rPr>
        <b/>
        <sz val="11"/>
        <color theme="1"/>
        <rFont val="Calibri"/>
        <family val="2"/>
        <scheme val="minor"/>
      </rPr>
      <t>iir</t>
    </r>
    <r>
      <rPr>
        <sz val="11"/>
        <color theme="1"/>
        <rFont val="Calibri"/>
        <family val="2"/>
        <scheme val="minor"/>
      </rPr>
      <t xml:space="preserve"> - Indo-Iranian languages
</t>
    </r>
    <r>
      <rPr>
        <b/>
        <sz val="11"/>
        <color theme="1"/>
        <rFont val="Calibri"/>
        <family val="2"/>
        <scheme val="minor"/>
      </rPr>
      <t>ijo</t>
    </r>
    <r>
      <rPr>
        <sz val="11"/>
        <color theme="1"/>
        <rFont val="Calibri"/>
        <family val="2"/>
        <scheme val="minor"/>
      </rPr>
      <t xml:space="preserve"> - Ijo languages
</t>
    </r>
    <r>
      <rPr>
        <b/>
        <sz val="11"/>
        <color theme="1"/>
        <rFont val="Calibri"/>
        <family val="2"/>
        <scheme val="minor"/>
      </rPr>
      <t>inc</t>
    </r>
    <r>
      <rPr>
        <sz val="11"/>
        <color theme="1"/>
        <rFont val="Calibri"/>
        <family val="2"/>
        <scheme val="minor"/>
      </rPr>
      <t xml:space="preserve"> - Indic languages
</t>
    </r>
    <r>
      <rPr>
        <b/>
        <sz val="11"/>
        <color theme="1"/>
        <rFont val="Calibri"/>
        <family val="2"/>
        <scheme val="minor"/>
      </rPr>
      <t>ine</t>
    </r>
    <r>
      <rPr>
        <sz val="11"/>
        <color theme="1"/>
        <rFont val="Calibri"/>
        <family val="2"/>
        <scheme val="minor"/>
      </rPr>
      <t xml:space="preserve"> - Indo-European languages
</t>
    </r>
    <r>
      <rPr>
        <b/>
        <sz val="11"/>
        <color theme="1"/>
        <rFont val="Calibri"/>
        <family val="2"/>
        <scheme val="minor"/>
      </rPr>
      <t>ira</t>
    </r>
    <r>
      <rPr>
        <sz val="11"/>
        <color theme="1"/>
        <rFont val="Calibri"/>
        <family val="2"/>
        <scheme val="minor"/>
      </rPr>
      <t xml:space="preserve"> - Iranian languages
</t>
    </r>
    <r>
      <rPr>
        <b/>
        <sz val="11"/>
        <color theme="1"/>
        <rFont val="Calibri"/>
        <family val="2"/>
        <scheme val="minor"/>
      </rPr>
      <t>iro</t>
    </r>
    <r>
      <rPr>
        <sz val="11"/>
        <color theme="1"/>
        <rFont val="Calibri"/>
        <family val="2"/>
        <scheme val="minor"/>
      </rPr>
      <t xml:space="preserve"> - Iroquoian languages
</t>
    </r>
    <r>
      <rPr>
        <b/>
        <sz val="11"/>
        <color theme="1"/>
        <rFont val="Calibri"/>
        <family val="2"/>
        <scheme val="minor"/>
      </rPr>
      <t>itc</t>
    </r>
    <r>
      <rPr>
        <sz val="11"/>
        <color theme="1"/>
        <rFont val="Calibri"/>
        <family val="2"/>
        <scheme val="minor"/>
      </rPr>
      <t xml:space="preserve"> - Italic languages
</t>
    </r>
    <r>
      <rPr>
        <b/>
        <sz val="11"/>
        <color theme="1"/>
        <rFont val="Calibri"/>
        <family val="2"/>
        <scheme val="minor"/>
      </rPr>
      <t>jpx</t>
    </r>
    <r>
      <rPr>
        <sz val="11"/>
        <color theme="1"/>
        <rFont val="Calibri"/>
        <family val="2"/>
        <scheme val="minor"/>
      </rPr>
      <t xml:space="preserve"> - Japanese (family)
</t>
    </r>
    <r>
      <rPr>
        <b/>
        <sz val="11"/>
        <color theme="1"/>
        <rFont val="Calibri"/>
        <family val="2"/>
        <scheme val="minor"/>
      </rPr>
      <t>kar</t>
    </r>
    <r>
      <rPr>
        <sz val="11"/>
        <color theme="1"/>
        <rFont val="Calibri"/>
        <family val="2"/>
        <scheme val="minor"/>
      </rPr>
      <t xml:space="preserve"> - Karen languages
</t>
    </r>
    <r>
      <rPr>
        <b/>
        <sz val="11"/>
        <color theme="1"/>
        <rFont val="Calibri"/>
        <family val="2"/>
        <scheme val="minor"/>
      </rPr>
      <t>kdo</t>
    </r>
    <r>
      <rPr>
        <sz val="11"/>
        <color theme="1"/>
        <rFont val="Calibri"/>
        <family val="2"/>
        <scheme val="minor"/>
      </rPr>
      <t xml:space="preserve"> - Kordofanian languages
</t>
    </r>
    <r>
      <rPr>
        <b/>
        <sz val="11"/>
        <color theme="1"/>
        <rFont val="Calibri"/>
        <family val="2"/>
        <scheme val="minor"/>
      </rPr>
      <t>khi</t>
    </r>
    <r>
      <rPr>
        <sz val="11"/>
        <color theme="1"/>
        <rFont val="Calibri"/>
        <family val="2"/>
        <scheme val="minor"/>
      </rPr>
      <t xml:space="preserve"> - Khoisan languages
</t>
    </r>
    <r>
      <rPr>
        <b/>
        <sz val="11"/>
        <color theme="1"/>
        <rFont val="Calibri"/>
        <family val="2"/>
        <scheme val="minor"/>
      </rPr>
      <t>kro</t>
    </r>
    <r>
      <rPr>
        <sz val="11"/>
        <color theme="1"/>
        <rFont val="Calibri"/>
        <family val="2"/>
        <scheme val="minor"/>
      </rPr>
      <t xml:space="preserve"> - Kru languages
</t>
    </r>
    <r>
      <rPr>
        <b/>
        <sz val="11"/>
        <color theme="1"/>
        <rFont val="Calibri"/>
        <family val="2"/>
        <scheme val="minor"/>
      </rPr>
      <t>map</t>
    </r>
    <r>
      <rPr>
        <sz val="11"/>
        <color theme="1"/>
        <rFont val="Calibri"/>
        <family val="2"/>
        <scheme val="minor"/>
      </rPr>
      <t xml:space="preserve"> - Austronesian languages
</t>
    </r>
    <r>
      <rPr>
        <b/>
        <sz val="11"/>
        <color theme="1"/>
        <rFont val="Calibri"/>
        <family val="2"/>
        <scheme val="minor"/>
      </rPr>
      <t>mkh</t>
    </r>
    <r>
      <rPr>
        <sz val="11"/>
        <color theme="1"/>
        <rFont val="Calibri"/>
        <family val="2"/>
        <scheme val="minor"/>
      </rPr>
      <t xml:space="preserve"> - Mon-Khmer languages
</t>
    </r>
    <r>
      <rPr>
        <b/>
        <sz val="11"/>
        <color theme="1"/>
        <rFont val="Calibri"/>
        <family val="2"/>
        <scheme val="minor"/>
      </rPr>
      <t>mno</t>
    </r>
    <r>
      <rPr>
        <sz val="11"/>
        <color theme="1"/>
        <rFont val="Calibri"/>
        <family val="2"/>
        <scheme val="minor"/>
      </rPr>
      <t xml:space="preserve"> - Manobo languages
</t>
    </r>
    <r>
      <rPr>
        <b/>
        <sz val="11"/>
        <color theme="1"/>
        <rFont val="Calibri"/>
        <family val="2"/>
        <scheme val="minor"/>
      </rPr>
      <t>mun</t>
    </r>
    <r>
      <rPr>
        <sz val="11"/>
        <color theme="1"/>
        <rFont val="Calibri"/>
        <family val="2"/>
        <scheme val="minor"/>
      </rPr>
      <t xml:space="preserve"> - Munda languages
</t>
    </r>
    <r>
      <rPr>
        <b/>
        <sz val="11"/>
        <color theme="1"/>
        <rFont val="Calibri"/>
        <family val="2"/>
        <scheme val="minor"/>
      </rPr>
      <t>myn</t>
    </r>
    <r>
      <rPr>
        <sz val="11"/>
        <color theme="1"/>
        <rFont val="Calibri"/>
        <family val="2"/>
        <scheme val="minor"/>
      </rPr>
      <t xml:space="preserve"> - Mayan languages
</t>
    </r>
    <r>
      <rPr>
        <b/>
        <sz val="11"/>
        <color theme="1"/>
        <rFont val="Calibri"/>
        <family val="2"/>
        <scheme val="minor"/>
      </rPr>
      <t>nah</t>
    </r>
    <r>
      <rPr>
        <sz val="11"/>
        <color theme="1"/>
        <rFont val="Calibri"/>
        <family val="2"/>
        <scheme val="minor"/>
      </rPr>
      <t xml:space="preserve"> - Nahuatl languages
</t>
    </r>
    <r>
      <rPr>
        <b/>
        <sz val="11"/>
        <color theme="1"/>
        <rFont val="Calibri"/>
        <family val="2"/>
        <scheme val="minor"/>
      </rPr>
      <t>nai</t>
    </r>
    <r>
      <rPr>
        <sz val="11"/>
        <color theme="1"/>
        <rFont val="Calibri"/>
        <family val="2"/>
        <scheme val="minor"/>
      </rPr>
      <t xml:space="preserve"> - North American Indian languages
</t>
    </r>
    <r>
      <rPr>
        <b/>
        <sz val="11"/>
        <color theme="1"/>
        <rFont val="Calibri"/>
        <family val="2"/>
        <scheme val="minor"/>
      </rPr>
      <t>ngf</t>
    </r>
    <r>
      <rPr>
        <sz val="11"/>
        <color theme="1"/>
        <rFont val="Calibri"/>
        <family val="2"/>
        <scheme val="minor"/>
      </rPr>
      <t xml:space="preserve"> - Trans-New Guinea languages
</t>
    </r>
    <r>
      <rPr>
        <b/>
        <sz val="11"/>
        <color theme="1"/>
        <rFont val="Calibri"/>
        <family val="2"/>
        <scheme val="minor"/>
      </rPr>
      <t>nic</t>
    </r>
    <r>
      <rPr>
        <sz val="11"/>
        <color theme="1"/>
        <rFont val="Calibri"/>
        <family val="2"/>
        <scheme val="minor"/>
      </rPr>
      <t xml:space="preserve"> - Niger-Kordofanian languages
</t>
    </r>
    <r>
      <rPr>
        <b/>
        <sz val="11"/>
        <color theme="1"/>
        <rFont val="Calibri"/>
        <family val="2"/>
        <scheme val="minor"/>
      </rPr>
      <t>nub</t>
    </r>
    <r>
      <rPr>
        <sz val="11"/>
        <color theme="1"/>
        <rFont val="Calibri"/>
        <family val="2"/>
        <scheme val="minor"/>
      </rPr>
      <t xml:space="preserve"> - Nubian languages
</t>
    </r>
    <r>
      <rPr>
        <b/>
        <sz val="11"/>
        <color theme="1"/>
        <rFont val="Calibri"/>
        <family val="2"/>
        <scheme val="minor"/>
      </rPr>
      <t>omq</t>
    </r>
    <r>
      <rPr>
        <sz val="11"/>
        <color theme="1"/>
        <rFont val="Calibri"/>
        <family val="2"/>
        <scheme val="minor"/>
      </rPr>
      <t xml:space="preserve"> - Oto-Manguean languages
</t>
    </r>
    <r>
      <rPr>
        <b/>
        <sz val="11"/>
        <color theme="1"/>
        <rFont val="Calibri"/>
        <family val="2"/>
        <scheme val="minor"/>
      </rPr>
      <t>omv</t>
    </r>
    <r>
      <rPr>
        <sz val="11"/>
        <color theme="1"/>
        <rFont val="Calibri"/>
        <family val="2"/>
        <scheme val="minor"/>
      </rPr>
      <t xml:space="preserve"> - Omotic languages
</t>
    </r>
    <r>
      <rPr>
        <b/>
        <sz val="11"/>
        <color theme="1"/>
        <rFont val="Calibri"/>
        <family val="2"/>
        <scheme val="minor"/>
      </rPr>
      <t>oto</t>
    </r>
    <r>
      <rPr>
        <sz val="11"/>
        <color theme="1"/>
        <rFont val="Calibri"/>
        <family val="2"/>
        <scheme val="minor"/>
      </rPr>
      <t xml:space="preserve"> - Otomian languages
</t>
    </r>
    <r>
      <rPr>
        <b/>
        <sz val="11"/>
        <color theme="1"/>
        <rFont val="Calibri"/>
        <family val="2"/>
        <scheme val="minor"/>
      </rPr>
      <t>paa</t>
    </r>
    <r>
      <rPr>
        <sz val="11"/>
        <color theme="1"/>
        <rFont val="Calibri"/>
        <family val="2"/>
        <scheme val="minor"/>
      </rPr>
      <t xml:space="preserve"> - Papuan languages
</t>
    </r>
    <r>
      <rPr>
        <b/>
        <sz val="11"/>
        <color theme="1"/>
        <rFont val="Calibri"/>
        <family val="2"/>
        <scheme val="minor"/>
      </rPr>
      <t>phi</t>
    </r>
    <r>
      <rPr>
        <sz val="11"/>
        <color theme="1"/>
        <rFont val="Calibri"/>
        <family val="2"/>
        <scheme val="minor"/>
      </rPr>
      <t xml:space="preserve"> - Philippine languages
</t>
    </r>
    <r>
      <rPr>
        <b/>
        <sz val="11"/>
        <color theme="1"/>
        <rFont val="Calibri"/>
        <family val="2"/>
        <scheme val="minor"/>
      </rPr>
      <t>plf</t>
    </r>
    <r>
      <rPr>
        <sz val="11"/>
        <color theme="1"/>
        <rFont val="Calibri"/>
        <family val="2"/>
        <scheme val="minor"/>
      </rPr>
      <t xml:space="preserve"> - Central Malayo-Polynesian languages
</t>
    </r>
    <r>
      <rPr>
        <b/>
        <sz val="11"/>
        <color theme="1"/>
        <rFont val="Calibri"/>
        <family val="2"/>
        <scheme val="minor"/>
      </rPr>
      <t>poz</t>
    </r>
    <r>
      <rPr>
        <sz val="11"/>
        <color theme="1"/>
        <rFont val="Calibri"/>
        <family val="2"/>
        <scheme val="minor"/>
      </rPr>
      <t xml:space="preserve"> - Malayo-Polynesian languages
</t>
    </r>
    <r>
      <rPr>
        <b/>
        <sz val="11"/>
        <color theme="1"/>
        <rFont val="Calibri"/>
        <family val="2"/>
        <scheme val="minor"/>
      </rPr>
      <t>pqe</t>
    </r>
    <r>
      <rPr>
        <sz val="11"/>
        <color theme="1"/>
        <rFont val="Calibri"/>
        <family val="2"/>
        <scheme val="minor"/>
      </rPr>
      <t xml:space="preserve"> - Eastern Malayo-Polynesian languages
</t>
    </r>
    <r>
      <rPr>
        <b/>
        <sz val="11"/>
        <color theme="1"/>
        <rFont val="Calibri"/>
        <family val="2"/>
        <scheme val="minor"/>
      </rPr>
      <t>pqw</t>
    </r>
    <r>
      <rPr>
        <sz val="11"/>
        <color theme="1"/>
        <rFont val="Calibri"/>
        <family val="2"/>
        <scheme val="minor"/>
      </rPr>
      <t xml:space="preserve"> - Western Malayo-Polynesian languages
</t>
    </r>
    <r>
      <rPr>
        <b/>
        <sz val="11"/>
        <color theme="1"/>
        <rFont val="Calibri"/>
        <family val="2"/>
        <scheme val="minor"/>
      </rPr>
      <t>pra</t>
    </r>
    <r>
      <rPr>
        <sz val="11"/>
        <color theme="1"/>
        <rFont val="Calibri"/>
        <family val="2"/>
        <scheme val="minor"/>
      </rPr>
      <t xml:space="preserve"> - Prakrit languages
</t>
    </r>
    <r>
      <rPr>
        <b/>
        <sz val="11"/>
        <color theme="1"/>
        <rFont val="Calibri"/>
        <family val="2"/>
        <scheme val="minor"/>
      </rPr>
      <t>qwe</t>
    </r>
    <r>
      <rPr>
        <sz val="11"/>
        <color theme="1"/>
        <rFont val="Calibri"/>
        <family val="2"/>
        <scheme val="minor"/>
      </rPr>
      <t xml:space="preserve"> - Quechuan (family)
</t>
    </r>
    <r>
      <rPr>
        <b/>
        <sz val="11"/>
        <color theme="1"/>
        <rFont val="Calibri"/>
        <family val="2"/>
        <scheme val="minor"/>
      </rPr>
      <t>roa</t>
    </r>
    <r>
      <rPr>
        <sz val="11"/>
        <color theme="1"/>
        <rFont val="Calibri"/>
        <family val="2"/>
        <scheme val="minor"/>
      </rPr>
      <t xml:space="preserve"> - Romance languages
</t>
    </r>
    <r>
      <rPr>
        <b/>
        <sz val="11"/>
        <color theme="1"/>
        <rFont val="Calibri"/>
        <family val="2"/>
        <scheme val="minor"/>
      </rPr>
      <t>sai</t>
    </r>
    <r>
      <rPr>
        <sz val="11"/>
        <color theme="1"/>
        <rFont val="Calibri"/>
        <family val="2"/>
        <scheme val="minor"/>
      </rPr>
      <t xml:space="preserve"> - South American Indian languages
</t>
    </r>
    <r>
      <rPr>
        <b/>
        <sz val="11"/>
        <color theme="1"/>
        <rFont val="Calibri"/>
        <family val="2"/>
        <scheme val="minor"/>
      </rPr>
      <t>sal</t>
    </r>
    <r>
      <rPr>
        <sz val="11"/>
        <color theme="1"/>
        <rFont val="Calibri"/>
        <family val="2"/>
        <scheme val="minor"/>
      </rPr>
      <t xml:space="preserve"> - Salishan languages
</t>
    </r>
    <r>
      <rPr>
        <b/>
        <sz val="11"/>
        <color theme="1"/>
        <rFont val="Calibri"/>
        <family val="2"/>
        <scheme val="minor"/>
      </rPr>
      <t>sdv</t>
    </r>
    <r>
      <rPr>
        <sz val="11"/>
        <color theme="1"/>
        <rFont val="Calibri"/>
        <family val="2"/>
        <scheme val="minor"/>
      </rPr>
      <t xml:space="preserve"> - Eastern Sudanic languages
</t>
    </r>
    <r>
      <rPr>
        <b/>
        <sz val="11"/>
        <color theme="1"/>
        <rFont val="Calibri"/>
        <family val="2"/>
        <scheme val="minor"/>
      </rPr>
      <t>sem</t>
    </r>
    <r>
      <rPr>
        <sz val="11"/>
        <color theme="1"/>
        <rFont val="Calibri"/>
        <family val="2"/>
        <scheme val="minor"/>
      </rPr>
      <t xml:space="preserve"> - Semitic languages
</t>
    </r>
    <r>
      <rPr>
        <b/>
        <sz val="11"/>
        <color theme="1"/>
        <rFont val="Calibri"/>
        <family val="2"/>
        <scheme val="minor"/>
      </rPr>
      <t>sgn</t>
    </r>
    <r>
      <rPr>
        <sz val="11"/>
        <color theme="1"/>
        <rFont val="Calibri"/>
        <family val="2"/>
        <scheme val="minor"/>
      </rPr>
      <t xml:space="preserve"> - sign languages
</t>
    </r>
    <r>
      <rPr>
        <b/>
        <sz val="11"/>
        <color theme="1"/>
        <rFont val="Calibri"/>
        <family val="2"/>
        <scheme val="minor"/>
      </rPr>
      <t>sio</t>
    </r>
    <r>
      <rPr>
        <sz val="11"/>
        <color theme="1"/>
        <rFont val="Calibri"/>
        <family val="2"/>
        <scheme val="minor"/>
      </rPr>
      <t xml:space="preserve"> - Siouan languages
</t>
    </r>
    <r>
      <rPr>
        <b/>
        <sz val="11"/>
        <color theme="1"/>
        <rFont val="Calibri"/>
        <family val="2"/>
        <scheme val="minor"/>
      </rPr>
      <t>sit</t>
    </r>
    <r>
      <rPr>
        <sz val="11"/>
        <color theme="1"/>
        <rFont val="Calibri"/>
        <family val="2"/>
        <scheme val="minor"/>
      </rPr>
      <t xml:space="preserve"> - Sino-Tibetan languages
</t>
    </r>
    <r>
      <rPr>
        <b/>
        <sz val="11"/>
        <color theme="1"/>
        <rFont val="Calibri"/>
        <family val="2"/>
        <scheme val="minor"/>
      </rPr>
      <t>sla</t>
    </r>
    <r>
      <rPr>
        <sz val="11"/>
        <color theme="1"/>
        <rFont val="Calibri"/>
        <family val="2"/>
        <scheme val="minor"/>
      </rPr>
      <t xml:space="preserve"> - Slavic languages
</t>
    </r>
    <r>
      <rPr>
        <b/>
        <sz val="11"/>
        <color theme="1"/>
        <rFont val="Calibri"/>
        <family val="2"/>
        <scheme val="minor"/>
      </rPr>
      <t>smi</t>
    </r>
    <r>
      <rPr>
        <sz val="11"/>
        <color theme="1"/>
        <rFont val="Calibri"/>
        <family val="2"/>
        <scheme val="minor"/>
      </rPr>
      <t xml:space="preserve"> - Sami languages
</t>
    </r>
    <r>
      <rPr>
        <b/>
        <sz val="11"/>
        <color theme="1"/>
        <rFont val="Calibri"/>
        <family val="2"/>
        <scheme val="minor"/>
      </rPr>
      <t>son</t>
    </r>
    <r>
      <rPr>
        <sz val="11"/>
        <color theme="1"/>
        <rFont val="Calibri"/>
        <family val="2"/>
        <scheme val="minor"/>
      </rPr>
      <t xml:space="preserve"> - Songhai languages
</t>
    </r>
    <r>
      <rPr>
        <b/>
        <sz val="11"/>
        <color theme="1"/>
        <rFont val="Calibri"/>
        <family val="2"/>
        <scheme val="minor"/>
      </rPr>
      <t>sqj</t>
    </r>
    <r>
      <rPr>
        <sz val="11"/>
        <color theme="1"/>
        <rFont val="Calibri"/>
        <family val="2"/>
        <scheme val="minor"/>
      </rPr>
      <t xml:space="preserve"> - Albanian languages
</t>
    </r>
    <r>
      <rPr>
        <b/>
        <sz val="11"/>
        <color theme="1"/>
        <rFont val="Calibri"/>
        <family val="2"/>
        <scheme val="minor"/>
      </rPr>
      <t>ssa</t>
    </r>
    <r>
      <rPr>
        <sz val="11"/>
        <color theme="1"/>
        <rFont val="Calibri"/>
        <family val="2"/>
        <scheme val="minor"/>
      </rPr>
      <t xml:space="preserve"> - Nilo-Saharan languages
</t>
    </r>
    <r>
      <rPr>
        <b/>
        <sz val="11"/>
        <color theme="1"/>
        <rFont val="Calibri"/>
        <family val="2"/>
        <scheme val="minor"/>
      </rPr>
      <t>syd</t>
    </r>
    <r>
      <rPr>
        <sz val="11"/>
        <color theme="1"/>
        <rFont val="Calibri"/>
        <family val="2"/>
        <scheme val="minor"/>
      </rPr>
      <t xml:space="preserve"> - Samoyedic languages
</t>
    </r>
    <r>
      <rPr>
        <b/>
        <sz val="11"/>
        <color theme="1"/>
        <rFont val="Calibri"/>
        <family val="2"/>
        <scheme val="minor"/>
      </rPr>
      <t>tai</t>
    </r>
    <r>
      <rPr>
        <sz val="11"/>
        <color theme="1"/>
        <rFont val="Calibri"/>
        <family val="2"/>
        <scheme val="minor"/>
      </rPr>
      <t xml:space="preserve"> - Tai languages
</t>
    </r>
    <r>
      <rPr>
        <b/>
        <sz val="11"/>
        <color theme="1"/>
        <rFont val="Calibri"/>
        <family val="2"/>
        <scheme val="minor"/>
      </rPr>
      <t>tbq</t>
    </r>
    <r>
      <rPr>
        <sz val="11"/>
        <color theme="1"/>
        <rFont val="Calibri"/>
        <family val="2"/>
        <scheme val="minor"/>
      </rPr>
      <t xml:space="preserve"> - Tibeto-Burman languages
</t>
    </r>
    <r>
      <rPr>
        <b/>
        <sz val="11"/>
        <color theme="1"/>
        <rFont val="Calibri"/>
        <family val="2"/>
        <scheme val="minor"/>
      </rPr>
      <t>trk</t>
    </r>
    <r>
      <rPr>
        <sz val="11"/>
        <color theme="1"/>
        <rFont val="Calibri"/>
        <family val="2"/>
        <scheme val="minor"/>
      </rPr>
      <t xml:space="preserve"> - Turkic languages
</t>
    </r>
    <r>
      <rPr>
        <b/>
        <sz val="11"/>
        <color theme="1"/>
        <rFont val="Calibri"/>
        <family val="2"/>
        <scheme val="minor"/>
      </rPr>
      <t>tup</t>
    </r>
    <r>
      <rPr>
        <sz val="11"/>
        <color theme="1"/>
        <rFont val="Calibri"/>
        <family val="2"/>
        <scheme val="minor"/>
      </rPr>
      <t xml:space="preserve"> - Tupi languages
</t>
    </r>
    <r>
      <rPr>
        <b/>
        <sz val="11"/>
        <color theme="1"/>
        <rFont val="Calibri"/>
        <family val="2"/>
        <scheme val="minor"/>
      </rPr>
      <t>tut</t>
    </r>
    <r>
      <rPr>
        <sz val="11"/>
        <color theme="1"/>
        <rFont val="Calibri"/>
        <family val="2"/>
        <scheme val="minor"/>
      </rPr>
      <t xml:space="preserve"> - Altaic languages
</t>
    </r>
    <r>
      <rPr>
        <b/>
        <sz val="11"/>
        <color theme="1"/>
        <rFont val="Calibri"/>
        <family val="2"/>
        <scheme val="minor"/>
      </rPr>
      <t>tuw</t>
    </r>
    <r>
      <rPr>
        <sz val="11"/>
        <color theme="1"/>
        <rFont val="Calibri"/>
        <family val="2"/>
        <scheme val="minor"/>
      </rPr>
      <t xml:space="preserve"> - Tungus languages
</t>
    </r>
    <r>
      <rPr>
        <b/>
        <sz val="11"/>
        <color theme="1"/>
        <rFont val="Calibri"/>
        <family val="2"/>
        <scheme val="minor"/>
      </rPr>
      <t>urj</t>
    </r>
    <r>
      <rPr>
        <sz val="11"/>
        <color theme="1"/>
        <rFont val="Calibri"/>
        <family val="2"/>
        <scheme val="minor"/>
      </rPr>
      <t xml:space="preserve"> - Uralic languages
</t>
    </r>
    <r>
      <rPr>
        <b/>
        <sz val="11"/>
        <color theme="1"/>
        <rFont val="Calibri"/>
        <family val="2"/>
        <scheme val="minor"/>
      </rPr>
      <t>wak</t>
    </r>
    <r>
      <rPr>
        <sz val="11"/>
        <color theme="1"/>
        <rFont val="Calibri"/>
        <family val="2"/>
        <scheme val="minor"/>
      </rPr>
      <t xml:space="preserve"> - Wakashan languages
</t>
    </r>
    <r>
      <rPr>
        <b/>
        <sz val="11"/>
        <color theme="1"/>
        <rFont val="Calibri"/>
        <family val="2"/>
        <scheme val="minor"/>
      </rPr>
      <t>wen</t>
    </r>
    <r>
      <rPr>
        <sz val="11"/>
        <color theme="1"/>
        <rFont val="Calibri"/>
        <family val="2"/>
        <scheme val="minor"/>
      </rPr>
      <t xml:space="preserve"> - Sorbian languages
</t>
    </r>
    <r>
      <rPr>
        <b/>
        <sz val="11"/>
        <color theme="1"/>
        <rFont val="Calibri"/>
        <family val="2"/>
        <scheme val="minor"/>
      </rPr>
      <t>xgn</t>
    </r>
    <r>
      <rPr>
        <sz val="11"/>
        <color theme="1"/>
        <rFont val="Calibri"/>
        <family val="2"/>
        <scheme val="minor"/>
      </rPr>
      <t xml:space="preserve"> - Mongolian languages
</t>
    </r>
    <r>
      <rPr>
        <b/>
        <sz val="11"/>
        <color theme="1"/>
        <rFont val="Calibri"/>
        <family val="2"/>
        <scheme val="minor"/>
      </rPr>
      <t>xnd</t>
    </r>
    <r>
      <rPr>
        <sz val="11"/>
        <color theme="1"/>
        <rFont val="Calibri"/>
        <family val="2"/>
        <scheme val="minor"/>
      </rPr>
      <t xml:space="preserve"> - Na-Dene languages
</t>
    </r>
    <r>
      <rPr>
        <b/>
        <sz val="11"/>
        <color theme="1"/>
        <rFont val="Calibri"/>
        <family val="2"/>
        <scheme val="minor"/>
      </rPr>
      <t>ypk</t>
    </r>
    <r>
      <rPr>
        <sz val="11"/>
        <color theme="1"/>
        <rFont val="Calibri"/>
        <family val="2"/>
        <scheme val="minor"/>
      </rPr>
      <t xml:space="preserve"> - Yupik languages
</t>
    </r>
    <r>
      <rPr>
        <b/>
        <sz val="11"/>
        <color theme="1"/>
        <rFont val="Calibri"/>
        <family val="2"/>
        <scheme val="minor"/>
      </rPr>
      <t>zhx</t>
    </r>
    <r>
      <rPr>
        <sz val="11"/>
        <color theme="1"/>
        <rFont val="Calibri"/>
        <family val="2"/>
        <scheme val="minor"/>
      </rPr>
      <t xml:space="preserve"> - Chinese (family)
</t>
    </r>
    <r>
      <rPr>
        <b/>
        <sz val="11"/>
        <color theme="1"/>
        <rFont val="Calibri"/>
        <family val="2"/>
        <scheme val="minor"/>
      </rPr>
      <t>zle</t>
    </r>
    <r>
      <rPr>
        <sz val="11"/>
        <color theme="1"/>
        <rFont val="Calibri"/>
        <family val="2"/>
        <scheme val="minor"/>
      </rPr>
      <t xml:space="preserve"> - East Slavic languages
</t>
    </r>
    <r>
      <rPr>
        <b/>
        <sz val="11"/>
        <color theme="1"/>
        <rFont val="Calibri"/>
        <family val="2"/>
        <scheme val="minor"/>
      </rPr>
      <t>zls</t>
    </r>
    <r>
      <rPr>
        <sz val="11"/>
        <color theme="1"/>
        <rFont val="Calibri"/>
        <family val="2"/>
        <scheme val="minor"/>
      </rPr>
      <t xml:space="preserve"> - South Slavic languages
</t>
    </r>
    <r>
      <rPr>
        <b/>
        <sz val="11"/>
        <color theme="1"/>
        <rFont val="Calibri"/>
        <family val="2"/>
        <scheme val="minor"/>
      </rPr>
      <t>zlw</t>
    </r>
    <r>
      <rPr>
        <sz val="11"/>
        <color theme="1"/>
        <rFont val="Calibri"/>
        <family val="2"/>
        <scheme val="minor"/>
      </rPr>
      <t xml:space="preserve"> - West Slavic languages
</t>
    </r>
    <r>
      <rPr>
        <b/>
        <sz val="11"/>
        <color theme="1"/>
        <rFont val="Calibri"/>
        <family val="2"/>
        <scheme val="minor"/>
      </rPr>
      <t>znd</t>
    </r>
    <r>
      <rPr>
        <sz val="11"/>
        <color theme="1"/>
        <rFont val="Calibri"/>
        <family val="2"/>
        <scheme val="minor"/>
      </rPr>
      <t xml:space="preserve"> - Zande languages
</t>
    </r>
  </si>
  <si>
    <t>Enrollment</t>
  </si>
  <si>
    <r>
      <t>REC09YOTHLOC</t>
    </r>
    <r>
      <rPr>
        <sz val="11"/>
        <color theme="1"/>
        <rFont val="Calibri"/>
        <family val="2"/>
        <scheme val="minor"/>
      </rPr>
      <t xml:space="preserve"> - Other location regular early childhood program (less than 10 hours)
</t>
    </r>
    <r>
      <rPr>
        <b/>
        <sz val="11"/>
        <color theme="1"/>
        <rFont val="Calibri"/>
        <family val="2"/>
        <scheme val="minor"/>
      </rPr>
      <t>REC10YOTHLOC</t>
    </r>
    <r>
      <rPr>
        <sz val="11"/>
        <color theme="1"/>
        <rFont val="Calibri"/>
        <family val="2"/>
        <scheme val="minor"/>
      </rPr>
      <t xml:space="preserve"> - Other location regular early childhood program (at least 10 hours)
</t>
    </r>
    <r>
      <rPr>
        <b/>
        <sz val="11"/>
        <color theme="1"/>
        <rFont val="Calibri"/>
        <family val="2"/>
        <scheme val="minor"/>
      </rPr>
      <t>REC09YSVCS</t>
    </r>
    <r>
      <rPr>
        <sz val="11"/>
        <color theme="1"/>
        <rFont val="Calibri"/>
        <family val="2"/>
        <scheme val="minor"/>
      </rPr>
      <t xml:space="preserve"> - Services regular early childhood program (less than 10 hours)
</t>
    </r>
    <r>
      <rPr>
        <b/>
        <sz val="11"/>
        <color theme="1"/>
        <rFont val="Calibri"/>
        <family val="2"/>
        <scheme val="minor"/>
      </rPr>
      <t>REC10YSVCS</t>
    </r>
    <r>
      <rPr>
        <sz val="11"/>
        <color theme="1"/>
        <rFont val="Calibri"/>
        <family val="2"/>
        <scheme val="minor"/>
      </rPr>
      <t xml:space="preserve"> - Services regular early childhood program (at least10 hours)
</t>
    </r>
    <r>
      <rPr>
        <b/>
        <sz val="11"/>
        <color theme="1"/>
        <rFont val="Calibri"/>
        <family val="2"/>
        <scheme val="minor"/>
      </rPr>
      <t>SC</t>
    </r>
    <r>
      <rPr>
        <sz val="11"/>
        <color theme="1"/>
        <rFont val="Calibri"/>
        <family val="2"/>
        <scheme val="minor"/>
      </rPr>
      <t xml:space="preserve"> - Separate special education class
</t>
    </r>
    <r>
      <rPr>
        <b/>
        <sz val="11"/>
        <color theme="1"/>
        <rFont val="Calibri"/>
        <family val="2"/>
        <scheme val="minor"/>
      </rPr>
      <t>SS</t>
    </r>
    <r>
      <rPr>
        <sz val="11"/>
        <color theme="1"/>
        <rFont val="Calibri"/>
        <family val="2"/>
        <scheme val="minor"/>
      </rPr>
      <t xml:space="preserve"> - Separate school
</t>
    </r>
    <r>
      <rPr>
        <b/>
        <sz val="11"/>
        <color theme="1"/>
        <rFont val="Calibri"/>
        <family val="2"/>
        <scheme val="minor"/>
      </rPr>
      <t>RF</t>
    </r>
    <r>
      <rPr>
        <sz val="11"/>
        <color theme="1"/>
        <rFont val="Calibri"/>
        <family val="2"/>
        <scheme val="minor"/>
      </rPr>
      <t xml:space="preserve"> - Residential Facility
</t>
    </r>
    <r>
      <rPr>
        <b/>
        <sz val="11"/>
        <color theme="1"/>
        <rFont val="Calibri"/>
        <family val="2"/>
        <scheme val="minor"/>
      </rPr>
      <t>H</t>
    </r>
    <r>
      <rPr>
        <sz val="11"/>
        <color theme="1"/>
        <rFont val="Calibri"/>
        <family val="2"/>
        <scheme val="minor"/>
      </rPr>
      <t xml:space="preserve"> - Home
</t>
    </r>
    <r>
      <rPr>
        <b/>
        <sz val="11"/>
        <color theme="1"/>
        <rFont val="Calibri"/>
        <family val="2"/>
        <scheme val="minor"/>
      </rPr>
      <t>SPL</t>
    </r>
    <r>
      <rPr>
        <sz val="11"/>
        <color theme="1"/>
        <rFont val="Calibri"/>
        <family val="2"/>
        <scheme val="minor"/>
      </rPr>
      <t xml:space="preserve"> - Service provider or other location not in any other category
</t>
    </r>
  </si>
  <si>
    <r>
      <t>06262</t>
    </r>
    <r>
      <rPr>
        <sz val="11"/>
        <color theme="1"/>
        <rFont val="Calibri"/>
        <family val="2"/>
        <scheme val="minor"/>
      </rPr>
      <t xml:space="preserve"> - Attempts to contact the parent and/or child were unsuccessful
</t>
    </r>
    <r>
      <rPr>
        <b/>
        <sz val="11"/>
        <color theme="1"/>
        <rFont val="Calibri"/>
        <family val="2"/>
        <scheme val="minor"/>
      </rPr>
      <t>02226</t>
    </r>
    <r>
      <rPr>
        <sz val="11"/>
        <color theme="1"/>
        <rFont val="Calibri"/>
        <family val="2"/>
        <scheme val="minor"/>
      </rPr>
      <t xml:space="preserve"> - Completion of IFSP prior to reaching maximum age for Part C
</t>
    </r>
    <r>
      <rPr>
        <b/>
        <sz val="11"/>
        <color theme="1"/>
        <rFont val="Calibri"/>
        <family val="2"/>
        <scheme val="minor"/>
      </rPr>
      <t>01923</t>
    </r>
    <r>
      <rPr>
        <sz val="11"/>
        <color theme="1"/>
        <rFont val="Calibri"/>
        <family val="2"/>
        <scheme val="minor"/>
      </rPr>
      <t xml:space="preserve"> - Died or is permanently incapacitated
</t>
    </r>
    <r>
      <rPr>
        <b/>
        <sz val="11"/>
        <color theme="1"/>
        <rFont val="Calibri"/>
        <family val="2"/>
        <scheme val="minor"/>
      </rPr>
      <t>01927</t>
    </r>
    <r>
      <rPr>
        <sz val="11"/>
        <color theme="1"/>
        <rFont val="Calibri"/>
        <family val="2"/>
        <scheme val="minor"/>
      </rPr>
      <t xml:space="preserve"> - Discontinued schooling
</t>
    </r>
    <r>
      <rPr>
        <b/>
        <sz val="11"/>
        <color theme="1"/>
        <rFont val="Calibri"/>
        <family val="2"/>
        <scheme val="minor"/>
      </rPr>
      <t>02222</t>
    </r>
    <r>
      <rPr>
        <sz val="11"/>
        <color theme="1"/>
        <rFont val="Calibri"/>
        <family val="2"/>
        <scheme val="minor"/>
      </rPr>
      <t xml:space="preserve"> - Discontinued schooling, not special education
</t>
    </r>
    <r>
      <rPr>
        <b/>
        <sz val="11"/>
        <color theme="1"/>
        <rFont val="Calibri"/>
        <family val="2"/>
        <scheme val="minor"/>
      </rPr>
      <t>02221</t>
    </r>
    <r>
      <rPr>
        <sz val="11"/>
        <color theme="1"/>
        <rFont val="Calibri"/>
        <family val="2"/>
        <scheme val="minor"/>
      </rPr>
      <t xml:space="preserve"> - Discontinued schooling, special education only
</t>
    </r>
    <r>
      <rPr>
        <b/>
        <sz val="11"/>
        <color theme="1"/>
        <rFont val="Calibri"/>
        <family val="2"/>
        <scheme val="minor"/>
      </rPr>
      <t>02227</t>
    </r>
    <r>
      <rPr>
        <sz val="11"/>
        <color theme="1"/>
        <rFont val="Calibri"/>
        <family val="2"/>
        <scheme val="minor"/>
      </rPr>
      <t xml:space="preserve"> - Eligible for IDEA, Part B
</t>
    </r>
    <r>
      <rPr>
        <b/>
        <sz val="11"/>
        <color theme="1"/>
        <rFont val="Calibri"/>
        <family val="2"/>
        <scheme val="minor"/>
      </rPr>
      <t>02224</t>
    </r>
    <r>
      <rPr>
        <sz val="11"/>
        <color theme="1"/>
        <rFont val="Calibri"/>
        <family val="2"/>
        <scheme val="minor"/>
      </rPr>
      <t xml:space="preserve"> - Expulsion
</t>
    </r>
    <r>
      <rPr>
        <b/>
        <sz val="11"/>
        <color theme="1"/>
        <rFont val="Calibri"/>
        <family val="2"/>
        <scheme val="minor"/>
      </rPr>
      <t>02212</t>
    </r>
    <r>
      <rPr>
        <sz val="11"/>
        <color theme="1"/>
        <rFont val="Calibri"/>
        <family val="2"/>
        <scheme val="minor"/>
      </rPr>
      <t xml:space="preserve"> - Graduated with a high school diploma
</t>
    </r>
    <r>
      <rPr>
        <b/>
        <sz val="11"/>
        <color theme="1"/>
        <rFont val="Calibri"/>
        <family val="2"/>
        <scheme val="minor"/>
      </rPr>
      <t>02231</t>
    </r>
    <r>
      <rPr>
        <sz val="11"/>
        <color theme="1"/>
        <rFont val="Calibri"/>
        <family val="2"/>
        <scheme val="minor"/>
      </rPr>
      <t xml:space="preserve"> - Moved out of state
</t>
    </r>
    <r>
      <rPr>
        <b/>
        <sz val="11"/>
        <color theme="1"/>
        <rFont val="Calibri"/>
        <family val="2"/>
        <scheme val="minor"/>
      </rPr>
      <t>02216</t>
    </r>
    <r>
      <rPr>
        <sz val="11"/>
        <color theme="1"/>
        <rFont val="Calibri"/>
        <family val="2"/>
        <scheme val="minor"/>
      </rPr>
      <t xml:space="preserve"> - No longer receiving special education
</t>
    </r>
    <r>
      <rPr>
        <b/>
        <sz val="11"/>
        <color theme="1"/>
        <rFont val="Calibri"/>
        <family val="2"/>
        <scheme val="minor"/>
      </rPr>
      <t>73075</t>
    </r>
    <r>
      <rPr>
        <sz val="11"/>
        <color theme="1"/>
        <rFont val="Calibri"/>
        <family val="2"/>
        <scheme val="minor"/>
      </rPr>
      <t xml:space="preserve"> - Moved within the US, not known to be continuing
</t>
    </r>
    <r>
      <rPr>
        <b/>
        <sz val="11"/>
        <color theme="1"/>
        <rFont val="Calibri"/>
        <family val="2"/>
        <scheme val="minor"/>
      </rPr>
      <t>06261</t>
    </r>
    <r>
      <rPr>
        <sz val="11"/>
        <color theme="1"/>
        <rFont val="Calibri"/>
        <family val="2"/>
        <scheme val="minor"/>
      </rPr>
      <t xml:space="preserve"> - Not eligible for Part B, exit with no referrals
</t>
    </r>
    <r>
      <rPr>
        <b/>
        <sz val="11"/>
        <color theme="1"/>
        <rFont val="Calibri"/>
        <family val="2"/>
        <scheme val="minor"/>
      </rPr>
      <t>02228</t>
    </r>
    <r>
      <rPr>
        <sz val="11"/>
        <color theme="1"/>
        <rFont val="Calibri"/>
        <family val="2"/>
        <scheme val="minor"/>
      </rPr>
      <t xml:space="preserve"> - Not eligible for Part B, exit with referrals to other programs
</t>
    </r>
    <r>
      <rPr>
        <b/>
        <sz val="11"/>
        <color theme="1"/>
        <rFont val="Calibri"/>
        <family val="2"/>
        <scheme val="minor"/>
      </rPr>
      <t>02230</t>
    </r>
    <r>
      <rPr>
        <sz val="11"/>
        <color theme="1"/>
        <rFont val="Calibri"/>
        <family val="2"/>
        <scheme val="minor"/>
      </rPr>
      <t xml:space="preserve"> - Part B eligibility not determined
</t>
    </r>
    <r>
      <rPr>
        <b/>
        <sz val="11"/>
        <color theme="1"/>
        <rFont val="Calibri"/>
        <family val="2"/>
        <scheme val="minor"/>
      </rPr>
      <t>02214</t>
    </r>
    <r>
      <rPr>
        <sz val="11"/>
        <color theme="1"/>
        <rFont val="Calibri"/>
        <family val="2"/>
        <scheme val="minor"/>
      </rPr>
      <t xml:space="preserve"> - Program completion
</t>
    </r>
    <r>
      <rPr>
        <b/>
        <sz val="11"/>
        <color theme="1"/>
        <rFont val="Calibri"/>
        <family val="2"/>
        <scheme val="minor"/>
      </rPr>
      <t>02225</t>
    </r>
    <r>
      <rPr>
        <sz val="11"/>
        <color theme="1"/>
        <rFont val="Calibri"/>
        <family val="2"/>
        <scheme val="minor"/>
      </rPr>
      <t xml:space="preserve"> - Program discontinued
</t>
    </r>
    <r>
      <rPr>
        <b/>
        <sz val="11"/>
        <color theme="1"/>
        <rFont val="Calibri"/>
        <family val="2"/>
        <scheme val="minor"/>
      </rPr>
      <t>02215</t>
    </r>
    <r>
      <rPr>
        <sz val="11"/>
        <color theme="1"/>
        <rFont val="Calibri"/>
        <family val="2"/>
        <scheme val="minor"/>
      </rPr>
      <t xml:space="preserve"> - Reached maximum age
</t>
    </r>
    <r>
      <rPr>
        <b/>
        <sz val="11"/>
        <color theme="1"/>
        <rFont val="Calibri"/>
        <family val="2"/>
        <scheme val="minor"/>
      </rPr>
      <t>02213</t>
    </r>
    <r>
      <rPr>
        <sz val="11"/>
        <color theme="1"/>
        <rFont val="Calibri"/>
        <family val="2"/>
        <scheme val="minor"/>
      </rPr>
      <t xml:space="preserve"> - Received certificate of completion, modified diploma, or finished IEP requirements
</t>
    </r>
    <r>
      <rPr>
        <b/>
        <sz val="11"/>
        <color theme="1"/>
        <rFont val="Calibri"/>
        <family val="2"/>
        <scheme val="minor"/>
      </rPr>
      <t>02217</t>
    </r>
    <r>
      <rPr>
        <sz val="11"/>
        <color theme="1"/>
        <rFont val="Calibri"/>
        <family val="2"/>
        <scheme val="minor"/>
      </rPr>
      <t xml:space="preserve"> - Refused services
</t>
    </r>
    <r>
      <rPr>
        <b/>
        <sz val="11"/>
        <color theme="1"/>
        <rFont val="Calibri"/>
        <family val="2"/>
        <scheme val="minor"/>
      </rPr>
      <t>73076</t>
    </r>
    <r>
      <rPr>
        <sz val="11"/>
        <color theme="1"/>
        <rFont val="Calibri"/>
        <family val="2"/>
        <scheme val="minor"/>
      </rPr>
      <t xml:space="preserve"> - Student data claimed in error/never attended
</t>
    </r>
    <r>
      <rPr>
        <b/>
        <sz val="11"/>
        <color theme="1"/>
        <rFont val="Calibri"/>
        <family val="2"/>
        <scheme val="minor"/>
      </rPr>
      <t>73078</t>
    </r>
    <r>
      <rPr>
        <sz val="11"/>
        <color theme="1"/>
        <rFont val="Calibri"/>
        <family val="2"/>
        <scheme val="minor"/>
      </rPr>
      <t xml:space="preserve"> - Student moved to another country, may or may not be continuing
</t>
    </r>
    <r>
      <rPr>
        <b/>
        <sz val="11"/>
        <color theme="1"/>
        <rFont val="Calibri"/>
        <family val="2"/>
        <scheme val="minor"/>
      </rPr>
      <t>73079</t>
    </r>
    <r>
      <rPr>
        <sz val="11"/>
        <color theme="1"/>
        <rFont val="Calibri"/>
        <family val="2"/>
        <scheme val="minor"/>
      </rPr>
      <t xml:space="preserve"> - Student with disabilities remaining in school to receive transitional services
</t>
    </r>
    <r>
      <rPr>
        <b/>
        <sz val="11"/>
        <color theme="1"/>
        <rFont val="Calibri"/>
        <family val="2"/>
        <scheme val="minor"/>
      </rPr>
      <t>02220</t>
    </r>
    <r>
      <rPr>
        <sz val="11"/>
        <color theme="1"/>
        <rFont val="Calibri"/>
        <family val="2"/>
        <scheme val="minor"/>
      </rPr>
      <t xml:space="preserve"> - Suspended from school
</t>
    </r>
    <r>
      <rPr>
        <b/>
        <sz val="11"/>
        <color theme="1"/>
        <rFont val="Calibri"/>
        <family val="2"/>
        <scheme val="minor"/>
      </rPr>
      <t>02406</t>
    </r>
    <r>
      <rPr>
        <sz val="11"/>
        <color theme="1"/>
        <rFont val="Calibri"/>
        <family val="2"/>
        <scheme val="minor"/>
      </rPr>
      <t xml:space="preserve"> - Transferred to another district or school, known not to be continuing in program/service
</t>
    </r>
    <r>
      <rPr>
        <b/>
        <sz val="11"/>
        <color theme="1"/>
        <rFont val="Calibri"/>
        <family val="2"/>
        <scheme val="minor"/>
      </rPr>
      <t>02218</t>
    </r>
    <r>
      <rPr>
        <sz val="11"/>
        <color theme="1"/>
        <rFont val="Calibri"/>
        <family val="2"/>
        <scheme val="minor"/>
      </rPr>
      <t xml:space="preserve"> - Transferred to another district or school, known to be continuing in program/service
</t>
    </r>
    <r>
      <rPr>
        <b/>
        <sz val="11"/>
        <color theme="1"/>
        <rFont val="Calibri"/>
        <family val="2"/>
        <scheme val="minor"/>
      </rPr>
      <t>02219</t>
    </r>
    <r>
      <rPr>
        <sz val="11"/>
        <color theme="1"/>
        <rFont val="Calibri"/>
        <family val="2"/>
        <scheme val="minor"/>
      </rPr>
      <t xml:space="preserve"> - Transferred to another district or school, not known to be continuing in program/service
</t>
    </r>
    <r>
      <rPr>
        <b/>
        <sz val="11"/>
        <color theme="1"/>
        <rFont val="Calibri"/>
        <family val="2"/>
        <scheme val="minor"/>
      </rPr>
      <t>73077</t>
    </r>
    <r>
      <rPr>
        <sz val="11"/>
        <color theme="1"/>
        <rFont val="Calibri"/>
        <family val="2"/>
        <scheme val="minor"/>
      </rPr>
      <t xml:space="preserve"> - Transferred to a juvenile or adult correctional facility where educational services are not provided
</t>
    </r>
    <r>
      <rPr>
        <b/>
        <sz val="11"/>
        <color theme="1"/>
        <rFont val="Calibri"/>
        <family val="2"/>
        <scheme val="minor"/>
      </rPr>
      <t>02233</t>
    </r>
    <r>
      <rPr>
        <sz val="11"/>
        <color theme="1"/>
        <rFont val="Calibri"/>
        <family val="2"/>
        <scheme val="minor"/>
      </rPr>
      <t xml:space="preserve"> - Unknown reason
</t>
    </r>
    <r>
      <rPr>
        <b/>
        <sz val="11"/>
        <color theme="1"/>
        <rFont val="Calibri"/>
        <family val="2"/>
        <scheme val="minor"/>
      </rPr>
      <t>02232</t>
    </r>
    <r>
      <rPr>
        <sz val="11"/>
        <color theme="1"/>
        <rFont val="Calibri"/>
        <family val="2"/>
        <scheme val="minor"/>
      </rPr>
      <t xml:space="preserve"> - Withdrawal by a parent (or guardian)
</t>
    </r>
    <r>
      <rPr>
        <b/>
        <sz val="11"/>
        <color theme="1"/>
        <rFont val="Calibri"/>
        <family val="2"/>
        <scheme val="minor"/>
      </rPr>
      <t>09999</t>
    </r>
    <r>
      <rPr>
        <sz val="11"/>
        <color theme="1"/>
        <rFont val="Calibri"/>
        <family val="2"/>
        <scheme val="minor"/>
      </rPr>
      <t xml:space="preserve"> - Other
</t>
    </r>
  </si>
  <si>
    <r>
      <t>FreeBreakfast</t>
    </r>
    <r>
      <rPr>
        <sz val="11"/>
        <color theme="1"/>
        <rFont val="Calibri"/>
        <family val="2"/>
        <scheme val="minor"/>
      </rPr>
      <t xml:space="preserve"> - Free breakfast
</t>
    </r>
    <r>
      <rPr>
        <b/>
        <sz val="11"/>
        <color theme="1"/>
        <rFont val="Calibri"/>
        <family val="2"/>
        <scheme val="minor"/>
      </rPr>
      <t>FreeLunch</t>
    </r>
    <r>
      <rPr>
        <sz val="11"/>
        <color theme="1"/>
        <rFont val="Calibri"/>
        <family val="2"/>
        <scheme val="minor"/>
      </rPr>
      <t xml:space="preserve"> - Free lunch
</t>
    </r>
    <r>
      <rPr>
        <b/>
        <sz val="11"/>
        <color theme="1"/>
        <rFont val="Calibri"/>
        <family val="2"/>
        <scheme val="minor"/>
      </rPr>
      <t>FreeMilk</t>
    </r>
    <r>
      <rPr>
        <sz val="11"/>
        <color theme="1"/>
        <rFont val="Calibri"/>
        <family val="2"/>
        <scheme val="minor"/>
      </rPr>
      <t xml:space="preserve"> - Free milk
</t>
    </r>
    <r>
      <rPr>
        <b/>
        <sz val="11"/>
        <color theme="1"/>
        <rFont val="Calibri"/>
        <family val="2"/>
        <scheme val="minor"/>
      </rPr>
      <t>FreeSnack</t>
    </r>
    <r>
      <rPr>
        <sz val="11"/>
        <color theme="1"/>
        <rFont val="Calibri"/>
        <family val="2"/>
        <scheme val="minor"/>
      </rPr>
      <t xml:space="preserve"> - Free snack
</t>
    </r>
    <r>
      <rPr>
        <b/>
        <sz val="11"/>
        <color theme="1"/>
        <rFont val="Calibri"/>
        <family val="2"/>
        <scheme val="minor"/>
      </rPr>
      <t>FreeSupper</t>
    </r>
    <r>
      <rPr>
        <sz val="11"/>
        <color theme="1"/>
        <rFont val="Calibri"/>
        <family val="2"/>
        <scheme val="minor"/>
      </rPr>
      <t xml:space="preserve"> - Free supper
</t>
    </r>
    <r>
      <rPr>
        <b/>
        <sz val="11"/>
        <color theme="1"/>
        <rFont val="Calibri"/>
        <family val="2"/>
        <scheme val="minor"/>
      </rPr>
      <t>FullPriceBreakfast</t>
    </r>
    <r>
      <rPr>
        <sz val="11"/>
        <color theme="1"/>
        <rFont val="Calibri"/>
        <family val="2"/>
        <scheme val="minor"/>
      </rPr>
      <t xml:space="preserve"> - Full price breakfast
</t>
    </r>
    <r>
      <rPr>
        <b/>
        <sz val="11"/>
        <color theme="1"/>
        <rFont val="Calibri"/>
        <family val="2"/>
        <scheme val="minor"/>
      </rPr>
      <t>FullPriceLunch</t>
    </r>
    <r>
      <rPr>
        <sz val="11"/>
        <color theme="1"/>
        <rFont val="Calibri"/>
        <family val="2"/>
        <scheme val="minor"/>
      </rPr>
      <t xml:space="preserve"> - Full price lunch
</t>
    </r>
    <r>
      <rPr>
        <b/>
        <sz val="11"/>
        <color theme="1"/>
        <rFont val="Calibri"/>
        <family val="2"/>
        <scheme val="minor"/>
      </rPr>
      <t>FullPriceMilk</t>
    </r>
    <r>
      <rPr>
        <sz val="11"/>
        <color theme="1"/>
        <rFont val="Calibri"/>
        <family val="2"/>
        <scheme val="minor"/>
      </rPr>
      <t xml:space="preserve"> - Full price milk
</t>
    </r>
    <r>
      <rPr>
        <b/>
        <sz val="11"/>
        <color theme="1"/>
        <rFont val="Calibri"/>
        <family val="2"/>
        <scheme val="minor"/>
      </rPr>
      <t>FullPriceSnack</t>
    </r>
    <r>
      <rPr>
        <sz val="11"/>
        <color theme="1"/>
        <rFont val="Calibri"/>
        <family val="2"/>
        <scheme val="minor"/>
      </rPr>
      <t xml:space="preserve"> - Full price snack
</t>
    </r>
    <r>
      <rPr>
        <b/>
        <sz val="11"/>
        <color theme="1"/>
        <rFont val="Calibri"/>
        <family val="2"/>
        <scheme val="minor"/>
      </rPr>
      <t>FullPriceSupper</t>
    </r>
    <r>
      <rPr>
        <sz val="11"/>
        <color theme="1"/>
        <rFont val="Calibri"/>
        <family val="2"/>
        <scheme val="minor"/>
      </rPr>
      <t xml:space="preserve"> - Full price supper
</t>
    </r>
    <r>
      <rPr>
        <b/>
        <sz val="11"/>
        <color theme="1"/>
        <rFont val="Calibri"/>
        <family val="2"/>
        <scheme val="minor"/>
      </rPr>
      <t>ReducedPriceBreakfast</t>
    </r>
    <r>
      <rPr>
        <sz val="11"/>
        <color theme="1"/>
        <rFont val="Calibri"/>
        <family val="2"/>
        <scheme val="minor"/>
      </rPr>
      <t xml:space="preserve"> - Reduced price breakfast
</t>
    </r>
    <r>
      <rPr>
        <b/>
        <sz val="11"/>
        <color theme="1"/>
        <rFont val="Calibri"/>
        <family val="2"/>
        <scheme val="minor"/>
      </rPr>
      <t>ReducedPriceLunch</t>
    </r>
    <r>
      <rPr>
        <sz val="11"/>
        <color theme="1"/>
        <rFont val="Calibri"/>
        <family val="2"/>
        <scheme val="minor"/>
      </rPr>
      <t xml:space="preserve"> - Reduced price lunch
</t>
    </r>
    <r>
      <rPr>
        <b/>
        <sz val="11"/>
        <color theme="1"/>
        <rFont val="Calibri"/>
        <family val="2"/>
        <scheme val="minor"/>
      </rPr>
      <t>ReducedPriceSnack</t>
    </r>
    <r>
      <rPr>
        <sz val="11"/>
        <color theme="1"/>
        <rFont val="Calibri"/>
        <family val="2"/>
        <scheme val="minor"/>
      </rPr>
      <t xml:space="preserve"> - Reduced price snack
</t>
    </r>
    <r>
      <rPr>
        <b/>
        <sz val="11"/>
        <color theme="1"/>
        <rFont val="Calibri"/>
        <family val="2"/>
        <scheme val="minor"/>
      </rPr>
      <t>ReducedPriceSupper</t>
    </r>
    <r>
      <rPr>
        <sz val="11"/>
        <color theme="1"/>
        <rFont val="Calibri"/>
        <family val="2"/>
        <scheme val="minor"/>
      </rPr>
      <t xml:space="preserve"> - Reduced price supper
</t>
    </r>
    <r>
      <rPr>
        <b/>
        <sz val="11"/>
        <color theme="1"/>
        <rFont val="Calibri"/>
        <family val="2"/>
        <scheme val="minor"/>
      </rPr>
      <t>Other</t>
    </r>
    <r>
      <rPr>
        <sz val="11"/>
        <color theme="1"/>
        <rFont val="Calibri"/>
        <family val="2"/>
        <scheme val="minor"/>
      </rPr>
      <t xml:space="preserve"> - Other
</t>
    </r>
  </si>
  <si>
    <r>
      <t>Accountability</t>
    </r>
    <r>
      <rPr>
        <sz val="11"/>
        <color theme="1"/>
        <rFont val="Calibri"/>
        <family val="2"/>
        <scheme val="minor"/>
      </rPr>
      <t xml:space="preserve"> - Accountability
</t>
    </r>
    <r>
      <rPr>
        <b/>
        <sz val="11"/>
        <color theme="1"/>
        <rFont val="Calibri"/>
        <family val="2"/>
        <scheme val="minor"/>
      </rPr>
      <t>Attendance</t>
    </r>
    <r>
      <rPr>
        <sz val="11"/>
        <color theme="1"/>
        <rFont val="Calibri"/>
        <family val="2"/>
        <scheme val="minor"/>
      </rPr>
      <t xml:space="preserve"> - Attendance
</t>
    </r>
    <r>
      <rPr>
        <b/>
        <sz val="11"/>
        <color theme="1"/>
        <rFont val="Calibri"/>
        <family val="2"/>
        <scheme val="minor"/>
      </rPr>
      <t>Funding</t>
    </r>
    <r>
      <rPr>
        <sz val="11"/>
        <color theme="1"/>
        <rFont val="Calibri"/>
        <family val="2"/>
        <scheme val="minor"/>
      </rPr>
      <t xml:space="preserve"> - Funding
</t>
    </r>
    <r>
      <rPr>
        <b/>
        <sz val="11"/>
        <color theme="1"/>
        <rFont val="Calibri"/>
        <family val="2"/>
        <scheme val="minor"/>
      </rPr>
      <t>Graduation</t>
    </r>
    <r>
      <rPr>
        <sz val="11"/>
        <color theme="1"/>
        <rFont val="Calibri"/>
        <family val="2"/>
        <scheme val="minor"/>
      </rPr>
      <t xml:space="preserve"> - Graduation
</t>
    </r>
    <r>
      <rPr>
        <b/>
        <sz val="11"/>
        <color theme="1"/>
        <rFont val="Calibri"/>
        <family val="2"/>
        <scheme val="minor"/>
      </rPr>
      <t>IndividualizedEducationProgram</t>
    </r>
    <r>
      <rPr>
        <sz val="11"/>
        <color theme="1"/>
        <rFont val="Calibri"/>
        <family val="2"/>
        <scheme val="minor"/>
      </rPr>
      <t xml:space="preserve"> - Individualized education program (IEP)
</t>
    </r>
    <r>
      <rPr>
        <b/>
        <sz val="11"/>
        <color theme="1"/>
        <rFont val="Calibri"/>
        <family val="2"/>
        <scheme val="minor"/>
      </rPr>
      <t>Transportation</t>
    </r>
    <r>
      <rPr>
        <sz val="11"/>
        <color theme="1"/>
        <rFont val="Calibri"/>
        <family val="2"/>
        <scheme val="minor"/>
      </rPr>
      <t xml:space="preserve"> - Transportation
</t>
    </r>
  </si>
  <si>
    <t>Disability</t>
  </si>
  <si>
    <r>
      <t>AUT</t>
    </r>
    <r>
      <rPr>
        <sz val="11"/>
        <color theme="1"/>
        <rFont val="Calibri"/>
        <family val="2"/>
        <scheme val="minor"/>
      </rPr>
      <t xml:space="preserve"> - Autism
</t>
    </r>
    <r>
      <rPr>
        <b/>
        <sz val="11"/>
        <color theme="1"/>
        <rFont val="Calibri"/>
        <family val="2"/>
        <scheme val="minor"/>
      </rPr>
      <t>DB</t>
    </r>
    <r>
      <rPr>
        <sz val="11"/>
        <color theme="1"/>
        <rFont val="Calibri"/>
        <family val="2"/>
        <scheme val="minor"/>
      </rPr>
      <t xml:space="preserve"> - Deaf-blindness
</t>
    </r>
    <r>
      <rPr>
        <b/>
        <sz val="11"/>
        <color theme="1"/>
        <rFont val="Calibri"/>
        <family val="2"/>
        <scheme val="minor"/>
      </rPr>
      <t>DD</t>
    </r>
    <r>
      <rPr>
        <sz val="11"/>
        <color theme="1"/>
        <rFont val="Calibri"/>
        <family val="2"/>
        <scheme val="minor"/>
      </rPr>
      <t xml:space="preserve"> - Developmental delay
</t>
    </r>
    <r>
      <rPr>
        <b/>
        <sz val="11"/>
        <color theme="1"/>
        <rFont val="Calibri"/>
        <family val="2"/>
        <scheme val="minor"/>
      </rPr>
      <t>EMN</t>
    </r>
    <r>
      <rPr>
        <sz val="11"/>
        <color theme="1"/>
        <rFont val="Calibri"/>
        <family val="2"/>
        <scheme val="minor"/>
      </rPr>
      <t xml:space="preserve"> - Emotional disturbance
</t>
    </r>
    <r>
      <rPr>
        <b/>
        <sz val="11"/>
        <color theme="1"/>
        <rFont val="Calibri"/>
        <family val="2"/>
        <scheme val="minor"/>
      </rPr>
      <t>HI</t>
    </r>
    <r>
      <rPr>
        <sz val="11"/>
        <color theme="1"/>
        <rFont val="Calibri"/>
        <family val="2"/>
        <scheme val="minor"/>
      </rPr>
      <t xml:space="preserve"> - Hearing impairment
</t>
    </r>
    <r>
      <rPr>
        <b/>
        <sz val="11"/>
        <color theme="1"/>
        <rFont val="Calibri"/>
        <family val="2"/>
        <scheme val="minor"/>
      </rPr>
      <t>ID</t>
    </r>
    <r>
      <rPr>
        <sz val="11"/>
        <color theme="1"/>
        <rFont val="Calibri"/>
        <family val="2"/>
        <scheme val="minor"/>
      </rPr>
      <t xml:space="preserve"> - Intellectual Disability
</t>
    </r>
    <r>
      <rPr>
        <b/>
        <sz val="11"/>
        <color theme="1"/>
        <rFont val="Calibri"/>
        <family val="2"/>
        <scheme val="minor"/>
      </rPr>
      <t>MD</t>
    </r>
    <r>
      <rPr>
        <sz val="11"/>
        <color theme="1"/>
        <rFont val="Calibri"/>
        <family val="2"/>
        <scheme val="minor"/>
      </rPr>
      <t xml:space="preserve"> - Multiple disabilities
</t>
    </r>
    <r>
      <rPr>
        <b/>
        <sz val="11"/>
        <color theme="1"/>
        <rFont val="Calibri"/>
        <family val="2"/>
        <scheme val="minor"/>
      </rPr>
      <t>OI</t>
    </r>
    <r>
      <rPr>
        <sz val="11"/>
        <color theme="1"/>
        <rFont val="Calibri"/>
        <family val="2"/>
        <scheme val="minor"/>
      </rPr>
      <t xml:space="preserve"> - Orthopedic impairment
</t>
    </r>
    <r>
      <rPr>
        <b/>
        <sz val="11"/>
        <color theme="1"/>
        <rFont val="Calibri"/>
        <family val="2"/>
        <scheme val="minor"/>
      </rPr>
      <t>OHI</t>
    </r>
    <r>
      <rPr>
        <sz val="11"/>
        <color theme="1"/>
        <rFont val="Calibri"/>
        <family val="2"/>
        <scheme val="minor"/>
      </rPr>
      <t xml:space="preserve"> - Other health impairment
</t>
    </r>
    <r>
      <rPr>
        <b/>
        <sz val="11"/>
        <color theme="1"/>
        <rFont val="Calibri"/>
        <family val="2"/>
        <scheme val="minor"/>
      </rPr>
      <t>SLD</t>
    </r>
    <r>
      <rPr>
        <sz val="11"/>
        <color theme="1"/>
        <rFont val="Calibri"/>
        <family val="2"/>
        <scheme val="minor"/>
      </rPr>
      <t xml:space="preserve"> - Specific learning disability
</t>
    </r>
    <r>
      <rPr>
        <b/>
        <sz val="11"/>
        <color theme="1"/>
        <rFont val="Calibri"/>
        <family val="2"/>
        <scheme val="minor"/>
      </rPr>
      <t>SLI</t>
    </r>
    <r>
      <rPr>
        <sz val="11"/>
        <color theme="1"/>
        <rFont val="Calibri"/>
        <family val="2"/>
        <scheme val="minor"/>
      </rPr>
      <t xml:space="preserve"> - Speech or language impairment
</t>
    </r>
    <r>
      <rPr>
        <b/>
        <sz val="11"/>
        <color theme="1"/>
        <rFont val="Calibri"/>
        <family val="2"/>
        <scheme val="minor"/>
      </rPr>
      <t>TBI</t>
    </r>
    <r>
      <rPr>
        <sz val="11"/>
        <color theme="1"/>
        <rFont val="Calibri"/>
        <family val="2"/>
        <scheme val="minor"/>
      </rPr>
      <t xml:space="preserve"> - Traumatic brain injury
</t>
    </r>
    <r>
      <rPr>
        <b/>
        <sz val="11"/>
        <color theme="1"/>
        <rFont val="Calibri"/>
        <family val="2"/>
        <scheme val="minor"/>
      </rPr>
      <t>VI</t>
    </r>
    <r>
      <rPr>
        <sz val="11"/>
        <color theme="1"/>
        <rFont val="Calibri"/>
        <family val="2"/>
        <scheme val="minor"/>
      </rPr>
      <t xml:space="preserve"> - Visual impairment
</t>
    </r>
  </si>
  <si>
    <r>
      <t>00</t>
    </r>
    <r>
      <rPr>
        <sz val="11"/>
        <color theme="1"/>
        <rFont val="Calibri"/>
        <family val="2"/>
        <scheme val="minor"/>
      </rPr>
      <t xml:space="preserve"> - No disability or impairment known or reported
</t>
    </r>
    <r>
      <rPr>
        <b/>
        <sz val="11"/>
        <color theme="1"/>
        <rFont val="Calibri"/>
        <family val="2"/>
        <scheme val="minor"/>
      </rPr>
      <t>01</t>
    </r>
    <r>
      <rPr>
        <sz val="11"/>
        <color theme="1"/>
        <rFont val="Calibri"/>
        <family val="2"/>
        <scheme val="minor"/>
      </rPr>
      <t xml:space="preserve"> - Blindness or Visual Impairment
</t>
    </r>
    <r>
      <rPr>
        <b/>
        <sz val="11"/>
        <color theme="1"/>
        <rFont val="Calibri"/>
        <family val="2"/>
        <scheme val="minor"/>
      </rPr>
      <t>02</t>
    </r>
    <r>
      <rPr>
        <sz val="11"/>
        <color theme="1"/>
        <rFont val="Calibri"/>
        <family val="2"/>
        <scheme val="minor"/>
      </rPr>
      <t xml:space="preserve"> - Cerebral Palsy
</t>
    </r>
    <r>
      <rPr>
        <b/>
        <sz val="11"/>
        <color theme="1"/>
        <rFont val="Calibri"/>
        <family val="2"/>
        <scheme val="minor"/>
      </rPr>
      <t>03</t>
    </r>
    <r>
      <rPr>
        <sz val="11"/>
        <color theme="1"/>
        <rFont val="Calibri"/>
        <family val="2"/>
        <scheme val="minor"/>
      </rPr>
      <t xml:space="preserve"> - Chronic Illness
</t>
    </r>
    <r>
      <rPr>
        <b/>
        <sz val="11"/>
        <color theme="1"/>
        <rFont val="Calibri"/>
        <family val="2"/>
        <scheme val="minor"/>
      </rPr>
      <t>04</t>
    </r>
    <r>
      <rPr>
        <sz val="11"/>
        <color theme="1"/>
        <rFont val="Calibri"/>
        <family val="2"/>
        <scheme val="minor"/>
      </rPr>
      <t xml:space="preserve"> - Deafness or Hearing Impairment
</t>
    </r>
    <r>
      <rPr>
        <b/>
        <sz val="11"/>
        <color theme="1"/>
        <rFont val="Calibri"/>
        <family val="2"/>
        <scheme val="minor"/>
      </rPr>
      <t>05</t>
    </r>
    <r>
      <rPr>
        <sz val="11"/>
        <color theme="1"/>
        <rFont val="Calibri"/>
        <family val="2"/>
        <scheme val="minor"/>
      </rPr>
      <t xml:space="preserve"> - Drug or Alcohol Addiction
</t>
    </r>
    <r>
      <rPr>
        <b/>
        <sz val="11"/>
        <color theme="1"/>
        <rFont val="Calibri"/>
        <family val="2"/>
        <scheme val="minor"/>
      </rPr>
      <t>06</t>
    </r>
    <r>
      <rPr>
        <sz val="11"/>
        <color theme="1"/>
        <rFont val="Calibri"/>
        <family val="2"/>
        <scheme val="minor"/>
      </rPr>
      <t xml:space="preserve"> - Emotionally/Psychologically Disabled: e.g., schizophrenia or depression
</t>
    </r>
    <r>
      <rPr>
        <b/>
        <sz val="11"/>
        <color theme="1"/>
        <rFont val="Calibri"/>
        <family val="2"/>
        <scheme val="minor"/>
      </rPr>
      <t>07</t>
    </r>
    <r>
      <rPr>
        <sz val="11"/>
        <color theme="1"/>
        <rFont val="Calibri"/>
        <family val="2"/>
        <scheme val="minor"/>
      </rPr>
      <t xml:space="preserve"> - Epilepsy or Seizure Disorders
</t>
    </r>
    <r>
      <rPr>
        <b/>
        <sz val="11"/>
        <color theme="1"/>
        <rFont val="Calibri"/>
        <family val="2"/>
        <scheme val="minor"/>
      </rPr>
      <t>08</t>
    </r>
    <r>
      <rPr>
        <sz val="11"/>
        <color theme="1"/>
        <rFont val="Calibri"/>
        <family val="2"/>
        <scheme val="minor"/>
      </rPr>
      <t xml:space="preserve"> - Intellectual Disability
</t>
    </r>
    <r>
      <rPr>
        <b/>
        <sz val="11"/>
        <color theme="1"/>
        <rFont val="Calibri"/>
        <family val="2"/>
        <scheme val="minor"/>
      </rPr>
      <t>09</t>
    </r>
    <r>
      <rPr>
        <sz val="11"/>
        <color theme="1"/>
        <rFont val="Calibri"/>
        <family val="2"/>
        <scheme val="minor"/>
      </rPr>
      <t xml:space="preserve"> - Orthopedic Impairment
</t>
    </r>
    <r>
      <rPr>
        <b/>
        <sz val="11"/>
        <color theme="1"/>
        <rFont val="Calibri"/>
        <family val="2"/>
        <scheme val="minor"/>
      </rPr>
      <t>10</t>
    </r>
    <r>
      <rPr>
        <sz val="11"/>
        <color theme="1"/>
        <rFont val="Calibri"/>
        <family val="2"/>
        <scheme val="minor"/>
      </rPr>
      <t xml:space="preserve"> - Specific learning disability
</t>
    </r>
    <r>
      <rPr>
        <b/>
        <sz val="11"/>
        <color theme="1"/>
        <rFont val="Calibri"/>
        <family val="2"/>
        <scheme val="minor"/>
      </rPr>
      <t>11</t>
    </r>
    <r>
      <rPr>
        <sz val="11"/>
        <color theme="1"/>
        <rFont val="Calibri"/>
        <family val="2"/>
        <scheme val="minor"/>
      </rPr>
      <t xml:space="preserve"> - Speech or Language impairment
</t>
    </r>
    <r>
      <rPr>
        <b/>
        <sz val="11"/>
        <color theme="1"/>
        <rFont val="Calibri"/>
        <family val="2"/>
        <scheme val="minor"/>
      </rPr>
      <t>99</t>
    </r>
    <r>
      <rPr>
        <sz val="11"/>
        <color theme="1"/>
        <rFont val="Calibri"/>
        <family val="2"/>
        <scheme val="minor"/>
      </rPr>
      <t xml:space="preserve"> - Other type of impairment
</t>
    </r>
  </si>
  <si>
    <r>
      <t>01</t>
    </r>
    <r>
      <rPr>
        <sz val="11"/>
        <color theme="1"/>
        <rFont val="Calibri"/>
        <family val="2"/>
        <scheme val="minor"/>
      </rPr>
      <t xml:space="preserve"> - By physician
</t>
    </r>
    <r>
      <rPr>
        <b/>
        <sz val="11"/>
        <color theme="1"/>
        <rFont val="Calibri"/>
        <family val="2"/>
        <scheme val="minor"/>
      </rPr>
      <t>02</t>
    </r>
    <r>
      <rPr>
        <sz val="11"/>
        <color theme="1"/>
        <rFont val="Calibri"/>
        <family val="2"/>
        <scheme val="minor"/>
      </rPr>
      <t xml:space="preserve"> - By health care provider
</t>
    </r>
    <r>
      <rPr>
        <b/>
        <sz val="11"/>
        <color theme="1"/>
        <rFont val="Calibri"/>
        <family val="2"/>
        <scheme val="minor"/>
      </rPr>
      <t>03</t>
    </r>
    <r>
      <rPr>
        <sz val="11"/>
        <color theme="1"/>
        <rFont val="Calibri"/>
        <family val="2"/>
        <scheme val="minor"/>
      </rPr>
      <t xml:space="preserve"> - By school psychologist or other psychologist
</t>
    </r>
    <r>
      <rPr>
        <b/>
        <sz val="11"/>
        <color theme="1"/>
        <rFont val="Calibri"/>
        <family val="2"/>
        <scheme val="minor"/>
      </rPr>
      <t>04</t>
    </r>
    <r>
      <rPr>
        <sz val="11"/>
        <color theme="1"/>
        <rFont val="Calibri"/>
        <family val="2"/>
        <scheme val="minor"/>
      </rPr>
      <t xml:space="preserve"> - By licensed physical therapist
</t>
    </r>
    <r>
      <rPr>
        <b/>
        <sz val="11"/>
        <color theme="1"/>
        <rFont val="Calibri"/>
        <family val="2"/>
        <scheme val="minor"/>
      </rPr>
      <t>05</t>
    </r>
    <r>
      <rPr>
        <sz val="11"/>
        <color theme="1"/>
        <rFont val="Calibri"/>
        <family val="2"/>
        <scheme val="minor"/>
      </rPr>
      <t xml:space="preserve"> - Self-reported
</t>
    </r>
    <r>
      <rPr>
        <b/>
        <sz val="11"/>
        <color theme="1"/>
        <rFont val="Calibri"/>
        <family val="2"/>
        <scheme val="minor"/>
      </rPr>
      <t>06</t>
    </r>
    <r>
      <rPr>
        <sz val="11"/>
        <color theme="1"/>
        <rFont val="Calibri"/>
        <family val="2"/>
        <scheme val="minor"/>
      </rPr>
      <t xml:space="preserve"> - By social service or other type of agency
</t>
    </r>
    <r>
      <rPr>
        <b/>
        <sz val="11"/>
        <color theme="1"/>
        <rFont val="Calibri"/>
        <family val="2"/>
        <scheme val="minor"/>
      </rPr>
      <t>97</t>
    </r>
    <r>
      <rPr>
        <sz val="11"/>
        <color theme="1"/>
        <rFont val="Calibri"/>
        <family val="2"/>
        <scheme val="minor"/>
      </rPr>
      <t xml:space="preserve"> - Not applicable to the student
</t>
    </r>
    <r>
      <rPr>
        <b/>
        <sz val="11"/>
        <color theme="1"/>
        <rFont val="Calibri"/>
        <family val="2"/>
        <scheme val="minor"/>
      </rPr>
      <t>98</t>
    </r>
    <r>
      <rPr>
        <sz val="11"/>
        <color theme="1"/>
        <rFont val="Calibri"/>
        <family val="2"/>
        <scheme val="minor"/>
      </rPr>
      <t xml:space="preserve"> - Unknown or Unreported
</t>
    </r>
    <r>
      <rPr>
        <b/>
        <sz val="11"/>
        <color theme="1"/>
        <rFont val="Calibri"/>
        <family val="2"/>
        <scheme val="minor"/>
      </rPr>
      <t>99</t>
    </r>
    <r>
      <rPr>
        <sz val="11"/>
        <color theme="1"/>
        <rFont val="Calibri"/>
        <family val="2"/>
        <scheme val="minor"/>
      </rPr>
      <t xml:space="preserve"> - Other
</t>
    </r>
  </si>
  <si>
    <t>Services</t>
  </si>
  <si>
    <r>
      <t>01</t>
    </r>
    <r>
      <rPr>
        <sz val="11"/>
        <color theme="1"/>
        <rFont val="Calibri"/>
        <family val="2"/>
        <scheme val="minor"/>
      </rPr>
      <t xml:space="preserve"> - Assistive technology services
</t>
    </r>
    <r>
      <rPr>
        <b/>
        <sz val="11"/>
        <color theme="1"/>
        <rFont val="Calibri"/>
        <family val="2"/>
        <scheme val="minor"/>
      </rPr>
      <t>02</t>
    </r>
    <r>
      <rPr>
        <sz val="11"/>
        <color theme="1"/>
        <rFont val="Calibri"/>
        <family val="2"/>
        <scheme val="minor"/>
      </rPr>
      <t xml:space="preserve"> - Audiology services
</t>
    </r>
    <r>
      <rPr>
        <b/>
        <sz val="11"/>
        <color theme="1"/>
        <rFont val="Calibri"/>
        <family val="2"/>
        <scheme val="minor"/>
      </rPr>
      <t>03</t>
    </r>
    <r>
      <rPr>
        <sz val="11"/>
        <color theme="1"/>
        <rFont val="Calibri"/>
        <family val="2"/>
        <scheme val="minor"/>
      </rPr>
      <t xml:space="preserve"> - Family training/counseling services
</t>
    </r>
    <r>
      <rPr>
        <b/>
        <sz val="11"/>
        <color theme="1"/>
        <rFont val="Calibri"/>
        <family val="2"/>
        <scheme val="minor"/>
      </rPr>
      <t>04</t>
    </r>
    <r>
      <rPr>
        <sz val="11"/>
        <color theme="1"/>
        <rFont val="Calibri"/>
        <family val="2"/>
        <scheme val="minor"/>
      </rPr>
      <t xml:space="preserve"> - Health services
</t>
    </r>
    <r>
      <rPr>
        <b/>
        <sz val="11"/>
        <color theme="1"/>
        <rFont val="Calibri"/>
        <family val="2"/>
        <scheme val="minor"/>
      </rPr>
      <t>05</t>
    </r>
    <r>
      <rPr>
        <sz val="11"/>
        <color theme="1"/>
        <rFont val="Calibri"/>
        <family val="2"/>
        <scheme val="minor"/>
      </rPr>
      <t xml:space="preserve"> - Medical services
</t>
    </r>
    <r>
      <rPr>
        <b/>
        <sz val="11"/>
        <color theme="1"/>
        <rFont val="Calibri"/>
        <family val="2"/>
        <scheme val="minor"/>
      </rPr>
      <t>06</t>
    </r>
    <r>
      <rPr>
        <sz val="11"/>
        <color theme="1"/>
        <rFont val="Calibri"/>
        <family val="2"/>
        <scheme val="minor"/>
      </rPr>
      <t xml:space="preserve"> - Nursing services
</t>
    </r>
    <r>
      <rPr>
        <b/>
        <sz val="11"/>
        <color theme="1"/>
        <rFont val="Calibri"/>
        <family val="2"/>
        <scheme val="minor"/>
      </rPr>
      <t>07</t>
    </r>
    <r>
      <rPr>
        <sz val="11"/>
        <color theme="1"/>
        <rFont val="Calibri"/>
        <family val="2"/>
        <scheme val="minor"/>
      </rPr>
      <t xml:space="preserve"> - Nutrition services
</t>
    </r>
    <r>
      <rPr>
        <b/>
        <sz val="11"/>
        <color theme="1"/>
        <rFont val="Calibri"/>
        <family val="2"/>
        <scheme val="minor"/>
      </rPr>
      <t>08</t>
    </r>
    <r>
      <rPr>
        <sz val="11"/>
        <color theme="1"/>
        <rFont val="Calibri"/>
        <family val="2"/>
        <scheme val="minor"/>
      </rPr>
      <t xml:space="preserve"> - Occupational therapy
</t>
    </r>
    <r>
      <rPr>
        <b/>
        <sz val="11"/>
        <color theme="1"/>
        <rFont val="Calibri"/>
        <family val="2"/>
        <scheme val="minor"/>
      </rPr>
      <t>09</t>
    </r>
    <r>
      <rPr>
        <sz val="11"/>
        <color theme="1"/>
        <rFont val="Calibri"/>
        <family val="2"/>
        <scheme val="minor"/>
      </rPr>
      <t xml:space="preserve"> - Physical therapy
</t>
    </r>
    <r>
      <rPr>
        <b/>
        <sz val="11"/>
        <color theme="1"/>
        <rFont val="Calibri"/>
        <family val="2"/>
        <scheme val="minor"/>
      </rPr>
      <t>10</t>
    </r>
    <r>
      <rPr>
        <sz val="11"/>
        <color theme="1"/>
        <rFont val="Calibri"/>
        <family val="2"/>
        <scheme val="minor"/>
      </rPr>
      <t xml:space="preserve"> - Psychological services
</t>
    </r>
    <r>
      <rPr>
        <b/>
        <sz val="11"/>
        <color theme="1"/>
        <rFont val="Calibri"/>
        <family val="2"/>
        <scheme val="minor"/>
      </rPr>
      <t>11</t>
    </r>
    <r>
      <rPr>
        <sz val="11"/>
        <color theme="1"/>
        <rFont val="Calibri"/>
        <family val="2"/>
        <scheme val="minor"/>
      </rPr>
      <t xml:space="preserve"> - Sign language and cued language services
</t>
    </r>
    <r>
      <rPr>
        <b/>
        <sz val="11"/>
        <color theme="1"/>
        <rFont val="Calibri"/>
        <family val="2"/>
        <scheme val="minor"/>
      </rPr>
      <t>12</t>
    </r>
    <r>
      <rPr>
        <sz val="11"/>
        <color theme="1"/>
        <rFont val="Calibri"/>
        <family val="2"/>
        <scheme val="minor"/>
      </rPr>
      <t xml:space="preserve"> - Service coordination
</t>
    </r>
    <r>
      <rPr>
        <b/>
        <sz val="11"/>
        <color theme="1"/>
        <rFont val="Calibri"/>
        <family val="2"/>
        <scheme val="minor"/>
      </rPr>
      <t>13</t>
    </r>
    <r>
      <rPr>
        <sz val="11"/>
        <color theme="1"/>
        <rFont val="Calibri"/>
        <family val="2"/>
        <scheme val="minor"/>
      </rPr>
      <t xml:space="preserve"> - Social work services
</t>
    </r>
    <r>
      <rPr>
        <b/>
        <sz val="11"/>
        <color theme="1"/>
        <rFont val="Calibri"/>
        <family val="2"/>
        <scheme val="minor"/>
      </rPr>
      <t>14</t>
    </r>
    <r>
      <rPr>
        <sz val="11"/>
        <color theme="1"/>
        <rFont val="Calibri"/>
        <family val="2"/>
        <scheme val="minor"/>
      </rPr>
      <t xml:space="preserve"> - Special instruction
</t>
    </r>
    <r>
      <rPr>
        <b/>
        <sz val="11"/>
        <color theme="1"/>
        <rFont val="Calibri"/>
        <family val="2"/>
        <scheme val="minor"/>
      </rPr>
      <t>15</t>
    </r>
    <r>
      <rPr>
        <sz val="11"/>
        <color theme="1"/>
        <rFont val="Calibri"/>
        <family val="2"/>
        <scheme val="minor"/>
      </rPr>
      <t xml:space="preserve"> - Speech-language pathology services
</t>
    </r>
    <r>
      <rPr>
        <b/>
        <sz val="11"/>
        <color theme="1"/>
        <rFont val="Calibri"/>
        <family val="2"/>
        <scheme val="minor"/>
      </rPr>
      <t>16</t>
    </r>
    <r>
      <rPr>
        <sz val="11"/>
        <color theme="1"/>
        <rFont val="Calibri"/>
        <family val="2"/>
        <scheme val="minor"/>
      </rPr>
      <t xml:space="preserve"> - Vision services
</t>
    </r>
    <r>
      <rPr>
        <b/>
        <sz val="11"/>
        <color theme="1"/>
        <rFont val="Calibri"/>
        <family val="2"/>
        <scheme val="minor"/>
      </rPr>
      <t>17</t>
    </r>
    <r>
      <rPr>
        <sz val="11"/>
        <color theme="1"/>
        <rFont val="Calibri"/>
        <family val="2"/>
        <scheme val="minor"/>
      </rPr>
      <t xml:space="preserve"> - Behavioral health
</t>
    </r>
    <r>
      <rPr>
        <b/>
        <sz val="11"/>
        <color theme="1"/>
        <rFont val="Calibri"/>
        <family val="2"/>
        <scheme val="minor"/>
      </rPr>
      <t>18</t>
    </r>
    <r>
      <rPr>
        <sz val="11"/>
        <color theme="1"/>
        <rFont val="Calibri"/>
        <family val="2"/>
        <scheme val="minor"/>
      </rPr>
      <t xml:space="preserve"> - Transportation
</t>
    </r>
    <r>
      <rPr>
        <b/>
        <sz val="11"/>
        <color theme="1"/>
        <rFont val="Calibri"/>
        <family val="2"/>
        <scheme val="minor"/>
      </rPr>
      <t>98</t>
    </r>
    <r>
      <rPr>
        <sz val="11"/>
        <color theme="1"/>
        <rFont val="Calibri"/>
        <family val="2"/>
        <scheme val="minor"/>
      </rPr>
      <t xml:space="preserve"> - None
</t>
    </r>
    <r>
      <rPr>
        <b/>
        <sz val="11"/>
        <color theme="1"/>
        <rFont val="Calibri"/>
        <family val="2"/>
        <scheme val="minor"/>
      </rPr>
      <t>99</t>
    </r>
    <r>
      <rPr>
        <sz val="11"/>
        <color theme="1"/>
        <rFont val="Calibri"/>
        <family val="2"/>
        <scheme val="minor"/>
      </rPr>
      <t xml:space="preserve"> - Other
</t>
    </r>
  </si>
  <si>
    <r>
      <t>MentalHealth</t>
    </r>
    <r>
      <rPr>
        <sz val="11"/>
        <color theme="1"/>
        <rFont val="Calibri"/>
        <family val="2"/>
        <scheme val="minor"/>
      </rPr>
      <t xml:space="preserve"> - Mental health
</t>
    </r>
    <r>
      <rPr>
        <b/>
        <sz val="11"/>
        <color theme="1"/>
        <rFont val="Calibri"/>
        <family val="2"/>
        <scheme val="minor"/>
      </rPr>
      <t>Nutritional</t>
    </r>
    <r>
      <rPr>
        <sz val="11"/>
        <color theme="1"/>
        <rFont val="Calibri"/>
        <family val="2"/>
        <scheme val="minor"/>
      </rPr>
      <t xml:space="preserve"> - Nutritional
</t>
    </r>
    <r>
      <rPr>
        <b/>
        <sz val="11"/>
        <color theme="1"/>
        <rFont val="Calibri"/>
        <family val="2"/>
        <scheme val="minor"/>
      </rPr>
      <t>Educational</t>
    </r>
    <r>
      <rPr>
        <sz val="11"/>
        <color theme="1"/>
        <rFont val="Calibri"/>
        <family val="2"/>
        <scheme val="minor"/>
      </rPr>
      <t xml:space="preserve"> - Educational
</t>
    </r>
    <r>
      <rPr>
        <b/>
        <sz val="11"/>
        <color theme="1"/>
        <rFont val="Calibri"/>
        <family val="2"/>
        <scheme val="minor"/>
      </rPr>
      <t>PhysicalRehabilitation</t>
    </r>
    <r>
      <rPr>
        <sz val="11"/>
        <color theme="1"/>
        <rFont val="Calibri"/>
        <family val="2"/>
        <scheme val="minor"/>
      </rPr>
      <t xml:space="preserve"> - Physical rehabilitation
</t>
    </r>
    <r>
      <rPr>
        <b/>
        <sz val="11"/>
        <color theme="1"/>
        <rFont val="Calibri"/>
        <family val="2"/>
        <scheme val="minor"/>
      </rPr>
      <t>DentalHealth</t>
    </r>
    <r>
      <rPr>
        <sz val="11"/>
        <color theme="1"/>
        <rFont val="Calibri"/>
        <family val="2"/>
        <scheme val="minor"/>
      </rPr>
      <t xml:space="preserve"> - Dental Health
</t>
    </r>
    <r>
      <rPr>
        <b/>
        <sz val="11"/>
        <color theme="1"/>
        <rFont val="Calibri"/>
        <family val="2"/>
        <scheme val="minor"/>
      </rPr>
      <t>Other</t>
    </r>
    <r>
      <rPr>
        <sz val="11"/>
        <color theme="1"/>
        <rFont val="Calibri"/>
        <family val="2"/>
        <scheme val="minor"/>
      </rPr>
      <t xml:space="preserve"> - Other
</t>
    </r>
  </si>
  <si>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Annually</t>
    </r>
    <r>
      <rPr>
        <sz val="11"/>
        <color theme="1"/>
        <rFont val="Calibri"/>
        <family val="2"/>
        <scheme val="minor"/>
      </rPr>
      <t xml:space="preserve"> - Annually
</t>
    </r>
    <r>
      <rPr>
        <b/>
        <sz val="11"/>
        <color theme="1"/>
        <rFont val="Calibri"/>
        <family val="2"/>
        <scheme val="minor"/>
      </rPr>
      <t>OneTime</t>
    </r>
    <r>
      <rPr>
        <sz val="11"/>
        <color theme="1"/>
        <rFont val="Calibri"/>
        <family val="2"/>
        <scheme val="minor"/>
      </rPr>
      <t xml:space="preserve"> - One Time
</t>
    </r>
  </si>
  <si>
    <r>
      <t>05978</t>
    </r>
    <r>
      <rPr>
        <sz val="11"/>
        <color theme="1"/>
        <rFont val="Calibri"/>
        <family val="2"/>
        <scheme val="minor"/>
      </rPr>
      <t xml:space="preserve"> - 504 plan
</t>
    </r>
    <r>
      <rPr>
        <b/>
        <sz val="11"/>
        <color theme="1"/>
        <rFont val="Calibri"/>
        <family val="2"/>
        <scheme val="minor"/>
      </rPr>
      <t>89600</t>
    </r>
    <r>
      <rPr>
        <sz val="11"/>
        <color theme="1"/>
        <rFont val="Calibri"/>
        <family val="2"/>
        <scheme val="minor"/>
      </rPr>
      <t xml:space="preserve"> - College and Career Ready Learning Plan
</t>
    </r>
    <r>
      <rPr>
        <b/>
        <sz val="11"/>
        <color theme="1"/>
        <rFont val="Calibri"/>
        <family val="2"/>
        <scheme val="minor"/>
      </rPr>
      <t>05980</t>
    </r>
    <r>
      <rPr>
        <sz val="11"/>
        <color theme="1"/>
        <rFont val="Calibri"/>
        <family val="2"/>
        <scheme val="minor"/>
      </rPr>
      <t xml:space="preserve"> - GIEP - Individualized education program for gifted student
</t>
    </r>
    <r>
      <rPr>
        <b/>
        <sz val="11"/>
        <color theme="1"/>
        <rFont val="Calibri"/>
        <family val="2"/>
        <scheme val="minor"/>
      </rPr>
      <t>02196</t>
    </r>
    <r>
      <rPr>
        <sz val="11"/>
        <color theme="1"/>
        <rFont val="Calibri"/>
        <family val="2"/>
        <scheme val="minor"/>
      </rPr>
      <t xml:space="preserve"> - Individualized education program (IEP)
</t>
    </r>
    <r>
      <rPr>
        <b/>
        <sz val="11"/>
        <color theme="1"/>
        <rFont val="Calibri"/>
        <family val="2"/>
        <scheme val="minor"/>
      </rPr>
      <t>02198</t>
    </r>
    <r>
      <rPr>
        <sz val="11"/>
        <color theme="1"/>
        <rFont val="Calibri"/>
        <family val="2"/>
        <scheme val="minor"/>
      </rPr>
      <t xml:space="preserve"> - Individualized family service plan (IFSP)
</t>
    </r>
    <r>
      <rPr>
        <b/>
        <sz val="11"/>
        <color theme="1"/>
        <rFont val="Calibri"/>
        <family val="2"/>
        <scheme val="minor"/>
      </rPr>
      <t>02197</t>
    </r>
    <r>
      <rPr>
        <sz val="11"/>
        <color theme="1"/>
        <rFont val="Calibri"/>
        <family val="2"/>
        <scheme val="minor"/>
      </rPr>
      <t xml:space="preserve"> - Individualized learning program (ILP)
</t>
    </r>
    <r>
      <rPr>
        <b/>
        <sz val="11"/>
        <color theme="1"/>
        <rFont val="Calibri"/>
        <family val="2"/>
        <scheme val="minor"/>
      </rPr>
      <t>05982</t>
    </r>
    <r>
      <rPr>
        <sz val="11"/>
        <color theme="1"/>
        <rFont val="Calibri"/>
        <family val="2"/>
        <scheme val="minor"/>
      </rPr>
      <t xml:space="preserve"> - Individualized transition plan
</t>
    </r>
    <r>
      <rPr>
        <b/>
        <sz val="11"/>
        <color theme="1"/>
        <rFont val="Calibri"/>
        <family val="2"/>
        <scheme val="minor"/>
      </rPr>
      <t>02349</t>
    </r>
    <r>
      <rPr>
        <sz val="11"/>
        <color theme="1"/>
        <rFont val="Calibri"/>
        <family val="2"/>
        <scheme val="minor"/>
      </rPr>
      <t xml:space="preserve"> - English learner
</t>
    </r>
    <r>
      <rPr>
        <b/>
        <sz val="11"/>
        <color theme="1"/>
        <rFont val="Calibri"/>
        <family val="2"/>
        <scheme val="minor"/>
      </rPr>
      <t>05981</t>
    </r>
    <r>
      <rPr>
        <sz val="11"/>
        <color theme="1"/>
        <rFont val="Calibri"/>
        <family val="2"/>
        <scheme val="minor"/>
      </rPr>
      <t xml:space="preserve"> - Literacy plan
</t>
    </r>
    <r>
      <rPr>
        <b/>
        <sz val="11"/>
        <color theme="1"/>
        <rFont val="Calibri"/>
        <family val="2"/>
        <scheme val="minor"/>
      </rPr>
      <t>05979</t>
    </r>
    <r>
      <rPr>
        <sz val="11"/>
        <color theme="1"/>
        <rFont val="Calibri"/>
        <family val="2"/>
        <scheme val="minor"/>
      </rPr>
      <t xml:space="preserve"> - Student intervention/support plan
</t>
    </r>
    <r>
      <rPr>
        <b/>
        <sz val="11"/>
        <color theme="1"/>
        <rFont val="Calibri"/>
        <family val="2"/>
        <scheme val="minor"/>
      </rPr>
      <t>09999</t>
    </r>
    <r>
      <rPr>
        <sz val="11"/>
        <color theme="1"/>
        <rFont val="Calibri"/>
        <family val="2"/>
        <scheme val="minor"/>
      </rPr>
      <t xml:space="preserve"> - Other
</t>
    </r>
  </si>
  <si>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Biweekly</t>
    </r>
    <r>
      <rPr>
        <sz val="11"/>
        <color theme="1"/>
        <rFont val="Calibri"/>
        <family val="2"/>
        <scheme val="minor"/>
      </rPr>
      <t xml:space="preserve"> - Biweekly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Bimonthly</t>
    </r>
    <r>
      <rPr>
        <sz val="11"/>
        <color theme="1"/>
        <rFont val="Calibri"/>
        <family val="2"/>
        <scheme val="minor"/>
      </rPr>
      <t xml:space="preserve"> - Bimonthly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Semiannually</t>
    </r>
    <r>
      <rPr>
        <sz val="11"/>
        <color theme="1"/>
        <rFont val="Calibri"/>
        <family val="2"/>
        <scheme val="minor"/>
      </rPr>
      <t xml:space="preserve"> - Semiannually
</t>
    </r>
    <r>
      <rPr>
        <b/>
        <sz val="11"/>
        <color theme="1"/>
        <rFont val="Calibri"/>
        <family val="2"/>
        <scheme val="minor"/>
      </rPr>
      <t>Annually</t>
    </r>
    <r>
      <rPr>
        <sz val="11"/>
        <color theme="1"/>
        <rFont val="Calibri"/>
        <family val="2"/>
        <scheme val="minor"/>
      </rPr>
      <t xml:space="preserve"> - Annually
</t>
    </r>
    <r>
      <rPr>
        <b/>
        <sz val="11"/>
        <color theme="1"/>
        <rFont val="Calibri"/>
        <family val="2"/>
        <scheme val="minor"/>
      </rPr>
      <t>Other</t>
    </r>
    <r>
      <rPr>
        <sz val="11"/>
        <color theme="1"/>
        <rFont val="Calibri"/>
        <family val="2"/>
        <scheme val="minor"/>
      </rPr>
      <t xml:space="preserve"> - Other
</t>
    </r>
  </si>
  <si>
    <r>
      <t>01</t>
    </r>
    <r>
      <rPr>
        <sz val="11"/>
        <color theme="1"/>
        <rFont val="Calibri"/>
        <family val="2"/>
        <scheme val="minor"/>
      </rPr>
      <t xml:space="preserve"> - Assistive technology services
</t>
    </r>
    <r>
      <rPr>
        <b/>
        <sz val="11"/>
        <color theme="1"/>
        <rFont val="Calibri"/>
        <family val="2"/>
        <scheme val="minor"/>
      </rPr>
      <t>02</t>
    </r>
    <r>
      <rPr>
        <sz val="11"/>
        <color theme="1"/>
        <rFont val="Calibri"/>
        <family val="2"/>
        <scheme val="minor"/>
      </rPr>
      <t xml:space="preserve"> - Audiology services
</t>
    </r>
    <r>
      <rPr>
        <b/>
        <sz val="11"/>
        <color theme="1"/>
        <rFont val="Calibri"/>
        <family val="2"/>
        <scheme val="minor"/>
      </rPr>
      <t>03</t>
    </r>
    <r>
      <rPr>
        <sz val="11"/>
        <color theme="1"/>
        <rFont val="Calibri"/>
        <family val="2"/>
        <scheme val="minor"/>
      </rPr>
      <t xml:space="preserve"> - Family training/counseling services
</t>
    </r>
    <r>
      <rPr>
        <b/>
        <sz val="11"/>
        <color theme="1"/>
        <rFont val="Calibri"/>
        <family val="2"/>
        <scheme val="minor"/>
      </rPr>
      <t>04</t>
    </r>
    <r>
      <rPr>
        <sz val="11"/>
        <color theme="1"/>
        <rFont val="Calibri"/>
        <family val="2"/>
        <scheme val="minor"/>
      </rPr>
      <t xml:space="preserve"> - Health services
</t>
    </r>
    <r>
      <rPr>
        <b/>
        <sz val="11"/>
        <color theme="1"/>
        <rFont val="Calibri"/>
        <family val="2"/>
        <scheme val="minor"/>
      </rPr>
      <t>05</t>
    </r>
    <r>
      <rPr>
        <sz val="11"/>
        <color theme="1"/>
        <rFont val="Calibri"/>
        <family val="2"/>
        <scheme val="minor"/>
      </rPr>
      <t xml:space="preserve"> - Medical services
</t>
    </r>
    <r>
      <rPr>
        <b/>
        <sz val="11"/>
        <color theme="1"/>
        <rFont val="Calibri"/>
        <family val="2"/>
        <scheme val="minor"/>
      </rPr>
      <t>06</t>
    </r>
    <r>
      <rPr>
        <sz val="11"/>
        <color theme="1"/>
        <rFont val="Calibri"/>
        <family val="2"/>
        <scheme val="minor"/>
      </rPr>
      <t xml:space="preserve"> - Nursing services
</t>
    </r>
    <r>
      <rPr>
        <b/>
        <sz val="11"/>
        <color theme="1"/>
        <rFont val="Calibri"/>
        <family val="2"/>
        <scheme val="minor"/>
      </rPr>
      <t>07</t>
    </r>
    <r>
      <rPr>
        <sz val="11"/>
        <color theme="1"/>
        <rFont val="Calibri"/>
        <family val="2"/>
        <scheme val="minor"/>
      </rPr>
      <t xml:space="preserve"> - Nutrition services
</t>
    </r>
    <r>
      <rPr>
        <b/>
        <sz val="11"/>
        <color theme="1"/>
        <rFont val="Calibri"/>
        <family val="2"/>
        <scheme val="minor"/>
      </rPr>
      <t>08</t>
    </r>
    <r>
      <rPr>
        <sz val="11"/>
        <color theme="1"/>
        <rFont val="Calibri"/>
        <family val="2"/>
        <scheme val="minor"/>
      </rPr>
      <t xml:space="preserve"> - Occupational therapy
</t>
    </r>
    <r>
      <rPr>
        <b/>
        <sz val="11"/>
        <color theme="1"/>
        <rFont val="Calibri"/>
        <family val="2"/>
        <scheme val="minor"/>
      </rPr>
      <t>09</t>
    </r>
    <r>
      <rPr>
        <sz val="11"/>
        <color theme="1"/>
        <rFont val="Calibri"/>
        <family val="2"/>
        <scheme val="minor"/>
      </rPr>
      <t xml:space="preserve"> - Physical therapy
</t>
    </r>
    <r>
      <rPr>
        <b/>
        <sz val="11"/>
        <color theme="1"/>
        <rFont val="Calibri"/>
        <family val="2"/>
        <scheme val="minor"/>
      </rPr>
      <t>10</t>
    </r>
    <r>
      <rPr>
        <sz val="11"/>
        <color theme="1"/>
        <rFont val="Calibri"/>
        <family val="2"/>
        <scheme val="minor"/>
      </rPr>
      <t xml:space="preserve"> - Psychological services
</t>
    </r>
    <r>
      <rPr>
        <b/>
        <sz val="11"/>
        <color theme="1"/>
        <rFont val="Calibri"/>
        <family val="2"/>
        <scheme val="minor"/>
      </rPr>
      <t>11</t>
    </r>
    <r>
      <rPr>
        <sz val="11"/>
        <color theme="1"/>
        <rFont val="Calibri"/>
        <family val="2"/>
        <scheme val="minor"/>
      </rPr>
      <t xml:space="preserve"> - Sign language and cued language services
</t>
    </r>
    <r>
      <rPr>
        <b/>
        <sz val="11"/>
        <color theme="1"/>
        <rFont val="Calibri"/>
        <family val="2"/>
        <scheme val="minor"/>
      </rPr>
      <t>12</t>
    </r>
    <r>
      <rPr>
        <sz val="11"/>
        <color theme="1"/>
        <rFont val="Calibri"/>
        <family val="2"/>
        <scheme val="minor"/>
      </rPr>
      <t xml:space="preserve"> - Service coordination
</t>
    </r>
    <r>
      <rPr>
        <b/>
        <sz val="11"/>
        <color theme="1"/>
        <rFont val="Calibri"/>
        <family val="2"/>
        <scheme val="minor"/>
      </rPr>
      <t>13</t>
    </r>
    <r>
      <rPr>
        <sz val="11"/>
        <color theme="1"/>
        <rFont val="Calibri"/>
        <family val="2"/>
        <scheme val="minor"/>
      </rPr>
      <t xml:space="preserve"> - Social work services
</t>
    </r>
    <r>
      <rPr>
        <b/>
        <sz val="11"/>
        <color theme="1"/>
        <rFont val="Calibri"/>
        <family val="2"/>
        <scheme val="minor"/>
      </rPr>
      <t>14</t>
    </r>
    <r>
      <rPr>
        <sz val="11"/>
        <color theme="1"/>
        <rFont val="Calibri"/>
        <family val="2"/>
        <scheme val="minor"/>
      </rPr>
      <t xml:space="preserve"> - Special instruction
</t>
    </r>
    <r>
      <rPr>
        <b/>
        <sz val="11"/>
        <color theme="1"/>
        <rFont val="Calibri"/>
        <family val="2"/>
        <scheme val="minor"/>
      </rPr>
      <t>15</t>
    </r>
    <r>
      <rPr>
        <sz val="11"/>
        <color theme="1"/>
        <rFont val="Calibri"/>
        <family val="2"/>
        <scheme val="minor"/>
      </rPr>
      <t xml:space="preserve"> - Speech-language pathology services
</t>
    </r>
    <r>
      <rPr>
        <b/>
        <sz val="11"/>
        <color theme="1"/>
        <rFont val="Calibri"/>
        <family val="2"/>
        <scheme val="minor"/>
      </rPr>
      <t>16</t>
    </r>
    <r>
      <rPr>
        <sz val="11"/>
        <color theme="1"/>
        <rFont val="Calibri"/>
        <family val="2"/>
        <scheme val="minor"/>
      </rPr>
      <t xml:space="preserve"> - Vision services
</t>
    </r>
    <r>
      <rPr>
        <b/>
        <sz val="11"/>
        <color theme="1"/>
        <rFont val="Calibri"/>
        <family val="2"/>
        <scheme val="minor"/>
      </rPr>
      <t>99</t>
    </r>
    <r>
      <rPr>
        <sz val="11"/>
        <color theme="1"/>
        <rFont val="Calibri"/>
        <family val="2"/>
        <scheme val="minor"/>
      </rPr>
      <t xml:space="preserve"> - Other
</t>
    </r>
  </si>
  <si>
    <r>
      <t>HighSchoolDiploma</t>
    </r>
    <r>
      <rPr>
        <sz val="11"/>
        <color theme="1"/>
        <rFont val="Calibri"/>
        <family val="2"/>
        <scheme val="minor"/>
      </rPr>
      <t xml:space="preserve"> - Graduated with regular high school diploma
</t>
    </r>
    <r>
      <rPr>
        <b/>
        <sz val="11"/>
        <color theme="1"/>
        <rFont val="Calibri"/>
        <family val="2"/>
        <scheme val="minor"/>
      </rPr>
      <t>ReceivedCertificate</t>
    </r>
    <r>
      <rPr>
        <sz val="11"/>
        <color theme="1"/>
        <rFont val="Calibri"/>
        <family val="2"/>
        <scheme val="minor"/>
      </rPr>
      <t xml:space="preserve"> - Received a certificate
</t>
    </r>
    <r>
      <rPr>
        <b/>
        <sz val="11"/>
        <color theme="1"/>
        <rFont val="Calibri"/>
        <family val="2"/>
        <scheme val="minor"/>
      </rPr>
      <t>ReachedMaximumAge</t>
    </r>
    <r>
      <rPr>
        <sz val="11"/>
        <color theme="1"/>
        <rFont val="Calibri"/>
        <family val="2"/>
        <scheme val="minor"/>
      </rPr>
      <t xml:space="preserve"> - Reached maximum age
</t>
    </r>
    <r>
      <rPr>
        <b/>
        <sz val="11"/>
        <color theme="1"/>
        <rFont val="Calibri"/>
        <family val="2"/>
        <scheme val="minor"/>
      </rPr>
      <t>Died</t>
    </r>
    <r>
      <rPr>
        <sz val="11"/>
        <color theme="1"/>
        <rFont val="Calibri"/>
        <family val="2"/>
        <scheme val="minor"/>
      </rPr>
      <t xml:space="preserve"> - Died
</t>
    </r>
    <r>
      <rPr>
        <b/>
        <sz val="11"/>
        <color theme="1"/>
        <rFont val="Calibri"/>
        <family val="2"/>
        <scheme val="minor"/>
      </rPr>
      <t>MovedAndContinuing</t>
    </r>
    <r>
      <rPr>
        <sz val="11"/>
        <color theme="1"/>
        <rFont val="Calibri"/>
        <family val="2"/>
        <scheme val="minor"/>
      </rPr>
      <t xml:space="preserve"> - Moved, known to be continuing
</t>
    </r>
    <r>
      <rPr>
        <b/>
        <sz val="11"/>
        <color theme="1"/>
        <rFont val="Calibri"/>
        <family val="2"/>
        <scheme val="minor"/>
      </rPr>
      <t>DroppedOut</t>
    </r>
    <r>
      <rPr>
        <sz val="11"/>
        <color theme="1"/>
        <rFont val="Calibri"/>
        <family val="2"/>
        <scheme val="minor"/>
      </rPr>
      <t xml:space="preserve"> - Dropped out
</t>
    </r>
    <r>
      <rPr>
        <b/>
        <sz val="11"/>
        <color theme="1"/>
        <rFont val="Calibri"/>
        <family val="2"/>
        <scheme val="minor"/>
      </rPr>
      <t>Transferred</t>
    </r>
    <r>
      <rPr>
        <sz val="11"/>
        <color theme="1"/>
        <rFont val="Calibri"/>
        <family val="2"/>
        <scheme val="minor"/>
      </rPr>
      <t xml:space="preserve"> - Transferred to regular education
</t>
    </r>
    <r>
      <rPr>
        <b/>
        <sz val="11"/>
        <color theme="1"/>
        <rFont val="Calibri"/>
        <family val="2"/>
        <scheme val="minor"/>
      </rPr>
      <t>PartCNoLongerEligible</t>
    </r>
    <r>
      <rPr>
        <sz val="11"/>
        <color theme="1"/>
        <rFont val="Calibri"/>
        <family val="2"/>
        <scheme val="minor"/>
      </rPr>
      <t xml:space="preserve"> - No longer eligible for Part C prior to reaching age three.
</t>
    </r>
    <r>
      <rPr>
        <b/>
        <sz val="11"/>
        <color theme="1"/>
        <rFont val="Calibri"/>
        <family val="2"/>
        <scheme val="minor"/>
      </rPr>
      <t>PartBEligibleExitingPartC</t>
    </r>
    <r>
      <rPr>
        <sz val="11"/>
        <color theme="1"/>
        <rFont val="Calibri"/>
        <family val="2"/>
        <scheme val="minor"/>
      </rPr>
      <t xml:space="preserve"> - Part B eligible, exiting Part C.
</t>
    </r>
    <r>
      <rPr>
        <b/>
        <sz val="11"/>
        <color theme="1"/>
        <rFont val="Calibri"/>
        <family val="2"/>
        <scheme val="minor"/>
      </rPr>
      <t>PartBEligibleContinuingPartC</t>
    </r>
    <r>
      <rPr>
        <sz val="11"/>
        <color theme="1"/>
        <rFont val="Calibri"/>
        <family val="2"/>
        <scheme val="minor"/>
      </rPr>
      <t xml:space="preserve"> - Part B eligible, continuing in Part C.
</t>
    </r>
    <r>
      <rPr>
        <b/>
        <sz val="11"/>
        <color theme="1"/>
        <rFont val="Calibri"/>
        <family val="2"/>
        <scheme val="minor"/>
      </rPr>
      <t>NotPartBEligibleExitingPartCWithReferrrals</t>
    </r>
    <r>
      <rPr>
        <sz val="11"/>
        <color theme="1"/>
        <rFont val="Calibri"/>
        <family val="2"/>
        <scheme val="minor"/>
      </rPr>
      <t xml:space="preserve"> - Not eligible for Part B, exit with referrals to other programs.
</t>
    </r>
    <r>
      <rPr>
        <b/>
        <sz val="11"/>
        <color theme="1"/>
        <rFont val="Calibri"/>
        <family val="2"/>
        <scheme val="minor"/>
      </rPr>
      <t>NotPartBEligibleExitingPartCWithoutReferrrals</t>
    </r>
    <r>
      <rPr>
        <sz val="11"/>
        <color theme="1"/>
        <rFont val="Calibri"/>
        <family val="2"/>
        <scheme val="minor"/>
      </rPr>
      <t xml:space="preserve"> - Not eligible for Part B, exit with no referrals.
</t>
    </r>
    <r>
      <rPr>
        <b/>
        <sz val="11"/>
        <color theme="1"/>
        <rFont val="Calibri"/>
        <family val="2"/>
        <scheme val="minor"/>
      </rPr>
      <t>PartBEligibilityNotDeterminedExitingPartC</t>
    </r>
    <r>
      <rPr>
        <sz val="11"/>
        <color theme="1"/>
        <rFont val="Calibri"/>
        <family val="2"/>
        <scheme val="minor"/>
      </rPr>
      <t xml:space="preserve"> - Part B eligibility not determined.
</t>
    </r>
    <r>
      <rPr>
        <b/>
        <sz val="11"/>
        <color theme="1"/>
        <rFont val="Calibri"/>
        <family val="2"/>
        <scheme val="minor"/>
      </rPr>
      <t>WithdrawalByParent</t>
    </r>
    <r>
      <rPr>
        <sz val="11"/>
        <color theme="1"/>
        <rFont val="Calibri"/>
        <family val="2"/>
        <scheme val="minor"/>
      </rPr>
      <t xml:space="preserve"> - Withdrawal by parent (or guardian).
</t>
    </r>
    <r>
      <rPr>
        <b/>
        <sz val="11"/>
        <color theme="1"/>
        <rFont val="Calibri"/>
        <family val="2"/>
        <scheme val="minor"/>
      </rPr>
      <t>MovedOutOfState</t>
    </r>
    <r>
      <rPr>
        <sz val="11"/>
        <color theme="1"/>
        <rFont val="Calibri"/>
        <family val="2"/>
        <scheme val="minor"/>
      </rPr>
      <t xml:space="preserve"> - Moved out of State
</t>
    </r>
    <r>
      <rPr>
        <b/>
        <sz val="11"/>
        <color theme="1"/>
        <rFont val="Calibri"/>
        <family val="2"/>
        <scheme val="minor"/>
      </rPr>
      <t>Unreachable</t>
    </r>
    <r>
      <rPr>
        <sz val="11"/>
        <color theme="1"/>
        <rFont val="Calibri"/>
        <family val="2"/>
        <scheme val="minor"/>
      </rPr>
      <t xml:space="preserve"> - Attempts to contact the parent and/or child were unsuccessful.
</t>
    </r>
    <r>
      <rPr>
        <b/>
        <sz val="11"/>
        <color theme="1"/>
        <rFont val="Calibri"/>
        <family val="2"/>
        <scheme val="minor"/>
      </rPr>
      <t>GraduatedAlternateDiploma</t>
    </r>
    <r>
      <rPr>
        <sz val="11"/>
        <color theme="1"/>
        <rFont val="Calibri"/>
        <family val="2"/>
        <scheme val="minor"/>
      </rPr>
      <t xml:space="preserve"> - Graduated with an alternate diploma
</t>
    </r>
  </si>
  <si>
    <t>Services-&gt;Application</t>
  </si>
  <si>
    <t>Services-&gt;Service Partners</t>
  </si>
  <si>
    <t>Individualized Program</t>
  </si>
  <si>
    <r>
      <t>Development</t>
    </r>
    <r>
      <rPr>
        <sz val="11"/>
        <color theme="1"/>
        <rFont val="Calibri"/>
        <family val="2"/>
        <scheme val="minor"/>
      </rPr>
      <t xml:space="preserve"> - Development date
</t>
    </r>
    <r>
      <rPr>
        <b/>
        <sz val="11"/>
        <color theme="1"/>
        <rFont val="Calibri"/>
        <family val="2"/>
        <scheme val="minor"/>
      </rPr>
      <t>Implementation</t>
    </r>
    <r>
      <rPr>
        <sz val="11"/>
        <color theme="1"/>
        <rFont val="Calibri"/>
        <family val="2"/>
        <scheme val="minor"/>
      </rPr>
      <t xml:space="preserve"> - Implementation date
</t>
    </r>
    <r>
      <rPr>
        <b/>
        <sz val="11"/>
        <color theme="1"/>
        <rFont val="Calibri"/>
        <family val="2"/>
        <scheme val="minor"/>
      </rPr>
      <t>TentativeRevision</t>
    </r>
    <r>
      <rPr>
        <sz val="11"/>
        <color theme="1"/>
        <rFont val="Calibri"/>
        <family val="2"/>
        <scheme val="minor"/>
      </rPr>
      <t xml:space="preserve"> - Tentative revision date
</t>
    </r>
    <r>
      <rPr>
        <b/>
        <sz val="11"/>
        <color theme="1"/>
        <rFont val="Calibri"/>
        <family val="2"/>
        <scheme val="minor"/>
      </rPr>
      <t>Revision</t>
    </r>
    <r>
      <rPr>
        <sz val="11"/>
        <color theme="1"/>
        <rFont val="Calibri"/>
        <family val="2"/>
        <scheme val="minor"/>
      </rPr>
      <t xml:space="preserve"> - Revision date
</t>
    </r>
    <r>
      <rPr>
        <b/>
        <sz val="11"/>
        <color theme="1"/>
        <rFont val="Calibri"/>
        <family val="2"/>
        <scheme val="minor"/>
      </rPr>
      <t>Other</t>
    </r>
    <r>
      <rPr>
        <sz val="11"/>
        <color theme="1"/>
        <rFont val="Calibri"/>
        <family val="2"/>
        <scheme val="minor"/>
      </rPr>
      <t xml:space="preserve"> - Other
</t>
    </r>
  </si>
  <si>
    <r>
      <t>02192</t>
    </r>
    <r>
      <rPr>
        <sz val="11"/>
        <color theme="1"/>
        <rFont val="Calibri"/>
        <family val="2"/>
        <scheme val="minor"/>
      </rPr>
      <t xml:space="preserve"> - Home
</t>
    </r>
    <r>
      <rPr>
        <b/>
        <sz val="11"/>
        <color theme="1"/>
        <rFont val="Calibri"/>
        <family val="2"/>
        <scheme val="minor"/>
      </rPr>
      <t>00754</t>
    </r>
    <r>
      <rPr>
        <sz val="11"/>
        <color theme="1"/>
        <rFont val="Calibri"/>
        <family val="2"/>
        <scheme val="minor"/>
      </rPr>
      <t xml:space="preserve"> - Hospital
</t>
    </r>
    <r>
      <rPr>
        <b/>
        <sz val="11"/>
        <color theme="1"/>
        <rFont val="Calibri"/>
        <family val="2"/>
        <scheme val="minor"/>
      </rPr>
      <t>06008</t>
    </r>
    <r>
      <rPr>
        <sz val="11"/>
        <color theme="1"/>
        <rFont val="Calibri"/>
        <family val="2"/>
        <scheme val="minor"/>
      </rPr>
      <t xml:space="preserve"> - Outpatient hospital
</t>
    </r>
    <r>
      <rPr>
        <b/>
        <sz val="11"/>
        <color theme="1"/>
        <rFont val="Calibri"/>
        <family val="2"/>
        <scheme val="minor"/>
      </rPr>
      <t>06009</t>
    </r>
    <r>
      <rPr>
        <sz val="11"/>
        <color theme="1"/>
        <rFont val="Calibri"/>
        <family val="2"/>
        <scheme val="minor"/>
      </rPr>
      <t xml:space="preserve"> - Ambulatory care center
</t>
    </r>
    <r>
      <rPr>
        <b/>
        <sz val="11"/>
        <color theme="1"/>
        <rFont val="Calibri"/>
        <family val="2"/>
        <scheme val="minor"/>
      </rPr>
      <t>06010</t>
    </r>
    <r>
      <rPr>
        <sz val="11"/>
        <color theme="1"/>
        <rFont val="Calibri"/>
        <family val="2"/>
        <scheme val="minor"/>
      </rPr>
      <t xml:space="preserve"> - Primary care health provider office
</t>
    </r>
    <r>
      <rPr>
        <b/>
        <sz val="11"/>
        <color theme="1"/>
        <rFont val="Calibri"/>
        <family val="2"/>
        <scheme val="minor"/>
      </rPr>
      <t>01535</t>
    </r>
    <r>
      <rPr>
        <sz val="11"/>
        <color theme="1"/>
        <rFont val="Calibri"/>
        <family val="2"/>
        <scheme val="minor"/>
      </rPr>
      <t xml:space="preserve"> - Child care
</t>
    </r>
    <r>
      <rPr>
        <b/>
        <sz val="11"/>
        <color theme="1"/>
        <rFont val="Calibri"/>
        <family val="2"/>
        <scheme val="minor"/>
      </rPr>
      <t>00127</t>
    </r>
    <r>
      <rPr>
        <sz val="11"/>
        <color theme="1"/>
        <rFont val="Calibri"/>
        <family val="2"/>
        <scheme val="minor"/>
      </rPr>
      <t xml:space="preserve"> - Early intervention classroom/center
</t>
    </r>
    <r>
      <rPr>
        <b/>
        <sz val="11"/>
        <color theme="1"/>
        <rFont val="Calibri"/>
        <family val="2"/>
        <scheme val="minor"/>
      </rPr>
      <t>00066</t>
    </r>
    <r>
      <rPr>
        <sz val="11"/>
        <color theme="1"/>
        <rFont val="Calibri"/>
        <family val="2"/>
        <scheme val="minor"/>
      </rPr>
      <t xml:space="preserve"> - Local education agency
</t>
    </r>
    <r>
      <rPr>
        <b/>
        <sz val="11"/>
        <color theme="1"/>
        <rFont val="Calibri"/>
        <family val="2"/>
        <scheme val="minor"/>
      </rPr>
      <t>06011</t>
    </r>
    <r>
      <rPr>
        <sz val="11"/>
        <color theme="1"/>
        <rFont val="Calibri"/>
        <family val="2"/>
        <scheme val="minor"/>
      </rPr>
      <t xml:space="preserve"> - Public health facility
</t>
    </r>
    <r>
      <rPr>
        <b/>
        <sz val="11"/>
        <color theme="1"/>
        <rFont val="Calibri"/>
        <family val="2"/>
        <scheme val="minor"/>
      </rPr>
      <t>06012</t>
    </r>
    <r>
      <rPr>
        <sz val="11"/>
        <color theme="1"/>
        <rFont val="Calibri"/>
        <family val="2"/>
        <scheme val="minor"/>
      </rPr>
      <t xml:space="preserve"> - Social service agency
</t>
    </r>
    <r>
      <rPr>
        <b/>
        <sz val="11"/>
        <color theme="1"/>
        <rFont val="Calibri"/>
        <family val="2"/>
        <scheme val="minor"/>
      </rPr>
      <t>06013</t>
    </r>
    <r>
      <rPr>
        <sz val="11"/>
        <color theme="1"/>
        <rFont val="Calibri"/>
        <family val="2"/>
        <scheme val="minor"/>
      </rPr>
      <t xml:space="preserve"> - Other health care provider location
</t>
    </r>
    <r>
      <rPr>
        <b/>
        <sz val="11"/>
        <color theme="1"/>
        <rFont val="Calibri"/>
        <family val="2"/>
        <scheme val="minor"/>
      </rPr>
      <t>00752</t>
    </r>
    <r>
      <rPr>
        <sz val="11"/>
        <color theme="1"/>
        <rFont val="Calibri"/>
        <family val="2"/>
        <scheme val="minor"/>
      </rPr>
      <t xml:space="preserve"> - Community facility
</t>
    </r>
    <r>
      <rPr>
        <b/>
        <sz val="11"/>
        <color theme="1"/>
        <rFont val="Calibri"/>
        <family val="2"/>
        <scheme val="minor"/>
      </rPr>
      <t>09999</t>
    </r>
    <r>
      <rPr>
        <sz val="11"/>
        <color theme="1"/>
        <rFont val="Calibri"/>
        <family val="2"/>
        <scheme val="minor"/>
      </rPr>
      <t xml:space="preserve"> - Other
</t>
    </r>
  </si>
  <si>
    <r>
      <t>Individual</t>
    </r>
    <r>
      <rPr>
        <sz val="11"/>
        <color theme="1"/>
        <rFont val="Calibri"/>
        <family val="2"/>
        <scheme val="minor"/>
      </rPr>
      <t xml:space="preserve"> - Individual
</t>
    </r>
    <r>
      <rPr>
        <b/>
        <sz val="11"/>
        <color theme="1"/>
        <rFont val="Calibri"/>
        <family val="2"/>
        <scheme val="minor"/>
      </rPr>
      <t>Group</t>
    </r>
    <r>
      <rPr>
        <sz val="11"/>
        <color theme="1"/>
        <rFont val="Calibri"/>
        <family val="2"/>
        <scheme val="minor"/>
      </rPr>
      <t xml:space="preserve"> - Group
</t>
    </r>
  </si>
  <si>
    <r>
      <t>Active</t>
    </r>
    <r>
      <rPr>
        <sz val="11"/>
        <color theme="1"/>
        <rFont val="Calibri"/>
        <family val="2"/>
        <scheme val="minor"/>
      </rPr>
      <t xml:space="preserve"> - Active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NotSelected</t>
    </r>
    <r>
      <rPr>
        <sz val="11"/>
        <color theme="1"/>
        <rFont val="Calibri"/>
        <family val="2"/>
        <scheme val="minor"/>
      </rPr>
      <t xml:space="preserve"> - Not Selected
</t>
    </r>
  </si>
  <si>
    <r>
      <t>DevelopmentalDelay</t>
    </r>
    <r>
      <rPr>
        <sz val="11"/>
        <color theme="1"/>
        <rFont val="Calibri"/>
        <family val="2"/>
        <scheme val="minor"/>
      </rPr>
      <t xml:space="preserve"> - Developmental Delay
</t>
    </r>
    <r>
      <rPr>
        <b/>
        <sz val="11"/>
        <color theme="1"/>
        <rFont val="Calibri"/>
        <family val="2"/>
        <scheme val="minor"/>
      </rPr>
      <t>DiagnosedCondition</t>
    </r>
    <r>
      <rPr>
        <sz val="11"/>
        <color theme="1"/>
        <rFont val="Calibri"/>
        <family val="2"/>
        <scheme val="minor"/>
      </rPr>
      <t xml:space="preserve"> - Diagnosed Condition
</t>
    </r>
    <r>
      <rPr>
        <b/>
        <sz val="11"/>
        <color theme="1"/>
        <rFont val="Calibri"/>
        <family val="2"/>
        <scheme val="minor"/>
      </rPr>
      <t>AtRisk</t>
    </r>
    <r>
      <rPr>
        <sz val="11"/>
        <color theme="1"/>
        <rFont val="Calibri"/>
        <family val="2"/>
        <scheme val="minor"/>
      </rPr>
      <t xml:space="preserve"> - At-risk
</t>
    </r>
  </si>
  <si>
    <r>
      <t>Education</t>
    </r>
    <r>
      <rPr>
        <sz val="11"/>
        <color theme="1"/>
        <rFont val="Calibri"/>
        <family val="2"/>
        <scheme val="minor"/>
      </rPr>
      <t xml:space="preserve"> - Education plan
</t>
    </r>
    <r>
      <rPr>
        <b/>
        <sz val="11"/>
        <color theme="1"/>
        <rFont val="Calibri"/>
        <family val="2"/>
        <scheme val="minor"/>
      </rPr>
      <t>Career</t>
    </r>
    <r>
      <rPr>
        <sz val="11"/>
        <color theme="1"/>
        <rFont val="Calibri"/>
        <family val="2"/>
        <scheme val="minor"/>
      </rPr>
      <t xml:space="preserve"> - Career plan
</t>
    </r>
    <r>
      <rPr>
        <b/>
        <sz val="11"/>
        <color theme="1"/>
        <rFont val="Calibri"/>
        <family val="2"/>
        <scheme val="minor"/>
      </rPr>
      <t>Both</t>
    </r>
    <r>
      <rPr>
        <sz val="11"/>
        <color theme="1"/>
        <rFont val="Calibri"/>
        <family val="2"/>
        <scheme val="minor"/>
      </rPr>
      <t xml:space="preserve"> - Both education and career plan
</t>
    </r>
    <r>
      <rPr>
        <b/>
        <sz val="11"/>
        <color theme="1"/>
        <rFont val="Calibri"/>
        <family val="2"/>
        <scheme val="minor"/>
      </rPr>
      <t>Other</t>
    </r>
    <r>
      <rPr>
        <sz val="11"/>
        <color theme="1"/>
        <rFont val="Calibri"/>
        <family val="2"/>
        <scheme val="minor"/>
      </rPr>
      <t xml:space="preserve"> - Other
</t>
    </r>
  </si>
  <si>
    <t>Individualized Program-&gt;Goal</t>
  </si>
  <si>
    <t>Individualized Program-&gt;Individualized Transition Plan</t>
  </si>
  <si>
    <r>
      <t>Family</t>
    </r>
    <r>
      <rPr>
        <sz val="11"/>
        <color theme="1"/>
        <rFont val="Calibri"/>
        <family val="2"/>
        <scheme val="minor"/>
      </rPr>
      <t xml:space="preserve"> - Family
</t>
    </r>
    <r>
      <rPr>
        <b/>
        <sz val="11"/>
        <color theme="1"/>
        <rFont val="Calibri"/>
        <family val="2"/>
        <scheme val="minor"/>
      </rPr>
      <t>Program</t>
    </r>
    <r>
      <rPr>
        <sz val="11"/>
        <color theme="1"/>
        <rFont val="Calibri"/>
        <family val="2"/>
        <scheme val="minor"/>
      </rPr>
      <t xml:space="preserve"> - Program
</t>
    </r>
    <r>
      <rPr>
        <b/>
        <sz val="11"/>
        <color theme="1"/>
        <rFont val="Calibri"/>
        <family val="2"/>
        <scheme val="minor"/>
      </rPr>
      <t>BeyondProgramControl</t>
    </r>
    <r>
      <rPr>
        <sz val="11"/>
        <color theme="1"/>
        <rFont val="Calibri"/>
        <family val="2"/>
        <scheme val="minor"/>
      </rPr>
      <t xml:space="preserve"> - Other beyond the control of the program
</t>
    </r>
    <r>
      <rPr>
        <b/>
        <sz val="11"/>
        <color theme="1"/>
        <rFont val="Calibri"/>
        <family val="2"/>
        <scheme val="minor"/>
      </rPr>
      <t>Promotion</t>
    </r>
    <r>
      <rPr>
        <sz val="11"/>
        <color theme="1"/>
        <rFont val="Calibri"/>
        <family val="2"/>
        <scheme val="minor"/>
      </rPr>
      <t xml:space="preserve"> - Promotion or advancement
</t>
    </r>
  </si>
  <si>
    <t>Child Outcome Summary</t>
  </si>
  <si>
    <r>
      <t>01</t>
    </r>
    <r>
      <rPr>
        <sz val="11"/>
        <color theme="1"/>
        <rFont val="Calibri"/>
        <family val="2"/>
        <scheme val="minor"/>
      </rPr>
      <t xml:space="preserve"> - Does not show functioning expected at age - does not include immediate foundational skills
</t>
    </r>
    <r>
      <rPr>
        <b/>
        <sz val="11"/>
        <color theme="1"/>
        <rFont val="Calibri"/>
        <family val="2"/>
        <scheme val="minor"/>
      </rPr>
      <t>02</t>
    </r>
    <r>
      <rPr>
        <sz val="11"/>
        <color theme="1"/>
        <rFont val="Calibri"/>
        <family val="2"/>
        <scheme val="minor"/>
      </rPr>
      <t xml:space="preserve"> - Occasionally uses immediate foundational skills across settings and situations
</t>
    </r>
    <r>
      <rPr>
        <b/>
        <sz val="11"/>
        <color theme="1"/>
        <rFont val="Calibri"/>
        <family val="2"/>
        <scheme val="minor"/>
      </rPr>
      <t>03</t>
    </r>
    <r>
      <rPr>
        <sz val="11"/>
        <color theme="1"/>
        <rFont val="Calibri"/>
        <family val="2"/>
        <scheme val="minor"/>
      </rPr>
      <t xml:space="preserve"> - Does not show functioning expected at age - uses immediate foundational skills
</t>
    </r>
    <r>
      <rPr>
        <b/>
        <sz val="11"/>
        <color theme="1"/>
        <rFont val="Calibri"/>
        <family val="2"/>
        <scheme val="minor"/>
      </rPr>
      <t>04</t>
    </r>
    <r>
      <rPr>
        <sz val="11"/>
        <color theme="1"/>
        <rFont val="Calibri"/>
        <family val="2"/>
        <scheme val="minor"/>
      </rPr>
      <t xml:space="preserve"> - Shows occasional age-appropriate functioning across settings and situations
</t>
    </r>
    <r>
      <rPr>
        <b/>
        <sz val="11"/>
        <color theme="1"/>
        <rFont val="Calibri"/>
        <family val="2"/>
        <scheme val="minor"/>
      </rPr>
      <t>05</t>
    </r>
    <r>
      <rPr>
        <sz val="11"/>
        <color theme="1"/>
        <rFont val="Calibri"/>
        <family val="2"/>
        <scheme val="minor"/>
      </rPr>
      <t xml:space="preserve"> - Shows functioning expected at age some of the time and/or in some settings and situations
</t>
    </r>
    <r>
      <rPr>
        <b/>
        <sz val="11"/>
        <color theme="1"/>
        <rFont val="Calibri"/>
        <family val="2"/>
        <scheme val="minor"/>
      </rPr>
      <t>06</t>
    </r>
    <r>
      <rPr>
        <sz val="11"/>
        <color theme="1"/>
        <rFont val="Calibri"/>
        <family val="2"/>
        <scheme val="minor"/>
      </rPr>
      <t xml:space="preserve"> - Functioning generally is considered appropriate for age but there are some significant concerns
</t>
    </r>
    <r>
      <rPr>
        <b/>
        <sz val="11"/>
        <color theme="1"/>
        <rFont val="Calibri"/>
        <family val="2"/>
        <scheme val="minor"/>
      </rPr>
      <t>07</t>
    </r>
    <r>
      <rPr>
        <sz val="11"/>
        <color theme="1"/>
        <rFont val="Calibri"/>
        <family val="2"/>
        <scheme val="minor"/>
      </rPr>
      <t xml:space="preserve"> - Shows functioning expected for age in all or almost all everyday situations
</t>
    </r>
  </si>
  <si>
    <r>
      <t>Baseline</t>
    </r>
    <r>
      <rPr>
        <sz val="11"/>
        <color theme="1"/>
        <rFont val="Calibri"/>
        <family val="2"/>
        <scheme val="minor"/>
      </rPr>
      <t xml:space="preserve"> - Baseline - at entry
</t>
    </r>
    <r>
      <rPr>
        <b/>
        <sz val="11"/>
        <color theme="1"/>
        <rFont val="Calibri"/>
        <family val="2"/>
        <scheme val="minor"/>
      </rPr>
      <t>AtExit</t>
    </r>
    <r>
      <rPr>
        <sz val="11"/>
        <color theme="1"/>
        <rFont val="Calibri"/>
        <family val="2"/>
        <scheme val="minor"/>
      </rPr>
      <t xml:space="preserve"> - At exit
</t>
    </r>
    <r>
      <rPr>
        <b/>
        <sz val="11"/>
        <color theme="1"/>
        <rFont val="Calibri"/>
        <family val="2"/>
        <scheme val="minor"/>
      </rPr>
      <t>No</t>
    </r>
    <r>
      <rPr>
        <sz val="11"/>
        <color theme="1"/>
        <rFont val="Calibri"/>
        <family val="2"/>
        <scheme val="minor"/>
      </rPr>
      <t xml:space="preserve"> - No
</t>
    </r>
    <r>
      <rPr>
        <b/>
        <sz val="11"/>
        <color theme="1"/>
        <rFont val="Calibri"/>
        <family val="2"/>
        <scheme val="minor"/>
      </rPr>
      <t>Other</t>
    </r>
    <r>
      <rPr>
        <sz val="11"/>
        <color theme="1"/>
        <rFont val="Calibri"/>
        <family val="2"/>
        <scheme val="minor"/>
      </rPr>
      <t xml:space="preserve"> - Other
</t>
    </r>
  </si>
  <si>
    <r>
      <t>Baseline</t>
    </r>
    <r>
      <rPr>
        <sz val="11"/>
        <color theme="1"/>
        <rFont val="Calibri"/>
        <family val="2"/>
        <scheme val="minor"/>
      </rPr>
      <t xml:space="preserve"> - Baseline - at entry
</t>
    </r>
    <r>
      <rPr>
        <b/>
        <sz val="11"/>
        <color theme="1"/>
        <rFont val="Calibri"/>
        <family val="2"/>
        <scheme val="minor"/>
      </rPr>
      <t>AtExit</t>
    </r>
    <r>
      <rPr>
        <sz val="11"/>
        <color theme="1"/>
        <rFont val="Calibri"/>
        <family val="2"/>
        <scheme val="minor"/>
      </rPr>
      <t xml:space="preserve"> - At exit
</t>
    </r>
    <r>
      <rPr>
        <b/>
        <sz val="11"/>
        <color theme="1"/>
        <rFont val="Calibri"/>
        <family val="2"/>
        <scheme val="minor"/>
      </rPr>
      <t>NA</t>
    </r>
    <r>
      <rPr>
        <sz val="11"/>
        <color theme="1"/>
        <rFont val="Calibri"/>
        <family val="2"/>
        <scheme val="minor"/>
      </rPr>
      <t xml:space="preserve"> - Not applicable
</t>
    </r>
    <r>
      <rPr>
        <b/>
        <sz val="11"/>
        <color theme="1"/>
        <rFont val="Calibri"/>
        <family val="2"/>
        <scheme val="minor"/>
      </rPr>
      <t>Other</t>
    </r>
    <r>
      <rPr>
        <sz val="11"/>
        <color theme="1"/>
        <rFont val="Calibri"/>
        <family val="2"/>
        <scheme val="minor"/>
      </rPr>
      <t xml:space="preserve"> - Other
</t>
    </r>
  </si>
  <si>
    <t>Program</t>
  </si>
  <si>
    <r>
      <t>73056</t>
    </r>
    <r>
      <rPr>
        <sz val="11"/>
        <color theme="1"/>
        <rFont val="Calibri"/>
        <family val="2"/>
        <scheme val="minor"/>
      </rPr>
      <t xml:space="preserve"> - Adult Basic Education
</t>
    </r>
    <r>
      <rPr>
        <b/>
        <sz val="11"/>
        <color theme="1"/>
        <rFont val="Calibri"/>
        <family val="2"/>
        <scheme val="minor"/>
      </rPr>
      <t>73058</t>
    </r>
    <r>
      <rPr>
        <sz val="11"/>
        <color theme="1"/>
        <rFont val="Calibri"/>
        <family val="2"/>
        <scheme val="minor"/>
      </rPr>
      <t xml:space="preserve"> - Adult English as a Second Language
</t>
    </r>
    <r>
      <rPr>
        <b/>
        <sz val="11"/>
        <color theme="1"/>
        <rFont val="Calibri"/>
        <family val="2"/>
        <scheme val="minor"/>
      </rPr>
      <t>73057</t>
    </r>
    <r>
      <rPr>
        <sz val="11"/>
        <color theme="1"/>
        <rFont val="Calibri"/>
        <family val="2"/>
        <scheme val="minor"/>
      </rPr>
      <t xml:space="preserve"> - Adult Secondary Education
</t>
    </r>
    <r>
      <rPr>
        <b/>
        <sz val="11"/>
        <color theme="1"/>
        <rFont val="Calibri"/>
        <family val="2"/>
        <scheme val="minor"/>
      </rPr>
      <t>04961</t>
    </r>
    <r>
      <rPr>
        <sz val="11"/>
        <color theme="1"/>
        <rFont val="Calibri"/>
        <family val="2"/>
        <scheme val="minor"/>
      </rPr>
      <t xml:space="preserve"> - Alternative Education
</t>
    </r>
    <r>
      <rPr>
        <b/>
        <sz val="11"/>
        <color theme="1"/>
        <rFont val="Calibri"/>
        <family val="2"/>
        <scheme val="minor"/>
      </rPr>
      <t>04932</t>
    </r>
    <r>
      <rPr>
        <sz val="11"/>
        <color theme="1"/>
        <rFont val="Calibri"/>
        <family val="2"/>
        <scheme val="minor"/>
      </rPr>
      <t xml:space="preserve"> - Athletics
</t>
    </r>
    <r>
      <rPr>
        <b/>
        <sz val="11"/>
        <color theme="1"/>
        <rFont val="Calibri"/>
        <family val="2"/>
        <scheme val="minor"/>
      </rPr>
      <t>04923</t>
    </r>
    <r>
      <rPr>
        <sz val="11"/>
        <color theme="1"/>
        <rFont val="Calibri"/>
        <family val="2"/>
        <scheme val="minor"/>
      </rPr>
      <t xml:space="preserve"> - Bilingual education program
</t>
    </r>
    <r>
      <rPr>
        <b/>
        <sz val="11"/>
        <color theme="1"/>
        <rFont val="Calibri"/>
        <family val="2"/>
        <scheme val="minor"/>
      </rPr>
      <t>04906</t>
    </r>
    <r>
      <rPr>
        <sz val="11"/>
        <color theme="1"/>
        <rFont val="Calibri"/>
        <family val="2"/>
        <scheme val="minor"/>
      </rPr>
      <t xml:space="preserve"> - Career and Technical Education
</t>
    </r>
    <r>
      <rPr>
        <b/>
        <sz val="11"/>
        <color theme="1"/>
        <rFont val="Calibri"/>
        <family val="2"/>
        <scheme val="minor"/>
      </rPr>
      <t>04931</t>
    </r>
    <r>
      <rPr>
        <sz val="11"/>
        <color theme="1"/>
        <rFont val="Calibri"/>
        <family val="2"/>
        <scheme val="minor"/>
      </rPr>
      <t xml:space="preserve"> - Cocurricular programs
</t>
    </r>
    <r>
      <rPr>
        <b/>
        <sz val="11"/>
        <color theme="1"/>
        <rFont val="Calibri"/>
        <family val="2"/>
        <scheme val="minor"/>
      </rPr>
      <t>04958</t>
    </r>
    <r>
      <rPr>
        <sz val="11"/>
        <color theme="1"/>
        <rFont val="Calibri"/>
        <family val="2"/>
        <scheme val="minor"/>
      </rPr>
      <t xml:space="preserve"> - College preparatory
</t>
    </r>
    <r>
      <rPr>
        <b/>
        <sz val="11"/>
        <color theme="1"/>
        <rFont val="Calibri"/>
        <family val="2"/>
        <scheme val="minor"/>
      </rPr>
      <t>04945</t>
    </r>
    <r>
      <rPr>
        <sz val="11"/>
        <color theme="1"/>
        <rFont val="Calibri"/>
        <family val="2"/>
        <scheme val="minor"/>
      </rPr>
      <t xml:space="preserve"> - Community service program
</t>
    </r>
    <r>
      <rPr>
        <b/>
        <sz val="11"/>
        <color theme="1"/>
        <rFont val="Calibri"/>
        <family val="2"/>
        <scheme val="minor"/>
      </rPr>
      <t>04944</t>
    </r>
    <r>
      <rPr>
        <sz val="11"/>
        <color theme="1"/>
        <rFont val="Calibri"/>
        <family val="2"/>
        <scheme val="minor"/>
      </rPr>
      <t xml:space="preserve"> - Community/junior college education program
</t>
    </r>
    <r>
      <rPr>
        <b/>
        <sz val="11"/>
        <color theme="1"/>
        <rFont val="Calibri"/>
        <family val="2"/>
        <scheme val="minor"/>
      </rPr>
      <t>04922</t>
    </r>
    <r>
      <rPr>
        <sz val="11"/>
        <color theme="1"/>
        <rFont val="Calibri"/>
        <family val="2"/>
        <scheme val="minor"/>
      </rPr>
      <t xml:space="preserve"> - Compensatory services for disadvantaged students
</t>
    </r>
    <r>
      <rPr>
        <b/>
        <sz val="11"/>
        <color theme="1"/>
        <rFont val="Calibri"/>
        <family val="2"/>
        <scheme val="minor"/>
      </rPr>
      <t>73059</t>
    </r>
    <r>
      <rPr>
        <sz val="11"/>
        <color theme="1"/>
        <rFont val="Calibri"/>
        <family val="2"/>
        <scheme val="minor"/>
      </rPr>
      <t xml:space="preserve"> - Continuing Education
</t>
    </r>
    <r>
      <rPr>
        <b/>
        <sz val="11"/>
        <color theme="1"/>
        <rFont val="Calibri"/>
        <family val="2"/>
        <scheme val="minor"/>
      </rPr>
      <t>04956</t>
    </r>
    <r>
      <rPr>
        <sz val="11"/>
        <color theme="1"/>
        <rFont val="Calibri"/>
        <family val="2"/>
        <scheme val="minor"/>
      </rPr>
      <t xml:space="preserve"> - Counseling services
</t>
    </r>
    <r>
      <rPr>
        <b/>
        <sz val="11"/>
        <color theme="1"/>
        <rFont val="Calibri"/>
        <family val="2"/>
        <scheme val="minor"/>
      </rPr>
      <t>14609</t>
    </r>
    <r>
      <rPr>
        <sz val="11"/>
        <color theme="1"/>
        <rFont val="Calibri"/>
        <family val="2"/>
        <scheme val="minor"/>
      </rPr>
      <t xml:space="preserve"> - Early Head Start
</t>
    </r>
    <r>
      <rPr>
        <b/>
        <sz val="11"/>
        <color theme="1"/>
        <rFont val="Calibri"/>
        <family val="2"/>
        <scheme val="minor"/>
      </rPr>
      <t>04928</t>
    </r>
    <r>
      <rPr>
        <sz val="11"/>
        <color theme="1"/>
        <rFont val="Calibri"/>
        <family val="2"/>
        <scheme val="minor"/>
      </rPr>
      <t xml:space="preserve"> - English as a second language (ESL) program
</t>
    </r>
    <r>
      <rPr>
        <b/>
        <sz val="11"/>
        <color theme="1"/>
        <rFont val="Calibri"/>
        <family val="2"/>
        <scheme val="minor"/>
      </rPr>
      <t>04919</t>
    </r>
    <r>
      <rPr>
        <sz val="11"/>
        <color theme="1"/>
        <rFont val="Calibri"/>
        <family val="2"/>
        <scheme val="minor"/>
      </rPr>
      <t xml:space="preserve"> - Even Start
</t>
    </r>
    <r>
      <rPr>
        <b/>
        <sz val="11"/>
        <color theme="1"/>
        <rFont val="Calibri"/>
        <family val="2"/>
        <scheme val="minor"/>
      </rPr>
      <t>04955</t>
    </r>
    <r>
      <rPr>
        <sz val="11"/>
        <color theme="1"/>
        <rFont val="Calibri"/>
        <family val="2"/>
        <scheme val="minor"/>
      </rPr>
      <t xml:space="preserve"> - Extended day/child care services
</t>
    </r>
    <r>
      <rPr>
        <b/>
        <sz val="11"/>
        <color theme="1"/>
        <rFont val="Calibri"/>
        <family val="2"/>
        <scheme val="minor"/>
      </rPr>
      <t>75000</t>
    </r>
    <r>
      <rPr>
        <sz val="11"/>
        <color theme="1"/>
        <rFont val="Calibri"/>
        <family val="2"/>
        <scheme val="minor"/>
      </rPr>
      <t xml:space="preserve"> - Foster Care
</t>
    </r>
    <r>
      <rPr>
        <b/>
        <sz val="11"/>
        <color theme="1"/>
        <rFont val="Calibri"/>
        <family val="2"/>
        <scheme val="minor"/>
      </rPr>
      <t>04930</t>
    </r>
    <r>
      <rPr>
        <sz val="11"/>
        <color theme="1"/>
        <rFont val="Calibri"/>
        <family val="2"/>
        <scheme val="minor"/>
      </rPr>
      <t xml:space="preserve"> - Gifted and talented program
</t>
    </r>
    <r>
      <rPr>
        <b/>
        <sz val="11"/>
        <color theme="1"/>
        <rFont val="Calibri"/>
        <family val="2"/>
        <scheme val="minor"/>
      </rPr>
      <t>04918</t>
    </r>
    <r>
      <rPr>
        <sz val="11"/>
        <color theme="1"/>
        <rFont val="Calibri"/>
        <family val="2"/>
        <scheme val="minor"/>
      </rPr>
      <t xml:space="preserve"> - Head start
</t>
    </r>
    <r>
      <rPr>
        <b/>
        <sz val="11"/>
        <color theme="1"/>
        <rFont val="Calibri"/>
        <family val="2"/>
        <scheme val="minor"/>
      </rPr>
      <t>04963</t>
    </r>
    <r>
      <rPr>
        <sz val="11"/>
        <color theme="1"/>
        <rFont val="Calibri"/>
        <family val="2"/>
        <scheme val="minor"/>
      </rPr>
      <t xml:space="preserve"> - Health Services Program
</t>
    </r>
    <r>
      <rPr>
        <b/>
        <sz val="11"/>
        <color theme="1"/>
        <rFont val="Calibri"/>
        <family val="2"/>
        <scheme val="minor"/>
      </rPr>
      <t>04957</t>
    </r>
    <r>
      <rPr>
        <sz val="11"/>
        <color theme="1"/>
        <rFont val="Calibri"/>
        <family val="2"/>
        <scheme val="minor"/>
      </rPr>
      <t xml:space="preserve"> - Immigrant education
</t>
    </r>
    <r>
      <rPr>
        <b/>
        <sz val="11"/>
        <color theme="1"/>
        <rFont val="Calibri"/>
        <family val="2"/>
        <scheme val="minor"/>
      </rPr>
      <t>04921</t>
    </r>
    <r>
      <rPr>
        <sz val="11"/>
        <color theme="1"/>
        <rFont val="Calibri"/>
        <family val="2"/>
        <scheme val="minor"/>
      </rPr>
      <t xml:space="preserve"> - Indian education
</t>
    </r>
    <r>
      <rPr>
        <b/>
        <sz val="11"/>
        <color theme="1"/>
        <rFont val="Calibri"/>
        <family val="2"/>
        <scheme val="minor"/>
      </rPr>
      <t>04959</t>
    </r>
    <r>
      <rPr>
        <sz val="11"/>
        <color theme="1"/>
        <rFont val="Calibri"/>
        <family val="2"/>
        <scheme val="minor"/>
      </rPr>
      <t xml:space="preserve"> - International Baccalaureate
</t>
    </r>
    <r>
      <rPr>
        <b/>
        <sz val="11"/>
        <color theme="1"/>
        <rFont val="Calibri"/>
        <family val="2"/>
        <scheme val="minor"/>
      </rPr>
      <t>04962</t>
    </r>
    <r>
      <rPr>
        <sz val="11"/>
        <color theme="1"/>
        <rFont val="Calibri"/>
        <family val="2"/>
        <scheme val="minor"/>
      </rPr>
      <t xml:space="preserve"> - Library/Media Services Program
</t>
    </r>
    <r>
      <rPr>
        <b/>
        <sz val="11"/>
        <color theme="1"/>
        <rFont val="Calibri"/>
        <family val="2"/>
        <scheme val="minor"/>
      </rPr>
      <t>04960</t>
    </r>
    <r>
      <rPr>
        <sz val="11"/>
        <color theme="1"/>
        <rFont val="Calibri"/>
        <family val="2"/>
        <scheme val="minor"/>
      </rPr>
      <t xml:space="preserve"> - Magnet/Special Program Emphasis
</t>
    </r>
    <r>
      <rPr>
        <b/>
        <sz val="11"/>
        <color theme="1"/>
        <rFont val="Calibri"/>
        <family val="2"/>
        <scheme val="minor"/>
      </rPr>
      <t>04920</t>
    </r>
    <r>
      <rPr>
        <sz val="11"/>
        <color theme="1"/>
        <rFont val="Calibri"/>
        <family val="2"/>
        <scheme val="minor"/>
      </rPr>
      <t xml:space="preserve"> - Migrant education
</t>
    </r>
    <r>
      <rPr>
        <b/>
        <sz val="11"/>
        <color theme="1"/>
        <rFont val="Calibri"/>
        <family val="2"/>
        <scheme val="minor"/>
      </rPr>
      <t>04887</t>
    </r>
    <r>
      <rPr>
        <sz val="11"/>
        <color theme="1"/>
        <rFont val="Calibri"/>
        <family val="2"/>
        <scheme val="minor"/>
      </rPr>
      <t xml:space="preserve"> - Regular education
</t>
    </r>
    <r>
      <rPr>
        <b/>
        <sz val="11"/>
        <color theme="1"/>
        <rFont val="Calibri"/>
        <family val="2"/>
        <scheme val="minor"/>
      </rPr>
      <t>04964</t>
    </r>
    <r>
      <rPr>
        <sz val="11"/>
        <color theme="1"/>
        <rFont val="Calibri"/>
        <family val="2"/>
        <scheme val="minor"/>
      </rPr>
      <t xml:space="preserve"> - Remedial education
</t>
    </r>
    <r>
      <rPr>
        <b/>
        <sz val="11"/>
        <color theme="1"/>
        <rFont val="Calibri"/>
        <family val="2"/>
        <scheme val="minor"/>
      </rPr>
      <t>04967</t>
    </r>
    <r>
      <rPr>
        <sz val="11"/>
        <color theme="1"/>
        <rFont val="Calibri"/>
        <family val="2"/>
        <scheme val="minor"/>
      </rPr>
      <t xml:space="preserve"> - Section 504 Placement
</t>
    </r>
    <r>
      <rPr>
        <b/>
        <sz val="11"/>
        <color theme="1"/>
        <rFont val="Calibri"/>
        <family val="2"/>
        <scheme val="minor"/>
      </rPr>
      <t>04966</t>
    </r>
    <r>
      <rPr>
        <sz val="11"/>
        <color theme="1"/>
        <rFont val="Calibri"/>
        <family val="2"/>
        <scheme val="minor"/>
      </rPr>
      <t xml:space="preserve"> - Service learning
</t>
    </r>
    <r>
      <rPr>
        <b/>
        <sz val="11"/>
        <color theme="1"/>
        <rFont val="Calibri"/>
        <family val="2"/>
        <scheme val="minor"/>
      </rPr>
      <t>04888</t>
    </r>
    <r>
      <rPr>
        <sz val="11"/>
        <color theme="1"/>
        <rFont val="Calibri"/>
        <family val="2"/>
        <scheme val="minor"/>
      </rPr>
      <t xml:space="preserve"> - Special Education Services
</t>
    </r>
    <r>
      <rPr>
        <b/>
        <sz val="11"/>
        <color theme="1"/>
        <rFont val="Calibri"/>
        <family val="2"/>
        <scheme val="minor"/>
      </rPr>
      <t>04954</t>
    </r>
    <r>
      <rPr>
        <sz val="11"/>
        <color theme="1"/>
        <rFont val="Calibri"/>
        <family val="2"/>
        <scheme val="minor"/>
      </rPr>
      <t xml:space="preserve"> - Student retention/ Dropout Prevention
</t>
    </r>
    <r>
      <rPr>
        <b/>
        <sz val="11"/>
        <color theme="1"/>
        <rFont val="Calibri"/>
        <family val="2"/>
        <scheme val="minor"/>
      </rPr>
      <t>04953</t>
    </r>
    <r>
      <rPr>
        <sz val="11"/>
        <color theme="1"/>
        <rFont val="Calibri"/>
        <family val="2"/>
        <scheme val="minor"/>
      </rPr>
      <t xml:space="preserve"> - Substance abuse education/prevention
</t>
    </r>
    <r>
      <rPr>
        <b/>
        <sz val="11"/>
        <color theme="1"/>
        <rFont val="Calibri"/>
        <family val="2"/>
        <scheme val="minor"/>
      </rPr>
      <t>73204</t>
    </r>
    <r>
      <rPr>
        <sz val="11"/>
        <color theme="1"/>
        <rFont val="Calibri"/>
        <family val="2"/>
        <scheme val="minor"/>
      </rPr>
      <t xml:space="preserve"> - Targeted intervention program
</t>
    </r>
    <r>
      <rPr>
        <b/>
        <sz val="11"/>
        <color theme="1"/>
        <rFont val="Calibri"/>
        <family val="2"/>
        <scheme val="minor"/>
      </rPr>
      <t>04968</t>
    </r>
    <r>
      <rPr>
        <sz val="11"/>
        <color theme="1"/>
        <rFont val="Calibri"/>
        <family val="2"/>
        <scheme val="minor"/>
      </rPr>
      <t xml:space="preserve"> - Teacher professional development / Mentoring
</t>
    </r>
    <r>
      <rPr>
        <b/>
        <sz val="11"/>
        <color theme="1"/>
        <rFont val="Calibri"/>
        <family val="2"/>
        <scheme val="minor"/>
      </rPr>
      <t>04917</t>
    </r>
    <r>
      <rPr>
        <sz val="11"/>
        <color theme="1"/>
        <rFont val="Calibri"/>
        <family val="2"/>
        <scheme val="minor"/>
      </rPr>
      <t xml:space="preserve"> - Technical preparatory
</t>
    </r>
    <r>
      <rPr>
        <b/>
        <sz val="11"/>
        <color theme="1"/>
        <rFont val="Calibri"/>
        <family val="2"/>
        <scheme val="minor"/>
      </rPr>
      <t>75001</t>
    </r>
    <r>
      <rPr>
        <sz val="11"/>
        <color theme="1"/>
        <rFont val="Calibri"/>
        <family val="2"/>
        <scheme val="minor"/>
      </rPr>
      <t xml:space="preserve"> - Title I
</t>
    </r>
    <r>
      <rPr>
        <b/>
        <sz val="11"/>
        <color theme="1"/>
        <rFont val="Calibri"/>
        <family val="2"/>
        <scheme val="minor"/>
      </rPr>
      <t>73090</t>
    </r>
    <r>
      <rPr>
        <sz val="11"/>
        <color theme="1"/>
        <rFont val="Calibri"/>
        <family val="2"/>
        <scheme val="minor"/>
      </rPr>
      <t xml:space="preserve"> - Work-based Learning Opportunities
</t>
    </r>
    <r>
      <rPr>
        <b/>
        <sz val="11"/>
        <color theme="1"/>
        <rFont val="Calibri"/>
        <family val="2"/>
        <scheme val="minor"/>
      </rPr>
      <t>09999</t>
    </r>
    <r>
      <rPr>
        <sz val="11"/>
        <color theme="1"/>
        <rFont val="Calibri"/>
        <family val="2"/>
        <scheme val="minor"/>
      </rPr>
      <t xml:space="preserve"> - Other
</t>
    </r>
  </si>
  <si>
    <r>
      <t>Referred</t>
    </r>
    <r>
      <rPr>
        <sz val="11"/>
        <color theme="1"/>
        <rFont val="Calibri"/>
        <family val="2"/>
        <scheme val="minor"/>
      </rPr>
      <t xml:space="preserve"> - Referred to program
</t>
    </r>
    <r>
      <rPr>
        <b/>
        <sz val="11"/>
        <color theme="1"/>
        <rFont val="Calibri"/>
        <family val="2"/>
        <scheme val="minor"/>
      </rPr>
      <t>Eligible</t>
    </r>
    <r>
      <rPr>
        <sz val="11"/>
        <color theme="1"/>
        <rFont val="Calibri"/>
        <family val="2"/>
        <scheme val="minor"/>
      </rPr>
      <t xml:space="preserve"> - Eligible for program
</t>
    </r>
    <r>
      <rPr>
        <b/>
        <sz val="11"/>
        <color theme="1"/>
        <rFont val="Calibri"/>
        <family val="2"/>
        <scheme val="minor"/>
      </rPr>
      <t>NotEligible</t>
    </r>
    <r>
      <rPr>
        <sz val="11"/>
        <color theme="1"/>
        <rFont val="Calibri"/>
        <family val="2"/>
        <scheme val="minor"/>
      </rPr>
      <t xml:space="preserve"> - Not eligible for program
</t>
    </r>
    <r>
      <rPr>
        <b/>
        <sz val="11"/>
        <color theme="1"/>
        <rFont val="Calibri"/>
        <family val="2"/>
        <scheme val="minor"/>
      </rPr>
      <t>Active</t>
    </r>
    <r>
      <rPr>
        <sz val="11"/>
        <color theme="1"/>
        <rFont val="Calibri"/>
        <family val="2"/>
        <scheme val="minor"/>
      </rPr>
      <t xml:space="preserve"> - Active in program
</t>
    </r>
    <r>
      <rPr>
        <b/>
        <sz val="11"/>
        <color theme="1"/>
        <rFont val="Calibri"/>
        <family val="2"/>
        <scheme val="minor"/>
      </rPr>
      <t>Exited</t>
    </r>
    <r>
      <rPr>
        <sz val="11"/>
        <color theme="1"/>
        <rFont val="Calibri"/>
        <family val="2"/>
        <scheme val="minor"/>
      </rPr>
      <t xml:space="preserve"> - Exited program
</t>
    </r>
    <r>
      <rPr>
        <b/>
        <sz val="11"/>
        <color theme="1"/>
        <rFont val="Calibri"/>
        <family val="2"/>
        <scheme val="minor"/>
      </rPr>
      <t>Withdrew</t>
    </r>
    <r>
      <rPr>
        <sz val="11"/>
        <color theme="1"/>
        <rFont val="Calibri"/>
        <family val="2"/>
        <scheme val="minor"/>
      </rPr>
      <t xml:space="preserve"> - Withdrew/refused program
</t>
    </r>
    <r>
      <rPr>
        <b/>
        <sz val="11"/>
        <color theme="1"/>
        <rFont val="Calibri"/>
        <family val="2"/>
        <scheme val="minor"/>
      </rPr>
      <t>Other</t>
    </r>
    <r>
      <rPr>
        <sz val="11"/>
        <color theme="1"/>
        <rFont val="Calibri"/>
        <family val="2"/>
        <scheme val="minor"/>
      </rPr>
      <t xml:space="preserve"> - Other
</t>
    </r>
  </si>
  <si>
    <t>Homeless</t>
  </si>
  <si>
    <r>
      <t>DoubledUp</t>
    </r>
    <r>
      <rPr>
        <sz val="11"/>
        <color theme="1"/>
        <rFont val="Calibri"/>
        <family val="2"/>
        <scheme val="minor"/>
      </rPr>
      <t xml:space="preserve"> - Doubled Up
</t>
    </r>
    <r>
      <rPr>
        <b/>
        <sz val="11"/>
        <color theme="1"/>
        <rFont val="Calibri"/>
        <family val="2"/>
        <scheme val="minor"/>
      </rPr>
      <t>Unsheltered</t>
    </r>
    <r>
      <rPr>
        <sz val="11"/>
        <color theme="1"/>
        <rFont val="Calibri"/>
        <family val="2"/>
        <scheme val="minor"/>
      </rPr>
      <t xml:space="preserve"> - Unsheltered
</t>
    </r>
    <r>
      <rPr>
        <b/>
        <sz val="11"/>
        <color theme="1"/>
        <rFont val="Calibri"/>
        <family val="2"/>
        <scheme val="minor"/>
      </rPr>
      <t>HotelMotel</t>
    </r>
    <r>
      <rPr>
        <sz val="11"/>
        <color theme="1"/>
        <rFont val="Calibri"/>
        <family val="2"/>
        <scheme val="minor"/>
      </rPr>
      <t xml:space="preserve"> - Hotels/Motels
</t>
    </r>
    <r>
      <rPr>
        <b/>
        <sz val="11"/>
        <color theme="1"/>
        <rFont val="Calibri"/>
        <family val="2"/>
        <scheme val="minor"/>
      </rPr>
      <t>Shelter</t>
    </r>
    <r>
      <rPr>
        <sz val="11"/>
        <color theme="1"/>
        <rFont val="Calibri"/>
        <family val="2"/>
        <scheme val="minor"/>
      </rPr>
      <t xml:space="preserve"> - Shelter
</t>
    </r>
    <r>
      <rPr>
        <b/>
        <sz val="11"/>
        <color theme="1"/>
        <rFont val="Calibri"/>
        <family val="2"/>
        <scheme val="minor"/>
      </rPr>
      <t>SheltersTransitionalHousing</t>
    </r>
    <r>
      <rPr>
        <sz val="11"/>
        <color theme="1"/>
        <rFont val="Calibri"/>
        <family val="2"/>
        <scheme val="minor"/>
      </rPr>
      <t xml:space="preserve"> - Shelters Transitional Housing
</t>
    </r>
    <r>
      <rPr>
        <b/>
        <sz val="11"/>
        <color theme="1"/>
        <rFont val="Calibri"/>
        <family val="2"/>
        <scheme val="minor"/>
      </rPr>
      <t>TransitionalHousing</t>
    </r>
    <r>
      <rPr>
        <sz val="11"/>
        <color theme="1"/>
        <rFont val="Calibri"/>
        <family val="2"/>
        <scheme val="minor"/>
      </rPr>
      <t xml:space="preserve"> - Transitional Housing
</t>
    </r>
  </si>
  <si>
    <t>Relationship</t>
  </si>
  <si>
    <r>
      <t>Aunt</t>
    </r>
    <r>
      <rPr>
        <sz val="11"/>
        <color theme="1"/>
        <rFont val="Calibri"/>
        <family val="2"/>
        <scheme val="minor"/>
      </rPr>
      <t xml:space="preserve"> - Aunt
</t>
    </r>
    <r>
      <rPr>
        <b/>
        <sz val="11"/>
        <color theme="1"/>
        <rFont val="Calibri"/>
        <family val="2"/>
        <scheme val="minor"/>
      </rPr>
      <t>Brother</t>
    </r>
    <r>
      <rPr>
        <sz val="11"/>
        <color theme="1"/>
        <rFont val="Calibri"/>
        <family val="2"/>
        <scheme val="minor"/>
      </rPr>
      <t xml:space="preserve"> - Brother
</t>
    </r>
    <r>
      <rPr>
        <b/>
        <sz val="11"/>
        <color theme="1"/>
        <rFont val="Calibri"/>
        <family val="2"/>
        <scheme val="minor"/>
      </rPr>
      <t>BrotherInLaw</t>
    </r>
    <r>
      <rPr>
        <sz val="11"/>
        <color theme="1"/>
        <rFont val="Calibri"/>
        <family val="2"/>
        <scheme val="minor"/>
      </rPr>
      <t xml:space="preserve"> - Brother-in-law
</t>
    </r>
    <r>
      <rPr>
        <b/>
        <sz val="11"/>
        <color theme="1"/>
        <rFont val="Calibri"/>
        <family val="2"/>
        <scheme val="minor"/>
      </rPr>
      <t>CourtAppointedGuardian</t>
    </r>
    <r>
      <rPr>
        <sz val="11"/>
        <color theme="1"/>
        <rFont val="Calibri"/>
        <family val="2"/>
        <scheme val="minor"/>
      </rPr>
      <t xml:space="preserve"> - Court appointed guardian
</t>
    </r>
    <r>
      <rPr>
        <b/>
        <sz val="11"/>
        <color theme="1"/>
        <rFont val="Calibri"/>
        <family val="2"/>
        <scheme val="minor"/>
      </rPr>
      <t>Daughter</t>
    </r>
    <r>
      <rPr>
        <sz val="11"/>
        <color theme="1"/>
        <rFont val="Calibri"/>
        <family val="2"/>
        <scheme val="minor"/>
      </rPr>
      <t xml:space="preserve"> - Daughter
</t>
    </r>
    <r>
      <rPr>
        <b/>
        <sz val="11"/>
        <color theme="1"/>
        <rFont val="Calibri"/>
        <family val="2"/>
        <scheme val="minor"/>
      </rPr>
      <t>DaughterInLaw</t>
    </r>
    <r>
      <rPr>
        <sz val="11"/>
        <color theme="1"/>
        <rFont val="Calibri"/>
        <family val="2"/>
        <scheme val="minor"/>
      </rPr>
      <t xml:space="preserve"> - Daughter-in-law
</t>
    </r>
    <r>
      <rPr>
        <b/>
        <sz val="11"/>
        <color theme="1"/>
        <rFont val="Calibri"/>
        <family val="2"/>
        <scheme val="minor"/>
      </rPr>
      <t>Employer</t>
    </r>
    <r>
      <rPr>
        <sz val="11"/>
        <color theme="1"/>
        <rFont val="Calibri"/>
        <family val="2"/>
        <scheme val="minor"/>
      </rPr>
      <t xml:space="preserve"> - Employer
</t>
    </r>
    <r>
      <rPr>
        <b/>
        <sz val="11"/>
        <color theme="1"/>
        <rFont val="Calibri"/>
        <family val="2"/>
        <scheme val="minor"/>
      </rPr>
      <t>Father</t>
    </r>
    <r>
      <rPr>
        <sz val="11"/>
        <color theme="1"/>
        <rFont val="Calibri"/>
        <family val="2"/>
        <scheme val="minor"/>
      </rPr>
      <t xml:space="preserve"> - Father
</t>
    </r>
    <r>
      <rPr>
        <b/>
        <sz val="11"/>
        <color theme="1"/>
        <rFont val="Calibri"/>
        <family val="2"/>
        <scheme val="minor"/>
      </rPr>
      <t>FathersSignificantOther</t>
    </r>
    <r>
      <rPr>
        <sz val="11"/>
        <color theme="1"/>
        <rFont val="Calibri"/>
        <family val="2"/>
        <scheme val="minor"/>
      </rPr>
      <t xml:space="preserve"> - Father's significant other
</t>
    </r>
    <r>
      <rPr>
        <b/>
        <sz val="11"/>
        <color theme="1"/>
        <rFont val="Calibri"/>
        <family val="2"/>
        <scheme val="minor"/>
      </rPr>
      <t>FathersCivilPartner</t>
    </r>
    <r>
      <rPr>
        <sz val="11"/>
        <color theme="1"/>
        <rFont val="Calibri"/>
        <family val="2"/>
        <scheme val="minor"/>
      </rPr>
      <t xml:space="preserve"> - Father's civil partner
</t>
    </r>
    <r>
      <rPr>
        <b/>
        <sz val="11"/>
        <color theme="1"/>
        <rFont val="Calibri"/>
        <family val="2"/>
        <scheme val="minor"/>
      </rPr>
      <t>FatherInLaw</t>
    </r>
    <r>
      <rPr>
        <sz val="11"/>
        <color theme="1"/>
        <rFont val="Calibri"/>
        <family val="2"/>
        <scheme val="minor"/>
      </rPr>
      <t xml:space="preserve"> - Father-in-law
</t>
    </r>
    <r>
      <rPr>
        <b/>
        <sz val="11"/>
        <color theme="1"/>
        <rFont val="Calibri"/>
        <family val="2"/>
        <scheme val="minor"/>
      </rPr>
      <t>Fiance</t>
    </r>
    <r>
      <rPr>
        <sz val="11"/>
        <color theme="1"/>
        <rFont val="Calibri"/>
        <family val="2"/>
        <scheme val="minor"/>
      </rPr>
      <t xml:space="preserve"> - Fiance
</t>
    </r>
    <r>
      <rPr>
        <b/>
        <sz val="11"/>
        <color theme="1"/>
        <rFont val="Calibri"/>
        <family val="2"/>
        <scheme val="minor"/>
      </rPr>
      <t>Fiancee</t>
    </r>
    <r>
      <rPr>
        <sz val="11"/>
        <color theme="1"/>
        <rFont val="Calibri"/>
        <family val="2"/>
        <scheme val="minor"/>
      </rPr>
      <t xml:space="preserve"> - Fiancee
</t>
    </r>
    <r>
      <rPr>
        <b/>
        <sz val="11"/>
        <color theme="1"/>
        <rFont val="Calibri"/>
        <family val="2"/>
        <scheme val="minor"/>
      </rPr>
      <t>Friend</t>
    </r>
    <r>
      <rPr>
        <sz val="11"/>
        <color theme="1"/>
        <rFont val="Calibri"/>
        <family val="2"/>
        <scheme val="minor"/>
      </rPr>
      <t xml:space="preserve"> - Friend
</t>
    </r>
    <r>
      <rPr>
        <b/>
        <sz val="11"/>
        <color theme="1"/>
        <rFont val="Calibri"/>
        <family val="2"/>
        <scheme val="minor"/>
      </rPr>
      <t>Grandfather</t>
    </r>
    <r>
      <rPr>
        <sz val="11"/>
        <color theme="1"/>
        <rFont val="Calibri"/>
        <family val="2"/>
        <scheme val="minor"/>
      </rPr>
      <t xml:space="preserve"> - Grandfather
</t>
    </r>
    <r>
      <rPr>
        <b/>
        <sz val="11"/>
        <color theme="1"/>
        <rFont val="Calibri"/>
        <family val="2"/>
        <scheme val="minor"/>
      </rPr>
      <t>Grandmother</t>
    </r>
    <r>
      <rPr>
        <sz val="11"/>
        <color theme="1"/>
        <rFont val="Calibri"/>
        <family val="2"/>
        <scheme val="minor"/>
      </rPr>
      <t xml:space="preserve"> - Grandmother
</t>
    </r>
    <r>
      <rPr>
        <b/>
        <sz val="11"/>
        <color theme="1"/>
        <rFont val="Calibri"/>
        <family val="2"/>
        <scheme val="minor"/>
      </rPr>
      <t>Husband</t>
    </r>
    <r>
      <rPr>
        <sz val="11"/>
        <color theme="1"/>
        <rFont val="Calibri"/>
        <family val="2"/>
        <scheme val="minor"/>
      </rPr>
      <t xml:space="preserve"> - Husband
</t>
    </r>
    <r>
      <rPr>
        <b/>
        <sz val="11"/>
        <color theme="1"/>
        <rFont val="Calibri"/>
        <family val="2"/>
        <scheme val="minor"/>
      </rPr>
      <t>MothersSignificantOther</t>
    </r>
    <r>
      <rPr>
        <sz val="11"/>
        <color theme="1"/>
        <rFont val="Calibri"/>
        <family val="2"/>
        <scheme val="minor"/>
      </rPr>
      <t xml:space="preserve"> - Mother's significant other
</t>
    </r>
    <r>
      <rPr>
        <b/>
        <sz val="11"/>
        <color theme="1"/>
        <rFont val="Calibri"/>
        <family val="2"/>
        <scheme val="minor"/>
      </rPr>
      <t>Mother</t>
    </r>
    <r>
      <rPr>
        <sz val="11"/>
        <color theme="1"/>
        <rFont val="Calibri"/>
        <family val="2"/>
        <scheme val="minor"/>
      </rPr>
      <t xml:space="preserve"> - Mother
</t>
    </r>
    <r>
      <rPr>
        <b/>
        <sz val="11"/>
        <color theme="1"/>
        <rFont val="Calibri"/>
        <family val="2"/>
        <scheme val="minor"/>
      </rPr>
      <t>MothersCivilPartner</t>
    </r>
    <r>
      <rPr>
        <sz val="11"/>
        <color theme="1"/>
        <rFont val="Calibri"/>
        <family val="2"/>
        <scheme val="minor"/>
      </rPr>
      <t xml:space="preserve"> - Mother's civil partner
</t>
    </r>
    <r>
      <rPr>
        <b/>
        <sz val="11"/>
        <color theme="1"/>
        <rFont val="Calibri"/>
        <family val="2"/>
        <scheme val="minor"/>
      </rPr>
      <t>Nephew</t>
    </r>
    <r>
      <rPr>
        <sz val="11"/>
        <color theme="1"/>
        <rFont val="Calibri"/>
        <family val="2"/>
        <scheme val="minor"/>
      </rPr>
      <t xml:space="preserve"> - Nephew
</t>
    </r>
    <r>
      <rPr>
        <b/>
        <sz val="11"/>
        <color theme="1"/>
        <rFont val="Calibri"/>
        <family val="2"/>
        <scheme val="minor"/>
      </rPr>
      <t>Niece</t>
    </r>
    <r>
      <rPr>
        <sz val="11"/>
        <color theme="1"/>
        <rFont val="Calibri"/>
        <family val="2"/>
        <scheme val="minor"/>
      </rPr>
      <t xml:space="preserve"> - Niece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SignificantOther</t>
    </r>
    <r>
      <rPr>
        <sz val="11"/>
        <color theme="1"/>
        <rFont val="Calibri"/>
        <family val="2"/>
        <scheme val="minor"/>
      </rPr>
      <t xml:space="preserve"> - Significant other
</t>
    </r>
    <r>
      <rPr>
        <b/>
        <sz val="11"/>
        <color theme="1"/>
        <rFont val="Calibri"/>
        <family val="2"/>
        <scheme val="minor"/>
      </rPr>
      <t>Sister</t>
    </r>
    <r>
      <rPr>
        <sz val="11"/>
        <color theme="1"/>
        <rFont val="Calibri"/>
        <family val="2"/>
        <scheme val="minor"/>
      </rPr>
      <t xml:space="preserve"> - Sister
</t>
    </r>
    <r>
      <rPr>
        <b/>
        <sz val="11"/>
        <color theme="1"/>
        <rFont val="Calibri"/>
        <family val="2"/>
        <scheme val="minor"/>
      </rPr>
      <t>Son</t>
    </r>
    <r>
      <rPr>
        <sz val="11"/>
        <color theme="1"/>
        <rFont val="Calibri"/>
        <family val="2"/>
        <scheme val="minor"/>
      </rPr>
      <t xml:space="preserve"> - Son
</t>
    </r>
    <r>
      <rPr>
        <b/>
        <sz val="11"/>
        <color theme="1"/>
        <rFont val="Calibri"/>
        <family val="2"/>
        <scheme val="minor"/>
      </rPr>
      <t>Unknown</t>
    </r>
    <r>
      <rPr>
        <sz val="11"/>
        <color theme="1"/>
        <rFont val="Calibri"/>
        <family val="2"/>
        <scheme val="minor"/>
      </rPr>
      <t xml:space="preserve"> - Unknown
</t>
    </r>
    <r>
      <rPr>
        <b/>
        <sz val="11"/>
        <color theme="1"/>
        <rFont val="Calibri"/>
        <family val="2"/>
        <scheme val="minor"/>
      </rPr>
      <t>Uncle</t>
    </r>
    <r>
      <rPr>
        <sz val="11"/>
        <color theme="1"/>
        <rFont val="Calibri"/>
        <family val="2"/>
        <scheme val="minor"/>
      </rPr>
      <t xml:space="preserve"> - Uncle
</t>
    </r>
    <r>
      <rPr>
        <b/>
        <sz val="11"/>
        <color theme="1"/>
        <rFont val="Calibri"/>
        <family val="2"/>
        <scheme val="minor"/>
      </rPr>
      <t>Ward</t>
    </r>
    <r>
      <rPr>
        <sz val="11"/>
        <color theme="1"/>
        <rFont val="Calibri"/>
        <family val="2"/>
        <scheme val="minor"/>
      </rPr>
      <t xml:space="preserve"> - Ward
</t>
    </r>
    <r>
      <rPr>
        <b/>
        <sz val="11"/>
        <color theme="1"/>
        <rFont val="Calibri"/>
        <family val="2"/>
        <scheme val="minor"/>
      </rPr>
      <t>Wife</t>
    </r>
    <r>
      <rPr>
        <sz val="11"/>
        <color theme="1"/>
        <rFont val="Calibri"/>
        <family val="2"/>
        <scheme val="minor"/>
      </rPr>
      <t xml:space="preserve"> - Wife
</t>
    </r>
    <r>
      <rPr>
        <b/>
        <sz val="11"/>
        <color theme="1"/>
        <rFont val="Calibri"/>
        <family val="2"/>
        <scheme val="minor"/>
      </rPr>
      <t>AdoptedDaughter</t>
    </r>
    <r>
      <rPr>
        <sz val="11"/>
        <color theme="1"/>
        <rFont val="Calibri"/>
        <family val="2"/>
        <scheme val="minor"/>
      </rPr>
      <t xml:space="preserve"> - Adopted Daughter
</t>
    </r>
    <r>
      <rPr>
        <b/>
        <sz val="11"/>
        <color theme="1"/>
        <rFont val="Calibri"/>
        <family val="2"/>
        <scheme val="minor"/>
      </rPr>
      <t>AdoptedSon</t>
    </r>
    <r>
      <rPr>
        <sz val="11"/>
        <color theme="1"/>
        <rFont val="Calibri"/>
        <family val="2"/>
        <scheme val="minor"/>
      </rPr>
      <t xml:space="preserve"> - Adopted son
</t>
    </r>
    <r>
      <rPr>
        <b/>
        <sz val="11"/>
        <color theme="1"/>
        <rFont val="Calibri"/>
        <family val="2"/>
        <scheme val="minor"/>
      </rPr>
      <t>AdoptiveParent</t>
    </r>
    <r>
      <rPr>
        <sz val="11"/>
        <color theme="1"/>
        <rFont val="Calibri"/>
        <family val="2"/>
        <scheme val="minor"/>
      </rPr>
      <t xml:space="preserve"> - Adoptive parent
</t>
    </r>
    <r>
      <rPr>
        <b/>
        <sz val="11"/>
        <color theme="1"/>
        <rFont val="Calibri"/>
        <family val="2"/>
        <scheme val="minor"/>
      </rPr>
      <t>Advisor</t>
    </r>
    <r>
      <rPr>
        <sz val="11"/>
        <color theme="1"/>
        <rFont val="Calibri"/>
        <family val="2"/>
        <scheme val="minor"/>
      </rPr>
      <t xml:space="preserve"> - Advisor
</t>
    </r>
    <r>
      <rPr>
        <b/>
        <sz val="11"/>
        <color theme="1"/>
        <rFont val="Calibri"/>
        <family val="2"/>
        <scheme val="minor"/>
      </rPr>
      <t>AgencyRepresentative</t>
    </r>
    <r>
      <rPr>
        <sz val="11"/>
        <color theme="1"/>
        <rFont val="Calibri"/>
        <family val="2"/>
        <scheme val="minor"/>
      </rPr>
      <t xml:space="preserve"> - Agency representative
</t>
    </r>
    <r>
      <rPr>
        <b/>
        <sz val="11"/>
        <color theme="1"/>
        <rFont val="Calibri"/>
        <family val="2"/>
        <scheme val="minor"/>
      </rPr>
      <t>Cousin</t>
    </r>
    <r>
      <rPr>
        <sz val="11"/>
        <color theme="1"/>
        <rFont val="Calibri"/>
        <family val="2"/>
        <scheme val="minor"/>
      </rPr>
      <t xml:space="preserve"> - Cousin
</t>
    </r>
    <r>
      <rPr>
        <b/>
        <sz val="11"/>
        <color theme="1"/>
        <rFont val="Calibri"/>
        <family val="2"/>
        <scheme val="minor"/>
      </rPr>
      <t>Dependent</t>
    </r>
    <r>
      <rPr>
        <sz val="11"/>
        <color theme="1"/>
        <rFont val="Calibri"/>
        <family val="2"/>
        <scheme val="minor"/>
      </rPr>
      <t xml:space="preserve"> - Dependent
</t>
    </r>
    <r>
      <rPr>
        <b/>
        <sz val="11"/>
        <color theme="1"/>
        <rFont val="Calibri"/>
        <family val="2"/>
        <scheme val="minor"/>
      </rPr>
      <t>FamilyMember</t>
    </r>
    <r>
      <rPr>
        <sz val="11"/>
        <color theme="1"/>
        <rFont val="Calibri"/>
        <family val="2"/>
        <scheme val="minor"/>
      </rPr>
      <t xml:space="preserve"> - Family member
</t>
    </r>
    <r>
      <rPr>
        <b/>
        <sz val="11"/>
        <color theme="1"/>
        <rFont val="Calibri"/>
        <family val="2"/>
        <scheme val="minor"/>
      </rPr>
      <t>FormerHusband</t>
    </r>
    <r>
      <rPr>
        <sz val="11"/>
        <color theme="1"/>
        <rFont val="Calibri"/>
        <family val="2"/>
        <scheme val="minor"/>
      </rPr>
      <t xml:space="preserve"> - Former husband
</t>
    </r>
    <r>
      <rPr>
        <b/>
        <sz val="11"/>
        <color theme="1"/>
        <rFont val="Calibri"/>
        <family val="2"/>
        <scheme val="minor"/>
      </rPr>
      <t>FormerWife</t>
    </r>
    <r>
      <rPr>
        <sz val="11"/>
        <color theme="1"/>
        <rFont val="Calibri"/>
        <family val="2"/>
        <scheme val="minor"/>
      </rPr>
      <t xml:space="preserve"> - Former wife
</t>
    </r>
    <r>
      <rPr>
        <b/>
        <sz val="11"/>
        <color theme="1"/>
        <rFont val="Calibri"/>
        <family val="2"/>
        <scheme val="minor"/>
      </rPr>
      <t>FosterDaughter</t>
    </r>
    <r>
      <rPr>
        <sz val="11"/>
        <color theme="1"/>
        <rFont val="Calibri"/>
        <family val="2"/>
        <scheme val="minor"/>
      </rPr>
      <t xml:space="preserve"> - Foster daughter
</t>
    </r>
    <r>
      <rPr>
        <b/>
        <sz val="11"/>
        <color theme="1"/>
        <rFont val="Calibri"/>
        <family val="2"/>
        <scheme val="minor"/>
      </rPr>
      <t>FosterFather</t>
    </r>
    <r>
      <rPr>
        <sz val="11"/>
        <color theme="1"/>
        <rFont val="Calibri"/>
        <family val="2"/>
        <scheme val="minor"/>
      </rPr>
      <t xml:space="preserve"> - Foster father
</t>
    </r>
    <r>
      <rPr>
        <b/>
        <sz val="11"/>
        <color theme="1"/>
        <rFont val="Calibri"/>
        <family val="2"/>
        <scheme val="minor"/>
      </rPr>
      <t>FosterMother</t>
    </r>
    <r>
      <rPr>
        <sz val="11"/>
        <color theme="1"/>
        <rFont val="Calibri"/>
        <family val="2"/>
        <scheme val="minor"/>
      </rPr>
      <t xml:space="preserve"> - Foster mother
</t>
    </r>
    <r>
      <rPr>
        <b/>
        <sz val="11"/>
        <color theme="1"/>
        <rFont val="Calibri"/>
        <family val="2"/>
        <scheme val="minor"/>
      </rPr>
      <t>FosterParent</t>
    </r>
    <r>
      <rPr>
        <sz val="11"/>
        <color theme="1"/>
        <rFont val="Calibri"/>
        <family val="2"/>
        <scheme val="minor"/>
      </rPr>
      <t xml:space="preserve"> - Foster Parent
</t>
    </r>
    <r>
      <rPr>
        <b/>
        <sz val="11"/>
        <color theme="1"/>
        <rFont val="Calibri"/>
        <family val="2"/>
        <scheme val="minor"/>
      </rPr>
      <t>FosterSon</t>
    </r>
    <r>
      <rPr>
        <sz val="11"/>
        <color theme="1"/>
        <rFont val="Calibri"/>
        <family val="2"/>
        <scheme val="minor"/>
      </rPr>
      <t xml:space="preserve"> - Foster son
</t>
    </r>
    <r>
      <rPr>
        <b/>
        <sz val="11"/>
        <color theme="1"/>
        <rFont val="Calibri"/>
        <family val="2"/>
        <scheme val="minor"/>
      </rPr>
      <t>Godparent</t>
    </r>
    <r>
      <rPr>
        <sz val="11"/>
        <color theme="1"/>
        <rFont val="Calibri"/>
        <family val="2"/>
        <scheme val="minor"/>
      </rPr>
      <t xml:space="preserve"> - Godparent
</t>
    </r>
    <r>
      <rPr>
        <b/>
        <sz val="11"/>
        <color theme="1"/>
        <rFont val="Calibri"/>
        <family val="2"/>
        <scheme val="minor"/>
      </rPr>
      <t>Granddaughter</t>
    </r>
    <r>
      <rPr>
        <sz val="11"/>
        <color theme="1"/>
        <rFont val="Calibri"/>
        <family val="2"/>
        <scheme val="minor"/>
      </rPr>
      <t xml:space="preserve"> - Granddaughter
</t>
    </r>
    <r>
      <rPr>
        <b/>
        <sz val="11"/>
        <color theme="1"/>
        <rFont val="Calibri"/>
        <family val="2"/>
        <scheme val="minor"/>
      </rPr>
      <t>Grandparent</t>
    </r>
    <r>
      <rPr>
        <sz val="11"/>
        <color theme="1"/>
        <rFont val="Calibri"/>
        <family val="2"/>
        <scheme val="minor"/>
      </rPr>
      <t xml:space="preserve"> - Grandparent
</t>
    </r>
    <r>
      <rPr>
        <b/>
        <sz val="11"/>
        <color theme="1"/>
        <rFont val="Calibri"/>
        <family val="2"/>
        <scheme val="minor"/>
      </rPr>
      <t>Grandson</t>
    </r>
    <r>
      <rPr>
        <sz val="11"/>
        <color theme="1"/>
        <rFont val="Calibri"/>
        <family val="2"/>
        <scheme val="minor"/>
      </rPr>
      <t xml:space="preserve"> - Grandson
</t>
    </r>
    <r>
      <rPr>
        <b/>
        <sz val="11"/>
        <color theme="1"/>
        <rFont val="Calibri"/>
        <family val="2"/>
        <scheme val="minor"/>
      </rPr>
      <t>GreatAunt</t>
    </r>
    <r>
      <rPr>
        <sz val="11"/>
        <color theme="1"/>
        <rFont val="Calibri"/>
        <family val="2"/>
        <scheme val="minor"/>
      </rPr>
      <t xml:space="preserve"> - Great aunt
</t>
    </r>
    <r>
      <rPr>
        <b/>
        <sz val="11"/>
        <color theme="1"/>
        <rFont val="Calibri"/>
        <family val="2"/>
        <scheme val="minor"/>
      </rPr>
      <t>GreatGrandparent</t>
    </r>
    <r>
      <rPr>
        <sz val="11"/>
        <color theme="1"/>
        <rFont val="Calibri"/>
        <family val="2"/>
        <scheme val="minor"/>
      </rPr>
      <t xml:space="preserve"> - Great grandparent
</t>
    </r>
    <r>
      <rPr>
        <b/>
        <sz val="11"/>
        <color theme="1"/>
        <rFont val="Calibri"/>
        <family val="2"/>
        <scheme val="minor"/>
      </rPr>
      <t>GreatUncle</t>
    </r>
    <r>
      <rPr>
        <sz val="11"/>
        <color theme="1"/>
        <rFont val="Calibri"/>
        <family val="2"/>
        <scheme val="minor"/>
      </rPr>
      <t xml:space="preserve"> - Great uncle
</t>
    </r>
    <r>
      <rPr>
        <b/>
        <sz val="11"/>
        <color theme="1"/>
        <rFont val="Calibri"/>
        <family val="2"/>
        <scheme val="minor"/>
      </rPr>
      <t>HalfBrother</t>
    </r>
    <r>
      <rPr>
        <sz val="11"/>
        <color theme="1"/>
        <rFont val="Calibri"/>
        <family val="2"/>
        <scheme val="minor"/>
      </rPr>
      <t xml:space="preserve"> - Half-brother
</t>
    </r>
    <r>
      <rPr>
        <b/>
        <sz val="11"/>
        <color theme="1"/>
        <rFont val="Calibri"/>
        <family val="2"/>
        <scheme val="minor"/>
      </rPr>
      <t>HalfSister</t>
    </r>
    <r>
      <rPr>
        <sz val="11"/>
        <color theme="1"/>
        <rFont val="Calibri"/>
        <family val="2"/>
        <scheme val="minor"/>
      </rPr>
      <t xml:space="preserve"> - Half-sister
</t>
    </r>
    <r>
      <rPr>
        <b/>
        <sz val="11"/>
        <color theme="1"/>
        <rFont val="Calibri"/>
        <family val="2"/>
        <scheme val="minor"/>
      </rPr>
      <t>LifePartner</t>
    </r>
    <r>
      <rPr>
        <sz val="11"/>
        <color theme="1"/>
        <rFont val="Calibri"/>
        <family val="2"/>
        <scheme val="minor"/>
      </rPr>
      <t xml:space="preserve"> - Life partner
</t>
    </r>
    <r>
      <rPr>
        <b/>
        <sz val="11"/>
        <color theme="1"/>
        <rFont val="Calibri"/>
        <family val="2"/>
        <scheme val="minor"/>
      </rPr>
      <t>LifePartnerOfParent</t>
    </r>
    <r>
      <rPr>
        <sz val="11"/>
        <color theme="1"/>
        <rFont val="Calibri"/>
        <family val="2"/>
        <scheme val="minor"/>
      </rPr>
      <t xml:space="preserve"> - Life partner of parent
</t>
    </r>
    <r>
      <rPr>
        <b/>
        <sz val="11"/>
        <color theme="1"/>
        <rFont val="Calibri"/>
        <family val="2"/>
        <scheme val="minor"/>
      </rPr>
      <t>MotherInLaw</t>
    </r>
    <r>
      <rPr>
        <sz val="11"/>
        <color theme="1"/>
        <rFont val="Calibri"/>
        <family val="2"/>
        <scheme val="minor"/>
      </rPr>
      <t xml:space="preserve"> - Mother-in-law
</t>
    </r>
    <r>
      <rPr>
        <b/>
        <sz val="11"/>
        <color theme="1"/>
        <rFont val="Calibri"/>
        <family val="2"/>
        <scheme val="minor"/>
      </rPr>
      <t>Neighbor</t>
    </r>
    <r>
      <rPr>
        <sz val="11"/>
        <color theme="1"/>
        <rFont val="Calibri"/>
        <family val="2"/>
        <scheme val="minor"/>
      </rPr>
      <t xml:space="preserve"> - Neighbor
</t>
    </r>
    <r>
      <rPr>
        <b/>
        <sz val="11"/>
        <color theme="1"/>
        <rFont val="Calibri"/>
        <family val="2"/>
        <scheme val="minor"/>
      </rPr>
      <t>Parent</t>
    </r>
    <r>
      <rPr>
        <sz val="11"/>
        <color theme="1"/>
        <rFont val="Calibri"/>
        <family val="2"/>
        <scheme val="minor"/>
      </rPr>
      <t xml:space="preserve"> - Parent
</t>
    </r>
    <r>
      <rPr>
        <b/>
        <sz val="11"/>
        <color theme="1"/>
        <rFont val="Calibri"/>
        <family val="2"/>
        <scheme val="minor"/>
      </rPr>
      <t>Partner</t>
    </r>
    <r>
      <rPr>
        <sz val="11"/>
        <color theme="1"/>
        <rFont val="Calibri"/>
        <family val="2"/>
        <scheme val="minor"/>
      </rPr>
      <t xml:space="preserve"> - Partner
</t>
    </r>
    <r>
      <rPr>
        <b/>
        <sz val="11"/>
        <color theme="1"/>
        <rFont val="Calibri"/>
        <family val="2"/>
        <scheme val="minor"/>
      </rPr>
      <t>PartnerOfParent</t>
    </r>
    <r>
      <rPr>
        <sz val="11"/>
        <color theme="1"/>
        <rFont val="Calibri"/>
        <family val="2"/>
        <scheme val="minor"/>
      </rPr>
      <t xml:space="preserve"> - Partner of parent
</t>
    </r>
    <r>
      <rPr>
        <b/>
        <sz val="11"/>
        <color theme="1"/>
        <rFont val="Calibri"/>
        <family val="2"/>
        <scheme val="minor"/>
      </rPr>
      <t>ProbationOfficer</t>
    </r>
    <r>
      <rPr>
        <sz val="11"/>
        <color theme="1"/>
        <rFont val="Calibri"/>
        <family val="2"/>
        <scheme val="minor"/>
      </rPr>
      <t xml:space="preserve"> - Probation officer
</t>
    </r>
    <r>
      <rPr>
        <b/>
        <sz val="11"/>
        <color theme="1"/>
        <rFont val="Calibri"/>
        <family val="2"/>
        <scheme val="minor"/>
      </rPr>
      <t>Relative</t>
    </r>
    <r>
      <rPr>
        <sz val="11"/>
        <color theme="1"/>
        <rFont val="Calibri"/>
        <family val="2"/>
        <scheme val="minor"/>
      </rPr>
      <t xml:space="preserve"> - Relative
</t>
    </r>
    <r>
      <rPr>
        <b/>
        <sz val="11"/>
        <color theme="1"/>
        <rFont val="Calibri"/>
        <family val="2"/>
        <scheme val="minor"/>
      </rPr>
      <t>Sibling</t>
    </r>
    <r>
      <rPr>
        <sz val="11"/>
        <color theme="1"/>
        <rFont val="Calibri"/>
        <family val="2"/>
        <scheme val="minor"/>
      </rPr>
      <t xml:space="preserve"> - Sibling
</t>
    </r>
    <r>
      <rPr>
        <b/>
        <sz val="11"/>
        <color theme="1"/>
        <rFont val="Calibri"/>
        <family val="2"/>
        <scheme val="minor"/>
      </rPr>
      <t>SisterInLaw</t>
    </r>
    <r>
      <rPr>
        <sz val="11"/>
        <color theme="1"/>
        <rFont val="Calibri"/>
        <family val="2"/>
        <scheme val="minor"/>
      </rPr>
      <t xml:space="preserve"> - Sister-in-law
</t>
    </r>
    <r>
      <rPr>
        <b/>
        <sz val="11"/>
        <color theme="1"/>
        <rFont val="Calibri"/>
        <family val="2"/>
        <scheme val="minor"/>
      </rPr>
      <t>SonInLaw</t>
    </r>
    <r>
      <rPr>
        <sz val="11"/>
        <color theme="1"/>
        <rFont val="Calibri"/>
        <family val="2"/>
        <scheme val="minor"/>
      </rPr>
      <t xml:space="preserve"> - Son-in-law
</t>
    </r>
    <r>
      <rPr>
        <b/>
        <sz val="11"/>
        <color theme="1"/>
        <rFont val="Calibri"/>
        <family val="2"/>
        <scheme val="minor"/>
      </rPr>
      <t>Spouse</t>
    </r>
    <r>
      <rPr>
        <sz val="11"/>
        <color theme="1"/>
        <rFont val="Calibri"/>
        <family val="2"/>
        <scheme val="minor"/>
      </rPr>
      <t xml:space="preserve"> - Spouse
</t>
    </r>
    <r>
      <rPr>
        <b/>
        <sz val="11"/>
        <color theme="1"/>
        <rFont val="Calibri"/>
        <family val="2"/>
        <scheme val="minor"/>
      </rPr>
      <t>Stepbrother</t>
    </r>
    <r>
      <rPr>
        <sz val="11"/>
        <color theme="1"/>
        <rFont val="Calibri"/>
        <family val="2"/>
        <scheme val="minor"/>
      </rPr>
      <t xml:space="preserve"> - Stepbrother
</t>
    </r>
    <r>
      <rPr>
        <b/>
        <sz val="11"/>
        <color theme="1"/>
        <rFont val="Calibri"/>
        <family val="2"/>
        <scheme val="minor"/>
      </rPr>
      <t>Stepdaughter</t>
    </r>
    <r>
      <rPr>
        <sz val="11"/>
        <color theme="1"/>
        <rFont val="Calibri"/>
        <family val="2"/>
        <scheme val="minor"/>
      </rPr>
      <t xml:space="preserve"> - Stepdaughter
</t>
    </r>
    <r>
      <rPr>
        <b/>
        <sz val="11"/>
        <color theme="1"/>
        <rFont val="Calibri"/>
        <family val="2"/>
        <scheme val="minor"/>
      </rPr>
      <t>Stepfather</t>
    </r>
    <r>
      <rPr>
        <sz val="11"/>
        <color theme="1"/>
        <rFont val="Calibri"/>
        <family val="2"/>
        <scheme val="minor"/>
      </rPr>
      <t xml:space="preserve"> - Stepfather
</t>
    </r>
    <r>
      <rPr>
        <b/>
        <sz val="11"/>
        <color theme="1"/>
        <rFont val="Calibri"/>
        <family val="2"/>
        <scheme val="minor"/>
      </rPr>
      <t>Stepmother</t>
    </r>
    <r>
      <rPr>
        <sz val="11"/>
        <color theme="1"/>
        <rFont val="Calibri"/>
        <family val="2"/>
        <scheme val="minor"/>
      </rPr>
      <t xml:space="preserve"> - Stepmother
</t>
    </r>
    <r>
      <rPr>
        <b/>
        <sz val="11"/>
        <color theme="1"/>
        <rFont val="Calibri"/>
        <family val="2"/>
        <scheme val="minor"/>
      </rPr>
      <t>Stepparent</t>
    </r>
    <r>
      <rPr>
        <sz val="11"/>
        <color theme="1"/>
        <rFont val="Calibri"/>
        <family val="2"/>
        <scheme val="minor"/>
      </rPr>
      <t xml:space="preserve"> - Stepparent
</t>
    </r>
    <r>
      <rPr>
        <b/>
        <sz val="11"/>
        <color theme="1"/>
        <rFont val="Calibri"/>
        <family val="2"/>
        <scheme val="minor"/>
      </rPr>
      <t>Stepsister</t>
    </r>
    <r>
      <rPr>
        <sz val="11"/>
        <color theme="1"/>
        <rFont val="Calibri"/>
        <family val="2"/>
        <scheme val="minor"/>
      </rPr>
      <t xml:space="preserve"> - Stepsister
</t>
    </r>
    <r>
      <rPr>
        <b/>
        <sz val="11"/>
        <color theme="1"/>
        <rFont val="Calibri"/>
        <family val="2"/>
        <scheme val="minor"/>
      </rPr>
      <t>Stepson</t>
    </r>
    <r>
      <rPr>
        <sz val="11"/>
        <color theme="1"/>
        <rFont val="Calibri"/>
        <family val="2"/>
        <scheme val="minor"/>
      </rPr>
      <t xml:space="preserve"> - Stepson
</t>
    </r>
  </si>
  <si>
    <t>Parent/Guardian</t>
  </si>
  <si>
    <r>
      <t>SSN</t>
    </r>
    <r>
      <rPr>
        <sz val="11"/>
        <color theme="1"/>
        <rFont val="Calibri"/>
        <family val="2"/>
        <scheme val="minor"/>
      </rPr>
      <t xml:space="preserve"> - Social Security Administration number
</t>
    </r>
    <r>
      <rPr>
        <b/>
        <sz val="11"/>
        <color theme="1"/>
        <rFont val="Calibri"/>
        <family val="2"/>
        <scheme val="minor"/>
      </rPr>
      <t>USVisa</t>
    </r>
    <r>
      <rPr>
        <sz val="11"/>
        <color theme="1"/>
        <rFont val="Calibri"/>
        <family val="2"/>
        <scheme val="minor"/>
      </rPr>
      <t xml:space="preserve"> - US government Visa number
</t>
    </r>
    <r>
      <rPr>
        <b/>
        <sz val="11"/>
        <color theme="1"/>
        <rFont val="Calibri"/>
        <family val="2"/>
        <scheme val="minor"/>
      </rPr>
      <t>PIN</t>
    </r>
    <r>
      <rPr>
        <sz val="11"/>
        <color theme="1"/>
        <rFont val="Calibri"/>
        <family val="2"/>
        <scheme val="minor"/>
      </rPr>
      <t xml:space="preserve"> - Personal identification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DriversLicense</t>
    </r>
    <r>
      <rPr>
        <sz val="11"/>
        <color theme="1"/>
        <rFont val="Calibri"/>
        <family val="2"/>
        <scheme val="minor"/>
      </rPr>
      <t xml:space="preserve"> - Driver's license number
</t>
    </r>
    <r>
      <rPr>
        <b/>
        <sz val="11"/>
        <color theme="1"/>
        <rFont val="Calibri"/>
        <family val="2"/>
        <scheme val="minor"/>
      </rPr>
      <t>Medicaid</t>
    </r>
    <r>
      <rPr>
        <sz val="11"/>
        <color theme="1"/>
        <rFont val="Calibri"/>
        <family val="2"/>
        <scheme val="minor"/>
      </rPr>
      <t xml:space="preserve"> - Medicaid number
</t>
    </r>
    <r>
      <rPr>
        <b/>
        <sz val="11"/>
        <color theme="1"/>
        <rFont val="Calibri"/>
        <family val="2"/>
        <scheme val="minor"/>
      </rPr>
      <t>HealthRecord</t>
    </r>
    <r>
      <rPr>
        <sz val="11"/>
        <color theme="1"/>
        <rFont val="Calibri"/>
        <family val="2"/>
        <scheme val="minor"/>
      </rPr>
      <t xml:space="preserve"> - Health record number
</t>
    </r>
    <r>
      <rPr>
        <b/>
        <sz val="11"/>
        <color theme="1"/>
        <rFont val="Calibri"/>
        <family val="2"/>
        <scheme val="minor"/>
      </rPr>
      <t>ProfessionalCertificate</t>
    </r>
    <r>
      <rPr>
        <sz val="11"/>
        <color theme="1"/>
        <rFont val="Calibri"/>
        <family val="2"/>
        <scheme val="minor"/>
      </rPr>
      <t xml:space="preserve"> - Professional certificate or license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Institution</t>
    </r>
    <r>
      <rPr>
        <sz val="11"/>
        <color theme="1"/>
        <rFont val="Calibri"/>
        <family val="2"/>
        <scheme val="minor"/>
      </rPr>
      <t xml:space="preserve"> - Institution-assigned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SelectiveService</t>
    </r>
    <r>
      <rPr>
        <sz val="11"/>
        <color theme="1"/>
        <rFont val="Calibri"/>
        <family val="2"/>
        <scheme val="minor"/>
      </rPr>
      <t xml:space="preserve"> - Selective Service Number
</t>
    </r>
    <r>
      <rPr>
        <b/>
        <sz val="11"/>
        <color theme="1"/>
        <rFont val="Calibri"/>
        <family val="2"/>
        <scheme val="minor"/>
      </rPr>
      <t>CanadianSIN</t>
    </r>
    <r>
      <rPr>
        <sz val="11"/>
        <color theme="1"/>
        <rFont val="Calibri"/>
        <family val="2"/>
        <scheme val="minor"/>
      </rPr>
      <t xml:space="preserve"> - Canadian Social Insurance Number
</t>
    </r>
    <r>
      <rPr>
        <b/>
        <sz val="11"/>
        <color theme="1"/>
        <rFont val="Calibri"/>
        <family val="2"/>
        <scheme val="minor"/>
      </rPr>
      <t>Other</t>
    </r>
    <r>
      <rPr>
        <sz val="11"/>
        <color theme="1"/>
        <rFont val="Calibri"/>
        <family val="2"/>
        <scheme val="minor"/>
      </rPr>
      <t xml:space="preserve"> - Other
</t>
    </r>
  </si>
  <si>
    <r>
      <t>Army</t>
    </r>
    <r>
      <rPr>
        <sz val="11"/>
        <color theme="1"/>
        <rFont val="Calibri"/>
        <family val="2"/>
        <scheme val="minor"/>
      </rPr>
      <t xml:space="preserve"> - Army
</t>
    </r>
    <r>
      <rPr>
        <b/>
        <sz val="11"/>
        <color theme="1"/>
        <rFont val="Calibri"/>
        <family val="2"/>
        <scheme val="minor"/>
      </rPr>
      <t>MarineCorps</t>
    </r>
    <r>
      <rPr>
        <sz val="11"/>
        <color theme="1"/>
        <rFont val="Calibri"/>
        <family val="2"/>
        <scheme val="minor"/>
      </rPr>
      <t xml:space="preserve"> - Marine Corps
</t>
    </r>
    <r>
      <rPr>
        <b/>
        <sz val="11"/>
        <color theme="1"/>
        <rFont val="Calibri"/>
        <family val="2"/>
        <scheme val="minor"/>
      </rPr>
      <t>Navy</t>
    </r>
    <r>
      <rPr>
        <sz val="11"/>
        <color theme="1"/>
        <rFont val="Calibri"/>
        <family val="2"/>
        <scheme val="minor"/>
      </rPr>
      <t xml:space="preserve"> - Navy
</t>
    </r>
    <r>
      <rPr>
        <b/>
        <sz val="11"/>
        <color theme="1"/>
        <rFont val="Calibri"/>
        <family val="2"/>
        <scheme val="minor"/>
      </rPr>
      <t>AirForce</t>
    </r>
    <r>
      <rPr>
        <sz val="11"/>
        <color theme="1"/>
        <rFont val="Calibri"/>
        <family val="2"/>
        <scheme val="minor"/>
      </rPr>
      <t xml:space="preserve"> - Air Force
</t>
    </r>
    <r>
      <rPr>
        <b/>
        <sz val="11"/>
        <color theme="1"/>
        <rFont val="Calibri"/>
        <family val="2"/>
        <scheme val="minor"/>
      </rPr>
      <t>SpaceForce</t>
    </r>
    <r>
      <rPr>
        <sz val="11"/>
        <color theme="1"/>
        <rFont val="Calibri"/>
        <family val="2"/>
        <scheme val="minor"/>
      </rPr>
      <t xml:space="preserve"> - Space Force
</t>
    </r>
    <r>
      <rPr>
        <b/>
        <sz val="11"/>
        <color theme="1"/>
        <rFont val="Calibri"/>
        <family val="2"/>
        <scheme val="minor"/>
      </rPr>
      <t>CoastGuard</t>
    </r>
    <r>
      <rPr>
        <sz val="11"/>
        <color theme="1"/>
        <rFont val="Calibri"/>
        <family val="2"/>
        <scheme val="minor"/>
      </rPr>
      <t xml:space="preserve"> - Coast Guard
</t>
    </r>
  </si>
  <si>
    <t>Education</t>
  </si>
  <si>
    <r>
      <t>01043</t>
    </r>
    <r>
      <rPr>
        <sz val="11"/>
        <color theme="1"/>
        <rFont val="Calibri"/>
        <family val="2"/>
        <scheme val="minor"/>
      </rPr>
      <t xml:space="preserve"> - No school completed 
</t>
    </r>
    <r>
      <rPr>
        <b/>
        <sz val="11"/>
        <color theme="1"/>
        <rFont val="Calibri"/>
        <family val="2"/>
        <scheme val="minor"/>
      </rPr>
      <t>00788</t>
    </r>
    <r>
      <rPr>
        <sz val="11"/>
        <color theme="1"/>
        <rFont val="Calibri"/>
        <family val="2"/>
        <scheme val="minor"/>
      </rPr>
      <t xml:space="preserve"> - Preschool 
</t>
    </r>
    <r>
      <rPr>
        <b/>
        <sz val="11"/>
        <color theme="1"/>
        <rFont val="Calibri"/>
        <family val="2"/>
        <scheme val="minor"/>
      </rPr>
      <t>00805</t>
    </r>
    <r>
      <rPr>
        <sz val="11"/>
        <color theme="1"/>
        <rFont val="Calibri"/>
        <family val="2"/>
        <scheme val="minor"/>
      </rPr>
      <t xml:space="preserve"> - Kindergarten 
</t>
    </r>
    <r>
      <rPr>
        <b/>
        <sz val="11"/>
        <color theme="1"/>
        <rFont val="Calibri"/>
        <family val="2"/>
        <scheme val="minor"/>
      </rPr>
      <t>00790</t>
    </r>
    <r>
      <rPr>
        <sz val="11"/>
        <color theme="1"/>
        <rFont val="Calibri"/>
        <family val="2"/>
        <scheme val="minor"/>
      </rPr>
      <t xml:space="preserve"> - First grade 
</t>
    </r>
    <r>
      <rPr>
        <b/>
        <sz val="11"/>
        <color theme="1"/>
        <rFont val="Calibri"/>
        <family val="2"/>
        <scheme val="minor"/>
      </rPr>
      <t>00791</t>
    </r>
    <r>
      <rPr>
        <sz val="11"/>
        <color theme="1"/>
        <rFont val="Calibri"/>
        <family val="2"/>
        <scheme val="minor"/>
      </rPr>
      <t xml:space="preserve"> - Second grade 
</t>
    </r>
    <r>
      <rPr>
        <b/>
        <sz val="11"/>
        <color theme="1"/>
        <rFont val="Calibri"/>
        <family val="2"/>
        <scheme val="minor"/>
      </rPr>
      <t>00792</t>
    </r>
    <r>
      <rPr>
        <sz val="11"/>
        <color theme="1"/>
        <rFont val="Calibri"/>
        <family val="2"/>
        <scheme val="minor"/>
      </rPr>
      <t xml:space="preserve"> - Third grade 
</t>
    </r>
    <r>
      <rPr>
        <b/>
        <sz val="11"/>
        <color theme="1"/>
        <rFont val="Calibri"/>
        <family val="2"/>
        <scheme val="minor"/>
      </rPr>
      <t>00793</t>
    </r>
    <r>
      <rPr>
        <sz val="11"/>
        <color theme="1"/>
        <rFont val="Calibri"/>
        <family val="2"/>
        <scheme val="minor"/>
      </rPr>
      <t xml:space="preserve"> - Fourth grade 
</t>
    </r>
    <r>
      <rPr>
        <b/>
        <sz val="11"/>
        <color theme="1"/>
        <rFont val="Calibri"/>
        <family val="2"/>
        <scheme val="minor"/>
      </rPr>
      <t>00794</t>
    </r>
    <r>
      <rPr>
        <sz val="11"/>
        <color theme="1"/>
        <rFont val="Calibri"/>
        <family val="2"/>
        <scheme val="minor"/>
      </rPr>
      <t xml:space="preserve"> - Fifth grade 
</t>
    </r>
    <r>
      <rPr>
        <b/>
        <sz val="11"/>
        <color theme="1"/>
        <rFont val="Calibri"/>
        <family val="2"/>
        <scheme val="minor"/>
      </rPr>
      <t>00795</t>
    </r>
    <r>
      <rPr>
        <sz val="11"/>
        <color theme="1"/>
        <rFont val="Calibri"/>
        <family val="2"/>
        <scheme val="minor"/>
      </rPr>
      <t xml:space="preserve"> - Sixth grade 
</t>
    </r>
    <r>
      <rPr>
        <b/>
        <sz val="11"/>
        <color theme="1"/>
        <rFont val="Calibri"/>
        <family val="2"/>
        <scheme val="minor"/>
      </rPr>
      <t>00796</t>
    </r>
    <r>
      <rPr>
        <sz val="11"/>
        <color theme="1"/>
        <rFont val="Calibri"/>
        <family val="2"/>
        <scheme val="minor"/>
      </rPr>
      <t xml:space="preserve"> - Seventh grade 
</t>
    </r>
    <r>
      <rPr>
        <b/>
        <sz val="11"/>
        <color theme="1"/>
        <rFont val="Calibri"/>
        <family val="2"/>
        <scheme val="minor"/>
      </rPr>
      <t>00798</t>
    </r>
    <r>
      <rPr>
        <sz val="11"/>
        <color theme="1"/>
        <rFont val="Calibri"/>
        <family val="2"/>
        <scheme val="minor"/>
      </rPr>
      <t xml:space="preserve"> - Eighth grade 
</t>
    </r>
    <r>
      <rPr>
        <b/>
        <sz val="11"/>
        <color theme="1"/>
        <rFont val="Calibri"/>
        <family val="2"/>
        <scheme val="minor"/>
      </rPr>
      <t>00799</t>
    </r>
    <r>
      <rPr>
        <sz val="11"/>
        <color theme="1"/>
        <rFont val="Calibri"/>
        <family val="2"/>
        <scheme val="minor"/>
      </rPr>
      <t xml:space="preserve"> - Ninth grade 
</t>
    </r>
    <r>
      <rPr>
        <b/>
        <sz val="11"/>
        <color theme="1"/>
        <rFont val="Calibri"/>
        <family val="2"/>
        <scheme val="minor"/>
      </rPr>
      <t>00800</t>
    </r>
    <r>
      <rPr>
        <sz val="11"/>
        <color theme="1"/>
        <rFont val="Calibri"/>
        <family val="2"/>
        <scheme val="minor"/>
      </rPr>
      <t xml:space="preserve"> - Tenth grade 
</t>
    </r>
    <r>
      <rPr>
        <b/>
        <sz val="11"/>
        <color theme="1"/>
        <rFont val="Calibri"/>
        <family val="2"/>
        <scheme val="minor"/>
      </rPr>
      <t>00801</t>
    </r>
    <r>
      <rPr>
        <sz val="11"/>
        <color theme="1"/>
        <rFont val="Calibri"/>
        <family val="2"/>
        <scheme val="minor"/>
      </rPr>
      <t xml:space="preserve"> - Eleventh Grade 
</t>
    </r>
    <r>
      <rPr>
        <b/>
        <sz val="11"/>
        <color theme="1"/>
        <rFont val="Calibri"/>
        <family val="2"/>
        <scheme val="minor"/>
      </rPr>
      <t>01809</t>
    </r>
    <r>
      <rPr>
        <sz val="11"/>
        <color theme="1"/>
        <rFont val="Calibri"/>
        <family val="2"/>
        <scheme val="minor"/>
      </rPr>
      <t xml:space="preserve"> - 12th grade, no diploma 
</t>
    </r>
    <r>
      <rPr>
        <b/>
        <sz val="11"/>
        <color theme="1"/>
        <rFont val="Calibri"/>
        <family val="2"/>
        <scheme val="minor"/>
      </rPr>
      <t>01044</t>
    </r>
    <r>
      <rPr>
        <sz val="11"/>
        <color theme="1"/>
        <rFont val="Calibri"/>
        <family val="2"/>
        <scheme val="minor"/>
      </rPr>
      <t xml:space="preserve"> - High school diploma 
</t>
    </r>
    <r>
      <rPr>
        <b/>
        <sz val="11"/>
        <color theme="1"/>
        <rFont val="Calibri"/>
        <family val="2"/>
        <scheme val="minor"/>
      </rPr>
      <t>02408</t>
    </r>
    <r>
      <rPr>
        <sz val="11"/>
        <color theme="1"/>
        <rFont val="Calibri"/>
        <family val="2"/>
        <scheme val="minor"/>
      </rPr>
      <t xml:space="preserve"> - High school completers (e.g., certificate of attendance) 
</t>
    </r>
    <r>
      <rPr>
        <b/>
        <sz val="11"/>
        <color theme="1"/>
        <rFont val="Calibri"/>
        <family val="2"/>
        <scheme val="minor"/>
      </rPr>
      <t>02409</t>
    </r>
    <r>
      <rPr>
        <sz val="11"/>
        <color theme="1"/>
        <rFont val="Calibri"/>
        <family val="2"/>
        <scheme val="minor"/>
      </rPr>
      <t xml:space="preserve"> - High school equivalency (e.g., GED)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00803</t>
    </r>
    <r>
      <rPr>
        <sz val="11"/>
        <color theme="1"/>
        <rFont val="Calibri"/>
        <family val="2"/>
        <scheme val="minor"/>
      </rPr>
      <t xml:space="preserve"> - Grade 13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73063</t>
    </r>
    <r>
      <rPr>
        <sz val="11"/>
        <color theme="1"/>
        <rFont val="Calibri"/>
        <family val="2"/>
        <scheme val="minor"/>
      </rPr>
      <t xml:space="preserve"> - Adult education certification, endorsement, or degree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73082</t>
    </r>
    <r>
      <rPr>
        <sz val="11"/>
        <color theme="1"/>
        <rFont val="Calibri"/>
        <family val="2"/>
        <scheme val="minor"/>
      </rPr>
      <t xml:space="preserve"> - Doctor’s degree-research/scholarship
</t>
    </r>
    <r>
      <rPr>
        <b/>
        <sz val="11"/>
        <color theme="1"/>
        <rFont val="Calibri"/>
        <family val="2"/>
        <scheme val="minor"/>
      </rPr>
      <t>73083</t>
    </r>
    <r>
      <rPr>
        <sz val="11"/>
        <color theme="1"/>
        <rFont val="Calibri"/>
        <family val="2"/>
        <scheme val="minor"/>
      </rPr>
      <t xml:space="preserve"> - Doctor’s degree-professional practice
</t>
    </r>
    <r>
      <rPr>
        <b/>
        <sz val="11"/>
        <color theme="1"/>
        <rFont val="Calibri"/>
        <family val="2"/>
        <scheme val="minor"/>
      </rPr>
      <t>73084</t>
    </r>
    <r>
      <rPr>
        <sz val="11"/>
        <color theme="1"/>
        <rFont val="Calibri"/>
        <family val="2"/>
        <scheme val="minor"/>
      </rPr>
      <t xml:space="preserve"> - Doctor’s degree-other
</t>
    </r>
    <r>
      <rPr>
        <b/>
        <sz val="11"/>
        <color theme="1"/>
        <rFont val="Calibri"/>
        <family val="2"/>
        <scheme val="minor"/>
      </rPr>
      <t>73085</t>
    </r>
    <r>
      <rPr>
        <sz val="11"/>
        <color theme="1"/>
        <rFont val="Calibri"/>
        <family val="2"/>
        <scheme val="minor"/>
      </rPr>
      <t xml:space="preserve"> - Doctor’s degree-research/scholarship
</t>
    </r>
    <r>
      <rPr>
        <b/>
        <sz val="11"/>
        <color theme="1"/>
        <rFont val="Calibri"/>
        <family val="2"/>
        <scheme val="minor"/>
      </rPr>
      <t>09999</t>
    </r>
    <r>
      <rPr>
        <sz val="11"/>
        <color theme="1"/>
        <rFont val="Calibri"/>
        <family val="2"/>
        <scheme val="minor"/>
      </rPr>
      <t xml:space="preserve"> - Other
</t>
    </r>
  </si>
  <si>
    <t>Insurance</t>
  </si>
  <si>
    <t>EL Family</t>
  </si>
  <si>
    <t>Family/Household Information</t>
  </si>
  <si>
    <r>
      <t>Wages</t>
    </r>
    <r>
      <rPr>
        <sz val="11"/>
        <color theme="1"/>
        <rFont val="Calibri"/>
        <family val="2"/>
        <scheme val="minor"/>
      </rPr>
      <t xml:space="preserve"> - Wages
</t>
    </r>
    <r>
      <rPr>
        <b/>
        <sz val="11"/>
        <color theme="1"/>
        <rFont val="Calibri"/>
        <family val="2"/>
        <scheme val="minor"/>
      </rPr>
      <t>Alimony</t>
    </r>
    <r>
      <rPr>
        <sz val="11"/>
        <color theme="1"/>
        <rFont val="Calibri"/>
        <family val="2"/>
        <scheme val="minor"/>
      </rPr>
      <t xml:space="preserve"> - Alimony
</t>
    </r>
    <r>
      <rPr>
        <b/>
        <sz val="11"/>
        <color theme="1"/>
        <rFont val="Calibri"/>
        <family val="2"/>
        <scheme val="minor"/>
      </rPr>
      <t>ChildSupport</t>
    </r>
    <r>
      <rPr>
        <sz val="11"/>
        <color theme="1"/>
        <rFont val="Calibri"/>
        <family val="2"/>
        <scheme val="minor"/>
      </rPr>
      <t xml:space="preserve"> - Child support
</t>
    </r>
    <r>
      <rPr>
        <b/>
        <sz val="11"/>
        <color theme="1"/>
        <rFont val="Calibri"/>
        <family val="2"/>
        <scheme val="minor"/>
      </rPr>
      <t>WorkersComp</t>
    </r>
    <r>
      <rPr>
        <sz val="11"/>
        <color theme="1"/>
        <rFont val="Calibri"/>
        <family val="2"/>
        <scheme val="minor"/>
      </rPr>
      <t xml:space="preserve"> - Worker's compensation
</t>
    </r>
    <r>
      <rPr>
        <b/>
        <sz val="11"/>
        <color theme="1"/>
        <rFont val="Calibri"/>
        <family val="2"/>
        <scheme val="minor"/>
      </rPr>
      <t>Unemployment</t>
    </r>
    <r>
      <rPr>
        <sz val="11"/>
        <color theme="1"/>
        <rFont val="Calibri"/>
        <family val="2"/>
        <scheme val="minor"/>
      </rPr>
      <t xml:space="preserve"> - Unemployment
</t>
    </r>
    <r>
      <rPr>
        <b/>
        <sz val="11"/>
        <color theme="1"/>
        <rFont val="Calibri"/>
        <family val="2"/>
        <scheme val="minor"/>
      </rPr>
      <t>SSI</t>
    </r>
    <r>
      <rPr>
        <sz val="11"/>
        <color theme="1"/>
        <rFont val="Calibri"/>
        <family val="2"/>
        <scheme val="minor"/>
      </rPr>
      <t xml:space="preserve"> - Supplemental security income
</t>
    </r>
    <r>
      <rPr>
        <b/>
        <sz val="11"/>
        <color theme="1"/>
        <rFont val="Calibri"/>
        <family val="2"/>
        <scheme val="minor"/>
      </rPr>
      <t>TANF</t>
    </r>
    <r>
      <rPr>
        <sz val="11"/>
        <color theme="1"/>
        <rFont val="Calibri"/>
        <family val="2"/>
        <scheme val="minor"/>
      </rPr>
      <t xml:space="preserve"> - Temporary assistance for needy families
</t>
    </r>
    <r>
      <rPr>
        <b/>
        <sz val="11"/>
        <color theme="1"/>
        <rFont val="Calibri"/>
        <family val="2"/>
        <scheme val="minor"/>
      </rPr>
      <t>Agricultural</t>
    </r>
    <r>
      <rPr>
        <sz val="11"/>
        <color theme="1"/>
        <rFont val="Calibri"/>
        <family val="2"/>
        <scheme val="minor"/>
      </rPr>
      <t xml:space="preserve"> - Agricultural
</t>
    </r>
    <r>
      <rPr>
        <b/>
        <sz val="11"/>
        <color theme="1"/>
        <rFont val="Calibri"/>
        <family val="2"/>
        <scheme val="minor"/>
      </rPr>
      <t>Other</t>
    </r>
    <r>
      <rPr>
        <sz val="11"/>
        <color theme="1"/>
        <rFont val="Calibri"/>
        <family val="2"/>
        <scheme val="minor"/>
      </rPr>
      <t xml:space="preserve"> - Other
</t>
    </r>
  </si>
  <si>
    <r>
      <t>HeadStart</t>
    </r>
    <r>
      <rPr>
        <sz val="11"/>
        <color theme="1"/>
        <rFont val="Calibri"/>
        <family val="2"/>
        <scheme val="minor"/>
      </rPr>
      <t xml:space="preserve"> - Head Start calculation
</t>
    </r>
    <r>
      <rPr>
        <b/>
        <sz val="11"/>
        <color theme="1"/>
        <rFont val="Calibri"/>
        <family val="2"/>
        <scheme val="minor"/>
      </rPr>
      <t>StateSpecific</t>
    </r>
    <r>
      <rPr>
        <sz val="11"/>
        <color theme="1"/>
        <rFont val="Calibri"/>
        <family val="2"/>
        <scheme val="minor"/>
      </rPr>
      <t xml:space="preserve"> - State-specific calculation
</t>
    </r>
  </si>
  <si>
    <r>
      <t>BankStatement</t>
    </r>
    <r>
      <rPr>
        <sz val="11"/>
        <color theme="1"/>
        <rFont val="Calibri"/>
        <family val="2"/>
        <scheme val="minor"/>
      </rPr>
      <t xml:space="preserve"> - Bank statement
</t>
    </r>
    <r>
      <rPr>
        <b/>
        <sz val="11"/>
        <color theme="1"/>
        <rFont val="Calibri"/>
        <family val="2"/>
        <scheme val="minor"/>
      </rPr>
      <t>UtilityBill</t>
    </r>
    <r>
      <rPr>
        <sz val="11"/>
        <color theme="1"/>
        <rFont val="Calibri"/>
        <family val="2"/>
        <scheme val="minor"/>
      </rPr>
      <t xml:space="preserve"> - Utility bill
</t>
    </r>
    <r>
      <rPr>
        <b/>
        <sz val="11"/>
        <color theme="1"/>
        <rFont val="Calibri"/>
        <family val="2"/>
        <scheme val="minor"/>
      </rPr>
      <t>Lease</t>
    </r>
    <r>
      <rPr>
        <sz val="11"/>
        <color theme="1"/>
        <rFont val="Calibri"/>
        <family val="2"/>
        <scheme val="minor"/>
      </rPr>
      <t xml:space="preserve"> - Lease
</t>
    </r>
    <r>
      <rPr>
        <b/>
        <sz val="11"/>
        <color theme="1"/>
        <rFont val="Calibri"/>
        <family val="2"/>
        <scheme val="minor"/>
      </rPr>
      <t>Other</t>
    </r>
    <r>
      <rPr>
        <sz val="11"/>
        <color theme="1"/>
        <rFont val="Calibri"/>
        <family val="2"/>
        <scheme val="minor"/>
      </rPr>
      <t xml:space="preserve"> - Other
</t>
    </r>
  </si>
  <si>
    <t>EL Staff</t>
  </si>
  <si>
    <r>
      <t>SSN</t>
    </r>
    <r>
      <rPr>
        <sz val="11"/>
        <color theme="1"/>
        <rFont val="Calibri"/>
        <family val="2"/>
        <scheme val="minor"/>
      </rPr>
      <t xml:space="preserve"> - Social Security Administration number
</t>
    </r>
    <r>
      <rPr>
        <b/>
        <sz val="11"/>
        <color theme="1"/>
        <rFont val="Calibri"/>
        <family val="2"/>
        <scheme val="minor"/>
      </rPr>
      <t>USVisa</t>
    </r>
    <r>
      <rPr>
        <sz val="11"/>
        <color theme="1"/>
        <rFont val="Calibri"/>
        <family val="2"/>
        <scheme val="minor"/>
      </rPr>
      <t xml:space="preserve"> - US government Visa number
</t>
    </r>
    <r>
      <rPr>
        <b/>
        <sz val="11"/>
        <color theme="1"/>
        <rFont val="Calibri"/>
        <family val="2"/>
        <scheme val="minor"/>
      </rPr>
      <t>PIN</t>
    </r>
    <r>
      <rPr>
        <sz val="11"/>
        <color theme="1"/>
        <rFont val="Calibri"/>
        <family val="2"/>
        <scheme val="minor"/>
      </rPr>
      <t xml:space="preserve"> - Personal identification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DriversLicense</t>
    </r>
    <r>
      <rPr>
        <sz val="11"/>
        <color theme="1"/>
        <rFont val="Calibri"/>
        <family val="2"/>
        <scheme val="minor"/>
      </rPr>
      <t xml:space="preserve"> - Driver's license number
</t>
    </r>
    <r>
      <rPr>
        <b/>
        <sz val="11"/>
        <color theme="1"/>
        <rFont val="Calibri"/>
        <family val="2"/>
        <scheme val="minor"/>
      </rPr>
      <t>Medicaid</t>
    </r>
    <r>
      <rPr>
        <sz val="11"/>
        <color theme="1"/>
        <rFont val="Calibri"/>
        <family val="2"/>
        <scheme val="minor"/>
      </rPr>
      <t xml:space="preserve"> - Medicaid number
</t>
    </r>
    <r>
      <rPr>
        <b/>
        <sz val="11"/>
        <color theme="1"/>
        <rFont val="Calibri"/>
        <family val="2"/>
        <scheme val="minor"/>
      </rPr>
      <t>HealthRecord</t>
    </r>
    <r>
      <rPr>
        <sz val="11"/>
        <color theme="1"/>
        <rFont val="Calibri"/>
        <family val="2"/>
        <scheme val="minor"/>
      </rPr>
      <t xml:space="preserve"> - Health record number
</t>
    </r>
    <r>
      <rPr>
        <b/>
        <sz val="11"/>
        <color theme="1"/>
        <rFont val="Calibri"/>
        <family val="2"/>
        <scheme val="minor"/>
      </rPr>
      <t>ProfessionalCertificate</t>
    </r>
    <r>
      <rPr>
        <sz val="11"/>
        <color theme="1"/>
        <rFont val="Calibri"/>
        <family val="2"/>
        <scheme val="minor"/>
      </rPr>
      <t xml:space="preserve"> - Professional certificate or license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SelectiveService</t>
    </r>
    <r>
      <rPr>
        <sz val="11"/>
        <color theme="1"/>
        <rFont val="Calibri"/>
        <family val="2"/>
        <scheme val="minor"/>
      </rPr>
      <t xml:space="preserve"> - Selective Service Number
</t>
    </r>
    <r>
      <rPr>
        <b/>
        <sz val="11"/>
        <color theme="1"/>
        <rFont val="Calibri"/>
        <family val="2"/>
        <scheme val="minor"/>
      </rPr>
      <t>CanadianSIN</t>
    </r>
    <r>
      <rPr>
        <sz val="11"/>
        <color theme="1"/>
        <rFont val="Calibri"/>
        <family val="2"/>
        <scheme val="minor"/>
      </rPr>
      <t xml:space="preserve"> - Canadian Social Insurance Number
</t>
    </r>
    <r>
      <rPr>
        <b/>
        <sz val="11"/>
        <color theme="1"/>
        <rFont val="Calibri"/>
        <family val="2"/>
        <scheme val="minor"/>
      </rPr>
      <t>Other</t>
    </r>
    <r>
      <rPr>
        <sz val="11"/>
        <color theme="1"/>
        <rFont val="Calibri"/>
        <family val="2"/>
        <scheme val="minor"/>
      </rPr>
      <t xml:space="preserve"> - Other
</t>
    </r>
  </si>
  <si>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OtherHome</t>
    </r>
    <r>
      <rPr>
        <sz val="11"/>
        <color theme="1"/>
        <rFont val="Calibri"/>
        <family val="2"/>
        <scheme val="minor"/>
      </rPr>
      <t xml:space="preserve"> - Other home address
</t>
    </r>
    <r>
      <rPr>
        <b/>
        <sz val="11"/>
        <color theme="1"/>
        <rFont val="Calibri"/>
        <family val="2"/>
        <scheme val="minor"/>
      </rPr>
      <t>Employers</t>
    </r>
    <r>
      <rPr>
        <sz val="11"/>
        <color theme="1"/>
        <rFont val="Calibri"/>
        <family val="2"/>
        <scheme val="minor"/>
      </rPr>
      <t xml:space="preserve"> - Employer's address
</t>
    </r>
    <r>
      <rPr>
        <b/>
        <sz val="11"/>
        <color theme="1"/>
        <rFont val="Calibri"/>
        <family val="2"/>
        <scheme val="minor"/>
      </rPr>
      <t>Employment</t>
    </r>
    <r>
      <rPr>
        <sz val="11"/>
        <color theme="1"/>
        <rFont val="Calibri"/>
        <family val="2"/>
        <scheme val="minor"/>
      </rPr>
      <t xml:space="preserve"> - Employment address
</t>
    </r>
    <r>
      <rPr>
        <b/>
        <sz val="11"/>
        <color theme="1"/>
        <rFont val="Calibri"/>
        <family val="2"/>
        <scheme val="minor"/>
      </rPr>
      <t>Billing</t>
    </r>
    <r>
      <rPr>
        <sz val="11"/>
        <color theme="1"/>
        <rFont val="Calibri"/>
        <family val="2"/>
        <scheme val="minor"/>
      </rPr>
      <t xml:space="preserve"> - Billing address
</t>
    </r>
  </si>
  <si>
    <r>
      <t>Major</t>
    </r>
    <r>
      <rPr>
        <sz val="11"/>
        <color theme="1"/>
        <rFont val="Calibri"/>
        <family val="2"/>
        <scheme val="minor"/>
      </rPr>
      <t xml:space="preserve"> - Major
</t>
    </r>
    <r>
      <rPr>
        <b/>
        <sz val="11"/>
        <color theme="1"/>
        <rFont val="Calibri"/>
        <family val="2"/>
        <scheme val="minor"/>
      </rPr>
      <t>Minor</t>
    </r>
    <r>
      <rPr>
        <sz val="11"/>
        <color theme="1"/>
        <rFont val="Calibri"/>
        <family val="2"/>
        <scheme val="minor"/>
      </rPr>
      <t xml:space="preserve"> - Minor
</t>
    </r>
    <r>
      <rPr>
        <b/>
        <sz val="11"/>
        <color theme="1"/>
        <rFont val="Calibri"/>
        <family val="2"/>
        <scheme val="minor"/>
      </rPr>
      <t>AreaOfEmphasis</t>
    </r>
    <r>
      <rPr>
        <sz val="11"/>
        <color theme="1"/>
        <rFont val="Calibri"/>
        <family val="2"/>
        <scheme val="minor"/>
      </rPr>
      <t xml:space="preserve"> - Area of emphasis or concentration
</t>
    </r>
    <r>
      <rPr>
        <b/>
        <sz val="11"/>
        <color theme="1"/>
        <rFont val="Calibri"/>
        <family val="2"/>
        <scheme val="minor"/>
      </rPr>
      <t>PostDegreeStudy</t>
    </r>
    <r>
      <rPr>
        <sz val="11"/>
        <color theme="1"/>
        <rFont val="Calibri"/>
        <family val="2"/>
        <scheme val="minor"/>
      </rPr>
      <t xml:space="preserve"> - Post-degree study
</t>
    </r>
    <r>
      <rPr>
        <b/>
        <sz val="11"/>
        <color theme="1"/>
        <rFont val="Calibri"/>
        <family val="2"/>
        <scheme val="minor"/>
      </rPr>
      <t>AreaOfInterest</t>
    </r>
    <r>
      <rPr>
        <sz val="11"/>
        <color theme="1"/>
        <rFont val="Calibri"/>
        <family val="2"/>
        <scheme val="minor"/>
      </rPr>
      <t xml:space="preserve"> - Area of Interest
</t>
    </r>
  </si>
  <si>
    <r>
      <t>73063</t>
    </r>
    <r>
      <rPr>
        <sz val="11"/>
        <color theme="1"/>
        <rFont val="Calibri"/>
        <family val="2"/>
        <scheme val="minor"/>
      </rPr>
      <t xml:space="preserve"> - Adult education certification, endorsement, or degree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01045</t>
    </r>
    <r>
      <rPr>
        <sz val="11"/>
        <color theme="1"/>
        <rFont val="Calibri"/>
        <family val="2"/>
        <scheme val="minor"/>
      </rPr>
      <t xml:space="preserve"> - High school diploma or the equivalent (e.g., GED or recognized home school)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09999</t>
    </r>
    <r>
      <rPr>
        <sz val="11"/>
        <color theme="1"/>
        <rFont val="Calibri"/>
        <family val="2"/>
        <scheme val="minor"/>
      </rPr>
      <t xml:space="preserve"> - Other
</t>
    </r>
  </si>
  <si>
    <r>
      <t>Regional</t>
    </r>
    <r>
      <rPr>
        <sz val="11"/>
        <color theme="1"/>
        <rFont val="Calibri"/>
        <family val="2"/>
        <scheme val="minor"/>
      </rPr>
      <t xml:space="preserve"> - Regionally accredited
</t>
    </r>
    <r>
      <rPr>
        <b/>
        <sz val="11"/>
        <color theme="1"/>
        <rFont val="Calibri"/>
        <family val="2"/>
        <scheme val="minor"/>
      </rPr>
      <t>Programmatic</t>
    </r>
    <r>
      <rPr>
        <sz val="11"/>
        <color theme="1"/>
        <rFont val="Calibri"/>
        <family val="2"/>
        <scheme val="minor"/>
      </rPr>
      <t xml:space="preserve"> - Programmatic accreditation
</t>
    </r>
    <r>
      <rPr>
        <b/>
        <sz val="11"/>
        <color theme="1"/>
        <rFont val="Calibri"/>
        <family val="2"/>
        <scheme val="minor"/>
      </rPr>
      <t>National</t>
    </r>
    <r>
      <rPr>
        <sz val="11"/>
        <color theme="1"/>
        <rFont val="Calibri"/>
        <family val="2"/>
        <scheme val="minor"/>
      </rPr>
      <t xml:space="preserve"> - Nationally accredited
</t>
    </r>
    <r>
      <rPr>
        <b/>
        <sz val="11"/>
        <color theme="1"/>
        <rFont val="Calibri"/>
        <family val="2"/>
        <scheme val="minor"/>
      </rPr>
      <t>Faith</t>
    </r>
    <r>
      <rPr>
        <sz val="11"/>
        <color theme="1"/>
        <rFont val="Calibri"/>
        <family val="2"/>
        <scheme val="minor"/>
      </rPr>
      <t xml:space="preserve"> - Faith
</t>
    </r>
    <r>
      <rPr>
        <b/>
        <sz val="11"/>
        <color theme="1"/>
        <rFont val="Calibri"/>
        <family val="2"/>
        <scheme val="minor"/>
      </rPr>
      <t>CareerRelated</t>
    </r>
    <r>
      <rPr>
        <sz val="11"/>
        <color theme="1"/>
        <rFont val="Calibri"/>
        <family val="2"/>
        <scheme val="minor"/>
      </rPr>
      <t xml:space="preserve"> - Career related
</t>
    </r>
    <r>
      <rPr>
        <b/>
        <sz val="11"/>
        <color theme="1"/>
        <rFont val="Calibri"/>
        <family val="2"/>
        <scheme val="minor"/>
      </rPr>
      <t>NotAccredited</t>
    </r>
    <r>
      <rPr>
        <sz val="11"/>
        <color theme="1"/>
        <rFont val="Calibri"/>
        <family val="2"/>
        <scheme val="minor"/>
      </rPr>
      <t xml:space="preserve"> - Not accredited
</t>
    </r>
  </si>
  <si>
    <r>
      <t>OfficialTranscript</t>
    </r>
    <r>
      <rPr>
        <sz val="11"/>
        <color theme="1"/>
        <rFont val="Calibri"/>
        <family val="2"/>
        <scheme val="minor"/>
      </rPr>
      <t xml:space="preserve"> - Official transcript
</t>
    </r>
    <r>
      <rPr>
        <b/>
        <sz val="11"/>
        <color theme="1"/>
        <rFont val="Calibri"/>
        <family val="2"/>
        <scheme val="minor"/>
      </rPr>
      <t>TranscriptCopy</t>
    </r>
    <r>
      <rPr>
        <sz val="11"/>
        <color theme="1"/>
        <rFont val="Calibri"/>
        <family val="2"/>
        <scheme val="minor"/>
      </rPr>
      <t xml:space="preserve"> - Transcript copy
</t>
    </r>
    <r>
      <rPr>
        <b/>
        <sz val="11"/>
        <color theme="1"/>
        <rFont val="Calibri"/>
        <family val="2"/>
        <scheme val="minor"/>
      </rPr>
      <t>DegreeCopy</t>
    </r>
    <r>
      <rPr>
        <sz val="11"/>
        <color theme="1"/>
        <rFont val="Calibri"/>
        <family val="2"/>
        <scheme val="minor"/>
      </rPr>
      <t xml:space="preserve"> - Degree copy
</t>
    </r>
    <r>
      <rPr>
        <b/>
        <sz val="11"/>
        <color theme="1"/>
        <rFont val="Calibri"/>
        <family val="2"/>
        <scheme val="minor"/>
      </rPr>
      <t>GradeReport</t>
    </r>
    <r>
      <rPr>
        <sz val="11"/>
        <color theme="1"/>
        <rFont val="Calibri"/>
        <family val="2"/>
        <scheme val="minor"/>
      </rPr>
      <t xml:space="preserve"> - Grade report
</t>
    </r>
    <r>
      <rPr>
        <b/>
        <sz val="11"/>
        <color theme="1"/>
        <rFont val="Calibri"/>
        <family val="2"/>
        <scheme val="minor"/>
      </rPr>
      <t>Other</t>
    </r>
    <r>
      <rPr>
        <sz val="11"/>
        <color theme="1"/>
        <rFont val="Calibri"/>
        <family val="2"/>
        <scheme val="minor"/>
      </rPr>
      <t xml:space="preserve"> - Other
</t>
    </r>
  </si>
  <si>
    <t>Employment</t>
  </si>
  <si>
    <r>
      <t>01384</t>
    </r>
    <r>
      <rPr>
        <sz val="11"/>
        <color theme="1"/>
        <rFont val="Calibri"/>
        <family val="2"/>
        <scheme val="minor"/>
      </rPr>
      <t xml:space="preserve"> - Contingent upon funding
</t>
    </r>
    <r>
      <rPr>
        <b/>
        <sz val="11"/>
        <color theme="1"/>
        <rFont val="Calibri"/>
        <family val="2"/>
        <scheme val="minor"/>
      </rPr>
      <t>01379</t>
    </r>
    <r>
      <rPr>
        <sz val="11"/>
        <color theme="1"/>
        <rFont val="Calibri"/>
        <family val="2"/>
        <scheme val="minor"/>
      </rPr>
      <t xml:space="preserve"> - Contractual
</t>
    </r>
    <r>
      <rPr>
        <b/>
        <sz val="11"/>
        <color theme="1"/>
        <rFont val="Calibri"/>
        <family val="2"/>
        <scheme val="minor"/>
      </rPr>
      <t>06071</t>
    </r>
    <r>
      <rPr>
        <sz val="11"/>
        <color theme="1"/>
        <rFont val="Calibri"/>
        <family val="2"/>
        <scheme val="minor"/>
      </rPr>
      <t xml:space="preserve"> - Employed or affiliated with outside agency part-time
</t>
    </r>
    <r>
      <rPr>
        <b/>
        <sz val="11"/>
        <color theme="1"/>
        <rFont val="Calibri"/>
        <family val="2"/>
        <scheme val="minor"/>
      </rPr>
      <t>01383</t>
    </r>
    <r>
      <rPr>
        <sz val="11"/>
        <color theme="1"/>
        <rFont val="Calibri"/>
        <family val="2"/>
        <scheme val="minor"/>
      </rPr>
      <t xml:space="preserve"> - Employed or affiliated with outside organization
</t>
    </r>
    <r>
      <rPr>
        <b/>
        <sz val="11"/>
        <color theme="1"/>
        <rFont val="Calibri"/>
        <family val="2"/>
        <scheme val="minor"/>
      </rPr>
      <t>01385</t>
    </r>
    <r>
      <rPr>
        <sz val="11"/>
        <color theme="1"/>
        <rFont val="Calibri"/>
        <family val="2"/>
        <scheme val="minor"/>
      </rPr>
      <t xml:space="preserve"> - Non-contractual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01378</t>
    </r>
    <r>
      <rPr>
        <sz val="11"/>
        <color theme="1"/>
        <rFont val="Calibri"/>
        <family val="2"/>
        <scheme val="minor"/>
      </rPr>
      <t xml:space="preserve"> - Probationary
</t>
    </r>
    <r>
      <rPr>
        <b/>
        <sz val="11"/>
        <color theme="1"/>
        <rFont val="Calibri"/>
        <family val="2"/>
        <scheme val="minor"/>
      </rPr>
      <t>06070</t>
    </r>
    <r>
      <rPr>
        <sz val="11"/>
        <color theme="1"/>
        <rFont val="Calibri"/>
        <family val="2"/>
        <scheme val="minor"/>
      </rPr>
      <t xml:space="preserve"> - Self-employed part-time
</t>
    </r>
    <r>
      <rPr>
        <b/>
        <sz val="11"/>
        <color theme="1"/>
        <rFont val="Calibri"/>
        <family val="2"/>
        <scheme val="minor"/>
      </rPr>
      <t>01380</t>
    </r>
    <r>
      <rPr>
        <sz val="11"/>
        <color theme="1"/>
        <rFont val="Calibri"/>
        <family val="2"/>
        <scheme val="minor"/>
      </rPr>
      <t xml:space="preserve"> - Substitute/temporary
</t>
    </r>
    <r>
      <rPr>
        <b/>
        <sz val="11"/>
        <color theme="1"/>
        <rFont val="Calibri"/>
        <family val="2"/>
        <scheme val="minor"/>
      </rPr>
      <t>01381</t>
    </r>
    <r>
      <rPr>
        <sz val="11"/>
        <color theme="1"/>
        <rFont val="Calibri"/>
        <family val="2"/>
        <scheme val="minor"/>
      </rPr>
      <t xml:space="preserve"> - Tenured or permanent
</t>
    </r>
    <r>
      <rPr>
        <b/>
        <sz val="11"/>
        <color theme="1"/>
        <rFont val="Calibri"/>
        <family val="2"/>
        <scheme val="minor"/>
      </rPr>
      <t>01382</t>
    </r>
    <r>
      <rPr>
        <sz val="11"/>
        <color theme="1"/>
        <rFont val="Calibri"/>
        <family val="2"/>
        <scheme val="minor"/>
      </rPr>
      <t xml:space="preserve"> - Volunteer/no contract
</t>
    </r>
  </si>
  <si>
    <r>
      <t>01391</t>
    </r>
    <r>
      <rPr>
        <sz val="11"/>
        <color theme="1"/>
        <rFont val="Calibri"/>
        <family val="2"/>
        <scheme val="minor"/>
      </rPr>
      <t xml:space="preserve"> - Change of assignment
</t>
    </r>
    <r>
      <rPr>
        <b/>
        <sz val="11"/>
        <color theme="1"/>
        <rFont val="Calibri"/>
        <family val="2"/>
        <scheme val="minor"/>
      </rPr>
      <t>89604</t>
    </r>
    <r>
      <rPr>
        <sz val="11"/>
        <color theme="1"/>
        <rFont val="Calibri"/>
        <family val="2"/>
        <scheme val="minor"/>
      </rPr>
      <t xml:space="preserve"> - Compensation
</t>
    </r>
    <r>
      <rPr>
        <b/>
        <sz val="11"/>
        <color theme="1"/>
        <rFont val="Calibri"/>
        <family val="2"/>
        <scheme val="minor"/>
      </rPr>
      <t>01404</t>
    </r>
    <r>
      <rPr>
        <sz val="11"/>
        <color theme="1"/>
        <rFont val="Calibri"/>
        <family val="2"/>
        <scheme val="minor"/>
      </rPr>
      <t xml:space="preserve"> - Death
</t>
    </r>
    <r>
      <rPr>
        <b/>
        <sz val="11"/>
        <color theme="1"/>
        <rFont val="Calibri"/>
        <family val="2"/>
        <scheme val="minor"/>
      </rPr>
      <t>01401</t>
    </r>
    <r>
      <rPr>
        <sz val="11"/>
        <color theme="1"/>
        <rFont val="Calibri"/>
        <family val="2"/>
        <scheme val="minor"/>
      </rPr>
      <t xml:space="preserve"> - Falsified application form
</t>
    </r>
    <r>
      <rPr>
        <b/>
        <sz val="11"/>
        <color theme="1"/>
        <rFont val="Calibri"/>
        <family val="2"/>
        <scheme val="minor"/>
      </rPr>
      <t>01400</t>
    </r>
    <r>
      <rPr>
        <sz val="11"/>
        <color theme="1"/>
        <rFont val="Calibri"/>
        <family val="2"/>
        <scheme val="minor"/>
      </rPr>
      <t xml:space="preserve"> - Continued absence or tardiness
</t>
    </r>
    <r>
      <rPr>
        <b/>
        <sz val="11"/>
        <color theme="1"/>
        <rFont val="Calibri"/>
        <family val="2"/>
        <scheme val="minor"/>
      </rPr>
      <t>01402</t>
    </r>
    <r>
      <rPr>
        <sz val="11"/>
        <color theme="1"/>
        <rFont val="Calibri"/>
        <family val="2"/>
        <scheme val="minor"/>
      </rPr>
      <t xml:space="preserve"> - Credential revoked or suspended
</t>
    </r>
    <r>
      <rPr>
        <b/>
        <sz val="11"/>
        <color theme="1"/>
        <rFont val="Calibri"/>
        <family val="2"/>
        <scheme val="minor"/>
      </rPr>
      <t>01399</t>
    </r>
    <r>
      <rPr>
        <sz val="11"/>
        <color theme="1"/>
        <rFont val="Calibri"/>
        <family val="2"/>
        <scheme val="minor"/>
      </rPr>
      <t xml:space="preserve"> - Misconduct
</t>
    </r>
    <r>
      <rPr>
        <b/>
        <sz val="11"/>
        <color theme="1"/>
        <rFont val="Calibri"/>
        <family val="2"/>
        <scheme val="minor"/>
      </rPr>
      <t>01403</t>
    </r>
    <r>
      <rPr>
        <sz val="11"/>
        <color theme="1"/>
        <rFont val="Calibri"/>
        <family val="2"/>
        <scheme val="minor"/>
      </rPr>
      <t xml:space="preserve"> - Unsatisfactory work performance
</t>
    </r>
    <r>
      <rPr>
        <b/>
        <sz val="11"/>
        <color theme="1"/>
        <rFont val="Calibri"/>
        <family val="2"/>
        <scheme val="minor"/>
      </rPr>
      <t>01398</t>
    </r>
    <r>
      <rPr>
        <sz val="11"/>
        <color theme="1"/>
        <rFont val="Calibri"/>
        <family val="2"/>
        <scheme val="minor"/>
      </rPr>
      <t xml:space="preserve"> - Unsuitability
</t>
    </r>
    <r>
      <rPr>
        <b/>
        <sz val="11"/>
        <color theme="1"/>
        <rFont val="Calibri"/>
        <family val="2"/>
        <scheme val="minor"/>
      </rPr>
      <t>01390</t>
    </r>
    <r>
      <rPr>
        <sz val="11"/>
        <color theme="1"/>
        <rFont val="Calibri"/>
        <family val="2"/>
        <scheme val="minor"/>
      </rPr>
      <t xml:space="preserve"> - Family/personal relocation
</t>
    </r>
    <r>
      <rPr>
        <b/>
        <sz val="11"/>
        <color theme="1"/>
        <rFont val="Calibri"/>
        <family val="2"/>
        <scheme val="minor"/>
      </rPr>
      <t>01392</t>
    </r>
    <r>
      <rPr>
        <sz val="11"/>
        <color theme="1"/>
        <rFont val="Calibri"/>
        <family val="2"/>
        <scheme val="minor"/>
      </rPr>
      <t xml:space="preserve"> - Formal study or research
</t>
    </r>
    <r>
      <rPr>
        <b/>
        <sz val="11"/>
        <color theme="1"/>
        <rFont val="Calibri"/>
        <family val="2"/>
        <scheme val="minor"/>
      </rPr>
      <t>01394</t>
    </r>
    <r>
      <rPr>
        <sz val="11"/>
        <color theme="1"/>
        <rFont val="Calibri"/>
        <family val="2"/>
        <scheme val="minor"/>
      </rPr>
      <t xml:space="preserve"> - Homemaking/caring for a family member
</t>
    </r>
    <r>
      <rPr>
        <b/>
        <sz val="11"/>
        <color theme="1"/>
        <rFont val="Calibri"/>
        <family val="2"/>
        <scheme val="minor"/>
      </rPr>
      <t>01393</t>
    </r>
    <r>
      <rPr>
        <sz val="11"/>
        <color theme="1"/>
        <rFont val="Calibri"/>
        <family val="2"/>
        <scheme val="minor"/>
      </rPr>
      <t xml:space="preserve"> - Illness/disability
</t>
    </r>
    <r>
      <rPr>
        <b/>
        <sz val="11"/>
        <color theme="1"/>
        <rFont val="Calibri"/>
        <family val="2"/>
        <scheme val="minor"/>
      </rPr>
      <t>01395</t>
    </r>
    <r>
      <rPr>
        <sz val="11"/>
        <color theme="1"/>
        <rFont val="Calibri"/>
        <family val="2"/>
        <scheme val="minor"/>
      </rPr>
      <t xml:space="preserve"> - Budgetary reduction
</t>
    </r>
    <r>
      <rPr>
        <b/>
        <sz val="11"/>
        <color theme="1"/>
        <rFont val="Calibri"/>
        <family val="2"/>
        <scheme val="minor"/>
      </rPr>
      <t>01397</t>
    </r>
    <r>
      <rPr>
        <sz val="11"/>
        <color theme="1"/>
        <rFont val="Calibri"/>
        <family val="2"/>
        <scheme val="minor"/>
      </rPr>
      <t xml:space="preserve"> - Decreased workload
</t>
    </r>
    <r>
      <rPr>
        <b/>
        <sz val="11"/>
        <color theme="1"/>
        <rFont val="Calibri"/>
        <family val="2"/>
        <scheme val="minor"/>
      </rPr>
      <t>01396</t>
    </r>
    <r>
      <rPr>
        <sz val="11"/>
        <color theme="1"/>
        <rFont val="Calibri"/>
        <family val="2"/>
        <scheme val="minor"/>
      </rPr>
      <t xml:space="preserve"> - Organizational restructuring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01405</t>
    </r>
    <r>
      <rPr>
        <sz val="11"/>
        <color theme="1"/>
        <rFont val="Calibri"/>
        <family val="2"/>
        <scheme val="minor"/>
      </rPr>
      <t xml:space="preserve"> - Personal reason
</t>
    </r>
    <r>
      <rPr>
        <b/>
        <sz val="11"/>
        <color theme="1"/>
        <rFont val="Calibri"/>
        <family val="2"/>
        <scheme val="minor"/>
      </rPr>
      <t>01389</t>
    </r>
    <r>
      <rPr>
        <sz val="11"/>
        <color theme="1"/>
        <rFont val="Calibri"/>
        <family val="2"/>
        <scheme val="minor"/>
      </rPr>
      <t xml:space="preserve"> - Retirement
</t>
    </r>
    <r>
      <rPr>
        <b/>
        <sz val="11"/>
        <color theme="1"/>
        <rFont val="Calibri"/>
        <family val="2"/>
        <scheme val="minor"/>
      </rPr>
      <t>73201</t>
    </r>
    <r>
      <rPr>
        <sz val="11"/>
        <color theme="1"/>
        <rFont val="Calibri"/>
        <family val="2"/>
        <scheme val="minor"/>
      </rPr>
      <t xml:space="preserve"> - Termination with Cause
</t>
    </r>
    <r>
      <rPr>
        <b/>
        <sz val="11"/>
        <color theme="1"/>
        <rFont val="Calibri"/>
        <family val="2"/>
        <scheme val="minor"/>
      </rPr>
      <t>73202</t>
    </r>
    <r>
      <rPr>
        <sz val="11"/>
        <color theme="1"/>
        <rFont val="Calibri"/>
        <family val="2"/>
        <scheme val="minor"/>
      </rPr>
      <t xml:space="preserve"> - Leave Planning to Return
</t>
    </r>
    <r>
      <rPr>
        <b/>
        <sz val="11"/>
        <color theme="1"/>
        <rFont val="Calibri"/>
        <family val="2"/>
        <scheme val="minor"/>
      </rPr>
      <t>73203</t>
    </r>
    <r>
      <rPr>
        <sz val="11"/>
        <color theme="1"/>
        <rFont val="Calibri"/>
        <family val="2"/>
        <scheme val="minor"/>
      </rPr>
      <t xml:space="preserve"> - Leave Not Planning to Return
</t>
    </r>
    <r>
      <rPr>
        <b/>
        <sz val="11"/>
        <color theme="1"/>
        <rFont val="Calibri"/>
        <family val="2"/>
        <scheme val="minor"/>
      </rPr>
      <t>09997</t>
    </r>
    <r>
      <rPr>
        <sz val="11"/>
        <color theme="1"/>
        <rFont val="Calibri"/>
        <family val="2"/>
        <scheme val="minor"/>
      </rPr>
      <t xml:space="preserve"> - Unknown
</t>
    </r>
  </si>
  <si>
    <r>
      <t>Involuntary</t>
    </r>
    <r>
      <rPr>
        <sz val="11"/>
        <color theme="1"/>
        <rFont val="Calibri"/>
        <family val="2"/>
        <scheme val="minor"/>
      </rPr>
      <t xml:space="preserve"> - Involuntary separation
</t>
    </r>
    <r>
      <rPr>
        <b/>
        <sz val="11"/>
        <color theme="1"/>
        <rFont val="Calibri"/>
        <family val="2"/>
        <scheme val="minor"/>
      </rPr>
      <t>MutualAgreement</t>
    </r>
    <r>
      <rPr>
        <sz val="11"/>
        <color theme="1"/>
        <rFont val="Calibri"/>
        <family val="2"/>
        <scheme val="minor"/>
      </rPr>
      <t xml:space="preserve"> - Mutual agreement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Voluntary</t>
    </r>
    <r>
      <rPr>
        <sz val="11"/>
        <color theme="1"/>
        <rFont val="Calibri"/>
        <family val="2"/>
        <scheme val="minor"/>
      </rPr>
      <t xml:space="preserve"> - Voluntary separation
</t>
    </r>
  </si>
  <si>
    <r>
      <t>01</t>
    </r>
    <r>
      <rPr>
        <sz val="11"/>
        <color theme="1"/>
        <rFont val="Calibri"/>
        <family val="2"/>
        <scheme val="minor"/>
      </rPr>
      <t xml:space="preserve"> - Collected as an hourly wage amount
</t>
    </r>
    <r>
      <rPr>
        <b/>
        <sz val="11"/>
        <color theme="1"/>
        <rFont val="Calibri"/>
        <family val="2"/>
        <scheme val="minor"/>
      </rPr>
      <t>02</t>
    </r>
    <r>
      <rPr>
        <sz val="11"/>
        <color theme="1"/>
        <rFont val="Calibri"/>
        <family val="2"/>
        <scheme val="minor"/>
      </rPr>
      <t xml:space="preserve"> - Collected as salary and converted to an hourly wage amount
</t>
    </r>
    <r>
      <rPr>
        <b/>
        <sz val="11"/>
        <color theme="1"/>
        <rFont val="Calibri"/>
        <family val="2"/>
        <scheme val="minor"/>
      </rPr>
      <t>03</t>
    </r>
    <r>
      <rPr>
        <sz val="11"/>
        <color theme="1"/>
        <rFont val="Calibri"/>
        <family val="2"/>
        <scheme val="minor"/>
      </rPr>
      <t xml:space="preserve"> - Collected in both methods but method not tracked on an individual record
</t>
    </r>
    <r>
      <rPr>
        <b/>
        <sz val="11"/>
        <color theme="1"/>
        <rFont val="Calibri"/>
        <family val="2"/>
        <scheme val="minor"/>
      </rPr>
      <t>99</t>
    </r>
    <r>
      <rPr>
        <sz val="11"/>
        <color theme="1"/>
        <rFont val="Calibri"/>
        <family val="2"/>
        <scheme val="minor"/>
      </rPr>
      <t xml:space="preserve"> - Wage data not present
</t>
    </r>
  </si>
  <si>
    <r>
      <t>01</t>
    </r>
    <r>
      <rPr>
        <sz val="11"/>
        <color theme="1"/>
        <rFont val="Calibri"/>
        <family val="2"/>
        <scheme val="minor"/>
      </rPr>
      <t xml:space="preserve"> - Verified
</t>
    </r>
    <r>
      <rPr>
        <b/>
        <sz val="11"/>
        <color theme="1"/>
        <rFont val="Calibri"/>
        <family val="2"/>
        <scheme val="minor"/>
      </rPr>
      <t>02</t>
    </r>
    <r>
      <rPr>
        <sz val="11"/>
        <color theme="1"/>
        <rFont val="Calibri"/>
        <family val="2"/>
        <scheme val="minor"/>
      </rPr>
      <t xml:space="preserve"> - Not verified
</t>
    </r>
    <r>
      <rPr>
        <b/>
        <sz val="11"/>
        <color theme="1"/>
        <rFont val="Calibri"/>
        <family val="2"/>
        <scheme val="minor"/>
      </rPr>
      <t>03</t>
    </r>
    <r>
      <rPr>
        <sz val="11"/>
        <color theme="1"/>
        <rFont val="Calibri"/>
        <family val="2"/>
        <scheme val="minor"/>
      </rPr>
      <t xml:space="preserve"> - Wage data not present
</t>
    </r>
  </si>
  <si>
    <r>
      <t>Teacher</t>
    </r>
    <r>
      <rPr>
        <sz val="11"/>
        <color theme="1"/>
        <rFont val="Calibri"/>
        <family val="2"/>
        <scheme val="minor"/>
      </rPr>
      <t xml:space="preserve"> - Teacher
</t>
    </r>
    <r>
      <rPr>
        <b/>
        <sz val="11"/>
        <color theme="1"/>
        <rFont val="Calibri"/>
        <family val="2"/>
        <scheme val="minor"/>
      </rPr>
      <t>AssistanceTeacher</t>
    </r>
    <r>
      <rPr>
        <sz val="11"/>
        <color theme="1"/>
        <rFont val="Calibri"/>
        <family val="2"/>
        <scheme val="minor"/>
      </rPr>
      <t xml:space="preserve"> - Assistance Teacher
</t>
    </r>
    <r>
      <rPr>
        <b/>
        <sz val="11"/>
        <color theme="1"/>
        <rFont val="Calibri"/>
        <family val="2"/>
        <scheme val="minor"/>
      </rPr>
      <t>Administrator</t>
    </r>
    <r>
      <rPr>
        <sz val="11"/>
        <color theme="1"/>
        <rFont val="Calibri"/>
        <family val="2"/>
        <scheme val="minor"/>
      </rPr>
      <t xml:space="preserve"> - Administrator
</t>
    </r>
    <r>
      <rPr>
        <b/>
        <sz val="11"/>
        <color theme="1"/>
        <rFont val="Calibri"/>
        <family val="2"/>
        <scheme val="minor"/>
      </rPr>
      <t>NonTeachingLeadership</t>
    </r>
    <r>
      <rPr>
        <sz val="11"/>
        <color theme="1"/>
        <rFont val="Calibri"/>
        <family val="2"/>
        <scheme val="minor"/>
      </rPr>
      <t xml:space="preserve"> - Non-teaching Leadership
</t>
    </r>
    <r>
      <rPr>
        <b/>
        <sz val="11"/>
        <color theme="1"/>
        <rFont val="Calibri"/>
        <family val="2"/>
        <scheme val="minor"/>
      </rPr>
      <t>NonTeacherOther</t>
    </r>
    <r>
      <rPr>
        <sz val="11"/>
        <color theme="1"/>
        <rFont val="Calibri"/>
        <family val="2"/>
        <scheme val="minor"/>
      </rPr>
      <t xml:space="preserve"> - Non-teacher Other
</t>
    </r>
    <r>
      <rPr>
        <b/>
        <sz val="11"/>
        <color theme="1"/>
        <rFont val="Calibri"/>
        <family val="2"/>
        <scheme val="minor"/>
      </rPr>
      <t>Audiologist</t>
    </r>
    <r>
      <rPr>
        <sz val="11"/>
        <color theme="1"/>
        <rFont val="Calibri"/>
        <family val="2"/>
        <scheme val="minor"/>
      </rPr>
      <t xml:space="preserve"> - Audiologist
</t>
    </r>
    <r>
      <rPr>
        <b/>
        <sz val="11"/>
        <color theme="1"/>
        <rFont val="Calibri"/>
        <family val="2"/>
        <scheme val="minor"/>
      </rPr>
      <t>BCBA</t>
    </r>
    <r>
      <rPr>
        <sz val="11"/>
        <color theme="1"/>
        <rFont val="Calibri"/>
        <family val="2"/>
        <scheme val="minor"/>
      </rPr>
      <t xml:space="preserve"> - Board Certified Behavior Analyst (BCBA)
</t>
    </r>
    <r>
      <rPr>
        <b/>
        <sz val="11"/>
        <color theme="1"/>
        <rFont val="Calibri"/>
        <family val="2"/>
        <scheme val="minor"/>
      </rPr>
      <t>BCaBA</t>
    </r>
    <r>
      <rPr>
        <sz val="11"/>
        <color theme="1"/>
        <rFont val="Calibri"/>
        <family val="2"/>
        <scheme val="minor"/>
      </rPr>
      <t xml:space="preserve"> - Board Certified Assistant Behavior Analyst (BCaBA)
</t>
    </r>
    <r>
      <rPr>
        <b/>
        <sz val="11"/>
        <color theme="1"/>
        <rFont val="Calibri"/>
        <family val="2"/>
        <scheme val="minor"/>
      </rPr>
      <t>ABAAide</t>
    </r>
    <r>
      <rPr>
        <sz val="11"/>
        <color theme="1"/>
        <rFont val="Calibri"/>
        <family val="2"/>
        <scheme val="minor"/>
      </rPr>
      <t xml:space="preserve"> - Applied Behavior Analysis (ABA) Aide
</t>
    </r>
    <r>
      <rPr>
        <b/>
        <sz val="11"/>
        <color theme="1"/>
        <rFont val="Calibri"/>
        <family val="2"/>
        <scheme val="minor"/>
      </rPr>
      <t>OccupationalTherapyAssistant</t>
    </r>
    <r>
      <rPr>
        <sz val="11"/>
        <color theme="1"/>
        <rFont val="Calibri"/>
        <family val="2"/>
        <scheme val="minor"/>
      </rPr>
      <t xml:space="preserve"> - Certified Occupational Therapy Assistant
</t>
    </r>
    <r>
      <rPr>
        <b/>
        <sz val="11"/>
        <color theme="1"/>
        <rFont val="Calibri"/>
        <family val="2"/>
        <scheme val="minor"/>
      </rPr>
      <t>Nurse</t>
    </r>
    <r>
      <rPr>
        <sz val="11"/>
        <color theme="1"/>
        <rFont val="Calibri"/>
        <family val="2"/>
        <scheme val="minor"/>
      </rPr>
      <t xml:space="preserve"> - Nurse (LPN, RN, NP)
</t>
    </r>
    <r>
      <rPr>
        <b/>
        <sz val="11"/>
        <color theme="1"/>
        <rFont val="Calibri"/>
        <family val="2"/>
        <scheme val="minor"/>
      </rPr>
      <t>LowVisionSpecialist</t>
    </r>
    <r>
      <rPr>
        <sz val="11"/>
        <color theme="1"/>
        <rFont val="Calibri"/>
        <family val="2"/>
        <scheme val="minor"/>
      </rPr>
      <t xml:space="preserve"> - Certified Low Vision Specialist
</t>
    </r>
    <r>
      <rPr>
        <b/>
        <sz val="11"/>
        <color theme="1"/>
        <rFont val="Calibri"/>
        <family val="2"/>
        <scheme val="minor"/>
      </rPr>
      <t>OrientationMobilitySpecialist</t>
    </r>
    <r>
      <rPr>
        <sz val="11"/>
        <color theme="1"/>
        <rFont val="Calibri"/>
        <family val="2"/>
        <scheme val="minor"/>
      </rPr>
      <t xml:space="preserve"> - Orientation and Mobility Specialist
</t>
    </r>
    <r>
      <rPr>
        <b/>
        <sz val="11"/>
        <color theme="1"/>
        <rFont val="Calibri"/>
        <family val="2"/>
        <scheme val="minor"/>
      </rPr>
      <t>VisionRehabTherapist</t>
    </r>
    <r>
      <rPr>
        <sz val="11"/>
        <color theme="1"/>
        <rFont val="Calibri"/>
        <family val="2"/>
        <scheme val="minor"/>
      </rPr>
      <t xml:space="preserve"> - Vision Rehabilitation Therapist
</t>
    </r>
    <r>
      <rPr>
        <b/>
        <sz val="11"/>
        <color theme="1"/>
        <rFont val="Calibri"/>
        <family val="2"/>
        <scheme val="minor"/>
      </rPr>
      <t>OccupationalTherapist</t>
    </r>
    <r>
      <rPr>
        <sz val="11"/>
        <color theme="1"/>
        <rFont val="Calibri"/>
        <family val="2"/>
        <scheme val="minor"/>
      </rPr>
      <t xml:space="preserve"> - Occupational Therapist
</t>
    </r>
    <r>
      <rPr>
        <b/>
        <sz val="11"/>
        <color theme="1"/>
        <rFont val="Calibri"/>
        <family val="2"/>
        <scheme val="minor"/>
      </rPr>
      <t>Optometrist</t>
    </r>
    <r>
      <rPr>
        <sz val="11"/>
        <color theme="1"/>
        <rFont val="Calibri"/>
        <family val="2"/>
        <scheme val="minor"/>
      </rPr>
      <t xml:space="preserve"> - Optometrist
</t>
    </r>
    <r>
      <rPr>
        <b/>
        <sz val="11"/>
        <color theme="1"/>
        <rFont val="Calibri"/>
        <family val="2"/>
        <scheme val="minor"/>
      </rPr>
      <t>PhysicalTherapist</t>
    </r>
    <r>
      <rPr>
        <sz val="11"/>
        <color theme="1"/>
        <rFont val="Calibri"/>
        <family val="2"/>
        <scheme val="minor"/>
      </rPr>
      <t xml:space="preserve"> - Physical Therapist/Physical Therapy Assistant
</t>
    </r>
    <r>
      <rPr>
        <b/>
        <sz val="11"/>
        <color theme="1"/>
        <rFont val="Calibri"/>
        <family val="2"/>
        <scheme val="minor"/>
      </rPr>
      <t>Pediatrician</t>
    </r>
    <r>
      <rPr>
        <sz val="11"/>
        <color theme="1"/>
        <rFont val="Calibri"/>
        <family val="2"/>
        <scheme val="minor"/>
      </rPr>
      <t xml:space="preserve"> - Pediatrician
</t>
    </r>
    <r>
      <rPr>
        <b/>
        <sz val="11"/>
        <color theme="1"/>
        <rFont val="Calibri"/>
        <family val="2"/>
        <scheme val="minor"/>
      </rPr>
      <t>OtherPhysician</t>
    </r>
    <r>
      <rPr>
        <sz val="11"/>
        <color theme="1"/>
        <rFont val="Calibri"/>
        <family val="2"/>
        <scheme val="minor"/>
      </rPr>
      <t xml:space="preserve"> - Other Physician
</t>
    </r>
    <r>
      <rPr>
        <b/>
        <sz val="11"/>
        <color theme="1"/>
        <rFont val="Calibri"/>
        <family val="2"/>
        <scheme val="minor"/>
      </rPr>
      <t>PhysicianAssistant</t>
    </r>
    <r>
      <rPr>
        <sz val="11"/>
        <color theme="1"/>
        <rFont val="Calibri"/>
        <family val="2"/>
        <scheme val="minor"/>
      </rPr>
      <t xml:space="preserve"> - Physician Assistant
</t>
    </r>
    <r>
      <rPr>
        <b/>
        <sz val="11"/>
        <color theme="1"/>
        <rFont val="Calibri"/>
        <family val="2"/>
        <scheme val="minor"/>
      </rPr>
      <t>Psychologists</t>
    </r>
    <r>
      <rPr>
        <sz val="11"/>
        <color theme="1"/>
        <rFont val="Calibri"/>
        <family val="2"/>
        <scheme val="minor"/>
      </rPr>
      <t xml:space="preserve"> - Psychologists
</t>
    </r>
    <r>
      <rPr>
        <b/>
        <sz val="11"/>
        <color theme="1"/>
        <rFont val="Calibri"/>
        <family val="2"/>
        <scheme val="minor"/>
      </rPr>
      <t>RegisteredNutritionist</t>
    </r>
    <r>
      <rPr>
        <sz val="11"/>
        <color theme="1"/>
        <rFont val="Calibri"/>
        <family val="2"/>
        <scheme val="minor"/>
      </rPr>
      <t xml:space="preserve"> - Registered or Certified Dietitian/Nutritionist
</t>
    </r>
    <r>
      <rPr>
        <b/>
        <sz val="11"/>
        <color theme="1"/>
        <rFont val="Calibri"/>
        <family val="2"/>
        <scheme val="minor"/>
      </rPr>
      <t>SchoolPsychologist</t>
    </r>
    <r>
      <rPr>
        <sz val="11"/>
        <color theme="1"/>
        <rFont val="Calibri"/>
        <family val="2"/>
        <scheme val="minor"/>
      </rPr>
      <t xml:space="preserve"> - School Psychologist
</t>
    </r>
    <r>
      <rPr>
        <b/>
        <sz val="11"/>
        <color theme="1"/>
        <rFont val="Calibri"/>
        <family val="2"/>
        <scheme val="minor"/>
      </rPr>
      <t>SocialWorker</t>
    </r>
    <r>
      <rPr>
        <sz val="11"/>
        <color theme="1"/>
        <rFont val="Calibri"/>
        <family val="2"/>
        <scheme val="minor"/>
      </rPr>
      <t xml:space="preserve"> - Clinical and Masters Social Worker
</t>
    </r>
    <r>
      <rPr>
        <b/>
        <sz val="11"/>
        <color theme="1"/>
        <rFont val="Calibri"/>
        <family val="2"/>
        <scheme val="minor"/>
      </rPr>
      <t>SpecialEducationTeacher</t>
    </r>
    <r>
      <rPr>
        <sz val="11"/>
        <color theme="1"/>
        <rFont val="Calibri"/>
        <family val="2"/>
        <scheme val="minor"/>
      </rPr>
      <t xml:space="preserve"> - Special Education Teacher
</t>
    </r>
    <r>
      <rPr>
        <b/>
        <sz val="11"/>
        <color theme="1"/>
        <rFont val="Calibri"/>
        <family val="2"/>
        <scheme val="minor"/>
      </rPr>
      <t>SpeechPathologist</t>
    </r>
    <r>
      <rPr>
        <sz val="11"/>
        <color theme="1"/>
        <rFont val="Calibri"/>
        <family val="2"/>
        <scheme val="minor"/>
      </rPr>
      <t xml:space="preserve"> - Speech and Language Pathologist
</t>
    </r>
    <r>
      <rPr>
        <b/>
        <sz val="11"/>
        <color theme="1"/>
        <rFont val="Calibri"/>
        <family val="2"/>
        <scheme val="minor"/>
      </rPr>
      <t>TeacherOfVisuallyImpaired</t>
    </r>
    <r>
      <rPr>
        <sz val="11"/>
        <color theme="1"/>
        <rFont val="Calibri"/>
        <family val="2"/>
        <scheme val="minor"/>
      </rPr>
      <t xml:space="preserve"> - Teacher of the Blind and Visually Impaired
</t>
    </r>
    <r>
      <rPr>
        <b/>
        <sz val="11"/>
        <color theme="1"/>
        <rFont val="Calibri"/>
        <family val="2"/>
        <scheme val="minor"/>
      </rPr>
      <t>TeacherOfHearingImpaired</t>
    </r>
    <r>
      <rPr>
        <sz val="11"/>
        <color theme="1"/>
        <rFont val="Calibri"/>
        <family val="2"/>
        <scheme val="minor"/>
      </rPr>
      <t xml:space="preserve"> - Teacher of the Deaf and Hearing Impaired
</t>
    </r>
    <r>
      <rPr>
        <b/>
        <sz val="11"/>
        <color theme="1"/>
        <rFont val="Calibri"/>
        <family val="2"/>
        <scheme val="minor"/>
      </rPr>
      <t>TeacherOfLanguageDisabilities</t>
    </r>
    <r>
      <rPr>
        <sz val="11"/>
        <color theme="1"/>
        <rFont val="Calibri"/>
        <family val="2"/>
        <scheme val="minor"/>
      </rPr>
      <t xml:space="preserve"> - Teacher of Speech and Language Disabilities
</t>
    </r>
    <r>
      <rPr>
        <b/>
        <sz val="11"/>
        <color theme="1"/>
        <rFont val="Calibri"/>
        <family val="2"/>
        <scheme val="minor"/>
      </rPr>
      <t>ServiceCoordinator</t>
    </r>
    <r>
      <rPr>
        <sz val="11"/>
        <color theme="1"/>
        <rFont val="Calibri"/>
        <family val="2"/>
        <scheme val="minor"/>
      </rPr>
      <t xml:space="preserve"> - Service Coordinator
</t>
    </r>
    <r>
      <rPr>
        <b/>
        <sz val="11"/>
        <color theme="1"/>
        <rFont val="Calibri"/>
        <family val="2"/>
        <scheme val="minor"/>
      </rPr>
      <t>ContractStaff</t>
    </r>
    <r>
      <rPr>
        <sz val="11"/>
        <color theme="1"/>
        <rFont val="Calibri"/>
        <family val="2"/>
        <scheme val="minor"/>
      </rPr>
      <t xml:space="preserve"> - Contract Staff
</t>
    </r>
  </si>
  <si>
    <r>
      <t>ABAAide</t>
    </r>
    <r>
      <rPr>
        <sz val="11"/>
        <color theme="1"/>
        <rFont val="Calibri"/>
        <family val="2"/>
        <scheme val="minor"/>
      </rPr>
      <t xml:space="preserve"> - Applied Behavior Analysis (ABA) Aide
</t>
    </r>
    <r>
      <rPr>
        <b/>
        <sz val="11"/>
        <color theme="1"/>
        <rFont val="Calibri"/>
        <family val="2"/>
        <scheme val="minor"/>
      </rPr>
      <t>Audiologist</t>
    </r>
    <r>
      <rPr>
        <sz val="11"/>
        <color theme="1"/>
        <rFont val="Calibri"/>
        <family val="2"/>
        <scheme val="minor"/>
      </rPr>
      <t xml:space="preserve"> - Audiologist
</t>
    </r>
    <r>
      <rPr>
        <b/>
        <sz val="11"/>
        <color theme="1"/>
        <rFont val="Calibri"/>
        <family val="2"/>
        <scheme val="minor"/>
      </rPr>
      <t>BCaBA</t>
    </r>
    <r>
      <rPr>
        <sz val="11"/>
        <color theme="1"/>
        <rFont val="Calibri"/>
        <family val="2"/>
        <scheme val="minor"/>
      </rPr>
      <t xml:space="preserve"> - Board Certified Assistant Behavior Analyst (BCaBA)
</t>
    </r>
    <r>
      <rPr>
        <b/>
        <sz val="11"/>
        <color theme="1"/>
        <rFont val="Calibri"/>
        <family val="2"/>
        <scheme val="minor"/>
      </rPr>
      <t>BCBA</t>
    </r>
    <r>
      <rPr>
        <sz val="11"/>
        <color theme="1"/>
        <rFont val="Calibri"/>
        <family val="2"/>
        <scheme val="minor"/>
      </rPr>
      <t xml:space="preserve"> - Board Certified Behavior Analyst (BCBA)
</t>
    </r>
    <r>
      <rPr>
        <b/>
        <sz val="11"/>
        <color theme="1"/>
        <rFont val="Calibri"/>
        <family val="2"/>
        <scheme val="minor"/>
      </rPr>
      <t>LowVisionSpecialist</t>
    </r>
    <r>
      <rPr>
        <sz val="11"/>
        <color theme="1"/>
        <rFont val="Calibri"/>
        <family val="2"/>
        <scheme val="minor"/>
      </rPr>
      <t xml:space="preserve"> - Certified Low Vision Specialist
</t>
    </r>
    <r>
      <rPr>
        <b/>
        <sz val="11"/>
        <color theme="1"/>
        <rFont val="Calibri"/>
        <family val="2"/>
        <scheme val="minor"/>
      </rPr>
      <t>OccupationalTherapyAssistant</t>
    </r>
    <r>
      <rPr>
        <sz val="11"/>
        <color theme="1"/>
        <rFont val="Calibri"/>
        <family val="2"/>
        <scheme val="minor"/>
      </rPr>
      <t xml:space="preserve"> - Certified Occupational Therapy Assistant
</t>
    </r>
    <r>
      <rPr>
        <b/>
        <sz val="11"/>
        <color theme="1"/>
        <rFont val="Calibri"/>
        <family val="2"/>
        <scheme val="minor"/>
      </rPr>
      <t>SocialWorker</t>
    </r>
    <r>
      <rPr>
        <sz val="11"/>
        <color theme="1"/>
        <rFont val="Calibri"/>
        <family val="2"/>
        <scheme val="minor"/>
      </rPr>
      <t xml:space="preserve"> - Clinical and Masters Social Worker
</t>
    </r>
    <r>
      <rPr>
        <b/>
        <sz val="11"/>
        <color theme="1"/>
        <rFont val="Calibri"/>
        <family val="2"/>
        <scheme val="minor"/>
      </rPr>
      <t>ContractStaff</t>
    </r>
    <r>
      <rPr>
        <sz val="11"/>
        <color theme="1"/>
        <rFont val="Calibri"/>
        <family val="2"/>
        <scheme val="minor"/>
      </rPr>
      <t xml:space="preserve"> - Contract Staff
</t>
    </r>
    <r>
      <rPr>
        <b/>
        <sz val="11"/>
        <color theme="1"/>
        <rFont val="Calibri"/>
        <family val="2"/>
        <scheme val="minor"/>
      </rPr>
      <t>HomeVisitor</t>
    </r>
    <r>
      <rPr>
        <sz val="11"/>
        <color theme="1"/>
        <rFont val="Calibri"/>
        <family val="2"/>
        <scheme val="minor"/>
      </rPr>
      <t xml:space="preserve"> - Home Visitor
</t>
    </r>
    <r>
      <rPr>
        <b/>
        <sz val="11"/>
        <color theme="1"/>
        <rFont val="Calibri"/>
        <family val="2"/>
        <scheme val="minor"/>
      </rPr>
      <t>Nurse</t>
    </r>
    <r>
      <rPr>
        <sz val="11"/>
        <color theme="1"/>
        <rFont val="Calibri"/>
        <family val="2"/>
        <scheme val="minor"/>
      </rPr>
      <t xml:space="preserve"> - Nurse (LPN, RN, NP)
</t>
    </r>
    <r>
      <rPr>
        <b/>
        <sz val="11"/>
        <color theme="1"/>
        <rFont val="Calibri"/>
        <family val="2"/>
        <scheme val="minor"/>
      </rPr>
      <t>OccupationalTherapist</t>
    </r>
    <r>
      <rPr>
        <sz val="11"/>
        <color theme="1"/>
        <rFont val="Calibri"/>
        <family val="2"/>
        <scheme val="minor"/>
      </rPr>
      <t xml:space="preserve"> - Occupational Therapist
</t>
    </r>
    <r>
      <rPr>
        <b/>
        <sz val="11"/>
        <color theme="1"/>
        <rFont val="Calibri"/>
        <family val="2"/>
        <scheme val="minor"/>
      </rPr>
      <t>Optometrist</t>
    </r>
    <r>
      <rPr>
        <sz val="11"/>
        <color theme="1"/>
        <rFont val="Calibri"/>
        <family val="2"/>
        <scheme val="minor"/>
      </rPr>
      <t xml:space="preserve"> - Optometrist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OtherPhysician</t>
    </r>
    <r>
      <rPr>
        <sz val="11"/>
        <color theme="1"/>
        <rFont val="Calibri"/>
        <family val="2"/>
        <scheme val="minor"/>
      </rPr>
      <t xml:space="preserve"> - Other Physician
</t>
    </r>
    <r>
      <rPr>
        <b/>
        <sz val="11"/>
        <color theme="1"/>
        <rFont val="Calibri"/>
        <family val="2"/>
        <scheme val="minor"/>
      </rPr>
      <t>OrientationMobilitySpecialist</t>
    </r>
    <r>
      <rPr>
        <sz val="11"/>
        <color theme="1"/>
        <rFont val="Calibri"/>
        <family val="2"/>
        <scheme val="minor"/>
      </rPr>
      <t xml:space="preserve"> - Orientation and Mobility Specialist
</t>
    </r>
    <r>
      <rPr>
        <b/>
        <sz val="11"/>
        <color theme="1"/>
        <rFont val="Calibri"/>
        <family val="2"/>
        <scheme val="minor"/>
      </rPr>
      <t>Pediatrician</t>
    </r>
    <r>
      <rPr>
        <sz val="11"/>
        <color theme="1"/>
        <rFont val="Calibri"/>
        <family val="2"/>
        <scheme val="minor"/>
      </rPr>
      <t xml:space="preserve"> - Pediatrician
</t>
    </r>
    <r>
      <rPr>
        <b/>
        <sz val="11"/>
        <color theme="1"/>
        <rFont val="Calibri"/>
        <family val="2"/>
        <scheme val="minor"/>
      </rPr>
      <t>PhysicalTherapist</t>
    </r>
    <r>
      <rPr>
        <sz val="11"/>
        <color theme="1"/>
        <rFont val="Calibri"/>
        <family val="2"/>
        <scheme val="minor"/>
      </rPr>
      <t xml:space="preserve"> - Physical Therapist/Physical Therapy Assistant
</t>
    </r>
    <r>
      <rPr>
        <b/>
        <sz val="11"/>
        <color theme="1"/>
        <rFont val="Calibri"/>
        <family val="2"/>
        <scheme val="minor"/>
      </rPr>
      <t>PhysicianAssistant</t>
    </r>
    <r>
      <rPr>
        <sz val="11"/>
        <color theme="1"/>
        <rFont val="Calibri"/>
        <family val="2"/>
        <scheme val="minor"/>
      </rPr>
      <t xml:space="preserve"> - Physician Assistant
</t>
    </r>
    <r>
      <rPr>
        <b/>
        <sz val="11"/>
        <color theme="1"/>
        <rFont val="Calibri"/>
        <family val="2"/>
        <scheme val="minor"/>
      </rPr>
      <t>Psychologists</t>
    </r>
    <r>
      <rPr>
        <sz val="11"/>
        <color theme="1"/>
        <rFont val="Calibri"/>
        <family val="2"/>
        <scheme val="minor"/>
      </rPr>
      <t xml:space="preserve"> - Psychologists
</t>
    </r>
    <r>
      <rPr>
        <b/>
        <sz val="11"/>
        <color theme="1"/>
        <rFont val="Calibri"/>
        <family val="2"/>
        <scheme val="minor"/>
      </rPr>
      <t>RegisteredNutritionist</t>
    </r>
    <r>
      <rPr>
        <sz val="11"/>
        <color theme="1"/>
        <rFont val="Calibri"/>
        <family val="2"/>
        <scheme val="minor"/>
      </rPr>
      <t xml:space="preserve"> - Registered or Certified Dietitian/Nutritionist
</t>
    </r>
    <r>
      <rPr>
        <b/>
        <sz val="11"/>
        <color theme="1"/>
        <rFont val="Calibri"/>
        <family val="2"/>
        <scheme val="minor"/>
      </rPr>
      <t>SchoolPsychologist</t>
    </r>
    <r>
      <rPr>
        <sz val="11"/>
        <color theme="1"/>
        <rFont val="Calibri"/>
        <family val="2"/>
        <scheme val="minor"/>
      </rPr>
      <t xml:space="preserve"> - School Psychologist
</t>
    </r>
    <r>
      <rPr>
        <b/>
        <sz val="11"/>
        <color theme="1"/>
        <rFont val="Calibri"/>
        <family val="2"/>
        <scheme val="minor"/>
      </rPr>
      <t>ServiceCoordinator</t>
    </r>
    <r>
      <rPr>
        <sz val="11"/>
        <color theme="1"/>
        <rFont val="Calibri"/>
        <family val="2"/>
        <scheme val="minor"/>
      </rPr>
      <t xml:space="preserve"> - Service Coordinator
</t>
    </r>
    <r>
      <rPr>
        <b/>
        <sz val="11"/>
        <color theme="1"/>
        <rFont val="Calibri"/>
        <family val="2"/>
        <scheme val="minor"/>
      </rPr>
      <t>SpecialEducationTeacher</t>
    </r>
    <r>
      <rPr>
        <sz val="11"/>
        <color theme="1"/>
        <rFont val="Calibri"/>
        <family val="2"/>
        <scheme val="minor"/>
      </rPr>
      <t xml:space="preserve"> - Special Education Teacher
</t>
    </r>
    <r>
      <rPr>
        <b/>
        <sz val="11"/>
        <color theme="1"/>
        <rFont val="Calibri"/>
        <family val="2"/>
        <scheme val="minor"/>
      </rPr>
      <t>SpeechPathologist</t>
    </r>
    <r>
      <rPr>
        <sz val="11"/>
        <color theme="1"/>
        <rFont val="Calibri"/>
        <family val="2"/>
        <scheme val="minor"/>
      </rPr>
      <t xml:space="preserve"> - Speech and Language Pathologist
</t>
    </r>
    <r>
      <rPr>
        <b/>
        <sz val="11"/>
        <color theme="1"/>
        <rFont val="Calibri"/>
        <family val="2"/>
        <scheme val="minor"/>
      </rPr>
      <t>TeacherOfLanguageDisabilities</t>
    </r>
    <r>
      <rPr>
        <sz val="11"/>
        <color theme="1"/>
        <rFont val="Calibri"/>
        <family val="2"/>
        <scheme val="minor"/>
      </rPr>
      <t xml:space="preserve"> - Teacher of Speech and Language Disabilities
</t>
    </r>
    <r>
      <rPr>
        <b/>
        <sz val="11"/>
        <color theme="1"/>
        <rFont val="Calibri"/>
        <family val="2"/>
        <scheme val="minor"/>
      </rPr>
      <t>TeacherOfVisuallyImpaired</t>
    </r>
    <r>
      <rPr>
        <sz val="11"/>
        <color theme="1"/>
        <rFont val="Calibri"/>
        <family val="2"/>
        <scheme val="minor"/>
      </rPr>
      <t xml:space="preserve"> - Teacher of the Blind and Visually Impaired
</t>
    </r>
    <r>
      <rPr>
        <b/>
        <sz val="11"/>
        <color theme="1"/>
        <rFont val="Calibri"/>
        <family val="2"/>
        <scheme val="minor"/>
      </rPr>
      <t>TeacherOfHearingImpaired</t>
    </r>
    <r>
      <rPr>
        <sz val="11"/>
        <color theme="1"/>
        <rFont val="Calibri"/>
        <family val="2"/>
        <scheme val="minor"/>
      </rPr>
      <t xml:space="preserve"> - Teacher of the Deaf and Hearing Impaired
</t>
    </r>
    <r>
      <rPr>
        <b/>
        <sz val="11"/>
        <color theme="1"/>
        <rFont val="Calibri"/>
        <family val="2"/>
        <scheme val="minor"/>
      </rPr>
      <t>VisionRehabTherapist</t>
    </r>
    <r>
      <rPr>
        <sz val="11"/>
        <color theme="1"/>
        <rFont val="Calibri"/>
        <family val="2"/>
        <scheme val="minor"/>
      </rPr>
      <t xml:space="preserve"> - Vision Rehabilitation Therapist
</t>
    </r>
  </si>
  <si>
    <t>Credential or License</t>
  </si>
  <si>
    <r>
      <t>ChildDevelopmentAssociate</t>
    </r>
    <r>
      <rPr>
        <sz val="11"/>
        <color theme="1"/>
        <rFont val="Calibri"/>
        <family val="2"/>
        <scheme val="minor"/>
      </rPr>
      <t xml:space="preserve"> - Child Development Associate (CDA)
</t>
    </r>
    <r>
      <rPr>
        <b/>
        <sz val="11"/>
        <color theme="1"/>
        <rFont val="Calibri"/>
        <family val="2"/>
        <scheme val="minor"/>
      </rPr>
      <t>DirectorsLevelCredential</t>
    </r>
    <r>
      <rPr>
        <sz val="11"/>
        <color theme="1"/>
        <rFont val="Calibri"/>
        <family val="2"/>
        <scheme val="minor"/>
      </rPr>
      <t xml:space="preserve"> - Directors Level Credential
</t>
    </r>
    <r>
      <rPr>
        <b/>
        <sz val="11"/>
        <color theme="1"/>
        <rFont val="Calibri"/>
        <family val="2"/>
        <scheme val="minor"/>
      </rPr>
      <t>StateInfantToddler</t>
    </r>
    <r>
      <rPr>
        <sz val="11"/>
        <color theme="1"/>
        <rFont val="Calibri"/>
        <family val="2"/>
        <scheme val="minor"/>
      </rPr>
      <t xml:space="preserve"> - State Awarded Credential for Infant/Toddler
</t>
    </r>
    <r>
      <rPr>
        <b/>
        <sz val="11"/>
        <color theme="1"/>
        <rFont val="Calibri"/>
        <family val="2"/>
        <scheme val="minor"/>
      </rPr>
      <t>StatePreschool</t>
    </r>
    <r>
      <rPr>
        <sz val="11"/>
        <color theme="1"/>
        <rFont val="Calibri"/>
        <family val="2"/>
        <scheme val="minor"/>
      </rPr>
      <t xml:space="preserve"> - State Awarded Preschool Credential
</t>
    </r>
    <r>
      <rPr>
        <b/>
        <sz val="11"/>
        <color theme="1"/>
        <rFont val="Calibri"/>
        <family val="2"/>
        <scheme val="minor"/>
      </rPr>
      <t>StateSchoolAge</t>
    </r>
    <r>
      <rPr>
        <sz val="11"/>
        <color theme="1"/>
        <rFont val="Calibri"/>
        <family val="2"/>
        <scheme val="minor"/>
      </rPr>
      <t xml:space="preserve"> - State Awarded School-Age Credential
</t>
    </r>
    <r>
      <rPr>
        <b/>
        <sz val="11"/>
        <color theme="1"/>
        <rFont val="Calibri"/>
        <family val="2"/>
        <scheme val="minor"/>
      </rPr>
      <t>Other</t>
    </r>
    <r>
      <rPr>
        <sz val="11"/>
        <color theme="1"/>
        <rFont val="Calibri"/>
        <family val="2"/>
        <scheme val="minor"/>
      </rPr>
      <t xml:space="preserve"> - Other
</t>
    </r>
  </si>
  <si>
    <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</si>
  <si>
    <r>
      <t>Certification</t>
    </r>
    <r>
      <rPr>
        <sz val="11"/>
        <color theme="1"/>
        <rFont val="Calibri"/>
        <family val="2"/>
        <scheme val="minor"/>
      </rPr>
      <t xml:space="preserve"> - Certification
</t>
    </r>
    <r>
      <rPr>
        <b/>
        <sz val="11"/>
        <color theme="1"/>
        <rFont val="Calibri"/>
        <family val="2"/>
        <scheme val="minor"/>
      </rPr>
      <t>Endorsement</t>
    </r>
    <r>
      <rPr>
        <sz val="11"/>
        <color theme="1"/>
        <rFont val="Calibri"/>
        <family val="2"/>
        <scheme val="minor"/>
      </rPr>
      <t xml:space="preserve"> - Endorsement
</t>
    </r>
    <r>
      <rPr>
        <b/>
        <sz val="11"/>
        <color theme="1"/>
        <rFont val="Calibri"/>
        <family val="2"/>
        <scheme val="minor"/>
      </rPr>
      <t>Licensure</t>
    </r>
    <r>
      <rPr>
        <sz val="11"/>
        <color theme="1"/>
        <rFont val="Calibri"/>
        <family val="2"/>
        <scheme val="minor"/>
      </rPr>
      <t xml:space="preserve"> - Licensure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Registration</t>
    </r>
    <r>
      <rPr>
        <sz val="11"/>
        <color theme="1"/>
        <rFont val="Calibri"/>
        <family val="2"/>
        <scheme val="minor"/>
      </rPr>
      <t xml:space="preserve"> - Registration
</t>
    </r>
  </si>
  <si>
    <r>
      <t>01</t>
    </r>
    <r>
      <rPr>
        <sz val="11"/>
        <color theme="1"/>
        <rFont val="Calibri"/>
        <family val="2"/>
        <scheme val="minor"/>
      </rPr>
      <t xml:space="preserve"> - Infant/toddler
</t>
    </r>
    <r>
      <rPr>
        <b/>
        <sz val="11"/>
        <color theme="1"/>
        <rFont val="Calibri"/>
        <family val="2"/>
        <scheme val="minor"/>
      </rPr>
      <t>02</t>
    </r>
    <r>
      <rPr>
        <sz val="11"/>
        <color theme="1"/>
        <rFont val="Calibri"/>
        <family val="2"/>
        <scheme val="minor"/>
      </rPr>
      <t xml:space="preserve"> - Preschool
</t>
    </r>
    <r>
      <rPr>
        <b/>
        <sz val="11"/>
        <color theme="1"/>
        <rFont val="Calibri"/>
        <family val="2"/>
        <scheme val="minor"/>
      </rPr>
      <t>03</t>
    </r>
    <r>
      <rPr>
        <sz val="11"/>
        <color theme="1"/>
        <rFont val="Calibri"/>
        <family val="2"/>
        <scheme val="minor"/>
      </rPr>
      <t xml:space="preserve"> - Family child care home
</t>
    </r>
    <r>
      <rPr>
        <b/>
        <sz val="11"/>
        <color theme="1"/>
        <rFont val="Calibri"/>
        <family val="2"/>
        <scheme val="minor"/>
      </rPr>
      <t>04</t>
    </r>
    <r>
      <rPr>
        <sz val="11"/>
        <color theme="1"/>
        <rFont val="Calibri"/>
        <family val="2"/>
        <scheme val="minor"/>
      </rPr>
      <t xml:space="preserve"> - Home visitor
</t>
    </r>
    <r>
      <rPr>
        <b/>
        <sz val="11"/>
        <color theme="1"/>
        <rFont val="Calibri"/>
        <family val="2"/>
        <scheme val="minor"/>
      </rPr>
      <t>06</t>
    </r>
    <r>
      <rPr>
        <sz val="11"/>
        <color theme="1"/>
        <rFont val="Calibri"/>
        <family val="2"/>
        <scheme val="minor"/>
      </rPr>
      <t xml:space="preserve"> - Other
</t>
    </r>
    <r>
      <rPr>
        <b/>
        <sz val="11"/>
        <color theme="1"/>
        <rFont val="Calibri"/>
        <family val="2"/>
        <scheme val="minor"/>
      </rPr>
      <t>07</t>
    </r>
    <r>
      <rPr>
        <sz val="11"/>
        <color theme="1"/>
        <rFont val="Calibri"/>
        <family val="2"/>
        <scheme val="minor"/>
      </rPr>
      <t xml:space="preserve"> - Bilingual
</t>
    </r>
    <r>
      <rPr>
        <b/>
        <sz val="11"/>
        <color theme="1"/>
        <rFont val="Calibri"/>
        <family val="2"/>
        <scheme val="minor"/>
      </rPr>
      <t>99</t>
    </r>
    <r>
      <rPr>
        <sz val="11"/>
        <color theme="1"/>
        <rFont val="Calibri"/>
        <family val="2"/>
        <scheme val="minor"/>
      </rPr>
      <t xml:space="preserve"> - No current CDA indicated
</t>
    </r>
  </si>
  <si>
    <r>
      <t>NoCredit</t>
    </r>
    <r>
      <rPr>
        <sz val="11"/>
        <color theme="1"/>
        <rFont val="Calibri"/>
        <family val="2"/>
        <scheme val="minor"/>
      </rPr>
      <t xml:space="preserve"> - No Credit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Semester</t>
    </r>
    <r>
      <rPr>
        <sz val="11"/>
        <color theme="1"/>
        <rFont val="Calibri"/>
        <family val="2"/>
        <scheme val="minor"/>
      </rPr>
      <t xml:space="preserve"> - Semester 
</t>
    </r>
    <r>
      <rPr>
        <b/>
        <sz val="11"/>
        <color theme="1"/>
        <rFont val="Calibri"/>
        <family val="2"/>
        <scheme val="minor"/>
      </rPr>
      <t>Units</t>
    </r>
    <r>
      <rPr>
        <sz val="11"/>
        <color theme="1"/>
        <rFont val="Calibri"/>
        <family val="2"/>
        <scheme val="minor"/>
      </rPr>
      <t xml:space="preserve"> - Units 
</t>
    </r>
    <r>
      <rPr>
        <b/>
        <sz val="11"/>
        <color theme="1"/>
        <rFont val="Calibri"/>
        <family val="2"/>
        <scheme val="minor"/>
      </rPr>
      <t>CarnegieUnits</t>
    </r>
    <r>
      <rPr>
        <sz val="11"/>
        <color theme="1"/>
        <rFont val="Calibri"/>
        <family val="2"/>
        <scheme val="minor"/>
      </rPr>
      <t xml:space="preserve"> - Carnegie Units 
</t>
    </r>
    <r>
      <rPr>
        <b/>
        <sz val="11"/>
        <color theme="1"/>
        <rFont val="Calibri"/>
        <family val="2"/>
        <scheme val="minor"/>
      </rPr>
      <t>ContinuingEducationUnits</t>
    </r>
    <r>
      <rPr>
        <sz val="11"/>
        <color theme="1"/>
        <rFont val="Calibri"/>
        <family val="2"/>
        <scheme val="minor"/>
      </rPr>
      <t xml:space="preserve"> - Continuing Education Units 
</t>
    </r>
    <r>
      <rPr>
        <b/>
        <sz val="11"/>
        <color theme="1"/>
        <rFont val="Calibri"/>
        <family val="2"/>
        <scheme val="minor"/>
      </rPr>
      <t>ClockHours</t>
    </r>
    <r>
      <rPr>
        <sz val="11"/>
        <color theme="1"/>
        <rFont val="Calibri"/>
        <family val="2"/>
        <scheme val="minor"/>
      </rPr>
      <t xml:space="preserve"> - Clock Hours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Unreported</t>
    </r>
    <r>
      <rPr>
        <sz val="11"/>
        <color theme="1"/>
        <rFont val="Calibri"/>
        <family val="2"/>
        <scheme val="minor"/>
      </rPr>
      <t xml:space="preserve"> - Unreported
</t>
    </r>
  </si>
  <si>
    <r>
      <t>01</t>
    </r>
    <r>
      <rPr>
        <sz val="11"/>
        <color theme="1"/>
        <rFont val="Calibri"/>
        <family val="2"/>
        <scheme val="minor"/>
      </rPr>
      <t xml:space="preserve"> - One time non-credit
</t>
    </r>
    <r>
      <rPr>
        <b/>
        <sz val="11"/>
        <color theme="1"/>
        <rFont val="Calibri"/>
        <family val="2"/>
        <scheme val="minor"/>
      </rPr>
      <t>02</t>
    </r>
    <r>
      <rPr>
        <sz val="11"/>
        <color theme="1"/>
        <rFont val="Calibri"/>
        <family val="2"/>
        <scheme val="minor"/>
      </rPr>
      <t xml:space="preserve"> - One time credit paid
</t>
    </r>
    <r>
      <rPr>
        <b/>
        <sz val="11"/>
        <color theme="1"/>
        <rFont val="Calibri"/>
        <family val="2"/>
        <scheme val="minor"/>
      </rPr>
      <t>03</t>
    </r>
    <r>
      <rPr>
        <sz val="11"/>
        <color theme="1"/>
        <rFont val="Calibri"/>
        <family val="2"/>
        <scheme val="minor"/>
      </rPr>
      <t xml:space="preserve"> - On-going non-credit paid
</t>
    </r>
    <r>
      <rPr>
        <b/>
        <sz val="11"/>
        <color theme="1"/>
        <rFont val="Calibri"/>
        <family val="2"/>
        <scheme val="minor"/>
      </rPr>
      <t>04</t>
    </r>
    <r>
      <rPr>
        <sz val="11"/>
        <color theme="1"/>
        <rFont val="Calibri"/>
        <family val="2"/>
        <scheme val="minor"/>
      </rPr>
      <t xml:space="preserve"> - On-going credit paid
</t>
    </r>
    <r>
      <rPr>
        <b/>
        <sz val="11"/>
        <color theme="1"/>
        <rFont val="Calibri"/>
        <family val="2"/>
        <scheme val="minor"/>
      </rPr>
      <t>05</t>
    </r>
    <r>
      <rPr>
        <sz val="11"/>
        <color theme="1"/>
        <rFont val="Calibri"/>
        <family val="2"/>
        <scheme val="minor"/>
      </rPr>
      <t xml:space="preserve"> - Salary bonus
</t>
    </r>
    <r>
      <rPr>
        <b/>
        <sz val="11"/>
        <color theme="1"/>
        <rFont val="Calibri"/>
        <family val="2"/>
        <scheme val="minor"/>
      </rPr>
      <t>06</t>
    </r>
    <r>
      <rPr>
        <sz val="11"/>
        <color theme="1"/>
        <rFont val="Calibri"/>
        <family val="2"/>
        <scheme val="minor"/>
      </rPr>
      <t xml:space="preserve"> - Wage enhancement
</t>
    </r>
    <r>
      <rPr>
        <b/>
        <sz val="11"/>
        <color theme="1"/>
        <rFont val="Calibri"/>
        <family val="2"/>
        <scheme val="minor"/>
      </rPr>
      <t>07</t>
    </r>
    <r>
      <rPr>
        <sz val="11"/>
        <color theme="1"/>
        <rFont val="Calibri"/>
        <family val="2"/>
        <scheme val="minor"/>
      </rPr>
      <t xml:space="preserve"> - Tuition reimbursement
</t>
    </r>
    <r>
      <rPr>
        <b/>
        <sz val="11"/>
        <color theme="1"/>
        <rFont val="Calibri"/>
        <family val="2"/>
        <scheme val="minor"/>
      </rPr>
      <t>08</t>
    </r>
    <r>
      <rPr>
        <sz val="11"/>
        <color theme="1"/>
        <rFont val="Calibri"/>
        <family val="2"/>
        <scheme val="minor"/>
      </rPr>
      <t xml:space="preserve"> - Travel child care
</t>
    </r>
    <r>
      <rPr>
        <b/>
        <sz val="11"/>
        <color theme="1"/>
        <rFont val="Calibri"/>
        <family val="2"/>
        <scheme val="minor"/>
      </rPr>
      <t>09</t>
    </r>
    <r>
      <rPr>
        <sz val="11"/>
        <color theme="1"/>
        <rFont val="Calibri"/>
        <family val="2"/>
        <scheme val="minor"/>
      </rPr>
      <t xml:space="preserve"> - Release time
</t>
    </r>
    <r>
      <rPr>
        <b/>
        <sz val="11"/>
        <color theme="1"/>
        <rFont val="Calibri"/>
        <family val="2"/>
        <scheme val="minor"/>
      </rPr>
      <t>10</t>
    </r>
    <r>
      <rPr>
        <sz val="11"/>
        <color theme="1"/>
        <rFont val="Calibri"/>
        <family val="2"/>
        <scheme val="minor"/>
      </rPr>
      <t xml:space="preserve"> - Scholarship
</t>
    </r>
    <r>
      <rPr>
        <b/>
        <sz val="11"/>
        <color theme="1"/>
        <rFont val="Calibri"/>
        <family val="2"/>
        <scheme val="minor"/>
      </rPr>
      <t>11</t>
    </r>
    <r>
      <rPr>
        <sz val="11"/>
        <color theme="1"/>
        <rFont val="Calibri"/>
        <family val="2"/>
        <scheme val="minor"/>
      </rPr>
      <t xml:space="preserve"> - Loan
</t>
    </r>
  </si>
  <si>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documenting and assessing
</t>
    </r>
    <r>
      <rPr>
        <b/>
        <sz val="11"/>
        <color theme="1"/>
        <rFont val="Calibri"/>
        <family val="2"/>
        <scheme val="minor"/>
      </rPr>
      <t>05</t>
    </r>
    <r>
      <rPr>
        <sz val="11"/>
        <color theme="1"/>
        <rFont val="Calibri"/>
        <family val="2"/>
        <scheme val="minor"/>
      </rPr>
      <t xml:space="preserve"> -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</si>
  <si>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t>
    </r>
    <r>
      <rPr>
        <b/>
        <sz val="11"/>
        <color theme="1"/>
        <rFont val="Calibri"/>
        <family val="2"/>
        <scheme val="minor"/>
      </rPr>
      <t>05</t>
    </r>
    <r>
      <rPr>
        <sz val="11"/>
        <color theme="1"/>
        <rFont val="Calibri"/>
        <family val="2"/>
        <scheme val="minor"/>
      </rPr>
      <t xml:space="preserve"> - Documenting and Assessing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r>
      <rPr>
        <b/>
        <sz val="11"/>
        <color theme="1"/>
        <rFont val="Calibri"/>
        <family val="2"/>
        <scheme val="minor"/>
      </rPr>
      <t>08</t>
    </r>
    <r>
      <rPr>
        <sz val="11"/>
        <color theme="1"/>
        <rFont val="Calibri"/>
        <family val="2"/>
        <scheme val="minor"/>
      </rPr>
      <t xml:space="preserve"> - Working with Diverse Populations
</t>
    </r>
    <r>
      <rPr>
        <b/>
        <sz val="11"/>
        <color theme="1"/>
        <rFont val="Calibri"/>
        <family val="2"/>
        <scheme val="minor"/>
      </rPr>
      <t>99</t>
    </r>
    <r>
      <rPr>
        <sz val="11"/>
        <color theme="1"/>
        <rFont val="Calibri"/>
        <family val="2"/>
        <scheme val="minor"/>
      </rPr>
      <t xml:space="preserve"> - Other
</t>
    </r>
  </si>
  <si>
    <t>Professional Development-&gt;Instructor</t>
  </si>
  <si>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documenting and assessing
</t>
    </r>
    <r>
      <rPr>
        <b/>
        <sz val="11"/>
        <color theme="1"/>
        <rFont val="Calibri"/>
        <family val="2"/>
        <scheme val="minor"/>
      </rPr>
      <t>05</t>
    </r>
    <r>
      <rPr>
        <sz val="11"/>
        <color theme="1"/>
        <rFont val="Calibri"/>
        <family val="2"/>
        <scheme val="minor"/>
      </rPr>
      <t xml:space="preserve"> -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r>
      <rPr>
        <b/>
        <sz val="11"/>
        <color theme="1"/>
        <rFont val="Calibri"/>
        <family val="2"/>
        <scheme val="minor"/>
      </rPr>
      <t>99</t>
    </r>
    <r>
      <rPr>
        <sz val="11"/>
        <color theme="1"/>
        <rFont val="Calibri"/>
        <family val="2"/>
        <scheme val="minor"/>
      </rPr>
      <t xml:space="preserve"> - Other
</t>
    </r>
  </si>
  <si>
    <t>Professional Development Activity</t>
  </si>
  <si>
    <r>
      <t>CollegeCourse</t>
    </r>
    <r>
      <rPr>
        <sz val="11"/>
        <color theme="1"/>
        <rFont val="Calibri"/>
        <family val="2"/>
        <scheme val="minor"/>
      </rPr>
      <t xml:space="preserve"> - College Course
</t>
    </r>
    <r>
      <rPr>
        <b/>
        <sz val="11"/>
        <color theme="1"/>
        <rFont val="Calibri"/>
        <family val="2"/>
        <scheme val="minor"/>
      </rPr>
      <t>Coaching</t>
    </r>
    <r>
      <rPr>
        <sz val="11"/>
        <color theme="1"/>
        <rFont val="Calibri"/>
        <family val="2"/>
        <scheme val="minor"/>
      </rPr>
      <t xml:space="preserve"> - Coaching
</t>
    </r>
    <r>
      <rPr>
        <b/>
        <sz val="11"/>
        <color theme="1"/>
        <rFont val="Calibri"/>
        <family val="2"/>
        <scheme val="minor"/>
      </rPr>
      <t>Mentoring</t>
    </r>
    <r>
      <rPr>
        <sz val="11"/>
        <color theme="1"/>
        <rFont val="Calibri"/>
        <family val="2"/>
        <scheme val="minor"/>
      </rPr>
      <t xml:space="preserve"> - Mentoring
</t>
    </r>
    <r>
      <rPr>
        <b/>
        <sz val="11"/>
        <color theme="1"/>
        <rFont val="Calibri"/>
        <family val="2"/>
        <scheme val="minor"/>
      </rPr>
      <t>Consultation</t>
    </r>
    <r>
      <rPr>
        <sz val="11"/>
        <color theme="1"/>
        <rFont val="Calibri"/>
        <family val="2"/>
        <scheme val="minor"/>
      </rPr>
      <t xml:space="preserve"> - Consultation
</t>
    </r>
    <r>
      <rPr>
        <b/>
        <sz val="11"/>
        <color theme="1"/>
        <rFont val="Calibri"/>
        <family val="2"/>
        <scheme val="minor"/>
      </rPr>
      <t>P2P</t>
    </r>
    <r>
      <rPr>
        <sz val="11"/>
        <color theme="1"/>
        <rFont val="Calibri"/>
        <family val="2"/>
        <scheme val="minor"/>
      </rPr>
      <t xml:space="preserve"> - Person-to-Person
</t>
    </r>
    <r>
      <rPr>
        <b/>
        <sz val="11"/>
        <color theme="1"/>
        <rFont val="Calibri"/>
        <family val="2"/>
        <scheme val="minor"/>
      </rPr>
      <t>TechnicalAssistance</t>
    </r>
    <r>
      <rPr>
        <sz val="11"/>
        <color theme="1"/>
        <rFont val="Calibri"/>
        <family val="2"/>
        <scheme val="minor"/>
      </rPr>
      <t xml:space="preserve"> - Technical Assistance
</t>
    </r>
    <r>
      <rPr>
        <b/>
        <sz val="11"/>
        <color theme="1"/>
        <rFont val="Calibri"/>
        <family val="2"/>
        <scheme val="minor"/>
      </rPr>
      <t>Advisement</t>
    </r>
    <r>
      <rPr>
        <sz val="11"/>
        <color theme="1"/>
        <rFont val="Calibri"/>
        <family val="2"/>
        <scheme val="minor"/>
      </rPr>
      <t xml:space="preserve"> - Advisement
</t>
    </r>
    <r>
      <rPr>
        <b/>
        <sz val="11"/>
        <color theme="1"/>
        <rFont val="Calibri"/>
        <family val="2"/>
        <scheme val="minor"/>
      </rPr>
      <t>OneTimeWorkshopTraining</t>
    </r>
    <r>
      <rPr>
        <sz val="11"/>
        <color theme="1"/>
        <rFont val="Calibri"/>
        <family val="2"/>
        <scheme val="minor"/>
      </rPr>
      <t xml:space="preserve"> - One-time Workshop Training
</t>
    </r>
    <r>
      <rPr>
        <b/>
        <sz val="11"/>
        <color theme="1"/>
        <rFont val="Calibri"/>
        <family val="2"/>
        <scheme val="minor"/>
      </rPr>
      <t>SeriesOfWorkshopsTraining</t>
    </r>
    <r>
      <rPr>
        <sz val="11"/>
        <color theme="1"/>
        <rFont val="Calibri"/>
        <family val="2"/>
        <scheme val="minor"/>
      </rPr>
      <t xml:space="preserve"> - Series of Workshops Training
</t>
    </r>
    <r>
      <rPr>
        <b/>
        <sz val="11"/>
        <color theme="1"/>
        <rFont val="Calibri"/>
        <family val="2"/>
        <scheme val="minor"/>
      </rPr>
      <t>Other</t>
    </r>
    <r>
      <rPr>
        <sz val="11"/>
        <color theme="1"/>
        <rFont val="Calibri"/>
        <family val="2"/>
        <scheme val="minor"/>
      </rPr>
      <t xml:space="preserve"> - Other
</t>
    </r>
  </si>
  <si>
    <r>
      <t>IN</t>
    </r>
    <r>
      <rPr>
        <sz val="11"/>
        <color theme="1"/>
        <rFont val="Calibri"/>
        <family val="2"/>
        <scheme val="minor"/>
      </rPr>
      <t xml:space="preserve"> - Infant
</t>
    </r>
    <r>
      <rPr>
        <b/>
        <sz val="11"/>
        <color theme="1"/>
        <rFont val="Calibri"/>
        <family val="2"/>
        <scheme val="minor"/>
      </rPr>
      <t>TO</t>
    </r>
    <r>
      <rPr>
        <sz val="11"/>
        <color theme="1"/>
        <rFont val="Calibri"/>
        <family val="2"/>
        <scheme val="minor"/>
      </rPr>
      <t xml:space="preserve"> - 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AS</t>
    </r>
    <r>
      <rPr>
        <sz val="11"/>
        <color theme="1"/>
        <rFont val="Calibri"/>
        <family val="2"/>
        <scheme val="minor"/>
      </rPr>
      <t xml:space="preserve"> - Associate's degree
</t>
    </r>
    <r>
      <rPr>
        <b/>
        <sz val="11"/>
        <color theme="1"/>
        <rFont val="Calibri"/>
        <family val="2"/>
        <scheme val="minor"/>
      </rPr>
      <t>BA</t>
    </r>
    <r>
      <rPr>
        <sz val="11"/>
        <color theme="1"/>
        <rFont val="Calibri"/>
        <family val="2"/>
        <scheme val="minor"/>
      </rPr>
      <t xml:space="preserve"> - Bachelor's degree
</t>
    </r>
    <r>
      <rPr>
        <b/>
        <sz val="11"/>
        <color theme="1"/>
        <rFont val="Calibri"/>
        <family val="2"/>
        <scheme val="minor"/>
      </rPr>
      <t>PB</t>
    </r>
    <r>
      <rPr>
        <sz val="11"/>
        <color theme="1"/>
        <rFont val="Calibri"/>
        <family val="2"/>
        <scheme val="minor"/>
      </rPr>
      <t xml:space="preserve"> - Post-baccalaureate certificate
</t>
    </r>
    <r>
      <rPr>
        <b/>
        <sz val="11"/>
        <color theme="1"/>
        <rFont val="Calibri"/>
        <family val="2"/>
        <scheme val="minor"/>
      </rPr>
      <t>MD</t>
    </r>
    <r>
      <rPr>
        <sz val="11"/>
        <color theme="1"/>
        <rFont val="Calibri"/>
        <family val="2"/>
        <scheme val="minor"/>
      </rPr>
      <t xml:space="preserve"> - Master's degree
</t>
    </r>
    <r>
      <rPr>
        <b/>
        <sz val="11"/>
        <color theme="1"/>
        <rFont val="Calibri"/>
        <family val="2"/>
        <scheme val="minor"/>
      </rPr>
      <t>PM</t>
    </r>
    <r>
      <rPr>
        <sz val="11"/>
        <color theme="1"/>
        <rFont val="Calibri"/>
        <family val="2"/>
        <scheme val="minor"/>
      </rPr>
      <t xml:space="preserve"> - Post-master's certificate
</t>
    </r>
    <r>
      <rPr>
        <b/>
        <sz val="11"/>
        <color theme="1"/>
        <rFont val="Calibri"/>
        <family val="2"/>
        <scheme val="minor"/>
      </rPr>
      <t>DO</t>
    </r>
    <r>
      <rPr>
        <sz val="11"/>
        <color theme="1"/>
        <rFont val="Calibri"/>
        <family val="2"/>
        <scheme val="minor"/>
      </rPr>
      <t xml:space="preserve"> - Doctoral degree
</t>
    </r>
    <r>
      <rPr>
        <b/>
        <sz val="11"/>
        <color theme="1"/>
        <rFont val="Calibri"/>
        <family val="2"/>
        <scheme val="minor"/>
      </rPr>
      <t>PD</t>
    </r>
    <r>
      <rPr>
        <sz val="11"/>
        <color theme="1"/>
        <rFont val="Calibri"/>
        <family val="2"/>
        <scheme val="minor"/>
      </rPr>
      <t xml:space="preserve"> - Post-doctoral certificate
</t>
    </r>
    <r>
      <rPr>
        <b/>
        <sz val="11"/>
        <color theme="1"/>
        <rFont val="Calibri"/>
        <family val="2"/>
        <scheme val="minor"/>
      </rPr>
      <t>AE</t>
    </r>
    <r>
      <rPr>
        <sz val="11"/>
        <color theme="1"/>
        <rFont val="Calibri"/>
        <family val="2"/>
        <scheme val="minor"/>
      </rPr>
      <t xml:space="preserve"> - Adult education
</t>
    </r>
    <r>
      <rPr>
        <b/>
        <sz val="11"/>
        <color theme="1"/>
        <rFont val="Calibri"/>
        <family val="2"/>
        <scheme val="minor"/>
      </rPr>
      <t>OT</t>
    </r>
    <r>
      <rPr>
        <sz val="11"/>
        <color theme="1"/>
        <rFont val="Calibri"/>
        <family val="2"/>
        <scheme val="minor"/>
      </rPr>
      <t xml:space="preserve"> - Other
</t>
    </r>
  </si>
  <si>
    <r>
      <t>Beginner</t>
    </r>
    <r>
      <rPr>
        <sz val="11"/>
        <color theme="1"/>
        <rFont val="Calibri"/>
        <family val="2"/>
        <scheme val="minor"/>
      </rPr>
      <t xml:space="preserve"> - Beginner
</t>
    </r>
    <r>
      <rPr>
        <b/>
        <sz val="11"/>
        <color theme="1"/>
        <rFont val="Calibri"/>
        <family val="2"/>
        <scheme val="minor"/>
      </rPr>
      <t>Intermediate</t>
    </r>
    <r>
      <rPr>
        <sz val="11"/>
        <color theme="1"/>
        <rFont val="Calibri"/>
        <family val="2"/>
        <scheme val="minor"/>
      </rPr>
      <t xml:space="preserve"> - Intermediate
</t>
    </r>
    <r>
      <rPr>
        <b/>
        <sz val="11"/>
        <color theme="1"/>
        <rFont val="Calibri"/>
        <family val="2"/>
        <scheme val="minor"/>
      </rPr>
      <t>Advanced</t>
    </r>
    <r>
      <rPr>
        <sz val="11"/>
        <color theme="1"/>
        <rFont val="Calibri"/>
        <family val="2"/>
        <scheme val="minor"/>
      </rPr>
      <t xml:space="preserve"> - Advanced
</t>
    </r>
  </si>
  <si>
    <r>
      <t>Hours</t>
    </r>
    <r>
      <rPr>
        <sz val="11"/>
        <color theme="1"/>
        <rFont val="Calibri"/>
        <family val="2"/>
        <scheme val="minor"/>
      </rPr>
      <t xml:space="preserve"> - Hours
</t>
    </r>
    <r>
      <rPr>
        <b/>
        <sz val="11"/>
        <color theme="1"/>
        <rFont val="Calibri"/>
        <family val="2"/>
        <scheme val="minor"/>
      </rPr>
      <t>CEUs</t>
    </r>
    <r>
      <rPr>
        <sz val="11"/>
        <color theme="1"/>
        <rFont val="Calibri"/>
        <family val="2"/>
        <scheme val="minor"/>
      </rPr>
      <t xml:space="preserve"> - Continuing Education Units
</t>
    </r>
    <r>
      <rPr>
        <b/>
        <sz val="11"/>
        <color theme="1"/>
        <rFont val="Calibri"/>
        <family val="2"/>
        <scheme val="minor"/>
      </rPr>
      <t>QuarterCredits</t>
    </r>
    <r>
      <rPr>
        <sz val="11"/>
        <color theme="1"/>
        <rFont val="Calibri"/>
        <family val="2"/>
        <scheme val="minor"/>
      </rPr>
      <t xml:space="preserve"> - Quarter credits
</t>
    </r>
    <r>
      <rPr>
        <b/>
        <sz val="11"/>
        <color theme="1"/>
        <rFont val="Calibri"/>
        <family val="2"/>
        <scheme val="minor"/>
      </rPr>
      <t>SemesterCredits</t>
    </r>
    <r>
      <rPr>
        <sz val="11"/>
        <color theme="1"/>
        <rFont val="Calibri"/>
        <family val="2"/>
        <scheme val="minor"/>
      </rPr>
      <t xml:space="preserve"> - Semester credits
</t>
    </r>
  </si>
  <si>
    <r>
      <t>AdministrativeSupportStaff</t>
    </r>
    <r>
      <rPr>
        <sz val="11"/>
        <color theme="1"/>
        <rFont val="Calibri"/>
        <family val="2"/>
        <scheme val="minor"/>
      </rPr>
      <t xml:space="preserve"> - Administrative Support Staff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AllOtherSupportStaff</t>
    </r>
    <r>
      <rPr>
        <sz val="11"/>
        <color theme="1"/>
        <rFont val="Calibri"/>
        <family val="2"/>
        <scheme val="minor"/>
      </rPr>
      <t xml:space="preserve"> - All Other Support Staff 
</t>
    </r>
    <r>
      <rPr>
        <b/>
        <sz val="11"/>
        <color theme="1"/>
        <rFont val="Calibri"/>
        <family val="2"/>
        <scheme val="minor"/>
      </rPr>
      <t>BehavioralSpecialists</t>
    </r>
    <r>
      <rPr>
        <sz val="11"/>
        <color theme="1"/>
        <rFont val="Calibri"/>
        <family val="2"/>
        <scheme val="minor"/>
      </rPr>
      <t xml:space="preserve"> - Behavioral Specialists
</t>
    </r>
    <r>
      <rPr>
        <b/>
        <sz val="11"/>
        <color theme="1"/>
        <rFont val="Calibri"/>
        <family val="2"/>
        <scheme val="minor"/>
      </rPr>
      <t>ELAssistantTeachers</t>
    </r>
    <r>
      <rPr>
        <sz val="11"/>
        <color theme="1"/>
        <rFont val="Calibri"/>
        <family val="2"/>
        <scheme val="minor"/>
      </rPr>
      <t xml:space="preserve"> - Early Leaning Assistant Teachers
</t>
    </r>
    <r>
      <rPr>
        <b/>
        <sz val="11"/>
        <color theme="1"/>
        <rFont val="Calibri"/>
        <family val="2"/>
        <scheme val="minor"/>
      </rPr>
      <t>ELTeachers</t>
    </r>
    <r>
      <rPr>
        <sz val="11"/>
        <color theme="1"/>
        <rFont val="Calibri"/>
        <family val="2"/>
        <scheme val="minor"/>
      </rPr>
      <t xml:space="preserve"> - Early Learning Teachers
</t>
    </r>
    <r>
      <rPr>
        <b/>
        <sz val="11"/>
        <color theme="1"/>
        <rFont val="Calibri"/>
        <family val="2"/>
        <scheme val="minor"/>
      </rPr>
      <t>ElementaryTeachers</t>
    </r>
    <r>
      <rPr>
        <sz val="11"/>
        <color theme="1"/>
        <rFont val="Calibri"/>
        <family val="2"/>
        <scheme val="minor"/>
      </rPr>
      <t xml:space="preserve"> - Elementary Teachers
</t>
    </r>
    <r>
      <rPr>
        <b/>
        <sz val="11"/>
        <color theme="1"/>
        <rFont val="Calibri"/>
        <family val="2"/>
        <scheme val="minor"/>
      </rPr>
      <t>FamilyServiceWorkers</t>
    </r>
    <r>
      <rPr>
        <sz val="11"/>
        <color theme="1"/>
        <rFont val="Calibri"/>
        <family val="2"/>
        <scheme val="minor"/>
      </rPr>
      <t xml:space="preserve"> - Family Service Workers
</t>
    </r>
    <r>
      <rPr>
        <b/>
        <sz val="11"/>
        <color theme="1"/>
        <rFont val="Calibri"/>
        <family val="2"/>
        <scheme val="minor"/>
      </rPr>
      <t>HealthSpecialists</t>
    </r>
    <r>
      <rPr>
        <sz val="11"/>
        <color theme="1"/>
        <rFont val="Calibri"/>
        <family val="2"/>
        <scheme val="minor"/>
      </rPr>
      <t xml:space="preserve"> - Health Specialists
</t>
    </r>
    <r>
      <rPr>
        <b/>
        <sz val="11"/>
        <color theme="1"/>
        <rFont val="Calibri"/>
        <family val="2"/>
        <scheme val="minor"/>
      </rPr>
      <t>HomeVisitors</t>
    </r>
    <r>
      <rPr>
        <sz val="11"/>
        <color theme="1"/>
        <rFont val="Calibri"/>
        <family val="2"/>
        <scheme val="minor"/>
      </rPr>
      <t xml:space="preserve"> - Home Visitors
</t>
    </r>
    <r>
      <rPr>
        <b/>
        <sz val="11"/>
        <color theme="1"/>
        <rFont val="Calibri"/>
        <family val="2"/>
        <scheme val="minor"/>
      </rPr>
      <t>InstructionalCoordinators</t>
    </r>
    <r>
      <rPr>
        <sz val="11"/>
        <color theme="1"/>
        <rFont val="Calibri"/>
        <family val="2"/>
        <scheme val="minor"/>
      </rPr>
      <t xml:space="preserve"> - Instructional Coordinators
</t>
    </r>
    <r>
      <rPr>
        <b/>
        <sz val="11"/>
        <color theme="1"/>
        <rFont val="Calibri"/>
        <family val="2"/>
        <scheme val="minor"/>
      </rPr>
      <t>KindergartenTeachers</t>
    </r>
    <r>
      <rPr>
        <sz val="11"/>
        <color theme="1"/>
        <rFont val="Calibri"/>
        <family val="2"/>
        <scheme val="minor"/>
      </rPr>
      <t xml:space="preserve"> - Kindergarten Teachers
</t>
    </r>
    <r>
      <rPr>
        <b/>
        <sz val="11"/>
        <color theme="1"/>
        <rFont val="Calibri"/>
        <family val="2"/>
        <scheme val="minor"/>
      </rPr>
      <t>LibraryMediaSpecialists</t>
    </r>
    <r>
      <rPr>
        <sz val="11"/>
        <color theme="1"/>
        <rFont val="Calibri"/>
        <family val="2"/>
        <scheme val="minor"/>
      </rPr>
      <t xml:space="preserve"> - Librarians/Media Specialists
</t>
    </r>
    <r>
      <rPr>
        <b/>
        <sz val="11"/>
        <color theme="1"/>
        <rFont val="Calibri"/>
        <family val="2"/>
        <scheme val="minor"/>
      </rPr>
      <t>LibraryMediaSupportStaff</t>
    </r>
    <r>
      <rPr>
        <sz val="11"/>
        <color theme="1"/>
        <rFont val="Calibri"/>
        <family val="2"/>
        <scheme val="minor"/>
      </rPr>
      <t xml:space="preserve"> - Library/Media Support Staff
</t>
    </r>
    <r>
      <rPr>
        <b/>
        <sz val="11"/>
        <color theme="1"/>
        <rFont val="Calibri"/>
        <family val="2"/>
        <scheme val="minor"/>
      </rPr>
      <t>MentalHealthSpecialists</t>
    </r>
    <r>
      <rPr>
        <sz val="11"/>
        <color theme="1"/>
        <rFont val="Calibri"/>
        <family val="2"/>
        <scheme val="minor"/>
      </rPr>
      <t xml:space="preserve"> - Mental Health Specialists
</t>
    </r>
    <r>
      <rPr>
        <b/>
        <sz val="11"/>
        <color theme="1"/>
        <rFont val="Calibri"/>
        <family val="2"/>
        <scheme val="minor"/>
      </rPr>
      <t>NutritionSpecialists</t>
    </r>
    <r>
      <rPr>
        <sz val="11"/>
        <color theme="1"/>
        <rFont val="Calibri"/>
        <family val="2"/>
        <scheme val="minor"/>
      </rPr>
      <t xml:space="preserve"> - Nutrition Specialists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PartCEarlyInterventionists</t>
    </r>
    <r>
      <rPr>
        <sz val="11"/>
        <color theme="1"/>
        <rFont val="Calibri"/>
        <family val="2"/>
        <scheme val="minor"/>
      </rPr>
      <t xml:space="preserve"> - Part C Early Interventionists
</t>
    </r>
    <r>
      <rPr>
        <b/>
        <sz val="11"/>
        <color theme="1"/>
        <rFont val="Calibri"/>
        <family val="2"/>
        <scheme val="minor"/>
      </rPr>
      <t>PartCServiceCoordinators</t>
    </r>
    <r>
      <rPr>
        <sz val="11"/>
        <color theme="1"/>
        <rFont val="Calibri"/>
        <family val="2"/>
        <scheme val="minor"/>
      </rPr>
      <t xml:space="preserve"> - Part C Service Coordinators
</t>
    </r>
    <r>
      <rPr>
        <b/>
        <sz val="11"/>
        <color theme="1"/>
        <rFont val="Calibri"/>
        <family val="2"/>
        <scheme val="minor"/>
      </rPr>
      <t>SchoolCounselors</t>
    </r>
    <r>
      <rPr>
        <sz val="11"/>
        <color theme="1"/>
        <rFont val="Calibri"/>
        <family val="2"/>
        <scheme val="minor"/>
      </rPr>
      <t xml:space="preserve"> - School Counselors
</t>
    </r>
    <r>
      <rPr>
        <b/>
        <sz val="11"/>
        <color theme="1"/>
        <rFont val="Calibri"/>
        <family val="2"/>
        <scheme val="minor"/>
      </rPr>
      <t>SecondaryTeachers</t>
    </r>
    <r>
      <rPr>
        <sz val="11"/>
        <color theme="1"/>
        <rFont val="Calibri"/>
        <family val="2"/>
        <scheme val="minor"/>
      </rPr>
      <t xml:space="preserve"> - Secondary Teachers
</t>
    </r>
    <r>
      <rPr>
        <b/>
        <sz val="11"/>
        <color theme="1"/>
        <rFont val="Calibri"/>
        <family val="2"/>
        <scheme val="minor"/>
      </rPr>
      <t>SocialWorkers</t>
    </r>
    <r>
      <rPr>
        <sz val="11"/>
        <color theme="1"/>
        <rFont val="Calibri"/>
        <family val="2"/>
        <scheme val="minor"/>
      </rPr>
      <t xml:space="preserve"> - Social Workers
</t>
    </r>
    <r>
      <rPr>
        <b/>
        <sz val="11"/>
        <color theme="1"/>
        <rFont val="Calibri"/>
        <family val="2"/>
        <scheme val="minor"/>
      </rPr>
      <t>SpecialEducationTeachers</t>
    </r>
    <r>
      <rPr>
        <sz val="11"/>
        <color theme="1"/>
        <rFont val="Calibri"/>
        <family val="2"/>
        <scheme val="minor"/>
      </rPr>
      <t xml:space="preserve"> - Special Education Teachers
</t>
    </r>
    <r>
      <rPr>
        <b/>
        <sz val="11"/>
        <color theme="1"/>
        <rFont val="Calibri"/>
        <family val="2"/>
        <scheme val="minor"/>
      </rPr>
      <t>SpecialNeedsSpecialists</t>
    </r>
    <r>
      <rPr>
        <sz val="11"/>
        <color theme="1"/>
        <rFont val="Calibri"/>
        <family val="2"/>
        <scheme val="minor"/>
      </rPr>
      <t xml:space="preserve"> - Special Needs Specialists
</t>
    </r>
    <r>
      <rPr>
        <b/>
        <sz val="11"/>
        <color theme="1"/>
        <rFont val="Calibri"/>
        <family val="2"/>
        <scheme val="minor"/>
      </rPr>
      <t>StudentSupportServicesStaff</t>
    </r>
    <r>
      <rPr>
        <sz val="11"/>
        <color theme="1"/>
        <rFont val="Calibri"/>
        <family val="2"/>
        <scheme val="minor"/>
      </rPr>
      <t xml:space="preserve"> - Student Support Services Staff
</t>
    </r>
    <r>
      <rPr>
        <b/>
        <sz val="11"/>
        <color theme="1"/>
        <rFont val="Calibri"/>
        <family val="2"/>
        <scheme val="minor"/>
      </rPr>
      <t>UngradedTeachers</t>
    </r>
    <r>
      <rPr>
        <sz val="11"/>
        <color theme="1"/>
        <rFont val="Calibri"/>
        <family val="2"/>
        <scheme val="minor"/>
      </rPr>
      <t xml:space="preserve"> - Ungraded Teachers
</t>
    </r>
    <r>
      <rPr>
        <b/>
        <sz val="11"/>
        <color theme="1"/>
        <rFont val="Calibri"/>
        <family val="2"/>
        <scheme val="minor"/>
      </rPr>
      <t>Other</t>
    </r>
    <r>
      <rPr>
        <sz val="11"/>
        <color theme="1"/>
        <rFont val="Calibri"/>
        <family val="2"/>
        <scheme val="minor"/>
      </rPr>
      <t xml:space="preserve"> - Other
</t>
    </r>
  </si>
  <si>
    <r>
      <t>QRIS</t>
    </r>
    <r>
      <rPr>
        <sz val="11"/>
        <color theme="1"/>
        <rFont val="Calibri"/>
        <family val="2"/>
        <scheme val="minor"/>
      </rPr>
      <t xml:space="preserve"> - Quality Rating and Improvement System
</t>
    </r>
    <r>
      <rPr>
        <b/>
        <sz val="11"/>
        <color theme="1"/>
        <rFont val="Calibri"/>
        <family val="2"/>
        <scheme val="minor"/>
      </rPr>
      <t>Licensing</t>
    </r>
    <r>
      <rPr>
        <sz val="11"/>
        <color theme="1"/>
        <rFont val="Calibri"/>
        <family val="2"/>
        <scheme val="minor"/>
      </rPr>
      <t xml:space="preserve"> - Licensing
</t>
    </r>
    <r>
      <rPr>
        <b/>
        <sz val="11"/>
        <color theme="1"/>
        <rFont val="Calibri"/>
        <family val="2"/>
        <scheme val="minor"/>
      </rPr>
      <t>StateStandard</t>
    </r>
    <r>
      <rPr>
        <sz val="11"/>
        <color theme="1"/>
        <rFont val="Calibri"/>
        <family val="2"/>
        <scheme val="minor"/>
      </rPr>
      <t xml:space="preserve"> - State standard
</t>
    </r>
    <r>
      <rPr>
        <b/>
        <sz val="11"/>
        <color theme="1"/>
        <rFont val="Calibri"/>
        <family val="2"/>
        <scheme val="minor"/>
      </rPr>
      <t>Other</t>
    </r>
    <r>
      <rPr>
        <sz val="11"/>
        <color theme="1"/>
        <rFont val="Calibri"/>
        <family val="2"/>
        <scheme val="minor"/>
      </rPr>
      <t xml:space="preserve"> - Other
</t>
    </r>
  </si>
  <si>
    <t>Professional Development Activity-&gt;Session</t>
  </si>
  <si>
    <r>
      <t>Broadcast</t>
    </r>
    <r>
      <rPr>
        <sz val="11"/>
        <color theme="1"/>
        <rFont val="Calibri"/>
        <family val="2"/>
        <scheme val="minor"/>
      </rPr>
      <t xml:space="preserve"> - Broadcast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EarlyCollege</t>
    </r>
    <r>
      <rPr>
        <sz val="11"/>
        <color theme="1"/>
        <rFont val="Calibri"/>
        <family val="2"/>
        <scheme val="minor"/>
      </rPr>
      <t xml:space="preserve"> - Early College
</t>
    </r>
    <r>
      <rPr>
        <b/>
        <sz val="11"/>
        <color theme="1"/>
        <rFont val="Calibri"/>
        <family val="2"/>
        <scheme val="minor"/>
      </rPr>
      <t>AudioVideo</t>
    </r>
    <r>
      <rPr>
        <sz val="11"/>
        <color theme="1"/>
        <rFont val="Calibri"/>
        <family val="2"/>
        <scheme val="minor"/>
      </rPr>
      <t xml:space="preserve"> - Interactive Audio/Video
</t>
    </r>
    <r>
      <rPr>
        <b/>
        <sz val="11"/>
        <color theme="1"/>
        <rFont val="Calibri"/>
        <family val="2"/>
        <scheme val="minor"/>
      </rPr>
      <t>Conference</t>
    </r>
    <r>
      <rPr>
        <sz val="11"/>
        <color theme="1"/>
        <rFont val="Calibri"/>
        <family val="2"/>
        <scheme val="minor"/>
      </rPr>
      <t xml:space="preserve"> - Conference
</t>
    </r>
    <r>
      <rPr>
        <b/>
        <sz val="11"/>
        <color theme="1"/>
        <rFont val="Calibri"/>
        <family val="2"/>
        <scheme val="minor"/>
      </rPr>
      <t>Online</t>
    </r>
    <r>
      <rPr>
        <sz val="11"/>
        <color theme="1"/>
        <rFont val="Calibri"/>
        <family val="2"/>
        <scheme val="minor"/>
      </rPr>
      <t xml:space="preserve"> - Online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FaceToFace</t>
    </r>
    <r>
      <rPr>
        <sz val="11"/>
        <color theme="1"/>
        <rFont val="Calibri"/>
        <family val="2"/>
        <scheme val="minor"/>
      </rPr>
      <t xml:space="preserve"> - Face To Face
</t>
    </r>
    <r>
      <rPr>
        <b/>
        <sz val="11"/>
        <color theme="1"/>
        <rFont val="Calibri"/>
        <family val="2"/>
        <scheme val="minor"/>
      </rPr>
      <t>BlendedLearning</t>
    </r>
    <r>
      <rPr>
        <sz val="11"/>
        <color theme="1"/>
        <rFont val="Calibri"/>
        <family val="2"/>
        <scheme val="minor"/>
      </rPr>
      <t xml:space="preserve"> - Blended Learning
</t>
    </r>
    <r>
      <rPr>
        <b/>
        <sz val="11"/>
        <color theme="1"/>
        <rFont val="Calibri"/>
        <family val="2"/>
        <scheme val="minor"/>
      </rPr>
      <t>Other</t>
    </r>
    <r>
      <rPr>
        <sz val="11"/>
        <color theme="1"/>
        <rFont val="Calibri"/>
        <family val="2"/>
        <scheme val="minor"/>
      </rPr>
      <t xml:space="preserve"> - Other
</t>
    </r>
  </si>
  <si>
    <r>
      <t>Registering</t>
    </r>
    <r>
      <rPr>
        <sz val="11"/>
        <color theme="1"/>
        <rFont val="Calibri"/>
        <family val="2"/>
        <scheme val="minor"/>
      </rPr>
      <t xml:space="preserve"> - Registering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Cancelled</t>
    </r>
    <r>
      <rPr>
        <sz val="11"/>
        <color theme="1"/>
        <rFont val="Calibri"/>
        <family val="2"/>
        <scheme val="minor"/>
      </rPr>
      <t xml:space="preserve"> - Cancelled
</t>
    </r>
  </si>
  <si>
    <t>Professional Development Activity-&gt;Session - Location</t>
  </si>
  <si>
    <t>EL Class/Group</t>
  </si>
  <si>
    <r>
      <t>Infants</t>
    </r>
    <r>
      <rPr>
        <sz val="11"/>
        <color theme="1"/>
        <rFont val="Calibri"/>
        <family val="2"/>
        <scheme val="minor"/>
      </rPr>
      <t xml:space="preserve"> - Meets or exceeds standards for infants
</t>
    </r>
    <r>
      <rPr>
        <b/>
        <sz val="11"/>
        <color theme="1"/>
        <rFont val="Calibri"/>
        <family val="2"/>
        <scheme val="minor"/>
      </rPr>
      <t>Toddlers</t>
    </r>
    <r>
      <rPr>
        <sz val="11"/>
        <color theme="1"/>
        <rFont val="Calibri"/>
        <family val="2"/>
        <scheme val="minor"/>
      </rPr>
      <t xml:space="preserve"> - Meets or exceeds standards for toddlers
</t>
    </r>
    <r>
      <rPr>
        <b/>
        <sz val="11"/>
        <color theme="1"/>
        <rFont val="Calibri"/>
        <family val="2"/>
        <scheme val="minor"/>
      </rPr>
      <t>Preschoolers</t>
    </r>
    <r>
      <rPr>
        <sz val="11"/>
        <color theme="1"/>
        <rFont val="Calibri"/>
        <family val="2"/>
        <scheme val="minor"/>
      </rPr>
      <t xml:space="preserve"> - Meets or exceeds standards for preschoolers
</t>
    </r>
    <r>
      <rPr>
        <b/>
        <sz val="11"/>
        <color theme="1"/>
        <rFont val="Calibri"/>
        <family val="2"/>
        <scheme val="minor"/>
      </rPr>
      <t>School-Age</t>
    </r>
    <r>
      <rPr>
        <sz val="11"/>
        <color theme="1"/>
        <rFont val="Calibri"/>
        <family val="2"/>
        <scheme val="minor"/>
      </rPr>
      <t xml:space="preserve"> - Meets or exceeds standards for school-age
</t>
    </r>
  </si>
  <si>
    <r>
      <t>01</t>
    </r>
    <r>
      <rPr>
        <sz val="11"/>
        <color theme="1"/>
        <rFont val="Calibri"/>
        <family val="2"/>
        <scheme val="minor"/>
      </rPr>
      <t xml:space="preserve"> - Creative curriculum infants/toddlers
</t>
    </r>
    <r>
      <rPr>
        <b/>
        <sz val="11"/>
        <color theme="1"/>
        <rFont val="Calibri"/>
        <family val="2"/>
        <scheme val="minor"/>
      </rPr>
      <t>02</t>
    </r>
    <r>
      <rPr>
        <sz val="11"/>
        <color theme="1"/>
        <rFont val="Calibri"/>
        <family val="2"/>
        <scheme val="minor"/>
      </rPr>
      <t xml:space="preserve"> - Creative curriculum preschool
</t>
    </r>
    <r>
      <rPr>
        <b/>
        <sz val="11"/>
        <color theme="1"/>
        <rFont val="Calibri"/>
        <family val="2"/>
        <scheme val="minor"/>
      </rPr>
      <t>03</t>
    </r>
    <r>
      <rPr>
        <sz val="11"/>
        <color theme="1"/>
        <rFont val="Calibri"/>
        <family val="2"/>
        <scheme val="minor"/>
      </rPr>
      <t xml:space="preserve"> - Creative curriculum family child care
</t>
    </r>
    <r>
      <rPr>
        <b/>
        <sz val="11"/>
        <color theme="1"/>
        <rFont val="Calibri"/>
        <family val="2"/>
        <scheme val="minor"/>
      </rPr>
      <t>04</t>
    </r>
    <r>
      <rPr>
        <sz val="11"/>
        <color theme="1"/>
        <rFont val="Calibri"/>
        <family val="2"/>
        <scheme val="minor"/>
      </rPr>
      <t xml:space="preserve"> - Highscope preschoolers
</t>
    </r>
    <r>
      <rPr>
        <b/>
        <sz val="11"/>
        <color theme="1"/>
        <rFont val="Calibri"/>
        <family val="2"/>
        <scheme val="minor"/>
      </rPr>
      <t>05</t>
    </r>
    <r>
      <rPr>
        <sz val="11"/>
        <color theme="1"/>
        <rFont val="Calibri"/>
        <family val="2"/>
        <scheme val="minor"/>
      </rPr>
      <t xml:space="preserve"> - Highscope infants/toddlers
</t>
    </r>
    <r>
      <rPr>
        <b/>
        <sz val="11"/>
        <color theme="1"/>
        <rFont val="Calibri"/>
        <family val="2"/>
        <scheme val="minor"/>
      </rPr>
      <t>06</t>
    </r>
    <r>
      <rPr>
        <sz val="11"/>
        <color theme="1"/>
        <rFont val="Calibri"/>
        <family val="2"/>
        <scheme val="minor"/>
      </rPr>
      <t xml:space="preserve"> - Montessori curriculum
</t>
    </r>
    <r>
      <rPr>
        <b/>
        <sz val="11"/>
        <color theme="1"/>
        <rFont val="Calibri"/>
        <family val="2"/>
        <scheme val="minor"/>
      </rPr>
      <t>07</t>
    </r>
    <r>
      <rPr>
        <sz val="11"/>
        <color theme="1"/>
        <rFont val="Calibri"/>
        <family val="2"/>
        <scheme val="minor"/>
      </rPr>
      <t xml:space="preserve"> - Locally designed curriculum
</t>
    </r>
    <r>
      <rPr>
        <b/>
        <sz val="11"/>
        <color theme="1"/>
        <rFont val="Calibri"/>
        <family val="2"/>
        <scheme val="minor"/>
      </rPr>
      <t>08</t>
    </r>
    <r>
      <rPr>
        <sz val="11"/>
        <color theme="1"/>
        <rFont val="Calibri"/>
        <family val="2"/>
        <scheme val="minor"/>
      </rPr>
      <t xml:space="preserve"> - Other curriculum
</t>
    </r>
    <r>
      <rPr>
        <b/>
        <sz val="11"/>
        <color theme="1"/>
        <rFont val="Calibri"/>
        <family val="2"/>
        <scheme val="minor"/>
      </rPr>
      <t>09</t>
    </r>
    <r>
      <rPr>
        <sz val="11"/>
        <color theme="1"/>
        <rFont val="Calibri"/>
        <family val="2"/>
        <scheme val="minor"/>
      </rPr>
      <t xml:space="preserve"> - None
</t>
    </r>
  </si>
  <si>
    <t>Early Learning Program</t>
  </si>
  <si>
    <r>
      <t>FaceToFaceContact</t>
    </r>
    <r>
      <rPr>
        <sz val="11"/>
        <color theme="1"/>
        <rFont val="Calibri"/>
        <family val="2"/>
        <scheme val="minor"/>
      </rPr>
      <t xml:space="preserve"> - Face-to-Face Contact
</t>
    </r>
    <r>
      <rPr>
        <b/>
        <sz val="11"/>
        <color theme="1"/>
        <rFont val="Calibri"/>
        <family val="2"/>
        <scheme val="minor"/>
      </rPr>
      <t>EventBased</t>
    </r>
    <r>
      <rPr>
        <sz val="11"/>
        <color theme="1"/>
        <rFont val="Calibri"/>
        <family val="2"/>
        <scheme val="minor"/>
      </rPr>
      <t xml:space="preserve"> - Event-based
</t>
    </r>
    <r>
      <rPr>
        <b/>
        <sz val="11"/>
        <color theme="1"/>
        <rFont val="Calibri"/>
        <family val="2"/>
        <scheme val="minor"/>
      </rPr>
      <t>TimeBased</t>
    </r>
    <r>
      <rPr>
        <sz val="11"/>
        <color theme="1"/>
        <rFont val="Calibri"/>
        <family val="2"/>
        <scheme val="minor"/>
      </rPr>
      <t xml:space="preserve"> - Time-based
</t>
    </r>
  </si>
  <si>
    <r>
      <t>LEA</t>
    </r>
    <r>
      <rPr>
        <sz val="11"/>
        <color theme="1"/>
        <rFont val="Calibri"/>
        <family val="2"/>
        <scheme val="minor"/>
      </rPr>
      <t xml:space="preserve"> - LEA
</t>
    </r>
    <r>
      <rPr>
        <b/>
        <sz val="11"/>
        <color theme="1"/>
        <rFont val="Calibri"/>
        <family val="2"/>
        <scheme val="minor"/>
      </rPr>
      <t>CountyLevyTax</t>
    </r>
    <r>
      <rPr>
        <sz val="11"/>
        <color theme="1"/>
        <rFont val="Calibri"/>
        <family val="2"/>
        <scheme val="minor"/>
      </rPr>
      <t xml:space="preserve"> - County Levy Tax
</t>
    </r>
    <r>
      <rPr>
        <b/>
        <sz val="11"/>
        <color theme="1"/>
        <rFont val="Calibri"/>
        <family val="2"/>
        <scheme val="minor"/>
      </rPr>
      <t>Foundations</t>
    </r>
    <r>
      <rPr>
        <sz val="11"/>
        <color theme="1"/>
        <rFont val="Calibri"/>
        <family val="2"/>
        <scheme val="minor"/>
      </rPr>
      <t xml:space="preserve"> - Foundations
</t>
    </r>
    <r>
      <rPr>
        <b/>
        <sz val="11"/>
        <color theme="1"/>
        <rFont val="Calibri"/>
        <family val="2"/>
        <scheme val="minor"/>
      </rPr>
      <t>SpecialFundRaising</t>
    </r>
    <r>
      <rPr>
        <sz val="11"/>
        <color theme="1"/>
        <rFont val="Calibri"/>
        <family val="2"/>
        <scheme val="minor"/>
      </rPr>
      <t xml:space="preserve"> - Special Fund Raising
</t>
    </r>
    <r>
      <rPr>
        <b/>
        <sz val="11"/>
        <color theme="1"/>
        <rFont val="Calibri"/>
        <family val="2"/>
        <scheme val="minor"/>
      </rPr>
      <t>LocalGovernment</t>
    </r>
    <r>
      <rPr>
        <sz val="11"/>
        <color theme="1"/>
        <rFont val="Calibri"/>
        <family val="2"/>
        <scheme val="minor"/>
      </rPr>
      <t xml:space="preserve"> - Local Government
</t>
    </r>
    <r>
      <rPr>
        <b/>
        <sz val="11"/>
        <color theme="1"/>
        <rFont val="Calibri"/>
        <family val="2"/>
        <scheme val="minor"/>
      </rPr>
      <t>CashDonations</t>
    </r>
    <r>
      <rPr>
        <sz val="11"/>
        <color theme="1"/>
        <rFont val="Calibri"/>
        <family val="2"/>
        <scheme val="minor"/>
      </rPr>
      <t xml:space="preserve"> - Cash Donations
</t>
    </r>
    <r>
      <rPr>
        <b/>
        <sz val="11"/>
        <color theme="1"/>
        <rFont val="Calibri"/>
        <family val="2"/>
        <scheme val="minor"/>
      </rPr>
      <t>UnitedWay</t>
    </r>
    <r>
      <rPr>
        <sz val="11"/>
        <color theme="1"/>
        <rFont val="Calibri"/>
        <family val="2"/>
        <scheme val="minor"/>
      </rPr>
      <t xml:space="preserve"> - United Way
</t>
    </r>
    <r>
      <rPr>
        <b/>
        <sz val="11"/>
        <color theme="1"/>
        <rFont val="Calibri"/>
        <family val="2"/>
        <scheme val="minor"/>
      </rPr>
      <t>PrivateInsurance</t>
    </r>
    <r>
      <rPr>
        <sz val="11"/>
        <color theme="1"/>
        <rFont val="Calibri"/>
        <family val="2"/>
        <scheme val="minor"/>
      </rPr>
      <t xml:space="preserve"> - Private Insurance
</t>
    </r>
    <r>
      <rPr>
        <b/>
        <sz val="11"/>
        <color theme="1"/>
        <rFont val="Calibri"/>
        <family val="2"/>
        <scheme val="minor"/>
      </rPr>
      <t>FamilyFees</t>
    </r>
    <r>
      <rPr>
        <sz val="11"/>
        <color theme="1"/>
        <rFont val="Calibri"/>
        <family val="2"/>
        <scheme val="minor"/>
      </rPr>
      <t xml:space="preserve"> - Family Fees
</t>
    </r>
    <r>
      <rPr>
        <b/>
        <sz val="11"/>
        <color theme="1"/>
        <rFont val="Calibri"/>
        <family val="2"/>
        <scheme val="minor"/>
      </rPr>
      <t>Other</t>
    </r>
    <r>
      <rPr>
        <sz val="11"/>
        <color theme="1"/>
        <rFont val="Calibri"/>
        <family val="2"/>
        <scheme val="minor"/>
      </rPr>
      <t xml:space="preserve"> - Other
</t>
    </r>
  </si>
  <si>
    <r>
      <t>StatePartCAppropriations</t>
    </r>
    <r>
      <rPr>
        <sz val="11"/>
        <color theme="1"/>
        <rFont val="Calibri"/>
        <family val="2"/>
        <scheme val="minor"/>
      </rPr>
      <t xml:space="preserve"> - State Part C Appropriations
</t>
    </r>
    <r>
      <rPr>
        <b/>
        <sz val="11"/>
        <color theme="1"/>
        <rFont val="Calibri"/>
        <family val="2"/>
        <scheme val="minor"/>
      </rPr>
      <t>StateGeneralFunds</t>
    </r>
    <r>
      <rPr>
        <sz val="11"/>
        <color theme="1"/>
        <rFont val="Calibri"/>
        <family val="2"/>
        <scheme val="minor"/>
      </rPr>
      <t xml:space="preserve"> - State General Funds
</t>
    </r>
    <r>
      <rPr>
        <b/>
        <sz val="11"/>
        <color theme="1"/>
        <rFont val="Calibri"/>
        <family val="2"/>
        <scheme val="minor"/>
      </rPr>
      <t>TitleVStateFunds</t>
    </r>
    <r>
      <rPr>
        <sz val="11"/>
        <color theme="1"/>
        <rFont val="Calibri"/>
        <family val="2"/>
        <scheme val="minor"/>
      </rPr>
      <t xml:space="preserve"> - Title V State Funds
</t>
    </r>
    <r>
      <rPr>
        <b/>
        <sz val="11"/>
        <color theme="1"/>
        <rFont val="Calibri"/>
        <family val="2"/>
        <scheme val="minor"/>
      </rPr>
      <t>CSHCNStateFunds</t>
    </r>
    <r>
      <rPr>
        <sz val="11"/>
        <color theme="1"/>
        <rFont val="Calibri"/>
        <family val="2"/>
        <scheme val="minor"/>
      </rPr>
      <t xml:space="preserve"> - CSHCN State Funds
</t>
    </r>
    <r>
      <rPr>
        <b/>
        <sz val="11"/>
        <color theme="1"/>
        <rFont val="Calibri"/>
        <family val="2"/>
        <scheme val="minor"/>
      </rPr>
      <t>StateSpecialEducationFunds</t>
    </r>
    <r>
      <rPr>
        <sz val="11"/>
        <color theme="1"/>
        <rFont val="Calibri"/>
        <family val="2"/>
        <scheme val="minor"/>
      </rPr>
      <t xml:space="preserve"> - State Special Education Funds
</t>
    </r>
    <r>
      <rPr>
        <b/>
        <sz val="11"/>
        <color theme="1"/>
        <rFont val="Calibri"/>
        <family val="2"/>
        <scheme val="minor"/>
      </rPr>
      <t>StateChildCareFunds</t>
    </r>
    <r>
      <rPr>
        <sz val="11"/>
        <color theme="1"/>
        <rFont val="Calibri"/>
        <family val="2"/>
        <scheme val="minor"/>
      </rPr>
      <t xml:space="preserve"> - State Child Care Funds
</t>
    </r>
    <r>
      <rPr>
        <b/>
        <sz val="11"/>
        <color theme="1"/>
        <rFont val="Calibri"/>
        <family val="2"/>
        <scheme val="minor"/>
      </rPr>
      <t>LotteryFunds</t>
    </r>
    <r>
      <rPr>
        <sz val="11"/>
        <color theme="1"/>
        <rFont val="Calibri"/>
        <family val="2"/>
        <scheme val="minor"/>
      </rPr>
      <t xml:space="preserve"> - Lottery Funds
</t>
    </r>
    <r>
      <rPr>
        <b/>
        <sz val="11"/>
        <color theme="1"/>
        <rFont val="Calibri"/>
        <family val="2"/>
        <scheme val="minor"/>
      </rPr>
      <t>TobaccoFunds</t>
    </r>
    <r>
      <rPr>
        <sz val="11"/>
        <color theme="1"/>
        <rFont val="Calibri"/>
        <family val="2"/>
        <scheme val="minor"/>
      </rPr>
      <t xml:space="preserve"> - Tobacco Funds
</t>
    </r>
    <r>
      <rPr>
        <b/>
        <sz val="11"/>
        <color theme="1"/>
        <rFont val="Calibri"/>
        <family val="2"/>
        <scheme val="minor"/>
      </rPr>
      <t>StateHomeVisiting</t>
    </r>
    <r>
      <rPr>
        <sz val="11"/>
        <color theme="1"/>
        <rFont val="Calibri"/>
        <family val="2"/>
        <scheme val="minor"/>
      </rPr>
      <t xml:space="preserve"> - State Home Visiting
</t>
    </r>
    <r>
      <rPr>
        <b/>
        <sz val="11"/>
        <color theme="1"/>
        <rFont val="Calibri"/>
        <family val="2"/>
        <scheme val="minor"/>
      </rPr>
      <t>StateDevelopmentalDisabilitiesFund</t>
    </r>
    <r>
      <rPr>
        <sz val="11"/>
        <color theme="1"/>
        <rFont val="Calibri"/>
        <family val="2"/>
        <scheme val="minor"/>
      </rPr>
      <t xml:space="preserve"> - State Developmental Disabilities Fund
</t>
    </r>
    <r>
      <rPr>
        <b/>
        <sz val="11"/>
        <color theme="1"/>
        <rFont val="Calibri"/>
        <family val="2"/>
        <scheme val="minor"/>
      </rPr>
      <t>StateMentalHealthFunds</t>
    </r>
    <r>
      <rPr>
        <sz val="11"/>
        <color theme="1"/>
        <rFont val="Calibri"/>
        <family val="2"/>
        <scheme val="minor"/>
      </rPr>
      <t xml:space="preserve"> - State Mental Health Funds
</t>
    </r>
    <r>
      <rPr>
        <b/>
        <sz val="11"/>
        <color theme="1"/>
        <rFont val="Calibri"/>
        <family val="2"/>
        <scheme val="minor"/>
      </rPr>
      <t>DeafBlindSchools</t>
    </r>
    <r>
      <rPr>
        <sz val="11"/>
        <color theme="1"/>
        <rFont val="Calibri"/>
        <family val="2"/>
        <scheme val="minor"/>
      </rPr>
      <t xml:space="preserve"> - Deaf Blind Schools
</t>
    </r>
    <r>
      <rPr>
        <b/>
        <sz val="11"/>
        <color theme="1"/>
        <rFont val="Calibri"/>
        <family val="2"/>
        <scheme val="minor"/>
      </rPr>
      <t>SSBGStateSupplement</t>
    </r>
    <r>
      <rPr>
        <sz val="11"/>
        <color theme="1"/>
        <rFont val="Calibri"/>
        <family val="2"/>
        <scheme val="minor"/>
      </rPr>
      <t xml:space="preserve"> - SSBG State Supplement
</t>
    </r>
    <r>
      <rPr>
        <b/>
        <sz val="11"/>
        <color theme="1"/>
        <rFont val="Calibri"/>
        <family val="2"/>
        <scheme val="minor"/>
      </rPr>
      <t>StatePreK</t>
    </r>
    <r>
      <rPr>
        <sz val="11"/>
        <color theme="1"/>
        <rFont val="Calibri"/>
        <family val="2"/>
        <scheme val="minor"/>
      </rPr>
      <t xml:space="preserve"> - State Pre-K
</t>
    </r>
    <r>
      <rPr>
        <b/>
        <sz val="11"/>
        <color theme="1"/>
        <rFont val="Calibri"/>
        <family val="2"/>
        <scheme val="minor"/>
      </rPr>
      <t>HeadStartStateSupplementalFund</t>
    </r>
    <r>
      <rPr>
        <sz val="11"/>
        <color theme="1"/>
        <rFont val="Calibri"/>
        <family val="2"/>
        <scheme val="minor"/>
      </rPr>
      <t xml:space="preserve"> - Head Start State Supplemental Fund
</t>
    </r>
    <r>
      <rPr>
        <b/>
        <sz val="11"/>
        <color theme="1"/>
        <rFont val="Calibri"/>
        <family val="2"/>
        <scheme val="minor"/>
      </rPr>
      <t>StatePublicEducationFund</t>
    </r>
    <r>
      <rPr>
        <sz val="11"/>
        <color theme="1"/>
        <rFont val="Calibri"/>
        <family val="2"/>
        <scheme val="minor"/>
      </rPr>
      <t xml:space="preserve"> - State Public Education Fund
</t>
    </r>
    <r>
      <rPr>
        <b/>
        <sz val="11"/>
        <color theme="1"/>
        <rFont val="Calibri"/>
        <family val="2"/>
        <scheme val="minor"/>
      </rPr>
      <t>OtherStateFunds</t>
    </r>
    <r>
      <rPr>
        <sz val="11"/>
        <color theme="1"/>
        <rFont val="Calibri"/>
        <family val="2"/>
        <scheme val="minor"/>
      </rPr>
      <t xml:space="preserve"> - Other State Funds
</t>
    </r>
  </si>
  <si>
    <r>
      <t>1000</t>
    </r>
    <r>
      <rPr>
        <sz val="11"/>
        <color theme="1"/>
        <rFont val="Calibri"/>
        <family val="2"/>
        <scheme val="minor"/>
      </rPr>
      <t xml:space="preserve"> - Revenue From Local Sources
</t>
    </r>
    <r>
      <rPr>
        <b/>
        <sz val="11"/>
        <color theme="1"/>
        <rFont val="Calibri"/>
        <family val="2"/>
        <scheme val="minor"/>
      </rPr>
      <t>1100</t>
    </r>
    <r>
      <rPr>
        <sz val="11"/>
        <color theme="1"/>
        <rFont val="Calibri"/>
        <family val="2"/>
        <scheme val="minor"/>
      </rPr>
      <t xml:space="preserve"> - Taxes Levied/Assessed by the School District
</t>
    </r>
    <r>
      <rPr>
        <b/>
        <sz val="11"/>
        <color theme="1"/>
        <rFont val="Calibri"/>
        <family val="2"/>
        <scheme val="minor"/>
      </rPr>
      <t>1110</t>
    </r>
    <r>
      <rPr>
        <sz val="11"/>
        <color theme="1"/>
        <rFont val="Calibri"/>
        <family val="2"/>
        <scheme val="minor"/>
      </rPr>
      <t xml:space="preserve"> - Ad Valorem Taxes (Levied/Assessed by School Districts)
</t>
    </r>
    <r>
      <rPr>
        <b/>
        <sz val="11"/>
        <color theme="1"/>
        <rFont val="Calibri"/>
        <family val="2"/>
        <scheme val="minor"/>
      </rPr>
      <t>1120</t>
    </r>
    <r>
      <rPr>
        <sz val="11"/>
        <color theme="1"/>
        <rFont val="Calibri"/>
        <family val="2"/>
        <scheme val="minor"/>
      </rPr>
      <t xml:space="preserve"> - Sales and Use Taxes (Levied/Assessed by School Districts)
</t>
    </r>
    <r>
      <rPr>
        <b/>
        <sz val="11"/>
        <color theme="1"/>
        <rFont val="Calibri"/>
        <family val="2"/>
        <scheme val="minor"/>
      </rPr>
      <t>1130</t>
    </r>
    <r>
      <rPr>
        <sz val="11"/>
        <color theme="1"/>
        <rFont val="Calibri"/>
        <family val="2"/>
        <scheme val="minor"/>
      </rPr>
      <t xml:space="preserve"> - Income Taxes (Levied/Assessed by School Districts)
</t>
    </r>
    <r>
      <rPr>
        <b/>
        <sz val="11"/>
        <color theme="1"/>
        <rFont val="Calibri"/>
        <family val="2"/>
        <scheme val="minor"/>
      </rPr>
      <t>1140</t>
    </r>
    <r>
      <rPr>
        <sz val="11"/>
        <color theme="1"/>
        <rFont val="Calibri"/>
        <family val="2"/>
        <scheme val="minor"/>
      </rPr>
      <t xml:space="preserve"> - Penalties and Interest on Taxes (Levied/Assessed by School Districts)
</t>
    </r>
    <r>
      <rPr>
        <b/>
        <sz val="11"/>
        <color theme="1"/>
        <rFont val="Calibri"/>
        <family val="2"/>
        <scheme val="minor"/>
      </rPr>
      <t>1190</t>
    </r>
    <r>
      <rPr>
        <sz val="11"/>
        <color theme="1"/>
        <rFont val="Calibri"/>
        <family val="2"/>
        <scheme val="minor"/>
      </rPr>
      <t xml:space="preserve"> - Other Taxes (Levied/Assessed by School Districts)
</t>
    </r>
    <r>
      <rPr>
        <b/>
        <sz val="11"/>
        <color theme="1"/>
        <rFont val="Calibri"/>
        <family val="2"/>
        <scheme val="minor"/>
      </rPr>
      <t>1200</t>
    </r>
    <r>
      <rPr>
        <sz val="11"/>
        <color theme="1"/>
        <rFont val="Calibri"/>
        <family val="2"/>
        <scheme val="minor"/>
      </rPr>
      <t xml:space="preserve"> - Revenue from Local Governmental Units Other Than School Districts
</t>
    </r>
    <r>
      <rPr>
        <b/>
        <sz val="11"/>
        <color theme="1"/>
        <rFont val="Calibri"/>
        <family val="2"/>
        <scheme val="minor"/>
      </rPr>
      <t>1210</t>
    </r>
    <r>
      <rPr>
        <sz val="11"/>
        <color theme="1"/>
        <rFont val="Calibri"/>
        <family val="2"/>
        <scheme val="minor"/>
      </rPr>
      <t xml:space="preserve"> - Ad Valorem Taxes (Received from Other Government Units)
</t>
    </r>
    <r>
      <rPr>
        <b/>
        <sz val="11"/>
        <color theme="1"/>
        <rFont val="Calibri"/>
        <family val="2"/>
        <scheme val="minor"/>
      </rPr>
      <t>1220</t>
    </r>
    <r>
      <rPr>
        <sz val="11"/>
        <color theme="1"/>
        <rFont val="Calibri"/>
        <family val="2"/>
        <scheme val="minor"/>
      </rPr>
      <t xml:space="preserve"> - Sales and Use Tax (Received from Other Government Units)
</t>
    </r>
    <r>
      <rPr>
        <b/>
        <sz val="11"/>
        <color theme="1"/>
        <rFont val="Calibri"/>
        <family val="2"/>
        <scheme val="minor"/>
      </rPr>
      <t>1230</t>
    </r>
    <r>
      <rPr>
        <sz val="11"/>
        <color theme="1"/>
        <rFont val="Calibri"/>
        <family val="2"/>
        <scheme val="minor"/>
      </rPr>
      <t xml:space="preserve"> - Income Taxes (Received from Other Government Units)
</t>
    </r>
    <r>
      <rPr>
        <b/>
        <sz val="11"/>
        <color theme="1"/>
        <rFont val="Calibri"/>
        <family val="2"/>
        <scheme val="minor"/>
      </rPr>
      <t>1240</t>
    </r>
    <r>
      <rPr>
        <sz val="11"/>
        <color theme="1"/>
        <rFont val="Calibri"/>
        <family val="2"/>
        <scheme val="minor"/>
      </rPr>
      <t xml:space="preserve"> - Penalties and Interest on Taxes (Received from Other Government Units)
</t>
    </r>
    <r>
      <rPr>
        <b/>
        <sz val="11"/>
        <color theme="1"/>
        <rFont val="Calibri"/>
        <family val="2"/>
        <scheme val="minor"/>
      </rPr>
      <t>1280</t>
    </r>
    <r>
      <rPr>
        <sz val="11"/>
        <color theme="1"/>
        <rFont val="Calibri"/>
        <family val="2"/>
        <scheme val="minor"/>
      </rPr>
      <t xml:space="preserve"> - Revenue in Lieu of Taxes (Received from Other Government Units)
</t>
    </r>
    <r>
      <rPr>
        <b/>
        <sz val="11"/>
        <color theme="1"/>
        <rFont val="Calibri"/>
        <family val="2"/>
        <scheme val="minor"/>
      </rPr>
      <t>1290</t>
    </r>
    <r>
      <rPr>
        <sz val="11"/>
        <color theme="1"/>
        <rFont val="Calibri"/>
        <family val="2"/>
        <scheme val="minor"/>
      </rPr>
      <t xml:space="preserve"> - Other Taxes (Received from Other Government Units)
</t>
    </r>
    <r>
      <rPr>
        <b/>
        <sz val="11"/>
        <color theme="1"/>
        <rFont val="Calibri"/>
        <family val="2"/>
        <scheme val="minor"/>
      </rPr>
      <t>1300</t>
    </r>
    <r>
      <rPr>
        <sz val="11"/>
        <color theme="1"/>
        <rFont val="Calibri"/>
        <family val="2"/>
        <scheme val="minor"/>
      </rPr>
      <t xml:space="preserve"> - Tuition
</t>
    </r>
    <r>
      <rPr>
        <b/>
        <sz val="11"/>
        <color theme="1"/>
        <rFont val="Calibri"/>
        <family val="2"/>
        <scheme val="minor"/>
      </rPr>
      <t>1310</t>
    </r>
    <r>
      <rPr>
        <sz val="11"/>
        <color theme="1"/>
        <rFont val="Calibri"/>
        <family val="2"/>
        <scheme val="minor"/>
      </rPr>
      <t xml:space="preserve"> - Tuition From Individuals
</t>
    </r>
    <r>
      <rPr>
        <b/>
        <sz val="11"/>
        <color theme="1"/>
        <rFont val="Calibri"/>
        <family val="2"/>
        <scheme val="minor"/>
      </rPr>
      <t>1311</t>
    </r>
    <r>
      <rPr>
        <sz val="11"/>
        <color theme="1"/>
        <rFont val="Calibri"/>
        <family val="2"/>
        <scheme val="minor"/>
      </rPr>
      <t xml:space="preserve"> - Tuition from Individuals Excluding Summer School
</t>
    </r>
    <r>
      <rPr>
        <b/>
        <sz val="11"/>
        <color theme="1"/>
        <rFont val="Calibri"/>
        <family val="2"/>
        <scheme val="minor"/>
      </rPr>
      <t>1312</t>
    </r>
    <r>
      <rPr>
        <sz val="11"/>
        <color theme="1"/>
        <rFont val="Calibri"/>
        <family val="2"/>
        <scheme val="minor"/>
      </rPr>
      <t xml:space="preserve"> - Tuition from Individuals for Summer School
</t>
    </r>
    <r>
      <rPr>
        <b/>
        <sz val="11"/>
        <color theme="1"/>
        <rFont val="Calibri"/>
        <family val="2"/>
        <scheme val="minor"/>
      </rPr>
      <t>1320</t>
    </r>
    <r>
      <rPr>
        <sz val="11"/>
        <color theme="1"/>
        <rFont val="Calibri"/>
        <family val="2"/>
        <scheme val="minor"/>
      </rPr>
      <t xml:space="preserve"> - Tuition from Other Government Sources Within the State
</t>
    </r>
    <r>
      <rPr>
        <b/>
        <sz val="11"/>
        <color theme="1"/>
        <rFont val="Calibri"/>
        <family val="2"/>
        <scheme val="minor"/>
      </rPr>
      <t>1321</t>
    </r>
    <r>
      <rPr>
        <sz val="11"/>
        <color theme="1"/>
        <rFont val="Calibri"/>
        <family val="2"/>
        <scheme val="minor"/>
      </rPr>
      <t xml:space="preserve"> - Tuition from Other School Districts Within the State
</t>
    </r>
    <r>
      <rPr>
        <b/>
        <sz val="11"/>
        <color theme="1"/>
        <rFont val="Calibri"/>
        <family val="2"/>
        <scheme val="minor"/>
      </rPr>
      <t>1322</t>
    </r>
    <r>
      <rPr>
        <sz val="11"/>
        <color theme="1"/>
        <rFont val="Calibri"/>
        <family val="2"/>
        <scheme val="minor"/>
      </rPr>
      <t xml:space="preserve"> - Tuition from Other Government Sources Excluding School Districts Within the State
</t>
    </r>
    <r>
      <rPr>
        <b/>
        <sz val="11"/>
        <color theme="1"/>
        <rFont val="Calibri"/>
        <family val="2"/>
        <scheme val="minor"/>
      </rPr>
      <t>1330</t>
    </r>
    <r>
      <rPr>
        <sz val="11"/>
        <color theme="1"/>
        <rFont val="Calibri"/>
        <family val="2"/>
        <scheme val="minor"/>
      </rPr>
      <t xml:space="preserve"> - Tuition from Other Government Sources Outside the State
</t>
    </r>
    <r>
      <rPr>
        <b/>
        <sz val="11"/>
        <color theme="1"/>
        <rFont val="Calibri"/>
        <family val="2"/>
        <scheme val="minor"/>
      </rPr>
      <t>1331</t>
    </r>
    <r>
      <rPr>
        <sz val="11"/>
        <color theme="1"/>
        <rFont val="Calibri"/>
        <family val="2"/>
        <scheme val="minor"/>
      </rPr>
      <t xml:space="preserve"> - Tuition from School Districts Outside the State
</t>
    </r>
    <r>
      <rPr>
        <b/>
        <sz val="11"/>
        <color theme="1"/>
        <rFont val="Calibri"/>
        <family val="2"/>
        <scheme val="minor"/>
      </rPr>
      <t>1340</t>
    </r>
    <r>
      <rPr>
        <sz val="11"/>
        <color theme="1"/>
        <rFont val="Calibri"/>
        <family val="2"/>
        <scheme val="minor"/>
      </rPr>
      <t xml:space="preserve"> - Tuition from Other Private Sources (Other Than Individuals)
</t>
    </r>
    <r>
      <rPr>
        <b/>
        <sz val="11"/>
        <color theme="1"/>
        <rFont val="Calibri"/>
        <family val="2"/>
        <scheme val="minor"/>
      </rPr>
      <t>1350</t>
    </r>
    <r>
      <rPr>
        <sz val="11"/>
        <color theme="1"/>
        <rFont val="Calibri"/>
        <family val="2"/>
        <scheme val="minor"/>
      </rPr>
      <t xml:space="preserve"> - Tuition from the State/Other School Districts for Voucher Program Students
</t>
    </r>
    <r>
      <rPr>
        <b/>
        <sz val="11"/>
        <color theme="1"/>
        <rFont val="Calibri"/>
        <family val="2"/>
        <scheme val="minor"/>
      </rPr>
      <t>1400</t>
    </r>
    <r>
      <rPr>
        <sz val="11"/>
        <color theme="1"/>
        <rFont val="Calibri"/>
        <family val="2"/>
        <scheme val="minor"/>
      </rPr>
      <t xml:space="preserve"> - Transportation Fees
</t>
    </r>
    <r>
      <rPr>
        <b/>
        <sz val="11"/>
        <color theme="1"/>
        <rFont val="Calibri"/>
        <family val="2"/>
        <scheme val="minor"/>
      </rPr>
      <t>1410</t>
    </r>
    <r>
      <rPr>
        <sz val="11"/>
        <color theme="1"/>
        <rFont val="Calibri"/>
        <family val="2"/>
        <scheme val="minor"/>
      </rPr>
      <t xml:space="preserve"> - Transportation Fees from Individuals
</t>
    </r>
    <r>
      <rPr>
        <b/>
        <sz val="11"/>
        <color theme="1"/>
        <rFont val="Calibri"/>
        <family val="2"/>
        <scheme val="minor"/>
      </rPr>
      <t>1420</t>
    </r>
    <r>
      <rPr>
        <sz val="11"/>
        <color theme="1"/>
        <rFont val="Calibri"/>
        <family val="2"/>
        <scheme val="minor"/>
      </rPr>
      <t xml:space="preserve"> - Transportation Fees from Other Government Sources Within the State
</t>
    </r>
    <r>
      <rPr>
        <b/>
        <sz val="11"/>
        <color theme="1"/>
        <rFont val="Calibri"/>
        <family val="2"/>
        <scheme val="minor"/>
      </rPr>
      <t>1421</t>
    </r>
    <r>
      <rPr>
        <sz val="11"/>
        <color theme="1"/>
        <rFont val="Calibri"/>
        <family val="2"/>
        <scheme val="minor"/>
      </rPr>
      <t xml:space="preserve"> - Transportation Fees from Other School Districts Within the State
</t>
    </r>
    <r>
      <rPr>
        <b/>
        <sz val="11"/>
        <color theme="1"/>
        <rFont val="Calibri"/>
        <family val="2"/>
        <scheme val="minor"/>
      </rPr>
      <t>1422</t>
    </r>
    <r>
      <rPr>
        <sz val="11"/>
        <color theme="1"/>
        <rFont val="Calibri"/>
        <family val="2"/>
        <scheme val="minor"/>
      </rPr>
      <t xml:space="preserve"> - Transportation Fees from Other Government Sources Excluding School Districts Within the State
</t>
    </r>
    <r>
      <rPr>
        <b/>
        <sz val="11"/>
        <color theme="1"/>
        <rFont val="Calibri"/>
        <family val="2"/>
        <scheme val="minor"/>
      </rPr>
      <t>1430</t>
    </r>
    <r>
      <rPr>
        <sz val="11"/>
        <color theme="1"/>
        <rFont val="Calibri"/>
        <family val="2"/>
        <scheme val="minor"/>
      </rPr>
      <t xml:space="preserve"> - Transportation Fees from Other Government Sources Outside the State
</t>
    </r>
    <r>
      <rPr>
        <b/>
        <sz val="11"/>
        <color theme="1"/>
        <rFont val="Calibri"/>
        <family val="2"/>
        <scheme val="minor"/>
      </rPr>
      <t>1431</t>
    </r>
    <r>
      <rPr>
        <sz val="11"/>
        <color theme="1"/>
        <rFont val="Calibri"/>
        <family val="2"/>
        <scheme val="minor"/>
      </rPr>
      <t xml:space="preserve"> - Transportation Fees from Other School Districts Outside the State
</t>
    </r>
    <r>
      <rPr>
        <b/>
        <sz val="11"/>
        <color theme="1"/>
        <rFont val="Calibri"/>
        <family val="2"/>
        <scheme val="minor"/>
      </rPr>
      <t>1440</t>
    </r>
    <r>
      <rPr>
        <sz val="11"/>
        <color theme="1"/>
        <rFont val="Calibri"/>
        <family val="2"/>
        <scheme val="minor"/>
      </rPr>
      <t xml:space="preserve"> - Transportation Fees from Other Private Sources (other than individuals)
</t>
    </r>
    <r>
      <rPr>
        <b/>
        <sz val="11"/>
        <color theme="1"/>
        <rFont val="Calibri"/>
        <family val="2"/>
        <scheme val="minor"/>
      </rPr>
      <t>1500</t>
    </r>
    <r>
      <rPr>
        <sz val="11"/>
        <color theme="1"/>
        <rFont val="Calibri"/>
        <family val="2"/>
        <scheme val="minor"/>
      </rPr>
      <t xml:space="preserve"> - Investment Income
</t>
    </r>
    <r>
      <rPr>
        <b/>
        <sz val="11"/>
        <color theme="1"/>
        <rFont val="Calibri"/>
        <family val="2"/>
        <scheme val="minor"/>
      </rPr>
      <t>1510</t>
    </r>
    <r>
      <rPr>
        <sz val="11"/>
        <color theme="1"/>
        <rFont val="Calibri"/>
        <family val="2"/>
        <scheme val="minor"/>
      </rPr>
      <t xml:space="preserve"> - Interest on Investments
</t>
    </r>
    <r>
      <rPr>
        <b/>
        <sz val="11"/>
        <color theme="1"/>
        <rFont val="Calibri"/>
        <family val="2"/>
        <scheme val="minor"/>
      </rPr>
      <t>1520</t>
    </r>
    <r>
      <rPr>
        <sz val="11"/>
        <color theme="1"/>
        <rFont val="Calibri"/>
        <family val="2"/>
        <scheme val="minor"/>
      </rPr>
      <t xml:space="preserve"> - Dividends on Investments
</t>
    </r>
    <r>
      <rPr>
        <b/>
        <sz val="11"/>
        <color theme="1"/>
        <rFont val="Calibri"/>
        <family val="2"/>
        <scheme val="minor"/>
      </rPr>
      <t>1530</t>
    </r>
    <r>
      <rPr>
        <sz val="11"/>
        <color theme="1"/>
        <rFont val="Calibri"/>
        <family val="2"/>
        <scheme val="minor"/>
      </rPr>
      <t xml:space="preserve"> - Net Increase in the Fair Value of Investments
</t>
    </r>
    <r>
      <rPr>
        <b/>
        <sz val="11"/>
        <color theme="1"/>
        <rFont val="Calibri"/>
        <family val="2"/>
        <scheme val="minor"/>
      </rPr>
      <t>1531</t>
    </r>
    <r>
      <rPr>
        <sz val="11"/>
        <color theme="1"/>
        <rFont val="Calibri"/>
        <family val="2"/>
        <scheme val="minor"/>
      </rPr>
      <t xml:space="preserve"> - Realized Gains (Losses) on Investments
</t>
    </r>
    <r>
      <rPr>
        <b/>
        <sz val="11"/>
        <color theme="1"/>
        <rFont val="Calibri"/>
        <family val="2"/>
        <scheme val="minor"/>
      </rPr>
      <t>1532</t>
    </r>
    <r>
      <rPr>
        <sz val="11"/>
        <color theme="1"/>
        <rFont val="Calibri"/>
        <family val="2"/>
        <scheme val="minor"/>
      </rPr>
      <t xml:space="preserve"> - Unrealized Gains (Losses) on Investments
</t>
    </r>
    <r>
      <rPr>
        <b/>
        <sz val="11"/>
        <color theme="1"/>
        <rFont val="Calibri"/>
        <family val="2"/>
        <scheme val="minor"/>
      </rPr>
      <t>1540</t>
    </r>
    <r>
      <rPr>
        <sz val="11"/>
        <color theme="1"/>
        <rFont val="Calibri"/>
        <family val="2"/>
        <scheme val="minor"/>
      </rPr>
      <t xml:space="preserve"> - Investment Income from Real Property
</t>
    </r>
    <r>
      <rPr>
        <b/>
        <sz val="11"/>
        <color theme="1"/>
        <rFont val="Calibri"/>
        <family val="2"/>
        <scheme val="minor"/>
      </rPr>
      <t>1600</t>
    </r>
    <r>
      <rPr>
        <sz val="11"/>
        <color theme="1"/>
        <rFont val="Calibri"/>
        <family val="2"/>
        <scheme val="minor"/>
      </rPr>
      <t xml:space="preserve"> - Food Services
</t>
    </r>
    <r>
      <rPr>
        <b/>
        <sz val="11"/>
        <color theme="1"/>
        <rFont val="Calibri"/>
        <family val="2"/>
        <scheme val="minor"/>
      </rPr>
      <t>1610</t>
    </r>
    <r>
      <rPr>
        <sz val="11"/>
        <color theme="1"/>
        <rFont val="Calibri"/>
        <family val="2"/>
        <scheme val="minor"/>
      </rPr>
      <t xml:space="preserve"> - Daily Sales-Reimbursable Programs
</t>
    </r>
    <r>
      <rPr>
        <b/>
        <sz val="11"/>
        <color theme="1"/>
        <rFont val="Calibri"/>
        <family val="2"/>
        <scheme val="minor"/>
      </rPr>
      <t>1611</t>
    </r>
    <r>
      <rPr>
        <sz val="11"/>
        <color theme="1"/>
        <rFont val="Calibri"/>
        <family val="2"/>
        <scheme val="minor"/>
      </rPr>
      <t xml:space="preserve"> - Daily Sales-School Lunch Program
</t>
    </r>
    <r>
      <rPr>
        <b/>
        <sz val="11"/>
        <color theme="1"/>
        <rFont val="Calibri"/>
        <family val="2"/>
        <scheme val="minor"/>
      </rPr>
      <t>1612</t>
    </r>
    <r>
      <rPr>
        <sz val="11"/>
        <color theme="1"/>
        <rFont val="Calibri"/>
        <family val="2"/>
        <scheme val="minor"/>
      </rPr>
      <t xml:space="preserve"> - Daily Sales-School Breakfast Program
</t>
    </r>
    <r>
      <rPr>
        <b/>
        <sz val="11"/>
        <color theme="1"/>
        <rFont val="Calibri"/>
        <family val="2"/>
        <scheme val="minor"/>
      </rPr>
      <t>1613</t>
    </r>
    <r>
      <rPr>
        <sz val="11"/>
        <color theme="1"/>
        <rFont val="Calibri"/>
        <family val="2"/>
        <scheme val="minor"/>
      </rPr>
      <t xml:space="preserve"> - Daily Sales-Special Milk Program
</t>
    </r>
    <r>
      <rPr>
        <b/>
        <sz val="11"/>
        <color theme="1"/>
        <rFont val="Calibri"/>
        <family val="2"/>
        <scheme val="minor"/>
      </rPr>
      <t>1614</t>
    </r>
    <r>
      <rPr>
        <sz val="11"/>
        <color theme="1"/>
        <rFont val="Calibri"/>
        <family val="2"/>
        <scheme val="minor"/>
      </rPr>
      <t xml:space="preserve"> - Daily Sales-After-School Programs
</t>
    </r>
    <r>
      <rPr>
        <b/>
        <sz val="11"/>
        <color theme="1"/>
        <rFont val="Calibri"/>
        <family val="2"/>
        <scheme val="minor"/>
      </rPr>
      <t>1620</t>
    </r>
    <r>
      <rPr>
        <sz val="11"/>
        <color theme="1"/>
        <rFont val="Calibri"/>
        <family val="2"/>
        <scheme val="minor"/>
      </rPr>
      <t xml:space="preserve"> - Daily Sales-Nonreimbursable Programs
</t>
    </r>
    <r>
      <rPr>
        <b/>
        <sz val="11"/>
        <color theme="1"/>
        <rFont val="Calibri"/>
        <family val="2"/>
        <scheme val="minor"/>
      </rPr>
      <t>1630</t>
    </r>
    <r>
      <rPr>
        <sz val="11"/>
        <color theme="1"/>
        <rFont val="Calibri"/>
        <family val="2"/>
        <scheme val="minor"/>
      </rPr>
      <t xml:space="preserve"> - Special Functions
</t>
    </r>
    <r>
      <rPr>
        <b/>
        <sz val="11"/>
        <color theme="1"/>
        <rFont val="Calibri"/>
        <family val="2"/>
        <scheme val="minor"/>
      </rPr>
      <t>1650</t>
    </r>
    <r>
      <rPr>
        <sz val="11"/>
        <color theme="1"/>
        <rFont val="Calibri"/>
        <family val="2"/>
        <scheme val="minor"/>
      </rPr>
      <t xml:space="preserve"> - Daily Sales-Summer Food Programs
</t>
    </r>
    <r>
      <rPr>
        <b/>
        <sz val="11"/>
        <color theme="1"/>
        <rFont val="Calibri"/>
        <family val="2"/>
        <scheme val="minor"/>
      </rPr>
      <t>1700</t>
    </r>
    <r>
      <rPr>
        <sz val="11"/>
        <color theme="1"/>
        <rFont val="Calibri"/>
        <family val="2"/>
        <scheme val="minor"/>
      </rPr>
      <t xml:space="preserve"> - District Activities
</t>
    </r>
    <r>
      <rPr>
        <b/>
        <sz val="11"/>
        <color theme="1"/>
        <rFont val="Calibri"/>
        <family val="2"/>
        <scheme val="minor"/>
      </rPr>
      <t>1710</t>
    </r>
    <r>
      <rPr>
        <sz val="11"/>
        <color theme="1"/>
        <rFont val="Calibri"/>
        <family val="2"/>
        <scheme val="minor"/>
      </rPr>
      <t xml:space="preserve"> - Admissions
</t>
    </r>
    <r>
      <rPr>
        <b/>
        <sz val="11"/>
        <color theme="1"/>
        <rFont val="Calibri"/>
        <family val="2"/>
        <scheme val="minor"/>
      </rPr>
      <t>1720</t>
    </r>
    <r>
      <rPr>
        <sz val="11"/>
        <color theme="1"/>
        <rFont val="Calibri"/>
        <family val="2"/>
        <scheme val="minor"/>
      </rPr>
      <t xml:space="preserve"> - Bookstore Sales
</t>
    </r>
    <r>
      <rPr>
        <b/>
        <sz val="11"/>
        <color theme="1"/>
        <rFont val="Calibri"/>
        <family val="2"/>
        <scheme val="minor"/>
      </rPr>
      <t>1730</t>
    </r>
    <r>
      <rPr>
        <sz val="11"/>
        <color theme="1"/>
        <rFont val="Calibri"/>
        <family val="2"/>
        <scheme val="minor"/>
      </rPr>
      <t xml:space="preserve"> - Student Organization Membership Dues and Fees
</t>
    </r>
    <r>
      <rPr>
        <b/>
        <sz val="11"/>
        <color theme="1"/>
        <rFont val="Calibri"/>
        <family val="2"/>
        <scheme val="minor"/>
      </rPr>
      <t>1740</t>
    </r>
    <r>
      <rPr>
        <sz val="11"/>
        <color theme="1"/>
        <rFont val="Calibri"/>
        <family val="2"/>
        <scheme val="minor"/>
      </rPr>
      <t xml:space="preserve"> - Fees
</t>
    </r>
    <r>
      <rPr>
        <b/>
        <sz val="11"/>
        <color theme="1"/>
        <rFont val="Calibri"/>
        <family val="2"/>
        <scheme val="minor"/>
      </rPr>
      <t>1750</t>
    </r>
    <r>
      <rPr>
        <sz val="11"/>
        <color theme="1"/>
        <rFont val="Calibri"/>
        <family val="2"/>
        <scheme val="minor"/>
      </rPr>
      <t xml:space="preserve"> - Revenue From Enterprise Activities
</t>
    </r>
    <r>
      <rPr>
        <b/>
        <sz val="11"/>
        <color theme="1"/>
        <rFont val="Calibri"/>
        <family val="2"/>
        <scheme val="minor"/>
      </rPr>
      <t>1790</t>
    </r>
    <r>
      <rPr>
        <sz val="11"/>
        <color theme="1"/>
        <rFont val="Calibri"/>
        <family val="2"/>
        <scheme val="minor"/>
      </rPr>
      <t xml:space="preserve"> - Other Activity Income
</t>
    </r>
    <r>
      <rPr>
        <b/>
        <sz val="11"/>
        <color theme="1"/>
        <rFont val="Calibri"/>
        <family val="2"/>
        <scheme val="minor"/>
      </rPr>
      <t>1800</t>
    </r>
    <r>
      <rPr>
        <sz val="11"/>
        <color theme="1"/>
        <rFont val="Calibri"/>
        <family val="2"/>
        <scheme val="minor"/>
      </rPr>
      <t xml:space="preserve"> - Revenue From Community Services Activities
</t>
    </r>
    <r>
      <rPr>
        <b/>
        <sz val="11"/>
        <color theme="1"/>
        <rFont val="Calibri"/>
        <family val="2"/>
        <scheme val="minor"/>
      </rPr>
      <t>1900</t>
    </r>
    <r>
      <rPr>
        <sz val="11"/>
        <color theme="1"/>
        <rFont val="Calibri"/>
        <family val="2"/>
        <scheme val="minor"/>
      </rPr>
      <t xml:space="preserve"> - Other Revenue From Local Sources
</t>
    </r>
    <r>
      <rPr>
        <b/>
        <sz val="11"/>
        <color theme="1"/>
        <rFont val="Calibri"/>
        <family val="2"/>
        <scheme val="minor"/>
      </rPr>
      <t>1910</t>
    </r>
    <r>
      <rPr>
        <sz val="11"/>
        <color theme="1"/>
        <rFont val="Calibri"/>
        <family val="2"/>
        <scheme val="minor"/>
      </rPr>
      <t xml:space="preserve"> - Rentals
</t>
    </r>
    <r>
      <rPr>
        <b/>
        <sz val="11"/>
        <color theme="1"/>
        <rFont val="Calibri"/>
        <family val="2"/>
        <scheme val="minor"/>
      </rPr>
      <t>1920</t>
    </r>
    <r>
      <rPr>
        <sz val="11"/>
        <color theme="1"/>
        <rFont val="Calibri"/>
        <family val="2"/>
        <scheme val="minor"/>
      </rPr>
      <t xml:space="preserve"> - Contributions and Donations From Private Sources
</t>
    </r>
    <r>
      <rPr>
        <b/>
        <sz val="11"/>
        <color theme="1"/>
        <rFont val="Calibri"/>
        <family val="2"/>
        <scheme val="minor"/>
      </rPr>
      <t>1930</t>
    </r>
    <r>
      <rPr>
        <sz val="11"/>
        <color theme="1"/>
        <rFont val="Calibri"/>
        <family val="2"/>
        <scheme val="minor"/>
      </rPr>
      <t xml:space="preserve"> - Gains or Losses on the Sale of Capital Assets
</t>
    </r>
    <r>
      <rPr>
        <b/>
        <sz val="11"/>
        <color theme="1"/>
        <rFont val="Calibri"/>
        <family val="2"/>
        <scheme val="minor"/>
      </rPr>
      <t>1940</t>
    </r>
    <r>
      <rPr>
        <sz val="11"/>
        <color theme="1"/>
        <rFont val="Calibri"/>
        <family val="2"/>
        <scheme val="minor"/>
      </rPr>
      <t xml:space="preserve"> - Textbook Sales and Rentals
</t>
    </r>
    <r>
      <rPr>
        <b/>
        <sz val="11"/>
        <color theme="1"/>
        <rFont val="Calibri"/>
        <family val="2"/>
        <scheme val="minor"/>
      </rPr>
      <t>1941</t>
    </r>
    <r>
      <rPr>
        <sz val="11"/>
        <color theme="1"/>
        <rFont val="Calibri"/>
        <family val="2"/>
        <scheme val="minor"/>
      </rPr>
      <t xml:space="preserve"> - Textbook Sales
</t>
    </r>
    <r>
      <rPr>
        <b/>
        <sz val="11"/>
        <color theme="1"/>
        <rFont val="Calibri"/>
        <family val="2"/>
        <scheme val="minor"/>
      </rPr>
      <t>1942</t>
    </r>
    <r>
      <rPr>
        <sz val="11"/>
        <color theme="1"/>
        <rFont val="Calibri"/>
        <family val="2"/>
        <scheme val="minor"/>
      </rPr>
      <t xml:space="preserve"> - Textbook Rentals
</t>
    </r>
    <r>
      <rPr>
        <b/>
        <sz val="11"/>
        <color theme="1"/>
        <rFont val="Calibri"/>
        <family val="2"/>
        <scheme val="minor"/>
      </rPr>
      <t>1950</t>
    </r>
    <r>
      <rPr>
        <sz val="11"/>
        <color theme="1"/>
        <rFont val="Calibri"/>
        <family val="2"/>
        <scheme val="minor"/>
      </rPr>
      <t xml:space="preserve"> - Miscellaneous Revenues From Other School Districts
</t>
    </r>
    <r>
      <rPr>
        <b/>
        <sz val="11"/>
        <color theme="1"/>
        <rFont val="Calibri"/>
        <family val="2"/>
        <scheme val="minor"/>
      </rPr>
      <t>1951</t>
    </r>
    <r>
      <rPr>
        <sz val="11"/>
        <color theme="1"/>
        <rFont val="Calibri"/>
        <family val="2"/>
        <scheme val="minor"/>
      </rPr>
      <t xml:space="preserve"> - Miscellaneous Revenue from Other School Districts Within the State
</t>
    </r>
    <r>
      <rPr>
        <b/>
        <sz val="11"/>
        <color theme="1"/>
        <rFont val="Calibri"/>
        <family val="2"/>
        <scheme val="minor"/>
      </rPr>
      <t>1952</t>
    </r>
    <r>
      <rPr>
        <sz val="11"/>
        <color theme="1"/>
        <rFont val="Calibri"/>
        <family val="2"/>
        <scheme val="minor"/>
      </rPr>
      <t xml:space="preserve"> - Miscellaneous Revenue from Other School Districts Outside the State
</t>
    </r>
    <r>
      <rPr>
        <b/>
        <sz val="11"/>
        <color theme="1"/>
        <rFont val="Calibri"/>
        <family val="2"/>
        <scheme val="minor"/>
      </rPr>
      <t>1960</t>
    </r>
    <r>
      <rPr>
        <sz val="11"/>
        <color theme="1"/>
        <rFont val="Calibri"/>
        <family val="2"/>
        <scheme val="minor"/>
      </rPr>
      <t xml:space="preserve"> - Miscellaneous Revenues from Other Local Governmental Units
</t>
    </r>
    <r>
      <rPr>
        <b/>
        <sz val="11"/>
        <color theme="1"/>
        <rFont val="Calibri"/>
        <family val="2"/>
        <scheme val="minor"/>
      </rPr>
      <t>1970</t>
    </r>
    <r>
      <rPr>
        <sz val="11"/>
        <color theme="1"/>
        <rFont val="Calibri"/>
        <family val="2"/>
        <scheme val="minor"/>
      </rPr>
      <t xml:space="preserve"> - Revenues From Other Departments in the Agency
</t>
    </r>
    <r>
      <rPr>
        <b/>
        <sz val="11"/>
        <color theme="1"/>
        <rFont val="Calibri"/>
        <family val="2"/>
        <scheme val="minor"/>
      </rPr>
      <t>1980</t>
    </r>
    <r>
      <rPr>
        <sz val="11"/>
        <color theme="1"/>
        <rFont val="Calibri"/>
        <family val="2"/>
        <scheme val="minor"/>
      </rPr>
      <t xml:space="preserve"> - Refund of Prior Year's Expenditures
</t>
    </r>
    <r>
      <rPr>
        <b/>
        <sz val="11"/>
        <color theme="1"/>
        <rFont val="Calibri"/>
        <family val="2"/>
        <scheme val="minor"/>
      </rPr>
      <t>1990</t>
    </r>
    <r>
      <rPr>
        <sz val="11"/>
        <color theme="1"/>
        <rFont val="Calibri"/>
        <family val="2"/>
        <scheme val="minor"/>
      </rPr>
      <t xml:space="preserve"> - Miscellaneous Local Revenue
</t>
    </r>
    <r>
      <rPr>
        <b/>
        <sz val="11"/>
        <color theme="1"/>
        <rFont val="Calibri"/>
        <family val="2"/>
        <scheme val="minor"/>
      </rPr>
      <t>2000</t>
    </r>
    <r>
      <rPr>
        <sz val="11"/>
        <color theme="1"/>
        <rFont val="Calibri"/>
        <family val="2"/>
        <scheme val="minor"/>
      </rPr>
      <t xml:space="preserve"> - Revenue From Intermediate Sources
</t>
    </r>
    <r>
      <rPr>
        <b/>
        <sz val="11"/>
        <color theme="1"/>
        <rFont val="Calibri"/>
        <family val="2"/>
        <scheme val="minor"/>
      </rPr>
      <t>2100</t>
    </r>
    <r>
      <rPr>
        <sz val="11"/>
        <color theme="1"/>
        <rFont val="Calibri"/>
        <family val="2"/>
        <scheme val="minor"/>
      </rPr>
      <t xml:space="preserve"> - Unrestricted Grants-in-Aid
</t>
    </r>
    <r>
      <rPr>
        <b/>
        <sz val="11"/>
        <color theme="1"/>
        <rFont val="Calibri"/>
        <family val="2"/>
        <scheme val="minor"/>
      </rPr>
      <t>2200</t>
    </r>
    <r>
      <rPr>
        <sz val="11"/>
        <color theme="1"/>
        <rFont val="Calibri"/>
        <family val="2"/>
        <scheme val="minor"/>
      </rPr>
      <t xml:space="preserve"> - Restricted Grants-in-Aid
</t>
    </r>
    <r>
      <rPr>
        <b/>
        <sz val="11"/>
        <color theme="1"/>
        <rFont val="Calibri"/>
        <family val="2"/>
        <scheme val="minor"/>
      </rPr>
      <t>2800</t>
    </r>
    <r>
      <rPr>
        <sz val="11"/>
        <color theme="1"/>
        <rFont val="Calibri"/>
        <family val="2"/>
        <scheme val="minor"/>
      </rPr>
      <t xml:space="preserve"> - Revenue in Lieu of Taxes
</t>
    </r>
    <r>
      <rPr>
        <b/>
        <sz val="11"/>
        <color theme="1"/>
        <rFont val="Calibri"/>
        <family val="2"/>
        <scheme val="minor"/>
      </rPr>
      <t>2900</t>
    </r>
    <r>
      <rPr>
        <sz val="11"/>
        <color theme="1"/>
        <rFont val="Calibri"/>
        <family val="2"/>
        <scheme val="minor"/>
      </rPr>
      <t xml:space="preserve"> - Revenue for/on Behalf of the School District
</t>
    </r>
    <r>
      <rPr>
        <b/>
        <sz val="11"/>
        <color theme="1"/>
        <rFont val="Calibri"/>
        <family val="2"/>
        <scheme val="minor"/>
      </rPr>
      <t>3000</t>
    </r>
    <r>
      <rPr>
        <sz val="11"/>
        <color theme="1"/>
        <rFont val="Calibri"/>
        <family val="2"/>
        <scheme val="minor"/>
      </rPr>
      <t xml:space="preserve"> - Revenue From State Sources
</t>
    </r>
    <r>
      <rPr>
        <b/>
        <sz val="11"/>
        <color theme="1"/>
        <rFont val="Calibri"/>
        <family val="2"/>
        <scheme val="minor"/>
      </rPr>
      <t>3100</t>
    </r>
    <r>
      <rPr>
        <sz val="11"/>
        <color theme="1"/>
        <rFont val="Calibri"/>
        <family val="2"/>
        <scheme val="minor"/>
      </rPr>
      <t xml:space="preserve"> - Unrestricted Grants-in-Aid
</t>
    </r>
    <r>
      <rPr>
        <b/>
        <sz val="11"/>
        <color theme="1"/>
        <rFont val="Calibri"/>
        <family val="2"/>
        <scheme val="minor"/>
      </rPr>
      <t>3200</t>
    </r>
    <r>
      <rPr>
        <sz val="11"/>
        <color theme="1"/>
        <rFont val="Calibri"/>
        <family val="2"/>
        <scheme val="minor"/>
      </rPr>
      <t xml:space="preserve"> - Restricted Grants-in-Aid
</t>
    </r>
    <r>
      <rPr>
        <b/>
        <sz val="11"/>
        <color theme="1"/>
        <rFont val="Calibri"/>
        <family val="2"/>
        <scheme val="minor"/>
      </rPr>
      <t>3700</t>
    </r>
    <r>
      <rPr>
        <sz val="11"/>
        <color theme="1"/>
        <rFont val="Calibri"/>
        <family val="2"/>
        <scheme val="minor"/>
      </rPr>
      <t xml:space="preserve"> - State Grants Through Intermediate Sources
</t>
    </r>
    <r>
      <rPr>
        <b/>
        <sz val="11"/>
        <color theme="1"/>
        <rFont val="Calibri"/>
        <family val="2"/>
        <scheme val="minor"/>
      </rPr>
      <t>3800</t>
    </r>
    <r>
      <rPr>
        <sz val="11"/>
        <color theme="1"/>
        <rFont val="Calibri"/>
        <family val="2"/>
        <scheme val="minor"/>
      </rPr>
      <t xml:space="preserve"> - Revenue in Lieu of Taxes
</t>
    </r>
    <r>
      <rPr>
        <b/>
        <sz val="11"/>
        <color theme="1"/>
        <rFont val="Calibri"/>
        <family val="2"/>
        <scheme val="minor"/>
      </rPr>
      <t>3900</t>
    </r>
    <r>
      <rPr>
        <sz val="11"/>
        <color theme="1"/>
        <rFont val="Calibri"/>
        <family val="2"/>
        <scheme val="minor"/>
      </rPr>
      <t xml:space="preserve"> - Revenue for/on Behalf of the School District
</t>
    </r>
    <r>
      <rPr>
        <b/>
        <sz val="11"/>
        <color theme="1"/>
        <rFont val="Calibri"/>
        <family val="2"/>
        <scheme val="minor"/>
      </rPr>
      <t>4000</t>
    </r>
    <r>
      <rPr>
        <sz val="11"/>
        <color theme="1"/>
        <rFont val="Calibri"/>
        <family val="2"/>
        <scheme val="minor"/>
      </rPr>
      <t xml:space="preserve"> - Revenue From Federal Sources
</t>
    </r>
    <r>
      <rPr>
        <b/>
        <sz val="11"/>
        <color theme="1"/>
        <rFont val="Calibri"/>
        <family val="2"/>
        <scheme val="minor"/>
      </rPr>
      <t>4100</t>
    </r>
    <r>
      <rPr>
        <sz val="11"/>
        <color theme="1"/>
        <rFont val="Calibri"/>
        <family val="2"/>
        <scheme val="minor"/>
      </rPr>
      <t xml:space="preserve"> - Unrestricted Grants-in-Aid Direct from the Federal Government
</t>
    </r>
    <r>
      <rPr>
        <b/>
        <sz val="11"/>
        <color theme="1"/>
        <rFont val="Calibri"/>
        <family val="2"/>
        <scheme val="minor"/>
      </rPr>
      <t>4200</t>
    </r>
    <r>
      <rPr>
        <sz val="11"/>
        <color theme="1"/>
        <rFont val="Calibri"/>
        <family val="2"/>
        <scheme val="minor"/>
      </rPr>
      <t xml:space="preserve"> - Unrestricted Grants-in-Aid from the Federal Government Through the State
</t>
    </r>
    <r>
      <rPr>
        <b/>
        <sz val="11"/>
        <color theme="1"/>
        <rFont val="Calibri"/>
        <family val="2"/>
        <scheme val="minor"/>
      </rPr>
      <t>4300</t>
    </r>
    <r>
      <rPr>
        <sz val="11"/>
        <color theme="1"/>
        <rFont val="Calibri"/>
        <family val="2"/>
        <scheme val="minor"/>
      </rPr>
      <t xml:space="preserve"> - Restricted Grants-in-Aid Direct From the Federal Government
</t>
    </r>
    <r>
      <rPr>
        <b/>
        <sz val="11"/>
        <color theme="1"/>
        <rFont val="Calibri"/>
        <family val="2"/>
        <scheme val="minor"/>
      </rPr>
      <t>4500</t>
    </r>
    <r>
      <rPr>
        <sz val="11"/>
        <color theme="1"/>
        <rFont val="Calibri"/>
        <family val="2"/>
        <scheme val="minor"/>
      </rPr>
      <t xml:space="preserve"> - Restricted Grants-in-Aid From the Federal Government Through the State
</t>
    </r>
    <r>
      <rPr>
        <b/>
        <sz val="11"/>
        <color theme="1"/>
        <rFont val="Calibri"/>
        <family val="2"/>
        <scheme val="minor"/>
      </rPr>
      <t>4700</t>
    </r>
    <r>
      <rPr>
        <sz val="11"/>
        <color theme="1"/>
        <rFont val="Calibri"/>
        <family val="2"/>
        <scheme val="minor"/>
      </rPr>
      <t xml:space="preserve"> - Grants-in-Aid From the Federal Government Through Other Intermediate Agencies
</t>
    </r>
    <r>
      <rPr>
        <b/>
        <sz val="11"/>
        <color theme="1"/>
        <rFont val="Calibri"/>
        <family val="2"/>
        <scheme val="minor"/>
      </rPr>
      <t>4800</t>
    </r>
    <r>
      <rPr>
        <sz val="11"/>
        <color theme="1"/>
        <rFont val="Calibri"/>
        <family val="2"/>
        <scheme val="minor"/>
      </rPr>
      <t xml:space="preserve"> - Revenue in Lieu of Taxes
</t>
    </r>
    <r>
      <rPr>
        <b/>
        <sz val="11"/>
        <color theme="1"/>
        <rFont val="Calibri"/>
        <family val="2"/>
        <scheme val="minor"/>
      </rPr>
      <t>4900</t>
    </r>
    <r>
      <rPr>
        <sz val="11"/>
        <color theme="1"/>
        <rFont val="Calibri"/>
        <family val="2"/>
        <scheme val="minor"/>
      </rPr>
      <t xml:space="preserve"> - Revenue for/on Behalf of the School District
</t>
    </r>
    <r>
      <rPr>
        <b/>
        <sz val="11"/>
        <color theme="1"/>
        <rFont val="Calibri"/>
        <family val="2"/>
        <scheme val="minor"/>
      </rPr>
      <t>5000</t>
    </r>
    <r>
      <rPr>
        <sz val="11"/>
        <color theme="1"/>
        <rFont val="Calibri"/>
        <family val="2"/>
        <scheme val="minor"/>
      </rPr>
      <t xml:space="preserve"> - Other Financing Sources
</t>
    </r>
    <r>
      <rPr>
        <b/>
        <sz val="11"/>
        <color theme="1"/>
        <rFont val="Calibri"/>
        <family val="2"/>
        <scheme val="minor"/>
      </rPr>
      <t>5100</t>
    </r>
    <r>
      <rPr>
        <sz val="11"/>
        <color theme="1"/>
        <rFont val="Calibri"/>
        <family val="2"/>
        <scheme val="minor"/>
      </rPr>
      <t xml:space="preserve"> - Issuance of Bonds
</t>
    </r>
    <r>
      <rPr>
        <b/>
        <sz val="11"/>
        <color theme="1"/>
        <rFont val="Calibri"/>
        <family val="2"/>
        <scheme val="minor"/>
      </rPr>
      <t>5110</t>
    </r>
    <r>
      <rPr>
        <sz val="11"/>
        <color theme="1"/>
        <rFont val="Calibri"/>
        <family val="2"/>
        <scheme val="minor"/>
      </rPr>
      <t xml:space="preserve"> - Bond Principal
</t>
    </r>
    <r>
      <rPr>
        <b/>
        <sz val="11"/>
        <color theme="1"/>
        <rFont val="Calibri"/>
        <family val="2"/>
        <scheme val="minor"/>
      </rPr>
      <t>5120</t>
    </r>
    <r>
      <rPr>
        <sz val="11"/>
        <color theme="1"/>
        <rFont val="Calibri"/>
        <family val="2"/>
        <scheme val="minor"/>
      </rPr>
      <t xml:space="preserve"> - Premium on the Issuance of Bonds
</t>
    </r>
    <r>
      <rPr>
        <b/>
        <sz val="11"/>
        <color theme="1"/>
        <rFont val="Calibri"/>
        <family val="2"/>
        <scheme val="minor"/>
      </rPr>
      <t>5200</t>
    </r>
    <r>
      <rPr>
        <sz val="11"/>
        <color theme="1"/>
        <rFont val="Calibri"/>
        <family val="2"/>
        <scheme val="minor"/>
      </rPr>
      <t xml:space="preserve"> - Fund Transfers In
</t>
    </r>
    <r>
      <rPr>
        <b/>
        <sz val="11"/>
        <color theme="1"/>
        <rFont val="Calibri"/>
        <family val="2"/>
        <scheme val="minor"/>
      </rPr>
      <t>5300</t>
    </r>
    <r>
      <rPr>
        <sz val="11"/>
        <color theme="1"/>
        <rFont val="Calibri"/>
        <family val="2"/>
        <scheme val="minor"/>
      </rPr>
      <t xml:space="preserve"> - Proceeds From the Disposal of Real or Personal Property
</t>
    </r>
    <r>
      <rPr>
        <b/>
        <sz val="11"/>
        <color theme="1"/>
        <rFont val="Calibri"/>
        <family val="2"/>
        <scheme val="minor"/>
      </rPr>
      <t>5400</t>
    </r>
    <r>
      <rPr>
        <sz val="11"/>
        <color theme="1"/>
        <rFont val="Calibri"/>
        <family val="2"/>
        <scheme val="minor"/>
      </rPr>
      <t xml:space="preserve"> - Loan Proceeds
</t>
    </r>
    <r>
      <rPr>
        <b/>
        <sz val="11"/>
        <color theme="1"/>
        <rFont val="Calibri"/>
        <family val="2"/>
        <scheme val="minor"/>
      </rPr>
      <t>5500</t>
    </r>
    <r>
      <rPr>
        <sz val="11"/>
        <color theme="1"/>
        <rFont val="Calibri"/>
        <family val="2"/>
        <scheme val="minor"/>
      </rPr>
      <t xml:space="preserve"> - Capital Lease Proceeds
</t>
    </r>
    <r>
      <rPr>
        <b/>
        <sz val="11"/>
        <color theme="1"/>
        <rFont val="Calibri"/>
        <family val="2"/>
        <scheme val="minor"/>
      </rPr>
      <t>5600</t>
    </r>
    <r>
      <rPr>
        <sz val="11"/>
        <color theme="1"/>
        <rFont val="Calibri"/>
        <family val="2"/>
        <scheme val="minor"/>
      </rPr>
      <t xml:space="preserve"> - Other Long-Term Debt Proceeds
</t>
    </r>
    <r>
      <rPr>
        <b/>
        <sz val="11"/>
        <color theme="1"/>
        <rFont val="Calibri"/>
        <family val="2"/>
        <scheme val="minor"/>
      </rPr>
      <t>6000</t>
    </r>
    <r>
      <rPr>
        <sz val="11"/>
        <color theme="1"/>
        <rFont val="Calibri"/>
        <family val="2"/>
        <scheme val="minor"/>
      </rPr>
      <t xml:space="preserve"> - Other Revenue Items
</t>
    </r>
    <r>
      <rPr>
        <b/>
        <sz val="11"/>
        <color theme="1"/>
        <rFont val="Calibri"/>
        <family val="2"/>
        <scheme val="minor"/>
      </rPr>
      <t>6100</t>
    </r>
    <r>
      <rPr>
        <sz val="11"/>
        <color theme="1"/>
        <rFont val="Calibri"/>
        <family val="2"/>
        <scheme val="minor"/>
      </rPr>
      <t xml:space="preserve"> - Capital Contributions
</t>
    </r>
    <r>
      <rPr>
        <b/>
        <sz val="11"/>
        <color theme="1"/>
        <rFont val="Calibri"/>
        <family val="2"/>
        <scheme val="minor"/>
      </rPr>
      <t>6200</t>
    </r>
    <r>
      <rPr>
        <sz val="11"/>
        <color theme="1"/>
        <rFont val="Calibri"/>
        <family val="2"/>
        <scheme val="minor"/>
      </rPr>
      <t xml:space="preserve"> - Amortization of Premium on Issuance of Bonds
</t>
    </r>
    <r>
      <rPr>
        <b/>
        <sz val="11"/>
        <color theme="1"/>
        <rFont val="Calibri"/>
        <family val="2"/>
        <scheme val="minor"/>
      </rPr>
      <t>6300</t>
    </r>
    <r>
      <rPr>
        <sz val="11"/>
        <color theme="1"/>
        <rFont val="Calibri"/>
        <family val="2"/>
        <scheme val="minor"/>
      </rPr>
      <t xml:space="preserve"> - Special Items
</t>
    </r>
    <r>
      <rPr>
        <b/>
        <sz val="11"/>
        <color theme="1"/>
        <rFont val="Calibri"/>
        <family val="2"/>
        <scheme val="minor"/>
      </rPr>
      <t>6400</t>
    </r>
    <r>
      <rPr>
        <sz val="11"/>
        <color theme="1"/>
        <rFont val="Calibri"/>
        <family val="2"/>
        <scheme val="minor"/>
      </rPr>
      <t xml:space="preserve"> - Extraordinary Items
</t>
    </r>
  </si>
  <si>
    <r>
      <t>FeeForService</t>
    </r>
    <r>
      <rPr>
        <sz val="11"/>
        <color theme="1"/>
        <rFont val="Calibri"/>
        <family val="2"/>
        <scheme val="minor"/>
      </rPr>
      <t xml:space="preserve"> - Fee for Service
</t>
    </r>
    <r>
      <rPr>
        <b/>
        <sz val="11"/>
        <color theme="1"/>
        <rFont val="Calibri"/>
        <family val="2"/>
        <scheme val="minor"/>
      </rPr>
      <t>CapitatedRate</t>
    </r>
    <r>
      <rPr>
        <sz val="11"/>
        <color theme="1"/>
        <rFont val="Calibri"/>
        <family val="2"/>
        <scheme val="minor"/>
      </rPr>
      <t xml:space="preserve"> - Capitated Rate
</t>
    </r>
    <r>
      <rPr>
        <b/>
        <sz val="11"/>
        <color theme="1"/>
        <rFont val="Calibri"/>
        <family val="2"/>
        <scheme val="minor"/>
      </rPr>
      <t>GrantContract</t>
    </r>
    <r>
      <rPr>
        <sz val="11"/>
        <color theme="1"/>
        <rFont val="Calibri"/>
        <family val="2"/>
        <scheme val="minor"/>
      </rPr>
      <t xml:space="preserve"> - Grant/contract
</t>
    </r>
    <r>
      <rPr>
        <b/>
        <sz val="11"/>
        <color theme="1"/>
        <rFont val="Calibri"/>
        <family val="2"/>
        <scheme val="minor"/>
      </rPr>
      <t>Subsidy</t>
    </r>
    <r>
      <rPr>
        <sz val="11"/>
        <color theme="1"/>
        <rFont val="Calibri"/>
        <family val="2"/>
        <scheme val="minor"/>
      </rPr>
      <t xml:space="preserve"> - Subsidy
</t>
    </r>
    <r>
      <rPr>
        <b/>
        <sz val="11"/>
        <color theme="1"/>
        <rFont val="Calibri"/>
        <family val="2"/>
        <scheme val="minor"/>
      </rPr>
      <t>Other</t>
    </r>
    <r>
      <rPr>
        <sz val="11"/>
        <color theme="1"/>
        <rFont val="Calibri"/>
        <family val="2"/>
        <scheme val="minor"/>
      </rPr>
      <t xml:space="preserve"> - Other
</t>
    </r>
  </si>
  <si>
    <t>K12</t>
  </si>
  <si>
    <t>Organization</t>
  </si>
  <si>
    <r>
      <t>CMO</t>
    </r>
    <r>
      <rPr>
        <sz val="11"/>
        <color theme="1"/>
        <rFont val="Calibri"/>
        <family val="2"/>
        <scheme val="minor"/>
      </rPr>
      <t xml:space="preserve"> - Charter Management Organization
</t>
    </r>
    <r>
      <rPr>
        <b/>
        <sz val="11"/>
        <color theme="1"/>
        <rFont val="Calibri"/>
        <family val="2"/>
        <scheme val="minor"/>
      </rPr>
      <t>EMO</t>
    </r>
    <r>
      <rPr>
        <sz val="11"/>
        <color theme="1"/>
        <rFont val="Calibri"/>
        <family val="2"/>
        <scheme val="minor"/>
      </rPr>
      <t xml:space="preserve"> - Education Management Organization
</t>
    </r>
    <r>
      <rPr>
        <b/>
        <sz val="11"/>
        <color theme="1"/>
        <rFont val="Calibri"/>
        <family val="2"/>
        <scheme val="minor"/>
      </rPr>
      <t>SMFP</t>
    </r>
    <r>
      <rPr>
        <sz val="11"/>
        <color theme="1"/>
        <rFont val="Calibri"/>
        <family val="2"/>
        <scheme val="minor"/>
      </rPr>
      <t xml:space="preserve"> - Single Management (for-profit)
</t>
    </r>
    <r>
      <rPr>
        <b/>
        <sz val="11"/>
        <color theme="1"/>
        <rFont val="Calibri"/>
        <family val="2"/>
        <scheme val="minor"/>
      </rPr>
      <t>SMNP</t>
    </r>
    <r>
      <rPr>
        <sz val="11"/>
        <color theme="1"/>
        <rFont val="Calibri"/>
        <family val="2"/>
        <scheme val="minor"/>
      </rPr>
      <t xml:space="preserve"> - Single Management (non-profit)
</t>
    </r>
  </si>
  <si>
    <t>K12 School</t>
  </si>
  <si>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StateUniversitySystem</t>
    </r>
    <r>
      <rPr>
        <sz val="11"/>
        <color theme="1"/>
        <rFont val="Calibri"/>
        <family val="2"/>
        <scheme val="minor"/>
      </rPr>
      <t xml:space="preserve"> - State University System assigned number
</t>
    </r>
    <r>
      <rPr>
        <b/>
        <sz val="11"/>
        <color theme="1"/>
        <rFont val="Calibri"/>
        <family val="2"/>
        <scheme val="minor"/>
      </rPr>
      <t>Other</t>
    </r>
    <r>
      <rPr>
        <sz val="11"/>
        <color theme="1"/>
        <rFont val="Calibri"/>
        <family val="2"/>
        <scheme val="minor"/>
      </rPr>
      <t xml:space="preserve"> - Other
</t>
    </r>
  </si>
  <si>
    <r>
      <t>Regular</t>
    </r>
    <r>
      <rPr>
        <sz val="11"/>
        <color theme="1"/>
        <rFont val="Calibri"/>
        <family val="2"/>
        <scheme val="minor"/>
      </rPr>
      <t xml:space="preserve"> - Regular School
</t>
    </r>
    <r>
      <rPr>
        <b/>
        <sz val="11"/>
        <color theme="1"/>
        <rFont val="Calibri"/>
        <family val="2"/>
        <scheme val="minor"/>
      </rPr>
      <t>Special</t>
    </r>
    <r>
      <rPr>
        <sz val="11"/>
        <color theme="1"/>
        <rFont val="Calibri"/>
        <family val="2"/>
        <scheme val="minor"/>
      </rPr>
      <t xml:space="preserve"> - Special Education School
</t>
    </r>
    <r>
      <rPr>
        <b/>
        <sz val="11"/>
        <color theme="1"/>
        <rFont val="Calibri"/>
        <family val="2"/>
        <scheme val="minor"/>
      </rPr>
      <t>CareerAndTechnical</t>
    </r>
    <r>
      <rPr>
        <sz val="11"/>
        <color theme="1"/>
        <rFont val="Calibri"/>
        <family val="2"/>
        <scheme val="minor"/>
      </rPr>
      <t xml:space="preserve"> - Career and Technical Education School
</t>
    </r>
    <r>
      <rPr>
        <b/>
        <sz val="11"/>
        <color theme="1"/>
        <rFont val="Calibri"/>
        <family val="2"/>
        <scheme val="minor"/>
      </rPr>
      <t>Alternative</t>
    </r>
    <r>
      <rPr>
        <sz val="11"/>
        <color theme="1"/>
        <rFont val="Calibri"/>
        <family val="2"/>
        <scheme val="minor"/>
      </rPr>
      <t xml:space="preserve"> - Alternative Education School
</t>
    </r>
    <r>
      <rPr>
        <b/>
        <sz val="11"/>
        <color theme="1"/>
        <rFont val="Calibri"/>
        <family val="2"/>
        <scheme val="minor"/>
      </rPr>
      <t>Reportable</t>
    </r>
    <r>
      <rPr>
        <sz val="11"/>
        <color theme="1"/>
        <rFont val="Calibri"/>
        <family val="2"/>
        <scheme val="minor"/>
      </rPr>
      <t xml:space="preserve"> - Reportable Program
</t>
    </r>
  </si>
  <si>
    <r>
      <t>00013</t>
    </r>
    <r>
      <rPr>
        <sz val="11"/>
        <color theme="1"/>
        <rFont val="Calibri"/>
        <family val="2"/>
        <scheme val="minor"/>
      </rPr>
      <t xml:space="preserve"> - Adult
</t>
    </r>
    <r>
      <rPr>
        <b/>
        <sz val="11"/>
        <color theme="1"/>
        <rFont val="Calibri"/>
        <family val="2"/>
        <scheme val="minor"/>
      </rPr>
      <t>01302</t>
    </r>
    <r>
      <rPr>
        <sz val="11"/>
        <color theme="1"/>
        <rFont val="Calibri"/>
        <family val="2"/>
        <scheme val="minor"/>
      </rPr>
      <t xml:space="preserve"> - All levels
</t>
    </r>
    <r>
      <rPr>
        <b/>
        <sz val="11"/>
        <color theme="1"/>
        <rFont val="Calibri"/>
        <family val="2"/>
        <scheme val="minor"/>
      </rPr>
      <t>01304</t>
    </r>
    <r>
      <rPr>
        <sz val="11"/>
        <color theme="1"/>
        <rFont val="Calibri"/>
        <family val="2"/>
        <scheme val="minor"/>
      </rPr>
      <t xml:space="preserve"> - Elementary
</t>
    </r>
    <r>
      <rPr>
        <b/>
        <sz val="11"/>
        <color theme="1"/>
        <rFont val="Calibri"/>
        <family val="2"/>
        <scheme val="minor"/>
      </rPr>
      <t>02402</t>
    </r>
    <r>
      <rPr>
        <sz val="11"/>
        <color theme="1"/>
        <rFont val="Calibri"/>
        <family val="2"/>
        <scheme val="minor"/>
      </rPr>
      <t xml:space="preserve"> - High school
</t>
    </r>
    <r>
      <rPr>
        <b/>
        <sz val="11"/>
        <color theme="1"/>
        <rFont val="Calibri"/>
        <family val="2"/>
        <scheme val="minor"/>
      </rPr>
      <t>00787</t>
    </r>
    <r>
      <rPr>
        <sz val="11"/>
        <color theme="1"/>
        <rFont val="Calibri"/>
        <family val="2"/>
        <scheme val="minor"/>
      </rPr>
      <t xml:space="preserve"> - Infant/toddler
</t>
    </r>
    <r>
      <rPr>
        <b/>
        <sz val="11"/>
        <color theme="1"/>
        <rFont val="Calibri"/>
        <family val="2"/>
        <scheme val="minor"/>
      </rPr>
      <t>02399</t>
    </r>
    <r>
      <rPr>
        <sz val="11"/>
        <color theme="1"/>
        <rFont val="Calibri"/>
        <family val="2"/>
        <scheme val="minor"/>
      </rPr>
      <t xml:space="preserve"> - Intermediate
</t>
    </r>
    <r>
      <rPr>
        <b/>
        <sz val="11"/>
        <color theme="1"/>
        <rFont val="Calibri"/>
        <family val="2"/>
        <scheme val="minor"/>
      </rPr>
      <t>02602</t>
    </r>
    <r>
      <rPr>
        <sz val="11"/>
        <color theme="1"/>
        <rFont val="Calibri"/>
        <family val="2"/>
        <scheme val="minor"/>
      </rPr>
      <t xml:space="preserve"> - Junior high school
</t>
    </r>
    <r>
      <rPr>
        <b/>
        <sz val="11"/>
        <color theme="1"/>
        <rFont val="Calibri"/>
        <family val="2"/>
        <scheme val="minor"/>
      </rPr>
      <t>02400</t>
    </r>
    <r>
      <rPr>
        <sz val="11"/>
        <color theme="1"/>
        <rFont val="Calibri"/>
        <family val="2"/>
        <scheme val="minor"/>
      </rPr>
      <t xml:space="preserve"> - Middle
</t>
    </r>
    <r>
      <rPr>
        <b/>
        <sz val="11"/>
        <color theme="1"/>
        <rFont val="Calibri"/>
        <family val="2"/>
        <scheme val="minor"/>
      </rPr>
      <t>01981</t>
    </r>
    <r>
      <rPr>
        <sz val="11"/>
        <color theme="1"/>
        <rFont val="Calibri"/>
        <family val="2"/>
        <scheme val="minor"/>
      </rPr>
      <t xml:space="preserve"> - Pre-kindergarten/early childhood
</t>
    </r>
    <r>
      <rPr>
        <b/>
        <sz val="11"/>
        <color theme="1"/>
        <rFont val="Calibri"/>
        <family val="2"/>
        <scheme val="minor"/>
      </rPr>
      <t>02397</t>
    </r>
    <r>
      <rPr>
        <sz val="11"/>
        <color theme="1"/>
        <rFont val="Calibri"/>
        <family val="2"/>
        <scheme val="minor"/>
      </rPr>
      <t xml:space="preserve"> - Primary
</t>
    </r>
    <r>
      <rPr>
        <b/>
        <sz val="11"/>
        <color theme="1"/>
        <rFont val="Calibri"/>
        <family val="2"/>
        <scheme val="minor"/>
      </rPr>
      <t>02403</t>
    </r>
    <r>
      <rPr>
        <sz val="11"/>
        <color theme="1"/>
        <rFont val="Calibri"/>
        <family val="2"/>
        <scheme val="minor"/>
      </rPr>
      <t xml:space="preserve"> - Secondary
</t>
    </r>
    <r>
      <rPr>
        <b/>
        <sz val="11"/>
        <color theme="1"/>
        <rFont val="Calibri"/>
        <family val="2"/>
        <scheme val="minor"/>
      </rPr>
      <t>73066</t>
    </r>
    <r>
      <rPr>
        <sz val="11"/>
        <color theme="1"/>
        <rFont val="Calibri"/>
        <family val="2"/>
        <scheme val="minor"/>
      </rPr>
      <t xml:space="preserve"> - Joint secondary and postsecondary
</t>
    </r>
  </si>
  <si>
    <r>
      <t>All</t>
    </r>
    <r>
      <rPr>
        <sz val="11"/>
        <color theme="1"/>
        <rFont val="Calibri"/>
        <family val="2"/>
        <scheme val="minor"/>
      </rPr>
      <t xml:space="preserve"> - All students participate
</t>
    </r>
    <r>
      <rPr>
        <b/>
        <sz val="11"/>
        <color theme="1"/>
        <rFont val="Calibri"/>
        <family val="2"/>
        <scheme val="minor"/>
      </rPr>
      <t>None</t>
    </r>
    <r>
      <rPr>
        <sz val="11"/>
        <color theme="1"/>
        <rFont val="Calibri"/>
        <family val="2"/>
        <scheme val="minor"/>
      </rPr>
      <t xml:space="preserve"> - No students participate
</t>
    </r>
    <r>
      <rPr>
        <b/>
        <sz val="11"/>
        <color theme="1"/>
        <rFont val="Calibri"/>
        <family val="2"/>
        <scheme val="minor"/>
      </rPr>
      <t>Some</t>
    </r>
    <r>
      <rPr>
        <sz val="11"/>
        <color theme="1"/>
        <rFont val="Calibri"/>
        <family val="2"/>
        <scheme val="minor"/>
      </rPr>
      <t xml:space="preserve"> - Some, but not all, students participate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</si>
  <si>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ABE</t>
    </r>
    <r>
      <rPr>
        <sz val="11"/>
        <color theme="1"/>
        <rFont val="Calibri"/>
        <family val="2"/>
        <scheme val="minor"/>
      </rPr>
      <t xml:space="preserve"> - Adult Basic Education
</t>
    </r>
    <r>
      <rPr>
        <b/>
        <sz val="11"/>
        <color theme="1"/>
        <rFont val="Calibri"/>
        <family val="2"/>
        <scheme val="minor"/>
      </rPr>
      <t>ASE</t>
    </r>
    <r>
      <rPr>
        <sz val="11"/>
        <color theme="1"/>
        <rFont val="Calibri"/>
        <family val="2"/>
        <scheme val="minor"/>
      </rPr>
      <t xml:space="preserve"> - Adult Secondary Education
</t>
    </r>
    <r>
      <rPr>
        <b/>
        <sz val="11"/>
        <color theme="1"/>
        <rFont val="Calibri"/>
        <family val="2"/>
        <scheme val="minor"/>
      </rPr>
      <t>AdultESL</t>
    </r>
    <r>
      <rPr>
        <sz val="11"/>
        <color theme="1"/>
        <rFont val="Calibri"/>
        <family val="2"/>
        <scheme val="minor"/>
      </rPr>
      <t xml:space="preserve"> - Adult English as a Second Language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</si>
  <si>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r>
      <t>Public</t>
    </r>
    <r>
      <rPr>
        <sz val="11"/>
        <color theme="1"/>
        <rFont val="Calibri"/>
        <family val="2"/>
        <scheme val="minor"/>
      </rPr>
      <t xml:space="preserve"> - Public School
</t>
    </r>
    <r>
      <rPr>
        <b/>
        <sz val="11"/>
        <color theme="1"/>
        <rFont val="Calibri"/>
        <family val="2"/>
        <scheme val="minor"/>
      </rPr>
      <t>Private</t>
    </r>
    <r>
      <rPr>
        <sz val="11"/>
        <color theme="1"/>
        <rFont val="Calibri"/>
        <family val="2"/>
        <scheme val="minor"/>
      </rPr>
      <t xml:space="preserve"> - Private School
</t>
    </r>
    <r>
      <rPr>
        <b/>
        <sz val="11"/>
        <color theme="1"/>
        <rFont val="Calibri"/>
        <family val="2"/>
        <scheme val="minor"/>
      </rPr>
      <t>Other</t>
    </r>
    <r>
      <rPr>
        <sz val="11"/>
        <color theme="1"/>
        <rFont val="Calibri"/>
        <family val="2"/>
        <scheme val="minor"/>
      </rPr>
      <t xml:space="preserve"> - Other
</t>
    </r>
  </si>
  <si>
    <r>
      <t>Open</t>
    </r>
    <r>
      <rPr>
        <sz val="11"/>
        <color theme="1"/>
        <rFont val="Calibri"/>
        <family val="2"/>
        <scheme val="minor"/>
      </rPr>
      <t xml:space="preserve"> - Open
</t>
    </r>
    <r>
      <rPr>
        <b/>
        <sz val="11"/>
        <color theme="1"/>
        <rFont val="Calibri"/>
        <family val="2"/>
        <scheme val="minor"/>
      </rPr>
      <t>Closed</t>
    </r>
    <r>
      <rPr>
        <sz val="11"/>
        <color theme="1"/>
        <rFont val="Calibri"/>
        <family val="2"/>
        <scheme val="minor"/>
      </rPr>
      <t xml:space="preserve"> - Closed
</t>
    </r>
    <r>
      <rPr>
        <b/>
        <sz val="11"/>
        <color theme="1"/>
        <rFont val="Calibri"/>
        <family val="2"/>
        <scheme val="minor"/>
      </rPr>
      <t>New</t>
    </r>
    <r>
      <rPr>
        <sz val="11"/>
        <color theme="1"/>
        <rFont val="Calibri"/>
        <family val="2"/>
        <scheme val="minor"/>
      </rPr>
      <t xml:space="preserve"> - New
</t>
    </r>
    <r>
      <rPr>
        <b/>
        <sz val="11"/>
        <color theme="1"/>
        <rFont val="Calibri"/>
        <family val="2"/>
        <scheme val="minor"/>
      </rPr>
      <t>Added</t>
    </r>
    <r>
      <rPr>
        <sz val="11"/>
        <color theme="1"/>
        <rFont val="Calibri"/>
        <family val="2"/>
        <scheme val="minor"/>
      </rPr>
      <t xml:space="preserve"> - Added
</t>
    </r>
    <r>
      <rPr>
        <b/>
        <sz val="11"/>
        <color theme="1"/>
        <rFont val="Calibri"/>
        <family val="2"/>
        <scheme val="minor"/>
      </rPr>
      <t>ChangedAgency</t>
    </r>
    <r>
      <rPr>
        <sz val="11"/>
        <color theme="1"/>
        <rFont val="Calibri"/>
        <family val="2"/>
        <scheme val="minor"/>
      </rPr>
      <t xml:space="preserve"> - Changed Agency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FutureSchool</t>
    </r>
    <r>
      <rPr>
        <sz val="11"/>
        <color theme="1"/>
        <rFont val="Calibri"/>
        <family val="2"/>
        <scheme val="minor"/>
      </rPr>
      <t xml:space="preserve"> - Future school
</t>
    </r>
    <r>
      <rPr>
        <b/>
        <sz val="11"/>
        <color theme="1"/>
        <rFont val="Calibri"/>
        <family val="2"/>
        <scheme val="minor"/>
      </rPr>
      <t>Reopened</t>
    </r>
    <r>
      <rPr>
        <sz val="11"/>
        <color theme="1"/>
        <rFont val="Calibri"/>
        <family val="2"/>
        <scheme val="minor"/>
      </rPr>
      <t xml:space="preserve"> - Reopened
</t>
    </r>
  </si>
  <si>
    <r>
      <t>CorrectiveAction</t>
    </r>
    <r>
      <rPr>
        <sz val="11"/>
        <color theme="1"/>
        <rFont val="Calibri"/>
        <family val="2"/>
        <scheme val="minor"/>
      </rPr>
      <t xml:space="preserve"> - Corrective action
</t>
    </r>
    <r>
      <rPr>
        <b/>
        <sz val="11"/>
        <color theme="1"/>
        <rFont val="Calibri"/>
        <family val="2"/>
        <scheme val="minor"/>
      </rPr>
      <t>Year1</t>
    </r>
    <r>
      <rPr>
        <sz val="11"/>
        <color theme="1"/>
        <rFont val="Calibri"/>
        <family val="2"/>
        <scheme val="minor"/>
      </rPr>
      <t xml:space="preserve"> - Improvement status Year 1
</t>
    </r>
    <r>
      <rPr>
        <b/>
        <sz val="11"/>
        <color theme="1"/>
        <rFont val="Calibri"/>
        <family val="2"/>
        <scheme val="minor"/>
      </rPr>
      <t>Year2</t>
    </r>
    <r>
      <rPr>
        <sz val="11"/>
        <color theme="1"/>
        <rFont val="Calibri"/>
        <family val="2"/>
        <scheme val="minor"/>
      </rPr>
      <t xml:space="preserve"> - Improvement status Year 2
</t>
    </r>
    <r>
      <rPr>
        <b/>
        <sz val="11"/>
        <color theme="1"/>
        <rFont val="Calibri"/>
        <family val="2"/>
        <scheme val="minor"/>
      </rPr>
      <t>Planning</t>
    </r>
    <r>
      <rPr>
        <sz val="11"/>
        <color theme="1"/>
        <rFont val="Calibri"/>
        <family val="2"/>
        <scheme val="minor"/>
      </rPr>
      <t xml:space="preserve"> - Planning for restructuring
</t>
    </r>
    <r>
      <rPr>
        <b/>
        <sz val="11"/>
        <color theme="1"/>
        <rFont val="Calibri"/>
        <family val="2"/>
        <scheme val="minor"/>
      </rPr>
      <t>Restructuring</t>
    </r>
    <r>
      <rPr>
        <sz val="11"/>
        <color theme="1"/>
        <rFont val="Calibri"/>
        <family val="2"/>
        <scheme val="minor"/>
      </rPr>
      <t xml:space="preserve"> - Restructuring
</t>
    </r>
    <r>
      <rPr>
        <b/>
        <sz val="11"/>
        <color theme="1"/>
        <rFont val="Calibri"/>
        <family val="2"/>
        <scheme val="minor"/>
      </rPr>
      <t>NA</t>
    </r>
    <r>
      <rPr>
        <sz val="11"/>
        <color theme="1"/>
        <rFont val="Calibri"/>
        <family val="2"/>
        <scheme val="minor"/>
      </rPr>
      <t xml:space="preserve"> - Not applicable
</t>
    </r>
  </si>
  <si>
    <r>
      <t>Academic</t>
    </r>
    <r>
      <rPr>
        <sz val="11"/>
        <color theme="1"/>
        <rFont val="Calibri"/>
        <family val="2"/>
        <scheme val="minor"/>
      </rPr>
      <t xml:space="preserve"> - Alternative school for students with academic difficulties
</t>
    </r>
    <r>
      <rPr>
        <b/>
        <sz val="11"/>
        <color theme="1"/>
        <rFont val="Calibri"/>
        <family val="2"/>
        <scheme val="minor"/>
      </rPr>
      <t>Discipline</t>
    </r>
    <r>
      <rPr>
        <sz val="11"/>
        <color theme="1"/>
        <rFont val="Calibri"/>
        <family val="2"/>
        <scheme val="minor"/>
      </rPr>
      <t xml:space="preserve"> - Alternative school for students with discipline problems
</t>
    </r>
    <r>
      <rPr>
        <b/>
        <sz val="11"/>
        <color theme="1"/>
        <rFont val="Calibri"/>
        <family val="2"/>
        <scheme val="minor"/>
      </rPr>
      <t>Both</t>
    </r>
    <r>
      <rPr>
        <sz val="11"/>
        <color theme="1"/>
        <rFont val="Calibri"/>
        <family val="2"/>
        <scheme val="minor"/>
      </rPr>
      <t xml:space="preserve"> - Alternative school for students with both discipline and academic problems 
</t>
    </r>
  </si>
  <si>
    <r>
      <t>School</t>
    </r>
    <r>
      <rPr>
        <sz val="11"/>
        <color theme="1"/>
        <rFont val="Calibri"/>
        <family val="2"/>
        <scheme val="minor"/>
      </rPr>
      <t xml:space="preserve"> - School Charter
</t>
    </r>
    <r>
      <rPr>
        <b/>
        <sz val="11"/>
        <color theme="1"/>
        <rFont val="Calibri"/>
        <family val="2"/>
        <scheme val="minor"/>
      </rPr>
      <t>CollegeUniversity</t>
    </r>
    <r>
      <rPr>
        <sz val="11"/>
        <color theme="1"/>
        <rFont val="Calibri"/>
        <family val="2"/>
        <scheme val="minor"/>
      </rPr>
      <t xml:space="preserve"> - College/University Charter
</t>
    </r>
    <r>
      <rPr>
        <b/>
        <sz val="11"/>
        <color theme="1"/>
        <rFont val="Calibri"/>
        <family val="2"/>
        <scheme val="minor"/>
      </rPr>
      <t>NA</t>
    </r>
    <r>
      <rPr>
        <sz val="11"/>
        <color theme="1"/>
        <rFont val="Calibri"/>
        <family val="2"/>
        <scheme val="minor"/>
      </rPr>
      <t xml:space="preserve"> - Not a Charter School
</t>
    </r>
  </si>
  <si>
    <r>
      <t>HighSpeed</t>
    </r>
    <r>
      <rPr>
        <sz val="11"/>
        <color theme="1"/>
        <rFont val="Calibri"/>
        <family val="2"/>
        <scheme val="minor"/>
      </rPr>
      <t xml:space="preserve"> - High speed connectivity
</t>
    </r>
    <r>
      <rPr>
        <b/>
        <sz val="11"/>
        <color theme="1"/>
        <rFont val="Calibri"/>
        <family val="2"/>
        <scheme val="minor"/>
      </rPr>
      <t>LessThanHighSpeed</t>
    </r>
    <r>
      <rPr>
        <sz val="11"/>
        <color theme="1"/>
        <rFont val="Calibri"/>
        <family val="2"/>
        <scheme val="minor"/>
      </rPr>
      <t xml:space="preserve"> - Less than high speed connectivity
</t>
    </r>
  </si>
  <si>
    <r>
      <t>FaceVirtual</t>
    </r>
    <r>
      <rPr>
        <sz val="11"/>
        <color theme="1"/>
        <rFont val="Calibri"/>
        <family val="2"/>
        <scheme val="minor"/>
      </rPr>
      <t xml:space="preserve"> - Face Virtual
</t>
    </r>
    <r>
      <rPr>
        <b/>
        <sz val="11"/>
        <color theme="1"/>
        <rFont val="Calibri"/>
        <family val="2"/>
        <scheme val="minor"/>
      </rPr>
      <t>FullVirtual</t>
    </r>
    <r>
      <rPr>
        <sz val="11"/>
        <color theme="1"/>
        <rFont val="Calibri"/>
        <family val="2"/>
        <scheme val="minor"/>
      </rPr>
      <t xml:space="preserve"> - Full Virtual
</t>
    </r>
    <r>
      <rPr>
        <b/>
        <sz val="11"/>
        <color theme="1"/>
        <rFont val="Calibri"/>
        <family val="2"/>
        <scheme val="minor"/>
      </rPr>
      <t>NotVirtual</t>
    </r>
    <r>
      <rPr>
        <sz val="11"/>
        <color theme="1"/>
        <rFont val="Calibri"/>
        <family val="2"/>
        <scheme val="minor"/>
      </rPr>
      <t xml:space="preserve"> - Not Virtual
</t>
    </r>
    <r>
      <rPr>
        <b/>
        <sz val="11"/>
        <color theme="1"/>
        <rFont val="Calibri"/>
        <family val="2"/>
        <scheme val="minor"/>
      </rPr>
      <t>SupplementalVirtual</t>
    </r>
    <r>
      <rPr>
        <sz val="11"/>
        <color theme="1"/>
        <rFont val="Calibri"/>
        <family val="2"/>
        <scheme val="minor"/>
      </rPr>
      <t xml:space="preserve"> - Supplemental Virtual
</t>
    </r>
  </si>
  <si>
    <r>
      <t>Rotation</t>
    </r>
    <r>
      <rPr>
        <sz val="11"/>
        <color theme="1"/>
        <rFont val="Calibri"/>
        <family val="2"/>
        <scheme val="minor"/>
      </rPr>
      <t xml:space="preserve"> - Rotation model
</t>
    </r>
    <r>
      <rPr>
        <b/>
        <sz val="11"/>
        <color theme="1"/>
        <rFont val="Calibri"/>
        <family val="2"/>
        <scheme val="minor"/>
      </rPr>
      <t>FlexModel</t>
    </r>
    <r>
      <rPr>
        <sz val="11"/>
        <color theme="1"/>
        <rFont val="Calibri"/>
        <family val="2"/>
        <scheme val="minor"/>
      </rPr>
      <t xml:space="preserve"> - Flex model
</t>
    </r>
    <r>
      <rPr>
        <b/>
        <sz val="11"/>
        <color theme="1"/>
        <rFont val="Calibri"/>
        <family val="2"/>
        <scheme val="minor"/>
      </rPr>
      <t>ALaCarte</t>
    </r>
    <r>
      <rPr>
        <sz val="11"/>
        <color theme="1"/>
        <rFont val="Calibri"/>
        <family val="2"/>
        <scheme val="minor"/>
      </rPr>
      <t xml:space="preserve"> - A La Carte model
</t>
    </r>
    <r>
      <rPr>
        <b/>
        <sz val="11"/>
        <color theme="1"/>
        <rFont val="Calibri"/>
        <family val="2"/>
        <scheme val="minor"/>
      </rPr>
      <t>EnrichedVirtual</t>
    </r>
    <r>
      <rPr>
        <sz val="11"/>
        <color theme="1"/>
        <rFont val="Calibri"/>
        <family val="2"/>
        <scheme val="minor"/>
      </rPr>
      <t xml:space="preserve"> - Enriched Virtual model
</t>
    </r>
    <r>
      <rPr>
        <b/>
        <sz val="11"/>
        <color theme="1"/>
        <rFont val="Calibri"/>
        <family val="2"/>
        <scheme val="minor"/>
      </rPr>
      <t>Other</t>
    </r>
    <r>
      <rPr>
        <sz val="11"/>
        <color theme="1"/>
        <rFont val="Calibri"/>
        <family val="2"/>
        <scheme val="minor"/>
      </rPr>
      <t xml:space="preserve"> - Other
</t>
    </r>
  </si>
  <si>
    <r>
      <t>NOSTUDENTS</t>
    </r>
    <r>
      <rPr>
        <sz val="11"/>
        <color theme="1"/>
        <rFont val="Calibri"/>
        <family val="2"/>
        <scheme val="minor"/>
      </rPr>
      <t xml:space="preserve"> - No students in the subgroup
</t>
    </r>
    <r>
      <rPr>
        <b/>
        <sz val="11"/>
        <color theme="1"/>
        <rFont val="Calibri"/>
        <family val="2"/>
        <scheme val="minor"/>
      </rPr>
      <t>STTDEF</t>
    </r>
    <r>
      <rPr>
        <sz val="11"/>
        <color theme="1"/>
        <rFont val="Calibri"/>
        <family val="2"/>
        <scheme val="minor"/>
      </rPr>
      <t xml:space="preserve"> - State defined status
</t>
    </r>
    <r>
      <rPr>
        <b/>
        <sz val="11"/>
        <color theme="1"/>
        <rFont val="Calibri"/>
        <family val="2"/>
        <scheme val="minor"/>
      </rPr>
      <t>TOOFEW</t>
    </r>
    <r>
      <rPr>
        <sz val="11"/>
        <color theme="1"/>
        <rFont val="Calibri"/>
        <family val="2"/>
        <scheme val="minor"/>
      </rPr>
      <t xml:space="preserve"> - Too few students
</t>
    </r>
  </si>
  <si>
    <t>Directory-&gt;Charter School Authorizer</t>
  </si>
  <si>
    <r>
      <t>SBE</t>
    </r>
    <r>
      <rPr>
        <sz val="11"/>
        <color theme="1"/>
        <rFont val="Calibri"/>
        <family val="2"/>
        <scheme val="minor"/>
      </rPr>
      <t xml:space="preserve"> - State board of education
</t>
    </r>
    <r>
      <rPr>
        <b/>
        <sz val="11"/>
        <color theme="1"/>
        <rFont val="Calibri"/>
        <family val="2"/>
        <scheme val="minor"/>
      </rPr>
      <t>PCSB</t>
    </r>
    <r>
      <rPr>
        <sz val="11"/>
        <color theme="1"/>
        <rFont val="Calibri"/>
        <family val="2"/>
        <scheme val="minor"/>
      </rPr>
      <t xml:space="preserve"> - Public charter school board
</t>
    </r>
    <r>
      <rPr>
        <b/>
        <sz val="11"/>
        <color theme="1"/>
        <rFont val="Calibri"/>
        <family val="2"/>
        <scheme val="minor"/>
      </rPr>
      <t>UNI</t>
    </r>
    <r>
      <rPr>
        <sz val="11"/>
        <color theme="1"/>
        <rFont val="Calibri"/>
        <family val="2"/>
        <scheme val="minor"/>
      </rPr>
      <t xml:space="preserve"> - University
</t>
    </r>
    <r>
      <rPr>
        <b/>
        <sz val="11"/>
        <color theme="1"/>
        <rFont val="Calibri"/>
        <family val="2"/>
        <scheme val="minor"/>
      </rPr>
      <t>CC</t>
    </r>
    <r>
      <rPr>
        <sz val="11"/>
        <color theme="1"/>
        <rFont val="Calibri"/>
        <family val="2"/>
        <scheme val="minor"/>
      </rPr>
      <t xml:space="preserve"> - Community college
</t>
    </r>
    <r>
      <rPr>
        <b/>
        <sz val="11"/>
        <color theme="1"/>
        <rFont val="Calibri"/>
        <family val="2"/>
        <scheme val="minor"/>
      </rPr>
      <t>LEA</t>
    </r>
    <r>
      <rPr>
        <sz val="11"/>
        <color theme="1"/>
        <rFont val="Calibri"/>
        <family val="2"/>
        <scheme val="minor"/>
      </rPr>
      <t xml:space="preserve"> - Local education agency
</t>
    </r>
    <r>
      <rPr>
        <b/>
        <sz val="11"/>
        <color theme="1"/>
        <rFont val="Calibri"/>
        <family val="2"/>
        <scheme val="minor"/>
      </rPr>
      <t>OTH</t>
    </r>
    <r>
      <rPr>
        <sz val="11"/>
        <color theme="1"/>
        <rFont val="Calibri"/>
        <family val="2"/>
        <scheme val="minor"/>
      </rPr>
      <t xml:space="preserve"> - Other
</t>
    </r>
    <r>
      <rPr>
        <b/>
        <sz val="11"/>
        <color theme="1"/>
        <rFont val="Calibri"/>
        <family val="2"/>
        <scheme val="minor"/>
      </rPr>
      <t>GOVTENT</t>
    </r>
    <r>
      <rPr>
        <sz val="11"/>
        <color theme="1"/>
        <rFont val="Calibri"/>
        <family val="2"/>
        <scheme val="minor"/>
      </rPr>
      <t xml:space="preserve"> - Non educational government entities
</t>
    </r>
    <r>
      <rPr>
        <b/>
        <sz val="11"/>
        <color theme="1"/>
        <rFont val="Calibri"/>
        <family val="2"/>
        <scheme val="minor"/>
      </rPr>
      <t>NONPROFIT</t>
    </r>
    <r>
      <rPr>
        <sz val="11"/>
        <color theme="1"/>
        <rFont val="Calibri"/>
        <family val="2"/>
        <scheme val="minor"/>
      </rPr>
      <t xml:space="preserve"> - Not for profit organization
</t>
    </r>
    <r>
      <rPr>
        <b/>
        <sz val="11"/>
        <color theme="1"/>
        <rFont val="Calibri"/>
        <family val="2"/>
        <scheme val="minor"/>
      </rPr>
      <t>SEA</t>
    </r>
    <r>
      <rPr>
        <sz val="11"/>
        <color theme="1"/>
        <rFont val="Calibri"/>
        <family val="2"/>
        <scheme val="minor"/>
      </rPr>
      <t xml:space="preserve"> - State department of education
</t>
    </r>
  </si>
  <si>
    <t>Directory-&gt;Charter School Management Organization</t>
  </si>
  <si>
    <t>Institution Characteristics</t>
  </si>
  <si>
    <r>
      <t>13452</t>
    </r>
    <r>
      <rPr>
        <sz val="11"/>
        <color theme="1"/>
        <rFont val="Calibri"/>
        <family val="2"/>
        <scheme val="minor"/>
      </rPr>
      <t xml:space="preserve"> - General Intellectual Aptitude only
</t>
    </r>
    <r>
      <rPr>
        <b/>
        <sz val="11"/>
        <color theme="1"/>
        <rFont val="Calibri"/>
        <family val="2"/>
        <scheme val="minor"/>
      </rPr>
      <t>13453</t>
    </r>
    <r>
      <rPr>
        <sz val="11"/>
        <color theme="1"/>
        <rFont val="Calibri"/>
        <family val="2"/>
        <scheme val="minor"/>
      </rPr>
      <t xml:space="preserve"> - Specific Academic Aptitude only
</t>
    </r>
    <r>
      <rPr>
        <b/>
        <sz val="11"/>
        <color theme="1"/>
        <rFont val="Calibri"/>
        <family val="2"/>
        <scheme val="minor"/>
      </rPr>
      <t>13454</t>
    </r>
    <r>
      <rPr>
        <sz val="11"/>
        <color theme="1"/>
        <rFont val="Calibri"/>
        <family val="2"/>
        <scheme val="minor"/>
      </rPr>
      <t xml:space="preserve"> - Visual/Performing Arts only
</t>
    </r>
    <r>
      <rPr>
        <b/>
        <sz val="11"/>
        <color theme="1"/>
        <rFont val="Calibri"/>
        <family val="2"/>
        <scheme val="minor"/>
      </rPr>
      <t>13456</t>
    </r>
    <r>
      <rPr>
        <sz val="11"/>
        <color theme="1"/>
        <rFont val="Calibri"/>
        <family val="2"/>
        <scheme val="minor"/>
      </rPr>
      <t xml:space="preserve"> - General Intellectual Aptitude &amp; Specific Academic Aptitude
</t>
    </r>
    <r>
      <rPr>
        <b/>
        <sz val="11"/>
        <color theme="1"/>
        <rFont val="Calibri"/>
        <family val="2"/>
        <scheme val="minor"/>
      </rPr>
      <t>13457</t>
    </r>
    <r>
      <rPr>
        <sz val="11"/>
        <color theme="1"/>
        <rFont val="Calibri"/>
        <family val="2"/>
        <scheme val="minor"/>
      </rPr>
      <t xml:space="preserve"> - General Intellectual Aptitude &amp; Visual/Performing Arts
</t>
    </r>
    <r>
      <rPr>
        <b/>
        <sz val="11"/>
        <color theme="1"/>
        <rFont val="Calibri"/>
        <family val="2"/>
        <scheme val="minor"/>
      </rPr>
      <t>13458</t>
    </r>
    <r>
      <rPr>
        <sz val="11"/>
        <color theme="1"/>
        <rFont val="Calibri"/>
        <family val="2"/>
        <scheme val="minor"/>
      </rPr>
      <t xml:space="preserve"> - General Intellectual Aptitude &amp; Technical/Practical Arts
</t>
    </r>
    <r>
      <rPr>
        <b/>
        <sz val="11"/>
        <color theme="1"/>
        <rFont val="Calibri"/>
        <family val="2"/>
        <scheme val="minor"/>
      </rPr>
      <t>13459</t>
    </r>
    <r>
      <rPr>
        <sz val="11"/>
        <color theme="1"/>
        <rFont val="Calibri"/>
        <family val="2"/>
        <scheme val="minor"/>
      </rPr>
      <t xml:space="preserve"> - Specific Academic Aptitude &amp; Visual/Performing Arts
</t>
    </r>
    <r>
      <rPr>
        <b/>
        <sz val="11"/>
        <color theme="1"/>
        <rFont val="Calibri"/>
        <family val="2"/>
        <scheme val="minor"/>
      </rPr>
      <t>13460</t>
    </r>
    <r>
      <rPr>
        <sz val="11"/>
        <color theme="1"/>
        <rFont val="Calibri"/>
        <family val="2"/>
        <scheme val="minor"/>
      </rPr>
      <t xml:space="preserve"> - Specific Academic Aptitude &amp; Technical/Practical Arts
</t>
    </r>
    <r>
      <rPr>
        <b/>
        <sz val="11"/>
        <color theme="1"/>
        <rFont val="Calibri"/>
        <family val="2"/>
        <scheme val="minor"/>
      </rPr>
      <t>13461</t>
    </r>
    <r>
      <rPr>
        <sz val="11"/>
        <color theme="1"/>
        <rFont val="Calibri"/>
        <family val="2"/>
        <scheme val="minor"/>
      </rPr>
      <t xml:space="preserve"> - Visual/Performing Arts &amp; Technical/Practical Arts
</t>
    </r>
    <r>
      <rPr>
        <b/>
        <sz val="11"/>
        <color theme="1"/>
        <rFont val="Calibri"/>
        <family val="2"/>
        <scheme val="minor"/>
      </rPr>
      <t>13462</t>
    </r>
    <r>
      <rPr>
        <sz val="11"/>
        <color theme="1"/>
        <rFont val="Calibri"/>
        <family val="2"/>
        <scheme val="minor"/>
      </rPr>
      <t xml:space="preserve"> - General Intellectual Aptitude, Specific Academic Aptitude, and Visual Performing Arts
</t>
    </r>
    <r>
      <rPr>
        <b/>
        <sz val="11"/>
        <color theme="1"/>
        <rFont val="Calibri"/>
        <family val="2"/>
        <scheme val="minor"/>
      </rPr>
      <t>13463</t>
    </r>
    <r>
      <rPr>
        <sz val="11"/>
        <color theme="1"/>
        <rFont val="Calibri"/>
        <family val="2"/>
        <scheme val="minor"/>
      </rPr>
      <t xml:space="preserve"> - General Intellectual Aptitude, Specific Academic Aptitude, &amp; Technical/Practical Arts
</t>
    </r>
    <r>
      <rPr>
        <b/>
        <sz val="11"/>
        <color theme="1"/>
        <rFont val="Calibri"/>
        <family val="2"/>
        <scheme val="minor"/>
      </rPr>
      <t>13464</t>
    </r>
    <r>
      <rPr>
        <sz val="11"/>
        <color theme="1"/>
        <rFont val="Calibri"/>
        <family val="2"/>
        <scheme val="minor"/>
      </rPr>
      <t xml:space="preserve"> - Specific Academic Aptitude, Visual/Performing Arts, &amp; Technical/Practical Arts
</t>
    </r>
    <r>
      <rPr>
        <b/>
        <sz val="11"/>
        <color theme="1"/>
        <rFont val="Calibri"/>
        <family val="2"/>
        <scheme val="minor"/>
      </rPr>
      <t>13465</t>
    </r>
    <r>
      <rPr>
        <sz val="11"/>
        <color theme="1"/>
        <rFont val="Calibri"/>
        <family val="2"/>
        <scheme val="minor"/>
      </rPr>
      <t xml:space="preserve"> - General Intellectual &amp; Specific Academic Aptitude, Visual/Performing Arts &amp; Technical/Practical Arts
</t>
    </r>
    <r>
      <rPr>
        <b/>
        <sz val="11"/>
        <color theme="1"/>
        <rFont val="Calibri"/>
        <family val="2"/>
        <scheme val="minor"/>
      </rPr>
      <t>06002</t>
    </r>
    <r>
      <rPr>
        <sz val="11"/>
        <color theme="1"/>
        <rFont val="Calibri"/>
        <family val="2"/>
        <scheme val="minor"/>
      </rPr>
      <t xml:space="preserve"> - Not specified
</t>
    </r>
    <r>
      <rPr>
        <b/>
        <sz val="11"/>
        <color theme="1"/>
        <rFont val="Calibri"/>
        <family val="2"/>
        <scheme val="minor"/>
      </rPr>
      <t>09999</t>
    </r>
    <r>
      <rPr>
        <sz val="11"/>
        <color theme="1"/>
        <rFont val="Calibri"/>
        <family val="2"/>
        <scheme val="minor"/>
      </rPr>
      <t xml:space="preserve"> - Other
</t>
    </r>
  </si>
  <si>
    <r>
      <t>LongerSchoolYear</t>
    </r>
    <r>
      <rPr>
        <sz val="11"/>
        <color theme="1"/>
        <rFont val="Calibri"/>
        <family val="2"/>
        <scheme val="minor"/>
      </rPr>
      <t xml:space="preserve"> - Longer School Year
</t>
    </r>
    <r>
      <rPr>
        <b/>
        <sz val="11"/>
        <color theme="1"/>
        <rFont val="Calibri"/>
        <family val="2"/>
        <scheme val="minor"/>
      </rPr>
      <t>LongerSchoolDay</t>
    </r>
    <r>
      <rPr>
        <sz val="11"/>
        <color theme="1"/>
        <rFont val="Calibri"/>
        <family val="2"/>
        <scheme val="minor"/>
      </rPr>
      <t xml:space="preserve"> - Longer School Day
</t>
    </r>
    <r>
      <rPr>
        <b/>
        <sz val="11"/>
        <color theme="1"/>
        <rFont val="Calibri"/>
        <family val="2"/>
        <scheme val="minor"/>
      </rPr>
      <t>BeforeOrAfterSchool</t>
    </r>
    <r>
      <rPr>
        <sz val="11"/>
        <color theme="1"/>
        <rFont val="Calibri"/>
        <family val="2"/>
        <scheme val="minor"/>
      </rPr>
      <t xml:space="preserve"> - Before or After School
</t>
    </r>
    <r>
      <rPr>
        <b/>
        <sz val="11"/>
        <color theme="1"/>
        <rFont val="Calibri"/>
        <family val="2"/>
        <scheme val="minor"/>
      </rPr>
      <t>SummerSchool</t>
    </r>
    <r>
      <rPr>
        <sz val="11"/>
        <color theme="1"/>
        <rFont val="Calibri"/>
        <family val="2"/>
        <scheme val="minor"/>
      </rPr>
      <t xml:space="preserve"> - Summer School
</t>
    </r>
    <r>
      <rPr>
        <b/>
        <sz val="11"/>
        <color theme="1"/>
        <rFont val="Calibri"/>
        <family val="2"/>
        <scheme val="minor"/>
      </rPr>
      <t>WeekendSchool</t>
    </r>
    <r>
      <rPr>
        <sz val="11"/>
        <color theme="1"/>
        <rFont val="Calibri"/>
        <family val="2"/>
        <scheme val="minor"/>
      </rPr>
      <t xml:space="preserve"> - Weekend School
</t>
    </r>
    <r>
      <rPr>
        <b/>
        <sz val="11"/>
        <color theme="1"/>
        <rFont val="Calibri"/>
        <family val="2"/>
        <scheme val="minor"/>
      </rPr>
      <t>Other</t>
    </r>
    <r>
      <rPr>
        <sz val="11"/>
        <color theme="1"/>
        <rFont val="Calibri"/>
        <family val="2"/>
        <scheme val="minor"/>
      </rPr>
      <t xml:space="preserve"> - Other
</t>
    </r>
  </si>
  <si>
    <r>
      <t>HighQuartile</t>
    </r>
    <r>
      <rPr>
        <sz val="11"/>
        <color theme="1"/>
        <rFont val="Calibri"/>
        <family val="2"/>
        <scheme val="minor"/>
      </rPr>
      <t xml:space="preserve"> - High poverty quartile school
</t>
    </r>
    <r>
      <rPr>
        <b/>
        <sz val="11"/>
        <color theme="1"/>
        <rFont val="Calibri"/>
        <family val="2"/>
        <scheme val="minor"/>
      </rPr>
      <t>LowQuartile</t>
    </r>
    <r>
      <rPr>
        <sz val="11"/>
        <color theme="1"/>
        <rFont val="Calibri"/>
        <family val="2"/>
        <scheme val="minor"/>
      </rPr>
      <t xml:space="preserve"> - Low poverty quartile school
</t>
    </r>
    <r>
      <rPr>
        <b/>
        <sz val="11"/>
        <color theme="1"/>
        <rFont val="Calibri"/>
        <family val="2"/>
        <scheme val="minor"/>
      </rPr>
      <t>Neither</t>
    </r>
    <r>
      <rPr>
        <sz val="11"/>
        <color theme="1"/>
        <rFont val="Calibri"/>
        <family val="2"/>
        <scheme val="minor"/>
      </rPr>
      <t xml:space="preserve"> - Neither high nor low poverty quartile school
</t>
    </r>
  </si>
  <si>
    <r>
      <t>00290</t>
    </r>
    <r>
      <rPr>
        <sz val="11"/>
        <color theme="1"/>
        <rFont val="Calibri"/>
        <family val="2"/>
        <scheme val="minor"/>
      </rPr>
      <t xml:space="preserve"> - Adaptive physical education
</t>
    </r>
    <r>
      <rPr>
        <b/>
        <sz val="11"/>
        <color theme="1"/>
        <rFont val="Calibri"/>
        <family val="2"/>
        <scheme val="minor"/>
      </rPr>
      <t>00291</t>
    </r>
    <r>
      <rPr>
        <sz val="11"/>
        <color theme="1"/>
        <rFont val="Calibri"/>
        <family val="2"/>
        <scheme val="minor"/>
      </rPr>
      <t xml:space="preserve"> - Art therapy
</t>
    </r>
    <r>
      <rPr>
        <b/>
        <sz val="11"/>
        <color theme="1"/>
        <rFont val="Calibri"/>
        <family val="2"/>
        <scheme val="minor"/>
      </rPr>
      <t>00292</t>
    </r>
    <r>
      <rPr>
        <sz val="11"/>
        <color theme="1"/>
        <rFont val="Calibri"/>
        <family val="2"/>
        <scheme val="minor"/>
      </rPr>
      <t xml:space="preserve"> - Assistive technology services
</t>
    </r>
    <r>
      <rPr>
        <b/>
        <sz val="11"/>
        <color theme="1"/>
        <rFont val="Calibri"/>
        <family val="2"/>
        <scheme val="minor"/>
      </rPr>
      <t>00293</t>
    </r>
    <r>
      <rPr>
        <sz val="11"/>
        <color theme="1"/>
        <rFont val="Calibri"/>
        <family val="2"/>
        <scheme val="minor"/>
      </rPr>
      <t xml:space="preserve"> - Audiological services
</t>
    </r>
    <r>
      <rPr>
        <b/>
        <sz val="11"/>
        <color theme="1"/>
        <rFont val="Calibri"/>
        <family val="2"/>
        <scheme val="minor"/>
      </rPr>
      <t>73050</t>
    </r>
    <r>
      <rPr>
        <sz val="11"/>
        <color theme="1"/>
        <rFont val="Calibri"/>
        <family val="2"/>
        <scheme val="minor"/>
      </rPr>
      <t xml:space="preserve"> - Augmentative Communication Service
</t>
    </r>
    <r>
      <rPr>
        <b/>
        <sz val="11"/>
        <color theme="1"/>
        <rFont val="Calibri"/>
        <family val="2"/>
        <scheme val="minor"/>
      </rPr>
      <t>73051</t>
    </r>
    <r>
      <rPr>
        <sz val="11"/>
        <color theme="1"/>
        <rFont val="Calibri"/>
        <family val="2"/>
        <scheme val="minor"/>
      </rPr>
      <t xml:space="preserve"> - Autism Spectrum Disorder Service
</t>
    </r>
    <r>
      <rPr>
        <b/>
        <sz val="11"/>
        <color theme="1"/>
        <rFont val="Calibri"/>
        <family val="2"/>
        <scheme val="minor"/>
      </rPr>
      <t>73052</t>
    </r>
    <r>
      <rPr>
        <sz val="11"/>
        <color theme="1"/>
        <rFont val="Calibri"/>
        <family val="2"/>
        <scheme val="minor"/>
      </rPr>
      <t xml:space="preserve"> - Behavior and Behavioral Consultation Service
</t>
    </r>
    <r>
      <rPr>
        <b/>
        <sz val="11"/>
        <color theme="1"/>
        <rFont val="Calibri"/>
        <family val="2"/>
        <scheme val="minor"/>
      </rPr>
      <t>73053</t>
    </r>
    <r>
      <rPr>
        <sz val="11"/>
        <color theme="1"/>
        <rFont val="Calibri"/>
        <family val="2"/>
        <scheme val="minor"/>
      </rPr>
      <t xml:space="preserve"> - Braille Service
</t>
    </r>
    <r>
      <rPr>
        <b/>
        <sz val="11"/>
        <color theme="1"/>
        <rFont val="Calibri"/>
        <family val="2"/>
        <scheme val="minor"/>
      </rPr>
      <t>00878</t>
    </r>
    <r>
      <rPr>
        <sz val="11"/>
        <color theme="1"/>
        <rFont val="Calibri"/>
        <family val="2"/>
        <scheme val="minor"/>
      </rPr>
      <t xml:space="preserve"> - Case management services
</t>
    </r>
    <r>
      <rPr>
        <b/>
        <sz val="11"/>
        <color theme="1"/>
        <rFont val="Calibri"/>
        <family val="2"/>
        <scheme val="minor"/>
      </rPr>
      <t>00295</t>
    </r>
    <r>
      <rPr>
        <sz val="11"/>
        <color theme="1"/>
        <rFont val="Calibri"/>
        <family val="2"/>
        <scheme val="minor"/>
      </rPr>
      <t xml:space="preserve"> - Children's protective services
</t>
    </r>
    <r>
      <rPr>
        <b/>
        <sz val="11"/>
        <color theme="1"/>
        <rFont val="Calibri"/>
        <family val="2"/>
        <scheme val="minor"/>
      </rPr>
      <t>00881</t>
    </r>
    <r>
      <rPr>
        <sz val="11"/>
        <color theme="1"/>
        <rFont val="Calibri"/>
        <family val="2"/>
        <scheme val="minor"/>
      </rPr>
      <t xml:space="preserve"> - Communication services
</t>
    </r>
    <r>
      <rPr>
        <b/>
        <sz val="11"/>
        <color theme="1"/>
        <rFont val="Calibri"/>
        <family val="2"/>
        <scheme val="minor"/>
      </rPr>
      <t>00882</t>
    </r>
    <r>
      <rPr>
        <sz val="11"/>
        <color theme="1"/>
        <rFont val="Calibri"/>
        <family val="2"/>
        <scheme val="minor"/>
      </rPr>
      <t xml:space="preserve"> - Community recreational services
</t>
    </r>
    <r>
      <rPr>
        <b/>
        <sz val="11"/>
        <color theme="1"/>
        <rFont val="Calibri"/>
        <family val="2"/>
        <scheme val="minor"/>
      </rPr>
      <t>73048</t>
    </r>
    <r>
      <rPr>
        <sz val="11"/>
        <color theme="1"/>
        <rFont val="Calibri"/>
        <family val="2"/>
        <scheme val="minor"/>
      </rPr>
      <t xml:space="preserve"> - Curriculum planning
</t>
    </r>
    <r>
      <rPr>
        <b/>
        <sz val="11"/>
        <color theme="1"/>
        <rFont val="Calibri"/>
        <family val="2"/>
        <scheme val="minor"/>
      </rPr>
      <t>00334</t>
    </r>
    <r>
      <rPr>
        <sz val="11"/>
        <color theme="1"/>
        <rFont val="Calibri"/>
        <family val="2"/>
        <scheme val="minor"/>
      </rPr>
      <t xml:space="preserve"> - Developmental childcare program
</t>
    </r>
    <r>
      <rPr>
        <b/>
        <sz val="11"/>
        <color theme="1"/>
        <rFont val="Calibri"/>
        <family val="2"/>
        <scheme val="minor"/>
      </rPr>
      <t>73047</t>
    </r>
    <r>
      <rPr>
        <sz val="11"/>
        <color theme="1"/>
        <rFont val="Calibri"/>
        <family val="2"/>
        <scheme val="minor"/>
      </rPr>
      <t xml:space="preserve"> - Early Intervention / Early Childhood Special Education Special Service
</t>
    </r>
    <r>
      <rPr>
        <b/>
        <sz val="11"/>
        <color theme="1"/>
        <rFont val="Calibri"/>
        <family val="2"/>
        <scheme val="minor"/>
      </rPr>
      <t>00297</t>
    </r>
    <r>
      <rPr>
        <sz val="11"/>
        <color theme="1"/>
        <rFont val="Calibri"/>
        <family val="2"/>
        <scheme val="minor"/>
      </rPr>
      <t xml:space="preserve"> - Early intervention services
</t>
    </r>
    <r>
      <rPr>
        <b/>
        <sz val="11"/>
        <color theme="1"/>
        <rFont val="Calibri"/>
        <family val="2"/>
        <scheme val="minor"/>
      </rPr>
      <t>00298</t>
    </r>
    <r>
      <rPr>
        <sz val="11"/>
        <color theme="1"/>
        <rFont val="Calibri"/>
        <family val="2"/>
        <scheme val="minor"/>
      </rPr>
      <t xml:space="preserve"> - Educational therapy
</t>
    </r>
    <r>
      <rPr>
        <b/>
        <sz val="11"/>
        <color theme="1"/>
        <rFont val="Calibri"/>
        <family val="2"/>
        <scheme val="minor"/>
      </rPr>
      <t>73054</t>
    </r>
    <r>
      <rPr>
        <sz val="11"/>
        <color theme="1"/>
        <rFont val="Calibri"/>
        <family val="2"/>
        <scheme val="minor"/>
      </rPr>
      <t xml:space="preserve"> - ESL/Migrant Service
</t>
    </r>
    <r>
      <rPr>
        <b/>
        <sz val="11"/>
        <color theme="1"/>
        <rFont val="Calibri"/>
        <family val="2"/>
        <scheme val="minor"/>
      </rPr>
      <t>00299</t>
    </r>
    <r>
      <rPr>
        <sz val="11"/>
        <color theme="1"/>
        <rFont val="Calibri"/>
        <family val="2"/>
        <scheme val="minor"/>
      </rPr>
      <t xml:space="preserve"> - Family counseling
</t>
    </r>
    <r>
      <rPr>
        <b/>
        <sz val="11"/>
        <color theme="1"/>
        <rFont val="Calibri"/>
        <family val="2"/>
        <scheme val="minor"/>
      </rPr>
      <t>00333</t>
    </r>
    <r>
      <rPr>
        <sz val="11"/>
        <color theme="1"/>
        <rFont val="Calibri"/>
        <family val="2"/>
        <scheme val="minor"/>
      </rPr>
      <t xml:space="preserve"> - Family training, counseling, and home visits
</t>
    </r>
    <r>
      <rPr>
        <b/>
        <sz val="11"/>
        <color theme="1"/>
        <rFont val="Calibri"/>
        <family val="2"/>
        <scheme val="minor"/>
      </rPr>
      <t>00303</t>
    </r>
    <r>
      <rPr>
        <sz val="11"/>
        <color theme="1"/>
        <rFont val="Calibri"/>
        <family val="2"/>
        <scheme val="minor"/>
      </rPr>
      <t xml:space="preserve"> - Health care
</t>
    </r>
    <r>
      <rPr>
        <b/>
        <sz val="11"/>
        <color theme="1"/>
        <rFont val="Calibri"/>
        <family val="2"/>
        <scheme val="minor"/>
      </rPr>
      <t>00883</t>
    </r>
    <r>
      <rPr>
        <sz val="11"/>
        <color theme="1"/>
        <rFont val="Calibri"/>
        <family val="2"/>
        <scheme val="minor"/>
      </rPr>
      <t xml:space="preserve"> - Independent living
</t>
    </r>
    <r>
      <rPr>
        <b/>
        <sz val="11"/>
        <color theme="1"/>
        <rFont val="Calibri"/>
        <family val="2"/>
        <scheme val="minor"/>
      </rPr>
      <t>73049</t>
    </r>
    <r>
      <rPr>
        <sz val="11"/>
        <color theme="1"/>
        <rFont val="Calibri"/>
        <family val="2"/>
        <scheme val="minor"/>
      </rPr>
      <t xml:space="preserve"> - Instructional Aide/Assistant/Intervener Service
</t>
    </r>
    <r>
      <rPr>
        <b/>
        <sz val="11"/>
        <color theme="1"/>
        <rFont val="Calibri"/>
        <family val="2"/>
        <scheme val="minor"/>
      </rPr>
      <t>00304</t>
    </r>
    <r>
      <rPr>
        <sz val="11"/>
        <color theme="1"/>
        <rFont val="Calibri"/>
        <family val="2"/>
        <scheme val="minor"/>
      </rPr>
      <t xml:space="preserve"> - Interpretation for the hearing impaired
</t>
    </r>
    <r>
      <rPr>
        <b/>
        <sz val="11"/>
        <color theme="1"/>
        <rFont val="Calibri"/>
        <family val="2"/>
        <scheme val="minor"/>
      </rPr>
      <t>00332</t>
    </r>
    <r>
      <rPr>
        <sz val="11"/>
        <color theme="1"/>
        <rFont val="Calibri"/>
        <family val="2"/>
        <scheme val="minor"/>
      </rPr>
      <t xml:space="preserve"> - Medical services only for diagnostic or evaluation purposes
</t>
    </r>
    <r>
      <rPr>
        <b/>
        <sz val="11"/>
        <color theme="1"/>
        <rFont val="Calibri"/>
        <family val="2"/>
        <scheme val="minor"/>
      </rPr>
      <t>00305</t>
    </r>
    <r>
      <rPr>
        <sz val="11"/>
        <color theme="1"/>
        <rFont val="Calibri"/>
        <family val="2"/>
        <scheme val="minor"/>
      </rPr>
      <t xml:space="preserve"> - Mental health counseling
</t>
    </r>
    <r>
      <rPr>
        <b/>
        <sz val="11"/>
        <color theme="1"/>
        <rFont val="Calibri"/>
        <family val="2"/>
        <scheme val="minor"/>
      </rPr>
      <t>00884</t>
    </r>
    <r>
      <rPr>
        <sz val="11"/>
        <color theme="1"/>
        <rFont val="Calibri"/>
        <family val="2"/>
        <scheme val="minor"/>
      </rPr>
      <t xml:space="preserve"> - Mental health services
</t>
    </r>
    <r>
      <rPr>
        <b/>
        <sz val="11"/>
        <color theme="1"/>
        <rFont val="Calibri"/>
        <family val="2"/>
        <scheme val="minor"/>
      </rPr>
      <t>00306</t>
    </r>
    <r>
      <rPr>
        <sz val="11"/>
        <color theme="1"/>
        <rFont val="Calibri"/>
        <family val="2"/>
        <scheme val="minor"/>
      </rPr>
      <t xml:space="preserve"> - Music therapy
</t>
    </r>
    <r>
      <rPr>
        <b/>
        <sz val="11"/>
        <color theme="1"/>
        <rFont val="Calibri"/>
        <family val="2"/>
        <scheme val="minor"/>
      </rPr>
      <t>00300</t>
    </r>
    <r>
      <rPr>
        <sz val="11"/>
        <color theme="1"/>
        <rFont val="Calibri"/>
        <family val="2"/>
        <scheme val="minor"/>
      </rPr>
      <t xml:space="preserve"> - National School Nutrition programs
</t>
    </r>
    <r>
      <rPr>
        <b/>
        <sz val="11"/>
        <color theme="1"/>
        <rFont val="Calibri"/>
        <family val="2"/>
        <scheme val="minor"/>
      </rPr>
      <t>00308</t>
    </r>
    <r>
      <rPr>
        <sz val="11"/>
        <color theme="1"/>
        <rFont val="Calibri"/>
        <family val="2"/>
        <scheme val="minor"/>
      </rPr>
      <t xml:space="preserve"> - Note-taking assistance
</t>
    </r>
    <r>
      <rPr>
        <b/>
        <sz val="11"/>
        <color theme="1"/>
        <rFont val="Calibri"/>
        <family val="2"/>
        <scheme val="minor"/>
      </rPr>
      <t>00335</t>
    </r>
    <r>
      <rPr>
        <sz val="11"/>
        <color theme="1"/>
        <rFont val="Calibri"/>
        <family val="2"/>
        <scheme val="minor"/>
      </rPr>
      <t xml:space="preserve"> - Nursing service
</t>
    </r>
    <r>
      <rPr>
        <b/>
        <sz val="11"/>
        <color theme="1"/>
        <rFont val="Calibri"/>
        <family val="2"/>
        <scheme val="minor"/>
      </rPr>
      <t>00336</t>
    </r>
    <r>
      <rPr>
        <sz val="11"/>
        <color theme="1"/>
        <rFont val="Calibri"/>
        <family val="2"/>
        <scheme val="minor"/>
      </rPr>
      <t xml:space="preserve"> - Nutrition services
</t>
    </r>
    <r>
      <rPr>
        <b/>
        <sz val="11"/>
        <color theme="1"/>
        <rFont val="Calibri"/>
        <family val="2"/>
        <scheme val="minor"/>
      </rPr>
      <t>00309</t>
    </r>
    <r>
      <rPr>
        <sz val="11"/>
        <color theme="1"/>
        <rFont val="Calibri"/>
        <family val="2"/>
        <scheme val="minor"/>
      </rPr>
      <t xml:space="preserve"> - Occupational therapy
</t>
    </r>
    <r>
      <rPr>
        <b/>
        <sz val="11"/>
        <color theme="1"/>
        <rFont val="Calibri"/>
        <family val="2"/>
        <scheme val="minor"/>
      </rPr>
      <t>00310</t>
    </r>
    <r>
      <rPr>
        <sz val="11"/>
        <color theme="1"/>
        <rFont val="Calibri"/>
        <family val="2"/>
        <scheme val="minor"/>
      </rPr>
      <t xml:space="preserve"> - Orientation and mobility services
</t>
    </r>
    <r>
      <rPr>
        <b/>
        <sz val="11"/>
        <color theme="1"/>
        <rFont val="Calibri"/>
        <family val="2"/>
        <scheme val="minor"/>
      </rPr>
      <t>00311</t>
    </r>
    <r>
      <rPr>
        <sz val="11"/>
        <color theme="1"/>
        <rFont val="Calibri"/>
        <family val="2"/>
        <scheme val="minor"/>
      </rPr>
      <t xml:space="preserve"> - Parenting skills assistance
</t>
    </r>
    <r>
      <rPr>
        <b/>
        <sz val="11"/>
        <color theme="1"/>
        <rFont val="Calibri"/>
        <family val="2"/>
        <scheme val="minor"/>
      </rPr>
      <t>00312</t>
    </r>
    <r>
      <rPr>
        <sz val="11"/>
        <color theme="1"/>
        <rFont val="Calibri"/>
        <family val="2"/>
        <scheme val="minor"/>
      </rPr>
      <t xml:space="preserve"> - Peer services
</t>
    </r>
    <r>
      <rPr>
        <b/>
        <sz val="11"/>
        <color theme="1"/>
        <rFont val="Calibri"/>
        <family val="2"/>
        <scheme val="minor"/>
      </rPr>
      <t>00313</t>
    </r>
    <r>
      <rPr>
        <sz val="11"/>
        <color theme="1"/>
        <rFont val="Calibri"/>
        <family val="2"/>
        <scheme val="minor"/>
      </rPr>
      <t xml:space="preserve"> - Physical therapy
</t>
    </r>
    <r>
      <rPr>
        <b/>
        <sz val="11"/>
        <color theme="1"/>
        <rFont val="Calibri"/>
        <family val="2"/>
        <scheme val="minor"/>
      </rPr>
      <t>00331</t>
    </r>
    <r>
      <rPr>
        <sz val="11"/>
        <color theme="1"/>
        <rFont val="Calibri"/>
        <family val="2"/>
        <scheme val="minor"/>
      </rPr>
      <t xml:space="preserve"> - Psychological services
</t>
    </r>
    <r>
      <rPr>
        <b/>
        <sz val="11"/>
        <color theme="1"/>
        <rFont val="Calibri"/>
        <family val="2"/>
        <scheme val="minor"/>
      </rPr>
      <t>00314</t>
    </r>
    <r>
      <rPr>
        <sz val="11"/>
        <color theme="1"/>
        <rFont val="Calibri"/>
        <family val="2"/>
        <scheme val="minor"/>
      </rPr>
      <t xml:space="preserve"> - Reader service
</t>
    </r>
    <r>
      <rPr>
        <b/>
        <sz val="11"/>
        <color theme="1"/>
        <rFont val="Calibri"/>
        <family val="2"/>
        <scheme val="minor"/>
      </rPr>
      <t>00315</t>
    </r>
    <r>
      <rPr>
        <sz val="11"/>
        <color theme="1"/>
        <rFont val="Calibri"/>
        <family val="2"/>
        <scheme val="minor"/>
      </rPr>
      <t xml:space="preserve"> - Recreation service
</t>
    </r>
    <r>
      <rPr>
        <b/>
        <sz val="11"/>
        <color theme="1"/>
        <rFont val="Calibri"/>
        <family val="2"/>
        <scheme val="minor"/>
      </rPr>
      <t>00318</t>
    </r>
    <r>
      <rPr>
        <sz val="11"/>
        <color theme="1"/>
        <rFont val="Calibri"/>
        <family val="2"/>
        <scheme val="minor"/>
      </rPr>
      <t xml:space="preserve"> - Rehabilitation counseling services
</t>
    </r>
    <r>
      <rPr>
        <b/>
        <sz val="11"/>
        <color theme="1"/>
        <rFont val="Calibri"/>
        <family val="2"/>
        <scheme val="minor"/>
      </rPr>
      <t>00885</t>
    </r>
    <r>
      <rPr>
        <sz val="11"/>
        <color theme="1"/>
        <rFont val="Calibri"/>
        <family val="2"/>
        <scheme val="minor"/>
      </rPr>
      <t xml:space="preserve"> - Residential services
</t>
    </r>
    <r>
      <rPr>
        <b/>
        <sz val="11"/>
        <color theme="1"/>
        <rFont val="Calibri"/>
        <family val="2"/>
        <scheme val="minor"/>
      </rPr>
      <t>73046</t>
    </r>
    <r>
      <rPr>
        <sz val="11"/>
        <color theme="1"/>
        <rFont val="Calibri"/>
        <family val="2"/>
        <scheme val="minor"/>
      </rPr>
      <t xml:space="preserve"> - Respite Care
</t>
    </r>
    <r>
      <rPr>
        <b/>
        <sz val="11"/>
        <color theme="1"/>
        <rFont val="Calibri"/>
        <family val="2"/>
        <scheme val="minor"/>
      </rPr>
      <t>00319</t>
    </r>
    <r>
      <rPr>
        <sz val="11"/>
        <color theme="1"/>
        <rFont val="Calibri"/>
        <family val="2"/>
        <scheme val="minor"/>
      </rPr>
      <t xml:space="preserve"> - School clothing
</t>
    </r>
    <r>
      <rPr>
        <b/>
        <sz val="11"/>
        <color theme="1"/>
        <rFont val="Calibri"/>
        <family val="2"/>
        <scheme val="minor"/>
      </rPr>
      <t>00302</t>
    </r>
    <r>
      <rPr>
        <sz val="11"/>
        <color theme="1"/>
        <rFont val="Calibri"/>
        <family val="2"/>
        <scheme val="minor"/>
      </rPr>
      <t xml:space="preserve"> - School counseling
</t>
    </r>
    <r>
      <rPr>
        <b/>
        <sz val="11"/>
        <color theme="1"/>
        <rFont val="Calibri"/>
        <family val="2"/>
        <scheme val="minor"/>
      </rPr>
      <t>00320</t>
    </r>
    <r>
      <rPr>
        <sz val="11"/>
        <color theme="1"/>
        <rFont val="Calibri"/>
        <family val="2"/>
        <scheme val="minor"/>
      </rPr>
      <t xml:space="preserve"> - School health nursing services
</t>
    </r>
    <r>
      <rPr>
        <b/>
        <sz val="11"/>
        <color theme="1"/>
        <rFont val="Calibri"/>
        <family val="2"/>
        <scheme val="minor"/>
      </rPr>
      <t>00294</t>
    </r>
    <r>
      <rPr>
        <sz val="11"/>
        <color theme="1"/>
        <rFont val="Calibri"/>
        <family val="2"/>
        <scheme val="minor"/>
      </rPr>
      <t xml:space="preserve"> - Service coordination (case management services)
</t>
    </r>
    <r>
      <rPr>
        <b/>
        <sz val="11"/>
        <color theme="1"/>
        <rFont val="Calibri"/>
        <family val="2"/>
        <scheme val="minor"/>
      </rPr>
      <t>00337</t>
    </r>
    <r>
      <rPr>
        <sz val="11"/>
        <color theme="1"/>
        <rFont val="Calibri"/>
        <family val="2"/>
        <scheme val="minor"/>
      </rPr>
      <t xml:space="preserve"> - Social work services
</t>
    </r>
    <r>
      <rPr>
        <b/>
        <sz val="11"/>
        <color theme="1"/>
        <rFont val="Calibri"/>
        <family val="2"/>
        <scheme val="minor"/>
      </rPr>
      <t>00321</t>
    </r>
    <r>
      <rPr>
        <sz val="11"/>
        <color theme="1"/>
        <rFont val="Calibri"/>
        <family val="2"/>
        <scheme val="minor"/>
      </rPr>
      <t xml:space="preserve"> - Special transportation
</t>
    </r>
    <r>
      <rPr>
        <b/>
        <sz val="11"/>
        <color theme="1"/>
        <rFont val="Calibri"/>
        <family val="2"/>
        <scheme val="minor"/>
      </rPr>
      <t>00322</t>
    </r>
    <r>
      <rPr>
        <sz val="11"/>
        <color theme="1"/>
        <rFont val="Calibri"/>
        <family val="2"/>
        <scheme val="minor"/>
      </rPr>
      <t xml:space="preserve"> - Speech-language therapy
</t>
    </r>
    <r>
      <rPr>
        <b/>
        <sz val="11"/>
        <color theme="1"/>
        <rFont val="Calibri"/>
        <family val="2"/>
        <scheme val="minor"/>
      </rPr>
      <t>00323</t>
    </r>
    <r>
      <rPr>
        <sz val="11"/>
        <color theme="1"/>
        <rFont val="Calibri"/>
        <family val="2"/>
        <scheme val="minor"/>
      </rPr>
      <t xml:space="preserve"> - Study skills assistance
</t>
    </r>
    <r>
      <rPr>
        <b/>
        <sz val="11"/>
        <color theme="1"/>
        <rFont val="Calibri"/>
        <family val="2"/>
        <scheme val="minor"/>
      </rPr>
      <t>00324</t>
    </r>
    <r>
      <rPr>
        <sz val="11"/>
        <color theme="1"/>
        <rFont val="Calibri"/>
        <family val="2"/>
        <scheme val="minor"/>
      </rPr>
      <t xml:space="preserve"> - Substance abuse education/prevention
</t>
    </r>
    <r>
      <rPr>
        <b/>
        <sz val="11"/>
        <color theme="1"/>
        <rFont val="Calibri"/>
        <family val="2"/>
        <scheme val="minor"/>
      </rPr>
      <t>00886</t>
    </r>
    <r>
      <rPr>
        <sz val="11"/>
        <color theme="1"/>
        <rFont val="Calibri"/>
        <family val="2"/>
        <scheme val="minor"/>
      </rPr>
      <t xml:space="preserve"> - Supported employment services
</t>
    </r>
    <r>
      <rPr>
        <b/>
        <sz val="11"/>
        <color theme="1"/>
        <rFont val="Calibri"/>
        <family val="2"/>
        <scheme val="minor"/>
      </rPr>
      <t>00887</t>
    </r>
    <r>
      <rPr>
        <sz val="11"/>
        <color theme="1"/>
        <rFont val="Calibri"/>
        <family val="2"/>
        <scheme val="minor"/>
      </rPr>
      <t xml:space="preserve"> - Technological aids
</t>
    </r>
    <r>
      <rPr>
        <b/>
        <sz val="11"/>
        <color theme="1"/>
        <rFont val="Calibri"/>
        <family val="2"/>
        <scheme val="minor"/>
      </rPr>
      <t>00325</t>
    </r>
    <r>
      <rPr>
        <sz val="11"/>
        <color theme="1"/>
        <rFont val="Calibri"/>
        <family val="2"/>
        <scheme val="minor"/>
      </rPr>
      <t xml:space="preserve"> - Teen/adolescent family planning
</t>
    </r>
    <r>
      <rPr>
        <b/>
        <sz val="11"/>
        <color theme="1"/>
        <rFont val="Calibri"/>
        <family val="2"/>
        <scheme val="minor"/>
      </rPr>
      <t>00326</t>
    </r>
    <r>
      <rPr>
        <sz val="11"/>
        <color theme="1"/>
        <rFont val="Calibri"/>
        <family val="2"/>
        <scheme val="minor"/>
      </rPr>
      <t xml:space="preserve"> - Test assistance
</t>
    </r>
    <r>
      <rPr>
        <b/>
        <sz val="11"/>
        <color theme="1"/>
        <rFont val="Calibri"/>
        <family val="2"/>
        <scheme val="minor"/>
      </rPr>
      <t>00327</t>
    </r>
    <r>
      <rPr>
        <sz val="11"/>
        <color theme="1"/>
        <rFont val="Calibri"/>
        <family val="2"/>
        <scheme val="minor"/>
      </rPr>
      <t xml:space="preserve"> - Translation/interpreter services
</t>
    </r>
    <r>
      <rPr>
        <b/>
        <sz val="11"/>
        <color theme="1"/>
        <rFont val="Calibri"/>
        <family val="2"/>
        <scheme val="minor"/>
      </rPr>
      <t>00888</t>
    </r>
    <r>
      <rPr>
        <sz val="11"/>
        <color theme="1"/>
        <rFont val="Calibri"/>
        <family val="2"/>
        <scheme val="minor"/>
      </rPr>
      <t xml:space="preserve"> - Transportation services
</t>
    </r>
    <r>
      <rPr>
        <b/>
        <sz val="11"/>
        <color theme="1"/>
        <rFont val="Calibri"/>
        <family val="2"/>
        <scheme val="minor"/>
      </rPr>
      <t>00329</t>
    </r>
    <r>
      <rPr>
        <sz val="11"/>
        <color theme="1"/>
        <rFont val="Calibri"/>
        <family val="2"/>
        <scheme val="minor"/>
      </rPr>
      <t xml:space="preserve"> - Tutoring services
</t>
    </r>
    <r>
      <rPr>
        <b/>
        <sz val="11"/>
        <color theme="1"/>
        <rFont val="Calibri"/>
        <family val="2"/>
        <scheme val="minor"/>
      </rPr>
      <t>00330</t>
    </r>
    <r>
      <rPr>
        <sz val="11"/>
        <color theme="1"/>
        <rFont val="Calibri"/>
        <family val="2"/>
        <scheme val="minor"/>
      </rPr>
      <t xml:space="preserve"> - Vision services
</t>
    </r>
    <r>
      <rPr>
        <b/>
        <sz val="11"/>
        <color theme="1"/>
        <rFont val="Calibri"/>
        <family val="2"/>
        <scheme val="minor"/>
      </rPr>
      <t>00889</t>
    </r>
    <r>
      <rPr>
        <sz val="11"/>
        <color theme="1"/>
        <rFont val="Calibri"/>
        <family val="2"/>
        <scheme val="minor"/>
      </rPr>
      <t xml:space="preserve"> - Career and technical education rehabilitation training and job placement
</t>
    </r>
    <r>
      <rPr>
        <b/>
        <sz val="11"/>
        <color theme="1"/>
        <rFont val="Calibri"/>
        <family val="2"/>
        <scheme val="minor"/>
      </rPr>
      <t>09999</t>
    </r>
    <r>
      <rPr>
        <sz val="11"/>
        <color theme="1"/>
        <rFont val="Calibri"/>
        <family val="2"/>
        <scheme val="minor"/>
      </rPr>
      <t xml:space="preserve"> - Other
</t>
    </r>
  </si>
  <si>
    <r>
      <t>TargetedAssistanceProgram</t>
    </r>
    <r>
      <rPr>
        <sz val="11"/>
        <color theme="1"/>
        <rFont val="Calibri"/>
        <family val="2"/>
        <scheme val="minor"/>
      </rPr>
      <t xml:space="preserve"> - Public Targeted Assistance Program
</t>
    </r>
    <r>
      <rPr>
        <b/>
        <sz val="11"/>
        <color theme="1"/>
        <rFont val="Calibri"/>
        <family val="2"/>
        <scheme val="minor"/>
      </rPr>
      <t>SchoolwideProgram</t>
    </r>
    <r>
      <rPr>
        <sz val="11"/>
        <color theme="1"/>
        <rFont val="Calibri"/>
        <family val="2"/>
        <scheme val="minor"/>
      </rPr>
      <t xml:space="preserve"> - Public Schoolwide Program
</t>
    </r>
    <r>
      <rPr>
        <b/>
        <sz val="11"/>
        <color theme="1"/>
        <rFont val="Calibri"/>
        <family val="2"/>
        <scheme val="minor"/>
      </rPr>
      <t>PrivateSchoolStudents</t>
    </r>
    <r>
      <rPr>
        <sz val="11"/>
        <color theme="1"/>
        <rFont val="Calibri"/>
        <family val="2"/>
        <scheme val="minor"/>
      </rPr>
      <t xml:space="preserve"> - Private School Students Participating
</t>
    </r>
    <r>
      <rPr>
        <b/>
        <sz val="11"/>
        <color theme="1"/>
        <rFont val="Calibri"/>
        <family val="2"/>
        <scheme val="minor"/>
      </rPr>
      <t>LocalNeglectedProgram</t>
    </r>
    <r>
      <rPr>
        <sz val="11"/>
        <color theme="1"/>
        <rFont val="Calibri"/>
        <family val="2"/>
        <scheme val="minor"/>
      </rPr>
      <t xml:space="preserve"> - Local Neglected Program
</t>
    </r>
  </si>
  <si>
    <r>
      <t>TGELGBNOPROG</t>
    </r>
    <r>
      <rPr>
        <sz val="11"/>
        <color theme="1"/>
        <rFont val="Calibri"/>
        <family val="2"/>
        <scheme val="minor"/>
      </rPr>
      <t xml:space="preserve"> - Title I Targeted Assistance Eligible School- No Program
</t>
    </r>
    <r>
      <rPr>
        <b/>
        <sz val="11"/>
        <color theme="1"/>
        <rFont val="Calibri"/>
        <family val="2"/>
        <scheme val="minor"/>
      </rPr>
      <t>TGELGBTGPROG</t>
    </r>
    <r>
      <rPr>
        <sz val="11"/>
        <color theme="1"/>
        <rFont val="Calibri"/>
        <family val="2"/>
        <scheme val="minor"/>
      </rPr>
      <t xml:space="preserve"> - Title I Targeted Assistance School
</t>
    </r>
    <r>
      <rPr>
        <b/>
        <sz val="11"/>
        <color theme="1"/>
        <rFont val="Calibri"/>
        <family val="2"/>
        <scheme val="minor"/>
      </rPr>
      <t>SWELIGTGPROG</t>
    </r>
    <r>
      <rPr>
        <sz val="11"/>
        <color theme="1"/>
        <rFont val="Calibri"/>
        <family val="2"/>
        <scheme val="minor"/>
      </rPr>
      <t xml:space="preserve"> - Title I, Schoolwide eligible-Title I Targeted Assistance Program
</t>
    </r>
    <r>
      <rPr>
        <b/>
        <sz val="11"/>
        <color theme="1"/>
        <rFont val="Calibri"/>
        <family val="2"/>
        <scheme val="minor"/>
      </rPr>
      <t>SWELIGNOPROG</t>
    </r>
    <r>
      <rPr>
        <sz val="11"/>
        <color theme="1"/>
        <rFont val="Calibri"/>
        <family val="2"/>
        <scheme val="minor"/>
      </rPr>
      <t xml:space="preserve"> - Title I Schoolwide Eligible School - No Program
</t>
    </r>
    <r>
      <rPr>
        <b/>
        <sz val="11"/>
        <color theme="1"/>
        <rFont val="Calibri"/>
        <family val="2"/>
        <scheme val="minor"/>
      </rPr>
      <t>SWELIGSWPROG</t>
    </r>
    <r>
      <rPr>
        <sz val="11"/>
        <color theme="1"/>
        <rFont val="Calibri"/>
        <family val="2"/>
        <scheme val="minor"/>
      </rPr>
      <t xml:space="preserve"> - Title I Schoolwide School
</t>
    </r>
    <r>
      <rPr>
        <b/>
        <sz val="11"/>
        <color theme="1"/>
        <rFont val="Calibri"/>
        <family val="2"/>
        <scheme val="minor"/>
      </rPr>
      <t>NOTTITLE1ELIG</t>
    </r>
    <r>
      <rPr>
        <sz val="11"/>
        <color theme="1"/>
        <rFont val="Calibri"/>
        <family val="2"/>
        <scheme val="minor"/>
      </rPr>
      <t xml:space="preserve"> - Not a Title I School
</t>
    </r>
  </si>
  <si>
    <r>
      <t>DualLanguage</t>
    </r>
    <r>
      <rPr>
        <sz val="11"/>
        <color theme="1"/>
        <rFont val="Calibri"/>
        <family val="2"/>
        <scheme val="minor"/>
      </rPr>
      <t xml:space="preserve"> - Dual language
</t>
    </r>
    <r>
      <rPr>
        <b/>
        <sz val="11"/>
        <color theme="1"/>
        <rFont val="Calibri"/>
        <family val="2"/>
        <scheme val="minor"/>
      </rPr>
      <t>TwoWayImmersion</t>
    </r>
    <r>
      <rPr>
        <sz val="11"/>
        <color theme="1"/>
        <rFont val="Calibri"/>
        <family val="2"/>
        <scheme val="minor"/>
      </rPr>
      <t xml:space="preserve"> - Two-way immersion
</t>
    </r>
    <r>
      <rPr>
        <b/>
        <sz val="11"/>
        <color theme="1"/>
        <rFont val="Calibri"/>
        <family val="2"/>
        <scheme val="minor"/>
      </rPr>
      <t>TransitionalBilingual</t>
    </r>
    <r>
      <rPr>
        <sz val="11"/>
        <color theme="1"/>
        <rFont val="Calibri"/>
        <family val="2"/>
        <scheme val="minor"/>
      </rPr>
      <t xml:space="preserve"> - Transitional bilingual
</t>
    </r>
    <r>
      <rPr>
        <b/>
        <sz val="11"/>
        <color theme="1"/>
        <rFont val="Calibri"/>
        <family val="2"/>
        <scheme val="minor"/>
      </rPr>
      <t>DevelopmentalBilingual</t>
    </r>
    <r>
      <rPr>
        <sz val="11"/>
        <color theme="1"/>
        <rFont val="Calibri"/>
        <family val="2"/>
        <scheme val="minor"/>
      </rPr>
      <t xml:space="preserve"> - Developmental bilingual
</t>
    </r>
    <r>
      <rPr>
        <b/>
        <sz val="11"/>
        <color theme="1"/>
        <rFont val="Calibri"/>
        <family val="2"/>
        <scheme val="minor"/>
      </rPr>
      <t>HeritageLanguage</t>
    </r>
    <r>
      <rPr>
        <sz val="11"/>
        <color theme="1"/>
        <rFont val="Calibri"/>
        <family val="2"/>
        <scheme val="minor"/>
      </rPr>
      <t xml:space="preserve"> - Heritage language
</t>
    </r>
    <r>
      <rPr>
        <b/>
        <sz val="11"/>
        <color theme="1"/>
        <rFont val="Calibri"/>
        <family val="2"/>
        <scheme val="minor"/>
      </rPr>
      <t>ShelteredEnglishInstruction</t>
    </r>
    <r>
      <rPr>
        <sz val="11"/>
        <color theme="1"/>
        <rFont val="Calibri"/>
        <family val="2"/>
        <scheme val="minor"/>
      </rPr>
      <t xml:space="preserve"> - Sheltered English instruction
</t>
    </r>
    <r>
      <rPr>
        <b/>
        <sz val="11"/>
        <color theme="1"/>
        <rFont val="Calibri"/>
        <family val="2"/>
        <scheme val="minor"/>
      </rPr>
      <t>StructuredEnglishImmersion</t>
    </r>
    <r>
      <rPr>
        <sz val="11"/>
        <color theme="1"/>
        <rFont val="Calibri"/>
        <family val="2"/>
        <scheme val="minor"/>
      </rPr>
      <t xml:space="preserve"> - Structured English immersion
</t>
    </r>
    <r>
      <rPr>
        <b/>
        <sz val="11"/>
        <color theme="1"/>
        <rFont val="Calibri"/>
        <family val="2"/>
        <scheme val="minor"/>
      </rPr>
      <t>SDAIE</t>
    </r>
    <r>
      <rPr>
        <sz val="11"/>
        <color theme="1"/>
        <rFont val="Calibri"/>
        <family val="2"/>
        <scheme val="minor"/>
      </rPr>
      <t xml:space="preserve"> - Specially designed academic instruction delivered in English (SDAIE)
</t>
    </r>
    <r>
      <rPr>
        <b/>
        <sz val="11"/>
        <color theme="1"/>
        <rFont val="Calibri"/>
        <family val="2"/>
        <scheme val="minor"/>
      </rPr>
      <t>ContentBasedESL</t>
    </r>
    <r>
      <rPr>
        <sz val="11"/>
        <color theme="1"/>
        <rFont val="Calibri"/>
        <family val="2"/>
        <scheme val="minor"/>
      </rPr>
      <t xml:space="preserve"> - Content-based ESL
</t>
    </r>
    <r>
      <rPr>
        <b/>
        <sz val="11"/>
        <color theme="1"/>
        <rFont val="Calibri"/>
        <family val="2"/>
        <scheme val="minor"/>
      </rPr>
      <t>PullOutESL</t>
    </r>
    <r>
      <rPr>
        <sz val="11"/>
        <color theme="1"/>
        <rFont val="Calibri"/>
        <family val="2"/>
        <scheme val="minor"/>
      </rPr>
      <t xml:space="preserve"> - Pull-out ESL
</t>
    </r>
    <r>
      <rPr>
        <b/>
        <sz val="11"/>
        <color theme="1"/>
        <rFont val="Calibri"/>
        <family val="2"/>
        <scheme val="minor"/>
      </rPr>
      <t>NewcomerPrograms</t>
    </r>
    <r>
      <rPr>
        <sz val="11"/>
        <color theme="1"/>
        <rFont val="Calibri"/>
        <family val="2"/>
        <scheme val="minor"/>
      </rPr>
      <t xml:space="preserve"> - Newcomer Programs
</t>
    </r>
    <r>
      <rPr>
        <b/>
        <sz val="11"/>
        <color theme="1"/>
        <rFont val="Calibri"/>
        <family val="2"/>
        <scheme val="minor"/>
      </rPr>
      <t>Other</t>
    </r>
    <r>
      <rPr>
        <sz val="11"/>
        <color theme="1"/>
        <rFont val="Calibri"/>
        <family val="2"/>
        <scheme val="minor"/>
      </rPr>
      <t xml:space="preserve"> - Other
</t>
    </r>
  </si>
  <si>
    <r>
      <t>NSLPCEO</t>
    </r>
    <r>
      <rPr>
        <sz val="11"/>
        <color theme="1"/>
        <rFont val="Calibri"/>
        <family val="2"/>
        <scheme val="minor"/>
      </rPr>
      <t xml:space="preserve"> - Community Eligibility Option
</t>
    </r>
    <r>
      <rPr>
        <b/>
        <sz val="11"/>
        <color theme="1"/>
        <rFont val="Calibri"/>
        <family val="2"/>
        <scheme val="minor"/>
      </rPr>
      <t>NSLPNO</t>
    </r>
    <r>
      <rPr>
        <sz val="11"/>
        <color theme="1"/>
        <rFont val="Calibri"/>
        <family val="2"/>
        <scheme val="minor"/>
      </rPr>
      <t xml:space="preserve"> - Not Participating
</t>
    </r>
    <r>
      <rPr>
        <b/>
        <sz val="11"/>
        <color theme="1"/>
        <rFont val="Calibri"/>
        <family val="2"/>
        <scheme val="minor"/>
      </rPr>
      <t>NSLPWOPRO</t>
    </r>
    <r>
      <rPr>
        <sz val="11"/>
        <color theme="1"/>
        <rFont val="Calibri"/>
        <family val="2"/>
        <scheme val="minor"/>
      </rPr>
      <t xml:space="preserve"> - Participating Without Provision or Community Eligibility Option
</t>
    </r>
    <r>
      <rPr>
        <b/>
        <sz val="11"/>
        <color theme="1"/>
        <rFont val="Calibri"/>
        <family val="2"/>
        <scheme val="minor"/>
      </rPr>
      <t>NSLPPRO1</t>
    </r>
    <r>
      <rPr>
        <sz val="11"/>
        <color theme="1"/>
        <rFont val="Calibri"/>
        <family val="2"/>
        <scheme val="minor"/>
      </rPr>
      <t xml:space="preserve"> - Provision 1
</t>
    </r>
    <r>
      <rPr>
        <b/>
        <sz val="11"/>
        <color theme="1"/>
        <rFont val="Calibri"/>
        <family val="2"/>
        <scheme val="minor"/>
      </rPr>
      <t>NSLPPRO2</t>
    </r>
    <r>
      <rPr>
        <sz val="11"/>
        <color theme="1"/>
        <rFont val="Calibri"/>
        <family val="2"/>
        <scheme val="minor"/>
      </rPr>
      <t xml:space="preserve"> - Provision 2
</t>
    </r>
    <r>
      <rPr>
        <b/>
        <sz val="11"/>
        <color theme="1"/>
        <rFont val="Calibri"/>
        <family val="2"/>
        <scheme val="minor"/>
      </rPr>
      <t>NSLPPRO3</t>
    </r>
    <r>
      <rPr>
        <sz val="11"/>
        <color theme="1"/>
        <rFont val="Calibri"/>
        <family val="2"/>
        <scheme val="minor"/>
      </rPr>
      <t xml:space="preserve"> - Provision 3
</t>
    </r>
  </si>
  <si>
    <t>Accountability</t>
  </si>
  <si>
    <r>
      <t>Yes</t>
    </r>
    <r>
      <rPr>
        <sz val="11"/>
        <color theme="1"/>
        <rFont val="Calibri"/>
        <family val="2"/>
        <scheme val="minor"/>
      </rPr>
      <t xml:space="preserve"> - Yes
</t>
    </r>
    <r>
      <rPr>
        <b/>
        <sz val="11"/>
        <color theme="1"/>
        <rFont val="Calibri"/>
        <family val="2"/>
        <scheme val="minor"/>
      </rPr>
      <t>YesGrowth</t>
    </r>
    <r>
      <rPr>
        <sz val="11"/>
        <color theme="1"/>
        <rFont val="Calibri"/>
        <family val="2"/>
        <scheme val="minor"/>
      </rPr>
      <t xml:space="preserve"> - Yes Growth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</si>
  <si>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r>
      <t>Met</t>
    </r>
    <r>
      <rPr>
        <sz val="11"/>
        <color theme="1"/>
        <rFont val="Calibri"/>
        <family val="2"/>
        <scheme val="minor"/>
      </rPr>
      <t xml:space="preserve"> - Met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NoTitleIII</t>
    </r>
    <r>
      <rPr>
        <sz val="11"/>
        <color theme="1"/>
        <rFont val="Calibri"/>
        <family val="2"/>
        <scheme val="minor"/>
      </rPr>
      <t xml:space="preserve"> - No Title III
</t>
    </r>
    <r>
      <rPr>
        <b/>
        <sz val="11"/>
        <color theme="1"/>
        <rFont val="Calibri"/>
        <family val="2"/>
        <scheme val="minor"/>
      </rPr>
      <t>NA</t>
    </r>
    <r>
      <rPr>
        <sz val="11"/>
        <color theme="1"/>
        <rFont val="Calibri"/>
        <family val="2"/>
        <scheme val="minor"/>
      </rPr>
      <t xml:space="preserve"> - Not applicable
</t>
    </r>
  </si>
  <si>
    <r>
      <t>Met</t>
    </r>
    <r>
      <rPr>
        <sz val="11"/>
        <color theme="1"/>
        <rFont val="Calibri"/>
        <family val="2"/>
        <scheme val="minor"/>
      </rPr>
      <t xml:space="preserve"> - Met: Regular Determination
</t>
    </r>
    <r>
      <rPr>
        <b/>
        <sz val="11"/>
        <color theme="1"/>
        <rFont val="Calibri"/>
        <family val="2"/>
        <scheme val="minor"/>
      </rPr>
      <t>MetGrowthModel</t>
    </r>
    <r>
      <rPr>
        <sz val="11"/>
        <color theme="1"/>
        <rFont val="Calibri"/>
        <family val="2"/>
        <scheme val="minor"/>
      </rPr>
      <t xml:space="preserve"> - Met: Growth Model 
</t>
    </r>
    <r>
      <rPr>
        <b/>
        <sz val="11"/>
        <color theme="1"/>
        <rFont val="Calibri"/>
        <family val="2"/>
        <scheme val="minor"/>
      </rPr>
      <t>MetBecauseSafeHarbor</t>
    </r>
    <r>
      <rPr>
        <sz val="11"/>
        <color theme="1"/>
        <rFont val="Calibri"/>
        <family val="2"/>
        <scheme val="minor"/>
      </rPr>
      <t xml:space="preserve"> - Met Because of Safe Harbor
</t>
    </r>
    <r>
      <rPr>
        <b/>
        <sz val="11"/>
        <color theme="1"/>
        <rFont val="Calibri"/>
        <family val="2"/>
        <scheme val="minor"/>
      </rPr>
      <t>DidNotMeetTarget</t>
    </r>
    <r>
      <rPr>
        <sz val="11"/>
        <color theme="1"/>
        <rFont val="Calibri"/>
        <family val="2"/>
        <scheme val="minor"/>
      </rPr>
      <t xml:space="preserve"> - Did Not Meet Target
</t>
    </r>
    <r>
      <rPr>
        <b/>
        <sz val="11"/>
        <color theme="1"/>
        <rFont val="Calibri"/>
        <family val="2"/>
        <scheme val="minor"/>
      </rPr>
      <t>TooFewStudents</t>
    </r>
    <r>
      <rPr>
        <sz val="11"/>
        <color theme="1"/>
        <rFont val="Calibri"/>
        <family val="2"/>
        <scheme val="minor"/>
      </rPr>
      <t xml:space="preserve"> - Too Few Students for Reliability
</t>
    </r>
    <r>
      <rPr>
        <b/>
        <sz val="11"/>
        <color theme="1"/>
        <rFont val="Calibri"/>
        <family val="2"/>
        <scheme val="minor"/>
      </rPr>
      <t>NoStudents</t>
    </r>
    <r>
      <rPr>
        <sz val="11"/>
        <color theme="1"/>
        <rFont val="Calibri"/>
        <family val="2"/>
        <scheme val="minor"/>
      </rPr>
      <t xml:space="preserve"> - No Students in the Sub-group
</t>
    </r>
    <r>
      <rPr>
        <b/>
        <sz val="11"/>
        <color theme="1"/>
        <rFont val="Calibri"/>
        <family val="2"/>
        <scheme val="minor"/>
      </rPr>
      <t>NA</t>
    </r>
    <r>
      <rPr>
        <sz val="11"/>
        <color theme="1"/>
        <rFont val="Calibri"/>
        <family val="2"/>
        <scheme val="minor"/>
      </rPr>
      <t xml:space="preserve"> - Not applicable
</t>
    </r>
  </si>
  <si>
    <r>
      <t>Met</t>
    </r>
    <r>
      <rPr>
        <sz val="11"/>
        <color theme="1"/>
        <rFont val="Calibri"/>
        <family val="2"/>
        <scheme val="minor"/>
      </rPr>
      <t xml:space="preserve"> - Met 95%
</t>
    </r>
    <r>
      <rPr>
        <b/>
        <sz val="11"/>
        <color theme="1"/>
        <rFont val="Calibri"/>
        <family val="2"/>
        <scheme val="minor"/>
      </rPr>
      <t>DidNotMeet</t>
    </r>
    <r>
      <rPr>
        <sz val="11"/>
        <color theme="1"/>
        <rFont val="Calibri"/>
        <family val="2"/>
        <scheme val="minor"/>
      </rPr>
      <t xml:space="preserve"> - Did not Meet 95%
</t>
    </r>
    <r>
      <rPr>
        <b/>
        <sz val="11"/>
        <color theme="1"/>
        <rFont val="Calibri"/>
        <family val="2"/>
        <scheme val="minor"/>
      </rPr>
      <t>TooFewStudents</t>
    </r>
    <r>
      <rPr>
        <sz val="11"/>
        <color theme="1"/>
        <rFont val="Calibri"/>
        <family val="2"/>
        <scheme val="minor"/>
      </rPr>
      <t xml:space="preserve"> - Too Few Students for Reliability
</t>
    </r>
    <r>
      <rPr>
        <b/>
        <sz val="11"/>
        <color theme="1"/>
        <rFont val="Calibri"/>
        <family val="2"/>
        <scheme val="minor"/>
      </rPr>
      <t>NoStudents</t>
    </r>
    <r>
      <rPr>
        <sz val="11"/>
        <color theme="1"/>
        <rFont val="Calibri"/>
        <family val="2"/>
        <scheme val="minor"/>
      </rPr>
      <t xml:space="preserve"> - No Students in the subgroup
</t>
    </r>
    <r>
      <rPr>
        <b/>
        <sz val="11"/>
        <color theme="1"/>
        <rFont val="Calibri"/>
        <family val="2"/>
        <scheme val="minor"/>
      </rPr>
      <t>NA</t>
    </r>
    <r>
      <rPr>
        <sz val="11"/>
        <color theme="1"/>
        <rFont val="Calibri"/>
        <family val="2"/>
        <scheme val="minor"/>
      </rPr>
      <t xml:space="preserve"> - Not applicable
</t>
    </r>
  </si>
  <si>
    <r>
      <t>MetAdditionalIndicator</t>
    </r>
    <r>
      <rPr>
        <sz val="11"/>
        <color theme="1"/>
        <rFont val="Calibri"/>
        <family val="2"/>
        <scheme val="minor"/>
      </rPr>
      <t xml:space="preserve"> - Met Additional Indicator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TooFewStudents</t>
    </r>
    <r>
      <rPr>
        <sz val="11"/>
        <color theme="1"/>
        <rFont val="Calibri"/>
        <family val="2"/>
        <scheme val="minor"/>
      </rPr>
      <t xml:space="preserve"> - Too Few Students
</t>
    </r>
    <r>
      <rPr>
        <b/>
        <sz val="11"/>
        <color theme="1"/>
        <rFont val="Calibri"/>
        <family val="2"/>
        <scheme val="minor"/>
      </rPr>
      <t>NoStudents</t>
    </r>
    <r>
      <rPr>
        <sz val="11"/>
        <color theme="1"/>
        <rFont val="Calibri"/>
        <family val="2"/>
        <scheme val="minor"/>
      </rPr>
      <t xml:space="preserve"> - No Students
</t>
    </r>
    <r>
      <rPr>
        <b/>
        <sz val="11"/>
        <color theme="1"/>
        <rFont val="Calibri"/>
        <family val="2"/>
        <scheme val="minor"/>
      </rPr>
      <t>NA</t>
    </r>
    <r>
      <rPr>
        <sz val="11"/>
        <color theme="1"/>
        <rFont val="Calibri"/>
        <family val="2"/>
        <scheme val="minor"/>
      </rPr>
      <t xml:space="preserve"> - Not applicable
</t>
    </r>
  </si>
  <si>
    <r>
      <t>YesReportingOffenses</t>
    </r>
    <r>
      <rPr>
        <sz val="11"/>
        <color theme="1"/>
        <rFont val="Calibri"/>
        <family val="2"/>
        <scheme val="minor"/>
      </rPr>
      <t xml:space="preserve"> - Yes, with reporting of one or more students for an offense
</t>
    </r>
    <r>
      <rPr>
        <b/>
        <sz val="11"/>
        <color theme="1"/>
        <rFont val="Calibri"/>
        <family val="2"/>
        <scheme val="minor"/>
      </rPr>
      <t>YesNoReportedOffenses</t>
    </r>
    <r>
      <rPr>
        <sz val="11"/>
        <color theme="1"/>
        <rFont val="Calibri"/>
        <family val="2"/>
        <scheme val="minor"/>
      </rPr>
      <t xml:space="preserve"> - Yes, with no reported offenses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</si>
  <si>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r>
      <t>MetGoal</t>
    </r>
    <r>
      <rPr>
        <sz val="11"/>
        <color theme="1"/>
        <rFont val="Calibri"/>
        <family val="2"/>
        <scheme val="minor"/>
      </rPr>
      <t xml:space="preserve"> - Met (Goal)
</t>
    </r>
    <r>
      <rPr>
        <b/>
        <sz val="11"/>
        <color theme="1"/>
        <rFont val="Calibri"/>
        <family val="2"/>
        <scheme val="minor"/>
      </rPr>
      <t>MetTarget</t>
    </r>
    <r>
      <rPr>
        <sz val="11"/>
        <color theme="1"/>
        <rFont val="Calibri"/>
        <family val="2"/>
        <scheme val="minor"/>
      </rPr>
      <t xml:space="preserve"> - Met (Target)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TooFewStudents</t>
    </r>
    <r>
      <rPr>
        <sz val="11"/>
        <color theme="1"/>
        <rFont val="Calibri"/>
        <family val="2"/>
        <scheme val="minor"/>
      </rPr>
      <t xml:space="preserve"> - Too Few Students
</t>
    </r>
    <r>
      <rPr>
        <b/>
        <sz val="11"/>
        <color theme="1"/>
        <rFont val="Calibri"/>
        <family val="2"/>
        <scheme val="minor"/>
      </rPr>
      <t>NoStudents</t>
    </r>
    <r>
      <rPr>
        <sz val="11"/>
        <color theme="1"/>
        <rFont val="Calibri"/>
        <family val="2"/>
        <scheme val="minor"/>
      </rPr>
      <t xml:space="preserve"> - There are no students in a student subgroup. 
</t>
    </r>
    <r>
      <rPr>
        <b/>
        <sz val="11"/>
        <color theme="1"/>
        <rFont val="Calibri"/>
        <family val="2"/>
        <scheme val="minor"/>
      </rPr>
      <t>NA</t>
    </r>
    <r>
      <rPr>
        <sz val="11"/>
        <color theme="1"/>
        <rFont val="Calibri"/>
        <family val="2"/>
        <scheme val="minor"/>
      </rPr>
      <t xml:space="preserve"> - Not applicable
</t>
    </r>
  </si>
  <si>
    <r>
      <t>CA1</t>
    </r>
    <r>
      <rPr>
        <sz val="11"/>
        <color theme="1"/>
        <rFont val="Calibri"/>
        <family val="2"/>
        <scheme val="minor"/>
      </rPr>
      <t xml:space="preserve"> - Required implementation of a new research-based curriculum or instructional program
</t>
    </r>
    <r>
      <rPr>
        <b/>
        <sz val="11"/>
        <color theme="1"/>
        <rFont val="Calibri"/>
        <family val="2"/>
        <scheme val="minor"/>
      </rPr>
      <t>CA2</t>
    </r>
    <r>
      <rPr>
        <sz val="11"/>
        <color theme="1"/>
        <rFont val="Calibri"/>
        <family val="2"/>
        <scheme val="minor"/>
      </rPr>
      <t xml:space="preserve"> - Extension of the school year or school day 
</t>
    </r>
    <r>
      <rPr>
        <b/>
        <sz val="11"/>
        <color theme="1"/>
        <rFont val="Calibri"/>
        <family val="2"/>
        <scheme val="minor"/>
      </rPr>
      <t>CA3</t>
    </r>
    <r>
      <rPr>
        <sz val="11"/>
        <color theme="1"/>
        <rFont val="Calibri"/>
        <family val="2"/>
        <scheme val="minor"/>
      </rPr>
      <t xml:space="preserve"> - Replacement of staff members relevant to the school's low performance
</t>
    </r>
    <r>
      <rPr>
        <b/>
        <sz val="11"/>
        <color theme="1"/>
        <rFont val="Calibri"/>
        <family val="2"/>
        <scheme val="minor"/>
      </rPr>
      <t>CA4</t>
    </r>
    <r>
      <rPr>
        <sz val="11"/>
        <color theme="1"/>
        <rFont val="Calibri"/>
        <family val="2"/>
        <scheme val="minor"/>
      </rPr>
      <t xml:space="preserve"> - Significant decrease in management authority at the school level
</t>
    </r>
    <r>
      <rPr>
        <b/>
        <sz val="11"/>
        <color theme="1"/>
        <rFont val="Calibri"/>
        <family val="2"/>
        <scheme val="minor"/>
      </rPr>
      <t>CA5</t>
    </r>
    <r>
      <rPr>
        <sz val="11"/>
        <color theme="1"/>
        <rFont val="Calibri"/>
        <family val="2"/>
        <scheme val="minor"/>
      </rPr>
      <t xml:space="preserve"> - Replacement of the principal
</t>
    </r>
    <r>
      <rPr>
        <b/>
        <sz val="11"/>
        <color theme="1"/>
        <rFont val="Calibri"/>
        <family val="2"/>
        <scheme val="minor"/>
      </rPr>
      <t>CA6</t>
    </r>
    <r>
      <rPr>
        <sz val="11"/>
        <color theme="1"/>
        <rFont val="Calibri"/>
        <family val="2"/>
        <scheme val="minor"/>
      </rPr>
      <t xml:space="preserve"> - Restructuring of the internal organization of the school
</t>
    </r>
    <r>
      <rPr>
        <b/>
        <sz val="11"/>
        <color theme="1"/>
        <rFont val="Calibri"/>
        <family val="2"/>
        <scheme val="minor"/>
      </rPr>
      <t>CA7</t>
    </r>
    <r>
      <rPr>
        <sz val="11"/>
        <color theme="1"/>
        <rFont val="Calibri"/>
        <family val="2"/>
        <scheme val="minor"/>
      </rPr>
      <t xml:space="preserve"> - Appointment of an outside expert to advise the school
</t>
    </r>
  </si>
  <si>
    <r>
      <t>Yes</t>
    </r>
    <r>
      <rPr>
        <sz val="11"/>
        <color theme="1"/>
        <rFont val="Calibri"/>
        <family val="2"/>
        <scheme val="minor"/>
      </rPr>
      <t xml:space="preserve"> - Reconstituted school
</t>
    </r>
    <r>
      <rPr>
        <b/>
        <sz val="11"/>
        <color theme="1"/>
        <rFont val="Calibri"/>
        <family val="2"/>
        <scheme val="minor"/>
      </rPr>
      <t>No</t>
    </r>
    <r>
      <rPr>
        <sz val="11"/>
        <color theme="1"/>
        <rFont val="Calibri"/>
        <family val="2"/>
        <scheme val="minor"/>
      </rPr>
      <t xml:space="preserve"> - Not a reconstituted school
</t>
    </r>
  </si>
  <si>
    <r>
      <t>RA1</t>
    </r>
    <r>
      <rPr>
        <sz val="11"/>
        <color theme="1"/>
        <rFont val="Calibri"/>
        <family val="2"/>
        <scheme val="minor"/>
      </rPr>
      <t xml:space="preserve"> - Replacement of all or most of the school staff (which may include the principal)
</t>
    </r>
    <r>
      <rPr>
        <b/>
        <sz val="11"/>
        <color theme="1"/>
        <rFont val="Calibri"/>
        <family val="2"/>
        <scheme val="minor"/>
      </rPr>
      <t>RA2</t>
    </r>
    <r>
      <rPr>
        <sz val="11"/>
        <color theme="1"/>
        <rFont val="Calibri"/>
        <family val="2"/>
        <scheme val="minor"/>
      </rPr>
      <t xml:space="preserve"> - Reopening the school as a public charter school
</t>
    </r>
    <r>
      <rPr>
        <b/>
        <sz val="11"/>
        <color theme="1"/>
        <rFont val="Calibri"/>
        <family val="2"/>
        <scheme val="minor"/>
      </rPr>
      <t>RA3</t>
    </r>
    <r>
      <rPr>
        <sz val="11"/>
        <color theme="1"/>
        <rFont val="Calibri"/>
        <family val="2"/>
        <scheme val="minor"/>
      </rPr>
      <t xml:space="preserve"> - Entering into a contract with a private entity to operate the school
</t>
    </r>
    <r>
      <rPr>
        <b/>
        <sz val="11"/>
        <color theme="1"/>
        <rFont val="Calibri"/>
        <family val="2"/>
        <scheme val="minor"/>
      </rPr>
      <t>RA4</t>
    </r>
    <r>
      <rPr>
        <sz val="11"/>
        <color theme="1"/>
        <rFont val="Calibri"/>
        <family val="2"/>
        <scheme val="minor"/>
      </rPr>
      <t xml:space="preserve"> - Take of the school by the state
</t>
    </r>
    <r>
      <rPr>
        <b/>
        <sz val="11"/>
        <color theme="1"/>
        <rFont val="Calibri"/>
        <family val="2"/>
        <scheme val="minor"/>
      </rPr>
      <t>RA5</t>
    </r>
    <r>
      <rPr>
        <sz val="11"/>
        <color theme="1"/>
        <rFont val="Calibri"/>
        <family val="2"/>
        <scheme val="minor"/>
      </rPr>
      <t xml:space="preserve"> - Other major restructuring of the school governance
</t>
    </r>
  </si>
  <si>
    <r>
      <t>ADDLTSI</t>
    </r>
    <r>
      <rPr>
        <sz val="11"/>
        <color theme="1"/>
        <rFont val="Calibri"/>
        <family val="2"/>
        <scheme val="minor"/>
      </rPr>
      <t xml:space="preserve"> - Additional targeted support and improvement
</t>
    </r>
    <r>
      <rPr>
        <b/>
        <sz val="11"/>
        <color theme="1"/>
        <rFont val="Calibri"/>
        <family val="2"/>
        <scheme val="minor"/>
      </rPr>
      <t>NOTADDLTSI</t>
    </r>
    <r>
      <rPr>
        <sz val="11"/>
        <color theme="1"/>
        <rFont val="Calibri"/>
        <family val="2"/>
        <scheme val="minor"/>
      </rPr>
      <t xml:space="preserve"> - Not additional targeted support and improvement
</t>
    </r>
  </si>
  <si>
    <r>
      <t>CSI</t>
    </r>
    <r>
      <rPr>
        <sz val="11"/>
        <color theme="1"/>
        <rFont val="Calibri"/>
        <family val="2"/>
        <scheme val="minor"/>
      </rPr>
      <t xml:space="preserve"> - Comprehensive support and improvement
</t>
    </r>
    <r>
      <rPr>
        <b/>
        <sz val="11"/>
        <color theme="1"/>
        <rFont val="Calibri"/>
        <family val="2"/>
        <scheme val="minor"/>
      </rPr>
      <t>CSIEXIT</t>
    </r>
    <r>
      <rPr>
        <sz val="11"/>
        <color theme="1"/>
        <rFont val="Calibri"/>
        <family val="2"/>
        <scheme val="minor"/>
      </rPr>
      <t xml:space="preserve"> - Comprehensive support and improvement - exit status
</t>
    </r>
    <r>
      <rPr>
        <b/>
        <sz val="11"/>
        <color theme="1"/>
        <rFont val="Calibri"/>
        <family val="2"/>
        <scheme val="minor"/>
      </rPr>
      <t>NOTCSI</t>
    </r>
    <r>
      <rPr>
        <sz val="11"/>
        <color theme="1"/>
        <rFont val="Calibri"/>
        <family val="2"/>
        <scheme val="minor"/>
      </rPr>
      <t xml:space="preserve"> - Not comprehensive support and improvement
</t>
    </r>
  </si>
  <si>
    <r>
      <t>NOTTSI</t>
    </r>
    <r>
      <rPr>
        <sz val="11"/>
        <color theme="1"/>
        <rFont val="Calibri"/>
        <family val="2"/>
        <scheme val="minor"/>
      </rPr>
      <t xml:space="preserve"> - Not targeted support and improvement
</t>
    </r>
    <r>
      <rPr>
        <b/>
        <sz val="11"/>
        <color theme="1"/>
        <rFont val="Calibri"/>
        <family val="2"/>
        <scheme val="minor"/>
      </rPr>
      <t>TSI</t>
    </r>
    <r>
      <rPr>
        <sz val="11"/>
        <color theme="1"/>
        <rFont val="Calibri"/>
        <family val="2"/>
        <scheme val="minor"/>
      </rPr>
      <t xml:space="preserve"> - Targeted support and improvement
</t>
    </r>
    <r>
      <rPr>
        <b/>
        <sz val="11"/>
        <color theme="1"/>
        <rFont val="Calibri"/>
        <family val="2"/>
        <scheme val="minor"/>
      </rPr>
      <t>TSIEXIT</t>
    </r>
    <r>
      <rPr>
        <sz val="11"/>
        <color theme="1"/>
        <rFont val="Calibri"/>
        <family val="2"/>
        <scheme val="minor"/>
      </rPr>
      <t xml:space="preserve"> - Targeted support and improvement - exit status
</t>
    </r>
  </si>
  <si>
    <r>
      <t>Assets</t>
    </r>
    <r>
      <rPr>
        <sz val="11"/>
        <color theme="1"/>
        <rFont val="Calibri"/>
        <family val="2"/>
        <scheme val="minor"/>
      </rPr>
      <t xml:space="preserve"> - Assets
</t>
    </r>
    <r>
      <rPr>
        <b/>
        <sz val="11"/>
        <color theme="1"/>
        <rFont val="Calibri"/>
        <family val="2"/>
        <scheme val="minor"/>
      </rPr>
      <t>Liabilities</t>
    </r>
    <r>
      <rPr>
        <sz val="11"/>
        <color theme="1"/>
        <rFont val="Calibri"/>
        <family val="2"/>
        <scheme val="minor"/>
      </rPr>
      <t xml:space="preserve"> - Liabilities
</t>
    </r>
    <r>
      <rPr>
        <b/>
        <sz val="11"/>
        <color theme="1"/>
        <rFont val="Calibri"/>
        <family val="2"/>
        <scheme val="minor"/>
      </rPr>
      <t>Equity</t>
    </r>
    <r>
      <rPr>
        <sz val="11"/>
        <color theme="1"/>
        <rFont val="Calibri"/>
        <family val="2"/>
        <scheme val="minor"/>
      </rPr>
      <t xml:space="preserve"> - Equity
</t>
    </r>
    <r>
      <rPr>
        <b/>
        <sz val="11"/>
        <color theme="1"/>
        <rFont val="Calibri"/>
        <family val="2"/>
        <scheme val="minor"/>
      </rPr>
      <t>Revenue</t>
    </r>
    <r>
      <rPr>
        <sz val="11"/>
        <color theme="1"/>
        <rFont val="Calibri"/>
        <family val="2"/>
        <scheme val="minor"/>
      </rPr>
      <t xml:space="preserve"> - Revenue and Other Financing Sources
</t>
    </r>
    <r>
      <rPr>
        <b/>
        <sz val="11"/>
        <color theme="1"/>
        <rFont val="Calibri"/>
        <family val="2"/>
        <scheme val="minor"/>
      </rPr>
      <t>Expenditures</t>
    </r>
    <r>
      <rPr>
        <sz val="11"/>
        <color theme="1"/>
        <rFont val="Calibri"/>
        <family val="2"/>
        <scheme val="minor"/>
      </rPr>
      <t xml:space="preserve"> - Expenditures
</t>
    </r>
  </si>
  <si>
    <r>
      <t>1000</t>
    </r>
    <r>
      <rPr>
        <sz val="11"/>
        <color theme="1"/>
        <rFont val="Calibri"/>
        <family val="2"/>
        <scheme val="minor"/>
      </rPr>
      <t xml:space="preserve"> - Instruction
</t>
    </r>
    <r>
      <rPr>
        <b/>
        <sz val="11"/>
        <color theme="1"/>
        <rFont val="Calibri"/>
        <family val="2"/>
        <scheme val="minor"/>
      </rPr>
      <t>2000</t>
    </r>
    <r>
      <rPr>
        <sz val="11"/>
        <color theme="1"/>
        <rFont val="Calibri"/>
        <family val="2"/>
        <scheme val="minor"/>
      </rPr>
      <t xml:space="preserve"> - Support Services
</t>
    </r>
    <r>
      <rPr>
        <b/>
        <sz val="11"/>
        <color theme="1"/>
        <rFont val="Calibri"/>
        <family val="2"/>
        <scheme val="minor"/>
      </rPr>
      <t>2100</t>
    </r>
    <r>
      <rPr>
        <sz val="11"/>
        <color theme="1"/>
        <rFont val="Calibri"/>
        <family val="2"/>
        <scheme val="minor"/>
      </rPr>
      <t xml:space="preserve"> - Support Services-Students
</t>
    </r>
    <r>
      <rPr>
        <b/>
        <sz val="11"/>
        <color theme="1"/>
        <rFont val="Calibri"/>
        <family val="2"/>
        <scheme val="minor"/>
      </rPr>
      <t>2110</t>
    </r>
    <r>
      <rPr>
        <sz val="11"/>
        <color theme="1"/>
        <rFont val="Calibri"/>
        <family val="2"/>
        <scheme val="minor"/>
      </rPr>
      <t xml:space="preserve"> - Attendance and Social Work Services
</t>
    </r>
    <r>
      <rPr>
        <b/>
        <sz val="11"/>
        <color theme="1"/>
        <rFont val="Calibri"/>
        <family val="2"/>
        <scheme val="minor"/>
      </rPr>
      <t>2120</t>
    </r>
    <r>
      <rPr>
        <sz val="11"/>
        <color theme="1"/>
        <rFont val="Calibri"/>
        <family val="2"/>
        <scheme val="minor"/>
      </rPr>
      <t xml:space="preserve"> - Guidance Services
</t>
    </r>
    <r>
      <rPr>
        <b/>
        <sz val="11"/>
        <color theme="1"/>
        <rFont val="Calibri"/>
        <family val="2"/>
        <scheme val="minor"/>
      </rPr>
      <t>2130</t>
    </r>
    <r>
      <rPr>
        <sz val="11"/>
        <color theme="1"/>
        <rFont val="Calibri"/>
        <family val="2"/>
        <scheme val="minor"/>
      </rPr>
      <t xml:space="preserve"> - Health Services
</t>
    </r>
    <r>
      <rPr>
        <b/>
        <sz val="11"/>
        <color theme="1"/>
        <rFont val="Calibri"/>
        <family val="2"/>
        <scheme val="minor"/>
      </rPr>
      <t>2140</t>
    </r>
    <r>
      <rPr>
        <sz val="11"/>
        <color theme="1"/>
        <rFont val="Calibri"/>
        <family val="2"/>
        <scheme val="minor"/>
      </rPr>
      <t xml:space="preserve"> - Psychological Services
</t>
    </r>
    <r>
      <rPr>
        <b/>
        <sz val="11"/>
        <color theme="1"/>
        <rFont val="Calibri"/>
        <family val="2"/>
        <scheme val="minor"/>
      </rPr>
      <t>2150</t>
    </r>
    <r>
      <rPr>
        <sz val="11"/>
        <color theme="1"/>
        <rFont val="Calibri"/>
        <family val="2"/>
        <scheme val="minor"/>
      </rPr>
      <t xml:space="preserve"> - Speech Pathology and Audiology Services
</t>
    </r>
    <r>
      <rPr>
        <b/>
        <sz val="11"/>
        <color theme="1"/>
        <rFont val="Calibri"/>
        <family val="2"/>
        <scheme val="minor"/>
      </rPr>
      <t>2160</t>
    </r>
    <r>
      <rPr>
        <sz val="11"/>
        <color theme="1"/>
        <rFont val="Calibri"/>
        <family val="2"/>
        <scheme val="minor"/>
      </rPr>
      <t xml:space="preserve"> - Occupational Therapy-Related Services
</t>
    </r>
    <r>
      <rPr>
        <b/>
        <sz val="11"/>
        <color theme="1"/>
        <rFont val="Calibri"/>
        <family val="2"/>
        <scheme val="minor"/>
      </rPr>
      <t>2170</t>
    </r>
    <r>
      <rPr>
        <sz val="11"/>
        <color theme="1"/>
        <rFont val="Calibri"/>
        <family val="2"/>
        <scheme val="minor"/>
      </rPr>
      <t xml:space="preserve"> - Physical Therapy-Related Services
</t>
    </r>
    <r>
      <rPr>
        <b/>
        <sz val="11"/>
        <color theme="1"/>
        <rFont val="Calibri"/>
        <family val="2"/>
        <scheme val="minor"/>
      </rPr>
      <t>2180</t>
    </r>
    <r>
      <rPr>
        <sz val="11"/>
        <color theme="1"/>
        <rFont val="Calibri"/>
        <family val="2"/>
        <scheme val="minor"/>
      </rPr>
      <t xml:space="preserve"> - Visually Impaired/Vision Services
</t>
    </r>
    <r>
      <rPr>
        <b/>
        <sz val="11"/>
        <color theme="1"/>
        <rFont val="Calibri"/>
        <family val="2"/>
        <scheme val="minor"/>
      </rPr>
      <t>2190</t>
    </r>
    <r>
      <rPr>
        <sz val="11"/>
        <color theme="1"/>
        <rFont val="Calibri"/>
        <family val="2"/>
        <scheme val="minor"/>
      </rPr>
      <t xml:space="preserve"> - Other Support Services-Student
</t>
    </r>
    <r>
      <rPr>
        <b/>
        <sz val="11"/>
        <color theme="1"/>
        <rFont val="Calibri"/>
        <family val="2"/>
        <scheme val="minor"/>
      </rPr>
      <t>2200</t>
    </r>
    <r>
      <rPr>
        <sz val="11"/>
        <color theme="1"/>
        <rFont val="Calibri"/>
        <family val="2"/>
        <scheme val="minor"/>
      </rPr>
      <t xml:space="preserve"> - Support Services-Instruction
</t>
    </r>
    <r>
      <rPr>
        <b/>
        <sz val="11"/>
        <color theme="1"/>
        <rFont val="Calibri"/>
        <family val="2"/>
        <scheme val="minor"/>
      </rPr>
      <t>2210</t>
    </r>
    <r>
      <rPr>
        <sz val="11"/>
        <color theme="1"/>
        <rFont val="Calibri"/>
        <family val="2"/>
        <scheme val="minor"/>
      </rPr>
      <t xml:space="preserve"> - Improvement of Instruction
</t>
    </r>
    <r>
      <rPr>
        <b/>
        <sz val="11"/>
        <color theme="1"/>
        <rFont val="Calibri"/>
        <family val="2"/>
        <scheme val="minor"/>
      </rPr>
      <t>2212</t>
    </r>
    <r>
      <rPr>
        <sz val="11"/>
        <color theme="1"/>
        <rFont val="Calibri"/>
        <family val="2"/>
        <scheme val="minor"/>
      </rPr>
      <t xml:space="preserve"> - Instruction and Curriculum Development
</t>
    </r>
    <r>
      <rPr>
        <b/>
        <sz val="11"/>
        <color theme="1"/>
        <rFont val="Calibri"/>
        <family val="2"/>
        <scheme val="minor"/>
      </rPr>
      <t>2213</t>
    </r>
    <r>
      <rPr>
        <sz val="11"/>
        <color theme="1"/>
        <rFont val="Calibri"/>
        <family val="2"/>
        <scheme val="minor"/>
      </rPr>
      <t xml:space="preserve"> - Instructional Staff Training
</t>
    </r>
    <r>
      <rPr>
        <b/>
        <sz val="11"/>
        <color theme="1"/>
        <rFont val="Calibri"/>
        <family val="2"/>
        <scheme val="minor"/>
      </rPr>
      <t>2219</t>
    </r>
    <r>
      <rPr>
        <sz val="11"/>
        <color theme="1"/>
        <rFont val="Calibri"/>
        <family val="2"/>
        <scheme val="minor"/>
      </rPr>
      <t xml:space="preserve"> - Other Improvement of Instruction Services
</t>
    </r>
    <r>
      <rPr>
        <b/>
        <sz val="11"/>
        <color theme="1"/>
        <rFont val="Calibri"/>
        <family val="2"/>
        <scheme val="minor"/>
      </rPr>
      <t>2220</t>
    </r>
    <r>
      <rPr>
        <sz val="11"/>
        <color theme="1"/>
        <rFont val="Calibri"/>
        <family val="2"/>
        <scheme val="minor"/>
      </rPr>
      <t xml:space="preserve"> - Library/Media Services
</t>
    </r>
    <r>
      <rPr>
        <b/>
        <sz val="11"/>
        <color theme="1"/>
        <rFont val="Calibri"/>
        <family val="2"/>
        <scheme val="minor"/>
      </rPr>
      <t>2230</t>
    </r>
    <r>
      <rPr>
        <sz val="11"/>
        <color theme="1"/>
        <rFont val="Calibri"/>
        <family val="2"/>
        <scheme val="minor"/>
      </rPr>
      <t xml:space="preserve"> - Instruction-Related Technology
</t>
    </r>
    <r>
      <rPr>
        <b/>
        <sz val="11"/>
        <color theme="1"/>
        <rFont val="Calibri"/>
        <family val="2"/>
        <scheme val="minor"/>
      </rPr>
      <t>2240</t>
    </r>
    <r>
      <rPr>
        <sz val="11"/>
        <color theme="1"/>
        <rFont val="Calibri"/>
        <family val="2"/>
        <scheme val="minor"/>
      </rPr>
      <t xml:space="preserve"> - Academic Student Assessment
</t>
    </r>
    <r>
      <rPr>
        <b/>
        <sz val="11"/>
        <color theme="1"/>
        <rFont val="Calibri"/>
        <family val="2"/>
        <scheme val="minor"/>
      </rPr>
      <t>2290</t>
    </r>
    <r>
      <rPr>
        <sz val="11"/>
        <color theme="1"/>
        <rFont val="Calibri"/>
        <family val="2"/>
        <scheme val="minor"/>
      </rPr>
      <t xml:space="preserve"> - Other Support Services-Instructional Staff
</t>
    </r>
    <r>
      <rPr>
        <b/>
        <sz val="11"/>
        <color theme="1"/>
        <rFont val="Calibri"/>
        <family val="2"/>
        <scheme val="minor"/>
      </rPr>
      <t>2300</t>
    </r>
    <r>
      <rPr>
        <sz val="11"/>
        <color theme="1"/>
        <rFont val="Calibri"/>
        <family val="2"/>
        <scheme val="minor"/>
      </rPr>
      <t xml:space="preserve"> - Support Services-General Administration
</t>
    </r>
    <r>
      <rPr>
        <b/>
        <sz val="11"/>
        <color theme="1"/>
        <rFont val="Calibri"/>
        <family val="2"/>
        <scheme val="minor"/>
      </rPr>
      <t>2310</t>
    </r>
    <r>
      <rPr>
        <sz val="11"/>
        <color theme="1"/>
        <rFont val="Calibri"/>
        <family val="2"/>
        <scheme val="minor"/>
      </rPr>
      <t xml:space="preserve"> - Board of Education
</t>
    </r>
    <r>
      <rPr>
        <b/>
        <sz val="11"/>
        <color theme="1"/>
        <rFont val="Calibri"/>
        <family val="2"/>
        <scheme val="minor"/>
      </rPr>
      <t>2320</t>
    </r>
    <r>
      <rPr>
        <sz val="11"/>
        <color theme="1"/>
        <rFont val="Calibri"/>
        <family val="2"/>
        <scheme val="minor"/>
      </rPr>
      <t xml:space="preserve"> - Executive Administration
</t>
    </r>
    <r>
      <rPr>
        <b/>
        <sz val="11"/>
        <color theme="1"/>
        <rFont val="Calibri"/>
        <family val="2"/>
        <scheme val="minor"/>
      </rPr>
      <t>2400</t>
    </r>
    <r>
      <rPr>
        <sz val="11"/>
        <color theme="1"/>
        <rFont val="Calibri"/>
        <family val="2"/>
        <scheme val="minor"/>
      </rPr>
      <t xml:space="preserve"> - Support Services-School Administration
</t>
    </r>
    <r>
      <rPr>
        <b/>
        <sz val="11"/>
        <color theme="1"/>
        <rFont val="Calibri"/>
        <family val="2"/>
        <scheme val="minor"/>
      </rPr>
      <t>2410</t>
    </r>
    <r>
      <rPr>
        <sz val="11"/>
        <color theme="1"/>
        <rFont val="Calibri"/>
        <family val="2"/>
        <scheme val="minor"/>
      </rPr>
      <t xml:space="preserve"> - Office of the Principal
</t>
    </r>
    <r>
      <rPr>
        <b/>
        <sz val="11"/>
        <color theme="1"/>
        <rFont val="Calibri"/>
        <family val="2"/>
        <scheme val="minor"/>
      </rPr>
      <t>2490</t>
    </r>
    <r>
      <rPr>
        <sz val="11"/>
        <color theme="1"/>
        <rFont val="Calibri"/>
        <family val="2"/>
        <scheme val="minor"/>
      </rPr>
      <t xml:space="preserve"> - Other Support Services-School Administration
</t>
    </r>
    <r>
      <rPr>
        <b/>
        <sz val="11"/>
        <color theme="1"/>
        <rFont val="Calibri"/>
        <family val="2"/>
        <scheme val="minor"/>
      </rPr>
      <t>2500</t>
    </r>
    <r>
      <rPr>
        <sz val="11"/>
        <color theme="1"/>
        <rFont val="Calibri"/>
        <family val="2"/>
        <scheme val="minor"/>
      </rPr>
      <t xml:space="preserve"> - Central Services
</t>
    </r>
    <r>
      <rPr>
        <b/>
        <sz val="11"/>
        <color theme="1"/>
        <rFont val="Calibri"/>
        <family val="2"/>
        <scheme val="minor"/>
      </rPr>
      <t>2510</t>
    </r>
    <r>
      <rPr>
        <sz val="11"/>
        <color theme="1"/>
        <rFont val="Calibri"/>
        <family val="2"/>
        <scheme val="minor"/>
      </rPr>
      <t xml:space="preserve"> - Fiscal Services
</t>
    </r>
    <r>
      <rPr>
        <b/>
        <sz val="11"/>
        <color theme="1"/>
        <rFont val="Calibri"/>
        <family val="2"/>
        <scheme val="minor"/>
      </rPr>
      <t>2520</t>
    </r>
    <r>
      <rPr>
        <sz val="11"/>
        <color theme="1"/>
        <rFont val="Calibri"/>
        <family val="2"/>
        <scheme val="minor"/>
      </rPr>
      <t xml:space="preserve"> - Purchasing, Warehousing, and Distributing Services
</t>
    </r>
    <r>
      <rPr>
        <b/>
        <sz val="11"/>
        <color theme="1"/>
        <rFont val="Calibri"/>
        <family val="2"/>
        <scheme val="minor"/>
      </rPr>
      <t>2530</t>
    </r>
    <r>
      <rPr>
        <sz val="11"/>
        <color theme="1"/>
        <rFont val="Calibri"/>
        <family val="2"/>
        <scheme val="minor"/>
      </rPr>
      <t xml:space="preserve"> - Printing, Publishing, and Duplicating Services
</t>
    </r>
    <r>
      <rPr>
        <b/>
        <sz val="11"/>
        <color theme="1"/>
        <rFont val="Calibri"/>
        <family val="2"/>
        <scheme val="minor"/>
      </rPr>
      <t>2540</t>
    </r>
    <r>
      <rPr>
        <sz val="11"/>
        <color theme="1"/>
        <rFont val="Calibri"/>
        <family val="2"/>
        <scheme val="minor"/>
      </rPr>
      <t xml:space="preserve"> - Planning, Research, Development, and Evaluation Services
</t>
    </r>
    <r>
      <rPr>
        <b/>
        <sz val="11"/>
        <color theme="1"/>
        <rFont val="Calibri"/>
        <family val="2"/>
        <scheme val="minor"/>
      </rPr>
      <t>2560</t>
    </r>
    <r>
      <rPr>
        <sz val="11"/>
        <color theme="1"/>
        <rFont val="Calibri"/>
        <family val="2"/>
        <scheme val="minor"/>
      </rPr>
      <t xml:space="preserve"> - Public Information Services
</t>
    </r>
    <r>
      <rPr>
        <b/>
        <sz val="11"/>
        <color theme="1"/>
        <rFont val="Calibri"/>
        <family val="2"/>
        <scheme val="minor"/>
      </rPr>
      <t>2570</t>
    </r>
    <r>
      <rPr>
        <sz val="11"/>
        <color theme="1"/>
        <rFont val="Calibri"/>
        <family val="2"/>
        <scheme val="minor"/>
      </rPr>
      <t xml:space="preserve"> - Personnel Services
</t>
    </r>
    <r>
      <rPr>
        <b/>
        <sz val="11"/>
        <color theme="1"/>
        <rFont val="Calibri"/>
        <family val="2"/>
        <scheme val="minor"/>
      </rPr>
      <t>2580</t>
    </r>
    <r>
      <rPr>
        <sz val="11"/>
        <color theme="1"/>
        <rFont val="Calibri"/>
        <family val="2"/>
        <scheme val="minor"/>
      </rPr>
      <t xml:space="preserve"> - Administrative Technology Services
</t>
    </r>
    <r>
      <rPr>
        <b/>
        <sz val="11"/>
        <color theme="1"/>
        <rFont val="Calibri"/>
        <family val="2"/>
        <scheme val="minor"/>
      </rPr>
      <t>2590</t>
    </r>
    <r>
      <rPr>
        <sz val="11"/>
        <color theme="1"/>
        <rFont val="Calibri"/>
        <family val="2"/>
        <scheme val="minor"/>
      </rPr>
      <t xml:space="preserve"> - Other Support Services-Central Services
</t>
    </r>
    <r>
      <rPr>
        <b/>
        <sz val="11"/>
        <color theme="1"/>
        <rFont val="Calibri"/>
        <family val="2"/>
        <scheme val="minor"/>
      </rPr>
      <t>2600</t>
    </r>
    <r>
      <rPr>
        <sz val="11"/>
        <color theme="1"/>
        <rFont val="Calibri"/>
        <family val="2"/>
        <scheme val="minor"/>
      </rPr>
      <t xml:space="preserve"> - Operation and Maintenance of Plant
</t>
    </r>
    <r>
      <rPr>
        <b/>
        <sz val="11"/>
        <color theme="1"/>
        <rFont val="Calibri"/>
        <family val="2"/>
        <scheme val="minor"/>
      </rPr>
      <t>2610</t>
    </r>
    <r>
      <rPr>
        <sz val="11"/>
        <color theme="1"/>
        <rFont val="Calibri"/>
        <family val="2"/>
        <scheme val="minor"/>
      </rPr>
      <t xml:space="preserve"> - Operation of Buildings
</t>
    </r>
    <r>
      <rPr>
        <b/>
        <sz val="11"/>
        <color theme="1"/>
        <rFont val="Calibri"/>
        <family val="2"/>
        <scheme val="minor"/>
      </rPr>
      <t>2620</t>
    </r>
    <r>
      <rPr>
        <sz val="11"/>
        <color theme="1"/>
        <rFont val="Calibri"/>
        <family val="2"/>
        <scheme val="minor"/>
      </rPr>
      <t xml:space="preserve"> - Maintenance of Buildings
</t>
    </r>
    <r>
      <rPr>
        <b/>
        <sz val="11"/>
        <color theme="1"/>
        <rFont val="Calibri"/>
        <family val="2"/>
        <scheme val="minor"/>
      </rPr>
      <t>2630</t>
    </r>
    <r>
      <rPr>
        <sz val="11"/>
        <color theme="1"/>
        <rFont val="Calibri"/>
        <family val="2"/>
        <scheme val="minor"/>
      </rPr>
      <t xml:space="preserve"> - Care and Upkeep of Grounds
</t>
    </r>
    <r>
      <rPr>
        <b/>
        <sz val="11"/>
        <color theme="1"/>
        <rFont val="Calibri"/>
        <family val="2"/>
        <scheme val="minor"/>
      </rPr>
      <t>2640</t>
    </r>
    <r>
      <rPr>
        <sz val="11"/>
        <color theme="1"/>
        <rFont val="Calibri"/>
        <family val="2"/>
        <scheme val="minor"/>
      </rPr>
      <t xml:space="preserve"> - Care and Upkeep of Equipment
</t>
    </r>
    <r>
      <rPr>
        <b/>
        <sz val="11"/>
        <color theme="1"/>
        <rFont val="Calibri"/>
        <family val="2"/>
        <scheme val="minor"/>
      </rPr>
      <t>2650</t>
    </r>
    <r>
      <rPr>
        <sz val="11"/>
        <color theme="1"/>
        <rFont val="Calibri"/>
        <family val="2"/>
        <scheme val="minor"/>
      </rPr>
      <t xml:space="preserve"> - Vehicle Operation and Maintenance (Other Than Student Transportation Vehicles)
</t>
    </r>
    <r>
      <rPr>
        <b/>
        <sz val="11"/>
        <color theme="1"/>
        <rFont val="Calibri"/>
        <family val="2"/>
        <scheme val="minor"/>
      </rPr>
      <t>2660</t>
    </r>
    <r>
      <rPr>
        <sz val="11"/>
        <color theme="1"/>
        <rFont val="Calibri"/>
        <family val="2"/>
        <scheme val="minor"/>
      </rPr>
      <t xml:space="preserve"> - Security
</t>
    </r>
    <r>
      <rPr>
        <b/>
        <sz val="11"/>
        <color theme="1"/>
        <rFont val="Calibri"/>
        <family val="2"/>
        <scheme val="minor"/>
      </rPr>
      <t>2670</t>
    </r>
    <r>
      <rPr>
        <sz val="11"/>
        <color theme="1"/>
        <rFont val="Calibri"/>
        <family val="2"/>
        <scheme val="minor"/>
      </rPr>
      <t xml:space="preserve"> - Safety
</t>
    </r>
    <r>
      <rPr>
        <b/>
        <sz val="11"/>
        <color theme="1"/>
        <rFont val="Calibri"/>
        <family val="2"/>
        <scheme val="minor"/>
      </rPr>
      <t>2680</t>
    </r>
    <r>
      <rPr>
        <sz val="11"/>
        <color theme="1"/>
        <rFont val="Calibri"/>
        <family val="2"/>
        <scheme val="minor"/>
      </rPr>
      <t xml:space="preserve"> - Other Operation and Maintenance of Plant
</t>
    </r>
    <r>
      <rPr>
        <b/>
        <sz val="11"/>
        <color theme="1"/>
        <rFont val="Calibri"/>
        <family val="2"/>
        <scheme val="minor"/>
      </rPr>
      <t>2700</t>
    </r>
    <r>
      <rPr>
        <sz val="11"/>
        <color theme="1"/>
        <rFont val="Calibri"/>
        <family val="2"/>
        <scheme val="minor"/>
      </rPr>
      <t xml:space="preserve"> - Student Transportation
</t>
    </r>
    <r>
      <rPr>
        <b/>
        <sz val="11"/>
        <color theme="1"/>
        <rFont val="Calibri"/>
        <family val="2"/>
        <scheme val="minor"/>
      </rPr>
      <t>2710</t>
    </r>
    <r>
      <rPr>
        <sz val="11"/>
        <color theme="1"/>
        <rFont val="Calibri"/>
        <family val="2"/>
        <scheme val="minor"/>
      </rPr>
      <t xml:space="preserve"> - Vehicle Operation
</t>
    </r>
    <r>
      <rPr>
        <b/>
        <sz val="11"/>
        <color theme="1"/>
        <rFont val="Calibri"/>
        <family val="2"/>
        <scheme val="minor"/>
      </rPr>
      <t>2720</t>
    </r>
    <r>
      <rPr>
        <sz val="11"/>
        <color theme="1"/>
        <rFont val="Calibri"/>
        <family val="2"/>
        <scheme val="minor"/>
      </rPr>
      <t xml:space="preserve"> - Monitoring Services
</t>
    </r>
    <r>
      <rPr>
        <b/>
        <sz val="11"/>
        <color theme="1"/>
        <rFont val="Calibri"/>
        <family val="2"/>
        <scheme val="minor"/>
      </rPr>
      <t>2730</t>
    </r>
    <r>
      <rPr>
        <sz val="11"/>
        <color theme="1"/>
        <rFont val="Calibri"/>
        <family val="2"/>
        <scheme val="minor"/>
      </rPr>
      <t xml:space="preserve"> - Vehicle Servicing and Maintenance
</t>
    </r>
    <r>
      <rPr>
        <b/>
        <sz val="11"/>
        <color theme="1"/>
        <rFont val="Calibri"/>
        <family val="2"/>
        <scheme val="minor"/>
      </rPr>
      <t>2790</t>
    </r>
    <r>
      <rPr>
        <sz val="11"/>
        <color theme="1"/>
        <rFont val="Calibri"/>
        <family val="2"/>
        <scheme val="minor"/>
      </rPr>
      <t xml:space="preserve"> - Other Student Transportation Services
</t>
    </r>
    <r>
      <rPr>
        <b/>
        <sz val="11"/>
        <color theme="1"/>
        <rFont val="Calibri"/>
        <family val="2"/>
        <scheme val="minor"/>
      </rPr>
      <t>2900</t>
    </r>
    <r>
      <rPr>
        <sz val="11"/>
        <color theme="1"/>
        <rFont val="Calibri"/>
        <family val="2"/>
        <scheme val="minor"/>
      </rPr>
      <t xml:space="preserve"> - Other Support Services
</t>
    </r>
    <r>
      <rPr>
        <b/>
        <sz val="11"/>
        <color theme="1"/>
        <rFont val="Calibri"/>
        <family val="2"/>
        <scheme val="minor"/>
      </rPr>
      <t>3000</t>
    </r>
    <r>
      <rPr>
        <sz val="11"/>
        <color theme="1"/>
        <rFont val="Calibri"/>
        <family val="2"/>
        <scheme val="minor"/>
      </rPr>
      <t xml:space="preserve"> - Operation of Noninstructional Services
</t>
    </r>
    <r>
      <rPr>
        <b/>
        <sz val="11"/>
        <color theme="1"/>
        <rFont val="Calibri"/>
        <family val="2"/>
        <scheme val="minor"/>
      </rPr>
      <t>3100</t>
    </r>
    <r>
      <rPr>
        <sz val="11"/>
        <color theme="1"/>
        <rFont val="Calibri"/>
        <family val="2"/>
        <scheme val="minor"/>
      </rPr>
      <t xml:space="preserve"> - Food Services Operations
</t>
    </r>
    <r>
      <rPr>
        <b/>
        <sz val="11"/>
        <color theme="1"/>
        <rFont val="Calibri"/>
        <family val="2"/>
        <scheme val="minor"/>
      </rPr>
      <t>3200</t>
    </r>
    <r>
      <rPr>
        <sz val="11"/>
        <color theme="1"/>
        <rFont val="Calibri"/>
        <family val="2"/>
        <scheme val="minor"/>
      </rPr>
      <t xml:space="preserve"> - Enterprise Operations
</t>
    </r>
    <r>
      <rPr>
        <b/>
        <sz val="11"/>
        <color theme="1"/>
        <rFont val="Calibri"/>
        <family val="2"/>
        <scheme val="minor"/>
      </rPr>
      <t>3300</t>
    </r>
    <r>
      <rPr>
        <sz val="11"/>
        <color theme="1"/>
        <rFont val="Calibri"/>
        <family val="2"/>
        <scheme val="minor"/>
      </rPr>
      <t xml:space="preserve"> - Community Services Operations
</t>
    </r>
    <r>
      <rPr>
        <b/>
        <sz val="11"/>
        <color theme="1"/>
        <rFont val="Calibri"/>
        <family val="2"/>
        <scheme val="minor"/>
      </rPr>
      <t>4000</t>
    </r>
    <r>
      <rPr>
        <sz val="11"/>
        <color theme="1"/>
        <rFont val="Calibri"/>
        <family val="2"/>
        <scheme val="minor"/>
      </rPr>
      <t xml:space="preserve"> - Facilities Acquisition and Construction
</t>
    </r>
    <r>
      <rPr>
        <b/>
        <sz val="11"/>
        <color theme="1"/>
        <rFont val="Calibri"/>
        <family val="2"/>
        <scheme val="minor"/>
      </rPr>
      <t>4100</t>
    </r>
    <r>
      <rPr>
        <sz val="11"/>
        <color theme="1"/>
        <rFont val="Calibri"/>
        <family val="2"/>
        <scheme val="minor"/>
      </rPr>
      <t xml:space="preserve"> - Land Acquisition
</t>
    </r>
    <r>
      <rPr>
        <b/>
        <sz val="11"/>
        <color theme="1"/>
        <rFont val="Calibri"/>
        <family val="2"/>
        <scheme val="minor"/>
      </rPr>
      <t>4200</t>
    </r>
    <r>
      <rPr>
        <sz val="11"/>
        <color theme="1"/>
        <rFont val="Calibri"/>
        <family val="2"/>
        <scheme val="minor"/>
      </rPr>
      <t xml:space="preserve"> - Land Improvement
</t>
    </r>
    <r>
      <rPr>
        <b/>
        <sz val="11"/>
        <color theme="1"/>
        <rFont val="Calibri"/>
        <family val="2"/>
        <scheme val="minor"/>
      </rPr>
      <t>4300</t>
    </r>
    <r>
      <rPr>
        <sz val="11"/>
        <color theme="1"/>
        <rFont val="Calibri"/>
        <family val="2"/>
        <scheme val="minor"/>
      </rPr>
      <t xml:space="preserve"> - Architecture and Engineering
</t>
    </r>
    <r>
      <rPr>
        <b/>
        <sz val="11"/>
        <color theme="1"/>
        <rFont val="Calibri"/>
        <family val="2"/>
        <scheme val="minor"/>
      </rPr>
      <t>4400</t>
    </r>
    <r>
      <rPr>
        <sz val="11"/>
        <color theme="1"/>
        <rFont val="Calibri"/>
        <family val="2"/>
        <scheme val="minor"/>
      </rPr>
      <t xml:space="preserve"> - Educational Specifications Development
</t>
    </r>
    <r>
      <rPr>
        <b/>
        <sz val="11"/>
        <color theme="1"/>
        <rFont val="Calibri"/>
        <family val="2"/>
        <scheme val="minor"/>
      </rPr>
      <t>4500</t>
    </r>
    <r>
      <rPr>
        <sz val="11"/>
        <color theme="1"/>
        <rFont val="Calibri"/>
        <family val="2"/>
        <scheme val="minor"/>
      </rPr>
      <t xml:space="preserve"> - Building Acquisition and Construction
</t>
    </r>
    <r>
      <rPr>
        <b/>
        <sz val="11"/>
        <color theme="1"/>
        <rFont val="Calibri"/>
        <family val="2"/>
        <scheme val="minor"/>
      </rPr>
      <t>4600</t>
    </r>
    <r>
      <rPr>
        <sz val="11"/>
        <color theme="1"/>
        <rFont val="Calibri"/>
        <family val="2"/>
        <scheme val="minor"/>
      </rPr>
      <t xml:space="preserve"> - Site Improvements
</t>
    </r>
    <r>
      <rPr>
        <b/>
        <sz val="11"/>
        <color theme="1"/>
        <rFont val="Calibri"/>
        <family val="2"/>
        <scheme val="minor"/>
      </rPr>
      <t>4700</t>
    </r>
    <r>
      <rPr>
        <sz val="11"/>
        <color theme="1"/>
        <rFont val="Calibri"/>
        <family val="2"/>
        <scheme val="minor"/>
      </rPr>
      <t xml:space="preserve"> - Building Improvements
</t>
    </r>
    <r>
      <rPr>
        <b/>
        <sz val="11"/>
        <color theme="1"/>
        <rFont val="Calibri"/>
        <family val="2"/>
        <scheme val="minor"/>
      </rPr>
      <t>4900</t>
    </r>
    <r>
      <rPr>
        <sz val="11"/>
        <color theme="1"/>
        <rFont val="Calibri"/>
        <family val="2"/>
        <scheme val="minor"/>
      </rPr>
      <t xml:space="preserve"> - Other Facilities Acquisition and Construction
</t>
    </r>
    <r>
      <rPr>
        <b/>
        <sz val="11"/>
        <color theme="1"/>
        <rFont val="Calibri"/>
        <family val="2"/>
        <scheme val="minor"/>
      </rPr>
      <t>5000</t>
    </r>
    <r>
      <rPr>
        <sz val="11"/>
        <color theme="1"/>
        <rFont val="Calibri"/>
        <family val="2"/>
        <scheme val="minor"/>
      </rPr>
      <t xml:space="preserve"> - Debt Service
</t>
    </r>
  </si>
  <si>
    <r>
      <t>100</t>
    </r>
    <r>
      <rPr>
        <sz val="11"/>
        <color theme="1"/>
        <rFont val="Calibri"/>
        <family val="2"/>
        <scheme val="minor"/>
      </rPr>
      <t xml:space="preserve"> - Personal Services-Salaries
</t>
    </r>
    <r>
      <rPr>
        <b/>
        <sz val="11"/>
        <color theme="1"/>
        <rFont val="Calibri"/>
        <family val="2"/>
        <scheme val="minor"/>
      </rPr>
      <t>101</t>
    </r>
    <r>
      <rPr>
        <sz val="11"/>
        <color theme="1"/>
        <rFont val="Calibri"/>
        <family val="2"/>
        <scheme val="minor"/>
      </rPr>
      <t xml:space="preserve"> - Salaries Paid to Teachers
</t>
    </r>
    <r>
      <rPr>
        <b/>
        <sz val="11"/>
        <color theme="1"/>
        <rFont val="Calibri"/>
        <family val="2"/>
        <scheme val="minor"/>
      </rPr>
      <t>102</t>
    </r>
    <r>
      <rPr>
        <sz val="11"/>
        <color theme="1"/>
        <rFont val="Calibri"/>
        <family val="2"/>
        <scheme val="minor"/>
      </rPr>
      <t xml:space="preserve"> - Salaries Paid to Instructional Aides or Assistants
</t>
    </r>
    <r>
      <rPr>
        <b/>
        <sz val="11"/>
        <color theme="1"/>
        <rFont val="Calibri"/>
        <family val="2"/>
        <scheme val="minor"/>
      </rPr>
      <t>103</t>
    </r>
    <r>
      <rPr>
        <sz val="11"/>
        <color theme="1"/>
        <rFont val="Calibri"/>
        <family val="2"/>
        <scheme val="minor"/>
      </rPr>
      <t xml:space="preserve"> - Salaries Paid to Substitute Teachers
</t>
    </r>
    <r>
      <rPr>
        <b/>
        <sz val="11"/>
        <color theme="1"/>
        <rFont val="Calibri"/>
        <family val="2"/>
        <scheme val="minor"/>
      </rPr>
      <t>110</t>
    </r>
    <r>
      <rPr>
        <sz val="11"/>
        <color theme="1"/>
        <rFont val="Calibri"/>
        <family val="2"/>
        <scheme val="minor"/>
      </rPr>
      <t xml:space="preserve"> - Salaries of Regular Employees
</t>
    </r>
    <r>
      <rPr>
        <b/>
        <sz val="11"/>
        <color theme="1"/>
        <rFont val="Calibri"/>
        <family val="2"/>
        <scheme val="minor"/>
      </rPr>
      <t>111</t>
    </r>
    <r>
      <rPr>
        <sz val="11"/>
        <color theme="1"/>
        <rFont val="Calibri"/>
        <family val="2"/>
        <scheme val="minor"/>
      </rPr>
      <t xml:space="preserve"> - Salaries of Regular Employees Paid to Teachers
</t>
    </r>
    <r>
      <rPr>
        <b/>
        <sz val="11"/>
        <color theme="1"/>
        <rFont val="Calibri"/>
        <family val="2"/>
        <scheme val="minor"/>
      </rPr>
      <t>112</t>
    </r>
    <r>
      <rPr>
        <sz val="11"/>
        <color theme="1"/>
        <rFont val="Calibri"/>
        <family val="2"/>
        <scheme val="minor"/>
      </rPr>
      <t xml:space="preserve"> - Salaries of Regular Employees Paid to Instructional Aides and Assistants
</t>
    </r>
    <r>
      <rPr>
        <b/>
        <sz val="11"/>
        <color theme="1"/>
        <rFont val="Calibri"/>
        <family val="2"/>
        <scheme val="minor"/>
      </rPr>
      <t>113</t>
    </r>
    <r>
      <rPr>
        <sz val="11"/>
        <color theme="1"/>
        <rFont val="Calibri"/>
        <family val="2"/>
        <scheme val="minor"/>
      </rPr>
      <t xml:space="preserve"> - Salaries of Regular Employees Paid to Substitute Teachers
</t>
    </r>
    <r>
      <rPr>
        <b/>
        <sz val="11"/>
        <color theme="1"/>
        <rFont val="Calibri"/>
        <family val="2"/>
        <scheme val="minor"/>
      </rPr>
      <t>120</t>
    </r>
    <r>
      <rPr>
        <sz val="11"/>
        <color theme="1"/>
        <rFont val="Calibri"/>
        <family val="2"/>
        <scheme val="minor"/>
      </rPr>
      <t xml:space="preserve"> - Salaries of Temporary Employees
</t>
    </r>
    <r>
      <rPr>
        <b/>
        <sz val="11"/>
        <color theme="1"/>
        <rFont val="Calibri"/>
        <family val="2"/>
        <scheme val="minor"/>
      </rPr>
      <t>121</t>
    </r>
    <r>
      <rPr>
        <sz val="11"/>
        <color theme="1"/>
        <rFont val="Calibri"/>
        <family val="2"/>
        <scheme val="minor"/>
      </rPr>
      <t xml:space="preserve"> - Salaries of Temporary Employees Paid to Teachers
</t>
    </r>
    <r>
      <rPr>
        <b/>
        <sz val="11"/>
        <color theme="1"/>
        <rFont val="Calibri"/>
        <family val="2"/>
        <scheme val="minor"/>
      </rPr>
      <t>122</t>
    </r>
    <r>
      <rPr>
        <sz val="11"/>
        <color theme="1"/>
        <rFont val="Calibri"/>
        <family val="2"/>
        <scheme val="minor"/>
      </rPr>
      <t xml:space="preserve"> - Salaries of Temporary Employees Paid to Instructional Aides and Assistants
</t>
    </r>
    <r>
      <rPr>
        <b/>
        <sz val="11"/>
        <color theme="1"/>
        <rFont val="Calibri"/>
        <family val="2"/>
        <scheme val="minor"/>
      </rPr>
      <t>123</t>
    </r>
    <r>
      <rPr>
        <sz val="11"/>
        <color theme="1"/>
        <rFont val="Calibri"/>
        <family val="2"/>
        <scheme val="minor"/>
      </rPr>
      <t xml:space="preserve"> - Salaries of Temporary Employees Paid to Substitute Teachers
</t>
    </r>
    <r>
      <rPr>
        <b/>
        <sz val="11"/>
        <color theme="1"/>
        <rFont val="Calibri"/>
        <family val="2"/>
        <scheme val="minor"/>
      </rPr>
      <t>130</t>
    </r>
    <r>
      <rPr>
        <sz val="11"/>
        <color theme="1"/>
        <rFont val="Calibri"/>
        <family val="2"/>
        <scheme val="minor"/>
      </rPr>
      <t xml:space="preserve"> - Salaries for Overtime
</t>
    </r>
    <r>
      <rPr>
        <b/>
        <sz val="11"/>
        <color theme="1"/>
        <rFont val="Calibri"/>
        <family val="2"/>
        <scheme val="minor"/>
      </rPr>
      <t>131</t>
    </r>
    <r>
      <rPr>
        <sz val="11"/>
        <color theme="1"/>
        <rFont val="Calibri"/>
        <family val="2"/>
        <scheme val="minor"/>
      </rPr>
      <t xml:space="preserve"> - Salaries for Overtime Employees Paid to Teachers
</t>
    </r>
    <r>
      <rPr>
        <b/>
        <sz val="11"/>
        <color theme="1"/>
        <rFont val="Calibri"/>
        <family val="2"/>
        <scheme val="minor"/>
      </rPr>
      <t>132</t>
    </r>
    <r>
      <rPr>
        <sz val="11"/>
        <color theme="1"/>
        <rFont val="Calibri"/>
        <family val="2"/>
        <scheme val="minor"/>
      </rPr>
      <t xml:space="preserve"> - Salaries for Overtime Employees Paid to Instructional Aides and Assistants
</t>
    </r>
    <r>
      <rPr>
        <b/>
        <sz val="11"/>
        <color theme="1"/>
        <rFont val="Calibri"/>
        <family val="2"/>
        <scheme val="minor"/>
      </rPr>
      <t>133</t>
    </r>
    <r>
      <rPr>
        <sz val="11"/>
        <color theme="1"/>
        <rFont val="Calibri"/>
        <family val="2"/>
        <scheme val="minor"/>
      </rPr>
      <t xml:space="preserve"> - Salaries for Overtime Employees Paid to Substitute Teachers
</t>
    </r>
    <r>
      <rPr>
        <b/>
        <sz val="11"/>
        <color theme="1"/>
        <rFont val="Calibri"/>
        <family val="2"/>
        <scheme val="minor"/>
      </rPr>
      <t>140</t>
    </r>
    <r>
      <rPr>
        <sz val="11"/>
        <color theme="1"/>
        <rFont val="Calibri"/>
        <family val="2"/>
        <scheme val="minor"/>
      </rPr>
      <t xml:space="preserve"> - Salaries for Sabbatical Leave
</t>
    </r>
    <r>
      <rPr>
        <b/>
        <sz val="11"/>
        <color theme="1"/>
        <rFont val="Calibri"/>
        <family val="2"/>
        <scheme val="minor"/>
      </rPr>
      <t>141</t>
    </r>
    <r>
      <rPr>
        <sz val="11"/>
        <color theme="1"/>
        <rFont val="Calibri"/>
        <family val="2"/>
        <scheme val="minor"/>
      </rPr>
      <t xml:space="preserve"> - Salaries for Sabbatical Leave Paid to Teachers
</t>
    </r>
    <r>
      <rPr>
        <b/>
        <sz val="11"/>
        <color theme="1"/>
        <rFont val="Calibri"/>
        <family val="2"/>
        <scheme val="minor"/>
      </rPr>
      <t>142</t>
    </r>
    <r>
      <rPr>
        <sz val="11"/>
        <color theme="1"/>
        <rFont val="Calibri"/>
        <family val="2"/>
        <scheme val="minor"/>
      </rPr>
      <t xml:space="preserve"> - Salaries for Sabbatical Leave Paid to Instructional Aides and Assistants
</t>
    </r>
    <r>
      <rPr>
        <b/>
        <sz val="11"/>
        <color theme="1"/>
        <rFont val="Calibri"/>
        <family val="2"/>
        <scheme val="minor"/>
      </rPr>
      <t>143</t>
    </r>
    <r>
      <rPr>
        <sz val="11"/>
        <color theme="1"/>
        <rFont val="Calibri"/>
        <family val="2"/>
        <scheme val="minor"/>
      </rPr>
      <t xml:space="preserve"> - Salaries for Sabbatical Leave Paid to Substitute Teachers
</t>
    </r>
    <r>
      <rPr>
        <b/>
        <sz val="11"/>
        <color theme="1"/>
        <rFont val="Calibri"/>
        <family val="2"/>
        <scheme val="minor"/>
      </rPr>
      <t>150</t>
    </r>
    <r>
      <rPr>
        <sz val="11"/>
        <color theme="1"/>
        <rFont val="Calibri"/>
        <family val="2"/>
        <scheme val="minor"/>
      </rPr>
      <t xml:space="preserve"> - Additional Compensation Such as Bonuses or Incentives
</t>
    </r>
    <r>
      <rPr>
        <b/>
        <sz val="11"/>
        <color theme="1"/>
        <rFont val="Calibri"/>
        <family val="2"/>
        <scheme val="minor"/>
      </rPr>
      <t>151</t>
    </r>
    <r>
      <rPr>
        <sz val="11"/>
        <color theme="1"/>
        <rFont val="Calibri"/>
        <family val="2"/>
        <scheme val="minor"/>
      </rPr>
      <t xml:space="preserve"> - Additional Compensation Paid to Teachers
</t>
    </r>
    <r>
      <rPr>
        <b/>
        <sz val="11"/>
        <color theme="1"/>
        <rFont val="Calibri"/>
        <family val="2"/>
        <scheme val="minor"/>
      </rPr>
      <t>152</t>
    </r>
    <r>
      <rPr>
        <sz val="11"/>
        <color theme="1"/>
        <rFont val="Calibri"/>
        <family val="2"/>
        <scheme val="minor"/>
      </rPr>
      <t xml:space="preserve"> - Additional Compensation Paid to Instructional Aides and Assistants
</t>
    </r>
    <r>
      <rPr>
        <b/>
        <sz val="11"/>
        <color theme="1"/>
        <rFont val="Calibri"/>
        <family val="2"/>
        <scheme val="minor"/>
      </rPr>
      <t>153</t>
    </r>
    <r>
      <rPr>
        <sz val="11"/>
        <color theme="1"/>
        <rFont val="Calibri"/>
        <family val="2"/>
        <scheme val="minor"/>
      </rPr>
      <t xml:space="preserve"> - Additional Compensation Paid to Substitute Teachers
</t>
    </r>
    <r>
      <rPr>
        <b/>
        <sz val="11"/>
        <color theme="1"/>
        <rFont val="Calibri"/>
        <family val="2"/>
        <scheme val="minor"/>
      </rPr>
      <t>200</t>
    </r>
    <r>
      <rPr>
        <sz val="11"/>
        <color theme="1"/>
        <rFont val="Calibri"/>
        <family val="2"/>
        <scheme val="minor"/>
      </rPr>
      <t xml:space="preserve"> - Personal Services-Employee Benefits
</t>
    </r>
    <r>
      <rPr>
        <b/>
        <sz val="11"/>
        <color theme="1"/>
        <rFont val="Calibri"/>
        <family val="2"/>
        <scheme val="minor"/>
      </rPr>
      <t>201</t>
    </r>
    <r>
      <rPr>
        <sz val="11"/>
        <color theme="1"/>
        <rFont val="Calibri"/>
        <family val="2"/>
        <scheme val="minor"/>
      </rPr>
      <t xml:space="preserve"> - Employee Benefits for Teachers
</t>
    </r>
    <r>
      <rPr>
        <b/>
        <sz val="11"/>
        <color theme="1"/>
        <rFont val="Calibri"/>
        <family val="2"/>
        <scheme val="minor"/>
      </rPr>
      <t>202</t>
    </r>
    <r>
      <rPr>
        <sz val="11"/>
        <color theme="1"/>
        <rFont val="Calibri"/>
        <family val="2"/>
        <scheme val="minor"/>
      </rPr>
      <t xml:space="preserve"> - Employee Benefits for Instructional Aides or Assistants
</t>
    </r>
    <r>
      <rPr>
        <b/>
        <sz val="11"/>
        <color theme="1"/>
        <rFont val="Calibri"/>
        <family val="2"/>
        <scheme val="minor"/>
      </rPr>
      <t>203</t>
    </r>
    <r>
      <rPr>
        <sz val="11"/>
        <color theme="1"/>
        <rFont val="Calibri"/>
        <family val="2"/>
        <scheme val="minor"/>
      </rPr>
      <t xml:space="preserve"> - Employee Benefits for Substitute Teachers
</t>
    </r>
    <r>
      <rPr>
        <b/>
        <sz val="11"/>
        <color theme="1"/>
        <rFont val="Calibri"/>
        <family val="2"/>
        <scheme val="minor"/>
      </rPr>
      <t>210</t>
    </r>
    <r>
      <rPr>
        <sz val="11"/>
        <color theme="1"/>
        <rFont val="Calibri"/>
        <family val="2"/>
        <scheme val="minor"/>
      </rPr>
      <t xml:space="preserve"> - Group Insurance
</t>
    </r>
    <r>
      <rPr>
        <b/>
        <sz val="11"/>
        <color theme="1"/>
        <rFont val="Calibri"/>
        <family val="2"/>
        <scheme val="minor"/>
      </rPr>
      <t>211</t>
    </r>
    <r>
      <rPr>
        <sz val="11"/>
        <color theme="1"/>
        <rFont val="Calibri"/>
        <family val="2"/>
        <scheme val="minor"/>
      </rPr>
      <t xml:space="preserve"> - Group Insurance for Teachers
</t>
    </r>
    <r>
      <rPr>
        <b/>
        <sz val="11"/>
        <color theme="1"/>
        <rFont val="Calibri"/>
        <family val="2"/>
        <scheme val="minor"/>
      </rPr>
      <t>212</t>
    </r>
    <r>
      <rPr>
        <sz val="11"/>
        <color theme="1"/>
        <rFont val="Calibri"/>
        <family val="2"/>
        <scheme val="minor"/>
      </rPr>
      <t xml:space="preserve"> - Group Insurance for Instructional Aides or Assistants
</t>
    </r>
    <r>
      <rPr>
        <b/>
        <sz val="11"/>
        <color theme="1"/>
        <rFont val="Calibri"/>
        <family val="2"/>
        <scheme val="minor"/>
      </rPr>
      <t>213</t>
    </r>
    <r>
      <rPr>
        <sz val="11"/>
        <color theme="1"/>
        <rFont val="Calibri"/>
        <family val="2"/>
        <scheme val="minor"/>
      </rPr>
      <t xml:space="preserve"> - Group Insurance for Substitute Teachers
</t>
    </r>
    <r>
      <rPr>
        <b/>
        <sz val="11"/>
        <color theme="1"/>
        <rFont val="Calibri"/>
        <family val="2"/>
        <scheme val="minor"/>
      </rPr>
      <t>220</t>
    </r>
    <r>
      <rPr>
        <sz val="11"/>
        <color theme="1"/>
        <rFont val="Calibri"/>
        <family val="2"/>
        <scheme val="minor"/>
      </rPr>
      <t xml:space="preserve"> - Social Security Contributions
</t>
    </r>
    <r>
      <rPr>
        <b/>
        <sz val="11"/>
        <color theme="1"/>
        <rFont val="Calibri"/>
        <family val="2"/>
        <scheme val="minor"/>
      </rPr>
      <t>221</t>
    </r>
    <r>
      <rPr>
        <sz val="11"/>
        <color theme="1"/>
        <rFont val="Calibri"/>
        <family val="2"/>
        <scheme val="minor"/>
      </rPr>
      <t xml:space="preserve"> - Social Security Payments for Teachers
</t>
    </r>
    <r>
      <rPr>
        <b/>
        <sz val="11"/>
        <color theme="1"/>
        <rFont val="Calibri"/>
        <family val="2"/>
        <scheme val="minor"/>
      </rPr>
      <t>222</t>
    </r>
    <r>
      <rPr>
        <sz val="11"/>
        <color theme="1"/>
        <rFont val="Calibri"/>
        <family val="2"/>
        <scheme val="minor"/>
      </rPr>
      <t xml:space="preserve"> - Social Security Payments for Instructional Aides or Assistants
</t>
    </r>
    <r>
      <rPr>
        <b/>
        <sz val="11"/>
        <color theme="1"/>
        <rFont val="Calibri"/>
        <family val="2"/>
        <scheme val="minor"/>
      </rPr>
      <t>223</t>
    </r>
    <r>
      <rPr>
        <sz val="11"/>
        <color theme="1"/>
        <rFont val="Calibri"/>
        <family val="2"/>
        <scheme val="minor"/>
      </rPr>
      <t xml:space="preserve"> - Social Security Payments for Substitute Teachers
</t>
    </r>
    <r>
      <rPr>
        <b/>
        <sz val="11"/>
        <color theme="1"/>
        <rFont val="Calibri"/>
        <family val="2"/>
        <scheme val="minor"/>
      </rPr>
      <t>230</t>
    </r>
    <r>
      <rPr>
        <sz val="11"/>
        <color theme="1"/>
        <rFont val="Calibri"/>
        <family val="2"/>
        <scheme val="minor"/>
      </rPr>
      <t xml:space="preserve"> - Retirement Contributions
</t>
    </r>
    <r>
      <rPr>
        <b/>
        <sz val="11"/>
        <color theme="1"/>
        <rFont val="Calibri"/>
        <family val="2"/>
        <scheme val="minor"/>
      </rPr>
      <t>231</t>
    </r>
    <r>
      <rPr>
        <sz val="11"/>
        <color theme="1"/>
        <rFont val="Calibri"/>
        <family val="2"/>
        <scheme val="minor"/>
      </rPr>
      <t xml:space="preserve"> - Retirement Contributions for Teachers
</t>
    </r>
    <r>
      <rPr>
        <b/>
        <sz val="11"/>
        <color theme="1"/>
        <rFont val="Calibri"/>
        <family val="2"/>
        <scheme val="minor"/>
      </rPr>
      <t>232</t>
    </r>
    <r>
      <rPr>
        <sz val="11"/>
        <color theme="1"/>
        <rFont val="Calibri"/>
        <family val="2"/>
        <scheme val="minor"/>
      </rPr>
      <t xml:space="preserve"> - Retirement Contributions for Instructional Aides or Assistants
</t>
    </r>
    <r>
      <rPr>
        <b/>
        <sz val="11"/>
        <color theme="1"/>
        <rFont val="Calibri"/>
        <family val="2"/>
        <scheme val="minor"/>
      </rPr>
      <t>233</t>
    </r>
    <r>
      <rPr>
        <sz val="11"/>
        <color theme="1"/>
        <rFont val="Calibri"/>
        <family val="2"/>
        <scheme val="minor"/>
      </rPr>
      <t xml:space="preserve"> - Retirement Contributions for Substitute Teachers
</t>
    </r>
    <r>
      <rPr>
        <b/>
        <sz val="11"/>
        <color theme="1"/>
        <rFont val="Calibri"/>
        <family val="2"/>
        <scheme val="minor"/>
      </rPr>
      <t>240</t>
    </r>
    <r>
      <rPr>
        <sz val="11"/>
        <color theme="1"/>
        <rFont val="Calibri"/>
        <family val="2"/>
        <scheme val="minor"/>
      </rPr>
      <t xml:space="preserve"> - On-Behalf Payments
</t>
    </r>
    <r>
      <rPr>
        <b/>
        <sz val="11"/>
        <color theme="1"/>
        <rFont val="Calibri"/>
        <family val="2"/>
        <scheme val="minor"/>
      </rPr>
      <t>241</t>
    </r>
    <r>
      <rPr>
        <sz val="11"/>
        <color theme="1"/>
        <rFont val="Calibri"/>
        <family val="2"/>
        <scheme val="minor"/>
      </rPr>
      <t xml:space="preserve"> - On-Behalf Payments for Teachers
</t>
    </r>
    <r>
      <rPr>
        <b/>
        <sz val="11"/>
        <color theme="1"/>
        <rFont val="Calibri"/>
        <family val="2"/>
        <scheme val="minor"/>
      </rPr>
      <t>242</t>
    </r>
    <r>
      <rPr>
        <sz val="11"/>
        <color theme="1"/>
        <rFont val="Calibri"/>
        <family val="2"/>
        <scheme val="minor"/>
      </rPr>
      <t xml:space="preserve"> - On-Behalf Payments for Instructional Aides or Assistants
</t>
    </r>
    <r>
      <rPr>
        <b/>
        <sz val="11"/>
        <color theme="1"/>
        <rFont val="Calibri"/>
        <family val="2"/>
        <scheme val="minor"/>
      </rPr>
      <t>243</t>
    </r>
    <r>
      <rPr>
        <sz val="11"/>
        <color theme="1"/>
        <rFont val="Calibri"/>
        <family val="2"/>
        <scheme val="minor"/>
      </rPr>
      <t xml:space="preserve"> - On-Behalf Payments for Substitute Teachers
</t>
    </r>
    <r>
      <rPr>
        <b/>
        <sz val="11"/>
        <color theme="1"/>
        <rFont val="Calibri"/>
        <family val="2"/>
        <scheme val="minor"/>
      </rPr>
      <t>250</t>
    </r>
    <r>
      <rPr>
        <sz val="11"/>
        <color theme="1"/>
        <rFont val="Calibri"/>
        <family val="2"/>
        <scheme val="minor"/>
      </rPr>
      <t xml:space="preserve"> - Tuition Reimbursement
</t>
    </r>
    <r>
      <rPr>
        <b/>
        <sz val="11"/>
        <color theme="1"/>
        <rFont val="Calibri"/>
        <family val="2"/>
        <scheme val="minor"/>
      </rPr>
      <t>251</t>
    </r>
    <r>
      <rPr>
        <sz val="11"/>
        <color theme="1"/>
        <rFont val="Calibri"/>
        <family val="2"/>
        <scheme val="minor"/>
      </rPr>
      <t xml:space="preserve"> - Tuition Reimbursement for Teachers
</t>
    </r>
    <r>
      <rPr>
        <b/>
        <sz val="11"/>
        <color theme="1"/>
        <rFont val="Calibri"/>
        <family val="2"/>
        <scheme val="minor"/>
      </rPr>
      <t>252</t>
    </r>
    <r>
      <rPr>
        <sz val="11"/>
        <color theme="1"/>
        <rFont val="Calibri"/>
        <family val="2"/>
        <scheme val="minor"/>
      </rPr>
      <t xml:space="preserve"> - Tuition Reimbursement for Instructional Aides or Assistants
</t>
    </r>
    <r>
      <rPr>
        <b/>
        <sz val="11"/>
        <color theme="1"/>
        <rFont val="Calibri"/>
        <family val="2"/>
        <scheme val="minor"/>
      </rPr>
      <t>253</t>
    </r>
    <r>
      <rPr>
        <sz val="11"/>
        <color theme="1"/>
        <rFont val="Calibri"/>
        <family val="2"/>
        <scheme val="minor"/>
      </rPr>
      <t xml:space="preserve"> - Tuition Reimbursement for Substitute Teachers
</t>
    </r>
    <r>
      <rPr>
        <b/>
        <sz val="11"/>
        <color theme="1"/>
        <rFont val="Calibri"/>
        <family val="2"/>
        <scheme val="minor"/>
      </rPr>
      <t>260</t>
    </r>
    <r>
      <rPr>
        <sz val="11"/>
        <color theme="1"/>
        <rFont val="Calibri"/>
        <family val="2"/>
        <scheme val="minor"/>
      </rPr>
      <t xml:space="preserve"> - Unemployment Compensation
</t>
    </r>
    <r>
      <rPr>
        <b/>
        <sz val="11"/>
        <color theme="1"/>
        <rFont val="Calibri"/>
        <family val="2"/>
        <scheme val="minor"/>
      </rPr>
      <t>261</t>
    </r>
    <r>
      <rPr>
        <sz val="11"/>
        <color theme="1"/>
        <rFont val="Calibri"/>
        <family val="2"/>
        <scheme val="minor"/>
      </rPr>
      <t xml:space="preserve"> - Unemployment Compensation Paid for Teachers
</t>
    </r>
    <r>
      <rPr>
        <b/>
        <sz val="11"/>
        <color theme="1"/>
        <rFont val="Calibri"/>
        <family val="2"/>
        <scheme val="minor"/>
      </rPr>
      <t>262</t>
    </r>
    <r>
      <rPr>
        <sz val="11"/>
        <color theme="1"/>
        <rFont val="Calibri"/>
        <family val="2"/>
        <scheme val="minor"/>
      </rPr>
      <t xml:space="preserve"> - Unemployment Compensation Paid for Instructional Aides or Assistants
</t>
    </r>
    <r>
      <rPr>
        <b/>
        <sz val="11"/>
        <color theme="1"/>
        <rFont val="Calibri"/>
        <family val="2"/>
        <scheme val="minor"/>
      </rPr>
      <t>263</t>
    </r>
    <r>
      <rPr>
        <sz val="11"/>
        <color theme="1"/>
        <rFont val="Calibri"/>
        <family val="2"/>
        <scheme val="minor"/>
      </rPr>
      <t xml:space="preserve"> - Unemployment Compensation Paid for Substitute Teachers
</t>
    </r>
    <r>
      <rPr>
        <b/>
        <sz val="11"/>
        <color theme="1"/>
        <rFont val="Calibri"/>
        <family val="2"/>
        <scheme val="minor"/>
      </rPr>
      <t>270</t>
    </r>
    <r>
      <rPr>
        <sz val="11"/>
        <color theme="1"/>
        <rFont val="Calibri"/>
        <family val="2"/>
        <scheme val="minor"/>
      </rPr>
      <t xml:space="preserve"> - Workers' Compensation
</t>
    </r>
    <r>
      <rPr>
        <b/>
        <sz val="11"/>
        <color theme="1"/>
        <rFont val="Calibri"/>
        <family val="2"/>
        <scheme val="minor"/>
      </rPr>
      <t>271</t>
    </r>
    <r>
      <rPr>
        <sz val="11"/>
        <color theme="1"/>
        <rFont val="Calibri"/>
        <family val="2"/>
        <scheme val="minor"/>
      </rPr>
      <t xml:space="preserve"> - Worker's Compensation Paid for Teachers
</t>
    </r>
    <r>
      <rPr>
        <b/>
        <sz val="11"/>
        <color theme="1"/>
        <rFont val="Calibri"/>
        <family val="2"/>
        <scheme val="minor"/>
      </rPr>
      <t>272</t>
    </r>
    <r>
      <rPr>
        <sz val="11"/>
        <color theme="1"/>
        <rFont val="Calibri"/>
        <family val="2"/>
        <scheme val="minor"/>
      </rPr>
      <t xml:space="preserve"> - Worker's Compensation Paid for Instructional Aides or Assistants
</t>
    </r>
    <r>
      <rPr>
        <b/>
        <sz val="11"/>
        <color theme="1"/>
        <rFont val="Calibri"/>
        <family val="2"/>
        <scheme val="minor"/>
      </rPr>
      <t>273</t>
    </r>
    <r>
      <rPr>
        <sz val="11"/>
        <color theme="1"/>
        <rFont val="Calibri"/>
        <family val="2"/>
        <scheme val="minor"/>
      </rPr>
      <t xml:space="preserve"> - Worker's Compensation for Substitute Teachers
</t>
    </r>
    <r>
      <rPr>
        <b/>
        <sz val="11"/>
        <color theme="1"/>
        <rFont val="Calibri"/>
        <family val="2"/>
        <scheme val="minor"/>
      </rPr>
      <t>280</t>
    </r>
    <r>
      <rPr>
        <sz val="11"/>
        <color theme="1"/>
        <rFont val="Calibri"/>
        <family val="2"/>
        <scheme val="minor"/>
      </rPr>
      <t xml:space="preserve"> - Health Benefits
</t>
    </r>
    <r>
      <rPr>
        <b/>
        <sz val="11"/>
        <color theme="1"/>
        <rFont val="Calibri"/>
        <family val="2"/>
        <scheme val="minor"/>
      </rPr>
      <t>281</t>
    </r>
    <r>
      <rPr>
        <sz val="11"/>
        <color theme="1"/>
        <rFont val="Calibri"/>
        <family val="2"/>
        <scheme val="minor"/>
      </rPr>
      <t xml:space="preserve"> - Health Benefits Paid for Teachers
</t>
    </r>
    <r>
      <rPr>
        <b/>
        <sz val="11"/>
        <color theme="1"/>
        <rFont val="Calibri"/>
        <family val="2"/>
        <scheme val="minor"/>
      </rPr>
      <t>282</t>
    </r>
    <r>
      <rPr>
        <sz val="11"/>
        <color theme="1"/>
        <rFont val="Calibri"/>
        <family val="2"/>
        <scheme val="minor"/>
      </rPr>
      <t xml:space="preserve"> - Health Benefits Paid for Instructional Aides or Assistants
</t>
    </r>
    <r>
      <rPr>
        <b/>
        <sz val="11"/>
        <color theme="1"/>
        <rFont val="Calibri"/>
        <family val="2"/>
        <scheme val="minor"/>
      </rPr>
      <t>283</t>
    </r>
    <r>
      <rPr>
        <sz val="11"/>
        <color theme="1"/>
        <rFont val="Calibri"/>
        <family val="2"/>
        <scheme val="minor"/>
      </rPr>
      <t xml:space="preserve"> - Health Benefits Paid for Substitute Teachers
</t>
    </r>
    <r>
      <rPr>
        <b/>
        <sz val="11"/>
        <color theme="1"/>
        <rFont val="Calibri"/>
        <family val="2"/>
        <scheme val="minor"/>
      </rPr>
      <t>290</t>
    </r>
    <r>
      <rPr>
        <sz val="11"/>
        <color theme="1"/>
        <rFont val="Calibri"/>
        <family val="2"/>
        <scheme val="minor"/>
      </rPr>
      <t xml:space="preserve"> - Other Employee Benefits
</t>
    </r>
    <r>
      <rPr>
        <b/>
        <sz val="11"/>
        <color theme="1"/>
        <rFont val="Calibri"/>
        <family val="2"/>
        <scheme val="minor"/>
      </rPr>
      <t>291</t>
    </r>
    <r>
      <rPr>
        <sz val="11"/>
        <color theme="1"/>
        <rFont val="Calibri"/>
        <family val="2"/>
        <scheme val="minor"/>
      </rPr>
      <t xml:space="preserve"> - Other Employee Benefits Paid for Teachers
</t>
    </r>
    <r>
      <rPr>
        <b/>
        <sz val="11"/>
        <color theme="1"/>
        <rFont val="Calibri"/>
        <family val="2"/>
        <scheme val="minor"/>
      </rPr>
      <t>292</t>
    </r>
    <r>
      <rPr>
        <sz val="11"/>
        <color theme="1"/>
        <rFont val="Calibri"/>
        <family val="2"/>
        <scheme val="minor"/>
      </rPr>
      <t xml:space="preserve"> - Other Employee Benefits Paid for Instructional Aides or Assistants
</t>
    </r>
    <r>
      <rPr>
        <b/>
        <sz val="11"/>
        <color theme="1"/>
        <rFont val="Calibri"/>
        <family val="2"/>
        <scheme val="minor"/>
      </rPr>
      <t>293</t>
    </r>
    <r>
      <rPr>
        <sz val="11"/>
        <color theme="1"/>
        <rFont val="Calibri"/>
        <family val="2"/>
        <scheme val="minor"/>
      </rPr>
      <t xml:space="preserve"> - Other Employee Benefits for Substitute Teachers
</t>
    </r>
    <r>
      <rPr>
        <b/>
        <sz val="11"/>
        <color theme="1"/>
        <rFont val="Calibri"/>
        <family val="2"/>
        <scheme val="minor"/>
      </rPr>
      <t>300</t>
    </r>
    <r>
      <rPr>
        <sz val="11"/>
        <color theme="1"/>
        <rFont val="Calibri"/>
        <family val="2"/>
        <scheme val="minor"/>
      </rPr>
      <t xml:space="preserve"> - Purchased Professional and Technical Services
</t>
    </r>
    <r>
      <rPr>
        <b/>
        <sz val="11"/>
        <color theme="1"/>
        <rFont val="Calibri"/>
        <family val="2"/>
        <scheme val="minor"/>
      </rPr>
      <t>310</t>
    </r>
    <r>
      <rPr>
        <sz val="11"/>
        <color theme="1"/>
        <rFont val="Calibri"/>
        <family val="2"/>
        <scheme val="minor"/>
      </rPr>
      <t xml:space="preserve"> - Official/Administrative Services
</t>
    </r>
    <r>
      <rPr>
        <b/>
        <sz val="11"/>
        <color theme="1"/>
        <rFont val="Calibri"/>
        <family val="2"/>
        <scheme val="minor"/>
      </rPr>
      <t>320</t>
    </r>
    <r>
      <rPr>
        <sz val="11"/>
        <color theme="1"/>
        <rFont val="Calibri"/>
        <family val="2"/>
        <scheme val="minor"/>
      </rPr>
      <t xml:space="preserve"> - Professional Educational Services
</t>
    </r>
    <r>
      <rPr>
        <b/>
        <sz val="11"/>
        <color theme="1"/>
        <rFont val="Calibri"/>
        <family val="2"/>
        <scheme val="minor"/>
      </rPr>
      <t>330</t>
    </r>
    <r>
      <rPr>
        <sz val="11"/>
        <color theme="1"/>
        <rFont val="Calibri"/>
        <family val="2"/>
        <scheme val="minor"/>
      </rPr>
      <t xml:space="preserve"> - Employee Training and Development Services
</t>
    </r>
    <r>
      <rPr>
        <b/>
        <sz val="11"/>
        <color theme="1"/>
        <rFont val="Calibri"/>
        <family val="2"/>
        <scheme val="minor"/>
      </rPr>
      <t>340</t>
    </r>
    <r>
      <rPr>
        <sz val="11"/>
        <color theme="1"/>
        <rFont val="Calibri"/>
        <family val="2"/>
        <scheme val="minor"/>
      </rPr>
      <t xml:space="preserve"> - Other Professional Services
</t>
    </r>
    <r>
      <rPr>
        <b/>
        <sz val="11"/>
        <color theme="1"/>
        <rFont val="Calibri"/>
        <family val="2"/>
        <scheme val="minor"/>
      </rPr>
      <t>350</t>
    </r>
    <r>
      <rPr>
        <sz val="11"/>
        <color theme="1"/>
        <rFont val="Calibri"/>
        <family val="2"/>
        <scheme val="minor"/>
      </rPr>
      <t xml:space="preserve"> - Technical Services
</t>
    </r>
    <r>
      <rPr>
        <b/>
        <sz val="11"/>
        <color theme="1"/>
        <rFont val="Calibri"/>
        <family val="2"/>
        <scheme val="minor"/>
      </rPr>
      <t>351</t>
    </r>
    <r>
      <rPr>
        <sz val="11"/>
        <color theme="1"/>
        <rFont val="Calibri"/>
        <family val="2"/>
        <scheme val="minor"/>
      </rPr>
      <t xml:space="preserve"> - Data-Processing and Coding Services
</t>
    </r>
    <r>
      <rPr>
        <b/>
        <sz val="11"/>
        <color theme="1"/>
        <rFont val="Calibri"/>
        <family val="2"/>
        <scheme val="minor"/>
      </rPr>
      <t>352</t>
    </r>
    <r>
      <rPr>
        <sz val="11"/>
        <color theme="1"/>
        <rFont val="Calibri"/>
        <family val="2"/>
        <scheme val="minor"/>
      </rPr>
      <t xml:space="preserve"> - Other Technical Services
</t>
    </r>
    <r>
      <rPr>
        <b/>
        <sz val="11"/>
        <color theme="1"/>
        <rFont val="Calibri"/>
        <family val="2"/>
        <scheme val="minor"/>
      </rPr>
      <t>400</t>
    </r>
    <r>
      <rPr>
        <sz val="11"/>
        <color theme="1"/>
        <rFont val="Calibri"/>
        <family val="2"/>
        <scheme val="minor"/>
      </rPr>
      <t xml:space="preserve"> - Purchased Property Services
</t>
    </r>
    <r>
      <rPr>
        <b/>
        <sz val="11"/>
        <color theme="1"/>
        <rFont val="Calibri"/>
        <family val="2"/>
        <scheme val="minor"/>
      </rPr>
      <t>410</t>
    </r>
    <r>
      <rPr>
        <sz val="11"/>
        <color theme="1"/>
        <rFont val="Calibri"/>
        <family val="2"/>
        <scheme val="minor"/>
      </rPr>
      <t xml:space="preserve"> - Utility Services
</t>
    </r>
    <r>
      <rPr>
        <b/>
        <sz val="11"/>
        <color theme="1"/>
        <rFont val="Calibri"/>
        <family val="2"/>
        <scheme val="minor"/>
      </rPr>
      <t>420</t>
    </r>
    <r>
      <rPr>
        <sz val="11"/>
        <color theme="1"/>
        <rFont val="Calibri"/>
        <family val="2"/>
        <scheme val="minor"/>
      </rPr>
      <t xml:space="preserve"> - Cleaning Services
</t>
    </r>
    <r>
      <rPr>
        <b/>
        <sz val="11"/>
        <color theme="1"/>
        <rFont val="Calibri"/>
        <family val="2"/>
        <scheme val="minor"/>
      </rPr>
      <t>430</t>
    </r>
    <r>
      <rPr>
        <sz val="11"/>
        <color theme="1"/>
        <rFont val="Calibri"/>
        <family val="2"/>
        <scheme val="minor"/>
      </rPr>
      <t xml:space="preserve"> - Repairs and Maintenance Services
</t>
    </r>
    <r>
      <rPr>
        <b/>
        <sz val="11"/>
        <color theme="1"/>
        <rFont val="Calibri"/>
        <family val="2"/>
        <scheme val="minor"/>
      </rPr>
      <t>431</t>
    </r>
    <r>
      <rPr>
        <sz val="11"/>
        <color theme="1"/>
        <rFont val="Calibri"/>
        <family val="2"/>
        <scheme val="minor"/>
      </rPr>
      <t xml:space="preserve"> - Non-Technology-Related Repairs and Maintenance
</t>
    </r>
    <r>
      <rPr>
        <b/>
        <sz val="11"/>
        <color theme="1"/>
        <rFont val="Calibri"/>
        <family val="2"/>
        <scheme val="minor"/>
      </rPr>
      <t>432</t>
    </r>
    <r>
      <rPr>
        <sz val="11"/>
        <color theme="1"/>
        <rFont val="Calibri"/>
        <family val="2"/>
        <scheme val="minor"/>
      </rPr>
      <t xml:space="preserve"> - Technology-Related Repairs and Maintenance
</t>
    </r>
    <r>
      <rPr>
        <b/>
        <sz val="11"/>
        <color theme="1"/>
        <rFont val="Calibri"/>
        <family val="2"/>
        <scheme val="minor"/>
      </rPr>
      <t>440</t>
    </r>
    <r>
      <rPr>
        <sz val="11"/>
        <color theme="1"/>
        <rFont val="Calibri"/>
        <family val="2"/>
        <scheme val="minor"/>
      </rPr>
      <t xml:space="preserve"> - Rentals
</t>
    </r>
    <r>
      <rPr>
        <b/>
        <sz val="11"/>
        <color theme="1"/>
        <rFont val="Calibri"/>
        <family val="2"/>
        <scheme val="minor"/>
      </rPr>
      <t>441</t>
    </r>
    <r>
      <rPr>
        <sz val="11"/>
        <color theme="1"/>
        <rFont val="Calibri"/>
        <family val="2"/>
        <scheme val="minor"/>
      </rPr>
      <t xml:space="preserve"> - Rentals of Land and Buildings
</t>
    </r>
    <r>
      <rPr>
        <b/>
        <sz val="11"/>
        <color theme="1"/>
        <rFont val="Calibri"/>
        <family val="2"/>
        <scheme val="minor"/>
      </rPr>
      <t>442</t>
    </r>
    <r>
      <rPr>
        <sz val="11"/>
        <color theme="1"/>
        <rFont val="Calibri"/>
        <family val="2"/>
        <scheme val="minor"/>
      </rPr>
      <t xml:space="preserve"> - Rentals of Equipment and Vehicles
</t>
    </r>
    <r>
      <rPr>
        <b/>
        <sz val="11"/>
        <color theme="1"/>
        <rFont val="Calibri"/>
        <family val="2"/>
        <scheme val="minor"/>
      </rPr>
      <t>443</t>
    </r>
    <r>
      <rPr>
        <sz val="11"/>
        <color theme="1"/>
        <rFont val="Calibri"/>
        <family val="2"/>
        <scheme val="minor"/>
      </rPr>
      <t xml:space="preserve"> - Rentals of Computers and Related Equipment
</t>
    </r>
    <r>
      <rPr>
        <b/>
        <sz val="11"/>
        <color theme="1"/>
        <rFont val="Calibri"/>
        <family val="2"/>
        <scheme val="minor"/>
      </rPr>
      <t>450</t>
    </r>
    <r>
      <rPr>
        <sz val="11"/>
        <color theme="1"/>
        <rFont val="Calibri"/>
        <family val="2"/>
        <scheme val="minor"/>
      </rPr>
      <t xml:space="preserve"> - Construction Services
</t>
    </r>
    <r>
      <rPr>
        <b/>
        <sz val="11"/>
        <color theme="1"/>
        <rFont val="Calibri"/>
        <family val="2"/>
        <scheme val="minor"/>
      </rPr>
      <t>490</t>
    </r>
    <r>
      <rPr>
        <sz val="11"/>
        <color theme="1"/>
        <rFont val="Calibri"/>
        <family val="2"/>
        <scheme val="minor"/>
      </rPr>
      <t xml:space="preserve"> - Other Purchased Property Services
</t>
    </r>
    <r>
      <rPr>
        <b/>
        <sz val="11"/>
        <color theme="1"/>
        <rFont val="Calibri"/>
        <family val="2"/>
        <scheme val="minor"/>
      </rPr>
      <t>500</t>
    </r>
    <r>
      <rPr>
        <sz val="11"/>
        <color theme="1"/>
        <rFont val="Calibri"/>
        <family val="2"/>
        <scheme val="minor"/>
      </rPr>
      <t xml:space="preserve"> - Other Purchased Services
</t>
    </r>
    <r>
      <rPr>
        <b/>
        <sz val="11"/>
        <color theme="1"/>
        <rFont val="Calibri"/>
        <family val="2"/>
        <scheme val="minor"/>
      </rPr>
      <t>510</t>
    </r>
    <r>
      <rPr>
        <sz val="11"/>
        <color theme="1"/>
        <rFont val="Calibri"/>
        <family val="2"/>
        <scheme val="minor"/>
      </rPr>
      <t xml:space="preserve"> - Student Transportation Services
</t>
    </r>
    <r>
      <rPr>
        <b/>
        <sz val="11"/>
        <color theme="1"/>
        <rFont val="Calibri"/>
        <family val="2"/>
        <scheme val="minor"/>
      </rPr>
      <t>511</t>
    </r>
    <r>
      <rPr>
        <sz val="11"/>
        <color theme="1"/>
        <rFont val="Calibri"/>
        <family val="2"/>
        <scheme val="minor"/>
      </rPr>
      <t xml:space="preserve"> - Student Transportation Purchased From Another School District Within the State
</t>
    </r>
    <r>
      <rPr>
        <b/>
        <sz val="11"/>
        <color theme="1"/>
        <rFont val="Calibri"/>
        <family val="2"/>
        <scheme val="minor"/>
      </rPr>
      <t>512</t>
    </r>
    <r>
      <rPr>
        <sz val="11"/>
        <color theme="1"/>
        <rFont val="Calibri"/>
        <family val="2"/>
        <scheme val="minor"/>
      </rPr>
      <t xml:space="preserve"> - Student Transportation Purchased From Another School District Outside the State
</t>
    </r>
    <r>
      <rPr>
        <b/>
        <sz val="11"/>
        <color theme="1"/>
        <rFont val="Calibri"/>
        <family val="2"/>
        <scheme val="minor"/>
      </rPr>
      <t>519</t>
    </r>
    <r>
      <rPr>
        <sz val="11"/>
        <color theme="1"/>
        <rFont val="Calibri"/>
        <family val="2"/>
        <scheme val="minor"/>
      </rPr>
      <t xml:space="preserve"> - Student Transportation Purchased From Other Sources
</t>
    </r>
    <r>
      <rPr>
        <b/>
        <sz val="11"/>
        <color theme="1"/>
        <rFont val="Calibri"/>
        <family val="2"/>
        <scheme val="minor"/>
      </rPr>
      <t>520</t>
    </r>
    <r>
      <rPr>
        <sz val="11"/>
        <color theme="1"/>
        <rFont val="Calibri"/>
        <family val="2"/>
        <scheme val="minor"/>
      </rPr>
      <t xml:space="preserve"> - Insurance (Other Than Employee Benefits)
</t>
    </r>
    <r>
      <rPr>
        <b/>
        <sz val="11"/>
        <color theme="1"/>
        <rFont val="Calibri"/>
        <family val="2"/>
        <scheme val="minor"/>
      </rPr>
      <t>530</t>
    </r>
    <r>
      <rPr>
        <sz val="11"/>
        <color theme="1"/>
        <rFont val="Calibri"/>
        <family val="2"/>
        <scheme val="minor"/>
      </rPr>
      <t xml:space="preserve"> - Communications
</t>
    </r>
    <r>
      <rPr>
        <b/>
        <sz val="11"/>
        <color theme="1"/>
        <rFont val="Calibri"/>
        <family val="2"/>
        <scheme val="minor"/>
      </rPr>
      <t>540</t>
    </r>
    <r>
      <rPr>
        <sz val="11"/>
        <color theme="1"/>
        <rFont val="Calibri"/>
        <family val="2"/>
        <scheme val="minor"/>
      </rPr>
      <t xml:space="preserve"> - Advertising
</t>
    </r>
    <r>
      <rPr>
        <b/>
        <sz val="11"/>
        <color theme="1"/>
        <rFont val="Calibri"/>
        <family val="2"/>
        <scheme val="minor"/>
      </rPr>
      <t>550</t>
    </r>
    <r>
      <rPr>
        <sz val="11"/>
        <color theme="1"/>
        <rFont val="Calibri"/>
        <family val="2"/>
        <scheme val="minor"/>
      </rPr>
      <t xml:space="preserve"> - Printing and Binding
</t>
    </r>
    <r>
      <rPr>
        <b/>
        <sz val="11"/>
        <color theme="1"/>
        <rFont val="Calibri"/>
        <family val="2"/>
        <scheme val="minor"/>
      </rPr>
      <t>560</t>
    </r>
    <r>
      <rPr>
        <sz val="11"/>
        <color theme="1"/>
        <rFont val="Calibri"/>
        <family val="2"/>
        <scheme val="minor"/>
      </rPr>
      <t xml:space="preserve"> - Tuition
</t>
    </r>
    <r>
      <rPr>
        <b/>
        <sz val="11"/>
        <color theme="1"/>
        <rFont val="Calibri"/>
        <family val="2"/>
        <scheme val="minor"/>
      </rPr>
      <t>561</t>
    </r>
    <r>
      <rPr>
        <sz val="11"/>
        <color theme="1"/>
        <rFont val="Calibri"/>
        <family val="2"/>
        <scheme val="minor"/>
      </rPr>
      <t xml:space="preserve"> - Tuition to Other School Districts (Excluding Charter Schools) Within the State
</t>
    </r>
    <r>
      <rPr>
        <b/>
        <sz val="11"/>
        <color theme="1"/>
        <rFont val="Calibri"/>
        <family val="2"/>
        <scheme val="minor"/>
      </rPr>
      <t>562</t>
    </r>
    <r>
      <rPr>
        <sz val="11"/>
        <color theme="1"/>
        <rFont val="Calibri"/>
        <family val="2"/>
        <scheme val="minor"/>
      </rPr>
      <t xml:space="preserve"> - Tuition to Other School Districts (Including Charter Schools) Outside the State
</t>
    </r>
    <r>
      <rPr>
        <b/>
        <sz val="11"/>
        <color theme="1"/>
        <rFont val="Calibri"/>
        <family val="2"/>
        <scheme val="minor"/>
      </rPr>
      <t>563</t>
    </r>
    <r>
      <rPr>
        <sz val="11"/>
        <color theme="1"/>
        <rFont val="Calibri"/>
        <family val="2"/>
        <scheme val="minor"/>
      </rPr>
      <t xml:space="preserve"> - Tuition to Private Schools
</t>
    </r>
    <r>
      <rPr>
        <b/>
        <sz val="11"/>
        <color theme="1"/>
        <rFont val="Calibri"/>
        <family val="2"/>
        <scheme val="minor"/>
      </rPr>
      <t>564</t>
    </r>
    <r>
      <rPr>
        <sz val="11"/>
        <color theme="1"/>
        <rFont val="Calibri"/>
        <family val="2"/>
        <scheme val="minor"/>
      </rPr>
      <t xml:space="preserve"> - Tuition to Charter Schools Within the State
</t>
    </r>
    <r>
      <rPr>
        <b/>
        <sz val="11"/>
        <color theme="1"/>
        <rFont val="Calibri"/>
        <family val="2"/>
        <scheme val="minor"/>
      </rPr>
      <t>565</t>
    </r>
    <r>
      <rPr>
        <sz val="11"/>
        <color theme="1"/>
        <rFont val="Calibri"/>
        <family val="2"/>
        <scheme val="minor"/>
      </rPr>
      <t xml:space="preserve"> - Tuition to Postsecondary Schools
</t>
    </r>
    <r>
      <rPr>
        <b/>
        <sz val="11"/>
        <color theme="1"/>
        <rFont val="Calibri"/>
        <family val="2"/>
        <scheme val="minor"/>
      </rPr>
      <t>566</t>
    </r>
    <r>
      <rPr>
        <sz val="11"/>
        <color theme="1"/>
        <rFont val="Calibri"/>
        <family val="2"/>
        <scheme val="minor"/>
      </rPr>
      <t xml:space="preserve"> - Voucher Payments to Private Schools and to Other School Districts Outside the State
</t>
    </r>
    <r>
      <rPr>
        <b/>
        <sz val="11"/>
        <color theme="1"/>
        <rFont val="Calibri"/>
        <family val="2"/>
        <scheme val="minor"/>
      </rPr>
      <t>567</t>
    </r>
    <r>
      <rPr>
        <sz val="11"/>
        <color theme="1"/>
        <rFont val="Calibri"/>
        <family val="2"/>
        <scheme val="minor"/>
      </rPr>
      <t xml:space="preserve"> - Voucher Payments to School Districts, including Charter Schools, Within the State
</t>
    </r>
    <r>
      <rPr>
        <b/>
        <sz val="11"/>
        <color theme="1"/>
        <rFont val="Calibri"/>
        <family val="2"/>
        <scheme val="minor"/>
      </rPr>
      <t>568</t>
    </r>
    <r>
      <rPr>
        <sz val="11"/>
        <color theme="1"/>
        <rFont val="Calibri"/>
        <family val="2"/>
        <scheme val="minor"/>
      </rPr>
      <t xml:space="preserve"> - Voucher Payments Directly to Individuals
</t>
    </r>
    <r>
      <rPr>
        <b/>
        <sz val="11"/>
        <color theme="1"/>
        <rFont val="Calibri"/>
        <family val="2"/>
        <scheme val="minor"/>
      </rPr>
      <t>569</t>
    </r>
    <r>
      <rPr>
        <sz val="11"/>
        <color theme="1"/>
        <rFont val="Calibri"/>
        <family val="2"/>
        <scheme val="minor"/>
      </rPr>
      <t xml:space="preserve"> - Tuition-Other
</t>
    </r>
    <r>
      <rPr>
        <b/>
        <sz val="11"/>
        <color theme="1"/>
        <rFont val="Calibri"/>
        <family val="2"/>
        <scheme val="minor"/>
      </rPr>
      <t>570</t>
    </r>
    <r>
      <rPr>
        <sz val="11"/>
        <color theme="1"/>
        <rFont val="Calibri"/>
        <family val="2"/>
        <scheme val="minor"/>
      </rPr>
      <t xml:space="preserve"> - Food Service Management
</t>
    </r>
    <r>
      <rPr>
        <b/>
        <sz val="11"/>
        <color theme="1"/>
        <rFont val="Calibri"/>
        <family val="2"/>
        <scheme val="minor"/>
      </rPr>
      <t>580</t>
    </r>
    <r>
      <rPr>
        <sz val="11"/>
        <color theme="1"/>
        <rFont val="Calibri"/>
        <family val="2"/>
        <scheme val="minor"/>
      </rPr>
      <t xml:space="preserve"> - Travel
</t>
    </r>
    <r>
      <rPr>
        <b/>
        <sz val="11"/>
        <color theme="1"/>
        <rFont val="Calibri"/>
        <family val="2"/>
        <scheme val="minor"/>
      </rPr>
      <t>590</t>
    </r>
    <r>
      <rPr>
        <sz val="11"/>
        <color theme="1"/>
        <rFont val="Calibri"/>
        <family val="2"/>
        <scheme val="minor"/>
      </rPr>
      <t xml:space="preserve"> - Interagency Purchased Services
</t>
    </r>
    <r>
      <rPr>
        <b/>
        <sz val="11"/>
        <color theme="1"/>
        <rFont val="Calibri"/>
        <family val="2"/>
        <scheme val="minor"/>
      </rPr>
      <t>591</t>
    </r>
    <r>
      <rPr>
        <sz val="11"/>
        <color theme="1"/>
        <rFont val="Calibri"/>
        <family val="2"/>
        <scheme val="minor"/>
      </rPr>
      <t xml:space="preserve"> - Services Purchased From Another School District or Educational Services Agency Within the State
</t>
    </r>
    <r>
      <rPr>
        <b/>
        <sz val="11"/>
        <color theme="1"/>
        <rFont val="Calibri"/>
        <family val="2"/>
        <scheme val="minor"/>
      </rPr>
      <t>592</t>
    </r>
    <r>
      <rPr>
        <sz val="11"/>
        <color theme="1"/>
        <rFont val="Calibri"/>
        <family val="2"/>
        <scheme val="minor"/>
      </rPr>
      <t xml:space="preserve"> - Services Purchased From Another School District or Educational Services Agency Outside the State
</t>
    </r>
    <r>
      <rPr>
        <b/>
        <sz val="11"/>
        <color theme="1"/>
        <rFont val="Calibri"/>
        <family val="2"/>
        <scheme val="minor"/>
      </rPr>
      <t>600</t>
    </r>
    <r>
      <rPr>
        <sz val="11"/>
        <color theme="1"/>
        <rFont val="Calibri"/>
        <family val="2"/>
        <scheme val="minor"/>
      </rPr>
      <t xml:space="preserve"> - Supplies
</t>
    </r>
    <r>
      <rPr>
        <b/>
        <sz val="11"/>
        <color theme="1"/>
        <rFont val="Calibri"/>
        <family val="2"/>
        <scheme val="minor"/>
      </rPr>
      <t>610</t>
    </r>
    <r>
      <rPr>
        <sz val="11"/>
        <color theme="1"/>
        <rFont val="Calibri"/>
        <family val="2"/>
        <scheme val="minor"/>
      </rPr>
      <t xml:space="preserve"> - General Supplies
</t>
    </r>
    <r>
      <rPr>
        <b/>
        <sz val="11"/>
        <color theme="1"/>
        <rFont val="Calibri"/>
        <family val="2"/>
        <scheme val="minor"/>
      </rPr>
      <t>620</t>
    </r>
    <r>
      <rPr>
        <sz val="11"/>
        <color theme="1"/>
        <rFont val="Calibri"/>
        <family val="2"/>
        <scheme val="minor"/>
      </rPr>
      <t xml:space="preserve"> - Energy
</t>
    </r>
    <r>
      <rPr>
        <b/>
        <sz val="11"/>
        <color theme="1"/>
        <rFont val="Calibri"/>
        <family val="2"/>
        <scheme val="minor"/>
      </rPr>
      <t>621</t>
    </r>
    <r>
      <rPr>
        <sz val="11"/>
        <color theme="1"/>
        <rFont val="Calibri"/>
        <family val="2"/>
        <scheme val="minor"/>
      </rPr>
      <t xml:space="preserve"> - Natural Gas
</t>
    </r>
    <r>
      <rPr>
        <b/>
        <sz val="11"/>
        <color theme="1"/>
        <rFont val="Calibri"/>
        <family val="2"/>
        <scheme val="minor"/>
      </rPr>
      <t>622</t>
    </r>
    <r>
      <rPr>
        <sz val="11"/>
        <color theme="1"/>
        <rFont val="Calibri"/>
        <family val="2"/>
        <scheme val="minor"/>
      </rPr>
      <t xml:space="preserve"> - Electricity
</t>
    </r>
    <r>
      <rPr>
        <b/>
        <sz val="11"/>
        <color theme="1"/>
        <rFont val="Calibri"/>
        <family val="2"/>
        <scheme val="minor"/>
      </rPr>
      <t>623</t>
    </r>
    <r>
      <rPr>
        <sz val="11"/>
        <color theme="1"/>
        <rFont val="Calibri"/>
        <family val="2"/>
        <scheme val="minor"/>
      </rPr>
      <t xml:space="preserve"> - Bottled Gas
</t>
    </r>
    <r>
      <rPr>
        <b/>
        <sz val="11"/>
        <color theme="1"/>
        <rFont val="Calibri"/>
        <family val="2"/>
        <scheme val="minor"/>
      </rPr>
      <t>624</t>
    </r>
    <r>
      <rPr>
        <sz val="11"/>
        <color theme="1"/>
        <rFont val="Calibri"/>
        <family val="2"/>
        <scheme val="minor"/>
      </rPr>
      <t xml:space="preserve"> - Oil
</t>
    </r>
    <r>
      <rPr>
        <b/>
        <sz val="11"/>
        <color theme="1"/>
        <rFont val="Calibri"/>
        <family val="2"/>
        <scheme val="minor"/>
      </rPr>
      <t>625</t>
    </r>
    <r>
      <rPr>
        <sz val="11"/>
        <color theme="1"/>
        <rFont val="Calibri"/>
        <family val="2"/>
        <scheme val="minor"/>
      </rPr>
      <t xml:space="preserve"> - Coal
</t>
    </r>
    <r>
      <rPr>
        <b/>
        <sz val="11"/>
        <color theme="1"/>
        <rFont val="Calibri"/>
        <family val="2"/>
        <scheme val="minor"/>
      </rPr>
      <t>626</t>
    </r>
    <r>
      <rPr>
        <sz val="11"/>
        <color theme="1"/>
        <rFont val="Calibri"/>
        <family val="2"/>
        <scheme val="minor"/>
      </rPr>
      <t xml:space="preserve"> - Gasoline
</t>
    </r>
    <r>
      <rPr>
        <b/>
        <sz val="11"/>
        <color theme="1"/>
        <rFont val="Calibri"/>
        <family val="2"/>
        <scheme val="minor"/>
      </rPr>
      <t>629</t>
    </r>
    <r>
      <rPr>
        <sz val="11"/>
        <color theme="1"/>
        <rFont val="Calibri"/>
        <family val="2"/>
        <scheme val="minor"/>
      </rPr>
      <t xml:space="preserve"> - Other
</t>
    </r>
    <r>
      <rPr>
        <b/>
        <sz val="11"/>
        <color theme="1"/>
        <rFont val="Calibri"/>
        <family val="2"/>
        <scheme val="minor"/>
      </rPr>
      <t>630</t>
    </r>
    <r>
      <rPr>
        <sz val="11"/>
        <color theme="1"/>
        <rFont val="Calibri"/>
        <family val="2"/>
        <scheme val="minor"/>
      </rPr>
      <t xml:space="preserve"> - Food
</t>
    </r>
    <r>
      <rPr>
        <b/>
        <sz val="11"/>
        <color theme="1"/>
        <rFont val="Calibri"/>
        <family val="2"/>
        <scheme val="minor"/>
      </rPr>
      <t>640</t>
    </r>
    <r>
      <rPr>
        <sz val="11"/>
        <color theme="1"/>
        <rFont val="Calibri"/>
        <family val="2"/>
        <scheme val="minor"/>
      </rPr>
      <t xml:space="preserve"> - Books and Periodicals
</t>
    </r>
    <r>
      <rPr>
        <b/>
        <sz val="11"/>
        <color theme="1"/>
        <rFont val="Calibri"/>
        <family val="2"/>
        <scheme val="minor"/>
      </rPr>
      <t>650</t>
    </r>
    <r>
      <rPr>
        <sz val="11"/>
        <color theme="1"/>
        <rFont val="Calibri"/>
        <family val="2"/>
        <scheme val="minor"/>
      </rPr>
      <t xml:space="preserve"> - Supplies-Technology Related
</t>
    </r>
    <r>
      <rPr>
        <b/>
        <sz val="11"/>
        <color theme="1"/>
        <rFont val="Calibri"/>
        <family val="2"/>
        <scheme val="minor"/>
      </rPr>
      <t>700</t>
    </r>
    <r>
      <rPr>
        <sz val="11"/>
        <color theme="1"/>
        <rFont val="Calibri"/>
        <family val="2"/>
        <scheme val="minor"/>
      </rPr>
      <t xml:space="preserve"> - Property
</t>
    </r>
    <r>
      <rPr>
        <b/>
        <sz val="11"/>
        <color theme="1"/>
        <rFont val="Calibri"/>
        <family val="2"/>
        <scheme val="minor"/>
      </rPr>
      <t>710</t>
    </r>
    <r>
      <rPr>
        <sz val="11"/>
        <color theme="1"/>
        <rFont val="Calibri"/>
        <family val="2"/>
        <scheme val="minor"/>
      </rPr>
      <t xml:space="preserve"> - Land and Land Improvements
</t>
    </r>
    <r>
      <rPr>
        <b/>
        <sz val="11"/>
        <color theme="1"/>
        <rFont val="Calibri"/>
        <family val="2"/>
        <scheme val="minor"/>
      </rPr>
      <t>720</t>
    </r>
    <r>
      <rPr>
        <sz val="11"/>
        <color theme="1"/>
        <rFont val="Calibri"/>
        <family val="2"/>
        <scheme val="minor"/>
      </rPr>
      <t xml:space="preserve"> - Buildings
</t>
    </r>
    <r>
      <rPr>
        <b/>
        <sz val="11"/>
        <color theme="1"/>
        <rFont val="Calibri"/>
        <family val="2"/>
        <scheme val="minor"/>
      </rPr>
      <t>730</t>
    </r>
    <r>
      <rPr>
        <sz val="11"/>
        <color theme="1"/>
        <rFont val="Calibri"/>
        <family val="2"/>
        <scheme val="minor"/>
      </rPr>
      <t xml:space="preserve"> - Equipment
</t>
    </r>
    <r>
      <rPr>
        <b/>
        <sz val="11"/>
        <color theme="1"/>
        <rFont val="Calibri"/>
        <family val="2"/>
        <scheme val="minor"/>
      </rPr>
      <t>731</t>
    </r>
    <r>
      <rPr>
        <sz val="11"/>
        <color theme="1"/>
        <rFont val="Calibri"/>
        <family val="2"/>
        <scheme val="minor"/>
      </rPr>
      <t xml:space="preserve"> - Machinery
</t>
    </r>
    <r>
      <rPr>
        <b/>
        <sz val="11"/>
        <color theme="1"/>
        <rFont val="Calibri"/>
        <family val="2"/>
        <scheme val="minor"/>
      </rPr>
      <t>732</t>
    </r>
    <r>
      <rPr>
        <sz val="11"/>
        <color theme="1"/>
        <rFont val="Calibri"/>
        <family val="2"/>
        <scheme val="minor"/>
      </rPr>
      <t xml:space="preserve"> - Vehicles
</t>
    </r>
    <r>
      <rPr>
        <b/>
        <sz val="11"/>
        <color theme="1"/>
        <rFont val="Calibri"/>
        <family val="2"/>
        <scheme val="minor"/>
      </rPr>
      <t>733</t>
    </r>
    <r>
      <rPr>
        <sz val="11"/>
        <color theme="1"/>
        <rFont val="Calibri"/>
        <family val="2"/>
        <scheme val="minor"/>
      </rPr>
      <t xml:space="preserve"> - Furniture and Fixtures
</t>
    </r>
    <r>
      <rPr>
        <b/>
        <sz val="11"/>
        <color theme="1"/>
        <rFont val="Calibri"/>
        <family val="2"/>
        <scheme val="minor"/>
      </rPr>
      <t>734</t>
    </r>
    <r>
      <rPr>
        <sz val="11"/>
        <color theme="1"/>
        <rFont val="Calibri"/>
        <family val="2"/>
        <scheme val="minor"/>
      </rPr>
      <t xml:space="preserve"> - Technology-Related Hardware
</t>
    </r>
    <r>
      <rPr>
        <b/>
        <sz val="11"/>
        <color theme="1"/>
        <rFont val="Calibri"/>
        <family val="2"/>
        <scheme val="minor"/>
      </rPr>
      <t>735</t>
    </r>
    <r>
      <rPr>
        <sz val="11"/>
        <color theme="1"/>
        <rFont val="Calibri"/>
        <family val="2"/>
        <scheme val="minor"/>
      </rPr>
      <t xml:space="preserve"> - Technology Software
</t>
    </r>
    <r>
      <rPr>
        <b/>
        <sz val="11"/>
        <color theme="1"/>
        <rFont val="Calibri"/>
        <family val="2"/>
        <scheme val="minor"/>
      </rPr>
      <t>739</t>
    </r>
    <r>
      <rPr>
        <sz val="11"/>
        <color theme="1"/>
        <rFont val="Calibri"/>
        <family val="2"/>
        <scheme val="minor"/>
      </rPr>
      <t xml:space="preserve"> - Other Equipment
</t>
    </r>
    <r>
      <rPr>
        <b/>
        <sz val="11"/>
        <color theme="1"/>
        <rFont val="Calibri"/>
        <family val="2"/>
        <scheme val="minor"/>
      </rPr>
      <t>740</t>
    </r>
    <r>
      <rPr>
        <sz val="11"/>
        <color theme="1"/>
        <rFont val="Calibri"/>
        <family val="2"/>
        <scheme val="minor"/>
      </rPr>
      <t xml:space="preserve"> - Infrastructure
</t>
    </r>
    <r>
      <rPr>
        <b/>
        <sz val="11"/>
        <color theme="1"/>
        <rFont val="Calibri"/>
        <family val="2"/>
        <scheme val="minor"/>
      </rPr>
      <t>750</t>
    </r>
    <r>
      <rPr>
        <sz val="11"/>
        <color theme="1"/>
        <rFont val="Calibri"/>
        <family val="2"/>
        <scheme val="minor"/>
      </rPr>
      <t xml:space="preserve"> - Intangible Assets
</t>
    </r>
    <r>
      <rPr>
        <b/>
        <sz val="11"/>
        <color theme="1"/>
        <rFont val="Calibri"/>
        <family val="2"/>
        <scheme val="minor"/>
      </rPr>
      <t>790</t>
    </r>
    <r>
      <rPr>
        <sz val="11"/>
        <color theme="1"/>
        <rFont val="Calibri"/>
        <family val="2"/>
        <scheme val="minor"/>
      </rPr>
      <t xml:space="preserve"> - Depreciation and Amortization
</t>
    </r>
    <r>
      <rPr>
        <b/>
        <sz val="11"/>
        <color theme="1"/>
        <rFont val="Calibri"/>
        <family val="2"/>
        <scheme val="minor"/>
      </rPr>
      <t>800</t>
    </r>
    <r>
      <rPr>
        <sz val="11"/>
        <color theme="1"/>
        <rFont val="Calibri"/>
        <family val="2"/>
        <scheme val="minor"/>
      </rPr>
      <t xml:space="preserve"> - Debt Service and Miscellaneous
</t>
    </r>
    <r>
      <rPr>
        <b/>
        <sz val="11"/>
        <color theme="1"/>
        <rFont val="Calibri"/>
        <family val="2"/>
        <scheme val="minor"/>
      </rPr>
      <t>810</t>
    </r>
    <r>
      <rPr>
        <sz val="11"/>
        <color theme="1"/>
        <rFont val="Calibri"/>
        <family val="2"/>
        <scheme val="minor"/>
      </rPr>
      <t xml:space="preserve"> - Dues and Fees
</t>
    </r>
    <r>
      <rPr>
        <b/>
        <sz val="11"/>
        <color theme="1"/>
        <rFont val="Calibri"/>
        <family val="2"/>
        <scheme val="minor"/>
      </rPr>
      <t>820</t>
    </r>
    <r>
      <rPr>
        <sz val="11"/>
        <color theme="1"/>
        <rFont val="Calibri"/>
        <family val="2"/>
        <scheme val="minor"/>
      </rPr>
      <t xml:space="preserve"> - Judgments Against the School District
</t>
    </r>
    <r>
      <rPr>
        <b/>
        <sz val="11"/>
        <color theme="1"/>
        <rFont val="Calibri"/>
        <family val="2"/>
        <scheme val="minor"/>
      </rPr>
      <t>830</t>
    </r>
    <r>
      <rPr>
        <sz val="11"/>
        <color theme="1"/>
        <rFont val="Calibri"/>
        <family val="2"/>
        <scheme val="minor"/>
      </rPr>
      <t xml:space="preserve"> - Debt-Related Expenditures/Expenses
</t>
    </r>
    <r>
      <rPr>
        <b/>
        <sz val="11"/>
        <color theme="1"/>
        <rFont val="Calibri"/>
        <family val="2"/>
        <scheme val="minor"/>
      </rPr>
      <t>831</t>
    </r>
    <r>
      <rPr>
        <sz val="11"/>
        <color theme="1"/>
        <rFont val="Calibri"/>
        <family val="2"/>
        <scheme val="minor"/>
      </rPr>
      <t xml:space="preserve"> - Redemption of Principal
</t>
    </r>
    <r>
      <rPr>
        <b/>
        <sz val="11"/>
        <color theme="1"/>
        <rFont val="Calibri"/>
        <family val="2"/>
        <scheme val="minor"/>
      </rPr>
      <t>832</t>
    </r>
    <r>
      <rPr>
        <sz val="11"/>
        <color theme="1"/>
        <rFont val="Calibri"/>
        <family val="2"/>
        <scheme val="minor"/>
      </rPr>
      <t xml:space="preserve"> - Interest on Long-Term Debt
</t>
    </r>
    <r>
      <rPr>
        <b/>
        <sz val="11"/>
        <color theme="1"/>
        <rFont val="Calibri"/>
        <family val="2"/>
        <scheme val="minor"/>
      </rPr>
      <t>833</t>
    </r>
    <r>
      <rPr>
        <sz val="11"/>
        <color theme="1"/>
        <rFont val="Calibri"/>
        <family val="2"/>
        <scheme val="minor"/>
      </rPr>
      <t xml:space="preserve"> - Bond Issuance and Other Debt-Related Costs
</t>
    </r>
    <r>
      <rPr>
        <b/>
        <sz val="11"/>
        <color theme="1"/>
        <rFont val="Calibri"/>
        <family val="2"/>
        <scheme val="minor"/>
      </rPr>
      <t>834</t>
    </r>
    <r>
      <rPr>
        <sz val="11"/>
        <color theme="1"/>
        <rFont val="Calibri"/>
        <family val="2"/>
        <scheme val="minor"/>
      </rPr>
      <t xml:space="preserve"> - Amortization of Premium and Discount on Issuance of Bonds
</t>
    </r>
    <r>
      <rPr>
        <b/>
        <sz val="11"/>
        <color theme="1"/>
        <rFont val="Calibri"/>
        <family val="2"/>
        <scheme val="minor"/>
      </rPr>
      <t>835</t>
    </r>
    <r>
      <rPr>
        <sz val="11"/>
        <color theme="1"/>
        <rFont val="Calibri"/>
        <family val="2"/>
        <scheme val="minor"/>
      </rPr>
      <t xml:space="preserve"> - Interest on Short-Term Debt
</t>
    </r>
    <r>
      <rPr>
        <b/>
        <sz val="11"/>
        <color theme="1"/>
        <rFont val="Calibri"/>
        <family val="2"/>
        <scheme val="minor"/>
      </rPr>
      <t>890</t>
    </r>
    <r>
      <rPr>
        <sz val="11"/>
        <color theme="1"/>
        <rFont val="Calibri"/>
        <family val="2"/>
        <scheme val="minor"/>
      </rPr>
      <t xml:space="preserve"> - Miscellaneous Expenditures
</t>
    </r>
    <r>
      <rPr>
        <b/>
        <sz val="11"/>
        <color theme="1"/>
        <rFont val="Calibri"/>
        <family val="2"/>
        <scheme val="minor"/>
      </rPr>
      <t>900</t>
    </r>
    <r>
      <rPr>
        <sz val="11"/>
        <color theme="1"/>
        <rFont val="Calibri"/>
        <family val="2"/>
        <scheme val="minor"/>
      </rPr>
      <t xml:space="preserve"> - Other Items
</t>
    </r>
    <r>
      <rPr>
        <b/>
        <sz val="11"/>
        <color theme="1"/>
        <rFont val="Calibri"/>
        <family val="2"/>
        <scheme val="minor"/>
      </rPr>
      <t>910</t>
    </r>
    <r>
      <rPr>
        <sz val="11"/>
        <color theme="1"/>
        <rFont val="Calibri"/>
        <family val="2"/>
        <scheme val="minor"/>
      </rPr>
      <t xml:space="preserve"> - Fund Transfers Out
</t>
    </r>
    <r>
      <rPr>
        <b/>
        <sz val="11"/>
        <color theme="1"/>
        <rFont val="Calibri"/>
        <family val="2"/>
        <scheme val="minor"/>
      </rPr>
      <t>920</t>
    </r>
    <r>
      <rPr>
        <sz val="11"/>
        <color theme="1"/>
        <rFont val="Calibri"/>
        <family val="2"/>
        <scheme val="minor"/>
      </rPr>
      <t xml:space="preserve"> - Payments to Escrow Agents for Defeasance of Debt
</t>
    </r>
    <r>
      <rPr>
        <b/>
        <sz val="11"/>
        <color theme="1"/>
        <rFont val="Calibri"/>
        <family val="2"/>
        <scheme val="minor"/>
      </rPr>
      <t>925</t>
    </r>
    <r>
      <rPr>
        <sz val="11"/>
        <color theme="1"/>
        <rFont val="Calibri"/>
        <family val="2"/>
        <scheme val="minor"/>
      </rPr>
      <t xml:space="preserve"> - Discount on the Issuance of Bonds
</t>
    </r>
    <r>
      <rPr>
        <b/>
        <sz val="11"/>
        <color theme="1"/>
        <rFont val="Calibri"/>
        <family val="2"/>
        <scheme val="minor"/>
      </rPr>
      <t>930</t>
    </r>
    <r>
      <rPr>
        <sz val="11"/>
        <color theme="1"/>
        <rFont val="Calibri"/>
        <family val="2"/>
        <scheme val="minor"/>
      </rPr>
      <t xml:space="preserve"> - Net Decreases in the Fair Value of Investments
</t>
    </r>
    <r>
      <rPr>
        <b/>
        <sz val="11"/>
        <color theme="1"/>
        <rFont val="Calibri"/>
        <family val="2"/>
        <scheme val="minor"/>
      </rPr>
      <t>931</t>
    </r>
    <r>
      <rPr>
        <sz val="11"/>
        <color theme="1"/>
        <rFont val="Calibri"/>
        <family val="2"/>
        <scheme val="minor"/>
      </rPr>
      <t xml:space="preserve"> - Realized Losses on Investments
</t>
    </r>
    <r>
      <rPr>
        <b/>
        <sz val="11"/>
        <color theme="1"/>
        <rFont val="Calibri"/>
        <family val="2"/>
        <scheme val="minor"/>
      </rPr>
      <t>932</t>
    </r>
    <r>
      <rPr>
        <sz val="11"/>
        <color theme="1"/>
        <rFont val="Calibri"/>
        <family val="2"/>
        <scheme val="minor"/>
      </rPr>
      <t xml:space="preserve"> - Unrealized Losses on Investments
</t>
    </r>
    <r>
      <rPr>
        <b/>
        <sz val="11"/>
        <color theme="1"/>
        <rFont val="Calibri"/>
        <family val="2"/>
        <scheme val="minor"/>
      </rPr>
      <t>940</t>
    </r>
    <r>
      <rPr>
        <sz val="11"/>
        <color theme="1"/>
        <rFont val="Calibri"/>
        <family val="2"/>
        <scheme val="minor"/>
      </rPr>
      <t xml:space="preserve"> - Losses on the Sale of Capital Assets
</t>
    </r>
    <r>
      <rPr>
        <b/>
        <sz val="11"/>
        <color theme="1"/>
        <rFont val="Calibri"/>
        <family val="2"/>
        <scheme val="minor"/>
      </rPr>
      <t>950</t>
    </r>
    <r>
      <rPr>
        <sz val="11"/>
        <color theme="1"/>
        <rFont val="Calibri"/>
        <family val="2"/>
        <scheme val="minor"/>
      </rPr>
      <t xml:space="preserve"> - Special Items
</t>
    </r>
    <r>
      <rPr>
        <b/>
        <sz val="11"/>
        <color theme="1"/>
        <rFont val="Calibri"/>
        <family val="2"/>
        <scheme val="minor"/>
      </rPr>
      <t>960</t>
    </r>
    <r>
      <rPr>
        <sz val="11"/>
        <color theme="1"/>
        <rFont val="Calibri"/>
        <family val="2"/>
        <scheme val="minor"/>
      </rPr>
      <t xml:space="preserve"> - Extraordinary Items
</t>
    </r>
  </si>
  <si>
    <r>
      <t>10</t>
    </r>
    <r>
      <rPr>
        <sz val="11"/>
        <color theme="1"/>
        <rFont val="Calibri"/>
        <family val="2"/>
        <scheme val="minor"/>
      </rPr>
      <t xml:space="preserve"> - Elementary
</t>
    </r>
    <r>
      <rPr>
        <b/>
        <sz val="11"/>
        <color theme="1"/>
        <rFont val="Calibri"/>
        <family val="2"/>
        <scheme val="minor"/>
      </rPr>
      <t>11</t>
    </r>
    <r>
      <rPr>
        <sz val="11"/>
        <color theme="1"/>
        <rFont val="Calibri"/>
        <family val="2"/>
        <scheme val="minor"/>
      </rPr>
      <t xml:space="preserve"> - Prekindergarten
</t>
    </r>
    <r>
      <rPr>
        <b/>
        <sz val="11"/>
        <color theme="1"/>
        <rFont val="Calibri"/>
        <family val="2"/>
        <scheme val="minor"/>
      </rPr>
      <t>12</t>
    </r>
    <r>
      <rPr>
        <sz val="11"/>
        <color theme="1"/>
        <rFont val="Calibri"/>
        <family val="2"/>
        <scheme val="minor"/>
      </rPr>
      <t xml:space="preserve"> - Kindergarten
</t>
    </r>
    <r>
      <rPr>
        <b/>
        <sz val="11"/>
        <color theme="1"/>
        <rFont val="Calibri"/>
        <family val="2"/>
        <scheme val="minor"/>
      </rPr>
      <t>19</t>
    </r>
    <r>
      <rPr>
        <sz val="11"/>
        <color theme="1"/>
        <rFont val="Calibri"/>
        <family val="2"/>
        <scheme val="minor"/>
      </rPr>
      <t xml:space="preserve"> - Other Elementary
</t>
    </r>
    <r>
      <rPr>
        <b/>
        <sz val="11"/>
        <color theme="1"/>
        <rFont val="Calibri"/>
        <family val="2"/>
        <scheme val="minor"/>
      </rPr>
      <t>20</t>
    </r>
    <r>
      <rPr>
        <sz val="11"/>
        <color theme="1"/>
        <rFont val="Calibri"/>
        <family val="2"/>
        <scheme val="minor"/>
      </rPr>
      <t xml:space="preserve"> - Middle
</t>
    </r>
    <r>
      <rPr>
        <b/>
        <sz val="11"/>
        <color theme="1"/>
        <rFont val="Calibri"/>
        <family val="2"/>
        <scheme val="minor"/>
      </rPr>
      <t>30</t>
    </r>
    <r>
      <rPr>
        <sz val="11"/>
        <color theme="1"/>
        <rFont val="Calibri"/>
        <family val="2"/>
        <scheme val="minor"/>
      </rPr>
      <t xml:space="preserve"> - Secondary
</t>
    </r>
    <r>
      <rPr>
        <b/>
        <sz val="11"/>
        <color theme="1"/>
        <rFont val="Calibri"/>
        <family val="2"/>
        <scheme val="minor"/>
      </rPr>
      <t>37</t>
    </r>
    <r>
      <rPr>
        <sz val="11"/>
        <color theme="1"/>
        <rFont val="Calibri"/>
        <family val="2"/>
        <scheme val="minor"/>
      </rPr>
      <t xml:space="preserve"> - Elementary and Secondary Combined
</t>
    </r>
    <r>
      <rPr>
        <b/>
        <sz val="11"/>
        <color theme="1"/>
        <rFont val="Calibri"/>
        <family val="2"/>
        <scheme val="minor"/>
      </rPr>
      <t>40</t>
    </r>
    <r>
      <rPr>
        <sz val="11"/>
        <color theme="1"/>
        <rFont val="Calibri"/>
        <family val="2"/>
        <scheme val="minor"/>
      </rPr>
      <t xml:space="preserve"> - Postsecondary
</t>
    </r>
    <r>
      <rPr>
        <b/>
        <sz val="11"/>
        <color theme="1"/>
        <rFont val="Calibri"/>
        <family val="2"/>
        <scheme val="minor"/>
      </rPr>
      <t>41</t>
    </r>
    <r>
      <rPr>
        <sz val="11"/>
        <color theme="1"/>
        <rFont val="Calibri"/>
        <family val="2"/>
        <scheme val="minor"/>
      </rPr>
      <t xml:space="preserve"> - Programs for Adult/Continuing
</t>
    </r>
    <r>
      <rPr>
        <b/>
        <sz val="11"/>
        <color theme="1"/>
        <rFont val="Calibri"/>
        <family val="2"/>
        <scheme val="minor"/>
      </rPr>
      <t>42</t>
    </r>
    <r>
      <rPr>
        <sz val="11"/>
        <color theme="1"/>
        <rFont val="Calibri"/>
        <family val="2"/>
        <scheme val="minor"/>
      </rPr>
      <t xml:space="preserve"> - Community/Junior College
</t>
    </r>
    <r>
      <rPr>
        <b/>
        <sz val="11"/>
        <color theme="1"/>
        <rFont val="Calibri"/>
        <family val="2"/>
        <scheme val="minor"/>
      </rPr>
      <t>50</t>
    </r>
    <r>
      <rPr>
        <sz val="11"/>
        <color theme="1"/>
        <rFont val="Calibri"/>
        <family val="2"/>
        <scheme val="minor"/>
      </rPr>
      <t xml:space="preserve"> - School Wide
</t>
    </r>
  </si>
  <si>
    <r>
      <t>101</t>
    </r>
    <r>
      <rPr>
        <sz val="11"/>
        <color theme="1"/>
        <rFont val="Calibri"/>
        <family val="2"/>
        <scheme val="minor"/>
      </rPr>
      <t xml:space="preserve"> - Cash in Bank
</t>
    </r>
    <r>
      <rPr>
        <b/>
        <sz val="11"/>
        <color theme="1"/>
        <rFont val="Calibri"/>
        <family val="2"/>
        <scheme val="minor"/>
      </rPr>
      <t>102</t>
    </r>
    <r>
      <rPr>
        <sz val="11"/>
        <color theme="1"/>
        <rFont val="Calibri"/>
        <family val="2"/>
        <scheme val="minor"/>
      </rPr>
      <t xml:space="preserve"> - Cash on Hand
</t>
    </r>
    <r>
      <rPr>
        <b/>
        <sz val="11"/>
        <color theme="1"/>
        <rFont val="Calibri"/>
        <family val="2"/>
        <scheme val="minor"/>
      </rPr>
      <t>103</t>
    </r>
    <r>
      <rPr>
        <sz val="11"/>
        <color theme="1"/>
        <rFont val="Calibri"/>
        <family val="2"/>
        <scheme val="minor"/>
      </rPr>
      <t xml:space="preserve"> - Petty Cash
</t>
    </r>
    <r>
      <rPr>
        <b/>
        <sz val="11"/>
        <color theme="1"/>
        <rFont val="Calibri"/>
        <family val="2"/>
        <scheme val="minor"/>
      </rPr>
      <t>104</t>
    </r>
    <r>
      <rPr>
        <sz val="11"/>
        <color theme="1"/>
        <rFont val="Calibri"/>
        <family val="2"/>
        <scheme val="minor"/>
      </rPr>
      <t xml:space="preserve"> - Change Cash
</t>
    </r>
    <r>
      <rPr>
        <b/>
        <sz val="11"/>
        <color theme="1"/>
        <rFont val="Calibri"/>
        <family val="2"/>
        <scheme val="minor"/>
      </rPr>
      <t>105</t>
    </r>
    <r>
      <rPr>
        <sz val="11"/>
        <color theme="1"/>
        <rFont val="Calibri"/>
        <family val="2"/>
        <scheme val="minor"/>
      </rPr>
      <t xml:space="preserve"> - Cash With Fiscal Agents
</t>
    </r>
    <r>
      <rPr>
        <b/>
        <sz val="11"/>
        <color theme="1"/>
        <rFont val="Calibri"/>
        <family val="2"/>
        <scheme val="minor"/>
      </rPr>
      <t>111</t>
    </r>
    <r>
      <rPr>
        <sz val="11"/>
        <color theme="1"/>
        <rFont val="Calibri"/>
        <family val="2"/>
        <scheme val="minor"/>
      </rPr>
      <t xml:space="preserve"> - Investments
</t>
    </r>
    <r>
      <rPr>
        <b/>
        <sz val="11"/>
        <color theme="1"/>
        <rFont val="Calibri"/>
        <family val="2"/>
        <scheme val="minor"/>
      </rPr>
      <t>112</t>
    </r>
    <r>
      <rPr>
        <sz val="11"/>
        <color theme="1"/>
        <rFont val="Calibri"/>
        <family val="2"/>
        <scheme val="minor"/>
      </rPr>
      <t xml:space="preserve"> - Unamortized Premiums on Investments
</t>
    </r>
    <r>
      <rPr>
        <b/>
        <sz val="11"/>
        <color theme="1"/>
        <rFont val="Calibri"/>
        <family val="2"/>
        <scheme val="minor"/>
      </rPr>
      <t>113</t>
    </r>
    <r>
      <rPr>
        <sz val="11"/>
        <color theme="1"/>
        <rFont val="Calibri"/>
        <family val="2"/>
        <scheme val="minor"/>
      </rPr>
      <t xml:space="preserve"> - Unamortized Discounts on Investments (Credit)
</t>
    </r>
    <r>
      <rPr>
        <b/>
        <sz val="11"/>
        <color theme="1"/>
        <rFont val="Calibri"/>
        <family val="2"/>
        <scheme val="minor"/>
      </rPr>
      <t>114</t>
    </r>
    <r>
      <rPr>
        <sz val="11"/>
        <color theme="1"/>
        <rFont val="Calibri"/>
        <family val="2"/>
        <scheme val="minor"/>
      </rPr>
      <t xml:space="preserve"> - Interest Receivable on Investments
</t>
    </r>
    <r>
      <rPr>
        <b/>
        <sz val="11"/>
        <color theme="1"/>
        <rFont val="Calibri"/>
        <family val="2"/>
        <scheme val="minor"/>
      </rPr>
      <t>115</t>
    </r>
    <r>
      <rPr>
        <sz val="11"/>
        <color theme="1"/>
        <rFont val="Calibri"/>
        <family val="2"/>
        <scheme val="minor"/>
      </rPr>
      <t xml:space="preserve"> - Accrued Interest on Investments Purchased
</t>
    </r>
    <r>
      <rPr>
        <b/>
        <sz val="11"/>
        <color theme="1"/>
        <rFont val="Calibri"/>
        <family val="2"/>
        <scheme val="minor"/>
      </rPr>
      <t>121</t>
    </r>
    <r>
      <rPr>
        <sz val="11"/>
        <color theme="1"/>
        <rFont val="Calibri"/>
        <family val="2"/>
        <scheme val="minor"/>
      </rPr>
      <t xml:space="preserve"> - Taxes Receivable
</t>
    </r>
    <r>
      <rPr>
        <b/>
        <sz val="11"/>
        <color theme="1"/>
        <rFont val="Calibri"/>
        <family val="2"/>
        <scheme val="minor"/>
      </rPr>
      <t>122</t>
    </r>
    <r>
      <rPr>
        <sz val="11"/>
        <color theme="1"/>
        <rFont val="Calibri"/>
        <family val="2"/>
        <scheme val="minor"/>
      </rPr>
      <t xml:space="preserve"> - Allowance for Uncollectible Taxes (Credit)
</t>
    </r>
    <r>
      <rPr>
        <b/>
        <sz val="11"/>
        <color theme="1"/>
        <rFont val="Calibri"/>
        <family val="2"/>
        <scheme val="minor"/>
      </rPr>
      <t>131</t>
    </r>
    <r>
      <rPr>
        <sz val="11"/>
        <color theme="1"/>
        <rFont val="Calibri"/>
        <family val="2"/>
        <scheme val="minor"/>
      </rPr>
      <t xml:space="preserve"> - Interfund Loans Receivable
</t>
    </r>
    <r>
      <rPr>
        <b/>
        <sz val="11"/>
        <color theme="1"/>
        <rFont val="Calibri"/>
        <family val="2"/>
        <scheme val="minor"/>
      </rPr>
      <t>132</t>
    </r>
    <r>
      <rPr>
        <sz val="11"/>
        <color theme="1"/>
        <rFont val="Calibri"/>
        <family val="2"/>
        <scheme val="minor"/>
      </rPr>
      <t xml:space="preserve"> - Interfund Accounts Receivable
</t>
    </r>
    <r>
      <rPr>
        <b/>
        <sz val="11"/>
        <color theme="1"/>
        <rFont val="Calibri"/>
        <family val="2"/>
        <scheme val="minor"/>
      </rPr>
      <t>141</t>
    </r>
    <r>
      <rPr>
        <sz val="11"/>
        <color theme="1"/>
        <rFont val="Calibri"/>
        <family val="2"/>
        <scheme val="minor"/>
      </rPr>
      <t xml:space="preserve"> - Intergovernmental Accounts Receivable
</t>
    </r>
    <r>
      <rPr>
        <b/>
        <sz val="11"/>
        <color theme="1"/>
        <rFont val="Calibri"/>
        <family val="2"/>
        <scheme val="minor"/>
      </rPr>
      <t>151</t>
    </r>
    <r>
      <rPr>
        <sz val="11"/>
        <color theme="1"/>
        <rFont val="Calibri"/>
        <family val="2"/>
        <scheme val="minor"/>
      </rPr>
      <t xml:space="preserve"> - Loans Receivable
</t>
    </r>
    <r>
      <rPr>
        <b/>
        <sz val="11"/>
        <color theme="1"/>
        <rFont val="Calibri"/>
        <family val="2"/>
        <scheme val="minor"/>
      </rPr>
      <t>152</t>
    </r>
    <r>
      <rPr>
        <sz val="11"/>
        <color theme="1"/>
        <rFont val="Calibri"/>
        <family val="2"/>
        <scheme val="minor"/>
      </rPr>
      <t xml:space="preserve"> - Allowance for Uncollectible Loans (Credit)
</t>
    </r>
    <r>
      <rPr>
        <b/>
        <sz val="11"/>
        <color theme="1"/>
        <rFont val="Calibri"/>
        <family val="2"/>
        <scheme val="minor"/>
      </rPr>
      <t>153</t>
    </r>
    <r>
      <rPr>
        <sz val="11"/>
        <color theme="1"/>
        <rFont val="Calibri"/>
        <family val="2"/>
        <scheme val="minor"/>
      </rPr>
      <t xml:space="preserve"> - Other Accounts Receivable
</t>
    </r>
    <r>
      <rPr>
        <b/>
        <sz val="11"/>
        <color theme="1"/>
        <rFont val="Calibri"/>
        <family val="2"/>
        <scheme val="minor"/>
      </rPr>
      <t>154</t>
    </r>
    <r>
      <rPr>
        <sz val="11"/>
        <color theme="1"/>
        <rFont val="Calibri"/>
        <family val="2"/>
        <scheme val="minor"/>
      </rPr>
      <t xml:space="preserve"> - Allowance for Uncollectible Accounts Receivable (Credit)
</t>
    </r>
    <r>
      <rPr>
        <b/>
        <sz val="11"/>
        <color theme="1"/>
        <rFont val="Calibri"/>
        <family val="2"/>
        <scheme val="minor"/>
      </rPr>
      <t>171</t>
    </r>
    <r>
      <rPr>
        <sz val="11"/>
        <color theme="1"/>
        <rFont val="Calibri"/>
        <family val="2"/>
        <scheme val="minor"/>
      </rPr>
      <t xml:space="preserve"> - Inventories for Consumption
</t>
    </r>
    <r>
      <rPr>
        <b/>
        <sz val="11"/>
        <color theme="1"/>
        <rFont val="Calibri"/>
        <family val="2"/>
        <scheme val="minor"/>
      </rPr>
      <t>172</t>
    </r>
    <r>
      <rPr>
        <sz val="11"/>
        <color theme="1"/>
        <rFont val="Calibri"/>
        <family val="2"/>
        <scheme val="minor"/>
      </rPr>
      <t xml:space="preserve"> - Inventories for Resale
</t>
    </r>
    <r>
      <rPr>
        <b/>
        <sz val="11"/>
        <color theme="1"/>
        <rFont val="Calibri"/>
        <family val="2"/>
        <scheme val="minor"/>
      </rPr>
      <t>181</t>
    </r>
    <r>
      <rPr>
        <sz val="11"/>
        <color theme="1"/>
        <rFont val="Calibri"/>
        <family val="2"/>
        <scheme val="minor"/>
      </rPr>
      <t xml:space="preserve"> - Prepaid Items
</t>
    </r>
    <r>
      <rPr>
        <b/>
        <sz val="11"/>
        <color theme="1"/>
        <rFont val="Calibri"/>
        <family val="2"/>
        <scheme val="minor"/>
      </rPr>
      <t>191</t>
    </r>
    <r>
      <rPr>
        <sz val="11"/>
        <color theme="1"/>
        <rFont val="Calibri"/>
        <family val="2"/>
        <scheme val="minor"/>
      </rPr>
      <t xml:space="preserve"> - Deposits
</t>
    </r>
    <r>
      <rPr>
        <b/>
        <sz val="11"/>
        <color theme="1"/>
        <rFont val="Calibri"/>
        <family val="2"/>
        <scheme val="minor"/>
      </rPr>
      <t>193</t>
    </r>
    <r>
      <rPr>
        <sz val="11"/>
        <color theme="1"/>
        <rFont val="Calibri"/>
        <family val="2"/>
        <scheme val="minor"/>
      </rPr>
      <t xml:space="preserve"> - Bond Insurance Costs
</t>
    </r>
    <r>
      <rPr>
        <b/>
        <sz val="11"/>
        <color theme="1"/>
        <rFont val="Calibri"/>
        <family val="2"/>
        <scheme val="minor"/>
      </rPr>
      <t>194</t>
    </r>
    <r>
      <rPr>
        <sz val="11"/>
        <color theme="1"/>
        <rFont val="Calibri"/>
        <family val="2"/>
        <scheme val="minor"/>
      </rPr>
      <t xml:space="preserve"> - Premium and Discount on Issuance of Bonds
</t>
    </r>
    <r>
      <rPr>
        <b/>
        <sz val="11"/>
        <color theme="1"/>
        <rFont val="Calibri"/>
        <family val="2"/>
        <scheme val="minor"/>
      </rPr>
      <t>199</t>
    </r>
    <r>
      <rPr>
        <sz val="11"/>
        <color theme="1"/>
        <rFont val="Calibri"/>
        <family val="2"/>
        <scheme val="minor"/>
      </rPr>
      <t xml:space="preserve"> - Other Current Assets
</t>
    </r>
    <r>
      <rPr>
        <b/>
        <sz val="11"/>
        <color theme="1"/>
        <rFont val="Calibri"/>
        <family val="2"/>
        <scheme val="minor"/>
      </rPr>
      <t>200</t>
    </r>
    <r>
      <rPr>
        <sz val="11"/>
        <color theme="1"/>
        <rFont val="Calibri"/>
        <family val="2"/>
        <scheme val="minor"/>
      </rPr>
      <t xml:space="preserve"> - Capital Assets
</t>
    </r>
    <r>
      <rPr>
        <b/>
        <sz val="11"/>
        <color theme="1"/>
        <rFont val="Calibri"/>
        <family val="2"/>
        <scheme val="minor"/>
      </rPr>
      <t>211</t>
    </r>
    <r>
      <rPr>
        <sz val="11"/>
        <color theme="1"/>
        <rFont val="Calibri"/>
        <family val="2"/>
        <scheme val="minor"/>
      </rPr>
      <t xml:space="preserve"> - Land and Land Improvements
</t>
    </r>
    <r>
      <rPr>
        <b/>
        <sz val="11"/>
        <color theme="1"/>
        <rFont val="Calibri"/>
        <family val="2"/>
        <scheme val="minor"/>
      </rPr>
      <t>221</t>
    </r>
    <r>
      <rPr>
        <sz val="11"/>
        <color theme="1"/>
        <rFont val="Calibri"/>
        <family val="2"/>
        <scheme val="minor"/>
      </rPr>
      <t xml:space="preserve"> - Site Improvements
</t>
    </r>
    <r>
      <rPr>
        <b/>
        <sz val="11"/>
        <color theme="1"/>
        <rFont val="Calibri"/>
        <family val="2"/>
        <scheme val="minor"/>
      </rPr>
      <t>222</t>
    </r>
    <r>
      <rPr>
        <sz val="11"/>
        <color theme="1"/>
        <rFont val="Calibri"/>
        <family val="2"/>
        <scheme val="minor"/>
      </rPr>
      <t xml:space="preserve"> - Accumulated Depreciation on Site Improvements
</t>
    </r>
    <r>
      <rPr>
        <b/>
        <sz val="11"/>
        <color theme="1"/>
        <rFont val="Calibri"/>
        <family val="2"/>
        <scheme val="minor"/>
      </rPr>
      <t>231</t>
    </r>
    <r>
      <rPr>
        <sz val="11"/>
        <color theme="1"/>
        <rFont val="Calibri"/>
        <family val="2"/>
        <scheme val="minor"/>
      </rPr>
      <t xml:space="preserve"> - Buildings and Building Improvements
</t>
    </r>
    <r>
      <rPr>
        <b/>
        <sz val="11"/>
        <color theme="1"/>
        <rFont val="Calibri"/>
        <family val="2"/>
        <scheme val="minor"/>
      </rPr>
      <t>232</t>
    </r>
    <r>
      <rPr>
        <sz val="11"/>
        <color theme="1"/>
        <rFont val="Calibri"/>
        <family val="2"/>
        <scheme val="minor"/>
      </rPr>
      <t xml:space="preserve"> - Accumulated Depreciation on Buildings and Building Improvements
</t>
    </r>
    <r>
      <rPr>
        <b/>
        <sz val="11"/>
        <color theme="1"/>
        <rFont val="Calibri"/>
        <family val="2"/>
        <scheme val="minor"/>
      </rPr>
      <t>241</t>
    </r>
    <r>
      <rPr>
        <sz val="11"/>
        <color theme="1"/>
        <rFont val="Calibri"/>
        <family val="2"/>
        <scheme val="minor"/>
      </rPr>
      <t xml:space="preserve"> - Machinery and Equipment
</t>
    </r>
    <r>
      <rPr>
        <b/>
        <sz val="11"/>
        <color theme="1"/>
        <rFont val="Calibri"/>
        <family val="2"/>
        <scheme val="minor"/>
      </rPr>
      <t>242</t>
    </r>
    <r>
      <rPr>
        <sz val="11"/>
        <color theme="1"/>
        <rFont val="Calibri"/>
        <family val="2"/>
        <scheme val="minor"/>
      </rPr>
      <t xml:space="preserve"> - Accumulated Depreciation on Machinery and Equipment
</t>
    </r>
    <r>
      <rPr>
        <b/>
        <sz val="11"/>
        <color theme="1"/>
        <rFont val="Calibri"/>
        <family val="2"/>
        <scheme val="minor"/>
      </rPr>
      <t>251</t>
    </r>
    <r>
      <rPr>
        <sz val="11"/>
        <color theme="1"/>
        <rFont val="Calibri"/>
        <family val="2"/>
        <scheme val="minor"/>
      </rPr>
      <t xml:space="preserve"> - Works of Art and Historical Treasures
</t>
    </r>
    <r>
      <rPr>
        <b/>
        <sz val="11"/>
        <color theme="1"/>
        <rFont val="Calibri"/>
        <family val="2"/>
        <scheme val="minor"/>
      </rPr>
      <t>252</t>
    </r>
    <r>
      <rPr>
        <sz val="11"/>
        <color theme="1"/>
        <rFont val="Calibri"/>
        <family val="2"/>
        <scheme val="minor"/>
      </rPr>
      <t xml:space="preserve"> - Accumulated Depreciation on Works of Art and Historical Collections
</t>
    </r>
    <r>
      <rPr>
        <b/>
        <sz val="11"/>
        <color theme="1"/>
        <rFont val="Calibri"/>
        <family val="2"/>
        <scheme val="minor"/>
      </rPr>
      <t>261</t>
    </r>
    <r>
      <rPr>
        <sz val="11"/>
        <color theme="1"/>
        <rFont val="Calibri"/>
        <family val="2"/>
        <scheme val="minor"/>
      </rPr>
      <t xml:space="preserve"> - Infrastructure
</t>
    </r>
    <r>
      <rPr>
        <b/>
        <sz val="11"/>
        <color theme="1"/>
        <rFont val="Calibri"/>
        <family val="2"/>
        <scheme val="minor"/>
      </rPr>
      <t>262</t>
    </r>
    <r>
      <rPr>
        <sz val="11"/>
        <color theme="1"/>
        <rFont val="Calibri"/>
        <family val="2"/>
        <scheme val="minor"/>
      </rPr>
      <t xml:space="preserve"> - Accumulated Depreciation on Infrastructure
</t>
    </r>
    <r>
      <rPr>
        <b/>
        <sz val="11"/>
        <color theme="1"/>
        <rFont val="Calibri"/>
        <family val="2"/>
        <scheme val="minor"/>
      </rPr>
      <t>271</t>
    </r>
    <r>
      <rPr>
        <sz val="11"/>
        <color theme="1"/>
        <rFont val="Calibri"/>
        <family val="2"/>
        <scheme val="minor"/>
      </rPr>
      <t xml:space="preserve"> - Construction in Progress
</t>
    </r>
    <r>
      <rPr>
        <b/>
        <sz val="11"/>
        <color theme="1"/>
        <rFont val="Calibri"/>
        <family val="2"/>
        <scheme val="minor"/>
      </rPr>
      <t>281</t>
    </r>
    <r>
      <rPr>
        <sz val="11"/>
        <color theme="1"/>
        <rFont val="Calibri"/>
        <family val="2"/>
        <scheme val="minor"/>
      </rPr>
      <t xml:space="preserve"> - Intangible Assets
</t>
    </r>
    <r>
      <rPr>
        <b/>
        <sz val="11"/>
        <color theme="1"/>
        <rFont val="Calibri"/>
        <family val="2"/>
        <scheme val="minor"/>
      </rPr>
      <t>282</t>
    </r>
    <r>
      <rPr>
        <sz val="11"/>
        <color theme="1"/>
        <rFont val="Calibri"/>
        <family val="2"/>
        <scheme val="minor"/>
      </rPr>
      <t xml:space="preserve"> - Accumulated Amortization of Intangible Assets
</t>
    </r>
    <r>
      <rPr>
        <b/>
        <sz val="11"/>
        <color theme="1"/>
        <rFont val="Calibri"/>
        <family val="2"/>
        <scheme val="minor"/>
      </rPr>
      <t>300</t>
    </r>
    <r>
      <rPr>
        <sz val="11"/>
        <color theme="1"/>
        <rFont val="Calibri"/>
        <family val="2"/>
        <scheme val="minor"/>
      </rPr>
      <t xml:space="preserve"> - Deferred Outflows of Resources
</t>
    </r>
    <r>
      <rPr>
        <b/>
        <sz val="11"/>
        <color theme="1"/>
        <rFont val="Calibri"/>
        <family val="2"/>
        <scheme val="minor"/>
      </rPr>
      <t>401</t>
    </r>
    <r>
      <rPr>
        <sz val="11"/>
        <color theme="1"/>
        <rFont val="Calibri"/>
        <family val="2"/>
        <scheme val="minor"/>
      </rPr>
      <t xml:space="preserve"> - Interfund Loans Payable
</t>
    </r>
    <r>
      <rPr>
        <b/>
        <sz val="11"/>
        <color theme="1"/>
        <rFont val="Calibri"/>
        <family val="2"/>
        <scheme val="minor"/>
      </rPr>
      <t>402</t>
    </r>
    <r>
      <rPr>
        <sz val="11"/>
        <color theme="1"/>
        <rFont val="Calibri"/>
        <family val="2"/>
        <scheme val="minor"/>
      </rPr>
      <t xml:space="preserve"> - Interfund Accounts Payable
</t>
    </r>
    <r>
      <rPr>
        <b/>
        <sz val="11"/>
        <color theme="1"/>
        <rFont val="Calibri"/>
        <family val="2"/>
        <scheme val="minor"/>
      </rPr>
      <t>411</t>
    </r>
    <r>
      <rPr>
        <sz val="11"/>
        <color theme="1"/>
        <rFont val="Calibri"/>
        <family val="2"/>
        <scheme val="minor"/>
      </rPr>
      <t xml:space="preserve"> - Intergovernmental Accounts Payable
</t>
    </r>
    <r>
      <rPr>
        <b/>
        <sz val="11"/>
        <color theme="1"/>
        <rFont val="Calibri"/>
        <family val="2"/>
        <scheme val="minor"/>
      </rPr>
      <t>421</t>
    </r>
    <r>
      <rPr>
        <sz val="11"/>
        <color theme="1"/>
        <rFont val="Calibri"/>
        <family val="2"/>
        <scheme val="minor"/>
      </rPr>
      <t xml:space="preserve"> - Accounts Payable
</t>
    </r>
    <r>
      <rPr>
        <b/>
        <sz val="11"/>
        <color theme="1"/>
        <rFont val="Calibri"/>
        <family val="2"/>
        <scheme val="minor"/>
      </rPr>
      <t>422</t>
    </r>
    <r>
      <rPr>
        <sz val="11"/>
        <color theme="1"/>
        <rFont val="Calibri"/>
        <family val="2"/>
        <scheme val="minor"/>
      </rPr>
      <t xml:space="preserve"> - Judgments Payable
</t>
    </r>
    <r>
      <rPr>
        <b/>
        <sz val="11"/>
        <color theme="1"/>
        <rFont val="Calibri"/>
        <family val="2"/>
        <scheme val="minor"/>
      </rPr>
      <t>423</t>
    </r>
    <r>
      <rPr>
        <sz val="11"/>
        <color theme="1"/>
        <rFont val="Calibri"/>
        <family val="2"/>
        <scheme val="minor"/>
      </rPr>
      <t xml:space="preserve"> - Warrants Payable
</t>
    </r>
    <r>
      <rPr>
        <b/>
        <sz val="11"/>
        <color theme="1"/>
        <rFont val="Calibri"/>
        <family val="2"/>
        <scheme val="minor"/>
      </rPr>
      <t>431</t>
    </r>
    <r>
      <rPr>
        <sz val="11"/>
        <color theme="1"/>
        <rFont val="Calibri"/>
        <family val="2"/>
        <scheme val="minor"/>
      </rPr>
      <t xml:space="preserve"> - Contracts Payable
</t>
    </r>
    <r>
      <rPr>
        <b/>
        <sz val="11"/>
        <color theme="1"/>
        <rFont val="Calibri"/>
        <family val="2"/>
        <scheme val="minor"/>
      </rPr>
      <t>432</t>
    </r>
    <r>
      <rPr>
        <sz val="11"/>
        <color theme="1"/>
        <rFont val="Calibri"/>
        <family val="2"/>
        <scheme val="minor"/>
      </rPr>
      <t xml:space="preserve"> - Construction Contracts Payable-Retainage
</t>
    </r>
    <r>
      <rPr>
        <b/>
        <sz val="11"/>
        <color theme="1"/>
        <rFont val="Calibri"/>
        <family val="2"/>
        <scheme val="minor"/>
      </rPr>
      <t>433</t>
    </r>
    <r>
      <rPr>
        <sz val="11"/>
        <color theme="1"/>
        <rFont val="Calibri"/>
        <family val="2"/>
        <scheme val="minor"/>
      </rPr>
      <t xml:space="preserve"> - Construction Contracts Payable
</t>
    </r>
    <r>
      <rPr>
        <b/>
        <sz val="11"/>
        <color theme="1"/>
        <rFont val="Calibri"/>
        <family val="2"/>
        <scheme val="minor"/>
      </rPr>
      <t>441</t>
    </r>
    <r>
      <rPr>
        <sz val="11"/>
        <color theme="1"/>
        <rFont val="Calibri"/>
        <family val="2"/>
        <scheme val="minor"/>
      </rPr>
      <t xml:space="preserve"> - Matured Bonds Payable
</t>
    </r>
    <r>
      <rPr>
        <b/>
        <sz val="11"/>
        <color theme="1"/>
        <rFont val="Calibri"/>
        <family val="2"/>
        <scheme val="minor"/>
      </rPr>
      <t>442</t>
    </r>
    <r>
      <rPr>
        <sz val="11"/>
        <color theme="1"/>
        <rFont val="Calibri"/>
        <family val="2"/>
        <scheme val="minor"/>
      </rPr>
      <t xml:space="preserve"> - Bonds Payable-Current
</t>
    </r>
    <r>
      <rPr>
        <b/>
        <sz val="11"/>
        <color theme="1"/>
        <rFont val="Calibri"/>
        <family val="2"/>
        <scheme val="minor"/>
      </rPr>
      <t>443</t>
    </r>
    <r>
      <rPr>
        <sz val="11"/>
        <color theme="1"/>
        <rFont val="Calibri"/>
        <family val="2"/>
        <scheme val="minor"/>
      </rPr>
      <t xml:space="preserve"> - Unamortized Premiums on Issuance of Bonds
</t>
    </r>
    <r>
      <rPr>
        <b/>
        <sz val="11"/>
        <color theme="1"/>
        <rFont val="Calibri"/>
        <family val="2"/>
        <scheme val="minor"/>
      </rPr>
      <t>451</t>
    </r>
    <r>
      <rPr>
        <sz val="11"/>
        <color theme="1"/>
        <rFont val="Calibri"/>
        <family val="2"/>
        <scheme val="minor"/>
      </rPr>
      <t xml:space="preserve"> - Loans Payable
</t>
    </r>
    <r>
      <rPr>
        <b/>
        <sz val="11"/>
        <color theme="1"/>
        <rFont val="Calibri"/>
        <family val="2"/>
        <scheme val="minor"/>
      </rPr>
      <t>452</t>
    </r>
    <r>
      <rPr>
        <sz val="11"/>
        <color theme="1"/>
        <rFont val="Calibri"/>
        <family val="2"/>
        <scheme val="minor"/>
      </rPr>
      <t xml:space="preserve"> - Lease Obligations-Current
</t>
    </r>
    <r>
      <rPr>
        <b/>
        <sz val="11"/>
        <color theme="1"/>
        <rFont val="Calibri"/>
        <family val="2"/>
        <scheme val="minor"/>
      </rPr>
      <t>455</t>
    </r>
    <r>
      <rPr>
        <sz val="11"/>
        <color theme="1"/>
        <rFont val="Calibri"/>
        <family val="2"/>
        <scheme val="minor"/>
      </rPr>
      <t xml:space="preserve"> - Interest Payable
</t>
    </r>
    <r>
      <rPr>
        <b/>
        <sz val="11"/>
        <color theme="1"/>
        <rFont val="Calibri"/>
        <family val="2"/>
        <scheme val="minor"/>
      </rPr>
      <t>461</t>
    </r>
    <r>
      <rPr>
        <sz val="11"/>
        <color theme="1"/>
        <rFont val="Calibri"/>
        <family val="2"/>
        <scheme val="minor"/>
      </rPr>
      <t xml:space="preserve"> - Accrued Salaries and Benefits
</t>
    </r>
    <r>
      <rPr>
        <b/>
        <sz val="11"/>
        <color theme="1"/>
        <rFont val="Calibri"/>
        <family val="2"/>
        <scheme val="minor"/>
      </rPr>
      <t>471</t>
    </r>
    <r>
      <rPr>
        <sz val="11"/>
        <color theme="1"/>
        <rFont val="Calibri"/>
        <family val="2"/>
        <scheme val="minor"/>
      </rPr>
      <t xml:space="preserve"> - Payroll Deductions and Withholdings
</t>
    </r>
    <r>
      <rPr>
        <b/>
        <sz val="11"/>
        <color theme="1"/>
        <rFont val="Calibri"/>
        <family val="2"/>
        <scheme val="minor"/>
      </rPr>
      <t>472</t>
    </r>
    <r>
      <rPr>
        <sz val="11"/>
        <color theme="1"/>
        <rFont val="Calibri"/>
        <family val="2"/>
        <scheme val="minor"/>
      </rPr>
      <t xml:space="preserve"> - Compensated Absences-Current
</t>
    </r>
    <r>
      <rPr>
        <b/>
        <sz val="11"/>
        <color theme="1"/>
        <rFont val="Calibri"/>
        <family val="2"/>
        <scheme val="minor"/>
      </rPr>
      <t>473</t>
    </r>
    <r>
      <rPr>
        <sz val="11"/>
        <color theme="1"/>
        <rFont val="Calibri"/>
        <family val="2"/>
        <scheme val="minor"/>
      </rPr>
      <t xml:space="preserve"> - Accrued Annual Requirement Contribution Liability
</t>
    </r>
    <r>
      <rPr>
        <b/>
        <sz val="11"/>
        <color theme="1"/>
        <rFont val="Calibri"/>
        <family val="2"/>
        <scheme val="minor"/>
      </rPr>
      <t>481</t>
    </r>
    <r>
      <rPr>
        <sz val="11"/>
        <color theme="1"/>
        <rFont val="Calibri"/>
        <family val="2"/>
        <scheme val="minor"/>
      </rPr>
      <t xml:space="preserve"> - Advances from Grantors
</t>
    </r>
    <r>
      <rPr>
        <b/>
        <sz val="11"/>
        <color theme="1"/>
        <rFont val="Calibri"/>
        <family val="2"/>
        <scheme val="minor"/>
      </rPr>
      <t>491</t>
    </r>
    <r>
      <rPr>
        <sz val="11"/>
        <color theme="1"/>
        <rFont val="Calibri"/>
        <family val="2"/>
        <scheme val="minor"/>
      </rPr>
      <t xml:space="preserve"> - Deposits Payable
</t>
    </r>
    <r>
      <rPr>
        <b/>
        <sz val="11"/>
        <color theme="1"/>
        <rFont val="Calibri"/>
        <family val="2"/>
        <scheme val="minor"/>
      </rPr>
      <t>499</t>
    </r>
    <r>
      <rPr>
        <sz val="11"/>
        <color theme="1"/>
        <rFont val="Calibri"/>
        <family val="2"/>
        <scheme val="minor"/>
      </rPr>
      <t xml:space="preserve"> - Other Current Liabilities
</t>
    </r>
    <r>
      <rPr>
        <b/>
        <sz val="11"/>
        <color theme="1"/>
        <rFont val="Calibri"/>
        <family val="2"/>
        <scheme val="minor"/>
      </rPr>
      <t>500</t>
    </r>
    <r>
      <rPr>
        <sz val="11"/>
        <color theme="1"/>
        <rFont val="Calibri"/>
        <family val="2"/>
        <scheme val="minor"/>
      </rPr>
      <t xml:space="preserve"> - Long-Term Liabilities
</t>
    </r>
    <r>
      <rPr>
        <b/>
        <sz val="11"/>
        <color theme="1"/>
        <rFont val="Calibri"/>
        <family val="2"/>
        <scheme val="minor"/>
      </rPr>
      <t>511</t>
    </r>
    <r>
      <rPr>
        <sz val="11"/>
        <color theme="1"/>
        <rFont val="Calibri"/>
        <family val="2"/>
        <scheme val="minor"/>
      </rPr>
      <t xml:space="preserve"> - Bonds Payable
</t>
    </r>
    <r>
      <rPr>
        <b/>
        <sz val="11"/>
        <color theme="1"/>
        <rFont val="Calibri"/>
        <family val="2"/>
        <scheme val="minor"/>
      </rPr>
      <t>512</t>
    </r>
    <r>
      <rPr>
        <sz val="11"/>
        <color theme="1"/>
        <rFont val="Calibri"/>
        <family val="2"/>
        <scheme val="minor"/>
      </rPr>
      <t xml:space="preserve"> - Accreted Interest
</t>
    </r>
    <r>
      <rPr>
        <b/>
        <sz val="11"/>
        <color theme="1"/>
        <rFont val="Calibri"/>
        <family val="2"/>
        <scheme val="minor"/>
      </rPr>
      <t>513</t>
    </r>
    <r>
      <rPr>
        <sz val="11"/>
        <color theme="1"/>
        <rFont val="Calibri"/>
        <family val="2"/>
        <scheme val="minor"/>
      </rPr>
      <t xml:space="preserve"> - Unamortized Gains/Losses on Debt Refundings
</t>
    </r>
    <r>
      <rPr>
        <b/>
        <sz val="11"/>
        <color theme="1"/>
        <rFont val="Calibri"/>
        <family val="2"/>
        <scheme val="minor"/>
      </rPr>
      <t>521</t>
    </r>
    <r>
      <rPr>
        <sz val="11"/>
        <color theme="1"/>
        <rFont val="Calibri"/>
        <family val="2"/>
        <scheme val="minor"/>
      </rPr>
      <t xml:space="preserve"> - Loans Payable
</t>
    </r>
    <r>
      <rPr>
        <b/>
        <sz val="11"/>
        <color theme="1"/>
        <rFont val="Calibri"/>
        <family val="2"/>
        <scheme val="minor"/>
      </rPr>
      <t>531</t>
    </r>
    <r>
      <rPr>
        <sz val="11"/>
        <color theme="1"/>
        <rFont val="Calibri"/>
        <family val="2"/>
        <scheme val="minor"/>
      </rPr>
      <t xml:space="preserve"> - Capital Lease Obligations
</t>
    </r>
    <r>
      <rPr>
        <b/>
        <sz val="11"/>
        <color theme="1"/>
        <rFont val="Calibri"/>
        <family val="2"/>
        <scheme val="minor"/>
      </rPr>
      <t>551</t>
    </r>
    <r>
      <rPr>
        <sz val="11"/>
        <color theme="1"/>
        <rFont val="Calibri"/>
        <family val="2"/>
        <scheme val="minor"/>
      </rPr>
      <t xml:space="preserve"> - Compensated Absences
</t>
    </r>
    <r>
      <rPr>
        <b/>
        <sz val="11"/>
        <color theme="1"/>
        <rFont val="Calibri"/>
        <family val="2"/>
        <scheme val="minor"/>
      </rPr>
      <t>553</t>
    </r>
    <r>
      <rPr>
        <sz val="11"/>
        <color theme="1"/>
        <rFont val="Calibri"/>
        <family val="2"/>
        <scheme val="minor"/>
      </rPr>
      <t xml:space="preserve"> - Special Termination Benefits
</t>
    </r>
    <r>
      <rPr>
        <b/>
        <sz val="11"/>
        <color theme="1"/>
        <rFont val="Calibri"/>
        <family val="2"/>
        <scheme val="minor"/>
      </rPr>
      <t>561</t>
    </r>
    <r>
      <rPr>
        <sz val="11"/>
        <color theme="1"/>
        <rFont val="Calibri"/>
        <family val="2"/>
        <scheme val="minor"/>
      </rPr>
      <t xml:space="preserve"> - Arbitrage Rebate Liability
</t>
    </r>
    <r>
      <rPr>
        <b/>
        <sz val="11"/>
        <color theme="1"/>
        <rFont val="Calibri"/>
        <family val="2"/>
        <scheme val="minor"/>
      </rPr>
      <t>590</t>
    </r>
    <r>
      <rPr>
        <sz val="11"/>
        <color theme="1"/>
        <rFont val="Calibri"/>
        <family val="2"/>
        <scheme val="minor"/>
      </rPr>
      <t xml:space="preserve"> - Other Long-Term Liabilities
</t>
    </r>
    <r>
      <rPr>
        <b/>
        <sz val="11"/>
        <color theme="1"/>
        <rFont val="Calibri"/>
        <family val="2"/>
        <scheme val="minor"/>
      </rPr>
      <t>600</t>
    </r>
    <r>
      <rPr>
        <sz val="11"/>
        <color theme="1"/>
        <rFont val="Calibri"/>
        <family val="2"/>
        <scheme val="minor"/>
      </rPr>
      <t xml:space="preserve"> - Deferred Inflows of Resources
</t>
    </r>
    <r>
      <rPr>
        <b/>
        <sz val="11"/>
        <color theme="1"/>
        <rFont val="Calibri"/>
        <family val="2"/>
        <scheme val="minor"/>
      </rPr>
      <t>710</t>
    </r>
    <r>
      <rPr>
        <sz val="11"/>
        <color theme="1"/>
        <rFont val="Calibri"/>
        <family val="2"/>
        <scheme val="minor"/>
      </rPr>
      <t xml:space="preserve"> - Nonspendable Fund Balance
</t>
    </r>
    <r>
      <rPr>
        <b/>
        <sz val="11"/>
        <color theme="1"/>
        <rFont val="Calibri"/>
        <family val="2"/>
        <scheme val="minor"/>
      </rPr>
      <t>720</t>
    </r>
    <r>
      <rPr>
        <sz val="11"/>
        <color theme="1"/>
        <rFont val="Calibri"/>
        <family val="2"/>
        <scheme val="minor"/>
      </rPr>
      <t xml:space="preserve"> - Restricted Fund Balance
</t>
    </r>
    <r>
      <rPr>
        <b/>
        <sz val="11"/>
        <color theme="1"/>
        <rFont val="Calibri"/>
        <family val="2"/>
        <scheme val="minor"/>
      </rPr>
      <t>730</t>
    </r>
    <r>
      <rPr>
        <sz val="11"/>
        <color theme="1"/>
        <rFont val="Calibri"/>
        <family val="2"/>
        <scheme val="minor"/>
      </rPr>
      <t xml:space="preserve"> - Committed Fund Balance
</t>
    </r>
    <r>
      <rPr>
        <b/>
        <sz val="11"/>
        <color theme="1"/>
        <rFont val="Calibri"/>
        <family val="2"/>
        <scheme val="minor"/>
      </rPr>
      <t>740</t>
    </r>
    <r>
      <rPr>
        <sz val="11"/>
        <color theme="1"/>
        <rFont val="Calibri"/>
        <family val="2"/>
        <scheme val="minor"/>
      </rPr>
      <t xml:space="preserve"> - Assigned Fund Balance
</t>
    </r>
    <r>
      <rPr>
        <b/>
        <sz val="11"/>
        <color theme="1"/>
        <rFont val="Calibri"/>
        <family val="2"/>
        <scheme val="minor"/>
      </rPr>
      <t>750</t>
    </r>
    <r>
      <rPr>
        <sz val="11"/>
        <color theme="1"/>
        <rFont val="Calibri"/>
        <family val="2"/>
        <scheme val="minor"/>
      </rPr>
      <t xml:space="preserve"> - Unassigned Fund Balance
</t>
    </r>
    <r>
      <rPr>
        <b/>
        <sz val="11"/>
        <color theme="1"/>
        <rFont val="Calibri"/>
        <family val="2"/>
        <scheme val="minor"/>
      </rPr>
      <t>760</t>
    </r>
    <r>
      <rPr>
        <sz val="11"/>
        <color theme="1"/>
        <rFont val="Calibri"/>
        <family val="2"/>
        <scheme val="minor"/>
      </rPr>
      <t xml:space="preserve"> - Net Investment in Capital Assets
</t>
    </r>
    <r>
      <rPr>
        <b/>
        <sz val="11"/>
        <color theme="1"/>
        <rFont val="Calibri"/>
        <family val="2"/>
        <scheme val="minor"/>
      </rPr>
      <t>770</t>
    </r>
    <r>
      <rPr>
        <sz val="11"/>
        <color theme="1"/>
        <rFont val="Calibri"/>
        <family val="2"/>
        <scheme val="minor"/>
      </rPr>
      <t xml:space="preserve"> - Restricted Net Position
</t>
    </r>
    <r>
      <rPr>
        <b/>
        <sz val="11"/>
        <color theme="1"/>
        <rFont val="Calibri"/>
        <family val="2"/>
        <scheme val="minor"/>
      </rPr>
      <t>780</t>
    </r>
    <r>
      <rPr>
        <sz val="11"/>
        <color theme="1"/>
        <rFont val="Calibri"/>
        <family val="2"/>
        <scheme val="minor"/>
      </rPr>
      <t xml:space="preserve"> - Unrestricted Net Position
</t>
    </r>
  </si>
  <si>
    <r>
      <t>1</t>
    </r>
    <r>
      <rPr>
        <sz val="11"/>
        <color theme="1"/>
        <rFont val="Calibri"/>
        <family val="2"/>
        <scheme val="minor"/>
      </rPr>
      <t xml:space="preserve"> - General Fund
</t>
    </r>
    <r>
      <rPr>
        <b/>
        <sz val="11"/>
        <color theme="1"/>
        <rFont val="Calibri"/>
        <family val="2"/>
        <scheme val="minor"/>
      </rPr>
      <t>2</t>
    </r>
    <r>
      <rPr>
        <sz val="11"/>
        <color theme="1"/>
        <rFont val="Calibri"/>
        <family val="2"/>
        <scheme val="minor"/>
      </rPr>
      <t xml:space="preserve"> - Special Revenue Funds
</t>
    </r>
    <r>
      <rPr>
        <b/>
        <sz val="11"/>
        <color theme="1"/>
        <rFont val="Calibri"/>
        <family val="2"/>
        <scheme val="minor"/>
      </rPr>
      <t>3</t>
    </r>
    <r>
      <rPr>
        <sz val="11"/>
        <color theme="1"/>
        <rFont val="Calibri"/>
        <family val="2"/>
        <scheme val="minor"/>
      </rPr>
      <t xml:space="preserve"> - Capital Projects Funds
</t>
    </r>
    <r>
      <rPr>
        <b/>
        <sz val="11"/>
        <color theme="1"/>
        <rFont val="Calibri"/>
        <family val="2"/>
        <scheme val="minor"/>
      </rPr>
      <t>4</t>
    </r>
    <r>
      <rPr>
        <sz val="11"/>
        <color theme="1"/>
        <rFont val="Calibri"/>
        <family val="2"/>
        <scheme val="minor"/>
      </rPr>
      <t xml:space="preserve"> - Debt Service Funds
</t>
    </r>
    <r>
      <rPr>
        <b/>
        <sz val="11"/>
        <color theme="1"/>
        <rFont val="Calibri"/>
        <family val="2"/>
        <scheme val="minor"/>
      </rPr>
      <t>5</t>
    </r>
    <r>
      <rPr>
        <sz val="11"/>
        <color theme="1"/>
        <rFont val="Calibri"/>
        <family val="2"/>
        <scheme val="minor"/>
      </rPr>
      <t xml:space="preserve"> - Permanent Funds
</t>
    </r>
    <r>
      <rPr>
        <b/>
        <sz val="11"/>
        <color theme="1"/>
        <rFont val="Calibri"/>
        <family val="2"/>
        <scheme val="minor"/>
      </rPr>
      <t>6</t>
    </r>
    <r>
      <rPr>
        <sz val="11"/>
        <color theme="1"/>
        <rFont val="Calibri"/>
        <family val="2"/>
        <scheme val="minor"/>
      </rPr>
      <t xml:space="preserve"> - Enterprise Funds
</t>
    </r>
    <r>
      <rPr>
        <b/>
        <sz val="11"/>
        <color theme="1"/>
        <rFont val="Calibri"/>
        <family val="2"/>
        <scheme val="minor"/>
      </rPr>
      <t>7</t>
    </r>
    <r>
      <rPr>
        <sz val="11"/>
        <color theme="1"/>
        <rFont val="Calibri"/>
        <family val="2"/>
        <scheme val="minor"/>
      </rPr>
      <t xml:space="preserve"> - Internal Service Funds
</t>
    </r>
    <r>
      <rPr>
        <b/>
        <sz val="11"/>
        <color theme="1"/>
        <rFont val="Calibri"/>
        <family val="2"/>
        <scheme val="minor"/>
      </rPr>
      <t>8</t>
    </r>
    <r>
      <rPr>
        <sz val="11"/>
        <color theme="1"/>
        <rFont val="Calibri"/>
        <family val="2"/>
        <scheme val="minor"/>
      </rPr>
      <t xml:space="preserve"> - Trust Funds
</t>
    </r>
    <r>
      <rPr>
        <b/>
        <sz val="11"/>
        <color theme="1"/>
        <rFont val="Calibri"/>
        <family val="2"/>
        <scheme val="minor"/>
      </rPr>
      <t>9</t>
    </r>
    <r>
      <rPr>
        <sz val="11"/>
        <color theme="1"/>
        <rFont val="Calibri"/>
        <family val="2"/>
        <scheme val="minor"/>
      </rPr>
      <t xml:space="preserve"> - Agency Funds
</t>
    </r>
  </si>
  <si>
    <r>
      <t>100</t>
    </r>
    <r>
      <rPr>
        <sz val="11"/>
        <color theme="1"/>
        <rFont val="Calibri"/>
        <family val="2"/>
        <scheme val="minor"/>
      </rPr>
      <t xml:space="preserve"> - Regular Elementary/Secondary Education Programs
</t>
    </r>
    <r>
      <rPr>
        <b/>
        <sz val="11"/>
        <color theme="1"/>
        <rFont val="Calibri"/>
        <family val="2"/>
        <scheme val="minor"/>
      </rPr>
      <t>200</t>
    </r>
    <r>
      <rPr>
        <sz val="11"/>
        <color theme="1"/>
        <rFont val="Calibri"/>
        <family val="2"/>
        <scheme val="minor"/>
      </rPr>
      <t xml:space="preserve"> - Special Programs
</t>
    </r>
    <r>
      <rPr>
        <b/>
        <sz val="11"/>
        <color theme="1"/>
        <rFont val="Calibri"/>
        <family val="2"/>
        <scheme val="minor"/>
      </rPr>
      <t>300</t>
    </r>
    <r>
      <rPr>
        <sz val="11"/>
        <color theme="1"/>
        <rFont val="Calibri"/>
        <family val="2"/>
        <scheme val="minor"/>
      </rPr>
      <t xml:space="preserve"> - Vocational and Technical Programs
</t>
    </r>
    <r>
      <rPr>
        <b/>
        <sz val="11"/>
        <color theme="1"/>
        <rFont val="Calibri"/>
        <family val="2"/>
        <scheme val="minor"/>
      </rPr>
      <t>400</t>
    </r>
    <r>
      <rPr>
        <sz val="11"/>
        <color theme="1"/>
        <rFont val="Calibri"/>
        <family val="2"/>
        <scheme val="minor"/>
      </rPr>
      <t xml:space="preserve"> - Other Instructional Programs—Elementary/Secondary
</t>
    </r>
    <r>
      <rPr>
        <b/>
        <sz val="11"/>
        <color theme="1"/>
        <rFont val="Calibri"/>
        <family val="2"/>
        <scheme val="minor"/>
      </rPr>
      <t>500</t>
    </r>
    <r>
      <rPr>
        <sz val="11"/>
        <color theme="1"/>
        <rFont val="Calibri"/>
        <family val="2"/>
        <scheme val="minor"/>
      </rPr>
      <t xml:space="preserve"> - Nonpublic School Programs
</t>
    </r>
    <r>
      <rPr>
        <b/>
        <sz val="11"/>
        <color theme="1"/>
        <rFont val="Calibri"/>
        <family val="2"/>
        <scheme val="minor"/>
      </rPr>
      <t>600</t>
    </r>
    <r>
      <rPr>
        <sz val="11"/>
        <color theme="1"/>
        <rFont val="Calibri"/>
        <family val="2"/>
        <scheme val="minor"/>
      </rPr>
      <t xml:space="preserve"> - Adult/Continuing Education Programs
</t>
    </r>
    <r>
      <rPr>
        <b/>
        <sz val="11"/>
        <color theme="1"/>
        <rFont val="Calibri"/>
        <family val="2"/>
        <scheme val="minor"/>
      </rPr>
      <t>700</t>
    </r>
    <r>
      <rPr>
        <sz val="11"/>
        <color theme="1"/>
        <rFont val="Calibri"/>
        <family val="2"/>
        <scheme val="minor"/>
      </rPr>
      <t xml:space="preserve"> - Community/Junior College Education Programs
</t>
    </r>
    <r>
      <rPr>
        <b/>
        <sz val="11"/>
        <color theme="1"/>
        <rFont val="Calibri"/>
        <family val="2"/>
        <scheme val="minor"/>
      </rPr>
      <t>800</t>
    </r>
    <r>
      <rPr>
        <sz val="11"/>
        <color theme="1"/>
        <rFont val="Calibri"/>
        <family val="2"/>
        <scheme val="minor"/>
      </rPr>
      <t xml:space="preserve"> - Community Services Programs
</t>
    </r>
    <r>
      <rPr>
        <b/>
        <sz val="11"/>
        <color theme="1"/>
        <rFont val="Calibri"/>
        <family val="2"/>
        <scheme val="minor"/>
      </rPr>
      <t>900</t>
    </r>
    <r>
      <rPr>
        <sz val="11"/>
        <color theme="1"/>
        <rFont val="Calibri"/>
        <family val="2"/>
        <scheme val="minor"/>
      </rPr>
      <t xml:space="preserve"> - Cocurricular and Extracurricular Activities
</t>
    </r>
  </si>
  <si>
    <t>Federal Funds</t>
  </si>
  <si>
    <r>
      <t>Turnaround</t>
    </r>
    <r>
      <rPr>
        <sz val="11"/>
        <color theme="1"/>
        <rFont val="Calibri"/>
        <family val="2"/>
        <scheme val="minor"/>
      </rPr>
      <t xml:space="preserve"> - Turnaround model
</t>
    </r>
    <r>
      <rPr>
        <b/>
        <sz val="11"/>
        <color theme="1"/>
        <rFont val="Calibri"/>
        <family val="2"/>
        <scheme val="minor"/>
      </rPr>
      <t>Restart</t>
    </r>
    <r>
      <rPr>
        <sz val="11"/>
        <color theme="1"/>
        <rFont val="Calibri"/>
        <family val="2"/>
        <scheme val="minor"/>
      </rPr>
      <t xml:space="preserve"> - Restart model
</t>
    </r>
    <r>
      <rPr>
        <b/>
        <sz val="11"/>
        <color theme="1"/>
        <rFont val="Calibri"/>
        <family val="2"/>
        <scheme val="minor"/>
      </rPr>
      <t>Closure</t>
    </r>
    <r>
      <rPr>
        <sz val="11"/>
        <color theme="1"/>
        <rFont val="Calibri"/>
        <family val="2"/>
        <scheme val="minor"/>
      </rPr>
      <t xml:space="preserve"> - School closure model
</t>
    </r>
    <r>
      <rPr>
        <b/>
        <sz val="11"/>
        <color theme="1"/>
        <rFont val="Calibri"/>
        <family val="2"/>
        <scheme val="minor"/>
      </rPr>
      <t>Transformation</t>
    </r>
    <r>
      <rPr>
        <sz val="11"/>
        <color theme="1"/>
        <rFont val="Calibri"/>
        <family val="2"/>
        <scheme val="minor"/>
      </rPr>
      <t xml:space="preserve"> - Transformation model
</t>
    </r>
  </si>
  <si>
    <r>
      <t>01</t>
    </r>
    <r>
      <rPr>
        <sz val="11"/>
        <color theme="1"/>
        <rFont val="Calibri"/>
        <family val="2"/>
        <scheme val="minor"/>
      </rPr>
      <t xml:space="preserve"> - Teacher recruitment and retention
</t>
    </r>
    <r>
      <rPr>
        <b/>
        <sz val="11"/>
        <color theme="1"/>
        <rFont val="Calibri"/>
        <family val="2"/>
        <scheme val="minor"/>
      </rPr>
      <t>02</t>
    </r>
    <r>
      <rPr>
        <sz val="11"/>
        <color theme="1"/>
        <rFont val="Calibri"/>
        <family val="2"/>
        <scheme val="minor"/>
      </rPr>
      <t xml:space="preserve"> - Teacher professional development
</t>
    </r>
    <r>
      <rPr>
        <b/>
        <sz val="11"/>
        <color theme="1"/>
        <rFont val="Calibri"/>
        <family val="2"/>
        <scheme val="minor"/>
      </rPr>
      <t>03</t>
    </r>
    <r>
      <rPr>
        <sz val="11"/>
        <color theme="1"/>
        <rFont val="Calibri"/>
        <family val="2"/>
        <scheme val="minor"/>
      </rPr>
      <t xml:space="preserve"> - Educational technology
</t>
    </r>
    <r>
      <rPr>
        <b/>
        <sz val="11"/>
        <color theme="1"/>
        <rFont val="Calibri"/>
        <family val="2"/>
        <scheme val="minor"/>
      </rPr>
      <t>04</t>
    </r>
    <r>
      <rPr>
        <sz val="11"/>
        <color theme="1"/>
        <rFont val="Calibri"/>
        <family val="2"/>
        <scheme val="minor"/>
      </rPr>
      <t xml:space="preserve"> - Parental involvement activities
</t>
    </r>
    <r>
      <rPr>
        <b/>
        <sz val="11"/>
        <color theme="1"/>
        <rFont val="Calibri"/>
        <family val="2"/>
        <scheme val="minor"/>
      </rPr>
      <t>05</t>
    </r>
    <r>
      <rPr>
        <sz val="11"/>
        <color theme="1"/>
        <rFont val="Calibri"/>
        <family val="2"/>
        <scheme val="minor"/>
      </rPr>
      <t xml:space="preserve"> - Activities authorized under the Safe and Drug-Free Schools Program (Title IV, Part A)
</t>
    </r>
    <r>
      <rPr>
        <b/>
        <sz val="11"/>
        <color theme="1"/>
        <rFont val="Calibri"/>
        <family val="2"/>
        <scheme val="minor"/>
      </rPr>
      <t>06</t>
    </r>
    <r>
      <rPr>
        <sz val="11"/>
        <color theme="1"/>
        <rFont val="Calibri"/>
        <family val="2"/>
        <scheme val="minor"/>
      </rPr>
      <t xml:space="preserve"> - Activities authorized under Title I, Part A
</t>
    </r>
    <r>
      <rPr>
        <b/>
        <sz val="11"/>
        <color theme="1"/>
        <rFont val="Calibri"/>
        <family val="2"/>
        <scheme val="minor"/>
      </rPr>
      <t>07</t>
    </r>
    <r>
      <rPr>
        <sz val="11"/>
        <color theme="1"/>
        <rFont val="Calibri"/>
        <family val="2"/>
        <scheme val="minor"/>
      </rPr>
      <t xml:space="preserve"> - Activities authorized under Title III (Language instruction for English Learner and immigrant students)
</t>
    </r>
  </si>
  <si>
    <t>Session</t>
  </si>
  <si>
    <r>
      <t>FullSchoolYear</t>
    </r>
    <r>
      <rPr>
        <sz val="11"/>
        <color theme="1"/>
        <rFont val="Calibri"/>
        <family val="2"/>
        <scheme val="minor"/>
      </rPr>
      <t xml:space="preserve"> - Full School Year
</t>
    </r>
    <r>
      <rPr>
        <b/>
        <sz val="11"/>
        <color theme="1"/>
        <rFont val="Calibri"/>
        <family val="2"/>
        <scheme val="minor"/>
      </rPr>
      <t>Intersession</t>
    </r>
    <r>
      <rPr>
        <sz val="11"/>
        <color theme="1"/>
        <rFont val="Calibri"/>
        <family val="2"/>
        <scheme val="minor"/>
      </rPr>
      <t xml:space="preserve"> - Intersession
</t>
    </r>
    <r>
      <rPr>
        <b/>
        <sz val="11"/>
        <color theme="1"/>
        <rFont val="Calibri"/>
        <family val="2"/>
        <scheme val="minor"/>
      </rPr>
      <t>LongSession</t>
    </r>
    <r>
      <rPr>
        <sz val="11"/>
        <color theme="1"/>
        <rFont val="Calibri"/>
        <family val="2"/>
        <scheme val="minor"/>
      </rPr>
      <t xml:space="preserve"> - Long Session
</t>
    </r>
    <r>
      <rPr>
        <b/>
        <sz val="11"/>
        <color theme="1"/>
        <rFont val="Calibri"/>
        <family val="2"/>
        <scheme val="minor"/>
      </rPr>
      <t>MiniTerm</t>
    </r>
    <r>
      <rPr>
        <sz val="11"/>
        <color theme="1"/>
        <rFont val="Calibri"/>
        <family val="2"/>
        <scheme val="minor"/>
      </rPr>
      <t xml:space="preserve"> - Mini Term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Quinmester</t>
    </r>
    <r>
      <rPr>
        <sz val="11"/>
        <color theme="1"/>
        <rFont val="Calibri"/>
        <family val="2"/>
        <scheme val="minor"/>
      </rPr>
      <t xml:space="preserve"> - Quinmester
</t>
    </r>
    <r>
      <rPr>
        <b/>
        <sz val="11"/>
        <color theme="1"/>
        <rFont val="Calibri"/>
        <family val="2"/>
        <scheme val="minor"/>
      </rPr>
      <t>Semester</t>
    </r>
    <r>
      <rPr>
        <sz val="11"/>
        <color theme="1"/>
        <rFont val="Calibri"/>
        <family val="2"/>
        <scheme val="minor"/>
      </rPr>
      <t xml:space="preserve"> - Semester
</t>
    </r>
    <r>
      <rPr>
        <b/>
        <sz val="11"/>
        <color theme="1"/>
        <rFont val="Calibri"/>
        <family val="2"/>
        <scheme val="minor"/>
      </rPr>
      <t>SummerTerm</t>
    </r>
    <r>
      <rPr>
        <sz val="11"/>
        <color theme="1"/>
        <rFont val="Calibri"/>
        <family val="2"/>
        <scheme val="minor"/>
      </rPr>
      <t xml:space="preserve"> - Summer Term
</t>
    </r>
    <r>
      <rPr>
        <b/>
        <sz val="11"/>
        <color theme="1"/>
        <rFont val="Calibri"/>
        <family val="2"/>
        <scheme val="minor"/>
      </rPr>
      <t>Trimester</t>
    </r>
    <r>
      <rPr>
        <sz val="11"/>
        <color theme="1"/>
        <rFont val="Calibri"/>
        <family val="2"/>
        <scheme val="minor"/>
      </rPr>
      <t xml:space="preserve"> - Trimester
</t>
    </r>
    <r>
      <rPr>
        <b/>
        <sz val="11"/>
        <color theme="1"/>
        <rFont val="Calibri"/>
        <family val="2"/>
        <scheme val="minor"/>
      </rPr>
      <t>TwelveMonth</t>
    </r>
    <r>
      <rPr>
        <sz val="11"/>
        <color theme="1"/>
        <rFont val="Calibri"/>
        <family val="2"/>
        <scheme val="minor"/>
      </rPr>
      <t xml:space="preserve"> - Twelve Month
</t>
    </r>
    <r>
      <rPr>
        <b/>
        <sz val="11"/>
        <color theme="1"/>
        <rFont val="Calibri"/>
        <family val="2"/>
        <scheme val="minor"/>
      </rPr>
      <t>Other</t>
    </r>
    <r>
      <rPr>
        <sz val="11"/>
        <color theme="1"/>
        <rFont val="Calibri"/>
        <family val="2"/>
        <scheme val="minor"/>
      </rPr>
      <t xml:space="preserve"> - Other
</t>
    </r>
  </si>
  <si>
    <t>Technical Assistance</t>
  </si>
  <si>
    <t>LEA</t>
  </si>
  <si>
    <r>
      <t>District</t>
    </r>
    <r>
      <rPr>
        <sz val="11"/>
        <color theme="1"/>
        <rFont val="Calibri"/>
        <family val="2"/>
        <scheme val="minor"/>
      </rPr>
      <t xml:space="preserve"> - District-assigned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CENSUSID</t>
    </r>
    <r>
      <rPr>
        <sz val="11"/>
        <color theme="1"/>
        <rFont val="Calibri"/>
        <family val="2"/>
        <scheme val="minor"/>
      </rPr>
      <t xml:space="preserve"> - Census Bureau identification code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</si>
  <si>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r>
      <t>RegularNotInSupervisoryUnion</t>
    </r>
    <r>
      <rPr>
        <sz val="11"/>
        <color theme="1"/>
        <rFont val="Calibri"/>
        <family val="2"/>
        <scheme val="minor"/>
      </rPr>
      <t xml:space="preserve"> - Regular public school district that is NOT a component of a supervisory union
</t>
    </r>
    <r>
      <rPr>
        <b/>
        <sz val="11"/>
        <color theme="1"/>
        <rFont val="Calibri"/>
        <family val="2"/>
        <scheme val="minor"/>
      </rPr>
      <t>RegularInSupervisoryUnion</t>
    </r>
    <r>
      <rPr>
        <sz val="11"/>
        <color theme="1"/>
        <rFont val="Calibri"/>
        <family val="2"/>
        <scheme val="minor"/>
      </rPr>
      <t xml:space="preserve"> - Regular public school district that is a component of a supervisory union
</t>
    </r>
    <r>
      <rPr>
        <b/>
        <sz val="11"/>
        <color theme="1"/>
        <rFont val="Calibri"/>
        <family val="2"/>
        <scheme val="minor"/>
      </rPr>
      <t>SupervisoryUnion</t>
    </r>
    <r>
      <rPr>
        <sz val="11"/>
        <color theme="1"/>
        <rFont val="Calibri"/>
        <family val="2"/>
        <scheme val="minor"/>
      </rPr>
      <t xml:space="preserve"> - Supervisory Union
</t>
    </r>
    <r>
      <rPr>
        <b/>
        <sz val="11"/>
        <color theme="1"/>
        <rFont val="Calibri"/>
        <family val="2"/>
        <scheme val="minor"/>
      </rPr>
      <t>SpecializedPublicSchoolDistrict</t>
    </r>
    <r>
      <rPr>
        <sz val="11"/>
        <color theme="1"/>
        <rFont val="Calibri"/>
        <family val="2"/>
        <scheme val="minor"/>
      </rPr>
      <t xml:space="preserve"> - Specialized Public School District
</t>
    </r>
    <r>
      <rPr>
        <b/>
        <sz val="11"/>
        <color theme="1"/>
        <rFont val="Calibri"/>
        <family val="2"/>
        <scheme val="minor"/>
      </rPr>
      <t>ServiceAgency</t>
    </r>
    <r>
      <rPr>
        <sz val="11"/>
        <color theme="1"/>
        <rFont val="Calibri"/>
        <family val="2"/>
        <scheme val="minor"/>
      </rPr>
      <t xml:space="preserve"> - Service Agency
</t>
    </r>
    <r>
      <rPr>
        <b/>
        <sz val="11"/>
        <color theme="1"/>
        <rFont val="Calibri"/>
        <family val="2"/>
        <scheme val="minor"/>
      </rPr>
      <t>StateOperatedAgency</t>
    </r>
    <r>
      <rPr>
        <sz val="11"/>
        <color theme="1"/>
        <rFont val="Calibri"/>
        <family val="2"/>
        <scheme val="minor"/>
      </rPr>
      <t xml:space="preserve"> - State Operated Agency
</t>
    </r>
    <r>
      <rPr>
        <b/>
        <sz val="11"/>
        <color theme="1"/>
        <rFont val="Calibri"/>
        <family val="2"/>
        <scheme val="minor"/>
      </rPr>
      <t>FederalOperatedAgency</t>
    </r>
    <r>
      <rPr>
        <sz val="11"/>
        <color theme="1"/>
        <rFont val="Calibri"/>
        <family val="2"/>
        <scheme val="minor"/>
      </rPr>
      <t xml:space="preserve"> - Federal Operated Agency
</t>
    </r>
    <r>
      <rPr>
        <b/>
        <sz val="11"/>
        <color theme="1"/>
        <rFont val="Calibri"/>
        <family val="2"/>
        <scheme val="minor"/>
      </rPr>
      <t>Other</t>
    </r>
    <r>
      <rPr>
        <sz val="11"/>
        <color theme="1"/>
        <rFont val="Calibri"/>
        <family val="2"/>
        <scheme val="minor"/>
      </rPr>
      <t xml:space="preserve"> - Other Local Education Agencies
</t>
    </r>
    <r>
      <rPr>
        <b/>
        <sz val="11"/>
        <color theme="1"/>
        <rFont val="Calibri"/>
        <family val="2"/>
        <scheme val="minor"/>
      </rPr>
      <t>IndependentCharterDistrict</t>
    </r>
    <r>
      <rPr>
        <sz val="11"/>
        <color theme="1"/>
        <rFont val="Calibri"/>
        <family val="2"/>
        <scheme val="minor"/>
      </rPr>
      <t xml:space="preserve"> - Independent Charter District
</t>
    </r>
  </si>
  <si>
    <r>
      <t>Open</t>
    </r>
    <r>
      <rPr>
        <sz val="11"/>
        <color theme="1"/>
        <rFont val="Calibri"/>
        <family val="2"/>
        <scheme val="minor"/>
      </rPr>
      <t xml:space="preserve"> - Open
</t>
    </r>
    <r>
      <rPr>
        <b/>
        <sz val="11"/>
        <color theme="1"/>
        <rFont val="Calibri"/>
        <family val="2"/>
        <scheme val="minor"/>
      </rPr>
      <t>Closed</t>
    </r>
    <r>
      <rPr>
        <sz val="11"/>
        <color theme="1"/>
        <rFont val="Calibri"/>
        <family val="2"/>
        <scheme val="minor"/>
      </rPr>
      <t xml:space="preserve"> - Closed
</t>
    </r>
    <r>
      <rPr>
        <b/>
        <sz val="11"/>
        <color theme="1"/>
        <rFont val="Calibri"/>
        <family val="2"/>
        <scheme val="minor"/>
      </rPr>
      <t>New</t>
    </r>
    <r>
      <rPr>
        <sz val="11"/>
        <color theme="1"/>
        <rFont val="Calibri"/>
        <family val="2"/>
        <scheme val="minor"/>
      </rPr>
      <t xml:space="preserve"> - New
</t>
    </r>
    <r>
      <rPr>
        <b/>
        <sz val="11"/>
        <color theme="1"/>
        <rFont val="Calibri"/>
        <family val="2"/>
        <scheme val="minor"/>
      </rPr>
      <t>Added</t>
    </r>
    <r>
      <rPr>
        <sz val="11"/>
        <color theme="1"/>
        <rFont val="Calibri"/>
        <family val="2"/>
        <scheme val="minor"/>
      </rPr>
      <t xml:space="preserve"> - Added
</t>
    </r>
    <r>
      <rPr>
        <b/>
        <sz val="11"/>
        <color theme="1"/>
        <rFont val="Calibri"/>
        <family val="2"/>
        <scheme val="minor"/>
      </rPr>
      <t>ChangedBoundary</t>
    </r>
    <r>
      <rPr>
        <sz val="11"/>
        <color theme="1"/>
        <rFont val="Calibri"/>
        <family val="2"/>
        <scheme val="minor"/>
      </rPr>
      <t xml:space="preserve"> - Changed boundary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FutureAgency</t>
    </r>
    <r>
      <rPr>
        <sz val="11"/>
        <color theme="1"/>
        <rFont val="Calibri"/>
        <family val="2"/>
        <scheme val="minor"/>
      </rPr>
      <t xml:space="preserve"> - Future agency
</t>
    </r>
    <r>
      <rPr>
        <b/>
        <sz val="11"/>
        <color theme="1"/>
        <rFont val="Calibri"/>
        <family val="2"/>
        <scheme val="minor"/>
      </rPr>
      <t>Reopened</t>
    </r>
    <r>
      <rPr>
        <sz val="11"/>
        <color theme="1"/>
        <rFont val="Calibri"/>
        <family val="2"/>
        <scheme val="minor"/>
      </rPr>
      <t xml:space="preserve"> - Reopened
</t>
    </r>
  </si>
  <si>
    <r>
      <t>CorrectiveAction</t>
    </r>
    <r>
      <rPr>
        <sz val="11"/>
        <color theme="1"/>
        <rFont val="Calibri"/>
        <family val="2"/>
        <scheme val="minor"/>
      </rPr>
      <t xml:space="preserve"> - Corrective action
</t>
    </r>
    <r>
      <rPr>
        <b/>
        <sz val="11"/>
        <color theme="1"/>
        <rFont val="Calibri"/>
        <family val="2"/>
        <scheme val="minor"/>
      </rPr>
      <t>Year1</t>
    </r>
    <r>
      <rPr>
        <sz val="11"/>
        <color theme="1"/>
        <rFont val="Calibri"/>
        <family val="2"/>
        <scheme val="minor"/>
      </rPr>
      <t xml:space="preserve"> - Improvement status Year 1
</t>
    </r>
    <r>
      <rPr>
        <b/>
        <sz val="11"/>
        <color theme="1"/>
        <rFont val="Calibri"/>
        <family val="2"/>
        <scheme val="minor"/>
      </rPr>
      <t>Year2</t>
    </r>
    <r>
      <rPr>
        <sz val="11"/>
        <color theme="1"/>
        <rFont val="Calibri"/>
        <family val="2"/>
        <scheme val="minor"/>
      </rPr>
      <t xml:space="preserve"> - Improvement status Year 2
</t>
    </r>
    <r>
      <rPr>
        <b/>
        <sz val="11"/>
        <color theme="1"/>
        <rFont val="Calibri"/>
        <family val="2"/>
        <scheme val="minor"/>
      </rPr>
      <t>NotIdentified</t>
    </r>
    <r>
      <rPr>
        <sz val="11"/>
        <color theme="1"/>
        <rFont val="Calibri"/>
        <family val="2"/>
        <scheme val="minor"/>
      </rPr>
      <t xml:space="preserve"> - Not identified for improvement
</t>
    </r>
  </si>
  <si>
    <r>
      <t>ImplementedAllGrades</t>
    </r>
    <r>
      <rPr>
        <sz val="11"/>
        <color theme="1"/>
        <rFont val="Calibri"/>
        <family val="2"/>
        <scheme val="minor"/>
      </rPr>
      <t xml:space="preserve"> - Implemented at all grade levels
</t>
    </r>
    <r>
      <rPr>
        <b/>
        <sz val="11"/>
        <color theme="1"/>
        <rFont val="Calibri"/>
        <family val="2"/>
        <scheme val="minor"/>
      </rPr>
      <t>ImplementedSomeGrades</t>
    </r>
    <r>
      <rPr>
        <sz val="11"/>
        <color theme="1"/>
        <rFont val="Calibri"/>
        <family val="2"/>
        <scheme val="minor"/>
      </rPr>
      <t xml:space="preserve"> - Implemented at some but not all grade levels
</t>
    </r>
    <r>
      <rPr>
        <b/>
        <sz val="11"/>
        <color theme="1"/>
        <rFont val="Calibri"/>
        <family val="2"/>
        <scheme val="minor"/>
      </rPr>
      <t>UnableToImplement</t>
    </r>
    <r>
      <rPr>
        <sz val="11"/>
        <color theme="1"/>
        <rFont val="Calibri"/>
        <family val="2"/>
        <scheme val="minor"/>
      </rPr>
      <t xml:space="preserve"> - Unable to implement at any grades levels
</t>
    </r>
    <r>
      <rPr>
        <b/>
        <sz val="11"/>
        <color theme="1"/>
        <rFont val="Calibri"/>
        <family val="2"/>
        <scheme val="minor"/>
      </rPr>
      <t>NotRequiredToImplement</t>
    </r>
    <r>
      <rPr>
        <sz val="11"/>
        <color theme="1"/>
        <rFont val="Calibri"/>
        <family val="2"/>
        <scheme val="minor"/>
      </rPr>
      <t xml:space="preserve"> - Not required to implement public school choice
</t>
    </r>
  </si>
  <si>
    <r>
      <t>InstructionalStrategies</t>
    </r>
    <r>
      <rPr>
        <sz val="11"/>
        <color theme="1"/>
        <rFont val="Calibri"/>
        <family val="2"/>
        <scheme val="minor"/>
      </rPr>
      <t xml:space="preserve"> - Instructional strategies
</t>
    </r>
    <r>
      <rPr>
        <b/>
        <sz val="11"/>
        <color theme="1"/>
        <rFont val="Calibri"/>
        <family val="2"/>
        <scheme val="minor"/>
      </rPr>
      <t>Assessment</t>
    </r>
    <r>
      <rPr>
        <sz val="11"/>
        <color theme="1"/>
        <rFont val="Calibri"/>
        <family val="2"/>
        <scheme val="minor"/>
      </rPr>
      <t xml:space="preserve"> - Assessment
</t>
    </r>
    <r>
      <rPr>
        <b/>
        <sz val="11"/>
        <color theme="1"/>
        <rFont val="Calibri"/>
        <family val="2"/>
        <scheme val="minor"/>
      </rPr>
      <t>ELPContentStandards</t>
    </r>
    <r>
      <rPr>
        <sz val="11"/>
        <color theme="1"/>
        <rFont val="Calibri"/>
        <family val="2"/>
        <scheme val="minor"/>
      </rPr>
      <t xml:space="preserve"> - ELP and content standards
</t>
    </r>
    <r>
      <rPr>
        <b/>
        <sz val="11"/>
        <color theme="1"/>
        <rFont val="Calibri"/>
        <family val="2"/>
        <scheme val="minor"/>
      </rPr>
      <t>CurriculumAlignmentELP</t>
    </r>
    <r>
      <rPr>
        <sz val="11"/>
        <color theme="1"/>
        <rFont val="Calibri"/>
        <family val="2"/>
        <scheme val="minor"/>
      </rPr>
      <t xml:space="preserve"> - Curriculum alignment to ELP standards
</t>
    </r>
    <r>
      <rPr>
        <b/>
        <sz val="11"/>
        <color theme="1"/>
        <rFont val="Calibri"/>
        <family val="2"/>
        <scheme val="minor"/>
      </rPr>
      <t>SubjectMatter</t>
    </r>
    <r>
      <rPr>
        <sz val="11"/>
        <color theme="1"/>
        <rFont val="Calibri"/>
        <family val="2"/>
        <scheme val="minor"/>
      </rPr>
      <t xml:space="preserve"> - Subject matter
</t>
    </r>
    <r>
      <rPr>
        <b/>
        <sz val="11"/>
        <color theme="1"/>
        <rFont val="Calibri"/>
        <family val="2"/>
        <scheme val="minor"/>
      </rPr>
      <t>Other</t>
    </r>
    <r>
      <rPr>
        <sz val="11"/>
        <color theme="1"/>
        <rFont val="Calibri"/>
        <family val="2"/>
        <scheme val="minor"/>
      </rPr>
      <t xml:space="preserve"> - Other
</t>
    </r>
  </si>
  <si>
    <r>
      <t>FromEligibleProgram</t>
    </r>
    <r>
      <rPr>
        <sz val="11"/>
        <color theme="1"/>
        <rFont val="Calibri"/>
        <family val="2"/>
        <scheme val="minor"/>
      </rPr>
      <t xml:space="preserve"> - From Eligible Program
</t>
    </r>
    <r>
      <rPr>
        <b/>
        <sz val="11"/>
        <color theme="1"/>
        <rFont val="Calibri"/>
        <family val="2"/>
        <scheme val="minor"/>
      </rPr>
      <t>ToEligibleProgram</t>
    </r>
    <r>
      <rPr>
        <sz val="11"/>
        <color theme="1"/>
        <rFont val="Calibri"/>
        <family val="2"/>
        <scheme val="minor"/>
      </rPr>
      <t xml:space="preserve"> - To Eligible Program
</t>
    </r>
  </si>
  <si>
    <t>Program Specific Federal Reporting</t>
  </si>
  <si>
    <r>
      <t>Eligibility</t>
    </r>
    <r>
      <rPr>
        <sz val="11"/>
        <color theme="1"/>
        <rFont val="Calibri"/>
        <family val="2"/>
        <scheme val="minor"/>
      </rPr>
      <t xml:space="preserve"> - Eligibility for homeless services
</t>
    </r>
    <r>
      <rPr>
        <b/>
        <sz val="11"/>
        <color theme="1"/>
        <rFont val="Calibri"/>
        <family val="2"/>
        <scheme val="minor"/>
      </rPr>
      <t>SchoolSelection</t>
    </r>
    <r>
      <rPr>
        <sz val="11"/>
        <color theme="1"/>
        <rFont val="Calibri"/>
        <family val="2"/>
        <scheme val="minor"/>
      </rPr>
      <t xml:space="preserve"> - School selection
</t>
    </r>
    <r>
      <rPr>
        <b/>
        <sz val="11"/>
        <color theme="1"/>
        <rFont val="Calibri"/>
        <family val="2"/>
        <scheme val="minor"/>
      </rPr>
      <t>Transportation</t>
    </r>
    <r>
      <rPr>
        <sz val="11"/>
        <color theme="1"/>
        <rFont val="Calibri"/>
        <family val="2"/>
        <scheme val="minor"/>
      </rPr>
      <t xml:space="preserve"> - Transportation
</t>
    </r>
    <r>
      <rPr>
        <b/>
        <sz val="11"/>
        <color theme="1"/>
        <rFont val="Calibri"/>
        <family val="2"/>
        <scheme val="minor"/>
      </rPr>
      <t>SchoolRecords</t>
    </r>
    <r>
      <rPr>
        <sz val="11"/>
        <color theme="1"/>
        <rFont val="Calibri"/>
        <family val="2"/>
        <scheme val="minor"/>
      </rPr>
      <t xml:space="preserve"> - School records
</t>
    </r>
    <r>
      <rPr>
        <b/>
        <sz val="11"/>
        <color theme="1"/>
        <rFont val="Calibri"/>
        <family val="2"/>
        <scheme val="minor"/>
      </rPr>
      <t>Immunizations</t>
    </r>
    <r>
      <rPr>
        <sz val="11"/>
        <color theme="1"/>
        <rFont val="Calibri"/>
        <family val="2"/>
        <scheme val="minor"/>
      </rPr>
      <t xml:space="preserve"> - Immunizations
</t>
    </r>
    <r>
      <rPr>
        <b/>
        <sz val="11"/>
        <color theme="1"/>
        <rFont val="Calibri"/>
        <family val="2"/>
        <scheme val="minor"/>
      </rPr>
      <t>OtherMedicalRecords</t>
    </r>
    <r>
      <rPr>
        <sz val="11"/>
        <color theme="1"/>
        <rFont val="Calibri"/>
        <family val="2"/>
        <scheme val="minor"/>
      </rPr>
      <t xml:space="preserve"> - Other medical records
</t>
    </r>
    <r>
      <rPr>
        <b/>
        <sz val="11"/>
        <color theme="1"/>
        <rFont val="Calibri"/>
        <family val="2"/>
        <scheme val="minor"/>
      </rPr>
      <t>OtherBarriers</t>
    </r>
    <r>
      <rPr>
        <sz val="11"/>
        <color theme="1"/>
        <rFont val="Calibri"/>
        <family val="2"/>
        <scheme val="minor"/>
      </rPr>
      <t xml:space="preserve"> - Other barriers
</t>
    </r>
  </si>
  <si>
    <r>
      <t>Developing</t>
    </r>
    <r>
      <rPr>
        <sz val="11"/>
        <color theme="1"/>
        <rFont val="Calibri"/>
        <family val="2"/>
        <scheme val="minor"/>
      </rPr>
      <t xml:space="preserve"> - Developing
</t>
    </r>
    <r>
      <rPr>
        <b/>
        <sz val="11"/>
        <color theme="1"/>
        <rFont val="Calibri"/>
        <family val="2"/>
        <scheme val="minor"/>
      </rPr>
      <t>Approaching</t>
    </r>
    <r>
      <rPr>
        <sz val="11"/>
        <color theme="1"/>
        <rFont val="Calibri"/>
        <family val="2"/>
        <scheme val="minor"/>
      </rPr>
      <t xml:space="preserve"> - Approaching
</t>
    </r>
    <r>
      <rPr>
        <b/>
        <sz val="11"/>
        <color theme="1"/>
        <rFont val="Calibri"/>
        <family val="2"/>
        <scheme val="minor"/>
      </rPr>
      <t>Meets</t>
    </r>
    <r>
      <rPr>
        <sz val="11"/>
        <color theme="1"/>
        <rFont val="Calibri"/>
        <family val="2"/>
        <scheme val="minor"/>
      </rPr>
      <t xml:space="preserve"> - Meets
</t>
    </r>
    <r>
      <rPr>
        <b/>
        <sz val="11"/>
        <color theme="1"/>
        <rFont val="Calibri"/>
        <family val="2"/>
        <scheme val="minor"/>
      </rPr>
      <t>FullyIntegrated</t>
    </r>
    <r>
      <rPr>
        <sz val="11"/>
        <color theme="1"/>
        <rFont val="Calibri"/>
        <family val="2"/>
        <scheme val="minor"/>
      </rPr>
      <t xml:space="preserve"> - Fully integrated
</t>
    </r>
    <r>
      <rPr>
        <b/>
        <sz val="11"/>
        <color theme="1"/>
        <rFont val="Calibri"/>
        <family val="2"/>
        <scheme val="minor"/>
      </rPr>
      <t>NotRequired</t>
    </r>
    <r>
      <rPr>
        <sz val="11"/>
        <color theme="1"/>
        <rFont val="Calibri"/>
        <family val="2"/>
        <scheme val="minor"/>
      </rPr>
      <t xml:space="preserve"> - Not required to report
</t>
    </r>
  </si>
  <si>
    <t>Safe and Drug Free Program</t>
  </si>
  <si>
    <t>Programs and Services</t>
  </si>
  <si>
    <r>
      <t>All</t>
    </r>
    <r>
      <rPr>
        <sz val="11"/>
        <color theme="1"/>
        <rFont val="Calibri"/>
        <family val="2"/>
        <scheme val="minor"/>
      </rPr>
      <t xml:space="preserve"> - All students
</t>
    </r>
    <r>
      <rPr>
        <b/>
        <sz val="11"/>
        <color theme="1"/>
        <rFont val="Calibri"/>
        <family val="2"/>
        <scheme val="minor"/>
      </rPr>
      <t>IDEA</t>
    </r>
    <r>
      <rPr>
        <sz val="11"/>
        <color theme="1"/>
        <rFont val="Calibri"/>
        <family val="2"/>
        <scheme val="minor"/>
      </rPr>
      <t xml:space="preserve"> - Students with disabilities (IDEA)
</t>
    </r>
    <r>
      <rPr>
        <b/>
        <sz val="11"/>
        <color theme="1"/>
        <rFont val="Calibri"/>
        <family val="2"/>
        <scheme val="minor"/>
      </rPr>
      <t>TitleI</t>
    </r>
    <r>
      <rPr>
        <sz val="11"/>
        <color theme="1"/>
        <rFont val="Calibri"/>
        <family val="2"/>
        <scheme val="minor"/>
      </rPr>
      <t xml:space="preserve"> - Students in Title I schools
</t>
    </r>
    <r>
      <rPr>
        <b/>
        <sz val="11"/>
        <color theme="1"/>
        <rFont val="Calibri"/>
        <family val="2"/>
        <scheme val="minor"/>
      </rPr>
      <t>LowIncome</t>
    </r>
    <r>
      <rPr>
        <sz val="11"/>
        <color theme="1"/>
        <rFont val="Calibri"/>
        <family val="2"/>
        <scheme val="minor"/>
      </rPr>
      <t xml:space="preserve"> - Students from low income families
</t>
    </r>
    <r>
      <rPr>
        <b/>
        <sz val="11"/>
        <color theme="1"/>
        <rFont val="Calibri"/>
        <family val="2"/>
        <scheme val="minor"/>
      </rPr>
      <t>Other</t>
    </r>
    <r>
      <rPr>
        <sz val="11"/>
        <color theme="1"/>
        <rFont val="Calibri"/>
        <family val="2"/>
        <scheme val="minor"/>
      </rPr>
      <t xml:space="preserve"> - Other
</t>
    </r>
  </si>
  <si>
    <r>
      <t>Age0-2</t>
    </r>
    <r>
      <rPr>
        <sz val="11"/>
        <color theme="1"/>
        <rFont val="Calibri"/>
        <family val="2"/>
        <scheme val="minor"/>
      </rPr>
      <t xml:space="preserve"> - Students aged 0-2
</t>
    </r>
    <r>
      <rPr>
        <b/>
        <sz val="11"/>
        <color theme="1"/>
        <rFont val="Calibri"/>
        <family val="2"/>
        <scheme val="minor"/>
      </rPr>
      <t>Age3</t>
    </r>
    <r>
      <rPr>
        <sz val="11"/>
        <color theme="1"/>
        <rFont val="Calibri"/>
        <family val="2"/>
        <scheme val="minor"/>
      </rPr>
      <t xml:space="preserve"> - Students aged 3
</t>
    </r>
    <r>
      <rPr>
        <b/>
        <sz val="11"/>
        <color theme="1"/>
        <rFont val="Calibri"/>
        <family val="2"/>
        <scheme val="minor"/>
      </rPr>
      <t>Age4</t>
    </r>
    <r>
      <rPr>
        <sz val="11"/>
        <color theme="1"/>
        <rFont val="Calibri"/>
        <family val="2"/>
        <scheme val="minor"/>
      </rPr>
      <t xml:space="preserve"> - Students aged 4
</t>
    </r>
    <r>
      <rPr>
        <b/>
        <sz val="11"/>
        <color theme="1"/>
        <rFont val="Calibri"/>
        <family val="2"/>
        <scheme val="minor"/>
      </rPr>
      <t>NoPreK</t>
    </r>
    <r>
      <rPr>
        <sz val="11"/>
        <color theme="1"/>
        <rFont val="Calibri"/>
        <family val="2"/>
        <scheme val="minor"/>
      </rPr>
      <t xml:space="preserve"> - No pre-kindergarten or only for IDEA students
</t>
    </r>
  </si>
  <si>
    <r>
      <t>FullDay</t>
    </r>
    <r>
      <rPr>
        <sz val="11"/>
        <color theme="1"/>
        <rFont val="Calibri"/>
        <family val="2"/>
        <scheme val="minor"/>
      </rPr>
      <t xml:space="preserve"> - Full-day
</t>
    </r>
    <r>
      <rPr>
        <b/>
        <sz val="11"/>
        <color theme="1"/>
        <rFont val="Calibri"/>
        <family val="2"/>
        <scheme val="minor"/>
      </rPr>
      <t>Part-day</t>
    </r>
    <r>
      <rPr>
        <sz val="11"/>
        <color theme="1"/>
        <rFont val="Calibri"/>
        <family val="2"/>
        <scheme val="minor"/>
      </rPr>
      <t xml:space="preserve"> - Part-day
</t>
    </r>
    <r>
      <rPr>
        <b/>
        <sz val="11"/>
        <color theme="1"/>
        <rFont val="Calibri"/>
        <family val="2"/>
        <scheme val="minor"/>
      </rPr>
      <t>NotProvided</t>
    </r>
    <r>
      <rPr>
        <sz val="11"/>
        <color theme="1"/>
        <rFont val="Calibri"/>
        <family val="2"/>
        <scheme val="minor"/>
      </rPr>
      <t xml:space="preserve"> - Not provided
</t>
    </r>
  </si>
  <si>
    <r>
      <t>RegularSchoolYear</t>
    </r>
    <r>
      <rPr>
        <sz val="11"/>
        <color theme="1"/>
        <rFont val="Calibri"/>
        <family val="2"/>
        <scheme val="minor"/>
      </rPr>
      <t xml:space="preserve"> - Regular School Year
</t>
    </r>
    <r>
      <rPr>
        <b/>
        <sz val="11"/>
        <color theme="1"/>
        <rFont val="Calibri"/>
        <family val="2"/>
        <scheme val="minor"/>
      </rPr>
      <t>SummerTerm</t>
    </r>
    <r>
      <rPr>
        <sz val="11"/>
        <color theme="1"/>
        <rFont val="Calibri"/>
        <family val="2"/>
        <scheme val="minor"/>
      </rPr>
      <t xml:space="preserve"> - Summer Term or Intersession
</t>
    </r>
  </si>
  <si>
    <r>
      <t>SchoolDay</t>
    </r>
    <r>
      <rPr>
        <sz val="11"/>
        <color theme="1"/>
        <rFont val="Calibri"/>
        <family val="2"/>
        <scheme val="minor"/>
      </rPr>
      <t xml:space="preserve"> - Regular school year - school day only
</t>
    </r>
    <r>
      <rPr>
        <b/>
        <sz val="11"/>
        <color theme="1"/>
        <rFont val="Calibri"/>
        <family val="2"/>
        <scheme val="minor"/>
      </rPr>
      <t>ExtendedDay</t>
    </r>
    <r>
      <rPr>
        <sz val="11"/>
        <color theme="1"/>
        <rFont val="Calibri"/>
        <family val="2"/>
        <scheme val="minor"/>
      </rPr>
      <t xml:space="preserve"> - Regular school year - school day/extended day
</t>
    </r>
    <r>
      <rPr>
        <b/>
        <sz val="11"/>
        <color theme="1"/>
        <rFont val="Calibri"/>
        <family val="2"/>
        <scheme val="minor"/>
      </rPr>
      <t>SummerIntersession</t>
    </r>
    <r>
      <rPr>
        <sz val="11"/>
        <color theme="1"/>
        <rFont val="Calibri"/>
        <family val="2"/>
        <scheme val="minor"/>
      </rPr>
      <t xml:space="preserve"> - Summer/intersession only
</t>
    </r>
    <r>
      <rPr>
        <b/>
        <sz val="11"/>
        <color theme="1"/>
        <rFont val="Calibri"/>
        <family val="2"/>
        <scheme val="minor"/>
      </rPr>
      <t>YearRound</t>
    </r>
    <r>
      <rPr>
        <sz val="11"/>
        <color theme="1"/>
        <rFont val="Calibri"/>
        <family val="2"/>
        <scheme val="minor"/>
      </rPr>
      <t xml:space="preserve"> - Year round
</t>
    </r>
  </si>
  <si>
    <r>
      <t>ReadingLanguageArts</t>
    </r>
    <r>
      <rPr>
        <sz val="11"/>
        <color theme="1"/>
        <rFont val="Calibri"/>
        <family val="2"/>
        <scheme val="minor"/>
      </rPr>
      <t xml:space="preserve"> - Reading/Language Arts
</t>
    </r>
    <r>
      <rPr>
        <b/>
        <sz val="11"/>
        <color theme="1"/>
        <rFont val="Calibri"/>
        <family val="2"/>
        <scheme val="minor"/>
      </rPr>
      <t>Mathematics</t>
    </r>
    <r>
      <rPr>
        <sz val="11"/>
        <color theme="1"/>
        <rFont val="Calibri"/>
        <family val="2"/>
        <scheme val="minor"/>
      </rPr>
      <t xml:space="preserve"> - Mathematics
</t>
    </r>
    <r>
      <rPr>
        <b/>
        <sz val="11"/>
        <color theme="1"/>
        <rFont val="Calibri"/>
        <family val="2"/>
        <scheme val="minor"/>
      </rPr>
      <t>Science</t>
    </r>
    <r>
      <rPr>
        <sz val="11"/>
        <color theme="1"/>
        <rFont val="Calibri"/>
        <family val="2"/>
        <scheme val="minor"/>
      </rPr>
      <t xml:space="preserve"> - Science
</t>
    </r>
    <r>
      <rPr>
        <b/>
        <sz val="11"/>
        <color theme="1"/>
        <rFont val="Calibri"/>
        <family val="2"/>
        <scheme val="minor"/>
      </rPr>
      <t>SocialSciences</t>
    </r>
    <r>
      <rPr>
        <sz val="11"/>
        <color theme="1"/>
        <rFont val="Calibri"/>
        <family val="2"/>
        <scheme val="minor"/>
      </rPr>
      <t xml:space="preserve"> - Social Sciences
</t>
    </r>
    <r>
      <rPr>
        <b/>
        <sz val="11"/>
        <color theme="1"/>
        <rFont val="Calibri"/>
        <family val="2"/>
        <scheme val="minor"/>
      </rPr>
      <t>CareerAndTechnical</t>
    </r>
    <r>
      <rPr>
        <sz val="11"/>
        <color theme="1"/>
        <rFont val="Calibri"/>
        <family val="2"/>
        <scheme val="minor"/>
      </rPr>
      <t xml:space="preserve"> - Career and Technical Education
</t>
    </r>
    <r>
      <rPr>
        <b/>
        <sz val="11"/>
        <color theme="1"/>
        <rFont val="Calibri"/>
        <family val="2"/>
        <scheme val="minor"/>
      </rPr>
      <t>Other</t>
    </r>
    <r>
      <rPr>
        <sz val="11"/>
        <color theme="1"/>
        <rFont val="Calibri"/>
        <family val="2"/>
        <scheme val="minor"/>
      </rPr>
      <t xml:space="preserve"> - Other
</t>
    </r>
  </si>
  <si>
    <r>
      <t>HealthDentalEyeCare</t>
    </r>
    <r>
      <rPr>
        <sz val="11"/>
        <color theme="1"/>
        <rFont val="Calibri"/>
        <family val="2"/>
        <scheme val="minor"/>
      </rPr>
      <t xml:space="preserve"> - Health, Dental and Eye Care
</t>
    </r>
    <r>
      <rPr>
        <b/>
        <sz val="11"/>
        <color theme="1"/>
        <rFont val="Calibri"/>
        <family val="2"/>
        <scheme val="minor"/>
      </rPr>
      <t>GuidanceAdvocacy</t>
    </r>
    <r>
      <rPr>
        <sz val="11"/>
        <color theme="1"/>
        <rFont val="Calibri"/>
        <family val="2"/>
        <scheme val="minor"/>
      </rPr>
      <t xml:space="preserve"> - Supporting Guidance/Advocacy
</t>
    </r>
    <r>
      <rPr>
        <b/>
        <sz val="11"/>
        <color theme="1"/>
        <rFont val="Calibri"/>
        <family val="2"/>
        <scheme val="minor"/>
      </rPr>
      <t>Other</t>
    </r>
    <r>
      <rPr>
        <sz val="11"/>
        <color theme="1"/>
        <rFont val="Calibri"/>
        <family val="2"/>
        <scheme val="minor"/>
      </rPr>
      <t xml:space="preserve"> - Other
</t>
    </r>
  </si>
  <si>
    <t>SEA</t>
  </si>
  <si>
    <r>
      <t>State</t>
    </r>
    <r>
      <rPr>
        <sz val="11"/>
        <color theme="1"/>
        <rFont val="Calibri"/>
        <family val="2"/>
        <scheme val="minor"/>
      </rPr>
      <t xml:space="preserve"> - State-assigned number
</t>
    </r>
    <r>
      <rPr>
        <b/>
        <sz val="11"/>
        <color theme="1"/>
        <rFont val="Calibri"/>
        <family val="2"/>
        <scheme val="minor"/>
      </rPr>
      <t>Federal</t>
    </r>
    <r>
      <rPr>
        <sz val="11"/>
        <color theme="1"/>
        <rFont val="Calibri"/>
        <family val="2"/>
        <scheme val="minor"/>
      </rPr>
      <t xml:space="preserve"> - Federal identification number
</t>
    </r>
  </si>
  <si>
    <r>
      <t>IncludedAsGraduated</t>
    </r>
    <r>
      <rPr>
        <sz val="11"/>
        <color theme="1"/>
        <rFont val="Calibri"/>
        <family val="2"/>
        <scheme val="minor"/>
      </rPr>
      <t xml:space="preserve"> - Included in computation as graduated 
</t>
    </r>
    <r>
      <rPr>
        <b/>
        <sz val="11"/>
        <color theme="1"/>
        <rFont val="Calibri"/>
        <family val="2"/>
        <scheme val="minor"/>
      </rPr>
      <t>NotIncludedAsGraduated</t>
    </r>
    <r>
      <rPr>
        <sz val="11"/>
        <color theme="1"/>
        <rFont val="Calibri"/>
        <family val="2"/>
        <scheme val="minor"/>
      </rPr>
      <t xml:space="preserve"> - Included in computation as not graduated.
</t>
    </r>
  </si>
  <si>
    <r>
      <t>RETAINED</t>
    </r>
    <r>
      <rPr>
        <sz val="11"/>
        <color theme="1"/>
        <rFont val="Calibri"/>
        <family val="2"/>
        <scheme val="minor"/>
      </rPr>
      <t xml:space="preserve"> - Retained by SEA for program administration, etc.
</t>
    </r>
    <r>
      <rPr>
        <b/>
        <sz val="11"/>
        <color theme="1"/>
        <rFont val="Calibri"/>
        <family val="2"/>
        <scheme val="minor"/>
      </rPr>
      <t>TRANSFER</t>
    </r>
    <r>
      <rPr>
        <sz val="11"/>
        <color theme="1"/>
        <rFont val="Calibri"/>
        <family val="2"/>
        <scheme val="minor"/>
      </rPr>
      <t xml:space="preserve"> - Transferred to another state agency
</t>
    </r>
    <r>
      <rPr>
        <b/>
        <sz val="11"/>
        <color theme="1"/>
        <rFont val="Calibri"/>
        <family val="2"/>
        <scheme val="minor"/>
      </rPr>
      <t>DISTNONLEA</t>
    </r>
    <r>
      <rPr>
        <sz val="11"/>
        <color theme="1"/>
        <rFont val="Calibri"/>
        <family val="2"/>
        <scheme val="minor"/>
      </rPr>
      <t xml:space="preserve"> - Distributed to entities other than LEAs
</t>
    </r>
    <r>
      <rPr>
        <b/>
        <sz val="11"/>
        <color theme="1"/>
        <rFont val="Calibri"/>
        <family val="2"/>
        <scheme val="minor"/>
      </rPr>
      <t>UNALLOC</t>
    </r>
    <r>
      <rPr>
        <sz val="11"/>
        <color theme="1"/>
        <rFont val="Calibri"/>
        <family val="2"/>
        <scheme val="minor"/>
      </rPr>
      <t xml:space="preserve"> - Unallocated or returned funds
</t>
    </r>
  </si>
  <si>
    <t>K12 Student</t>
  </si>
  <si>
    <r>
      <t>CanadianSIN</t>
    </r>
    <r>
      <rPr>
        <sz val="11"/>
        <color theme="1"/>
        <rFont val="Calibri"/>
        <family val="2"/>
        <scheme val="minor"/>
      </rPr>
      <t xml:space="preserve"> - Canadian Social Insurance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Family</t>
    </r>
    <r>
      <rPr>
        <sz val="11"/>
        <color theme="1"/>
        <rFont val="Calibri"/>
        <family val="2"/>
        <scheme val="minor"/>
      </rPr>
      <t xml:space="preserve"> - Family unit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NationalMigrant</t>
    </r>
    <r>
      <rPr>
        <sz val="11"/>
        <color theme="1"/>
        <rFont val="Calibri"/>
        <family val="2"/>
        <scheme val="minor"/>
      </rPr>
      <t xml:space="preserve"> - National migrant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SSN</t>
    </r>
    <r>
      <rPr>
        <sz val="11"/>
        <color theme="1"/>
        <rFont val="Calibri"/>
        <family val="2"/>
        <scheme val="minor"/>
      </rPr>
      <t xml:space="preserve"> - Social Security Administration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StateMigrant</t>
    </r>
    <r>
      <rPr>
        <sz val="11"/>
        <color theme="1"/>
        <rFont val="Calibri"/>
        <family val="2"/>
        <scheme val="minor"/>
      </rPr>
      <t xml:space="preserve"> - State migrant number
</t>
    </r>
  </si>
  <si>
    <r>
      <t>01652</t>
    </r>
    <r>
      <rPr>
        <sz val="11"/>
        <color theme="1"/>
        <rFont val="Calibri"/>
        <family val="2"/>
        <scheme val="minor"/>
      </rPr>
      <t xml:space="preserve"> - Resident of administrative unit and usual school attendance area
</t>
    </r>
    <r>
      <rPr>
        <b/>
        <sz val="11"/>
        <color theme="1"/>
        <rFont val="Calibri"/>
        <family val="2"/>
        <scheme val="minor"/>
      </rPr>
      <t>01653</t>
    </r>
    <r>
      <rPr>
        <sz val="11"/>
        <color theme="1"/>
        <rFont val="Calibri"/>
        <family val="2"/>
        <scheme val="minor"/>
      </rPr>
      <t xml:space="preserve"> - Resident of administrative unit, but of other school attendance area
</t>
    </r>
    <r>
      <rPr>
        <b/>
        <sz val="11"/>
        <color theme="1"/>
        <rFont val="Calibri"/>
        <family val="2"/>
        <scheme val="minor"/>
      </rPr>
      <t>01654</t>
    </r>
    <r>
      <rPr>
        <sz val="11"/>
        <color theme="1"/>
        <rFont val="Calibri"/>
        <family val="2"/>
        <scheme val="minor"/>
      </rPr>
      <t xml:space="preserve"> - Resident of this state, but not of this administrative unit
</t>
    </r>
    <r>
      <rPr>
        <b/>
        <sz val="11"/>
        <color theme="1"/>
        <rFont val="Calibri"/>
        <family val="2"/>
        <scheme val="minor"/>
      </rPr>
      <t>01655</t>
    </r>
    <r>
      <rPr>
        <sz val="11"/>
        <color theme="1"/>
        <rFont val="Calibri"/>
        <family val="2"/>
        <scheme val="minor"/>
      </rPr>
      <t xml:space="preserve"> - Resident of an administrative unit that crosses state boundaries
</t>
    </r>
    <r>
      <rPr>
        <b/>
        <sz val="11"/>
        <color theme="1"/>
        <rFont val="Calibri"/>
        <family val="2"/>
        <scheme val="minor"/>
      </rPr>
      <t>01656</t>
    </r>
    <r>
      <rPr>
        <sz val="11"/>
        <color theme="1"/>
        <rFont val="Calibri"/>
        <family val="2"/>
        <scheme val="minor"/>
      </rPr>
      <t xml:space="preserve"> - Resident of another state
</t>
    </r>
  </si>
  <si>
    <r>
      <t>NotMilitaryConnected</t>
    </r>
    <r>
      <rPr>
        <sz val="11"/>
        <color theme="1"/>
        <rFont val="Calibri"/>
        <family val="2"/>
        <scheme val="minor"/>
      </rPr>
      <t xml:space="preserve"> - Not Military Connected
</t>
    </r>
    <r>
      <rPr>
        <b/>
        <sz val="11"/>
        <color theme="1"/>
        <rFont val="Calibri"/>
        <family val="2"/>
        <scheme val="minor"/>
      </rPr>
      <t>ActiveDuty</t>
    </r>
    <r>
      <rPr>
        <sz val="11"/>
        <color theme="1"/>
        <rFont val="Calibri"/>
        <family val="2"/>
        <scheme val="minor"/>
      </rPr>
      <t xml:space="preserve"> - Active Duty
</t>
    </r>
    <r>
      <rPr>
        <b/>
        <sz val="11"/>
        <color theme="1"/>
        <rFont val="Calibri"/>
        <family val="2"/>
        <scheme val="minor"/>
      </rPr>
      <t>NationalGuardOrReserve</t>
    </r>
    <r>
      <rPr>
        <sz val="11"/>
        <color theme="1"/>
        <rFont val="Calibri"/>
        <family val="2"/>
        <scheme val="minor"/>
      </rPr>
      <t xml:space="preserve"> - National Guard Or Reserve
</t>
    </r>
    <r>
      <rPr>
        <b/>
        <sz val="11"/>
        <color theme="1"/>
        <rFont val="Calibri"/>
        <family val="2"/>
        <scheme val="minor"/>
      </rPr>
      <t>Unknown</t>
    </r>
    <r>
      <rPr>
        <sz val="11"/>
        <color theme="1"/>
        <rFont val="Calibri"/>
        <family val="2"/>
        <scheme val="minor"/>
      </rPr>
      <t xml:space="preserve"> - Unknown
</t>
    </r>
  </si>
  <si>
    <r>
      <t>FullDayKindergarten</t>
    </r>
    <r>
      <rPr>
        <sz val="11"/>
        <color theme="1"/>
        <rFont val="Calibri"/>
        <family val="2"/>
        <scheme val="minor"/>
      </rPr>
      <t xml:space="preserve"> - Full-Day kindergarten
</t>
    </r>
    <r>
      <rPr>
        <b/>
        <sz val="11"/>
        <color theme="1"/>
        <rFont val="Calibri"/>
        <family val="2"/>
        <scheme val="minor"/>
      </rPr>
      <t>PartDayKindergarten</t>
    </r>
    <r>
      <rPr>
        <sz val="11"/>
        <color theme="1"/>
        <rFont val="Calibri"/>
        <family val="2"/>
        <scheme val="minor"/>
      </rPr>
      <t xml:space="preserve"> - Part-Day kindergarten
</t>
    </r>
    <r>
      <rPr>
        <b/>
        <sz val="11"/>
        <color theme="1"/>
        <rFont val="Calibri"/>
        <family val="2"/>
        <scheme val="minor"/>
      </rPr>
      <t>ExtendedDayKindergarten</t>
    </r>
    <r>
      <rPr>
        <sz val="11"/>
        <color theme="1"/>
        <rFont val="Calibri"/>
        <family val="2"/>
        <scheme val="minor"/>
      </rPr>
      <t xml:space="preserve"> - Extended day kindergarten
</t>
    </r>
  </si>
  <si>
    <r>
      <t>01812</t>
    </r>
    <r>
      <rPr>
        <sz val="11"/>
        <color theme="1"/>
        <rFont val="Calibri"/>
        <family val="2"/>
        <scheme val="minor"/>
      </rPr>
      <t xml:space="preserve"> - Concurrently enrolled
</t>
    </r>
    <r>
      <rPr>
        <b/>
        <sz val="11"/>
        <color theme="1"/>
        <rFont val="Calibri"/>
        <family val="2"/>
        <scheme val="minor"/>
      </rPr>
      <t>01811</t>
    </r>
    <r>
      <rPr>
        <sz val="11"/>
        <color theme="1"/>
        <rFont val="Calibri"/>
        <family val="2"/>
        <scheme val="minor"/>
      </rPr>
      <t xml:space="preserve"> - Currently enrolled
</t>
    </r>
    <r>
      <rPr>
        <b/>
        <sz val="11"/>
        <color theme="1"/>
        <rFont val="Calibri"/>
        <family val="2"/>
        <scheme val="minor"/>
      </rPr>
      <t>01810</t>
    </r>
    <r>
      <rPr>
        <sz val="11"/>
        <color theme="1"/>
        <rFont val="Calibri"/>
        <family val="2"/>
        <scheme val="minor"/>
      </rPr>
      <t xml:space="preserve"> - Previously enrolled
</t>
    </r>
    <r>
      <rPr>
        <b/>
        <sz val="11"/>
        <color theme="1"/>
        <rFont val="Calibri"/>
        <family val="2"/>
        <scheme val="minor"/>
      </rPr>
      <t>01813</t>
    </r>
    <r>
      <rPr>
        <sz val="11"/>
        <color theme="1"/>
        <rFont val="Calibri"/>
        <family val="2"/>
        <scheme val="minor"/>
      </rPr>
      <t xml:space="preserve"> - Transferring (will enroll)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</si>
  <si>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AE</t>
    </r>
    <r>
      <rPr>
        <sz val="11"/>
        <color theme="1"/>
        <rFont val="Calibri"/>
        <family val="2"/>
        <scheme val="minor"/>
      </rPr>
      <t xml:space="preserve"> - Adult Education
</t>
    </r>
  </si>
  <si>
    <r>
      <t>01821</t>
    </r>
    <r>
      <rPr>
        <sz val="11"/>
        <color theme="1"/>
        <rFont val="Calibri"/>
        <family val="2"/>
        <scheme val="minor"/>
      </rPr>
      <t xml:space="preserve"> - Transfer from a public school in the same local education agency
</t>
    </r>
    <r>
      <rPr>
        <b/>
        <sz val="11"/>
        <color theme="1"/>
        <rFont val="Calibri"/>
        <family val="2"/>
        <scheme val="minor"/>
      </rPr>
      <t>01822</t>
    </r>
    <r>
      <rPr>
        <sz val="11"/>
        <color theme="1"/>
        <rFont val="Calibri"/>
        <family val="2"/>
        <scheme val="minor"/>
      </rPr>
      <t xml:space="preserve"> - Transfer from a public school in a different local education agency in the same state
</t>
    </r>
    <r>
      <rPr>
        <b/>
        <sz val="11"/>
        <color theme="1"/>
        <rFont val="Calibri"/>
        <family val="2"/>
        <scheme val="minor"/>
      </rPr>
      <t>01823</t>
    </r>
    <r>
      <rPr>
        <sz val="11"/>
        <color theme="1"/>
        <rFont val="Calibri"/>
        <family val="2"/>
        <scheme val="minor"/>
      </rPr>
      <t xml:space="preserve"> - Transfer from a public school in a different state
</t>
    </r>
    <r>
      <rPr>
        <b/>
        <sz val="11"/>
        <color theme="1"/>
        <rFont val="Calibri"/>
        <family val="2"/>
        <scheme val="minor"/>
      </rPr>
      <t>01824</t>
    </r>
    <r>
      <rPr>
        <sz val="11"/>
        <color theme="1"/>
        <rFont val="Calibri"/>
        <family val="2"/>
        <scheme val="minor"/>
      </rPr>
      <t xml:space="preserve"> - Transfer from a private, non-religiously-affiliated school in the same local education agency
</t>
    </r>
    <r>
      <rPr>
        <b/>
        <sz val="11"/>
        <color theme="1"/>
        <rFont val="Calibri"/>
        <family val="2"/>
        <scheme val="minor"/>
      </rPr>
      <t>01825</t>
    </r>
    <r>
      <rPr>
        <sz val="11"/>
        <color theme="1"/>
        <rFont val="Calibri"/>
        <family val="2"/>
        <scheme val="minor"/>
      </rPr>
      <t xml:space="preserve"> - Transfer from a private, non-religiously-affiliated school in a different LEA in the same state
</t>
    </r>
    <r>
      <rPr>
        <b/>
        <sz val="11"/>
        <color theme="1"/>
        <rFont val="Calibri"/>
        <family val="2"/>
        <scheme val="minor"/>
      </rPr>
      <t>01826</t>
    </r>
    <r>
      <rPr>
        <sz val="11"/>
        <color theme="1"/>
        <rFont val="Calibri"/>
        <family val="2"/>
        <scheme val="minor"/>
      </rPr>
      <t xml:space="preserve"> - Transfer from a private, non-religiously-affiliated school in a different state
</t>
    </r>
    <r>
      <rPr>
        <b/>
        <sz val="11"/>
        <color theme="1"/>
        <rFont val="Calibri"/>
        <family val="2"/>
        <scheme val="minor"/>
      </rPr>
      <t>01827</t>
    </r>
    <r>
      <rPr>
        <sz val="11"/>
        <color theme="1"/>
        <rFont val="Calibri"/>
        <family val="2"/>
        <scheme val="minor"/>
      </rPr>
      <t xml:space="preserve"> - Transfer from a private, religiously-affiliated school in the same local education agency
</t>
    </r>
    <r>
      <rPr>
        <b/>
        <sz val="11"/>
        <color theme="1"/>
        <rFont val="Calibri"/>
        <family val="2"/>
        <scheme val="minor"/>
      </rPr>
      <t>01828</t>
    </r>
    <r>
      <rPr>
        <sz val="11"/>
        <color theme="1"/>
        <rFont val="Calibri"/>
        <family val="2"/>
        <scheme val="minor"/>
      </rPr>
      <t xml:space="preserve"> - Transfer from a private, religiously-affiliated school in a different LEA in the same state
</t>
    </r>
    <r>
      <rPr>
        <b/>
        <sz val="11"/>
        <color theme="1"/>
        <rFont val="Calibri"/>
        <family val="2"/>
        <scheme val="minor"/>
      </rPr>
      <t>01829</t>
    </r>
    <r>
      <rPr>
        <sz val="11"/>
        <color theme="1"/>
        <rFont val="Calibri"/>
        <family val="2"/>
        <scheme val="minor"/>
      </rPr>
      <t xml:space="preserve"> - Transfer from a private, religiously-affiliated school in a different state
</t>
    </r>
    <r>
      <rPr>
        <b/>
        <sz val="11"/>
        <color theme="1"/>
        <rFont val="Calibri"/>
        <family val="2"/>
        <scheme val="minor"/>
      </rPr>
      <t>01830</t>
    </r>
    <r>
      <rPr>
        <sz val="11"/>
        <color theme="1"/>
        <rFont val="Calibri"/>
        <family val="2"/>
        <scheme val="minor"/>
      </rPr>
      <t xml:space="preserve"> - Transfer from a school outside of the country
</t>
    </r>
    <r>
      <rPr>
        <b/>
        <sz val="11"/>
        <color theme="1"/>
        <rFont val="Calibri"/>
        <family val="2"/>
        <scheme val="minor"/>
      </rPr>
      <t>01831</t>
    </r>
    <r>
      <rPr>
        <sz val="11"/>
        <color theme="1"/>
        <rFont val="Calibri"/>
        <family val="2"/>
        <scheme val="minor"/>
      </rPr>
      <t xml:space="preserve"> - Transfer from an institution
</t>
    </r>
    <r>
      <rPr>
        <b/>
        <sz val="11"/>
        <color theme="1"/>
        <rFont val="Calibri"/>
        <family val="2"/>
        <scheme val="minor"/>
      </rPr>
      <t>01832</t>
    </r>
    <r>
      <rPr>
        <sz val="11"/>
        <color theme="1"/>
        <rFont val="Calibri"/>
        <family val="2"/>
        <scheme val="minor"/>
      </rPr>
      <t xml:space="preserve"> - Transfer from a charter school
</t>
    </r>
    <r>
      <rPr>
        <b/>
        <sz val="11"/>
        <color theme="1"/>
        <rFont val="Calibri"/>
        <family val="2"/>
        <scheme val="minor"/>
      </rPr>
      <t>01833</t>
    </r>
    <r>
      <rPr>
        <sz val="11"/>
        <color theme="1"/>
        <rFont val="Calibri"/>
        <family val="2"/>
        <scheme val="minor"/>
      </rPr>
      <t xml:space="preserve"> - Transfer from home schooling
</t>
    </r>
    <r>
      <rPr>
        <b/>
        <sz val="11"/>
        <color theme="1"/>
        <rFont val="Calibri"/>
        <family val="2"/>
        <scheme val="minor"/>
      </rPr>
      <t>01835</t>
    </r>
    <r>
      <rPr>
        <sz val="11"/>
        <color theme="1"/>
        <rFont val="Calibri"/>
        <family val="2"/>
        <scheme val="minor"/>
      </rPr>
      <t xml:space="preserve"> - Re-entry from the same school with no interruption of schooling
</t>
    </r>
    <r>
      <rPr>
        <b/>
        <sz val="11"/>
        <color theme="1"/>
        <rFont val="Calibri"/>
        <family val="2"/>
        <scheme val="minor"/>
      </rPr>
      <t>01836</t>
    </r>
    <r>
      <rPr>
        <sz val="11"/>
        <color theme="1"/>
        <rFont val="Calibri"/>
        <family val="2"/>
        <scheme val="minor"/>
      </rPr>
      <t xml:space="preserve"> - Re-entry after a voluntary withdrawal
</t>
    </r>
    <r>
      <rPr>
        <b/>
        <sz val="11"/>
        <color theme="1"/>
        <rFont val="Calibri"/>
        <family val="2"/>
        <scheme val="minor"/>
      </rPr>
      <t>01837</t>
    </r>
    <r>
      <rPr>
        <sz val="11"/>
        <color theme="1"/>
        <rFont val="Calibri"/>
        <family val="2"/>
        <scheme val="minor"/>
      </rPr>
      <t xml:space="preserve"> - Re-entry after an involuntary withdrawal
</t>
    </r>
    <r>
      <rPr>
        <b/>
        <sz val="11"/>
        <color theme="1"/>
        <rFont val="Calibri"/>
        <family val="2"/>
        <scheme val="minor"/>
      </rPr>
      <t>01838</t>
    </r>
    <r>
      <rPr>
        <sz val="11"/>
        <color theme="1"/>
        <rFont val="Calibri"/>
        <family val="2"/>
        <scheme val="minor"/>
      </rPr>
      <t xml:space="preserve"> - Original entry into a United States school
</t>
    </r>
    <r>
      <rPr>
        <b/>
        <sz val="11"/>
        <color theme="1"/>
        <rFont val="Calibri"/>
        <family val="2"/>
        <scheme val="minor"/>
      </rPr>
      <t>01839</t>
    </r>
    <r>
      <rPr>
        <sz val="11"/>
        <color theme="1"/>
        <rFont val="Calibri"/>
        <family val="2"/>
        <scheme val="minor"/>
      </rPr>
      <t xml:space="preserve"> - Original entry into a United States school from a foreign country with no interruption in schooling
</t>
    </r>
    <r>
      <rPr>
        <b/>
        <sz val="11"/>
        <color theme="1"/>
        <rFont val="Calibri"/>
        <family val="2"/>
        <scheme val="minor"/>
      </rPr>
      <t>01840</t>
    </r>
    <r>
      <rPr>
        <sz val="11"/>
        <color theme="1"/>
        <rFont val="Calibri"/>
        <family val="2"/>
        <scheme val="minor"/>
      </rPr>
      <t xml:space="preserve"> - Original entry into a United States school from a foreign country with an interruption in schooling
</t>
    </r>
    <r>
      <rPr>
        <b/>
        <sz val="11"/>
        <color theme="1"/>
        <rFont val="Calibri"/>
        <family val="2"/>
        <scheme val="minor"/>
      </rPr>
      <t>09999</t>
    </r>
    <r>
      <rPr>
        <sz val="11"/>
        <color theme="1"/>
        <rFont val="Calibri"/>
        <family val="2"/>
        <scheme val="minor"/>
      </rPr>
      <t xml:space="preserve"> - Other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</si>
  <si>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</si>
  <si>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r>
      <t>01907</t>
    </r>
    <r>
      <rPr>
        <sz val="11"/>
        <color theme="1"/>
        <rFont val="Calibri"/>
        <family val="2"/>
        <scheme val="minor"/>
      </rPr>
      <t xml:space="preserve"> - Student is in a different public school in the same local education agency
</t>
    </r>
    <r>
      <rPr>
        <b/>
        <sz val="11"/>
        <color theme="1"/>
        <rFont val="Calibri"/>
        <family val="2"/>
        <scheme val="minor"/>
      </rPr>
      <t>01908</t>
    </r>
    <r>
      <rPr>
        <sz val="11"/>
        <color theme="1"/>
        <rFont val="Calibri"/>
        <family val="2"/>
        <scheme val="minor"/>
      </rPr>
      <t xml:space="preserve"> - Transferred to a public school in a different local education agency in the same state
</t>
    </r>
    <r>
      <rPr>
        <b/>
        <sz val="11"/>
        <color theme="1"/>
        <rFont val="Calibri"/>
        <family val="2"/>
        <scheme val="minor"/>
      </rPr>
      <t>01909</t>
    </r>
    <r>
      <rPr>
        <sz val="11"/>
        <color theme="1"/>
        <rFont val="Calibri"/>
        <family val="2"/>
        <scheme val="minor"/>
      </rPr>
      <t xml:space="preserve"> - Transferred to a public school in a different state
</t>
    </r>
    <r>
      <rPr>
        <b/>
        <sz val="11"/>
        <color theme="1"/>
        <rFont val="Calibri"/>
        <family val="2"/>
        <scheme val="minor"/>
      </rPr>
      <t>01910</t>
    </r>
    <r>
      <rPr>
        <sz val="11"/>
        <color theme="1"/>
        <rFont val="Calibri"/>
        <family val="2"/>
        <scheme val="minor"/>
      </rPr>
      <t xml:space="preserve"> - Transferred to a private, non-religiously-affiliated school within the geographic boundaries as the same local education agency
</t>
    </r>
    <r>
      <rPr>
        <b/>
        <sz val="11"/>
        <color theme="1"/>
        <rFont val="Calibri"/>
        <family val="2"/>
        <scheme val="minor"/>
      </rPr>
      <t>01911</t>
    </r>
    <r>
      <rPr>
        <sz val="11"/>
        <color theme="1"/>
        <rFont val="Calibri"/>
        <family val="2"/>
        <scheme val="minor"/>
      </rPr>
      <t xml:space="preserve"> - Transferred to a private, non-religiously-affiliated school within the geographic boundaries of a different LEA in the same state
</t>
    </r>
    <r>
      <rPr>
        <b/>
        <sz val="11"/>
        <color theme="1"/>
        <rFont val="Calibri"/>
        <family val="2"/>
        <scheme val="minor"/>
      </rPr>
      <t>01912</t>
    </r>
    <r>
      <rPr>
        <sz val="11"/>
        <color theme="1"/>
        <rFont val="Calibri"/>
        <family val="2"/>
        <scheme val="minor"/>
      </rPr>
      <t xml:space="preserve"> - Transferred to a private, non-religiously-affiliated school in a different state
</t>
    </r>
    <r>
      <rPr>
        <b/>
        <sz val="11"/>
        <color theme="1"/>
        <rFont val="Calibri"/>
        <family val="2"/>
        <scheme val="minor"/>
      </rPr>
      <t>01913</t>
    </r>
    <r>
      <rPr>
        <sz val="11"/>
        <color theme="1"/>
        <rFont val="Calibri"/>
        <family val="2"/>
        <scheme val="minor"/>
      </rPr>
      <t xml:space="preserve"> - Transferred to a private, religiously-affiliated school within the geographic boundaries of the same local education agency
</t>
    </r>
    <r>
      <rPr>
        <b/>
        <sz val="11"/>
        <color theme="1"/>
        <rFont val="Calibri"/>
        <family val="2"/>
        <scheme val="minor"/>
      </rPr>
      <t>01914</t>
    </r>
    <r>
      <rPr>
        <sz val="11"/>
        <color theme="1"/>
        <rFont val="Calibri"/>
        <family val="2"/>
        <scheme val="minor"/>
      </rPr>
      <t xml:space="preserve"> - Transferred to a private, religiously-affiliated school within the geographic boundaries of a different LEA in the same state
</t>
    </r>
    <r>
      <rPr>
        <b/>
        <sz val="11"/>
        <color theme="1"/>
        <rFont val="Calibri"/>
        <family val="2"/>
        <scheme val="minor"/>
      </rPr>
      <t>01915</t>
    </r>
    <r>
      <rPr>
        <sz val="11"/>
        <color theme="1"/>
        <rFont val="Calibri"/>
        <family val="2"/>
        <scheme val="minor"/>
      </rPr>
      <t xml:space="preserve"> - Transferred to a private, religiously-affiliated school in a different state
</t>
    </r>
    <r>
      <rPr>
        <b/>
        <sz val="11"/>
        <color theme="1"/>
        <rFont val="Calibri"/>
        <family val="2"/>
        <scheme val="minor"/>
      </rPr>
      <t>01916</t>
    </r>
    <r>
      <rPr>
        <sz val="11"/>
        <color theme="1"/>
        <rFont val="Calibri"/>
        <family val="2"/>
        <scheme val="minor"/>
      </rPr>
      <t xml:space="preserve"> - Transferred to a school outside of the country
</t>
    </r>
    <r>
      <rPr>
        <b/>
        <sz val="11"/>
        <color theme="1"/>
        <rFont val="Calibri"/>
        <family val="2"/>
        <scheme val="minor"/>
      </rPr>
      <t>01917</t>
    </r>
    <r>
      <rPr>
        <sz val="11"/>
        <color theme="1"/>
        <rFont val="Calibri"/>
        <family val="2"/>
        <scheme val="minor"/>
      </rPr>
      <t xml:space="preserve"> - Transferred to an institution
</t>
    </r>
    <r>
      <rPr>
        <b/>
        <sz val="11"/>
        <color theme="1"/>
        <rFont val="Calibri"/>
        <family val="2"/>
        <scheme val="minor"/>
      </rPr>
      <t>01918</t>
    </r>
    <r>
      <rPr>
        <sz val="11"/>
        <color theme="1"/>
        <rFont val="Calibri"/>
        <family val="2"/>
        <scheme val="minor"/>
      </rPr>
      <t xml:space="preserve"> - Transferred to home schooling
</t>
    </r>
    <r>
      <rPr>
        <b/>
        <sz val="11"/>
        <color theme="1"/>
        <rFont val="Calibri"/>
        <family val="2"/>
        <scheme val="minor"/>
      </rPr>
      <t>01919</t>
    </r>
    <r>
      <rPr>
        <sz val="11"/>
        <color theme="1"/>
        <rFont val="Calibri"/>
        <family val="2"/>
        <scheme val="minor"/>
      </rPr>
      <t xml:space="preserve"> - Transferred to a charter school in a different LEA in the state
</t>
    </r>
    <r>
      <rPr>
        <b/>
        <sz val="11"/>
        <color theme="1"/>
        <rFont val="Calibri"/>
        <family val="2"/>
        <scheme val="minor"/>
      </rPr>
      <t>01921</t>
    </r>
    <r>
      <rPr>
        <sz val="11"/>
        <color theme="1"/>
        <rFont val="Calibri"/>
        <family val="2"/>
        <scheme val="minor"/>
      </rPr>
      <t xml:space="preserve"> - Graduated with regular, advanced, International Baccalaureate, or other type of diploma
</t>
    </r>
    <r>
      <rPr>
        <b/>
        <sz val="11"/>
        <color theme="1"/>
        <rFont val="Calibri"/>
        <family val="2"/>
        <scheme val="minor"/>
      </rPr>
      <t>01922</t>
    </r>
    <r>
      <rPr>
        <sz val="11"/>
        <color theme="1"/>
        <rFont val="Calibri"/>
        <family val="2"/>
        <scheme val="minor"/>
      </rPr>
      <t xml:space="preserve"> - Completed school with other credentials
</t>
    </r>
    <r>
      <rPr>
        <b/>
        <sz val="11"/>
        <color theme="1"/>
        <rFont val="Calibri"/>
        <family val="2"/>
        <scheme val="minor"/>
      </rPr>
      <t>01924</t>
    </r>
    <r>
      <rPr>
        <sz val="11"/>
        <color theme="1"/>
        <rFont val="Calibri"/>
        <family val="2"/>
        <scheme val="minor"/>
      </rPr>
      <t xml:space="preserve"> - Withdrawn due to illness
</t>
    </r>
    <r>
      <rPr>
        <b/>
        <sz val="11"/>
        <color theme="1"/>
        <rFont val="Calibri"/>
        <family val="2"/>
        <scheme val="minor"/>
      </rPr>
      <t>01925</t>
    </r>
    <r>
      <rPr>
        <sz val="11"/>
        <color theme="1"/>
        <rFont val="Calibri"/>
        <family val="2"/>
        <scheme val="minor"/>
      </rPr>
      <t xml:space="preserve"> - Expelled or involuntarily withdrawn
</t>
    </r>
    <r>
      <rPr>
        <b/>
        <sz val="11"/>
        <color theme="1"/>
        <rFont val="Calibri"/>
        <family val="2"/>
        <scheme val="minor"/>
      </rPr>
      <t>01926</t>
    </r>
    <r>
      <rPr>
        <sz val="11"/>
        <color theme="1"/>
        <rFont val="Calibri"/>
        <family val="2"/>
        <scheme val="minor"/>
      </rPr>
      <t xml:space="preserve"> - Reached maximum age for services
</t>
    </r>
    <r>
      <rPr>
        <b/>
        <sz val="11"/>
        <color theme="1"/>
        <rFont val="Calibri"/>
        <family val="2"/>
        <scheme val="minor"/>
      </rPr>
      <t>01927</t>
    </r>
    <r>
      <rPr>
        <sz val="11"/>
        <color theme="1"/>
        <rFont val="Calibri"/>
        <family val="2"/>
        <scheme val="minor"/>
      </rPr>
      <t xml:space="preserve"> - Discontinued schooling
</t>
    </r>
    <r>
      <rPr>
        <b/>
        <sz val="11"/>
        <color theme="1"/>
        <rFont val="Calibri"/>
        <family val="2"/>
        <scheme val="minor"/>
      </rPr>
      <t>01928</t>
    </r>
    <r>
      <rPr>
        <sz val="11"/>
        <color theme="1"/>
        <rFont val="Calibri"/>
        <family val="2"/>
        <scheme val="minor"/>
      </rPr>
      <t xml:space="preserve"> - Completed grade 12, but did not meet all graduation requirements
</t>
    </r>
    <r>
      <rPr>
        <b/>
        <sz val="11"/>
        <color theme="1"/>
        <rFont val="Calibri"/>
        <family val="2"/>
        <scheme val="minor"/>
      </rPr>
      <t>01930</t>
    </r>
    <r>
      <rPr>
        <sz val="11"/>
        <color theme="1"/>
        <rFont val="Calibri"/>
        <family val="2"/>
        <scheme val="minor"/>
      </rPr>
      <t xml:space="preserve"> - Enrolled in a postsecondary early admission program
</t>
    </r>
    <r>
      <rPr>
        <b/>
        <sz val="11"/>
        <color theme="1"/>
        <rFont val="Calibri"/>
        <family val="2"/>
        <scheme val="minor"/>
      </rPr>
      <t>01931</t>
    </r>
    <r>
      <rPr>
        <sz val="11"/>
        <color theme="1"/>
        <rFont val="Calibri"/>
        <family val="2"/>
        <scheme val="minor"/>
      </rPr>
      <t xml:space="preserve"> - Not enrolled, unknown status
</t>
    </r>
    <r>
      <rPr>
        <b/>
        <sz val="11"/>
        <color theme="1"/>
        <rFont val="Calibri"/>
        <family val="2"/>
        <scheme val="minor"/>
      </rPr>
      <t>03499</t>
    </r>
    <r>
      <rPr>
        <sz val="11"/>
        <color theme="1"/>
        <rFont val="Calibri"/>
        <family val="2"/>
        <scheme val="minor"/>
      </rPr>
      <t xml:space="preserve"> - Student is in the same LEA, receiving education services, but is not assigned to a particular school
</t>
    </r>
    <r>
      <rPr>
        <b/>
        <sz val="11"/>
        <color theme="1"/>
        <rFont val="Calibri"/>
        <family val="2"/>
        <scheme val="minor"/>
      </rPr>
      <t>03502</t>
    </r>
    <r>
      <rPr>
        <sz val="11"/>
        <color theme="1"/>
        <rFont val="Calibri"/>
        <family val="2"/>
        <scheme val="minor"/>
      </rPr>
      <t xml:space="preserve"> - Not enrolled, eligible to return
</t>
    </r>
    <r>
      <rPr>
        <b/>
        <sz val="11"/>
        <color theme="1"/>
        <rFont val="Calibri"/>
        <family val="2"/>
        <scheme val="minor"/>
      </rPr>
      <t>03503</t>
    </r>
    <r>
      <rPr>
        <sz val="11"/>
        <color theme="1"/>
        <rFont val="Calibri"/>
        <family val="2"/>
        <scheme val="minor"/>
      </rPr>
      <t xml:space="preserve"> - Enrolled in a foreign exchange program
</t>
    </r>
    <r>
      <rPr>
        <b/>
        <sz val="11"/>
        <color theme="1"/>
        <rFont val="Calibri"/>
        <family val="2"/>
        <scheme val="minor"/>
      </rPr>
      <t>03505</t>
    </r>
    <r>
      <rPr>
        <sz val="11"/>
        <color theme="1"/>
        <rFont val="Calibri"/>
        <family val="2"/>
        <scheme val="minor"/>
      </rPr>
      <t xml:space="preserve"> - Exited
</t>
    </r>
    <r>
      <rPr>
        <b/>
        <sz val="11"/>
        <color theme="1"/>
        <rFont val="Calibri"/>
        <family val="2"/>
        <scheme val="minor"/>
      </rPr>
      <t>03508</t>
    </r>
    <r>
      <rPr>
        <sz val="11"/>
        <color theme="1"/>
        <rFont val="Calibri"/>
        <family val="2"/>
        <scheme val="minor"/>
      </rPr>
      <t xml:space="preserve"> - Student is in a charter school managed by the same local education agency
</t>
    </r>
    <r>
      <rPr>
        <b/>
        <sz val="11"/>
        <color theme="1"/>
        <rFont val="Calibri"/>
        <family val="2"/>
        <scheme val="minor"/>
      </rPr>
      <t>03509</t>
    </r>
    <r>
      <rPr>
        <sz val="11"/>
        <color theme="1"/>
        <rFont val="Calibri"/>
        <family val="2"/>
        <scheme val="minor"/>
      </rPr>
      <t xml:space="preserve"> - Completed with a state-recognized equivalency certificate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73060</t>
    </r>
    <r>
      <rPr>
        <sz val="11"/>
        <color theme="1"/>
        <rFont val="Calibri"/>
        <family val="2"/>
        <scheme val="minor"/>
      </rPr>
      <t xml:space="preserve"> - Officially withdrew and enrolled in ABE, adult secondary education, or adult ESL program
</t>
    </r>
    <r>
      <rPr>
        <b/>
        <sz val="11"/>
        <color theme="1"/>
        <rFont val="Calibri"/>
        <family val="2"/>
        <scheme val="minor"/>
      </rPr>
      <t>73061</t>
    </r>
    <r>
      <rPr>
        <sz val="11"/>
        <color theme="1"/>
        <rFont val="Calibri"/>
        <family val="2"/>
        <scheme val="minor"/>
      </rPr>
      <t xml:space="preserve"> - Officially withdrew and enrolled in a workforce training program
</t>
    </r>
    <r>
      <rPr>
        <b/>
        <sz val="11"/>
        <color theme="1"/>
        <rFont val="Calibri"/>
        <family val="2"/>
        <scheme val="minor"/>
      </rPr>
      <t>73064</t>
    </r>
    <r>
      <rPr>
        <sz val="11"/>
        <color theme="1"/>
        <rFont val="Calibri"/>
        <family val="2"/>
        <scheme val="minor"/>
      </rPr>
      <t xml:space="preserve"> - Died
</t>
    </r>
    <r>
      <rPr>
        <b/>
        <sz val="11"/>
        <color theme="1"/>
        <rFont val="Calibri"/>
        <family val="2"/>
        <scheme val="minor"/>
      </rPr>
      <t>73065</t>
    </r>
    <r>
      <rPr>
        <sz val="11"/>
        <color theme="1"/>
        <rFont val="Calibri"/>
        <family val="2"/>
        <scheme val="minor"/>
      </rPr>
      <t xml:space="preserve"> - Permanently incapacitated
</t>
    </r>
    <r>
      <rPr>
        <b/>
        <sz val="11"/>
        <color theme="1"/>
        <rFont val="Calibri"/>
        <family val="2"/>
        <scheme val="minor"/>
      </rPr>
      <t>73062</t>
    </r>
    <r>
      <rPr>
        <sz val="11"/>
        <color theme="1"/>
        <rFont val="Calibri"/>
        <family val="2"/>
        <scheme val="minor"/>
      </rPr>
      <t xml:space="preserve"> - Student is expected to return to the same school
</t>
    </r>
    <r>
      <rPr>
        <b/>
        <sz val="11"/>
        <color theme="1"/>
        <rFont val="Calibri"/>
        <family val="2"/>
        <scheme val="minor"/>
      </rPr>
      <t>73063</t>
    </r>
    <r>
      <rPr>
        <sz val="11"/>
        <color theme="1"/>
        <rFont val="Calibri"/>
        <family val="2"/>
        <scheme val="minor"/>
      </rPr>
      <t xml:space="preserve"> - Transferred to a charter school in a different state
</t>
    </r>
  </si>
  <si>
    <r>
      <t>Permanent</t>
    </r>
    <r>
      <rPr>
        <sz val="11"/>
        <color theme="1"/>
        <rFont val="Calibri"/>
        <family val="2"/>
        <scheme val="minor"/>
      </rPr>
      <t xml:space="preserve"> - Permanent
</t>
    </r>
    <r>
      <rPr>
        <b/>
        <sz val="11"/>
        <color theme="1"/>
        <rFont val="Calibri"/>
        <family val="2"/>
        <scheme val="minor"/>
      </rPr>
      <t>Temporary</t>
    </r>
    <r>
      <rPr>
        <sz val="11"/>
        <color theme="1"/>
        <rFont val="Calibri"/>
        <family val="2"/>
        <scheme val="minor"/>
      </rPr>
      <t xml:space="preserve"> - Temporary
</t>
    </r>
  </si>
  <si>
    <r>
      <t>Block</t>
    </r>
    <r>
      <rPr>
        <sz val="11"/>
        <color theme="1"/>
        <rFont val="Calibri"/>
        <family val="2"/>
        <scheme val="minor"/>
      </rPr>
      <t xml:space="preserve"> - Block
</t>
    </r>
    <r>
      <rPr>
        <b/>
        <sz val="11"/>
        <color theme="1"/>
        <rFont val="Calibri"/>
        <family val="2"/>
        <scheme val="minor"/>
      </rPr>
      <t>RemoveBlock</t>
    </r>
    <r>
      <rPr>
        <sz val="11"/>
        <color theme="1"/>
        <rFont val="Calibri"/>
        <family val="2"/>
        <scheme val="minor"/>
      </rPr>
      <t xml:space="preserve"> - Remove Block
</t>
    </r>
  </si>
  <si>
    <r>
      <t>75027</t>
    </r>
    <r>
      <rPr>
        <sz val="11"/>
        <color theme="1"/>
        <rFont val="Calibri"/>
        <family val="2"/>
        <scheme val="minor"/>
      </rPr>
      <t xml:space="preserve"> - Feeder school rights
</t>
    </r>
    <r>
      <rPr>
        <b/>
        <sz val="11"/>
        <color theme="1"/>
        <rFont val="Calibri"/>
        <family val="2"/>
        <scheme val="minor"/>
      </rPr>
      <t>75028</t>
    </r>
    <r>
      <rPr>
        <sz val="11"/>
        <color theme="1"/>
        <rFont val="Calibri"/>
        <family val="2"/>
        <scheme val="minor"/>
      </rPr>
      <t xml:space="preserve"> - Geographic right
</t>
    </r>
    <r>
      <rPr>
        <b/>
        <sz val="11"/>
        <color theme="1"/>
        <rFont val="Calibri"/>
        <family val="2"/>
        <scheme val="minor"/>
      </rPr>
      <t>75029</t>
    </r>
    <r>
      <rPr>
        <sz val="11"/>
        <color theme="1"/>
        <rFont val="Calibri"/>
        <family val="2"/>
        <scheme val="minor"/>
      </rPr>
      <t xml:space="preserve"> - Lottery
</t>
    </r>
    <r>
      <rPr>
        <b/>
        <sz val="11"/>
        <color theme="1"/>
        <rFont val="Calibri"/>
        <family val="2"/>
        <scheme val="minor"/>
      </rPr>
      <t>75030</t>
    </r>
    <r>
      <rPr>
        <sz val="11"/>
        <color theme="1"/>
        <rFont val="Calibri"/>
        <family val="2"/>
        <scheme val="minor"/>
      </rPr>
      <t xml:space="preserve"> - Policy preference
</t>
    </r>
    <r>
      <rPr>
        <b/>
        <sz val="11"/>
        <color theme="1"/>
        <rFont val="Calibri"/>
        <family val="2"/>
        <scheme val="minor"/>
      </rPr>
      <t>75031</t>
    </r>
    <r>
      <rPr>
        <sz val="11"/>
        <color theme="1"/>
        <rFont val="Calibri"/>
        <family val="2"/>
        <scheme val="minor"/>
      </rPr>
      <t xml:space="preserve"> - Selective admissions
</t>
    </r>
  </si>
  <si>
    <t>Enrollment-&gt;Activity</t>
  </si>
  <si>
    <r>
      <t>WeeklyHours</t>
    </r>
    <r>
      <rPr>
        <sz val="11"/>
        <color theme="1"/>
        <rFont val="Calibri"/>
        <family val="2"/>
        <scheme val="minor"/>
      </rPr>
      <t xml:space="preserve"> - Weekly hours
</t>
    </r>
    <r>
      <rPr>
        <b/>
        <sz val="11"/>
        <color theme="1"/>
        <rFont val="Calibri"/>
        <family val="2"/>
        <scheme val="minor"/>
      </rPr>
      <t>YearlyWeeks</t>
    </r>
    <r>
      <rPr>
        <sz val="11"/>
        <color theme="1"/>
        <rFont val="Calibri"/>
        <family val="2"/>
        <scheme val="minor"/>
      </rPr>
      <t xml:space="preserve"> - Yearly weeks
</t>
    </r>
  </si>
  <si>
    <t>Attendance</t>
  </si>
  <si>
    <r>
      <t>13290</t>
    </r>
    <r>
      <rPr>
        <sz val="11"/>
        <color theme="1"/>
        <rFont val="Calibri"/>
        <family val="2"/>
        <scheme val="minor"/>
      </rPr>
      <t xml:space="preserve"> - Present - Disciplinary action, receiving instruction
</t>
    </r>
    <r>
      <rPr>
        <b/>
        <sz val="11"/>
        <color theme="1"/>
        <rFont val="Calibri"/>
        <family val="2"/>
        <scheme val="minor"/>
      </rPr>
      <t>13288</t>
    </r>
    <r>
      <rPr>
        <sz val="11"/>
        <color theme="1"/>
        <rFont val="Calibri"/>
        <family val="2"/>
        <scheme val="minor"/>
      </rPr>
      <t xml:space="preserve"> - Present - In school, regular instructional program
</t>
    </r>
    <r>
      <rPr>
        <b/>
        <sz val="11"/>
        <color theme="1"/>
        <rFont val="Calibri"/>
        <family val="2"/>
        <scheme val="minor"/>
      </rPr>
      <t>13289</t>
    </r>
    <r>
      <rPr>
        <sz val="11"/>
        <color theme="1"/>
        <rFont val="Calibri"/>
        <family val="2"/>
        <scheme val="minor"/>
      </rPr>
      <t xml:space="preserve"> - Present - Nontraditional school setting, regular instructional program
</t>
    </r>
    <r>
      <rPr>
        <b/>
        <sz val="11"/>
        <color theme="1"/>
        <rFont val="Calibri"/>
        <family val="2"/>
        <scheme val="minor"/>
      </rPr>
      <t>13291</t>
    </r>
    <r>
      <rPr>
        <sz val="11"/>
        <color theme="1"/>
        <rFont val="Calibri"/>
        <family val="2"/>
        <scheme val="minor"/>
      </rPr>
      <t xml:space="preserve"> - Present - Out of school, regular instructional program activity
</t>
    </r>
    <r>
      <rPr>
        <b/>
        <sz val="11"/>
        <color theme="1"/>
        <rFont val="Calibri"/>
        <family val="2"/>
        <scheme val="minor"/>
      </rPr>
      <t>13292</t>
    </r>
    <r>
      <rPr>
        <sz val="11"/>
        <color theme="1"/>
        <rFont val="Calibri"/>
        <family val="2"/>
        <scheme val="minor"/>
      </rPr>
      <t xml:space="preserve"> - Present - Out of school, school-approved extracurricular or cocurricular activity
</t>
    </r>
  </si>
  <si>
    <r>
      <t>13297</t>
    </r>
    <r>
      <rPr>
        <sz val="11"/>
        <color theme="1"/>
        <rFont val="Calibri"/>
        <family val="2"/>
        <scheme val="minor"/>
      </rPr>
      <t xml:space="preserve"> - Absent - Disciplinary action, not receiving instruction
</t>
    </r>
    <r>
      <rPr>
        <b/>
        <sz val="11"/>
        <color theme="1"/>
        <rFont val="Calibri"/>
        <family val="2"/>
        <scheme val="minor"/>
      </rPr>
      <t>13299</t>
    </r>
    <r>
      <rPr>
        <sz val="11"/>
        <color theme="1"/>
        <rFont val="Calibri"/>
        <family val="2"/>
        <scheme val="minor"/>
      </rPr>
      <t xml:space="preserve"> - Absent - Family activity
</t>
    </r>
    <r>
      <rPr>
        <b/>
        <sz val="11"/>
        <color theme="1"/>
        <rFont val="Calibri"/>
        <family val="2"/>
        <scheme val="minor"/>
      </rPr>
      <t>13296</t>
    </r>
    <r>
      <rPr>
        <sz val="11"/>
        <color theme="1"/>
        <rFont val="Calibri"/>
        <family val="2"/>
        <scheme val="minor"/>
      </rPr>
      <t xml:space="preserve"> - Absent - Family emergency or bereavement
</t>
    </r>
    <r>
      <rPr>
        <b/>
        <sz val="11"/>
        <color theme="1"/>
        <rFont val="Calibri"/>
        <family val="2"/>
        <scheme val="minor"/>
      </rPr>
      <t>13295</t>
    </r>
    <r>
      <rPr>
        <sz val="11"/>
        <color theme="1"/>
        <rFont val="Calibri"/>
        <family val="2"/>
        <scheme val="minor"/>
      </rPr>
      <t xml:space="preserve"> - Absent - Illness, injury, health treatment, or examination
</t>
    </r>
    <r>
      <rPr>
        <b/>
        <sz val="11"/>
        <color theme="1"/>
        <rFont val="Calibri"/>
        <family val="2"/>
        <scheme val="minor"/>
      </rPr>
      <t>13298</t>
    </r>
    <r>
      <rPr>
        <sz val="11"/>
        <color theme="1"/>
        <rFont val="Calibri"/>
        <family val="2"/>
        <scheme val="minor"/>
      </rPr>
      <t xml:space="preserve"> - Absent - Legal or judicial requirement
</t>
    </r>
    <r>
      <rPr>
        <b/>
        <sz val="11"/>
        <color theme="1"/>
        <rFont val="Calibri"/>
        <family val="2"/>
        <scheme val="minor"/>
      </rPr>
      <t>13293</t>
    </r>
    <r>
      <rPr>
        <sz val="11"/>
        <color theme="1"/>
        <rFont val="Calibri"/>
        <family val="2"/>
        <scheme val="minor"/>
      </rPr>
      <t xml:space="preserve"> - Absent - Noninstructional activity recognized by state, district, or school
</t>
    </r>
    <r>
      <rPr>
        <b/>
        <sz val="11"/>
        <color theme="1"/>
        <rFont val="Calibri"/>
        <family val="2"/>
        <scheme val="minor"/>
      </rPr>
      <t>13294</t>
    </r>
    <r>
      <rPr>
        <sz val="11"/>
        <color theme="1"/>
        <rFont val="Calibri"/>
        <family val="2"/>
        <scheme val="minor"/>
      </rPr>
      <t xml:space="preserve"> - Absent - Religious observation
</t>
    </r>
    <r>
      <rPr>
        <b/>
        <sz val="11"/>
        <color theme="1"/>
        <rFont val="Calibri"/>
        <family val="2"/>
        <scheme val="minor"/>
      </rPr>
      <t>13303</t>
    </r>
    <r>
      <rPr>
        <sz val="11"/>
        <color theme="1"/>
        <rFont val="Calibri"/>
        <family val="2"/>
        <scheme val="minor"/>
      </rPr>
      <t xml:space="preserve"> - Absent - Situation unknown
</t>
    </r>
    <r>
      <rPr>
        <b/>
        <sz val="11"/>
        <color theme="1"/>
        <rFont val="Calibri"/>
        <family val="2"/>
        <scheme val="minor"/>
      </rPr>
      <t>13300</t>
    </r>
    <r>
      <rPr>
        <sz val="11"/>
        <color theme="1"/>
        <rFont val="Calibri"/>
        <family val="2"/>
        <scheme val="minor"/>
      </rPr>
      <t xml:space="preserve"> - Absent - Student employment
</t>
    </r>
    <r>
      <rPr>
        <b/>
        <sz val="11"/>
        <color theme="1"/>
        <rFont val="Calibri"/>
        <family val="2"/>
        <scheme val="minor"/>
      </rPr>
      <t>13302</t>
    </r>
    <r>
      <rPr>
        <sz val="11"/>
        <color theme="1"/>
        <rFont val="Calibri"/>
        <family val="2"/>
        <scheme val="minor"/>
      </rPr>
      <t xml:space="preserve"> - Absent - Student is skipping school
</t>
    </r>
    <r>
      <rPr>
        <b/>
        <sz val="11"/>
        <color theme="1"/>
        <rFont val="Calibri"/>
        <family val="2"/>
        <scheme val="minor"/>
      </rPr>
      <t>13301</t>
    </r>
    <r>
      <rPr>
        <sz val="11"/>
        <color theme="1"/>
        <rFont val="Calibri"/>
        <family val="2"/>
        <scheme val="minor"/>
      </rPr>
      <t xml:space="preserve"> - Absent - Transportation not available
</t>
    </r>
  </si>
  <si>
    <r>
      <t>DailyAttendance</t>
    </r>
    <r>
      <rPr>
        <sz val="11"/>
        <color theme="1"/>
        <rFont val="Calibri"/>
        <family val="2"/>
        <scheme val="minor"/>
      </rPr>
      <t xml:space="preserve"> - Daily attendance
</t>
    </r>
    <r>
      <rPr>
        <b/>
        <sz val="11"/>
        <color theme="1"/>
        <rFont val="Calibri"/>
        <family val="2"/>
        <scheme val="minor"/>
      </rPr>
      <t>ClassSectionAttendance</t>
    </r>
    <r>
      <rPr>
        <sz val="11"/>
        <color theme="1"/>
        <rFont val="Calibri"/>
        <family val="2"/>
        <scheme val="minor"/>
      </rPr>
      <t xml:space="preserve"> - Class/section attendance
</t>
    </r>
    <r>
      <rPr>
        <b/>
        <sz val="11"/>
        <color theme="1"/>
        <rFont val="Calibri"/>
        <family val="2"/>
        <scheme val="minor"/>
      </rPr>
      <t>ProgramAttendance</t>
    </r>
    <r>
      <rPr>
        <sz val="11"/>
        <color theme="1"/>
        <rFont val="Calibri"/>
        <family val="2"/>
        <scheme val="minor"/>
      </rPr>
      <t xml:space="preserve"> - Program attendance
</t>
    </r>
    <r>
      <rPr>
        <b/>
        <sz val="11"/>
        <color theme="1"/>
        <rFont val="Calibri"/>
        <family val="2"/>
        <scheme val="minor"/>
      </rPr>
      <t>ExtracurricularAttendance</t>
    </r>
    <r>
      <rPr>
        <sz val="11"/>
        <color theme="1"/>
        <rFont val="Calibri"/>
        <family val="2"/>
        <scheme val="minor"/>
      </rPr>
      <t xml:space="preserve"> - Extracurricular attendance
</t>
    </r>
  </si>
  <si>
    <r>
      <t>Present</t>
    </r>
    <r>
      <rPr>
        <sz val="11"/>
        <color theme="1"/>
        <rFont val="Calibri"/>
        <family val="2"/>
        <scheme val="minor"/>
      </rPr>
      <t xml:space="preserve"> - Present
</t>
    </r>
    <r>
      <rPr>
        <b/>
        <sz val="11"/>
        <color theme="1"/>
        <rFont val="Calibri"/>
        <family val="2"/>
        <scheme val="minor"/>
      </rPr>
      <t>ExcusedAbsence</t>
    </r>
    <r>
      <rPr>
        <sz val="11"/>
        <color theme="1"/>
        <rFont val="Calibri"/>
        <family val="2"/>
        <scheme val="minor"/>
      </rPr>
      <t xml:space="preserve"> - Excused Absence
</t>
    </r>
    <r>
      <rPr>
        <b/>
        <sz val="11"/>
        <color theme="1"/>
        <rFont val="Calibri"/>
        <family val="2"/>
        <scheme val="minor"/>
      </rPr>
      <t>UnexcusedAbsence</t>
    </r>
    <r>
      <rPr>
        <sz val="11"/>
        <color theme="1"/>
        <rFont val="Calibri"/>
        <family val="2"/>
        <scheme val="minor"/>
      </rPr>
      <t xml:space="preserve"> - Unexcused Absence
</t>
    </r>
    <r>
      <rPr>
        <b/>
        <sz val="11"/>
        <color theme="1"/>
        <rFont val="Calibri"/>
        <family val="2"/>
        <scheme val="minor"/>
      </rPr>
      <t>Tardy</t>
    </r>
    <r>
      <rPr>
        <sz val="11"/>
        <color theme="1"/>
        <rFont val="Calibri"/>
        <family val="2"/>
        <scheme val="minor"/>
      </rPr>
      <t xml:space="preserve"> - Tardy
</t>
    </r>
    <r>
      <rPr>
        <b/>
        <sz val="11"/>
        <color theme="1"/>
        <rFont val="Calibri"/>
        <family val="2"/>
        <scheme val="minor"/>
      </rPr>
      <t>EarlyDeparture</t>
    </r>
    <r>
      <rPr>
        <sz val="11"/>
        <color theme="1"/>
        <rFont val="Calibri"/>
        <family val="2"/>
        <scheme val="minor"/>
      </rPr>
      <t xml:space="preserve"> - Early Departure
</t>
    </r>
  </si>
  <si>
    <t>Academic Record</t>
  </si>
  <si>
    <r>
      <t>Intermediate</t>
    </r>
    <r>
      <rPr>
        <sz val="11"/>
        <color theme="1"/>
        <rFont val="Calibri"/>
        <family val="2"/>
        <scheme val="minor"/>
      </rPr>
      <t xml:space="preserve"> - Intermediate agency course code
</t>
    </r>
    <r>
      <rPr>
        <b/>
        <sz val="11"/>
        <color theme="1"/>
        <rFont val="Calibri"/>
        <family val="2"/>
        <scheme val="minor"/>
      </rPr>
      <t>LEA</t>
    </r>
    <r>
      <rPr>
        <sz val="11"/>
        <color theme="1"/>
        <rFont val="Calibri"/>
        <family val="2"/>
        <scheme val="minor"/>
      </rPr>
      <t xml:space="preserve"> - LEA course code
</t>
    </r>
    <r>
      <rPr>
        <b/>
        <sz val="11"/>
        <color theme="1"/>
        <rFont val="Calibri"/>
        <family val="2"/>
        <scheme val="minor"/>
      </rPr>
      <t>NCES</t>
    </r>
    <r>
      <rPr>
        <sz val="11"/>
        <color theme="1"/>
        <rFont val="Calibri"/>
        <family val="2"/>
        <scheme val="minor"/>
      </rPr>
      <t xml:space="preserve"> - NCES Pilot Standard National Course Classification System for Secondary Education Codes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SCED</t>
    </r>
    <r>
      <rPr>
        <sz val="11"/>
        <color theme="1"/>
        <rFont val="Calibri"/>
        <family val="2"/>
        <scheme val="minor"/>
      </rPr>
      <t xml:space="preserve"> - School Codes for the Exchange of Data (SCED) course code
</t>
    </r>
    <r>
      <rPr>
        <b/>
        <sz val="11"/>
        <color theme="1"/>
        <rFont val="Calibri"/>
        <family val="2"/>
        <scheme val="minor"/>
      </rPr>
      <t>School</t>
    </r>
    <r>
      <rPr>
        <sz val="11"/>
        <color theme="1"/>
        <rFont val="Calibri"/>
        <family val="2"/>
        <scheme val="minor"/>
      </rPr>
      <t xml:space="preserve"> - School course code
</t>
    </r>
    <r>
      <rPr>
        <b/>
        <sz val="11"/>
        <color theme="1"/>
        <rFont val="Calibri"/>
        <family val="2"/>
        <scheme val="minor"/>
      </rPr>
      <t>State</t>
    </r>
    <r>
      <rPr>
        <sz val="11"/>
        <color theme="1"/>
        <rFont val="Calibri"/>
        <family val="2"/>
        <scheme val="minor"/>
      </rPr>
      <t xml:space="preserve"> - State course code
</t>
    </r>
    <r>
      <rPr>
        <b/>
        <sz val="11"/>
        <color theme="1"/>
        <rFont val="Calibri"/>
        <family val="2"/>
        <scheme val="minor"/>
      </rPr>
      <t>University</t>
    </r>
    <r>
      <rPr>
        <sz val="11"/>
        <color theme="1"/>
        <rFont val="Calibri"/>
        <family val="2"/>
        <scheme val="minor"/>
      </rPr>
      <t xml:space="preserve"> - University course code
</t>
    </r>
  </si>
  <si>
    <r>
      <t>RepeatCounted</t>
    </r>
    <r>
      <rPr>
        <sz val="11"/>
        <color theme="1"/>
        <rFont val="Calibri"/>
        <family val="2"/>
        <scheme val="minor"/>
      </rPr>
      <t xml:space="preserve"> - Repeated, counted in grade point average
</t>
    </r>
    <r>
      <rPr>
        <b/>
        <sz val="11"/>
        <color theme="1"/>
        <rFont val="Calibri"/>
        <family val="2"/>
        <scheme val="minor"/>
      </rPr>
      <t>RepeatNotCounted</t>
    </r>
    <r>
      <rPr>
        <sz val="11"/>
        <color theme="1"/>
        <rFont val="Calibri"/>
        <family val="2"/>
        <scheme val="minor"/>
      </rPr>
      <t xml:space="preserve"> - Repeated, not counted in grade point average
</t>
    </r>
    <r>
      <rPr>
        <b/>
        <sz val="11"/>
        <color theme="1"/>
        <rFont val="Calibri"/>
        <family val="2"/>
        <scheme val="minor"/>
      </rPr>
      <t>ReplacementCounted</t>
    </r>
    <r>
      <rPr>
        <sz val="11"/>
        <color theme="1"/>
        <rFont val="Calibri"/>
        <family val="2"/>
        <scheme val="minor"/>
      </rPr>
      <t xml:space="preserve"> - Replacement counted
</t>
    </r>
    <r>
      <rPr>
        <b/>
        <sz val="11"/>
        <color theme="1"/>
        <rFont val="Calibri"/>
        <family val="2"/>
        <scheme val="minor"/>
      </rPr>
      <t>ReplacedNotCounted</t>
    </r>
    <r>
      <rPr>
        <sz val="11"/>
        <color theme="1"/>
        <rFont val="Calibri"/>
        <family val="2"/>
        <scheme val="minor"/>
      </rPr>
      <t xml:space="preserve"> - Replacement not counted
</t>
    </r>
    <r>
      <rPr>
        <b/>
        <sz val="11"/>
        <color theme="1"/>
        <rFont val="Calibri"/>
        <family val="2"/>
        <scheme val="minor"/>
      </rPr>
      <t>RepeatOtherInstitution</t>
    </r>
    <r>
      <rPr>
        <sz val="11"/>
        <color theme="1"/>
        <rFont val="Calibri"/>
        <family val="2"/>
        <scheme val="minor"/>
      </rPr>
      <t xml:space="preserve"> - Repeated, other institution
</t>
    </r>
    <r>
      <rPr>
        <b/>
        <sz val="11"/>
        <color theme="1"/>
        <rFont val="Calibri"/>
        <family val="2"/>
        <scheme val="minor"/>
      </rPr>
      <t>NotCountedOther</t>
    </r>
    <r>
      <rPr>
        <sz val="11"/>
        <color theme="1"/>
        <rFont val="Calibri"/>
        <family val="2"/>
        <scheme val="minor"/>
      </rPr>
      <t xml:space="preserve"> - Other, not counted in GPA (e.g., used for academic forgiveness or clemency).
</t>
    </r>
  </si>
  <si>
    <r>
      <t>00585</t>
    </r>
    <r>
      <rPr>
        <sz val="11"/>
        <color theme="1"/>
        <rFont val="Calibri"/>
        <family val="2"/>
        <scheme val="minor"/>
      </rPr>
      <t xml:space="preserve"> - Carnegie unit
</t>
    </r>
    <r>
      <rPr>
        <b/>
        <sz val="11"/>
        <color theme="1"/>
        <rFont val="Calibri"/>
        <family val="2"/>
        <scheme val="minor"/>
      </rPr>
      <t>00586</t>
    </r>
    <r>
      <rPr>
        <sz val="11"/>
        <color theme="1"/>
        <rFont val="Calibri"/>
        <family val="2"/>
        <scheme val="minor"/>
      </rPr>
      <t xml:space="preserve"> - Semester hour credit
</t>
    </r>
    <r>
      <rPr>
        <b/>
        <sz val="11"/>
        <color theme="1"/>
        <rFont val="Calibri"/>
        <family val="2"/>
        <scheme val="minor"/>
      </rPr>
      <t>00587</t>
    </r>
    <r>
      <rPr>
        <sz val="11"/>
        <color theme="1"/>
        <rFont val="Calibri"/>
        <family val="2"/>
        <scheme val="minor"/>
      </rPr>
      <t xml:space="preserve"> - Trimester hour credit
</t>
    </r>
    <r>
      <rPr>
        <b/>
        <sz val="11"/>
        <color theme="1"/>
        <rFont val="Calibri"/>
        <family val="2"/>
        <scheme val="minor"/>
      </rPr>
      <t>00588</t>
    </r>
    <r>
      <rPr>
        <sz val="11"/>
        <color theme="1"/>
        <rFont val="Calibri"/>
        <family val="2"/>
        <scheme val="minor"/>
      </rPr>
      <t xml:space="preserve"> - Quarter hour credit
</t>
    </r>
    <r>
      <rPr>
        <b/>
        <sz val="11"/>
        <color theme="1"/>
        <rFont val="Calibri"/>
        <family val="2"/>
        <scheme val="minor"/>
      </rPr>
      <t>00589</t>
    </r>
    <r>
      <rPr>
        <sz val="11"/>
        <color theme="1"/>
        <rFont val="Calibri"/>
        <family val="2"/>
        <scheme val="minor"/>
      </rPr>
      <t xml:space="preserve"> - Quinmester hour credit
</t>
    </r>
    <r>
      <rPr>
        <b/>
        <sz val="11"/>
        <color theme="1"/>
        <rFont val="Calibri"/>
        <family val="2"/>
        <scheme val="minor"/>
      </rPr>
      <t>00590</t>
    </r>
    <r>
      <rPr>
        <sz val="11"/>
        <color theme="1"/>
        <rFont val="Calibri"/>
        <family val="2"/>
        <scheme val="minor"/>
      </rPr>
      <t xml:space="preserve"> - Mini-term hour credit
</t>
    </r>
    <r>
      <rPr>
        <b/>
        <sz val="11"/>
        <color theme="1"/>
        <rFont val="Calibri"/>
        <family val="2"/>
        <scheme val="minor"/>
      </rPr>
      <t>00591</t>
    </r>
    <r>
      <rPr>
        <sz val="11"/>
        <color theme="1"/>
        <rFont val="Calibri"/>
        <family val="2"/>
        <scheme val="minor"/>
      </rPr>
      <t xml:space="preserve"> - Summer term hour credit
</t>
    </r>
    <r>
      <rPr>
        <b/>
        <sz val="11"/>
        <color theme="1"/>
        <rFont val="Calibri"/>
        <family val="2"/>
        <scheme val="minor"/>
      </rPr>
      <t>00592</t>
    </r>
    <r>
      <rPr>
        <sz val="11"/>
        <color theme="1"/>
        <rFont val="Calibri"/>
        <family val="2"/>
        <scheme val="minor"/>
      </rPr>
      <t xml:space="preserve"> - Intersession hour credit
</t>
    </r>
    <r>
      <rPr>
        <b/>
        <sz val="11"/>
        <color theme="1"/>
        <rFont val="Calibri"/>
        <family val="2"/>
        <scheme val="minor"/>
      </rPr>
      <t>00595</t>
    </r>
    <r>
      <rPr>
        <sz val="11"/>
        <color theme="1"/>
        <rFont val="Calibri"/>
        <family val="2"/>
        <scheme val="minor"/>
      </rPr>
      <t xml:space="preserve"> - Long session hour credit
</t>
    </r>
    <r>
      <rPr>
        <b/>
        <sz val="11"/>
        <color theme="1"/>
        <rFont val="Calibri"/>
        <family val="2"/>
        <scheme val="minor"/>
      </rPr>
      <t>00596</t>
    </r>
    <r>
      <rPr>
        <sz val="11"/>
        <color theme="1"/>
        <rFont val="Calibri"/>
        <family val="2"/>
        <scheme val="minor"/>
      </rPr>
      <t xml:space="preserve"> - Twelve month hour credit
</t>
    </r>
    <r>
      <rPr>
        <b/>
        <sz val="11"/>
        <color theme="1"/>
        <rFont val="Calibri"/>
        <family val="2"/>
        <scheme val="minor"/>
      </rPr>
      <t>00597</t>
    </r>
    <r>
      <rPr>
        <sz val="11"/>
        <color theme="1"/>
        <rFont val="Calibri"/>
        <family val="2"/>
        <scheme val="minor"/>
      </rPr>
      <t xml:space="preserve"> - Career and Technical Education credit
</t>
    </r>
    <r>
      <rPr>
        <b/>
        <sz val="11"/>
        <color theme="1"/>
        <rFont val="Calibri"/>
        <family val="2"/>
        <scheme val="minor"/>
      </rPr>
      <t>73062</t>
    </r>
    <r>
      <rPr>
        <sz val="11"/>
        <color theme="1"/>
        <rFont val="Calibri"/>
        <family val="2"/>
        <scheme val="minor"/>
      </rPr>
      <t xml:space="preserve"> - Adult high school credit
</t>
    </r>
    <r>
      <rPr>
        <b/>
        <sz val="11"/>
        <color theme="1"/>
        <rFont val="Calibri"/>
        <family val="2"/>
        <scheme val="minor"/>
      </rPr>
      <t>00599</t>
    </r>
    <r>
      <rPr>
        <sz val="11"/>
        <color theme="1"/>
        <rFont val="Calibri"/>
        <family val="2"/>
        <scheme val="minor"/>
      </rPr>
      <t xml:space="preserve"> - Credit by examination
</t>
    </r>
    <r>
      <rPr>
        <b/>
        <sz val="11"/>
        <color theme="1"/>
        <rFont val="Calibri"/>
        <family val="2"/>
        <scheme val="minor"/>
      </rPr>
      <t>00600</t>
    </r>
    <r>
      <rPr>
        <sz val="11"/>
        <color theme="1"/>
        <rFont val="Calibri"/>
        <family val="2"/>
        <scheme val="minor"/>
      </rPr>
      <t xml:space="preserve"> - Correspondence credit
</t>
    </r>
    <r>
      <rPr>
        <b/>
        <sz val="11"/>
        <color theme="1"/>
        <rFont val="Calibri"/>
        <family val="2"/>
        <scheme val="minor"/>
      </rPr>
      <t>00601</t>
    </r>
    <r>
      <rPr>
        <sz val="11"/>
        <color theme="1"/>
        <rFont val="Calibri"/>
        <family val="2"/>
        <scheme val="minor"/>
      </rPr>
      <t xml:space="preserve"> - Converted occupational experience credit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75001</t>
    </r>
    <r>
      <rPr>
        <sz val="11"/>
        <color theme="1"/>
        <rFont val="Calibri"/>
        <family val="2"/>
        <scheme val="minor"/>
      </rPr>
      <t xml:space="preserve"> - Certificate credit
</t>
    </r>
    <r>
      <rPr>
        <b/>
        <sz val="11"/>
        <color theme="1"/>
        <rFont val="Calibri"/>
        <family val="2"/>
        <scheme val="minor"/>
      </rPr>
      <t>75002</t>
    </r>
    <r>
      <rPr>
        <sz val="11"/>
        <color theme="1"/>
        <rFont val="Calibri"/>
        <family val="2"/>
        <scheme val="minor"/>
      </rPr>
      <t xml:space="preserve"> - Degree credit
</t>
    </r>
    <r>
      <rPr>
        <b/>
        <sz val="11"/>
        <color theme="1"/>
        <rFont val="Calibri"/>
        <family val="2"/>
        <scheme val="minor"/>
      </rPr>
      <t>75003</t>
    </r>
    <r>
      <rPr>
        <sz val="11"/>
        <color theme="1"/>
        <rFont val="Calibri"/>
        <family val="2"/>
        <scheme val="minor"/>
      </rPr>
      <t xml:space="preserve"> - Continuing education credit
</t>
    </r>
    <r>
      <rPr>
        <b/>
        <sz val="11"/>
        <color theme="1"/>
        <rFont val="Calibri"/>
        <family val="2"/>
        <scheme val="minor"/>
      </rPr>
      <t>75004</t>
    </r>
    <r>
      <rPr>
        <sz val="11"/>
        <color theme="1"/>
        <rFont val="Calibri"/>
        <family val="2"/>
        <scheme val="minor"/>
      </rPr>
      <t xml:space="preserve"> - Professional development hours
</t>
    </r>
  </si>
  <si>
    <r>
      <t>TechnologyLiterate</t>
    </r>
    <r>
      <rPr>
        <sz val="11"/>
        <color theme="1"/>
        <rFont val="Calibri"/>
        <family val="2"/>
        <scheme val="minor"/>
      </rPr>
      <t xml:space="preserve"> - Technology literate
</t>
    </r>
    <r>
      <rPr>
        <b/>
        <sz val="11"/>
        <color theme="1"/>
        <rFont val="Calibri"/>
        <family val="2"/>
        <scheme val="minor"/>
      </rPr>
      <t>NotTechnologyLiterate</t>
    </r>
    <r>
      <rPr>
        <sz val="11"/>
        <color theme="1"/>
        <rFont val="Calibri"/>
        <family val="2"/>
        <scheme val="minor"/>
      </rPr>
      <t xml:space="preserve"> - Not technology literate
</t>
    </r>
  </si>
  <si>
    <r>
      <t>01985</t>
    </r>
    <r>
      <rPr>
        <sz val="11"/>
        <color theme="1"/>
        <rFont val="Calibri"/>
        <family val="2"/>
        <scheme val="minor"/>
      </rPr>
      <t xml:space="preserve"> - Honor roll
</t>
    </r>
    <r>
      <rPr>
        <b/>
        <sz val="11"/>
        <color theme="1"/>
        <rFont val="Calibri"/>
        <family val="2"/>
        <scheme val="minor"/>
      </rPr>
      <t>01986</t>
    </r>
    <r>
      <rPr>
        <sz val="11"/>
        <color theme="1"/>
        <rFont val="Calibri"/>
        <family val="2"/>
        <scheme val="minor"/>
      </rPr>
      <t xml:space="preserve"> - Honor society
</t>
    </r>
    <r>
      <rPr>
        <b/>
        <sz val="11"/>
        <color theme="1"/>
        <rFont val="Calibri"/>
        <family val="2"/>
        <scheme val="minor"/>
      </rPr>
      <t>01987</t>
    </r>
    <r>
      <rPr>
        <sz val="11"/>
        <color theme="1"/>
        <rFont val="Calibri"/>
        <family val="2"/>
        <scheme val="minor"/>
      </rPr>
      <t xml:space="preserve"> - Honorable mention
</t>
    </r>
    <r>
      <rPr>
        <b/>
        <sz val="11"/>
        <color theme="1"/>
        <rFont val="Calibri"/>
        <family val="2"/>
        <scheme val="minor"/>
      </rPr>
      <t>01988</t>
    </r>
    <r>
      <rPr>
        <sz val="11"/>
        <color theme="1"/>
        <rFont val="Calibri"/>
        <family val="2"/>
        <scheme val="minor"/>
      </rPr>
      <t xml:space="preserve"> - Honors program
</t>
    </r>
    <r>
      <rPr>
        <b/>
        <sz val="11"/>
        <color theme="1"/>
        <rFont val="Calibri"/>
        <family val="2"/>
        <scheme val="minor"/>
      </rPr>
      <t>73064</t>
    </r>
    <r>
      <rPr>
        <sz val="11"/>
        <color theme="1"/>
        <rFont val="Calibri"/>
        <family val="2"/>
        <scheme val="minor"/>
      </rPr>
      <t xml:space="preserve"> - National Technical Education Honor Society
</t>
    </r>
    <r>
      <rPr>
        <b/>
        <sz val="11"/>
        <color theme="1"/>
        <rFont val="Calibri"/>
        <family val="2"/>
        <scheme val="minor"/>
      </rPr>
      <t>01989</t>
    </r>
    <r>
      <rPr>
        <sz val="11"/>
        <color theme="1"/>
        <rFont val="Calibri"/>
        <family val="2"/>
        <scheme val="minor"/>
      </rPr>
      <t xml:space="preserve"> - Prize awards
</t>
    </r>
    <r>
      <rPr>
        <b/>
        <sz val="11"/>
        <color theme="1"/>
        <rFont val="Calibri"/>
        <family val="2"/>
        <scheme val="minor"/>
      </rPr>
      <t>01991</t>
    </r>
    <r>
      <rPr>
        <sz val="11"/>
        <color theme="1"/>
        <rFont val="Calibri"/>
        <family val="2"/>
        <scheme val="minor"/>
      </rPr>
      <t xml:space="preserve"> - Scholarships
</t>
    </r>
    <r>
      <rPr>
        <b/>
        <sz val="11"/>
        <color theme="1"/>
        <rFont val="Calibri"/>
        <family val="2"/>
        <scheme val="minor"/>
      </rPr>
      <t>00738</t>
    </r>
    <r>
      <rPr>
        <sz val="11"/>
        <color theme="1"/>
        <rFont val="Calibri"/>
        <family val="2"/>
        <scheme val="minor"/>
      </rPr>
      <t xml:space="preserve"> - Awarding of units of value
</t>
    </r>
    <r>
      <rPr>
        <b/>
        <sz val="11"/>
        <color theme="1"/>
        <rFont val="Calibri"/>
        <family val="2"/>
        <scheme val="minor"/>
      </rPr>
      <t>00740</t>
    </r>
    <r>
      <rPr>
        <sz val="11"/>
        <color theme="1"/>
        <rFont val="Calibri"/>
        <family val="2"/>
        <scheme val="minor"/>
      </rPr>
      <t xml:space="preserve"> - Citizenship award/recognition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08692</t>
    </r>
    <r>
      <rPr>
        <sz val="11"/>
        <color theme="1"/>
        <rFont val="Calibri"/>
        <family val="2"/>
        <scheme val="minor"/>
      </rPr>
      <t xml:space="preserve"> - Attendance award
</t>
    </r>
    <r>
      <rPr>
        <b/>
        <sz val="11"/>
        <color theme="1"/>
        <rFont val="Calibri"/>
        <family val="2"/>
        <scheme val="minor"/>
      </rPr>
      <t>00742</t>
    </r>
    <r>
      <rPr>
        <sz val="11"/>
        <color theme="1"/>
        <rFont val="Calibri"/>
        <family val="2"/>
        <scheme val="minor"/>
      </rPr>
      <t xml:space="preserve"> - Certificate
</t>
    </r>
    <r>
      <rPr>
        <b/>
        <sz val="11"/>
        <color theme="1"/>
        <rFont val="Calibri"/>
        <family val="2"/>
        <scheme val="minor"/>
      </rPr>
      <t>02047</t>
    </r>
    <r>
      <rPr>
        <sz val="11"/>
        <color theme="1"/>
        <rFont val="Calibri"/>
        <family val="2"/>
        <scheme val="minor"/>
      </rPr>
      <t xml:space="preserve"> - Honor award
</t>
    </r>
    <r>
      <rPr>
        <b/>
        <sz val="11"/>
        <color theme="1"/>
        <rFont val="Calibri"/>
        <family val="2"/>
        <scheme val="minor"/>
      </rPr>
      <t>00744</t>
    </r>
    <r>
      <rPr>
        <sz val="11"/>
        <color theme="1"/>
        <rFont val="Calibri"/>
        <family val="2"/>
        <scheme val="minor"/>
      </rPr>
      <t xml:space="preserve"> - Letter of student commendation
</t>
    </r>
    <r>
      <rPr>
        <b/>
        <sz val="11"/>
        <color theme="1"/>
        <rFont val="Calibri"/>
        <family val="2"/>
        <scheme val="minor"/>
      </rPr>
      <t>00745</t>
    </r>
    <r>
      <rPr>
        <sz val="11"/>
        <color theme="1"/>
        <rFont val="Calibri"/>
        <family val="2"/>
        <scheme val="minor"/>
      </rPr>
      <t xml:space="preserve"> - Medals
</t>
    </r>
    <r>
      <rPr>
        <b/>
        <sz val="11"/>
        <color theme="1"/>
        <rFont val="Calibri"/>
        <family val="2"/>
        <scheme val="minor"/>
      </rPr>
      <t>08693</t>
    </r>
    <r>
      <rPr>
        <sz val="11"/>
        <color theme="1"/>
        <rFont val="Calibri"/>
        <family val="2"/>
        <scheme val="minor"/>
      </rPr>
      <t xml:space="preserve"> - National Merit scholar
</t>
    </r>
    <r>
      <rPr>
        <b/>
        <sz val="11"/>
        <color theme="1"/>
        <rFont val="Calibri"/>
        <family val="2"/>
        <scheme val="minor"/>
      </rPr>
      <t>00747</t>
    </r>
    <r>
      <rPr>
        <sz val="11"/>
        <color theme="1"/>
        <rFont val="Calibri"/>
        <family val="2"/>
        <scheme val="minor"/>
      </rPr>
      <t xml:space="preserve"> - Points
</t>
    </r>
    <r>
      <rPr>
        <b/>
        <sz val="11"/>
        <color theme="1"/>
        <rFont val="Calibri"/>
        <family val="2"/>
        <scheme val="minor"/>
      </rPr>
      <t>00748</t>
    </r>
    <r>
      <rPr>
        <sz val="11"/>
        <color theme="1"/>
        <rFont val="Calibri"/>
        <family val="2"/>
        <scheme val="minor"/>
      </rPr>
      <t xml:space="preserve"> - Promotion or advancement
</t>
    </r>
    <r>
      <rPr>
        <b/>
        <sz val="11"/>
        <color theme="1"/>
        <rFont val="Calibri"/>
        <family val="2"/>
        <scheme val="minor"/>
      </rPr>
      <t>09999</t>
    </r>
    <r>
      <rPr>
        <sz val="11"/>
        <color theme="1"/>
        <rFont val="Calibri"/>
        <family val="2"/>
        <scheme val="minor"/>
      </rPr>
      <t xml:space="preserve"> - Other
</t>
    </r>
  </si>
  <si>
    <r>
      <t>00737</t>
    </r>
    <r>
      <rPr>
        <sz val="11"/>
        <color theme="1"/>
        <rFont val="Calibri"/>
        <family val="2"/>
        <scheme val="minor"/>
      </rPr>
      <t xml:space="preserve"> - Athletic awards
</t>
    </r>
    <r>
      <rPr>
        <b/>
        <sz val="11"/>
        <color theme="1"/>
        <rFont val="Calibri"/>
        <family val="2"/>
        <scheme val="minor"/>
      </rPr>
      <t>00738</t>
    </r>
    <r>
      <rPr>
        <sz val="11"/>
        <color theme="1"/>
        <rFont val="Calibri"/>
        <family val="2"/>
        <scheme val="minor"/>
      </rPr>
      <t xml:space="preserve"> - Awarding of units of value
</t>
    </r>
    <r>
      <rPr>
        <b/>
        <sz val="11"/>
        <color theme="1"/>
        <rFont val="Calibri"/>
        <family val="2"/>
        <scheme val="minor"/>
      </rPr>
      <t>00740</t>
    </r>
    <r>
      <rPr>
        <sz val="11"/>
        <color theme="1"/>
        <rFont val="Calibri"/>
        <family val="2"/>
        <scheme val="minor"/>
      </rPr>
      <t xml:space="preserve"> - Citizenship award/recognition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00742</t>
    </r>
    <r>
      <rPr>
        <sz val="11"/>
        <color theme="1"/>
        <rFont val="Calibri"/>
        <family val="2"/>
        <scheme val="minor"/>
      </rPr>
      <t xml:space="preserve"> - Certificate
</t>
    </r>
    <r>
      <rPr>
        <b/>
        <sz val="11"/>
        <color theme="1"/>
        <rFont val="Calibri"/>
        <family val="2"/>
        <scheme val="minor"/>
      </rPr>
      <t>00743</t>
    </r>
    <r>
      <rPr>
        <sz val="11"/>
        <color theme="1"/>
        <rFont val="Calibri"/>
        <family val="2"/>
        <scheme val="minor"/>
      </rPr>
      <t xml:space="preserve"> - Honor award
</t>
    </r>
    <r>
      <rPr>
        <b/>
        <sz val="11"/>
        <color theme="1"/>
        <rFont val="Calibri"/>
        <family val="2"/>
        <scheme val="minor"/>
      </rPr>
      <t>02048</t>
    </r>
    <r>
      <rPr>
        <sz val="11"/>
        <color theme="1"/>
        <rFont val="Calibri"/>
        <family val="2"/>
        <scheme val="minor"/>
      </rPr>
      <t xml:space="preserve"> - Letter of commendation
</t>
    </r>
    <r>
      <rPr>
        <b/>
        <sz val="11"/>
        <color theme="1"/>
        <rFont val="Calibri"/>
        <family val="2"/>
        <scheme val="minor"/>
      </rPr>
      <t>00745</t>
    </r>
    <r>
      <rPr>
        <sz val="11"/>
        <color theme="1"/>
        <rFont val="Calibri"/>
        <family val="2"/>
        <scheme val="minor"/>
      </rPr>
      <t xml:space="preserve"> - Medals
</t>
    </r>
    <r>
      <rPr>
        <b/>
        <sz val="11"/>
        <color theme="1"/>
        <rFont val="Calibri"/>
        <family val="2"/>
        <scheme val="minor"/>
      </rPr>
      <t>00746</t>
    </r>
    <r>
      <rPr>
        <sz val="11"/>
        <color theme="1"/>
        <rFont val="Calibri"/>
        <family val="2"/>
        <scheme val="minor"/>
      </rPr>
      <t xml:space="preserve"> - Monogram/letter
</t>
    </r>
    <r>
      <rPr>
        <b/>
        <sz val="11"/>
        <color theme="1"/>
        <rFont val="Calibri"/>
        <family val="2"/>
        <scheme val="minor"/>
      </rPr>
      <t>00747</t>
    </r>
    <r>
      <rPr>
        <sz val="11"/>
        <color theme="1"/>
        <rFont val="Calibri"/>
        <family val="2"/>
        <scheme val="minor"/>
      </rPr>
      <t xml:space="preserve"> - Points
</t>
    </r>
    <r>
      <rPr>
        <b/>
        <sz val="11"/>
        <color theme="1"/>
        <rFont val="Calibri"/>
        <family val="2"/>
        <scheme val="minor"/>
      </rPr>
      <t>00748</t>
    </r>
    <r>
      <rPr>
        <sz val="11"/>
        <color theme="1"/>
        <rFont val="Calibri"/>
        <family val="2"/>
        <scheme val="minor"/>
      </rPr>
      <t xml:space="preserve"> - Promotion or advancement
</t>
    </r>
    <r>
      <rPr>
        <b/>
        <sz val="11"/>
        <color theme="1"/>
        <rFont val="Calibri"/>
        <family val="2"/>
        <scheme val="minor"/>
      </rPr>
      <t>09999</t>
    </r>
    <r>
      <rPr>
        <sz val="11"/>
        <color theme="1"/>
        <rFont val="Calibri"/>
        <family val="2"/>
        <scheme val="minor"/>
      </rPr>
      <t xml:space="preserve"> - Other
</t>
    </r>
  </si>
  <si>
    <r>
      <t>Promotion</t>
    </r>
    <r>
      <rPr>
        <sz val="11"/>
        <color theme="1"/>
        <rFont val="Calibri"/>
        <family val="2"/>
        <scheme val="minor"/>
      </rPr>
      <t xml:space="preserve"> - Promotion
</t>
    </r>
    <r>
      <rPr>
        <b/>
        <sz val="11"/>
        <color theme="1"/>
        <rFont val="Calibri"/>
        <family val="2"/>
        <scheme val="minor"/>
      </rPr>
      <t>Retention</t>
    </r>
    <r>
      <rPr>
        <sz val="11"/>
        <color theme="1"/>
        <rFont val="Calibri"/>
        <family val="2"/>
        <scheme val="minor"/>
      </rPr>
      <t xml:space="preserve"> - Retention
</t>
    </r>
  </si>
  <si>
    <r>
      <t>AcceleratedPromotion</t>
    </r>
    <r>
      <rPr>
        <sz val="11"/>
        <color theme="1"/>
        <rFont val="Calibri"/>
        <family val="2"/>
        <scheme val="minor"/>
      </rPr>
      <t xml:space="preserve"> - Accelerated promotion
</t>
    </r>
    <r>
      <rPr>
        <b/>
        <sz val="11"/>
        <color theme="1"/>
        <rFont val="Calibri"/>
        <family val="2"/>
        <scheme val="minor"/>
      </rPr>
      <t>ContinuousPromotion</t>
    </r>
    <r>
      <rPr>
        <sz val="11"/>
        <color theme="1"/>
        <rFont val="Calibri"/>
        <family val="2"/>
        <scheme val="minor"/>
      </rPr>
      <t xml:space="preserve"> - Continuous promotion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ProbationaryPromotion</t>
    </r>
    <r>
      <rPr>
        <sz val="11"/>
        <color theme="1"/>
        <rFont val="Calibri"/>
        <family val="2"/>
        <scheme val="minor"/>
      </rPr>
      <t xml:space="preserve"> - Probationary promotion
</t>
    </r>
    <r>
      <rPr>
        <b/>
        <sz val="11"/>
        <color theme="1"/>
        <rFont val="Calibri"/>
        <family val="2"/>
        <scheme val="minor"/>
      </rPr>
      <t>RegularPromotion</t>
    </r>
    <r>
      <rPr>
        <sz val="11"/>
        <color theme="1"/>
        <rFont val="Calibri"/>
        <family val="2"/>
        <scheme val="minor"/>
      </rPr>
      <t xml:space="preserve"> - Regular promotion
</t>
    </r>
    <r>
      <rPr>
        <b/>
        <sz val="11"/>
        <color theme="1"/>
        <rFont val="Calibri"/>
        <family val="2"/>
        <scheme val="minor"/>
      </rPr>
      <t>VariableProgress</t>
    </r>
    <r>
      <rPr>
        <sz val="11"/>
        <color theme="1"/>
        <rFont val="Calibri"/>
        <family val="2"/>
        <scheme val="minor"/>
      </rPr>
      <t xml:space="preserve"> - Variable progress
</t>
    </r>
  </si>
  <si>
    <r>
      <t>FailedTestingRequirements</t>
    </r>
    <r>
      <rPr>
        <sz val="11"/>
        <color theme="1"/>
        <rFont val="Calibri"/>
        <family val="2"/>
        <scheme val="minor"/>
      </rPr>
      <t xml:space="preserve"> - Failed to meet testing requirements
</t>
    </r>
    <r>
      <rPr>
        <b/>
        <sz val="11"/>
        <color theme="1"/>
        <rFont val="Calibri"/>
        <family val="2"/>
        <scheme val="minor"/>
      </rPr>
      <t>Illness</t>
    </r>
    <r>
      <rPr>
        <sz val="11"/>
        <color theme="1"/>
        <rFont val="Calibri"/>
        <family val="2"/>
        <scheme val="minor"/>
      </rPr>
      <t xml:space="preserve"> - Illness
</t>
    </r>
    <r>
      <rPr>
        <b/>
        <sz val="11"/>
        <color theme="1"/>
        <rFont val="Calibri"/>
        <family val="2"/>
        <scheme val="minor"/>
      </rPr>
      <t>Immaturity</t>
    </r>
    <r>
      <rPr>
        <sz val="11"/>
        <color theme="1"/>
        <rFont val="Calibri"/>
        <family val="2"/>
        <scheme val="minor"/>
      </rPr>
      <t xml:space="preserve"> - Immaturity
</t>
    </r>
    <r>
      <rPr>
        <b/>
        <sz val="11"/>
        <color theme="1"/>
        <rFont val="Calibri"/>
        <family val="2"/>
        <scheme val="minor"/>
      </rPr>
      <t>InadequatePerformance</t>
    </r>
    <r>
      <rPr>
        <sz val="11"/>
        <color theme="1"/>
        <rFont val="Calibri"/>
        <family val="2"/>
        <scheme val="minor"/>
      </rPr>
      <t xml:space="preserve"> - Inadequate performance
</t>
    </r>
    <r>
      <rPr>
        <b/>
        <sz val="11"/>
        <color theme="1"/>
        <rFont val="Calibri"/>
        <family val="2"/>
        <scheme val="minor"/>
      </rPr>
      <t>InsufficientCredits</t>
    </r>
    <r>
      <rPr>
        <sz val="11"/>
        <color theme="1"/>
        <rFont val="Calibri"/>
        <family val="2"/>
        <scheme val="minor"/>
      </rPr>
      <t xml:space="preserve"> - Insufficient credits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ProlongedAbsence</t>
    </r>
    <r>
      <rPr>
        <sz val="11"/>
        <color theme="1"/>
        <rFont val="Calibri"/>
        <family val="2"/>
        <scheme val="minor"/>
      </rPr>
      <t xml:space="preserve"> - Prolonged absence
</t>
    </r>
  </si>
  <si>
    <r>
      <t>TABE</t>
    </r>
    <r>
      <rPr>
        <sz val="11"/>
        <color theme="1"/>
        <rFont val="Calibri"/>
        <family val="2"/>
        <scheme val="minor"/>
      </rPr>
      <t xml:space="preserve"> - TABE
</t>
    </r>
    <r>
      <rPr>
        <b/>
        <sz val="11"/>
        <color theme="1"/>
        <rFont val="Calibri"/>
        <family val="2"/>
        <scheme val="minor"/>
      </rPr>
      <t>CASAS</t>
    </r>
    <r>
      <rPr>
        <sz val="11"/>
        <color theme="1"/>
        <rFont val="Calibri"/>
        <family val="2"/>
        <scheme val="minor"/>
      </rPr>
      <t xml:space="preserve"> - CASAS
</t>
    </r>
    <r>
      <rPr>
        <b/>
        <sz val="11"/>
        <color theme="1"/>
        <rFont val="Calibri"/>
        <family val="2"/>
        <scheme val="minor"/>
      </rPr>
      <t>BEST</t>
    </r>
    <r>
      <rPr>
        <sz val="11"/>
        <color theme="1"/>
        <rFont val="Calibri"/>
        <family val="2"/>
        <scheme val="minor"/>
      </rPr>
      <t xml:space="preserve"> - BEST
</t>
    </r>
    <r>
      <rPr>
        <b/>
        <sz val="11"/>
        <color theme="1"/>
        <rFont val="Calibri"/>
        <family val="2"/>
        <scheme val="minor"/>
      </rPr>
      <t>BESTPlus</t>
    </r>
    <r>
      <rPr>
        <sz val="11"/>
        <color theme="1"/>
        <rFont val="Calibri"/>
        <family val="2"/>
        <scheme val="minor"/>
      </rPr>
      <t xml:space="preserve"> - BESTPlus
</t>
    </r>
    <r>
      <rPr>
        <b/>
        <sz val="11"/>
        <color theme="1"/>
        <rFont val="Calibri"/>
        <family val="2"/>
        <scheme val="minor"/>
      </rPr>
      <t>BESTLiteracy</t>
    </r>
    <r>
      <rPr>
        <sz val="11"/>
        <color theme="1"/>
        <rFont val="Calibri"/>
        <family val="2"/>
        <scheme val="minor"/>
      </rPr>
      <t xml:space="preserve"> - BEST Literacy
</t>
    </r>
    <r>
      <rPr>
        <b/>
        <sz val="11"/>
        <color theme="1"/>
        <rFont val="Calibri"/>
        <family val="2"/>
        <scheme val="minor"/>
      </rPr>
      <t>PPVT-III</t>
    </r>
    <r>
      <rPr>
        <sz val="11"/>
        <color theme="1"/>
        <rFont val="Calibri"/>
        <family val="2"/>
        <scheme val="minor"/>
      </rPr>
      <t xml:space="preserve"> - PPVT-III
</t>
    </r>
    <r>
      <rPr>
        <b/>
        <sz val="11"/>
        <color theme="1"/>
        <rFont val="Calibri"/>
        <family val="2"/>
        <scheme val="minor"/>
      </rPr>
      <t>PPVT-IV</t>
    </r>
    <r>
      <rPr>
        <sz val="11"/>
        <color theme="1"/>
        <rFont val="Calibri"/>
        <family val="2"/>
        <scheme val="minor"/>
      </rPr>
      <t xml:space="preserve"> - PPVT-IV
</t>
    </r>
    <r>
      <rPr>
        <b/>
        <sz val="11"/>
        <color theme="1"/>
        <rFont val="Calibri"/>
        <family val="2"/>
        <scheme val="minor"/>
      </rPr>
      <t>TVIP</t>
    </r>
    <r>
      <rPr>
        <sz val="11"/>
        <color theme="1"/>
        <rFont val="Calibri"/>
        <family val="2"/>
        <scheme val="minor"/>
      </rPr>
      <t xml:space="preserve"> - TVIP
</t>
    </r>
    <r>
      <rPr>
        <b/>
        <sz val="11"/>
        <color theme="1"/>
        <rFont val="Calibri"/>
        <family val="2"/>
        <scheme val="minor"/>
      </rPr>
      <t>PALSPreKUpperCase</t>
    </r>
    <r>
      <rPr>
        <sz val="11"/>
        <color theme="1"/>
        <rFont val="Calibri"/>
        <family val="2"/>
        <scheme val="minor"/>
      </rPr>
      <t xml:space="preserve"> - PALS PreK Upper Case
</t>
    </r>
    <r>
      <rPr>
        <b/>
        <sz val="11"/>
        <color theme="1"/>
        <rFont val="Calibri"/>
        <family val="2"/>
        <scheme val="minor"/>
      </rPr>
      <t>PEPScaleI</t>
    </r>
    <r>
      <rPr>
        <sz val="11"/>
        <color theme="1"/>
        <rFont val="Calibri"/>
        <family val="2"/>
        <scheme val="minor"/>
      </rPr>
      <t xml:space="preserve"> - PEP Scale I
</t>
    </r>
    <r>
      <rPr>
        <b/>
        <sz val="11"/>
        <color theme="1"/>
        <rFont val="Calibri"/>
        <family val="2"/>
        <scheme val="minor"/>
      </rPr>
      <t>PEPScaleII</t>
    </r>
    <r>
      <rPr>
        <sz val="11"/>
        <color theme="1"/>
        <rFont val="Calibri"/>
        <family val="2"/>
        <scheme val="minor"/>
      </rPr>
      <t xml:space="preserve"> - PEP Scale II
</t>
    </r>
    <r>
      <rPr>
        <b/>
        <sz val="11"/>
        <color theme="1"/>
        <rFont val="Calibri"/>
        <family val="2"/>
        <scheme val="minor"/>
      </rPr>
      <t>PEPScaleIII</t>
    </r>
    <r>
      <rPr>
        <sz val="11"/>
        <color theme="1"/>
        <rFont val="Calibri"/>
        <family val="2"/>
        <scheme val="minor"/>
      </rPr>
      <t xml:space="preserve"> - PEP Scale III
</t>
    </r>
    <r>
      <rPr>
        <b/>
        <sz val="11"/>
        <color theme="1"/>
        <rFont val="Calibri"/>
        <family val="2"/>
        <scheme val="minor"/>
      </rPr>
      <t>PEPScaleIV</t>
    </r>
    <r>
      <rPr>
        <sz val="11"/>
        <color theme="1"/>
        <rFont val="Calibri"/>
        <family val="2"/>
        <scheme val="minor"/>
      </rPr>
      <t xml:space="preserve"> - PEP Scale IV
</t>
    </r>
    <r>
      <rPr>
        <b/>
        <sz val="11"/>
        <color theme="1"/>
        <rFont val="Calibri"/>
        <family val="2"/>
        <scheme val="minor"/>
      </rPr>
      <t>Other</t>
    </r>
    <r>
      <rPr>
        <sz val="11"/>
        <color theme="1"/>
        <rFont val="Calibri"/>
        <family val="2"/>
        <scheme val="minor"/>
      </rPr>
      <t xml:space="preserve"> - Other
</t>
    </r>
  </si>
  <si>
    <r>
      <t>NoInformation</t>
    </r>
    <r>
      <rPr>
        <sz val="11"/>
        <color theme="1"/>
        <rFont val="Calibri"/>
        <family val="2"/>
        <scheme val="minor"/>
      </rPr>
      <t xml:space="preserve"> - No information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NotEnrolled</t>
    </r>
    <r>
      <rPr>
        <sz val="11"/>
        <color theme="1"/>
        <rFont val="Calibri"/>
        <family val="2"/>
        <scheme val="minor"/>
      </rPr>
      <t xml:space="preserve"> - Not enrolled
</t>
    </r>
  </si>
  <si>
    <r>
      <t>PreAndPostTest</t>
    </r>
    <r>
      <rPr>
        <sz val="11"/>
        <color theme="1"/>
        <rFont val="Calibri"/>
        <family val="2"/>
        <scheme val="minor"/>
      </rPr>
      <t xml:space="preserve"> - The student took both a pre-test and post-test
</t>
    </r>
    <r>
      <rPr>
        <b/>
        <sz val="11"/>
        <color theme="1"/>
        <rFont val="Calibri"/>
        <family val="2"/>
        <scheme val="minor"/>
      </rPr>
      <t>DidNotTakeBoth</t>
    </r>
    <r>
      <rPr>
        <sz val="11"/>
        <color theme="1"/>
        <rFont val="Calibri"/>
        <family val="2"/>
        <scheme val="minor"/>
      </rPr>
      <t xml:space="preserve"> - The student did not take both a pre-test and a post-test
</t>
    </r>
  </si>
  <si>
    <r>
      <t>Proficient</t>
    </r>
    <r>
      <rPr>
        <sz val="11"/>
        <color theme="1"/>
        <rFont val="Calibri"/>
        <family val="2"/>
        <scheme val="minor"/>
      </rPr>
      <t xml:space="preserve"> - Proficient
</t>
    </r>
    <r>
      <rPr>
        <b/>
        <sz val="11"/>
        <color theme="1"/>
        <rFont val="Calibri"/>
        <family val="2"/>
        <scheme val="minor"/>
      </rPr>
      <t>NotProficient</t>
    </r>
    <r>
      <rPr>
        <sz val="11"/>
        <color theme="1"/>
        <rFont val="Calibri"/>
        <family val="2"/>
        <scheme val="minor"/>
      </rPr>
      <t xml:space="preserve"> - Not proficient
</t>
    </r>
  </si>
  <si>
    <r>
      <t>NEGGRADE</t>
    </r>
    <r>
      <rPr>
        <sz val="11"/>
        <color theme="1"/>
        <rFont val="Calibri"/>
        <family val="2"/>
        <scheme val="minor"/>
      </rPr>
      <t xml:space="preserve"> - Negative grade level change
</t>
    </r>
    <r>
      <rPr>
        <b/>
        <sz val="11"/>
        <color theme="1"/>
        <rFont val="Calibri"/>
        <family val="2"/>
        <scheme val="minor"/>
      </rPr>
      <t>NOCHANGE</t>
    </r>
    <r>
      <rPr>
        <sz val="11"/>
        <color theme="1"/>
        <rFont val="Calibri"/>
        <family val="2"/>
        <scheme val="minor"/>
      </rPr>
      <t xml:space="preserve"> - No change
</t>
    </r>
    <r>
      <rPr>
        <b/>
        <sz val="11"/>
        <color theme="1"/>
        <rFont val="Calibri"/>
        <family val="2"/>
        <scheme val="minor"/>
      </rPr>
      <t>UPHALFGRADE</t>
    </r>
    <r>
      <rPr>
        <sz val="11"/>
        <color theme="1"/>
        <rFont val="Calibri"/>
        <family val="2"/>
        <scheme val="minor"/>
      </rPr>
      <t xml:space="preserve"> - Improvement of up to one half grade level
</t>
    </r>
    <r>
      <rPr>
        <b/>
        <sz val="11"/>
        <color theme="1"/>
        <rFont val="Calibri"/>
        <family val="2"/>
        <scheme val="minor"/>
      </rPr>
      <t>UPONEGRADE</t>
    </r>
    <r>
      <rPr>
        <sz val="11"/>
        <color theme="1"/>
        <rFont val="Calibri"/>
        <family val="2"/>
        <scheme val="minor"/>
      </rPr>
      <t xml:space="preserve"> - Improvement from one half grade level up to one full grade level
</t>
    </r>
    <r>
      <rPr>
        <b/>
        <sz val="11"/>
        <color theme="1"/>
        <rFont val="Calibri"/>
        <family val="2"/>
        <scheme val="minor"/>
      </rPr>
      <t>UPGTONE</t>
    </r>
    <r>
      <rPr>
        <sz val="11"/>
        <color theme="1"/>
        <rFont val="Calibri"/>
        <family val="2"/>
        <scheme val="minor"/>
      </rPr>
      <t xml:space="preserve"> - Improvement of more than one full grade level
</t>
    </r>
  </si>
  <si>
    <r>
      <t>Weighted</t>
    </r>
    <r>
      <rPr>
        <sz val="11"/>
        <color theme="1"/>
        <rFont val="Calibri"/>
        <family val="2"/>
        <scheme val="minor"/>
      </rPr>
      <t xml:space="preserve"> - Weighted
</t>
    </r>
    <r>
      <rPr>
        <b/>
        <sz val="11"/>
        <color theme="1"/>
        <rFont val="Calibri"/>
        <family val="2"/>
        <scheme val="minor"/>
      </rPr>
      <t>Unweighted</t>
    </r>
    <r>
      <rPr>
        <sz val="11"/>
        <color theme="1"/>
        <rFont val="Calibri"/>
        <family val="2"/>
        <scheme val="minor"/>
      </rPr>
      <t xml:space="preserve"> - Unweighted
</t>
    </r>
  </si>
  <si>
    <t>Academic Record-&gt;Activity</t>
  </si>
  <si>
    <t>Academic Record-&gt;Academic Award</t>
  </si>
  <si>
    <r>
      <t>00806</t>
    </r>
    <r>
      <rPr>
        <sz val="11"/>
        <color theme="1"/>
        <rFont val="Calibri"/>
        <family val="2"/>
        <scheme val="minor"/>
      </rPr>
      <t xml:space="preserve"> - Regular diploma
</t>
    </r>
    <r>
      <rPr>
        <b/>
        <sz val="11"/>
        <color theme="1"/>
        <rFont val="Calibri"/>
        <family val="2"/>
        <scheme val="minor"/>
      </rPr>
      <t>00807</t>
    </r>
    <r>
      <rPr>
        <sz val="11"/>
        <color theme="1"/>
        <rFont val="Calibri"/>
        <family val="2"/>
        <scheme val="minor"/>
      </rPr>
      <t xml:space="preserve"> - Endorsed/advanced diploma
</t>
    </r>
    <r>
      <rPr>
        <b/>
        <sz val="11"/>
        <color theme="1"/>
        <rFont val="Calibri"/>
        <family val="2"/>
        <scheme val="minor"/>
      </rPr>
      <t>00808</t>
    </r>
    <r>
      <rPr>
        <sz val="11"/>
        <color theme="1"/>
        <rFont val="Calibri"/>
        <family val="2"/>
        <scheme val="minor"/>
      </rPr>
      <t xml:space="preserve"> - Regents diploma
</t>
    </r>
    <r>
      <rPr>
        <b/>
        <sz val="11"/>
        <color theme="1"/>
        <rFont val="Calibri"/>
        <family val="2"/>
        <scheme val="minor"/>
      </rPr>
      <t>00809</t>
    </r>
    <r>
      <rPr>
        <sz val="11"/>
        <color theme="1"/>
        <rFont val="Calibri"/>
        <family val="2"/>
        <scheme val="minor"/>
      </rPr>
      <t xml:space="preserve"> - International Baccalaureate
</t>
    </r>
    <r>
      <rPr>
        <b/>
        <sz val="11"/>
        <color theme="1"/>
        <rFont val="Calibri"/>
        <family val="2"/>
        <scheme val="minor"/>
      </rPr>
      <t>00810</t>
    </r>
    <r>
      <rPr>
        <sz val="11"/>
        <color theme="1"/>
        <rFont val="Calibri"/>
        <family val="2"/>
        <scheme val="minor"/>
      </rPr>
      <t xml:space="preserve"> - Modified diploma
</t>
    </r>
    <r>
      <rPr>
        <b/>
        <sz val="11"/>
        <color theme="1"/>
        <rFont val="Calibri"/>
        <family val="2"/>
        <scheme val="minor"/>
      </rPr>
      <t>00811</t>
    </r>
    <r>
      <rPr>
        <sz val="11"/>
        <color theme="1"/>
        <rFont val="Calibri"/>
        <family val="2"/>
        <scheme val="minor"/>
      </rPr>
      <t xml:space="preserve"> - Other diploma
</t>
    </r>
    <r>
      <rPr>
        <b/>
        <sz val="11"/>
        <color theme="1"/>
        <rFont val="Calibri"/>
        <family val="2"/>
        <scheme val="minor"/>
      </rPr>
      <t>00812</t>
    </r>
    <r>
      <rPr>
        <sz val="11"/>
        <color theme="1"/>
        <rFont val="Calibri"/>
        <family val="2"/>
        <scheme val="minor"/>
      </rPr>
      <t xml:space="preserve"> - Alternative credential
</t>
    </r>
    <r>
      <rPr>
        <b/>
        <sz val="11"/>
        <color theme="1"/>
        <rFont val="Calibri"/>
        <family val="2"/>
        <scheme val="minor"/>
      </rPr>
      <t>00813</t>
    </r>
    <r>
      <rPr>
        <sz val="11"/>
        <color theme="1"/>
        <rFont val="Calibri"/>
        <family val="2"/>
        <scheme val="minor"/>
      </rPr>
      <t xml:space="preserve"> - Certificate of attendance
</t>
    </r>
    <r>
      <rPr>
        <b/>
        <sz val="11"/>
        <color theme="1"/>
        <rFont val="Calibri"/>
        <family val="2"/>
        <scheme val="minor"/>
      </rPr>
      <t>00814</t>
    </r>
    <r>
      <rPr>
        <sz val="11"/>
        <color theme="1"/>
        <rFont val="Calibri"/>
        <family val="2"/>
        <scheme val="minor"/>
      </rPr>
      <t xml:space="preserve"> - Certificate of completion
</t>
    </r>
    <r>
      <rPr>
        <b/>
        <sz val="11"/>
        <color theme="1"/>
        <rFont val="Calibri"/>
        <family val="2"/>
        <scheme val="minor"/>
      </rPr>
      <t>00815</t>
    </r>
    <r>
      <rPr>
        <sz val="11"/>
        <color theme="1"/>
        <rFont val="Calibri"/>
        <family val="2"/>
        <scheme val="minor"/>
      </rPr>
      <t xml:space="preserve"> - High school equivalency credential, other than GED
</t>
    </r>
    <r>
      <rPr>
        <b/>
        <sz val="11"/>
        <color theme="1"/>
        <rFont val="Calibri"/>
        <family val="2"/>
        <scheme val="minor"/>
      </rPr>
      <t>00816</t>
    </r>
    <r>
      <rPr>
        <sz val="11"/>
        <color theme="1"/>
        <rFont val="Calibri"/>
        <family val="2"/>
        <scheme val="minor"/>
      </rPr>
      <t xml:space="preserve"> - General Educational Development (GED) credential
</t>
    </r>
    <r>
      <rPr>
        <b/>
        <sz val="11"/>
        <color theme="1"/>
        <rFont val="Calibri"/>
        <family val="2"/>
        <scheme val="minor"/>
      </rPr>
      <t>00818</t>
    </r>
    <r>
      <rPr>
        <sz val="11"/>
        <color theme="1"/>
        <rFont val="Calibri"/>
        <family val="2"/>
        <scheme val="minor"/>
      </rPr>
      <t xml:space="preserve"> - Post graduate certificate (grade 13)
</t>
    </r>
    <r>
      <rPr>
        <b/>
        <sz val="11"/>
        <color theme="1"/>
        <rFont val="Calibri"/>
        <family val="2"/>
        <scheme val="minor"/>
      </rPr>
      <t>00819</t>
    </r>
    <r>
      <rPr>
        <sz val="11"/>
        <color theme="1"/>
        <rFont val="Calibri"/>
        <family val="2"/>
        <scheme val="minor"/>
      </rPr>
      <t xml:space="preserve"> - Career and Technical Education certificate
</t>
    </r>
  </si>
  <si>
    <r>
      <t>Minimum</t>
    </r>
    <r>
      <rPr>
        <sz val="11"/>
        <color theme="1"/>
        <rFont val="Calibri"/>
        <family val="2"/>
        <scheme val="minor"/>
      </rPr>
      <t xml:space="preserve"> - Minimum
</t>
    </r>
    <r>
      <rPr>
        <b/>
        <sz val="11"/>
        <color theme="1"/>
        <rFont val="Calibri"/>
        <family val="2"/>
        <scheme val="minor"/>
      </rPr>
      <t>Recommended</t>
    </r>
    <r>
      <rPr>
        <sz val="11"/>
        <color theme="1"/>
        <rFont val="Calibri"/>
        <family val="2"/>
        <scheme val="minor"/>
      </rPr>
      <t xml:space="preserve"> - Recommended
</t>
    </r>
    <r>
      <rPr>
        <b/>
        <sz val="11"/>
        <color theme="1"/>
        <rFont val="Calibri"/>
        <family val="2"/>
        <scheme val="minor"/>
      </rPr>
      <t>Distinguished</t>
    </r>
    <r>
      <rPr>
        <sz val="11"/>
        <color theme="1"/>
        <rFont val="Calibri"/>
        <family val="2"/>
        <scheme val="minor"/>
      </rPr>
      <t xml:space="preserve"> - Distinguished
</t>
    </r>
    <r>
      <rPr>
        <b/>
        <sz val="11"/>
        <color theme="1"/>
        <rFont val="Calibri"/>
        <family val="2"/>
        <scheme val="minor"/>
      </rPr>
      <t>OpenEnrollment</t>
    </r>
    <r>
      <rPr>
        <sz val="11"/>
        <color theme="1"/>
        <rFont val="Calibri"/>
        <family val="2"/>
        <scheme val="minor"/>
      </rPr>
      <t xml:space="preserve"> - Open Enrollment
</t>
    </r>
    <r>
      <rPr>
        <b/>
        <sz val="11"/>
        <color theme="1"/>
        <rFont val="Calibri"/>
        <family val="2"/>
        <scheme val="minor"/>
      </rPr>
      <t>MagnaCumLaude</t>
    </r>
    <r>
      <rPr>
        <sz val="11"/>
        <color theme="1"/>
        <rFont val="Calibri"/>
        <family val="2"/>
        <scheme val="minor"/>
      </rPr>
      <t xml:space="preserve"> - Magna cum laude
</t>
    </r>
    <r>
      <rPr>
        <b/>
        <sz val="11"/>
        <color theme="1"/>
        <rFont val="Calibri"/>
        <family val="2"/>
        <scheme val="minor"/>
      </rPr>
      <t>SummaCumLaude</t>
    </r>
    <r>
      <rPr>
        <sz val="11"/>
        <color theme="1"/>
        <rFont val="Calibri"/>
        <family val="2"/>
        <scheme val="minor"/>
      </rPr>
      <t xml:space="preserve"> - Summa cum laude
</t>
    </r>
  </si>
  <si>
    <r>
      <t>01</t>
    </r>
    <r>
      <rPr>
        <sz val="11"/>
        <color theme="1"/>
        <rFont val="Calibri"/>
        <family val="2"/>
        <scheme val="minor"/>
      </rPr>
      <t xml:space="preserve"> - Postsecondary award, certificate, or diploma of less than 1 academic year
</t>
    </r>
    <r>
      <rPr>
        <b/>
        <sz val="11"/>
        <color theme="1"/>
        <rFont val="Calibri"/>
        <family val="2"/>
        <scheme val="minor"/>
      </rPr>
      <t>02</t>
    </r>
    <r>
      <rPr>
        <sz val="11"/>
        <color theme="1"/>
        <rFont val="Calibri"/>
        <family val="2"/>
        <scheme val="minor"/>
      </rPr>
      <t xml:space="preserve"> - Postsecondary award, certificate, or diploma of at least 1 but less than 2 academic years
</t>
    </r>
    <r>
      <rPr>
        <b/>
        <sz val="11"/>
        <color theme="1"/>
        <rFont val="Calibri"/>
        <family val="2"/>
        <scheme val="minor"/>
      </rPr>
      <t>03</t>
    </r>
    <r>
      <rPr>
        <sz val="11"/>
        <color theme="1"/>
        <rFont val="Calibri"/>
        <family val="2"/>
        <scheme val="minor"/>
      </rPr>
      <t xml:space="preserve"> - Associate's Degree
</t>
    </r>
    <r>
      <rPr>
        <b/>
        <sz val="11"/>
        <color theme="1"/>
        <rFont val="Calibri"/>
        <family val="2"/>
        <scheme val="minor"/>
      </rPr>
      <t>04</t>
    </r>
    <r>
      <rPr>
        <sz val="11"/>
        <color theme="1"/>
        <rFont val="Calibri"/>
        <family val="2"/>
        <scheme val="minor"/>
      </rPr>
      <t xml:space="preserve"> - Postsecondary award, certificate, or diploma of at least 2 but less than 4 academic years
</t>
    </r>
    <r>
      <rPr>
        <b/>
        <sz val="11"/>
        <color theme="1"/>
        <rFont val="Calibri"/>
        <family val="2"/>
        <scheme val="minor"/>
      </rPr>
      <t>05</t>
    </r>
    <r>
      <rPr>
        <sz val="11"/>
        <color theme="1"/>
        <rFont val="Calibri"/>
        <family val="2"/>
        <scheme val="minor"/>
      </rPr>
      <t xml:space="preserve"> - Bachelor's Degree
</t>
    </r>
    <r>
      <rPr>
        <b/>
        <sz val="11"/>
        <color theme="1"/>
        <rFont val="Calibri"/>
        <family val="2"/>
        <scheme val="minor"/>
      </rPr>
      <t>06</t>
    </r>
    <r>
      <rPr>
        <sz val="11"/>
        <color theme="1"/>
        <rFont val="Calibri"/>
        <family val="2"/>
        <scheme val="minor"/>
      </rPr>
      <t xml:space="preserve"> - Postbaccalaureate Certificate
</t>
    </r>
    <r>
      <rPr>
        <b/>
        <sz val="11"/>
        <color theme="1"/>
        <rFont val="Calibri"/>
        <family val="2"/>
        <scheme val="minor"/>
      </rPr>
      <t>07</t>
    </r>
    <r>
      <rPr>
        <sz val="11"/>
        <color theme="1"/>
        <rFont val="Calibri"/>
        <family val="2"/>
        <scheme val="minor"/>
      </rPr>
      <t xml:space="preserve"> - Master's Degree
</t>
    </r>
    <r>
      <rPr>
        <b/>
        <sz val="11"/>
        <color theme="1"/>
        <rFont val="Calibri"/>
        <family val="2"/>
        <scheme val="minor"/>
      </rPr>
      <t>08</t>
    </r>
    <r>
      <rPr>
        <sz val="11"/>
        <color theme="1"/>
        <rFont val="Calibri"/>
        <family val="2"/>
        <scheme val="minor"/>
      </rPr>
      <t xml:space="preserve"> - Post-Master's Certificate
</t>
    </r>
    <r>
      <rPr>
        <b/>
        <sz val="11"/>
        <color theme="1"/>
        <rFont val="Calibri"/>
        <family val="2"/>
        <scheme val="minor"/>
      </rPr>
      <t>17</t>
    </r>
    <r>
      <rPr>
        <sz val="11"/>
        <color theme="1"/>
        <rFont val="Calibri"/>
        <family val="2"/>
        <scheme val="minor"/>
      </rPr>
      <t xml:space="preserve"> - Doctor's Degree-Research/Scholarship
</t>
    </r>
    <r>
      <rPr>
        <b/>
        <sz val="11"/>
        <color theme="1"/>
        <rFont val="Calibri"/>
        <family val="2"/>
        <scheme val="minor"/>
      </rPr>
      <t>18</t>
    </r>
    <r>
      <rPr>
        <sz val="11"/>
        <color theme="1"/>
        <rFont val="Calibri"/>
        <family val="2"/>
        <scheme val="minor"/>
      </rPr>
      <t xml:space="preserve"> - Doctor's Degree-Professional Practice
</t>
    </r>
    <r>
      <rPr>
        <b/>
        <sz val="11"/>
        <color theme="1"/>
        <rFont val="Calibri"/>
        <family val="2"/>
        <scheme val="minor"/>
      </rPr>
      <t>19</t>
    </r>
    <r>
      <rPr>
        <sz val="11"/>
        <color theme="1"/>
        <rFont val="Calibri"/>
        <family val="2"/>
        <scheme val="minor"/>
      </rPr>
      <t xml:space="preserve"> - Doctor's Degree-Other
</t>
    </r>
  </si>
  <si>
    <r>
      <t>00</t>
    </r>
    <r>
      <rPr>
        <sz val="11"/>
        <color theme="1"/>
        <rFont val="Calibri"/>
        <family val="2"/>
        <scheme val="minor"/>
      </rPr>
      <t xml:space="preserve"> - None
</t>
    </r>
    <r>
      <rPr>
        <b/>
        <sz val="11"/>
        <color theme="1"/>
        <rFont val="Calibri"/>
        <family val="2"/>
        <scheme val="minor"/>
      </rPr>
      <t>01</t>
    </r>
    <r>
      <rPr>
        <sz val="11"/>
        <color theme="1"/>
        <rFont val="Calibri"/>
        <family val="2"/>
        <scheme val="minor"/>
      </rPr>
      <t xml:space="preserve"> - Undergraduate hours applied towards graduate degree
</t>
    </r>
    <r>
      <rPr>
        <b/>
        <sz val="11"/>
        <color theme="1"/>
        <rFont val="Calibri"/>
        <family val="2"/>
        <scheme val="minor"/>
      </rPr>
      <t>02</t>
    </r>
    <r>
      <rPr>
        <sz val="11"/>
        <color theme="1"/>
        <rFont val="Calibri"/>
        <family val="2"/>
        <scheme val="minor"/>
      </rPr>
      <t xml:space="preserve"> - Credit hours taken at the postbaccalaureate level
</t>
    </r>
    <r>
      <rPr>
        <b/>
        <sz val="11"/>
        <color theme="1"/>
        <rFont val="Calibri"/>
        <family val="2"/>
        <scheme val="minor"/>
      </rPr>
      <t>03</t>
    </r>
    <r>
      <rPr>
        <sz val="11"/>
        <color theme="1"/>
        <rFont val="Calibri"/>
        <family val="2"/>
        <scheme val="minor"/>
      </rPr>
      <t xml:space="preserve"> - Credit hours taken as unclassified student
</t>
    </r>
    <r>
      <rPr>
        <b/>
        <sz val="11"/>
        <color theme="1"/>
        <rFont val="Calibri"/>
        <family val="2"/>
        <scheme val="minor"/>
      </rPr>
      <t>04</t>
    </r>
    <r>
      <rPr>
        <sz val="11"/>
        <color theme="1"/>
        <rFont val="Calibri"/>
        <family val="2"/>
        <scheme val="minor"/>
      </rPr>
      <t xml:space="preserve"> - Credit hours taken as an independent student
</t>
    </r>
    <r>
      <rPr>
        <b/>
        <sz val="11"/>
        <color theme="1"/>
        <rFont val="Calibri"/>
        <family val="2"/>
        <scheme val="minor"/>
      </rPr>
      <t>05</t>
    </r>
    <r>
      <rPr>
        <sz val="11"/>
        <color theme="1"/>
        <rFont val="Calibri"/>
        <family val="2"/>
        <scheme val="minor"/>
      </rPr>
      <t xml:space="preserve"> - Credit hours taken as traveling scholar at another university
</t>
    </r>
    <r>
      <rPr>
        <b/>
        <sz val="11"/>
        <color theme="1"/>
        <rFont val="Calibri"/>
        <family val="2"/>
        <scheme val="minor"/>
      </rPr>
      <t>06</t>
    </r>
    <r>
      <rPr>
        <sz val="11"/>
        <color theme="1"/>
        <rFont val="Calibri"/>
        <family val="2"/>
        <scheme val="minor"/>
      </rPr>
      <t xml:space="preserve"> - Credit hours taken at master's level
</t>
    </r>
    <r>
      <rPr>
        <b/>
        <sz val="11"/>
        <color theme="1"/>
        <rFont val="Calibri"/>
        <family val="2"/>
        <scheme val="minor"/>
      </rPr>
      <t>07</t>
    </r>
    <r>
      <rPr>
        <sz val="11"/>
        <color theme="1"/>
        <rFont val="Calibri"/>
        <family val="2"/>
        <scheme val="minor"/>
      </rPr>
      <t xml:space="preserve"> - Credit hours taken as a master's student in one program, applied towards another master's program
</t>
    </r>
    <r>
      <rPr>
        <b/>
        <sz val="11"/>
        <color theme="1"/>
        <rFont val="Calibri"/>
        <family val="2"/>
        <scheme val="minor"/>
      </rPr>
      <t>98</t>
    </r>
    <r>
      <rPr>
        <sz val="11"/>
        <color theme="1"/>
        <rFont val="Calibri"/>
        <family val="2"/>
        <scheme val="minor"/>
      </rPr>
      <t xml:space="preserve"> - Unknown
</t>
    </r>
    <r>
      <rPr>
        <b/>
        <sz val="11"/>
        <color theme="1"/>
        <rFont val="Calibri"/>
        <family val="2"/>
        <scheme val="minor"/>
      </rPr>
      <t>99</t>
    </r>
    <r>
      <rPr>
        <sz val="11"/>
        <color theme="1"/>
        <rFont val="Calibri"/>
        <family val="2"/>
        <scheme val="minor"/>
      </rPr>
      <t xml:space="preserve"> - Other
</t>
    </r>
  </si>
  <si>
    <r>
      <t>OccupationalLicense</t>
    </r>
    <r>
      <rPr>
        <sz val="11"/>
        <color theme="1"/>
        <rFont val="Calibri"/>
        <family val="2"/>
        <scheme val="minor"/>
      </rPr>
      <t xml:space="preserve"> - Occupational License
</t>
    </r>
    <r>
      <rPr>
        <b/>
        <sz val="11"/>
        <color theme="1"/>
        <rFont val="Calibri"/>
        <family val="2"/>
        <scheme val="minor"/>
      </rPr>
      <t>IndustryCertification</t>
    </r>
    <r>
      <rPr>
        <sz val="11"/>
        <color theme="1"/>
        <rFont val="Calibri"/>
        <family val="2"/>
        <scheme val="minor"/>
      </rPr>
      <t xml:space="preserve"> - Industry-recognized Certification
</t>
    </r>
    <r>
      <rPr>
        <b/>
        <sz val="11"/>
        <color theme="1"/>
        <rFont val="Calibri"/>
        <family val="2"/>
        <scheme val="minor"/>
      </rPr>
      <t>ApprenticeshipCertificate</t>
    </r>
    <r>
      <rPr>
        <sz val="11"/>
        <color theme="1"/>
        <rFont val="Calibri"/>
        <family val="2"/>
        <scheme val="minor"/>
      </rPr>
      <t xml:space="preserve"> - Apprenticeship Certificate
</t>
    </r>
    <r>
      <rPr>
        <b/>
        <sz val="11"/>
        <color theme="1"/>
        <rFont val="Calibri"/>
        <family val="2"/>
        <scheme val="minor"/>
      </rPr>
      <t>EmployerCertification</t>
    </r>
    <r>
      <rPr>
        <sz val="11"/>
        <color theme="1"/>
        <rFont val="Calibri"/>
        <family val="2"/>
        <scheme val="minor"/>
      </rPr>
      <t xml:space="preserve"> - Employer certification
</t>
    </r>
    <r>
      <rPr>
        <b/>
        <sz val="11"/>
        <color theme="1"/>
        <rFont val="Calibri"/>
        <family val="2"/>
        <scheme val="minor"/>
      </rPr>
      <t>PreEmploymentTraining</t>
    </r>
    <r>
      <rPr>
        <sz val="11"/>
        <color theme="1"/>
        <rFont val="Calibri"/>
        <family val="2"/>
        <scheme val="minor"/>
      </rPr>
      <t xml:space="preserve"> - Pre-employment training certificate
</t>
    </r>
    <r>
      <rPr>
        <b/>
        <sz val="11"/>
        <color theme="1"/>
        <rFont val="Calibri"/>
        <family val="2"/>
        <scheme val="minor"/>
      </rPr>
      <t>OtherOccupational</t>
    </r>
    <r>
      <rPr>
        <sz val="11"/>
        <color theme="1"/>
        <rFont val="Calibri"/>
        <family val="2"/>
        <scheme val="minor"/>
      </rPr>
      <t xml:space="preserve"> - Other recognized occupational skills credential
</t>
    </r>
  </si>
  <si>
    <r>
      <t>RC80</t>
    </r>
    <r>
      <rPr>
        <sz val="11"/>
        <color theme="1"/>
        <rFont val="Calibri"/>
        <family val="2"/>
        <scheme val="minor"/>
      </rPr>
      <t xml:space="preserve"> - Inside regular class 80% or more of the day
</t>
    </r>
    <r>
      <rPr>
        <b/>
        <sz val="11"/>
        <color theme="1"/>
        <rFont val="Calibri"/>
        <family val="2"/>
        <scheme val="minor"/>
      </rPr>
      <t>RC79TO40</t>
    </r>
    <r>
      <rPr>
        <sz val="11"/>
        <color theme="1"/>
        <rFont val="Calibri"/>
        <family val="2"/>
        <scheme val="minor"/>
      </rPr>
      <t xml:space="preserve"> - Inside regular class 40% through 79% of the day
</t>
    </r>
    <r>
      <rPr>
        <b/>
        <sz val="11"/>
        <color theme="1"/>
        <rFont val="Calibri"/>
        <family val="2"/>
        <scheme val="minor"/>
      </rPr>
      <t>RC39</t>
    </r>
    <r>
      <rPr>
        <sz val="11"/>
        <color theme="1"/>
        <rFont val="Calibri"/>
        <family val="2"/>
        <scheme val="minor"/>
      </rPr>
      <t xml:space="preserve"> - Inside regular class less than 40% of the day
</t>
    </r>
    <r>
      <rPr>
        <b/>
        <sz val="11"/>
        <color theme="1"/>
        <rFont val="Calibri"/>
        <family val="2"/>
        <scheme val="minor"/>
      </rPr>
      <t>SS</t>
    </r>
    <r>
      <rPr>
        <sz val="11"/>
        <color theme="1"/>
        <rFont val="Calibri"/>
        <family val="2"/>
        <scheme val="minor"/>
      </rPr>
      <t xml:space="preserve"> - Separate school
</t>
    </r>
    <r>
      <rPr>
        <b/>
        <sz val="11"/>
        <color theme="1"/>
        <rFont val="Calibri"/>
        <family val="2"/>
        <scheme val="minor"/>
      </rPr>
      <t>RF</t>
    </r>
    <r>
      <rPr>
        <sz val="11"/>
        <color theme="1"/>
        <rFont val="Calibri"/>
        <family val="2"/>
        <scheme val="minor"/>
      </rPr>
      <t xml:space="preserve"> - Residential facility
</t>
    </r>
    <r>
      <rPr>
        <b/>
        <sz val="11"/>
        <color theme="1"/>
        <rFont val="Calibri"/>
        <family val="2"/>
        <scheme val="minor"/>
      </rPr>
      <t>HH</t>
    </r>
    <r>
      <rPr>
        <sz val="11"/>
        <color theme="1"/>
        <rFont val="Calibri"/>
        <family val="2"/>
        <scheme val="minor"/>
      </rPr>
      <t xml:space="preserve"> - Homebound/hospital
</t>
    </r>
    <r>
      <rPr>
        <b/>
        <sz val="11"/>
        <color theme="1"/>
        <rFont val="Calibri"/>
        <family val="2"/>
        <scheme val="minor"/>
      </rPr>
      <t>CF</t>
    </r>
    <r>
      <rPr>
        <sz val="11"/>
        <color theme="1"/>
        <rFont val="Calibri"/>
        <family val="2"/>
        <scheme val="minor"/>
      </rPr>
      <t xml:space="preserve"> - Correctional facility
</t>
    </r>
    <r>
      <rPr>
        <b/>
        <sz val="11"/>
        <color theme="1"/>
        <rFont val="Calibri"/>
        <family val="2"/>
        <scheme val="minor"/>
      </rPr>
      <t>PPPS</t>
    </r>
    <r>
      <rPr>
        <sz val="11"/>
        <color theme="1"/>
        <rFont val="Calibri"/>
        <family val="2"/>
        <scheme val="minor"/>
      </rPr>
      <t xml:space="preserve"> - Parentally placed in private school
</t>
    </r>
  </si>
  <si>
    <t>IDEA</t>
  </si>
  <si>
    <t>Title I</t>
  </si>
  <si>
    <r>
      <t>01</t>
    </r>
    <r>
      <rPr>
        <sz val="11"/>
        <color theme="1"/>
        <rFont val="Calibri"/>
        <family val="2"/>
        <scheme val="minor"/>
      </rPr>
      <t xml:space="preserve"> - Public Targeted Assistance Program
</t>
    </r>
    <r>
      <rPr>
        <b/>
        <sz val="11"/>
        <color theme="1"/>
        <rFont val="Calibri"/>
        <family val="2"/>
        <scheme val="minor"/>
      </rPr>
      <t>02</t>
    </r>
    <r>
      <rPr>
        <sz val="11"/>
        <color theme="1"/>
        <rFont val="Calibri"/>
        <family val="2"/>
        <scheme val="minor"/>
      </rPr>
      <t xml:space="preserve"> - Public Schoolwide Program
</t>
    </r>
    <r>
      <rPr>
        <b/>
        <sz val="11"/>
        <color theme="1"/>
        <rFont val="Calibri"/>
        <family val="2"/>
        <scheme val="minor"/>
      </rPr>
      <t>03</t>
    </r>
    <r>
      <rPr>
        <sz val="11"/>
        <color theme="1"/>
        <rFont val="Calibri"/>
        <family val="2"/>
        <scheme val="minor"/>
      </rPr>
      <t xml:space="preserve"> - Private school students participating
</t>
    </r>
    <r>
      <rPr>
        <b/>
        <sz val="11"/>
        <color theme="1"/>
        <rFont val="Calibri"/>
        <family val="2"/>
        <scheme val="minor"/>
      </rPr>
      <t>04</t>
    </r>
    <r>
      <rPr>
        <sz val="11"/>
        <color theme="1"/>
        <rFont val="Calibri"/>
        <family val="2"/>
        <scheme val="minor"/>
      </rPr>
      <t xml:space="preserve"> - Local Neglected Program
</t>
    </r>
    <r>
      <rPr>
        <b/>
        <sz val="11"/>
        <color theme="1"/>
        <rFont val="Calibri"/>
        <family val="2"/>
        <scheme val="minor"/>
      </rPr>
      <t>05</t>
    </r>
    <r>
      <rPr>
        <sz val="11"/>
        <color theme="1"/>
        <rFont val="Calibri"/>
        <family val="2"/>
        <scheme val="minor"/>
      </rPr>
      <t xml:space="preserve"> - Was not served
</t>
    </r>
  </si>
  <si>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Term</t>
    </r>
    <r>
      <rPr>
        <sz val="11"/>
        <color theme="1"/>
        <rFont val="Calibri"/>
        <family val="2"/>
        <scheme val="minor"/>
      </rPr>
      <t xml:space="preserve"> - Term
</t>
    </r>
    <r>
      <rPr>
        <b/>
        <sz val="11"/>
        <color theme="1"/>
        <rFont val="Calibri"/>
        <family val="2"/>
        <scheme val="minor"/>
      </rPr>
      <t>Other</t>
    </r>
    <r>
      <rPr>
        <sz val="11"/>
        <color theme="1"/>
        <rFont val="Calibri"/>
        <family val="2"/>
        <scheme val="minor"/>
      </rPr>
      <t xml:space="preserve"> - Other
</t>
    </r>
  </si>
  <si>
    <r>
      <t>Reportcard</t>
    </r>
    <r>
      <rPr>
        <sz val="11"/>
        <color theme="1"/>
        <rFont val="Calibri"/>
        <family val="2"/>
        <scheme val="minor"/>
      </rPr>
      <t xml:space="preserve"> - Report card
</t>
    </r>
    <r>
      <rPr>
        <b/>
        <sz val="11"/>
        <color theme="1"/>
        <rFont val="Calibri"/>
        <family val="2"/>
        <scheme val="minor"/>
      </rPr>
      <t>Progressreports</t>
    </r>
    <r>
      <rPr>
        <sz val="11"/>
        <color theme="1"/>
        <rFont val="Calibri"/>
        <family val="2"/>
        <scheme val="minor"/>
      </rPr>
      <t xml:space="preserve"> - Progress reports
</t>
    </r>
    <r>
      <rPr>
        <b/>
        <sz val="11"/>
        <color theme="1"/>
        <rFont val="Calibri"/>
        <family val="2"/>
        <scheme val="minor"/>
      </rPr>
      <t>Parentconference</t>
    </r>
    <r>
      <rPr>
        <sz val="11"/>
        <color theme="1"/>
        <rFont val="Calibri"/>
        <family val="2"/>
        <scheme val="minor"/>
      </rPr>
      <t xml:space="preserve"> - Parent conference
</t>
    </r>
    <r>
      <rPr>
        <b/>
        <sz val="11"/>
        <color theme="1"/>
        <rFont val="Calibri"/>
        <family val="2"/>
        <scheme val="minor"/>
      </rPr>
      <t>Other</t>
    </r>
    <r>
      <rPr>
        <sz val="11"/>
        <color theme="1"/>
        <rFont val="Calibri"/>
        <family val="2"/>
        <scheme val="minor"/>
      </rPr>
      <t xml:space="preserve"> - Other
</t>
    </r>
  </si>
  <si>
    <r>
      <t>03426</t>
    </r>
    <r>
      <rPr>
        <sz val="11"/>
        <color theme="1"/>
        <rFont val="Calibri"/>
        <family val="2"/>
        <scheme val="minor"/>
      </rPr>
      <t xml:space="preserve"> - Postsecondary education or training
</t>
    </r>
    <r>
      <rPr>
        <b/>
        <sz val="11"/>
        <color theme="1"/>
        <rFont val="Calibri"/>
        <family val="2"/>
        <scheme val="minor"/>
      </rPr>
      <t>00518</t>
    </r>
    <r>
      <rPr>
        <sz val="11"/>
        <color theme="1"/>
        <rFont val="Calibri"/>
        <family val="2"/>
        <scheme val="minor"/>
      </rPr>
      <t xml:space="preserve"> - Work
</t>
    </r>
    <r>
      <rPr>
        <b/>
        <sz val="11"/>
        <color theme="1"/>
        <rFont val="Calibri"/>
        <family val="2"/>
        <scheme val="minor"/>
      </rPr>
      <t>09998</t>
    </r>
    <r>
      <rPr>
        <sz val="11"/>
        <color theme="1"/>
        <rFont val="Calibri"/>
        <family val="2"/>
        <scheme val="minor"/>
      </rPr>
      <t xml:space="preserve"> - None
</t>
    </r>
  </si>
  <si>
    <t>Individualized Program-&gt;Eligibility-&gt;Authorization</t>
  </si>
  <si>
    <t>Individualized Program-&gt;Eligibility-&gt;Determination</t>
  </si>
  <si>
    <r>
      <t>Autism</t>
    </r>
    <r>
      <rPr>
        <sz val="11"/>
        <color theme="1"/>
        <rFont val="Calibri"/>
        <family val="2"/>
        <scheme val="minor"/>
      </rPr>
      <t xml:space="preserve"> - Autism
</t>
    </r>
    <r>
      <rPr>
        <b/>
        <sz val="11"/>
        <color theme="1"/>
        <rFont val="Calibri"/>
        <family val="2"/>
        <scheme val="minor"/>
      </rPr>
      <t>Deafblindness</t>
    </r>
    <r>
      <rPr>
        <sz val="11"/>
        <color theme="1"/>
        <rFont val="Calibri"/>
        <family val="2"/>
        <scheme val="minor"/>
      </rPr>
      <t xml:space="preserve"> - Deaf-blindness
</t>
    </r>
    <r>
      <rPr>
        <b/>
        <sz val="11"/>
        <color theme="1"/>
        <rFont val="Calibri"/>
        <family val="2"/>
        <scheme val="minor"/>
      </rPr>
      <t>Deafness</t>
    </r>
    <r>
      <rPr>
        <sz val="11"/>
        <color theme="1"/>
        <rFont val="Calibri"/>
        <family val="2"/>
        <scheme val="minor"/>
      </rPr>
      <t xml:space="preserve"> - Deafness
</t>
    </r>
    <r>
      <rPr>
        <b/>
        <sz val="11"/>
        <color theme="1"/>
        <rFont val="Calibri"/>
        <family val="2"/>
        <scheme val="minor"/>
      </rPr>
      <t>Developmentaldelay</t>
    </r>
    <r>
      <rPr>
        <sz val="11"/>
        <color theme="1"/>
        <rFont val="Calibri"/>
        <family val="2"/>
        <scheme val="minor"/>
      </rPr>
      <t xml:space="preserve"> - Developmental delay
</t>
    </r>
    <r>
      <rPr>
        <b/>
        <sz val="11"/>
        <color theme="1"/>
        <rFont val="Calibri"/>
        <family val="2"/>
        <scheme val="minor"/>
      </rPr>
      <t>Emotionaldisturbance</t>
    </r>
    <r>
      <rPr>
        <sz val="11"/>
        <color theme="1"/>
        <rFont val="Calibri"/>
        <family val="2"/>
        <scheme val="minor"/>
      </rPr>
      <t xml:space="preserve"> - Emotional disturbance
</t>
    </r>
    <r>
      <rPr>
        <b/>
        <sz val="11"/>
        <color theme="1"/>
        <rFont val="Calibri"/>
        <family val="2"/>
        <scheme val="minor"/>
      </rPr>
      <t>Hearingimpairment</t>
    </r>
    <r>
      <rPr>
        <sz val="11"/>
        <color theme="1"/>
        <rFont val="Calibri"/>
        <family val="2"/>
        <scheme val="minor"/>
      </rPr>
      <t xml:space="preserve"> - Hearing impairment
</t>
    </r>
    <r>
      <rPr>
        <b/>
        <sz val="11"/>
        <color theme="1"/>
        <rFont val="Calibri"/>
        <family val="2"/>
        <scheme val="minor"/>
      </rPr>
      <t>Intellectualdisability</t>
    </r>
    <r>
      <rPr>
        <sz val="11"/>
        <color theme="1"/>
        <rFont val="Calibri"/>
        <family val="2"/>
        <scheme val="minor"/>
      </rPr>
      <t xml:space="preserve"> - Intellectual disability
</t>
    </r>
    <r>
      <rPr>
        <b/>
        <sz val="11"/>
        <color theme="1"/>
        <rFont val="Calibri"/>
        <family val="2"/>
        <scheme val="minor"/>
      </rPr>
      <t>Multipledisabilities</t>
    </r>
    <r>
      <rPr>
        <sz val="11"/>
        <color theme="1"/>
        <rFont val="Calibri"/>
        <family val="2"/>
        <scheme val="minor"/>
      </rPr>
      <t xml:space="preserve"> - Multiple disabilities
</t>
    </r>
    <r>
      <rPr>
        <b/>
        <sz val="11"/>
        <color theme="1"/>
        <rFont val="Calibri"/>
        <family val="2"/>
        <scheme val="minor"/>
      </rPr>
      <t>Orthopedicimpairment</t>
    </r>
    <r>
      <rPr>
        <sz val="11"/>
        <color theme="1"/>
        <rFont val="Calibri"/>
        <family val="2"/>
        <scheme val="minor"/>
      </rPr>
      <t xml:space="preserve"> - Orthopedic impairment
</t>
    </r>
    <r>
      <rPr>
        <b/>
        <sz val="11"/>
        <color theme="1"/>
        <rFont val="Calibri"/>
        <family val="2"/>
        <scheme val="minor"/>
      </rPr>
      <t>Otherhealthimpairment</t>
    </r>
    <r>
      <rPr>
        <sz val="11"/>
        <color theme="1"/>
        <rFont val="Calibri"/>
        <family val="2"/>
        <scheme val="minor"/>
      </rPr>
      <t xml:space="preserve"> - Other health impairment
</t>
    </r>
    <r>
      <rPr>
        <b/>
        <sz val="11"/>
        <color theme="1"/>
        <rFont val="Calibri"/>
        <family val="2"/>
        <scheme val="minor"/>
      </rPr>
      <t>Specificlearningdisability</t>
    </r>
    <r>
      <rPr>
        <sz val="11"/>
        <color theme="1"/>
        <rFont val="Calibri"/>
        <family val="2"/>
        <scheme val="minor"/>
      </rPr>
      <t xml:space="preserve"> - Specific learning disability
</t>
    </r>
    <r>
      <rPr>
        <b/>
        <sz val="11"/>
        <color theme="1"/>
        <rFont val="Calibri"/>
        <family val="2"/>
        <scheme val="minor"/>
      </rPr>
      <t>Speechlanguageimpairment</t>
    </r>
    <r>
      <rPr>
        <sz val="11"/>
        <color theme="1"/>
        <rFont val="Calibri"/>
        <family val="2"/>
        <scheme val="minor"/>
      </rPr>
      <t xml:space="preserve"> - Speech or language impairment
</t>
    </r>
    <r>
      <rPr>
        <b/>
        <sz val="11"/>
        <color theme="1"/>
        <rFont val="Calibri"/>
        <family val="2"/>
        <scheme val="minor"/>
      </rPr>
      <t>Traumaticbraininjury</t>
    </r>
    <r>
      <rPr>
        <sz val="11"/>
        <color theme="1"/>
        <rFont val="Calibri"/>
        <family val="2"/>
        <scheme val="minor"/>
      </rPr>
      <t xml:space="preserve"> - Traumatic brain injury
</t>
    </r>
    <r>
      <rPr>
        <b/>
        <sz val="11"/>
        <color theme="1"/>
        <rFont val="Calibri"/>
        <family val="2"/>
        <scheme val="minor"/>
      </rPr>
      <t>Visualimpairment</t>
    </r>
    <r>
      <rPr>
        <sz val="11"/>
        <color theme="1"/>
        <rFont val="Calibri"/>
        <family val="2"/>
        <scheme val="minor"/>
      </rPr>
      <t xml:space="preserve"> - Visual impairment
</t>
    </r>
  </si>
  <si>
    <t>Individualized Program-&gt;Eligibility-&gt;Evaluation</t>
  </si>
  <si>
    <r>
      <t>AcademicAchievement</t>
    </r>
    <r>
      <rPr>
        <sz val="11"/>
        <color theme="1"/>
        <rFont val="Calibri"/>
        <family val="2"/>
        <scheme val="minor"/>
      </rPr>
      <t xml:space="preserve"> - Academic Achievement
</t>
    </r>
    <r>
      <rPr>
        <b/>
        <sz val="11"/>
        <color theme="1"/>
        <rFont val="Calibri"/>
        <family val="2"/>
        <scheme val="minor"/>
      </rPr>
      <t>Developmental</t>
    </r>
    <r>
      <rPr>
        <sz val="11"/>
        <color theme="1"/>
        <rFont val="Calibri"/>
        <family val="2"/>
        <scheme val="minor"/>
      </rPr>
      <t xml:space="preserve"> - Developmental
</t>
    </r>
    <r>
      <rPr>
        <b/>
        <sz val="11"/>
        <color theme="1"/>
        <rFont val="Calibri"/>
        <family val="2"/>
        <scheme val="minor"/>
      </rPr>
      <t>Motor</t>
    </r>
    <r>
      <rPr>
        <sz val="11"/>
        <color theme="1"/>
        <rFont val="Calibri"/>
        <family val="2"/>
        <scheme val="minor"/>
      </rPr>
      <t xml:space="preserve"> - Motor
</t>
    </r>
    <r>
      <rPr>
        <b/>
        <sz val="11"/>
        <color theme="1"/>
        <rFont val="Calibri"/>
        <family val="2"/>
        <scheme val="minor"/>
      </rPr>
      <t>FunctionalBehavior</t>
    </r>
    <r>
      <rPr>
        <sz val="11"/>
        <color theme="1"/>
        <rFont val="Calibri"/>
        <family val="2"/>
        <scheme val="minor"/>
      </rPr>
      <t xml:space="preserve"> - Functional Behavior
</t>
    </r>
    <r>
      <rPr>
        <b/>
        <sz val="11"/>
        <color theme="1"/>
        <rFont val="Calibri"/>
        <family val="2"/>
        <scheme val="minor"/>
      </rPr>
      <t>AdaptiveBehavior</t>
    </r>
    <r>
      <rPr>
        <sz val="11"/>
        <color theme="1"/>
        <rFont val="Calibri"/>
        <family val="2"/>
        <scheme val="minor"/>
      </rPr>
      <t xml:space="preserve"> - Adaptive Behavior
</t>
    </r>
    <r>
      <rPr>
        <b/>
        <sz val="11"/>
        <color theme="1"/>
        <rFont val="Calibri"/>
        <family val="2"/>
        <scheme val="minor"/>
      </rPr>
      <t>Transition</t>
    </r>
    <r>
      <rPr>
        <sz val="11"/>
        <color theme="1"/>
        <rFont val="Calibri"/>
        <family val="2"/>
        <scheme val="minor"/>
      </rPr>
      <t xml:space="preserve"> - Transition
</t>
    </r>
    <r>
      <rPr>
        <b/>
        <sz val="11"/>
        <color theme="1"/>
        <rFont val="Calibri"/>
        <family val="2"/>
        <scheme val="minor"/>
      </rPr>
      <t>Vocational</t>
    </r>
    <r>
      <rPr>
        <sz val="11"/>
        <color theme="1"/>
        <rFont val="Calibri"/>
        <family val="2"/>
        <scheme val="minor"/>
      </rPr>
      <t xml:space="preserve"> - Vocational
</t>
    </r>
    <r>
      <rPr>
        <b/>
        <sz val="11"/>
        <color theme="1"/>
        <rFont val="Calibri"/>
        <family val="2"/>
        <scheme val="minor"/>
      </rPr>
      <t>Communication</t>
    </r>
    <r>
      <rPr>
        <sz val="11"/>
        <color theme="1"/>
        <rFont val="Calibri"/>
        <family val="2"/>
        <scheme val="minor"/>
      </rPr>
      <t xml:space="preserve"> - Communication
</t>
    </r>
    <r>
      <rPr>
        <b/>
        <sz val="11"/>
        <color theme="1"/>
        <rFont val="Calibri"/>
        <family val="2"/>
        <scheme val="minor"/>
      </rPr>
      <t>Hearing</t>
    </r>
    <r>
      <rPr>
        <sz val="11"/>
        <color theme="1"/>
        <rFont val="Calibri"/>
        <family val="2"/>
        <scheme val="minor"/>
      </rPr>
      <t xml:space="preserve"> - Hearing
</t>
    </r>
    <r>
      <rPr>
        <b/>
        <sz val="11"/>
        <color theme="1"/>
        <rFont val="Calibri"/>
        <family val="2"/>
        <scheme val="minor"/>
      </rPr>
      <t>Vision</t>
    </r>
    <r>
      <rPr>
        <sz val="11"/>
        <color theme="1"/>
        <rFont val="Calibri"/>
        <family val="2"/>
        <scheme val="minor"/>
      </rPr>
      <t xml:space="preserve"> - Vision
</t>
    </r>
    <r>
      <rPr>
        <b/>
        <sz val="11"/>
        <color theme="1"/>
        <rFont val="Calibri"/>
        <family val="2"/>
        <scheme val="minor"/>
      </rPr>
      <t>O&amp;M</t>
    </r>
    <r>
      <rPr>
        <sz val="11"/>
        <color theme="1"/>
        <rFont val="Calibri"/>
        <family val="2"/>
        <scheme val="minor"/>
      </rPr>
      <t xml:space="preserve"> - Orientation and Mobility
</t>
    </r>
    <r>
      <rPr>
        <b/>
        <sz val="11"/>
        <color theme="1"/>
        <rFont val="Calibri"/>
        <family val="2"/>
        <scheme val="minor"/>
      </rPr>
      <t>Medical</t>
    </r>
    <r>
      <rPr>
        <sz val="11"/>
        <color theme="1"/>
        <rFont val="Calibri"/>
        <family val="2"/>
        <scheme val="minor"/>
      </rPr>
      <t xml:space="preserve"> - Medical
</t>
    </r>
    <r>
      <rPr>
        <b/>
        <sz val="11"/>
        <color theme="1"/>
        <rFont val="Calibri"/>
        <family val="2"/>
        <scheme val="minor"/>
      </rPr>
      <t>Language</t>
    </r>
    <r>
      <rPr>
        <sz val="11"/>
        <color theme="1"/>
        <rFont val="Calibri"/>
        <family val="2"/>
        <scheme val="minor"/>
      </rPr>
      <t xml:space="preserve"> - Language
</t>
    </r>
    <r>
      <rPr>
        <b/>
        <sz val="11"/>
        <color theme="1"/>
        <rFont val="Calibri"/>
        <family val="2"/>
        <scheme val="minor"/>
      </rPr>
      <t>Speech</t>
    </r>
    <r>
      <rPr>
        <sz val="11"/>
        <color theme="1"/>
        <rFont val="Calibri"/>
        <family val="2"/>
        <scheme val="minor"/>
      </rPr>
      <t xml:space="preserve"> - Speech
</t>
    </r>
    <r>
      <rPr>
        <b/>
        <sz val="11"/>
        <color theme="1"/>
        <rFont val="Calibri"/>
        <family val="2"/>
        <scheme val="minor"/>
      </rPr>
      <t>Cognitive</t>
    </r>
    <r>
      <rPr>
        <sz val="11"/>
        <color theme="1"/>
        <rFont val="Calibri"/>
        <family val="2"/>
        <scheme val="minor"/>
      </rPr>
      <t xml:space="preserve"> - Cognitive
</t>
    </r>
    <r>
      <rPr>
        <b/>
        <sz val="11"/>
        <color theme="1"/>
        <rFont val="Calibri"/>
        <family val="2"/>
        <scheme val="minor"/>
      </rPr>
      <t>Social/Emotional</t>
    </r>
    <r>
      <rPr>
        <sz val="11"/>
        <color theme="1"/>
        <rFont val="Calibri"/>
        <family val="2"/>
        <scheme val="minor"/>
      </rPr>
      <t xml:space="preserve"> - Social/Emotional
</t>
    </r>
    <r>
      <rPr>
        <b/>
        <sz val="11"/>
        <color theme="1"/>
        <rFont val="Calibri"/>
        <family val="2"/>
        <scheme val="minor"/>
      </rPr>
      <t>Other</t>
    </r>
    <r>
      <rPr>
        <sz val="11"/>
        <color theme="1"/>
        <rFont val="Calibri"/>
        <family val="2"/>
        <scheme val="minor"/>
      </rPr>
      <t xml:space="preserve"> - Other
</t>
    </r>
  </si>
  <si>
    <r>
      <t>Initial</t>
    </r>
    <r>
      <rPr>
        <sz val="11"/>
        <color theme="1"/>
        <rFont val="Calibri"/>
        <family val="2"/>
        <scheme val="minor"/>
      </rPr>
      <t xml:space="preserve"> - Initial
</t>
    </r>
    <r>
      <rPr>
        <b/>
        <sz val="11"/>
        <color theme="1"/>
        <rFont val="Calibri"/>
        <family val="2"/>
        <scheme val="minor"/>
      </rPr>
      <t>Reevaluation</t>
    </r>
    <r>
      <rPr>
        <sz val="11"/>
        <color theme="1"/>
        <rFont val="Calibri"/>
        <family val="2"/>
        <scheme val="minor"/>
      </rPr>
      <t xml:space="preserve"> - Reevaluation
</t>
    </r>
  </si>
  <si>
    <t>Individualized Program-&gt;Eligibility-&gt;Referral</t>
  </si>
  <si>
    <t>Individualized Program-&gt;IDEA Placement</t>
  </si>
  <si>
    <t>Individualized Program-&gt;Authorization</t>
  </si>
  <si>
    <r>
      <t>Staff</t>
    </r>
    <r>
      <rPr>
        <sz val="11"/>
        <color theme="1"/>
        <rFont val="Calibri"/>
        <family val="2"/>
        <scheme val="minor"/>
      </rPr>
      <t xml:space="preserve"> - Staff
</t>
    </r>
    <r>
      <rPr>
        <b/>
        <sz val="11"/>
        <color theme="1"/>
        <rFont val="Calibri"/>
        <family val="2"/>
        <scheme val="minor"/>
      </rPr>
      <t>Student</t>
    </r>
    <r>
      <rPr>
        <sz val="11"/>
        <color theme="1"/>
        <rFont val="Calibri"/>
        <family val="2"/>
        <scheme val="minor"/>
      </rPr>
      <t xml:space="preserve"> - Student
</t>
    </r>
    <r>
      <rPr>
        <b/>
        <sz val="11"/>
        <color theme="1"/>
        <rFont val="Calibri"/>
        <family val="2"/>
        <scheme val="minor"/>
      </rPr>
      <t>Parent/Guardian</t>
    </r>
    <r>
      <rPr>
        <sz val="11"/>
        <color theme="1"/>
        <rFont val="Calibri"/>
        <family val="2"/>
        <scheme val="minor"/>
      </rPr>
      <t xml:space="preserve"> - Parent/Guardian
</t>
    </r>
    <r>
      <rPr>
        <b/>
        <sz val="11"/>
        <color theme="1"/>
        <rFont val="Calibri"/>
        <family val="2"/>
        <scheme val="minor"/>
      </rPr>
      <t>LEARepresentative</t>
    </r>
    <r>
      <rPr>
        <sz val="11"/>
        <color theme="1"/>
        <rFont val="Calibri"/>
        <family val="2"/>
        <scheme val="minor"/>
      </rPr>
      <t xml:space="preserve"> - LEA Representative
</t>
    </r>
    <r>
      <rPr>
        <b/>
        <sz val="11"/>
        <color theme="1"/>
        <rFont val="Calibri"/>
        <family val="2"/>
        <scheme val="minor"/>
      </rPr>
      <t>OutsideAgencySupportRepresentative</t>
    </r>
    <r>
      <rPr>
        <sz val="11"/>
        <color theme="1"/>
        <rFont val="Calibri"/>
        <family val="2"/>
        <scheme val="minor"/>
      </rPr>
      <t xml:space="preserve"> - Outside Agency Support Representative
</t>
    </r>
  </si>
  <si>
    <r>
      <t>Placement</t>
    </r>
    <r>
      <rPr>
        <sz val="11"/>
        <color theme="1"/>
        <rFont val="Calibri"/>
        <family val="2"/>
        <scheme val="minor"/>
      </rPr>
      <t xml:space="preserve"> - Placement
</t>
    </r>
    <r>
      <rPr>
        <b/>
        <sz val="11"/>
        <color theme="1"/>
        <rFont val="Calibri"/>
        <family val="2"/>
        <scheme val="minor"/>
      </rPr>
      <t>Amendment</t>
    </r>
    <r>
      <rPr>
        <sz val="11"/>
        <color theme="1"/>
        <rFont val="Calibri"/>
        <family val="2"/>
        <scheme val="minor"/>
      </rPr>
      <t xml:space="preserve"> - Amendment
</t>
    </r>
    <r>
      <rPr>
        <b/>
        <sz val="11"/>
        <color theme="1"/>
        <rFont val="Calibri"/>
        <family val="2"/>
        <scheme val="minor"/>
      </rPr>
      <t>AnnualGoal</t>
    </r>
    <r>
      <rPr>
        <sz val="11"/>
        <color theme="1"/>
        <rFont val="Calibri"/>
        <family val="2"/>
        <scheme val="minor"/>
      </rPr>
      <t xml:space="preserve"> - Annual Goal
</t>
    </r>
    <r>
      <rPr>
        <b/>
        <sz val="11"/>
        <color theme="1"/>
        <rFont val="Calibri"/>
        <family val="2"/>
        <scheme val="minor"/>
      </rPr>
      <t>MeasurableObjective</t>
    </r>
    <r>
      <rPr>
        <sz val="11"/>
        <color theme="1"/>
        <rFont val="Calibri"/>
        <family val="2"/>
        <scheme val="minor"/>
      </rPr>
      <t xml:space="preserve"> - Measurable Objective
</t>
    </r>
    <r>
      <rPr>
        <b/>
        <sz val="11"/>
        <color theme="1"/>
        <rFont val="Calibri"/>
        <family val="2"/>
        <scheme val="minor"/>
      </rPr>
      <t>IEP</t>
    </r>
    <r>
      <rPr>
        <sz val="11"/>
        <color theme="1"/>
        <rFont val="Calibri"/>
        <family val="2"/>
        <scheme val="minor"/>
      </rPr>
      <t xml:space="preserve"> - IEP
</t>
    </r>
    <r>
      <rPr>
        <b/>
        <sz val="11"/>
        <color theme="1"/>
        <rFont val="Calibri"/>
        <family val="2"/>
        <scheme val="minor"/>
      </rPr>
      <t>Revoke</t>
    </r>
    <r>
      <rPr>
        <sz val="11"/>
        <color theme="1"/>
        <rFont val="Calibri"/>
        <family val="2"/>
        <scheme val="minor"/>
      </rPr>
      <t xml:space="preserve"> - Revoke
</t>
    </r>
  </si>
  <si>
    <t>Individualized Program-&gt;IEP Present Levels</t>
  </si>
  <si>
    <r>
      <t>Academic</t>
    </r>
    <r>
      <rPr>
        <sz val="11"/>
        <color theme="1"/>
        <rFont val="Calibri"/>
        <family val="2"/>
        <scheme val="minor"/>
      </rPr>
      <t xml:space="preserve"> - Academic
</t>
    </r>
    <r>
      <rPr>
        <b/>
        <sz val="11"/>
        <color theme="1"/>
        <rFont val="Calibri"/>
        <family val="2"/>
        <scheme val="minor"/>
      </rPr>
      <t>Functional</t>
    </r>
    <r>
      <rPr>
        <sz val="11"/>
        <color theme="1"/>
        <rFont val="Calibri"/>
        <family val="2"/>
        <scheme val="minor"/>
      </rPr>
      <t xml:space="preserve"> - Functional
</t>
    </r>
    <r>
      <rPr>
        <b/>
        <sz val="11"/>
        <color theme="1"/>
        <rFont val="Calibri"/>
        <family val="2"/>
        <scheme val="minor"/>
      </rPr>
      <t>Transitional</t>
    </r>
    <r>
      <rPr>
        <sz val="11"/>
        <color theme="1"/>
        <rFont val="Calibri"/>
        <family val="2"/>
        <scheme val="minor"/>
      </rPr>
      <t xml:space="preserve"> - Transitional
</t>
    </r>
  </si>
  <si>
    <r>
      <t>Observationlog</t>
    </r>
    <r>
      <rPr>
        <sz val="11"/>
        <color theme="1"/>
        <rFont val="Calibri"/>
        <family val="2"/>
        <scheme val="minor"/>
      </rPr>
      <t xml:space="preserve"> - Observation log
</t>
    </r>
    <r>
      <rPr>
        <b/>
        <sz val="11"/>
        <color theme="1"/>
        <rFont val="Calibri"/>
        <family val="2"/>
        <scheme val="minor"/>
      </rPr>
      <t>Datacharts</t>
    </r>
    <r>
      <rPr>
        <sz val="11"/>
        <color theme="1"/>
        <rFont val="Calibri"/>
        <family val="2"/>
        <scheme val="minor"/>
      </rPr>
      <t xml:space="preserve"> - Data charts
</t>
    </r>
    <r>
      <rPr>
        <b/>
        <sz val="11"/>
        <color theme="1"/>
        <rFont val="Calibri"/>
        <family val="2"/>
        <scheme val="minor"/>
      </rPr>
      <t>Tests</t>
    </r>
    <r>
      <rPr>
        <sz val="11"/>
        <color theme="1"/>
        <rFont val="Calibri"/>
        <family val="2"/>
        <scheme val="minor"/>
      </rPr>
      <t xml:space="preserve"> - Tests
</t>
    </r>
    <r>
      <rPr>
        <b/>
        <sz val="11"/>
        <color theme="1"/>
        <rFont val="Calibri"/>
        <family val="2"/>
        <scheme val="minor"/>
      </rPr>
      <t>Other</t>
    </r>
    <r>
      <rPr>
        <sz val="11"/>
        <color theme="1"/>
        <rFont val="Calibri"/>
        <family val="2"/>
        <scheme val="minor"/>
      </rPr>
      <t xml:space="preserve"> - Other
</t>
    </r>
  </si>
  <si>
    <t>Individualized Program-&gt;Services</t>
  </si>
  <si>
    <r>
      <t>Minute</t>
    </r>
    <r>
      <rPr>
        <sz val="11"/>
        <color theme="1"/>
        <rFont val="Calibri"/>
        <family val="2"/>
        <scheme val="minor"/>
      </rPr>
      <t xml:space="preserve"> - Minute
</t>
    </r>
    <r>
      <rPr>
        <b/>
        <sz val="11"/>
        <color theme="1"/>
        <rFont val="Calibri"/>
        <family val="2"/>
        <scheme val="minor"/>
      </rPr>
      <t>Hour</t>
    </r>
    <r>
      <rPr>
        <sz val="11"/>
        <color theme="1"/>
        <rFont val="Calibri"/>
        <family val="2"/>
        <scheme val="minor"/>
      </rPr>
      <t xml:space="preserve"> - Hour
</t>
    </r>
    <r>
      <rPr>
        <b/>
        <sz val="11"/>
        <color theme="1"/>
        <rFont val="Calibri"/>
        <family val="2"/>
        <scheme val="minor"/>
      </rPr>
      <t>Day</t>
    </r>
    <r>
      <rPr>
        <sz val="11"/>
        <color theme="1"/>
        <rFont val="Calibri"/>
        <family val="2"/>
        <scheme val="minor"/>
      </rPr>
      <t xml:space="preserve"> - Day
</t>
    </r>
    <r>
      <rPr>
        <b/>
        <sz val="11"/>
        <color theme="1"/>
        <rFont val="Calibri"/>
        <family val="2"/>
        <scheme val="minor"/>
      </rPr>
      <t>Week</t>
    </r>
    <r>
      <rPr>
        <sz val="11"/>
        <color theme="1"/>
        <rFont val="Calibri"/>
        <family val="2"/>
        <scheme val="minor"/>
      </rPr>
      <t xml:space="preserve"> - Week
</t>
    </r>
    <r>
      <rPr>
        <b/>
        <sz val="11"/>
        <color theme="1"/>
        <rFont val="Calibri"/>
        <family val="2"/>
        <scheme val="minor"/>
      </rPr>
      <t>Month</t>
    </r>
    <r>
      <rPr>
        <sz val="11"/>
        <color theme="1"/>
        <rFont val="Calibri"/>
        <family val="2"/>
        <scheme val="minor"/>
      </rPr>
      <t xml:space="preserve"> - Month
</t>
    </r>
    <r>
      <rPr>
        <b/>
        <sz val="11"/>
        <color theme="1"/>
        <rFont val="Calibri"/>
        <family val="2"/>
        <scheme val="minor"/>
      </rPr>
      <t>Year</t>
    </r>
    <r>
      <rPr>
        <sz val="11"/>
        <color theme="1"/>
        <rFont val="Calibri"/>
        <family val="2"/>
        <scheme val="minor"/>
      </rPr>
      <t xml:space="preserve"> - Year
</t>
    </r>
  </si>
  <si>
    <t>Individualized Program-&gt;Services-&gt;Service Provider</t>
  </si>
  <si>
    <r>
      <t>PSYCH</t>
    </r>
    <r>
      <rPr>
        <sz val="11"/>
        <color theme="1"/>
        <rFont val="Calibri"/>
        <family val="2"/>
        <scheme val="minor"/>
      </rPr>
      <t xml:space="preserve"> - Psychologists
</t>
    </r>
    <r>
      <rPr>
        <b/>
        <sz val="11"/>
        <color theme="1"/>
        <rFont val="Calibri"/>
        <family val="2"/>
        <scheme val="minor"/>
      </rPr>
      <t>SOCIALWORK</t>
    </r>
    <r>
      <rPr>
        <sz val="11"/>
        <color theme="1"/>
        <rFont val="Calibri"/>
        <family val="2"/>
        <scheme val="minor"/>
      </rPr>
      <t xml:space="preserve"> - Social Workers
</t>
    </r>
    <r>
      <rPr>
        <b/>
        <sz val="11"/>
        <color theme="1"/>
        <rFont val="Calibri"/>
        <family val="2"/>
        <scheme val="minor"/>
      </rPr>
      <t>OCCTHERAP</t>
    </r>
    <r>
      <rPr>
        <sz val="11"/>
        <color theme="1"/>
        <rFont val="Calibri"/>
        <family val="2"/>
        <scheme val="minor"/>
      </rPr>
      <t xml:space="preserve"> - Occupational Therapists
</t>
    </r>
    <r>
      <rPr>
        <b/>
        <sz val="11"/>
        <color theme="1"/>
        <rFont val="Calibri"/>
        <family val="2"/>
        <scheme val="minor"/>
      </rPr>
      <t>AUDIO</t>
    </r>
    <r>
      <rPr>
        <sz val="11"/>
        <color theme="1"/>
        <rFont val="Calibri"/>
        <family val="2"/>
        <scheme val="minor"/>
      </rPr>
      <t xml:space="preserve"> - Audiologists
</t>
    </r>
    <r>
      <rPr>
        <b/>
        <sz val="11"/>
        <color theme="1"/>
        <rFont val="Calibri"/>
        <family val="2"/>
        <scheme val="minor"/>
      </rPr>
      <t>PEANDREC</t>
    </r>
    <r>
      <rPr>
        <sz val="11"/>
        <color theme="1"/>
        <rFont val="Calibri"/>
        <family val="2"/>
        <scheme val="minor"/>
      </rPr>
      <t xml:space="preserve"> - Physical Education Teachers and Recreation and Therapeutic Recreation Specialists
</t>
    </r>
    <r>
      <rPr>
        <b/>
        <sz val="11"/>
        <color theme="1"/>
        <rFont val="Calibri"/>
        <family val="2"/>
        <scheme val="minor"/>
      </rPr>
      <t>PHYSTHERAP</t>
    </r>
    <r>
      <rPr>
        <sz val="11"/>
        <color theme="1"/>
        <rFont val="Calibri"/>
        <family val="2"/>
        <scheme val="minor"/>
      </rPr>
      <t xml:space="preserve"> - Physical Therapists
</t>
    </r>
    <r>
      <rPr>
        <b/>
        <sz val="11"/>
        <color theme="1"/>
        <rFont val="Calibri"/>
        <family val="2"/>
        <scheme val="minor"/>
      </rPr>
      <t>SPEECHPATH</t>
    </r>
    <r>
      <rPr>
        <sz val="11"/>
        <color theme="1"/>
        <rFont val="Calibri"/>
        <family val="2"/>
        <scheme val="minor"/>
      </rPr>
      <t xml:space="preserve"> - Speech-Language Pathologists
</t>
    </r>
    <r>
      <rPr>
        <b/>
        <sz val="11"/>
        <color theme="1"/>
        <rFont val="Calibri"/>
        <family val="2"/>
        <scheme val="minor"/>
      </rPr>
      <t>INTERPRET</t>
    </r>
    <r>
      <rPr>
        <sz val="11"/>
        <color theme="1"/>
        <rFont val="Calibri"/>
        <family val="2"/>
        <scheme val="minor"/>
      </rPr>
      <t xml:space="preserve"> - Interpreters
</t>
    </r>
    <r>
      <rPr>
        <b/>
        <sz val="11"/>
        <color theme="1"/>
        <rFont val="Calibri"/>
        <family val="2"/>
        <scheme val="minor"/>
      </rPr>
      <t>COUNSELOR</t>
    </r>
    <r>
      <rPr>
        <sz val="11"/>
        <color theme="1"/>
        <rFont val="Calibri"/>
        <family val="2"/>
        <scheme val="minor"/>
      </rPr>
      <t xml:space="preserve"> - Counselors and Rehabilitation Counselors
</t>
    </r>
    <r>
      <rPr>
        <b/>
        <sz val="11"/>
        <color theme="1"/>
        <rFont val="Calibri"/>
        <family val="2"/>
        <scheme val="minor"/>
      </rPr>
      <t>ORIENTMOBIL</t>
    </r>
    <r>
      <rPr>
        <sz val="11"/>
        <color theme="1"/>
        <rFont val="Calibri"/>
        <family val="2"/>
        <scheme val="minor"/>
      </rPr>
      <t xml:space="preserve"> - Orientation and Mobility Specialists
</t>
    </r>
    <r>
      <rPr>
        <b/>
        <sz val="11"/>
        <color theme="1"/>
        <rFont val="Calibri"/>
        <family val="2"/>
        <scheme val="minor"/>
      </rPr>
      <t>MEDNURSE</t>
    </r>
    <r>
      <rPr>
        <sz val="11"/>
        <color theme="1"/>
        <rFont val="Calibri"/>
        <family val="2"/>
        <scheme val="minor"/>
      </rPr>
      <t xml:space="preserve"> - Medical/Nursing Service Staff
</t>
    </r>
  </si>
  <si>
    <t>Individualized Program-&gt;Accommodation</t>
  </si>
  <si>
    <r>
      <t>03513</t>
    </r>
    <r>
      <rPr>
        <sz val="11"/>
        <color theme="1"/>
        <rFont val="Calibri"/>
        <family val="2"/>
        <scheme val="minor"/>
      </rPr>
      <t xml:space="preserve"> - Additional example items/tasks
</t>
    </r>
    <r>
      <rPr>
        <b/>
        <sz val="11"/>
        <color theme="1"/>
        <rFont val="Calibri"/>
        <family val="2"/>
        <scheme val="minor"/>
      </rPr>
      <t>00461</t>
    </r>
    <r>
      <rPr>
        <sz val="11"/>
        <color theme="1"/>
        <rFont val="Calibri"/>
        <family val="2"/>
        <scheme val="minor"/>
      </rPr>
      <t xml:space="preserve"> - Adjustable swivel arm
</t>
    </r>
    <r>
      <rPr>
        <b/>
        <sz val="11"/>
        <color theme="1"/>
        <rFont val="Calibri"/>
        <family val="2"/>
        <scheme val="minor"/>
      </rPr>
      <t>00462</t>
    </r>
    <r>
      <rPr>
        <sz val="11"/>
        <color theme="1"/>
        <rFont val="Calibri"/>
        <family val="2"/>
        <scheme val="minor"/>
      </rPr>
      <t xml:space="preserve"> - Adjustable table height
</t>
    </r>
    <r>
      <rPr>
        <b/>
        <sz val="11"/>
        <color theme="1"/>
        <rFont val="Calibri"/>
        <family val="2"/>
        <scheme val="minor"/>
      </rPr>
      <t>03514</t>
    </r>
    <r>
      <rPr>
        <sz val="11"/>
        <color theme="1"/>
        <rFont val="Calibri"/>
        <family val="2"/>
        <scheme val="minor"/>
      </rPr>
      <t xml:space="preserve"> - Administration in several sessions
</t>
    </r>
    <r>
      <rPr>
        <b/>
        <sz val="11"/>
        <color theme="1"/>
        <rFont val="Calibri"/>
        <family val="2"/>
        <scheme val="minor"/>
      </rPr>
      <t>13803</t>
    </r>
    <r>
      <rPr>
        <sz val="11"/>
        <color theme="1"/>
        <rFont val="Calibri"/>
        <family val="2"/>
        <scheme val="minor"/>
      </rPr>
      <t xml:space="preserve"> - Alternate representation
</t>
    </r>
    <r>
      <rPr>
        <b/>
        <sz val="11"/>
        <color theme="1"/>
        <rFont val="Calibri"/>
        <family val="2"/>
        <scheme val="minor"/>
      </rPr>
      <t>13793</t>
    </r>
    <r>
      <rPr>
        <sz val="11"/>
        <color theme="1"/>
        <rFont val="Calibri"/>
        <family val="2"/>
        <scheme val="minor"/>
      </rPr>
      <t xml:space="preserve"> - Answer masking
</t>
    </r>
    <r>
      <rPr>
        <b/>
        <sz val="11"/>
        <color theme="1"/>
        <rFont val="Calibri"/>
        <family val="2"/>
        <scheme val="minor"/>
      </rPr>
      <t>03515</t>
    </r>
    <r>
      <rPr>
        <sz val="11"/>
        <color theme="1"/>
        <rFont val="Calibri"/>
        <family val="2"/>
        <scheme val="minor"/>
      </rPr>
      <t xml:space="preserve"> - Answers written directly in test booklet
</t>
    </r>
    <r>
      <rPr>
        <b/>
        <sz val="11"/>
        <color theme="1"/>
        <rFont val="Calibri"/>
        <family val="2"/>
        <scheme val="minor"/>
      </rPr>
      <t>03517</t>
    </r>
    <r>
      <rPr>
        <sz val="11"/>
        <color theme="1"/>
        <rFont val="Calibri"/>
        <family val="2"/>
        <scheme val="minor"/>
      </rPr>
      <t xml:space="preserve"> - Arithmetic table (math or science)
</t>
    </r>
    <r>
      <rPr>
        <b/>
        <sz val="11"/>
        <color theme="1"/>
        <rFont val="Calibri"/>
        <family val="2"/>
        <scheme val="minor"/>
      </rPr>
      <t>75005</t>
    </r>
    <r>
      <rPr>
        <sz val="11"/>
        <color theme="1"/>
        <rFont val="Calibri"/>
        <family val="2"/>
        <scheme val="minor"/>
      </rPr>
      <t xml:space="preserve"> - Native language
</t>
    </r>
    <r>
      <rPr>
        <b/>
        <sz val="11"/>
        <color theme="1"/>
        <rFont val="Calibri"/>
        <family val="2"/>
        <scheme val="minor"/>
      </rPr>
      <t>03519</t>
    </r>
    <r>
      <rPr>
        <sz val="11"/>
        <color theme="1"/>
        <rFont val="Calibri"/>
        <family val="2"/>
        <scheme val="minor"/>
      </rPr>
      <t xml:space="preserve"> - Assistive device that does interfere with independent work of the student
</t>
    </r>
    <r>
      <rPr>
        <b/>
        <sz val="11"/>
        <color theme="1"/>
        <rFont val="Calibri"/>
        <family val="2"/>
        <scheme val="minor"/>
      </rPr>
      <t>03518</t>
    </r>
    <r>
      <rPr>
        <sz val="11"/>
        <color theme="1"/>
        <rFont val="Calibri"/>
        <family val="2"/>
        <scheme val="minor"/>
      </rPr>
      <t xml:space="preserve"> - Assistive device that does not interfere with independent work of the student
</t>
    </r>
    <r>
      <rPr>
        <b/>
        <sz val="11"/>
        <color theme="1"/>
        <rFont val="Calibri"/>
        <family val="2"/>
        <scheme val="minor"/>
      </rPr>
      <t>75006</t>
    </r>
    <r>
      <rPr>
        <sz val="11"/>
        <color theme="1"/>
        <rFont val="Calibri"/>
        <family val="2"/>
        <scheme val="minor"/>
      </rPr>
      <t xml:space="preserve"> - Audio recordings
</t>
    </r>
    <r>
      <rPr>
        <b/>
        <sz val="11"/>
        <color theme="1"/>
        <rFont val="Calibri"/>
        <family val="2"/>
        <scheme val="minor"/>
      </rPr>
      <t>13791</t>
    </r>
    <r>
      <rPr>
        <sz val="11"/>
        <color theme="1"/>
        <rFont val="Calibri"/>
        <family val="2"/>
        <scheme val="minor"/>
      </rPr>
      <t xml:space="preserve"> - Auditory calming
</t>
    </r>
    <r>
      <rPr>
        <b/>
        <sz val="11"/>
        <color theme="1"/>
        <rFont val="Calibri"/>
        <family val="2"/>
        <scheme val="minor"/>
      </rPr>
      <t>00463</t>
    </r>
    <r>
      <rPr>
        <sz val="11"/>
        <color theme="1"/>
        <rFont val="Calibri"/>
        <family val="2"/>
        <scheme val="minor"/>
      </rPr>
      <t xml:space="preserve"> - Braille
</t>
    </r>
    <r>
      <rPr>
        <b/>
        <sz val="11"/>
        <color theme="1"/>
        <rFont val="Calibri"/>
        <family val="2"/>
        <scheme val="minor"/>
      </rPr>
      <t>03522</t>
    </r>
    <r>
      <rPr>
        <sz val="11"/>
        <color theme="1"/>
        <rFont val="Calibri"/>
        <family val="2"/>
        <scheme val="minor"/>
      </rPr>
      <t xml:space="preserve"> - Braille writer, no thesaurus, spell- or grammar-checker
</t>
    </r>
    <r>
      <rPr>
        <b/>
        <sz val="11"/>
        <color theme="1"/>
        <rFont val="Calibri"/>
        <family val="2"/>
        <scheme val="minor"/>
      </rPr>
      <t>75007</t>
    </r>
    <r>
      <rPr>
        <sz val="11"/>
        <color theme="1"/>
        <rFont val="Calibri"/>
        <family val="2"/>
        <scheme val="minor"/>
      </rPr>
      <t xml:space="preserve"> - Breaks
</t>
    </r>
    <r>
      <rPr>
        <b/>
        <sz val="11"/>
        <color theme="1"/>
        <rFont val="Calibri"/>
        <family val="2"/>
        <scheme val="minor"/>
      </rPr>
      <t>03524</t>
    </r>
    <r>
      <rPr>
        <sz val="11"/>
        <color theme="1"/>
        <rFont val="Calibri"/>
        <family val="2"/>
        <scheme val="minor"/>
      </rPr>
      <t xml:space="preserve"> - Calculator (math or science)
</t>
    </r>
    <r>
      <rPr>
        <b/>
        <sz val="11"/>
        <color theme="1"/>
        <rFont val="Calibri"/>
        <family val="2"/>
        <scheme val="minor"/>
      </rPr>
      <t>13800</t>
    </r>
    <r>
      <rPr>
        <sz val="11"/>
        <color theme="1"/>
        <rFont val="Calibri"/>
        <family val="2"/>
        <scheme val="minor"/>
      </rPr>
      <t xml:space="preserve"> - Chunking
</t>
    </r>
    <r>
      <rPr>
        <b/>
        <sz val="11"/>
        <color theme="1"/>
        <rFont val="Calibri"/>
        <family val="2"/>
        <scheme val="minor"/>
      </rPr>
      <t>03525</t>
    </r>
    <r>
      <rPr>
        <sz val="11"/>
        <color theme="1"/>
        <rFont val="Calibri"/>
        <family val="2"/>
        <scheme val="minor"/>
      </rPr>
      <t xml:space="preserve"> - Clarify directions
</t>
    </r>
    <r>
      <rPr>
        <b/>
        <sz val="11"/>
        <color theme="1"/>
        <rFont val="Calibri"/>
        <family val="2"/>
        <scheme val="minor"/>
      </rPr>
      <t>03526</t>
    </r>
    <r>
      <rPr>
        <sz val="11"/>
        <color theme="1"/>
        <rFont val="Calibri"/>
        <family val="2"/>
        <scheme val="minor"/>
      </rPr>
      <t xml:space="preserve"> - Colored lenses
</t>
    </r>
    <r>
      <rPr>
        <b/>
        <sz val="11"/>
        <color theme="1"/>
        <rFont val="Calibri"/>
        <family val="2"/>
        <scheme val="minor"/>
      </rPr>
      <t>03527</t>
    </r>
    <r>
      <rPr>
        <sz val="11"/>
        <color theme="1"/>
        <rFont val="Calibri"/>
        <family val="2"/>
        <scheme val="minor"/>
      </rPr>
      <t xml:space="preserve"> - Computer administration
</t>
    </r>
    <r>
      <rPr>
        <b/>
        <sz val="11"/>
        <color theme="1"/>
        <rFont val="Calibri"/>
        <family val="2"/>
        <scheme val="minor"/>
      </rPr>
      <t>03528</t>
    </r>
    <r>
      <rPr>
        <sz val="11"/>
        <color theme="1"/>
        <rFont val="Calibri"/>
        <family val="2"/>
        <scheme val="minor"/>
      </rPr>
      <t xml:space="preserve"> - Cranmer abacus
</t>
    </r>
    <r>
      <rPr>
        <b/>
        <sz val="11"/>
        <color theme="1"/>
        <rFont val="Calibri"/>
        <family val="2"/>
        <scheme val="minor"/>
      </rPr>
      <t>03529</t>
    </r>
    <r>
      <rPr>
        <sz val="11"/>
        <color theme="1"/>
        <rFont val="Calibri"/>
        <family val="2"/>
        <scheme val="minor"/>
      </rPr>
      <t xml:space="preserve"> - Cueing
</t>
    </r>
    <r>
      <rPr>
        <b/>
        <sz val="11"/>
        <color theme="1"/>
        <rFont val="Calibri"/>
        <family val="2"/>
        <scheme val="minor"/>
      </rPr>
      <t>75008</t>
    </r>
    <r>
      <rPr>
        <sz val="11"/>
        <color theme="1"/>
        <rFont val="Calibri"/>
        <family val="2"/>
        <scheme val="minor"/>
      </rPr>
      <t xml:space="preserve"> - Dictated oral response
</t>
    </r>
    <r>
      <rPr>
        <b/>
        <sz val="11"/>
        <color theme="1"/>
        <rFont val="Calibri"/>
        <family val="2"/>
        <scheme val="minor"/>
      </rPr>
      <t>03530</t>
    </r>
    <r>
      <rPr>
        <sz val="11"/>
        <color theme="1"/>
        <rFont val="Calibri"/>
        <family val="2"/>
        <scheme val="minor"/>
      </rPr>
      <t xml:space="preserve"> - Dictionary in English
</t>
    </r>
    <r>
      <rPr>
        <b/>
        <sz val="11"/>
        <color theme="1"/>
        <rFont val="Calibri"/>
        <family val="2"/>
        <scheme val="minor"/>
      </rPr>
      <t>03531</t>
    </r>
    <r>
      <rPr>
        <sz val="11"/>
        <color theme="1"/>
        <rFont val="Calibri"/>
        <family val="2"/>
        <scheme val="minor"/>
      </rPr>
      <t xml:space="preserve"> - Dictionary in native language
</t>
    </r>
    <r>
      <rPr>
        <b/>
        <sz val="11"/>
        <color theme="1"/>
        <rFont val="Calibri"/>
        <family val="2"/>
        <scheme val="minor"/>
      </rPr>
      <t>03533</t>
    </r>
    <r>
      <rPr>
        <sz val="11"/>
        <color theme="1"/>
        <rFont val="Calibri"/>
        <family val="2"/>
        <scheme val="minor"/>
      </rPr>
      <t xml:space="preserve"> - Directions read aloud or explained
</t>
    </r>
    <r>
      <rPr>
        <b/>
        <sz val="11"/>
        <color theme="1"/>
        <rFont val="Calibri"/>
        <family val="2"/>
        <scheme val="minor"/>
      </rPr>
      <t>13795</t>
    </r>
    <r>
      <rPr>
        <sz val="11"/>
        <color theme="1"/>
        <rFont val="Calibri"/>
        <family val="2"/>
        <scheme val="minor"/>
      </rPr>
      <t xml:space="preserve"> - Encouraging prompts
</t>
    </r>
    <r>
      <rPr>
        <b/>
        <sz val="11"/>
        <color theme="1"/>
        <rFont val="Calibri"/>
        <family val="2"/>
        <scheme val="minor"/>
      </rPr>
      <t>00937</t>
    </r>
    <r>
      <rPr>
        <sz val="11"/>
        <color theme="1"/>
        <rFont val="Calibri"/>
        <family val="2"/>
        <scheme val="minor"/>
      </rPr>
      <t xml:space="preserve"> - Enlarged keyboard
</t>
    </r>
    <r>
      <rPr>
        <b/>
        <sz val="11"/>
        <color theme="1"/>
        <rFont val="Calibri"/>
        <family val="2"/>
        <scheme val="minor"/>
      </rPr>
      <t>00464</t>
    </r>
    <r>
      <rPr>
        <sz val="11"/>
        <color theme="1"/>
        <rFont val="Calibri"/>
        <family val="2"/>
        <scheme val="minor"/>
      </rPr>
      <t xml:space="preserve"> - Enlarged monitor view
</t>
    </r>
    <r>
      <rPr>
        <b/>
        <sz val="11"/>
        <color theme="1"/>
        <rFont val="Calibri"/>
        <family val="2"/>
        <scheme val="minor"/>
      </rPr>
      <t>03534</t>
    </r>
    <r>
      <rPr>
        <sz val="11"/>
        <color theme="1"/>
        <rFont val="Calibri"/>
        <family val="2"/>
        <scheme val="minor"/>
      </rPr>
      <t xml:space="preserve"> - Examiner familiarity
</t>
    </r>
    <r>
      <rPr>
        <b/>
        <sz val="11"/>
        <color theme="1"/>
        <rFont val="Calibri"/>
        <family val="2"/>
        <scheme val="minor"/>
      </rPr>
      <t>00465</t>
    </r>
    <r>
      <rPr>
        <sz val="11"/>
        <color theme="1"/>
        <rFont val="Calibri"/>
        <family val="2"/>
        <scheme val="minor"/>
      </rPr>
      <t xml:space="preserve"> - Extra time
</t>
    </r>
    <r>
      <rPr>
        <b/>
        <sz val="11"/>
        <color theme="1"/>
        <rFont val="Calibri"/>
        <family val="2"/>
        <scheme val="minor"/>
      </rPr>
      <t>13797</t>
    </r>
    <r>
      <rPr>
        <sz val="11"/>
        <color theme="1"/>
        <rFont val="Calibri"/>
        <family val="2"/>
        <scheme val="minor"/>
      </rPr>
      <t xml:space="preserve"> - Flagging
</t>
    </r>
    <r>
      <rPr>
        <b/>
        <sz val="11"/>
        <color theme="1"/>
        <rFont val="Calibri"/>
        <family val="2"/>
        <scheme val="minor"/>
      </rPr>
      <t>03535</t>
    </r>
    <r>
      <rPr>
        <sz val="11"/>
        <color theme="1"/>
        <rFont val="Calibri"/>
        <family val="2"/>
        <scheme val="minor"/>
      </rPr>
      <t xml:space="preserve"> - Font enlarged beyond print version requirements
</t>
    </r>
    <r>
      <rPr>
        <b/>
        <sz val="11"/>
        <color theme="1"/>
        <rFont val="Calibri"/>
        <family val="2"/>
        <scheme val="minor"/>
      </rPr>
      <t>13789</t>
    </r>
    <r>
      <rPr>
        <sz val="11"/>
        <color theme="1"/>
        <rFont val="Calibri"/>
        <family val="2"/>
        <scheme val="minor"/>
      </rPr>
      <t xml:space="preserve"> - Foreground/Background colors
</t>
    </r>
    <r>
      <rPr>
        <b/>
        <sz val="11"/>
        <color theme="1"/>
        <rFont val="Calibri"/>
        <family val="2"/>
        <scheme val="minor"/>
      </rPr>
      <t>03536</t>
    </r>
    <r>
      <rPr>
        <sz val="11"/>
        <color theme="1"/>
        <rFont val="Calibri"/>
        <family val="2"/>
        <scheme val="minor"/>
      </rPr>
      <t xml:space="preserve"> - Foreign language interpreter
</t>
    </r>
    <r>
      <rPr>
        <b/>
        <sz val="11"/>
        <color theme="1"/>
        <rFont val="Calibri"/>
        <family val="2"/>
        <scheme val="minor"/>
      </rPr>
      <t>03537</t>
    </r>
    <r>
      <rPr>
        <sz val="11"/>
        <color theme="1"/>
        <rFont val="Calibri"/>
        <family val="2"/>
        <scheme val="minor"/>
      </rPr>
      <t xml:space="preserve"> - Foreign language interpreter for instructions, ask questions
</t>
    </r>
    <r>
      <rPr>
        <b/>
        <sz val="11"/>
        <color theme="1"/>
        <rFont val="Calibri"/>
        <family val="2"/>
        <scheme val="minor"/>
      </rPr>
      <t>03538</t>
    </r>
    <r>
      <rPr>
        <sz val="11"/>
        <color theme="1"/>
        <rFont val="Calibri"/>
        <family val="2"/>
        <scheme val="minor"/>
      </rPr>
      <t xml:space="preserve"> - Format
</t>
    </r>
    <r>
      <rPr>
        <b/>
        <sz val="11"/>
        <color theme="1"/>
        <rFont val="Calibri"/>
        <family val="2"/>
        <scheme val="minor"/>
      </rPr>
      <t>03539</t>
    </r>
    <r>
      <rPr>
        <sz val="11"/>
        <color theme="1"/>
        <rFont val="Calibri"/>
        <family val="2"/>
        <scheme val="minor"/>
      </rPr>
      <t xml:space="preserve"> - Hospital/home testing
</t>
    </r>
    <r>
      <rPr>
        <b/>
        <sz val="11"/>
        <color theme="1"/>
        <rFont val="Calibri"/>
        <family val="2"/>
        <scheme val="minor"/>
      </rPr>
      <t>13790</t>
    </r>
    <r>
      <rPr>
        <sz val="11"/>
        <color theme="1"/>
        <rFont val="Calibri"/>
        <family val="2"/>
        <scheme val="minor"/>
      </rPr>
      <t xml:space="preserve"> - Increase white space
</t>
    </r>
    <r>
      <rPr>
        <b/>
        <sz val="11"/>
        <color theme="1"/>
        <rFont val="Calibri"/>
        <family val="2"/>
        <scheme val="minor"/>
      </rPr>
      <t>13805</t>
    </r>
    <r>
      <rPr>
        <sz val="11"/>
        <color theme="1"/>
        <rFont val="Calibri"/>
        <family val="2"/>
        <scheme val="minor"/>
      </rPr>
      <t xml:space="preserve"> - Item translation
</t>
    </r>
    <r>
      <rPr>
        <b/>
        <sz val="11"/>
        <color theme="1"/>
        <rFont val="Calibri"/>
        <family val="2"/>
        <scheme val="minor"/>
      </rPr>
      <t>13798</t>
    </r>
    <r>
      <rPr>
        <sz val="11"/>
        <color theme="1"/>
        <rFont val="Calibri"/>
        <family val="2"/>
        <scheme val="minor"/>
      </rPr>
      <t xml:space="preserve"> - Keyword highlighting
</t>
    </r>
    <r>
      <rPr>
        <b/>
        <sz val="11"/>
        <color theme="1"/>
        <rFont val="Calibri"/>
        <family val="2"/>
        <scheme val="minor"/>
      </rPr>
      <t>13804</t>
    </r>
    <r>
      <rPr>
        <sz val="11"/>
        <color theme="1"/>
        <rFont val="Calibri"/>
        <family val="2"/>
        <scheme val="minor"/>
      </rPr>
      <t xml:space="preserve"> - Keyword translation
</t>
    </r>
    <r>
      <rPr>
        <b/>
        <sz val="11"/>
        <color theme="1"/>
        <rFont val="Calibri"/>
        <family val="2"/>
        <scheme val="minor"/>
      </rPr>
      <t>75009</t>
    </r>
    <r>
      <rPr>
        <sz val="11"/>
        <color theme="1"/>
        <rFont val="Calibri"/>
        <family val="2"/>
        <scheme val="minor"/>
      </rPr>
      <t xml:space="preserve"> - Large print
</t>
    </r>
    <r>
      <rPr>
        <b/>
        <sz val="11"/>
        <color theme="1"/>
        <rFont val="Calibri"/>
        <family val="2"/>
        <scheme val="minor"/>
      </rPr>
      <t>13796</t>
    </r>
    <r>
      <rPr>
        <sz val="11"/>
        <color theme="1"/>
        <rFont val="Calibri"/>
        <family val="2"/>
        <scheme val="minor"/>
      </rPr>
      <t xml:space="preserve"> - Line reader
</t>
    </r>
    <r>
      <rPr>
        <b/>
        <sz val="11"/>
        <color theme="1"/>
        <rFont val="Calibri"/>
        <family val="2"/>
        <scheme val="minor"/>
      </rPr>
      <t>75010</t>
    </r>
    <r>
      <rPr>
        <sz val="11"/>
        <color theme="1"/>
        <rFont val="Calibri"/>
        <family val="2"/>
        <scheme val="minor"/>
      </rPr>
      <t xml:space="preserve"> - Linguistic modification of directions
</t>
    </r>
    <r>
      <rPr>
        <b/>
        <sz val="11"/>
        <color theme="1"/>
        <rFont val="Calibri"/>
        <family val="2"/>
        <scheme val="minor"/>
      </rPr>
      <t>03541</t>
    </r>
    <r>
      <rPr>
        <sz val="11"/>
        <color theme="1"/>
        <rFont val="Calibri"/>
        <family val="2"/>
        <scheme val="minor"/>
      </rPr>
      <t xml:space="preserve"> - Magnification device
</t>
    </r>
    <r>
      <rPr>
        <b/>
        <sz val="11"/>
        <color theme="1"/>
        <rFont val="Calibri"/>
        <family val="2"/>
        <scheme val="minor"/>
      </rPr>
      <t>75011</t>
    </r>
    <r>
      <rPr>
        <sz val="11"/>
        <color theme="1"/>
        <rFont val="Calibri"/>
        <family val="2"/>
        <scheme val="minor"/>
      </rPr>
      <t xml:space="preserve"> - Manually coded English or American Sign Language to present questions
</t>
    </r>
    <r>
      <rPr>
        <b/>
        <sz val="11"/>
        <color theme="1"/>
        <rFont val="Calibri"/>
        <family val="2"/>
        <scheme val="minor"/>
      </rPr>
      <t>13792</t>
    </r>
    <r>
      <rPr>
        <sz val="11"/>
        <color theme="1"/>
        <rFont val="Calibri"/>
        <family val="2"/>
        <scheme val="minor"/>
      </rPr>
      <t xml:space="preserve"> - Masking
</t>
    </r>
    <r>
      <rPr>
        <b/>
        <sz val="11"/>
        <color theme="1"/>
        <rFont val="Calibri"/>
        <family val="2"/>
        <scheme val="minor"/>
      </rPr>
      <t>03543</t>
    </r>
    <r>
      <rPr>
        <sz val="11"/>
        <color theme="1"/>
        <rFont val="Calibri"/>
        <family val="2"/>
        <scheme val="minor"/>
      </rPr>
      <t xml:space="preserve"> - Math manipulatives (math or science)
</t>
    </r>
    <r>
      <rPr>
        <b/>
        <sz val="11"/>
        <color theme="1"/>
        <rFont val="Calibri"/>
        <family val="2"/>
        <scheme val="minor"/>
      </rPr>
      <t>03544</t>
    </r>
    <r>
      <rPr>
        <sz val="11"/>
        <color theme="1"/>
        <rFont val="Calibri"/>
        <family val="2"/>
        <scheme val="minor"/>
      </rPr>
      <t xml:space="preserve"> - Modification of linguistic complexity
</t>
    </r>
    <r>
      <rPr>
        <b/>
        <sz val="11"/>
        <color theme="1"/>
        <rFont val="Calibri"/>
        <family val="2"/>
        <scheme val="minor"/>
      </rPr>
      <t>00469</t>
    </r>
    <r>
      <rPr>
        <sz val="11"/>
        <color theme="1"/>
        <rFont val="Calibri"/>
        <family val="2"/>
        <scheme val="minor"/>
      </rPr>
      <t xml:space="preserve"> - Multi-day administration
</t>
    </r>
    <r>
      <rPr>
        <b/>
        <sz val="11"/>
        <color theme="1"/>
        <rFont val="Calibri"/>
        <family val="2"/>
        <scheme val="minor"/>
      </rPr>
      <t>03545</t>
    </r>
    <r>
      <rPr>
        <sz val="11"/>
        <color theme="1"/>
        <rFont val="Calibri"/>
        <family val="2"/>
        <scheme val="minor"/>
      </rPr>
      <t xml:space="preserve"> - Multiple test sessions
</t>
    </r>
    <r>
      <rPr>
        <b/>
        <sz val="11"/>
        <color theme="1"/>
        <rFont val="Calibri"/>
        <family val="2"/>
        <scheme val="minor"/>
      </rPr>
      <t>13802</t>
    </r>
    <r>
      <rPr>
        <sz val="11"/>
        <color theme="1"/>
        <rFont val="Calibri"/>
        <family val="2"/>
        <scheme val="minor"/>
      </rPr>
      <t xml:space="preserve"> - Negatives removed
</t>
    </r>
    <r>
      <rPr>
        <b/>
        <sz val="11"/>
        <color theme="1"/>
        <rFont val="Calibri"/>
        <family val="2"/>
        <scheme val="minor"/>
      </rPr>
      <t>03546</t>
    </r>
    <r>
      <rPr>
        <sz val="11"/>
        <color theme="1"/>
        <rFont val="Calibri"/>
        <family val="2"/>
        <scheme val="minor"/>
      </rPr>
      <t xml:space="preserve"> - Oral directions in the native language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03547</t>
    </r>
    <r>
      <rPr>
        <sz val="11"/>
        <color theme="1"/>
        <rFont val="Calibri"/>
        <family val="2"/>
        <scheme val="minor"/>
      </rPr>
      <t xml:space="preserve"> - Paraphrasing
</t>
    </r>
    <r>
      <rPr>
        <b/>
        <sz val="11"/>
        <color theme="1"/>
        <rFont val="Calibri"/>
        <family val="2"/>
        <scheme val="minor"/>
      </rPr>
      <t>03548</t>
    </r>
    <r>
      <rPr>
        <sz val="11"/>
        <color theme="1"/>
        <rFont val="Calibri"/>
        <family val="2"/>
        <scheme val="minor"/>
      </rPr>
      <t xml:space="preserve"> - Physical supports
</t>
    </r>
    <r>
      <rPr>
        <b/>
        <sz val="11"/>
        <color theme="1"/>
        <rFont val="Calibri"/>
        <family val="2"/>
        <scheme val="minor"/>
      </rPr>
      <t>00471</t>
    </r>
    <r>
      <rPr>
        <sz val="11"/>
        <color theme="1"/>
        <rFont val="Calibri"/>
        <family val="2"/>
        <scheme val="minor"/>
      </rPr>
      <t xml:space="preserve"> - Recorder or amanuensis
</t>
    </r>
    <r>
      <rPr>
        <b/>
        <sz val="11"/>
        <color theme="1"/>
        <rFont val="Calibri"/>
        <family val="2"/>
        <scheme val="minor"/>
      </rPr>
      <t>13801</t>
    </r>
    <r>
      <rPr>
        <sz val="11"/>
        <color theme="1"/>
        <rFont val="Calibri"/>
        <family val="2"/>
        <scheme val="minor"/>
      </rPr>
      <t xml:space="preserve"> - Reduced answer choices
</t>
    </r>
    <r>
      <rPr>
        <b/>
        <sz val="11"/>
        <color theme="1"/>
        <rFont val="Calibri"/>
        <family val="2"/>
        <scheme val="minor"/>
      </rPr>
      <t>03549</t>
    </r>
    <r>
      <rPr>
        <sz val="11"/>
        <color theme="1"/>
        <rFont val="Calibri"/>
        <family val="2"/>
        <scheme val="minor"/>
      </rPr>
      <t xml:space="preserve"> - Response dictated in American Sign Language
</t>
    </r>
    <r>
      <rPr>
        <b/>
        <sz val="11"/>
        <color theme="1"/>
        <rFont val="Calibri"/>
        <family val="2"/>
        <scheme val="minor"/>
      </rPr>
      <t>03550</t>
    </r>
    <r>
      <rPr>
        <sz val="11"/>
        <color theme="1"/>
        <rFont val="Calibri"/>
        <family val="2"/>
        <scheme val="minor"/>
      </rPr>
      <t xml:space="preserve"> - Response in native language
</t>
    </r>
    <r>
      <rPr>
        <b/>
        <sz val="11"/>
        <color theme="1"/>
        <rFont val="Calibri"/>
        <family val="2"/>
        <scheme val="minor"/>
      </rPr>
      <t>13788</t>
    </r>
    <r>
      <rPr>
        <sz val="11"/>
        <color theme="1"/>
        <rFont val="Calibri"/>
        <family val="2"/>
        <scheme val="minor"/>
      </rPr>
      <t xml:space="preserve"> - Reverse contrast
</t>
    </r>
    <r>
      <rPr>
        <b/>
        <sz val="11"/>
        <color theme="1"/>
        <rFont val="Calibri"/>
        <family val="2"/>
        <scheme val="minor"/>
      </rPr>
      <t>13799</t>
    </r>
    <r>
      <rPr>
        <sz val="11"/>
        <color theme="1"/>
        <rFont val="Calibri"/>
        <family val="2"/>
        <scheme val="minor"/>
      </rPr>
      <t xml:space="preserve"> - Scaffolding
</t>
    </r>
    <r>
      <rPr>
        <b/>
        <sz val="11"/>
        <color theme="1"/>
        <rFont val="Calibri"/>
        <family val="2"/>
        <scheme val="minor"/>
      </rPr>
      <t>03551</t>
    </r>
    <r>
      <rPr>
        <sz val="11"/>
        <color theme="1"/>
        <rFont val="Calibri"/>
        <family val="2"/>
        <scheme val="minor"/>
      </rPr>
      <t xml:space="preserve"> - Scheduled extended time
</t>
    </r>
    <r>
      <rPr>
        <b/>
        <sz val="11"/>
        <color theme="1"/>
        <rFont val="Calibri"/>
        <family val="2"/>
        <scheme val="minor"/>
      </rPr>
      <t>00473</t>
    </r>
    <r>
      <rPr>
        <sz val="11"/>
        <color theme="1"/>
        <rFont val="Calibri"/>
        <family val="2"/>
        <scheme val="minor"/>
      </rPr>
      <t xml:space="preserve"> - Separate room
</t>
    </r>
    <r>
      <rPr>
        <b/>
        <sz val="11"/>
        <color theme="1"/>
        <rFont val="Calibri"/>
        <family val="2"/>
        <scheme val="minor"/>
      </rPr>
      <t>03552</t>
    </r>
    <r>
      <rPr>
        <sz val="11"/>
        <color theme="1"/>
        <rFont val="Calibri"/>
        <family val="2"/>
        <scheme val="minor"/>
      </rPr>
      <t xml:space="preserve"> - Separate room with other English Learners under supervision of district employee
</t>
    </r>
    <r>
      <rPr>
        <b/>
        <sz val="11"/>
        <color theme="1"/>
        <rFont val="Calibri"/>
        <family val="2"/>
        <scheme val="minor"/>
      </rPr>
      <t>73070</t>
    </r>
    <r>
      <rPr>
        <sz val="11"/>
        <color theme="1"/>
        <rFont val="Calibri"/>
        <family val="2"/>
        <scheme val="minor"/>
      </rPr>
      <t xml:space="preserve"> - Sign Language Video
</t>
    </r>
    <r>
      <rPr>
        <b/>
        <sz val="11"/>
        <color theme="1"/>
        <rFont val="Calibri"/>
        <family val="2"/>
        <scheme val="minor"/>
      </rPr>
      <t>03553</t>
    </r>
    <r>
      <rPr>
        <sz val="11"/>
        <color theme="1"/>
        <rFont val="Calibri"/>
        <family val="2"/>
        <scheme val="minor"/>
      </rPr>
      <t xml:space="preserve"> - Signer/sign language for instructions, ask questions
</t>
    </r>
    <r>
      <rPr>
        <b/>
        <sz val="11"/>
        <color theme="1"/>
        <rFont val="Calibri"/>
        <family val="2"/>
        <scheme val="minor"/>
      </rPr>
      <t>00474</t>
    </r>
    <r>
      <rPr>
        <sz val="11"/>
        <color theme="1"/>
        <rFont val="Calibri"/>
        <family val="2"/>
        <scheme val="minor"/>
      </rPr>
      <t xml:space="preserve"> - Signer/sign language interpreter
</t>
    </r>
    <r>
      <rPr>
        <b/>
        <sz val="11"/>
        <color theme="1"/>
        <rFont val="Calibri"/>
        <family val="2"/>
        <scheme val="minor"/>
      </rPr>
      <t>03554</t>
    </r>
    <r>
      <rPr>
        <sz val="11"/>
        <color theme="1"/>
        <rFont val="Calibri"/>
        <family val="2"/>
        <scheme val="minor"/>
      </rPr>
      <t xml:space="preserve"> - Simplified language
</t>
    </r>
    <r>
      <rPr>
        <b/>
        <sz val="11"/>
        <color theme="1"/>
        <rFont val="Calibri"/>
        <family val="2"/>
        <scheme val="minor"/>
      </rPr>
      <t>03555</t>
    </r>
    <r>
      <rPr>
        <sz val="11"/>
        <color theme="1"/>
        <rFont val="Calibri"/>
        <family val="2"/>
        <scheme val="minor"/>
      </rPr>
      <t xml:space="preserve"> - Small-group or individual administration
</t>
    </r>
    <r>
      <rPr>
        <b/>
        <sz val="11"/>
        <color theme="1"/>
        <rFont val="Calibri"/>
        <family val="2"/>
        <scheme val="minor"/>
      </rPr>
      <t>00475</t>
    </r>
    <r>
      <rPr>
        <sz val="11"/>
        <color theme="1"/>
        <rFont val="Calibri"/>
        <family val="2"/>
        <scheme val="minor"/>
      </rPr>
      <t xml:space="preserve"> - Special furniture
</t>
    </r>
    <r>
      <rPr>
        <b/>
        <sz val="11"/>
        <color theme="1"/>
        <rFont val="Calibri"/>
        <family val="2"/>
        <scheme val="minor"/>
      </rPr>
      <t>00476</t>
    </r>
    <r>
      <rPr>
        <sz val="11"/>
        <color theme="1"/>
        <rFont val="Calibri"/>
        <family val="2"/>
        <scheme val="minor"/>
      </rPr>
      <t xml:space="preserve"> - Special lighting
</t>
    </r>
    <r>
      <rPr>
        <b/>
        <sz val="11"/>
        <color theme="1"/>
        <rFont val="Calibri"/>
        <family val="2"/>
        <scheme val="minor"/>
      </rPr>
      <t>03558</t>
    </r>
    <r>
      <rPr>
        <sz val="11"/>
        <color theme="1"/>
        <rFont val="Calibri"/>
        <family val="2"/>
        <scheme val="minor"/>
      </rPr>
      <t xml:space="preserve"> - Specialized setting
</t>
    </r>
    <r>
      <rPr>
        <b/>
        <sz val="11"/>
        <color theme="1"/>
        <rFont val="Calibri"/>
        <family val="2"/>
        <scheme val="minor"/>
      </rPr>
      <t>03556</t>
    </r>
    <r>
      <rPr>
        <sz val="11"/>
        <color theme="1"/>
        <rFont val="Calibri"/>
        <family val="2"/>
        <scheme val="minor"/>
      </rPr>
      <t xml:space="preserve"> - Speech recognition system
</t>
    </r>
    <r>
      <rPr>
        <b/>
        <sz val="11"/>
        <color theme="1"/>
        <rFont val="Calibri"/>
        <family val="2"/>
        <scheme val="minor"/>
      </rPr>
      <t>03557</t>
    </r>
    <r>
      <rPr>
        <sz val="11"/>
        <color theme="1"/>
        <rFont val="Calibri"/>
        <family val="2"/>
        <scheme val="minor"/>
      </rPr>
      <t xml:space="preserve"> - Spell-checker
</t>
    </r>
    <r>
      <rPr>
        <b/>
        <sz val="11"/>
        <color theme="1"/>
        <rFont val="Calibri"/>
        <family val="2"/>
        <scheme val="minor"/>
      </rPr>
      <t>13794</t>
    </r>
    <r>
      <rPr>
        <sz val="11"/>
        <color theme="1"/>
        <rFont val="Calibri"/>
        <family val="2"/>
        <scheme val="minor"/>
      </rPr>
      <t xml:space="preserve"> - Structured masking
</t>
    </r>
    <r>
      <rPr>
        <b/>
        <sz val="11"/>
        <color theme="1"/>
        <rFont val="Calibri"/>
        <family val="2"/>
        <scheme val="minor"/>
      </rPr>
      <t>03559</t>
    </r>
    <r>
      <rPr>
        <sz val="11"/>
        <color theme="1"/>
        <rFont val="Calibri"/>
        <family val="2"/>
        <scheme val="minor"/>
      </rPr>
      <t xml:space="preserve"> - Student read aloud
</t>
    </r>
    <r>
      <rPr>
        <b/>
        <sz val="11"/>
        <color theme="1"/>
        <rFont val="Calibri"/>
        <family val="2"/>
        <scheme val="minor"/>
      </rPr>
      <t>03560</t>
    </r>
    <r>
      <rPr>
        <sz val="11"/>
        <color theme="1"/>
        <rFont val="Calibri"/>
        <family val="2"/>
        <scheme val="minor"/>
      </rPr>
      <t xml:space="preserve"> - Student-requested extended time
</t>
    </r>
    <r>
      <rPr>
        <b/>
        <sz val="11"/>
        <color theme="1"/>
        <rFont val="Calibri"/>
        <family val="2"/>
        <scheme val="minor"/>
      </rPr>
      <t>75012</t>
    </r>
    <r>
      <rPr>
        <sz val="11"/>
        <color theme="1"/>
        <rFont val="Calibri"/>
        <family val="2"/>
        <scheme val="minor"/>
      </rPr>
      <t xml:space="preserve"> - Supervised breaks
</t>
    </r>
    <r>
      <rPr>
        <b/>
        <sz val="11"/>
        <color theme="1"/>
        <rFont val="Calibri"/>
        <family val="2"/>
        <scheme val="minor"/>
      </rPr>
      <t>13806</t>
    </r>
    <r>
      <rPr>
        <sz val="11"/>
        <color theme="1"/>
        <rFont val="Calibri"/>
        <family val="2"/>
        <scheme val="minor"/>
      </rPr>
      <t xml:space="preserve"> - Tactile
</t>
    </r>
    <r>
      <rPr>
        <b/>
        <sz val="11"/>
        <color theme="1"/>
        <rFont val="Calibri"/>
        <family val="2"/>
        <scheme val="minor"/>
      </rPr>
      <t>03562</t>
    </r>
    <r>
      <rPr>
        <sz val="11"/>
        <color theme="1"/>
        <rFont val="Calibri"/>
        <family val="2"/>
        <scheme val="minor"/>
      </rPr>
      <t xml:space="preserve"> - Technological aid
</t>
    </r>
    <r>
      <rPr>
        <b/>
        <sz val="11"/>
        <color theme="1"/>
        <rFont val="Calibri"/>
        <family val="2"/>
        <scheme val="minor"/>
      </rPr>
      <t>75013</t>
    </r>
    <r>
      <rPr>
        <sz val="11"/>
        <color theme="1"/>
        <rFont val="Calibri"/>
        <family val="2"/>
        <scheme val="minor"/>
      </rPr>
      <t xml:space="preserve"> - Test administered at best time of day for student
</t>
    </r>
    <r>
      <rPr>
        <b/>
        <sz val="11"/>
        <color theme="1"/>
        <rFont val="Calibri"/>
        <family val="2"/>
        <scheme val="minor"/>
      </rPr>
      <t>03563</t>
    </r>
    <r>
      <rPr>
        <sz val="11"/>
        <color theme="1"/>
        <rFont val="Calibri"/>
        <family val="2"/>
        <scheme val="minor"/>
      </rPr>
      <t xml:space="preserve"> - Test administrator marked / wrote test at student's direction
</t>
    </r>
    <r>
      <rPr>
        <b/>
        <sz val="11"/>
        <color theme="1"/>
        <rFont val="Calibri"/>
        <family val="2"/>
        <scheme val="minor"/>
      </rPr>
      <t>03564</t>
    </r>
    <r>
      <rPr>
        <sz val="11"/>
        <color theme="1"/>
        <rFont val="Calibri"/>
        <family val="2"/>
        <scheme val="minor"/>
      </rPr>
      <t xml:space="preserve"> - Test administrator read questions aloud
</t>
    </r>
    <r>
      <rPr>
        <b/>
        <sz val="11"/>
        <color theme="1"/>
        <rFont val="Calibri"/>
        <family val="2"/>
        <scheme val="minor"/>
      </rPr>
      <t>03566</t>
    </r>
    <r>
      <rPr>
        <sz val="11"/>
        <color theme="1"/>
        <rFont val="Calibri"/>
        <family val="2"/>
        <scheme val="minor"/>
      </rPr>
      <t xml:space="preserve"> - Text changes in vocabulary
</t>
    </r>
    <r>
      <rPr>
        <b/>
        <sz val="11"/>
        <color theme="1"/>
        <rFont val="Calibri"/>
        <family val="2"/>
        <scheme val="minor"/>
      </rPr>
      <t>00477</t>
    </r>
    <r>
      <rPr>
        <sz val="11"/>
        <color theme="1"/>
        <rFont val="Calibri"/>
        <family val="2"/>
        <scheme val="minor"/>
      </rPr>
      <t xml:space="preserve"> - Track ball
</t>
    </r>
    <r>
      <rPr>
        <b/>
        <sz val="11"/>
        <color theme="1"/>
        <rFont val="Calibri"/>
        <family val="2"/>
        <scheme val="minor"/>
      </rPr>
      <t>03567</t>
    </r>
    <r>
      <rPr>
        <sz val="11"/>
        <color theme="1"/>
        <rFont val="Calibri"/>
        <family val="2"/>
        <scheme val="minor"/>
      </rPr>
      <t xml:space="preserve"> - Translation dictionary
</t>
    </r>
    <r>
      <rPr>
        <b/>
        <sz val="11"/>
        <color theme="1"/>
        <rFont val="Calibri"/>
        <family val="2"/>
        <scheme val="minor"/>
      </rPr>
      <t>09997</t>
    </r>
    <r>
      <rPr>
        <sz val="11"/>
        <color theme="1"/>
        <rFont val="Calibri"/>
        <family val="2"/>
        <scheme val="minor"/>
      </rPr>
      <t xml:space="preserve"> - Unknown
</t>
    </r>
    <r>
      <rPr>
        <b/>
        <sz val="11"/>
        <color theme="1"/>
        <rFont val="Calibri"/>
        <family val="2"/>
        <scheme val="minor"/>
      </rPr>
      <t>00479</t>
    </r>
    <r>
      <rPr>
        <sz val="11"/>
        <color theme="1"/>
        <rFont val="Calibri"/>
        <family val="2"/>
        <scheme val="minor"/>
      </rPr>
      <t xml:space="preserve"> - Untimed
</t>
    </r>
    <r>
      <rPr>
        <b/>
        <sz val="11"/>
        <color theme="1"/>
        <rFont val="Calibri"/>
        <family val="2"/>
        <scheme val="minor"/>
      </rPr>
      <t>03568</t>
    </r>
    <r>
      <rPr>
        <sz val="11"/>
        <color theme="1"/>
        <rFont val="Calibri"/>
        <family val="2"/>
        <scheme val="minor"/>
      </rPr>
      <t xml:space="preserve"> - Verbalized problem-solving
</t>
    </r>
    <r>
      <rPr>
        <b/>
        <sz val="11"/>
        <color theme="1"/>
        <rFont val="Calibri"/>
        <family val="2"/>
        <scheme val="minor"/>
      </rPr>
      <t>75014</t>
    </r>
    <r>
      <rPr>
        <sz val="11"/>
        <color theme="1"/>
        <rFont val="Calibri"/>
        <family val="2"/>
        <scheme val="minor"/>
      </rPr>
      <t xml:space="preserve"> - Video recordings
</t>
    </r>
    <r>
      <rPr>
        <b/>
        <sz val="11"/>
        <color theme="1"/>
        <rFont val="Calibri"/>
        <family val="2"/>
        <scheme val="minor"/>
      </rPr>
      <t>03570</t>
    </r>
    <r>
      <rPr>
        <sz val="11"/>
        <color theme="1"/>
        <rFont val="Calibri"/>
        <family val="2"/>
        <scheme val="minor"/>
      </rPr>
      <t xml:space="preserve"> - Visual cues
</t>
    </r>
    <r>
      <rPr>
        <b/>
        <sz val="11"/>
        <color theme="1"/>
        <rFont val="Calibri"/>
        <family val="2"/>
        <scheme val="minor"/>
      </rPr>
      <t>03571</t>
    </r>
    <r>
      <rPr>
        <sz val="11"/>
        <color theme="1"/>
        <rFont val="Calibri"/>
        <family val="2"/>
        <scheme val="minor"/>
      </rPr>
      <t xml:space="preserve"> - Word processor
</t>
    </r>
    <r>
      <rPr>
        <b/>
        <sz val="11"/>
        <color theme="1"/>
        <rFont val="Calibri"/>
        <family val="2"/>
        <scheme val="minor"/>
      </rPr>
      <t>03572</t>
    </r>
    <r>
      <rPr>
        <sz val="11"/>
        <color theme="1"/>
        <rFont val="Calibri"/>
        <family val="2"/>
        <scheme val="minor"/>
      </rPr>
      <t xml:space="preserve"> - Word processor - grammar-checker turned off
</t>
    </r>
    <r>
      <rPr>
        <b/>
        <sz val="11"/>
        <color theme="1"/>
        <rFont val="Calibri"/>
        <family val="2"/>
        <scheme val="minor"/>
      </rPr>
      <t>03573</t>
    </r>
    <r>
      <rPr>
        <sz val="11"/>
        <color theme="1"/>
        <rFont val="Calibri"/>
        <family val="2"/>
        <scheme val="minor"/>
      </rPr>
      <t xml:space="preserve"> - Word processor - grammar-checker enabled on essay response portion of test
</t>
    </r>
    <r>
      <rPr>
        <b/>
        <sz val="11"/>
        <color theme="1"/>
        <rFont val="Calibri"/>
        <family val="2"/>
        <scheme val="minor"/>
      </rPr>
      <t>75015</t>
    </r>
    <r>
      <rPr>
        <sz val="11"/>
        <color theme="1"/>
        <rFont val="Calibri"/>
        <family val="2"/>
        <scheme val="minor"/>
      </rPr>
      <t xml:space="preserve"> - Alternate assignments or goals
</t>
    </r>
    <r>
      <rPr>
        <b/>
        <sz val="11"/>
        <color theme="1"/>
        <rFont val="Calibri"/>
        <family val="2"/>
        <scheme val="minor"/>
      </rPr>
      <t>75016</t>
    </r>
    <r>
      <rPr>
        <sz val="11"/>
        <color theme="1"/>
        <rFont val="Calibri"/>
        <family val="2"/>
        <scheme val="minor"/>
      </rPr>
      <t xml:space="preserve"> - Behavior management program
</t>
    </r>
    <r>
      <rPr>
        <b/>
        <sz val="11"/>
        <color theme="1"/>
        <rFont val="Calibri"/>
        <family val="2"/>
        <scheme val="minor"/>
      </rPr>
      <t>75017</t>
    </r>
    <r>
      <rPr>
        <sz val="11"/>
        <color theme="1"/>
        <rFont val="Calibri"/>
        <family val="2"/>
        <scheme val="minor"/>
      </rPr>
      <t xml:space="preserve"> - Check for understanding
</t>
    </r>
    <r>
      <rPr>
        <b/>
        <sz val="11"/>
        <color theme="1"/>
        <rFont val="Calibri"/>
        <family val="2"/>
        <scheme val="minor"/>
      </rPr>
      <t>75018</t>
    </r>
    <r>
      <rPr>
        <sz val="11"/>
        <color theme="1"/>
        <rFont val="Calibri"/>
        <family val="2"/>
        <scheme val="minor"/>
      </rPr>
      <t xml:space="preserve"> - Frequent feedback
</t>
    </r>
    <r>
      <rPr>
        <b/>
        <sz val="11"/>
        <color theme="1"/>
        <rFont val="Calibri"/>
        <family val="2"/>
        <scheme val="minor"/>
      </rPr>
      <t>75019</t>
    </r>
    <r>
      <rPr>
        <sz val="11"/>
        <color theme="1"/>
        <rFont val="Calibri"/>
        <family val="2"/>
        <scheme val="minor"/>
      </rPr>
      <t xml:space="preserve"> - Peer support
</t>
    </r>
  </si>
  <si>
    <r>
      <t>01</t>
    </r>
    <r>
      <rPr>
        <sz val="11"/>
        <color theme="1"/>
        <rFont val="Calibri"/>
        <family val="2"/>
        <scheme val="minor"/>
      </rPr>
      <t xml:space="preserve"> - English Language and Literature
</t>
    </r>
    <r>
      <rPr>
        <b/>
        <sz val="11"/>
        <color theme="1"/>
        <rFont val="Calibri"/>
        <family val="2"/>
        <scheme val="minor"/>
      </rPr>
      <t>02</t>
    </r>
    <r>
      <rPr>
        <sz val="11"/>
        <color theme="1"/>
        <rFont val="Calibri"/>
        <family val="2"/>
        <scheme val="minor"/>
      </rPr>
      <t xml:space="preserve"> - Mathematics
</t>
    </r>
    <r>
      <rPr>
        <b/>
        <sz val="11"/>
        <color theme="1"/>
        <rFont val="Calibri"/>
        <family val="2"/>
        <scheme val="minor"/>
      </rPr>
      <t>03</t>
    </r>
    <r>
      <rPr>
        <sz val="11"/>
        <color theme="1"/>
        <rFont val="Calibri"/>
        <family val="2"/>
        <scheme val="minor"/>
      </rPr>
      <t xml:space="preserve"> - Life and Physical Sciences
</t>
    </r>
    <r>
      <rPr>
        <b/>
        <sz val="11"/>
        <color theme="1"/>
        <rFont val="Calibri"/>
        <family val="2"/>
        <scheme val="minor"/>
      </rPr>
      <t>04</t>
    </r>
    <r>
      <rPr>
        <sz val="11"/>
        <color theme="1"/>
        <rFont val="Calibri"/>
        <family val="2"/>
        <scheme val="minor"/>
      </rPr>
      <t xml:space="preserve"> - Social Sciences and History
</t>
    </r>
    <r>
      <rPr>
        <b/>
        <sz val="11"/>
        <color theme="1"/>
        <rFont val="Calibri"/>
        <family val="2"/>
        <scheme val="minor"/>
      </rPr>
      <t>05</t>
    </r>
    <r>
      <rPr>
        <sz val="11"/>
        <color theme="1"/>
        <rFont val="Calibri"/>
        <family val="2"/>
        <scheme val="minor"/>
      </rPr>
      <t xml:space="preserve"> - Visual and Performing Arts
</t>
    </r>
    <r>
      <rPr>
        <b/>
        <sz val="11"/>
        <color theme="1"/>
        <rFont val="Calibri"/>
        <family val="2"/>
        <scheme val="minor"/>
      </rPr>
      <t>07</t>
    </r>
    <r>
      <rPr>
        <sz val="11"/>
        <color theme="1"/>
        <rFont val="Calibri"/>
        <family val="2"/>
        <scheme val="minor"/>
      </rPr>
      <t xml:space="preserve"> - Religious Education and Theology
</t>
    </r>
    <r>
      <rPr>
        <b/>
        <sz val="11"/>
        <color theme="1"/>
        <rFont val="Calibri"/>
        <family val="2"/>
        <scheme val="minor"/>
      </rPr>
      <t>08</t>
    </r>
    <r>
      <rPr>
        <sz val="11"/>
        <color theme="1"/>
        <rFont val="Calibri"/>
        <family val="2"/>
        <scheme val="minor"/>
      </rPr>
      <t xml:space="preserve"> - Physical, Health, and Safety Education
</t>
    </r>
    <r>
      <rPr>
        <b/>
        <sz val="11"/>
        <color theme="1"/>
        <rFont val="Calibri"/>
        <family val="2"/>
        <scheme val="minor"/>
      </rPr>
      <t>09</t>
    </r>
    <r>
      <rPr>
        <sz val="11"/>
        <color theme="1"/>
        <rFont val="Calibri"/>
        <family val="2"/>
        <scheme val="minor"/>
      </rPr>
      <t xml:space="preserve"> - Military Science
</t>
    </r>
    <r>
      <rPr>
        <b/>
        <sz val="11"/>
        <color theme="1"/>
        <rFont val="Calibri"/>
        <family val="2"/>
        <scheme val="minor"/>
      </rPr>
      <t>10</t>
    </r>
    <r>
      <rPr>
        <sz val="11"/>
        <color theme="1"/>
        <rFont val="Calibri"/>
        <family val="2"/>
        <scheme val="minor"/>
      </rPr>
      <t xml:space="preserve"> - Information Technology
</t>
    </r>
    <r>
      <rPr>
        <b/>
        <sz val="11"/>
        <color theme="1"/>
        <rFont val="Calibri"/>
        <family val="2"/>
        <scheme val="minor"/>
      </rPr>
      <t>11</t>
    </r>
    <r>
      <rPr>
        <sz val="11"/>
        <color theme="1"/>
        <rFont val="Calibri"/>
        <family val="2"/>
        <scheme val="minor"/>
      </rPr>
      <t xml:space="preserve"> - Communication and Audio/Visual Technology
</t>
    </r>
    <r>
      <rPr>
        <b/>
        <sz val="11"/>
        <color theme="1"/>
        <rFont val="Calibri"/>
        <family val="2"/>
        <scheme val="minor"/>
      </rPr>
      <t>12</t>
    </r>
    <r>
      <rPr>
        <sz val="11"/>
        <color theme="1"/>
        <rFont val="Calibri"/>
        <family val="2"/>
        <scheme val="minor"/>
      </rPr>
      <t xml:space="preserve"> - Business and Marketing
</t>
    </r>
    <r>
      <rPr>
        <b/>
        <sz val="11"/>
        <color theme="1"/>
        <rFont val="Calibri"/>
        <family val="2"/>
        <scheme val="minor"/>
      </rPr>
      <t>13</t>
    </r>
    <r>
      <rPr>
        <sz val="11"/>
        <color theme="1"/>
        <rFont val="Calibri"/>
        <family val="2"/>
        <scheme val="minor"/>
      </rPr>
      <t xml:space="preserve"> - Manufacturing
</t>
    </r>
    <r>
      <rPr>
        <b/>
        <sz val="11"/>
        <color theme="1"/>
        <rFont val="Calibri"/>
        <family val="2"/>
        <scheme val="minor"/>
      </rPr>
      <t>14</t>
    </r>
    <r>
      <rPr>
        <sz val="11"/>
        <color theme="1"/>
        <rFont val="Calibri"/>
        <family val="2"/>
        <scheme val="minor"/>
      </rPr>
      <t xml:space="preserve"> - Health Care Sciences
</t>
    </r>
    <r>
      <rPr>
        <b/>
        <sz val="11"/>
        <color theme="1"/>
        <rFont val="Calibri"/>
        <family val="2"/>
        <scheme val="minor"/>
      </rPr>
      <t>15</t>
    </r>
    <r>
      <rPr>
        <sz val="11"/>
        <color theme="1"/>
        <rFont val="Calibri"/>
        <family val="2"/>
        <scheme val="minor"/>
      </rPr>
      <t xml:space="preserve"> - Public, Protective, and Government Service
</t>
    </r>
    <r>
      <rPr>
        <b/>
        <sz val="11"/>
        <color theme="1"/>
        <rFont val="Calibri"/>
        <family val="2"/>
        <scheme val="minor"/>
      </rPr>
      <t>16</t>
    </r>
    <r>
      <rPr>
        <sz val="11"/>
        <color theme="1"/>
        <rFont val="Calibri"/>
        <family val="2"/>
        <scheme val="minor"/>
      </rPr>
      <t xml:space="preserve"> - Hospitality and Tourism
</t>
    </r>
    <r>
      <rPr>
        <b/>
        <sz val="11"/>
        <color theme="1"/>
        <rFont val="Calibri"/>
        <family val="2"/>
        <scheme val="minor"/>
      </rPr>
      <t>17</t>
    </r>
    <r>
      <rPr>
        <sz val="11"/>
        <color theme="1"/>
        <rFont val="Calibri"/>
        <family val="2"/>
        <scheme val="minor"/>
      </rPr>
      <t xml:space="preserve"> - Architecture and Construction
</t>
    </r>
    <r>
      <rPr>
        <b/>
        <sz val="11"/>
        <color theme="1"/>
        <rFont val="Calibri"/>
        <family val="2"/>
        <scheme val="minor"/>
      </rPr>
      <t>18</t>
    </r>
    <r>
      <rPr>
        <sz val="11"/>
        <color theme="1"/>
        <rFont val="Calibri"/>
        <family val="2"/>
        <scheme val="minor"/>
      </rPr>
      <t xml:space="preserve"> - Agriculture, Food, and Natural Resources
</t>
    </r>
    <r>
      <rPr>
        <b/>
        <sz val="11"/>
        <color theme="1"/>
        <rFont val="Calibri"/>
        <family val="2"/>
        <scheme val="minor"/>
      </rPr>
      <t>19</t>
    </r>
    <r>
      <rPr>
        <sz val="11"/>
        <color theme="1"/>
        <rFont val="Calibri"/>
        <family val="2"/>
        <scheme val="minor"/>
      </rPr>
      <t xml:space="preserve"> - Human Services
</t>
    </r>
    <r>
      <rPr>
        <b/>
        <sz val="11"/>
        <color theme="1"/>
        <rFont val="Calibri"/>
        <family val="2"/>
        <scheme val="minor"/>
      </rPr>
      <t>20</t>
    </r>
    <r>
      <rPr>
        <sz val="11"/>
        <color theme="1"/>
        <rFont val="Calibri"/>
        <family val="2"/>
        <scheme val="minor"/>
      </rPr>
      <t xml:space="preserve"> - Transportation, Distribution and Logistics
</t>
    </r>
    <r>
      <rPr>
        <b/>
        <sz val="11"/>
        <color theme="1"/>
        <rFont val="Calibri"/>
        <family val="2"/>
        <scheme val="minor"/>
      </rPr>
      <t>21</t>
    </r>
    <r>
      <rPr>
        <sz val="11"/>
        <color theme="1"/>
        <rFont val="Calibri"/>
        <family val="2"/>
        <scheme val="minor"/>
      </rPr>
      <t xml:space="preserve"> - Engineering and Technology
</t>
    </r>
    <r>
      <rPr>
        <b/>
        <sz val="11"/>
        <color theme="1"/>
        <rFont val="Calibri"/>
        <family val="2"/>
        <scheme val="minor"/>
      </rPr>
      <t>22</t>
    </r>
    <r>
      <rPr>
        <sz val="11"/>
        <color theme="1"/>
        <rFont val="Calibri"/>
        <family val="2"/>
        <scheme val="minor"/>
      </rPr>
      <t xml:space="preserve"> - Miscellaneous
</t>
    </r>
    <r>
      <rPr>
        <b/>
        <sz val="11"/>
        <color theme="1"/>
        <rFont val="Calibri"/>
        <family val="2"/>
        <scheme val="minor"/>
      </rPr>
      <t>23</t>
    </r>
    <r>
      <rPr>
        <sz val="11"/>
        <color theme="1"/>
        <rFont val="Calibri"/>
        <family val="2"/>
        <scheme val="minor"/>
      </rPr>
      <t xml:space="preserve"> - Non-Subject-Specific
</t>
    </r>
    <r>
      <rPr>
        <b/>
        <sz val="11"/>
        <color theme="1"/>
        <rFont val="Calibri"/>
        <family val="2"/>
        <scheme val="minor"/>
      </rPr>
      <t>24</t>
    </r>
    <r>
      <rPr>
        <sz val="11"/>
        <color theme="1"/>
        <rFont val="Calibri"/>
        <family val="2"/>
        <scheme val="minor"/>
      </rPr>
      <t xml:space="preserve"> - World Languages
</t>
    </r>
  </si>
  <si>
    <t>Individualized Program-&gt;Assessment</t>
  </si>
  <si>
    <r>
      <t>Scheduling</t>
    </r>
    <r>
      <rPr>
        <sz val="11"/>
        <color theme="1"/>
        <rFont val="Calibri"/>
        <family val="2"/>
        <scheme val="minor"/>
      </rPr>
      <t xml:space="preserve"> - Scheduling accommodations
</t>
    </r>
    <r>
      <rPr>
        <b/>
        <sz val="11"/>
        <color theme="1"/>
        <rFont val="Calibri"/>
        <family val="2"/>
        <scheme val="minor"/>
      </rPr>
      <t>Setting</t>
    </r>
    <r>
      <rPr>
        <sz val="11"/>
        <color theme="1"/>
        <rFont val="Calibri"/>
        <family val="2"/>
        <scheme val="minor"/>
      </rPr>
      <t xml:space="preserve"> - Settings accommodations
</t>
    </r>
    <r>
      <rPr>
        <b/>
        <sz val="11"/>
        <color theme="1"/>
        <rFont val="Calibri"/>
        <family val="2"/>
        <scheme val="minor"/>
      </rPr>
      <t>EquipmentOrTechnology</t>
    </r>
    <r>
      <rPr>
        <sz val="11"/>
        <color theme="1"/>
        <rFont val="Calibri"/>
        <family val="2"/>
        <scheme val="minor"/>
      </rPr>
      <t xml:space="preserve"> - Student equipment/technology
</t>
    </r>
    <r>
      <rPr>
        <b/>
        <sz val="11"/>
        <color theme="1"/>
        <rFont val="Calibri"/>
        <family val="2"/>
        <scheme val="minor"/>
      </rPr>
      <t>TestAdministration</t>
    </r>
    <r>
      <rPr>
        <sz val="11"/>
        <color theme="1"/>
        <rFont val="Calibri"/>
        <family val="2"/>
        <scheme val="minor"/>
      </rPr>
      <t xml:space="preserve"> - Test administration accommodation
</t>
    </r>
    <r>
      <rPr>
        <b/>
        <sz val="11"/>
        <color theme="1"/>
        <rFont val="Calibri"/>
        <family val="2"/>
        <scheme val="minor"/>
      </rPr>
      <t>TestMaterial</t>
    </r>
    <r>
      <rPr>
        <sz val="11"/>
        <color theme="1"/>
        <rFont val="Calibri"/>
        <family val="2"/>
        <scheme val="minor"/>
      </rPr>
      <t xml:space="preserve"> - Test material accommodations
</t>
    </r>
    <r>
      <rPr>
        <b/>
        <sz val="11"/>
        <color theme="1"/>
        <rFont val="Calibri"/>
        <family val="2"/>
        <scheme val="minor"/>
      </rPr>
      <t>TestResponse</t>
    </r>
    <r>
      <rPr>
        <sz val="11"/>
        <color theme="1"/>
        <rFont val="Calibri"/>
        <family val="2"/>
        <scheme val="minor"/>
      </rPr>
      <t xml:space="preserve"> - Test response accommodation
</t>
    </r>
    <r>
      <rPr>
        <b/>
        <sz val="11"/>
        <color theme="1"/>
        <rFont val="Calibri"/>
        <family val="2"/>
        <scheme val="minor"/>
      </rPr>
      <t>EnglishLearner</t>
    </r>
    <r>
      <rPr>
        <sz val="11"/>
        <color theme="1"/>
        <rFont val="Calibri"/>
        <family val="2"/>
        <scheme val="minor"/>
      </rPr>
      <t xml:space="preserve"> - English learner accommodation
</t>
    </r>
    <r>
      <rPr>
        <b/>
        <sz val="11"/>
        <color theme="1"/>
        <rFont val="Calibri"/>
        <family val="2"/>
        <scheme val="minor"/>
      </rPr>
      <t>504</t>
    </r>
    <r>
      <rPr>
        <sz val="11"/>
        <color theme="1"/>
        <rFont val="Calibri"/>
        <family val="2"/>
        <scheme val="minor"/>
      </rPr>
      <t xml:space="preserve"> - 504 accommodation
</t>
    </r>
    <r>
      <rPr>
        <b/>
        <sz val="11"/>
        <color theme="1"/>
        <rFont val="Calibri"/>
        <family val="2"/>
        <scheme val="minor"/>
      </rPr>
      <t>Other</t>
    </r>
    <r>
      <rPr>
        <sz val="11"/>
        <color theme="1"/>
        <rFont val="Calibri"/>
        <family val="2"/>
        <scheme val="minor"/>
      </rPr>
      <t xml:space="preserve"> - Other
</t>
    </r>
  </si>
  <si>
    <r>
      <t>REGASSWOACC</t>
    </r>
    <r>
      <rPr>
        <sz val="11"/>
        <color theme="1"/>
        <rFont val="Calibri"/>
        <family val="2"/>
        <scheme val="minor"/>
      </rPr>
      <t xml:space="preserve"> - Regular assessments based on grade-level achievement standards without accommodations
</t>
    </r>
    <r>
      <rPr>
        <b/>
        <sz val="11"/>
        <color theme="1"/>
        <rFont val="Calibri"/>
        <family val="2"/>
        <scheme val="minor"/>
      </rPr>
      <t>REGASSWACC</t>
    </r>
    <r>
      <rPr>
        <sz val="11"/>
        <color theme="1"/>
        <rFont val="Calibri"/>
        <family val="2"/>
        <scheme val="minor"/>
      </rPr>
      <t xml:space="preserve"> - Regular assessments based on grade-level achievement standards with accommodations
</t>
    </r>
    <r>
      <rPr>
        <b/>
        <sz val="11"/>
        <color theme="1"/>
        <rFont val="Calibri"/>
        <family val="2"/>
        <scheme val="minor"/>
      </rPr>
      <t>ALTASSGRADELVL</t>
    </r>
    <r>
      <rPr>
        <sz val="11"/>
        <color theme="1"/>
        <rFont val="Calibri"/>
        <family val="2"/>
        <scheme val="minor"/>
      </rPr>
      <t xml:space="preserve"> - Alternate assessments based on grade-level achievement standards
</t>
    </r>
    <r>
      <rPr>
        <b/>
        <sz val="11"/>
        <color theme="1"/>
        <rFont val="Calibri"/>
        <family val="2"/>
        <scheme val="minor"/>
      </rPr>
      <t>ALTASSMODACH</t>
    </r>
    <r>
      <rPr>
        <sz val="11"/>
        <color theme="1"/>
        <rFont val="Calibri"/>
        <family val="2"/>
        <scheme val="minor"/>
      </rPr>
      <t xml:space="preserve"> - Alternate assessments based on modified achievement standards
</t>
    </r>
    <r>
      <rPr>
        <b/>
        <sz val="11"/>
        <color theme="1"/>
        <rFont val="Calibri"/>
        <family val="2"/>
        <scheme val="minor"/>
      </rPr>
      <t>ALTASSALTACH</t>
    </r>
    <r>
      <rPr>
        <sz val="11"/>
        <color theme="1"/>
        <rFont val="Calibri"/>
        <family val="2"/>
        <scheme val="minor"/>
      </rPr>
      <t xml:space="preserve"> - Alternate assessments based on alternate achievement standards
</t>
    </r>
    <r>
      <rPr>
        <b/>
        <sz val="11"/>
        <color theme="1"/>
        <rFont val="Calibri"/>
        <family val="2"/>
        <scheme val="minor"/>
      </rPr>
      <t>AgeLevelWithoutAccommodations</t>
    </r>
    <r>
      <rPr>
        <sz val="11"/>
        <color theme="1"/>
        <rFont val="Calibri"/>
        <family val="2"/>
        <scheme val="minor"/>
      </rPr>
      <t xml:space="preserve"> - Assessment based on age level standards without accommodations
</t>
    </r>
    <r>
      <rPr>
        <b/>
        <sz val="11"/>
        <color theme="1"/>
        <rFont val="Calibri"/>
        <family val="2"/>
        <scheme val="minor"/>
      </rPr>
      <t>AgeLevelWithAccommodations</t>
    </r>
    <r>
      <rPr>
        <sz val="11"/>
        <color theme="1"/>
        <rFont val="Calibri"/>
        <family val="2"/>
        <scheme val="minor"/>
      </rPr>
      <t xml:space="preserve"> - Assessment based on age level standards with accommodations
</t>
    </r>
    <r>
      <rPr>
        <b/>
        <sz val="11"/>
        <color theme="1"/>
        <rFont val="Calibri"/>
        <family val="2"/>
        <scheme val="minor"/>
      </rPr>
      <t>BelowAgeLevelWithoutAccommodations</t>
    </r>
    <r>
      <rPr>
        <sz val="11"/>
        <color theme="1"/>
        <rFont val="Calibri"/>
        <family val="2"/>
        <scheme val="minor"/>
      </rPr>
      <t xml:space="preserve"> - Assessment based on standards below age level without accommodations
</t>
    </r>
    <r>
      <rPr>
        <b/>
        <sz val="11"/>
        <color theme="1"/>
        <rFont val="Calibri"/>
        <family val="2"/>
        <scheme val="minor"/>
      </rPr>
      <t>BelowAgeLevelWithAccommodations</t>
    </r>
    <r>
      <rPr>
        <sz val="11"/>
        <color theme="1"/>
        <rFont val="Calibri"/>
        <family val="2"/>
        <scheme val="minor"/>
      </rPr>
      <t xml:space="preserve"> - Assessment based on standards below age level with accommodations
</t>
    </r>
  </si>
  <si>
    <t>Individualized Program-&gt;Progress Report</t>
  </si>
  <si>
    <t>Individualized Program-&gt;Progress Report-&gt;Goal</t>
  </si>
  <si>
    <r>
      <t>SatisfactoryProgress</t>
    </r>
    <r>
      <rPr>
        <sz val="11"/>
        <color theme="1"/>
        <rFont val="Calibri"/>
        <family val="2"/>
        <scheme val="minor"/>
      </rPr>
      <t xml:space="preserve"> - Satisfactory Progress
</t>
    </r>
    <r>
      <rPr>
        <b/>
        <sz val="11"/>
        <color theme="1"/>
        <rFont val="Calibri"/>
        <family val="2"/>
        <scheme val="minor"/>
      </rPr>
      <t>UnsatisfactoryProgress</t>
    </r>
    <r>
      <rPr>
        <sz val="11"/>
        <color theme="1"/>
        <rFont val="Calibri"/>
        <family val="2"/>
        <scheme val="minor"/>
      </rPr>
      <t xml:space="preserve"> - Unsatisfactory Progress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Other</t>
    </r>
    <r>
      <rPr>
        <sz val="11"/>
        <color theme="1"/>
        <rFont val="Calibri"/>
        <family val="2"/>
        <scheme val="minor"/>
      </rPr>
      <t xml:space="preserve"> - Other
</t>
    </r>
  </si>
  <si>
    <t>Individualized Program-&gt;Amendment</t>
  </si>
  <si>
    <t>Discipline</t>
  </si>
  <si>
    <r>
      <t>03071</t>
    </r>
    <r>
      <rPr>
        <sz val="11"/>
        <color theme="1"/>
        <rFont val="Calibri"/>
        <family val="2"/>
        <scheme val="minor"/>
      </rPr>
      <t xml:space="preserve"> - Bus suspension
</t>
    </r>
    <r>
      <rPr>
        <b/>
        <sz val="11"/>
        <color theme="1"/>
        <rFont val="Calibri"/>
        <family val="2"/>
        <scheme val="minor"/>
      </rPr>
      <t>03072</t>
    </r>
    <r>
      <rPr>
        <sz val="11"/>
        <color theme="1"/>
        <rFont val="Calibri"/>
        <family val="2"/>
        <scheme val="minor"/>
      </rPr>
      <t xml:space="preserve"> - Change of placement (long-term)
</t>
    </r>
    <r>
      <rPr>
        <b/>
        <sz val="11"/>
        <color theme="1"/>
        <rFont val="Calibri"/>
        <family val="2"/>
        <scheme val="minor"/>
      </rPr>
      <t>03073</t>
    </r>
    <r>
      <rPr>
        <sz val="11"/>
        <color theme="1"/>
        <rFont val="Calibri"/>
        <family val="2"/>
        <scheme val="minor"/>
      </rPr>
      <t xml:space="preserve"> - Change of placement (reassignment), pending an expulsion hearing
</t>
    </r>
    <r>
      <rPr>
        <b/>
        <sz val="11"/>
        <color theme="1"/>
        <rFont val="Calibri"/>
        <family val="2"/>
        <scheme val="minor"/>
      </rPr>
      <t>03074</t>
    </r>
    <r>
      <rPr>
        <sz val="11"/>
        <color theme="1"/>
        <rFont val="Calibri"/>
        <family val="2"/>
        <scheme val="minor"/>
      </rPr>
      <t xml:space="preserve"> - Change of placement (reassignment), resulting from an expulsion hearing
</t>
    </r>
    <r>
      <rPr>
        <b/>
        <sz val="11"/>
        <color theme="1"/>
        <rFont val="Calibri"/>
        <family val="2"/>
        <scheme val="minor"/>
      </rPr>
      <t>03075</t>
    </r>
    <r>
      <rPr>
        <sz val="11"/>
        <color theme="1"/>
        <rFont val="Calibri"/>
        <family val="2"/>
        <scheme val="minor"/>
      </rPr>
      <t xml:space="preserve"> - Change of placement (reassignment), temporary
</t>
    </r>
    <r>
      <rPr>
        <b/>
        <sz val="11"/>
        <color theme="1"/>
        <rFont val="Calibri"/>
        <family val="2"/>
        <scheme val="minor"/>
      </rPr>
      <t>03076</t>
    </r>
    <r>
      <rPr>
        <sz val="11"/>
        <color theme="1"/>
        <rFont val="Calibri"/>
        <family val="2"/>
        <scheme val="minor"/>
      </rPr>
      <t xml:space="preserve"> - Community service
</t>
    </r>
    <r>
      <rPr>
        <b/>
        <sz val="11"/>
        <color theme="1"/>
        <rFont val="Calibri"/>
        <family val="2"/>
        <scheme val="minor"/>
      </rPr>
      <t>03077</t>
    </r>
    <r>
      <rPr>
        <sz val="11"/>
        <color theme="1"/>
        <rFont val="Calibri"/>
        <family val="2"/>
        <scheme val="minor"/>
      </rPr>
      <t xml:space="preserve"> - Conference with and warning to student
</t>
    </r>
    <r>
      <rPr>
        <b/>
        <sz val="11"/>
        <color theme="1"/>
        <rFont val="Calibri"/>
        <family val="2"/>
        <scheme val="minor"/>
      </rPr>
      <t>03078</t>
    </r>
    <r>
      <rPr>
        <sz val="11"/>
        <color theme="1"/>
        <rFont val="Calibri"/>
        <family val="2"/>
        <scheme val="minor"/>
      </rPr>
      <t xml:space="preserve"> - Conference with and warning to student and parent/guardian
</t>
    </r>
    <r>
      <rPr>
        <b/>
        <sz val="11"/>
        <color theme="1"/>
        <rFont val="Calibri"/>
        <family val="2"/>
        <scheme val="minor"/>
      </rPr>
      <t>03079</t>
    </r>
    <r>
      <rPr>
        <sz val="11"/>
        <color theme="1"/>
        <rFont val="Calibri"/>
        <family val="2"/>
        <scheme val="minor"/>
      </rPr>
      <t xml:space="preserve"> - Confiscation of contraband
</t>
    </r>
    <r>
      <rPr>
        <b/>
        <sz val="11"/>
        <color theme="1"/>
        <rFont val="Calibri"/>
        <family val="2"/>
        <scheme val="minor"/>
      </rPr>
      <t>03080</t>
    </r>
    <r>
      <rPr>
        <sz val="11"/>
        <color theme="1"/>
        <rFont val="Calibri"/>
        <family val="2"/>
        <scheme val="minor"/>
      </rPr>
      <t xml:space="preserve"> - Conflict resolution or anger management services mandated
</t>
    </r>
    <r>
      <rPr>
        <b/>
        <sz val="11"/>
        <color theme="1"/>
        <rFont val="Calibri"/>
        <family val="2"/>
        <scheme val="minor"/>
      </rPr>
      <t>03081</t>
    </r>
    <r>
      <rPr>
        <sz val="11"/>
        <color theme="1"/>
        <rFont val="Calibri"/>
        <family val="2"/>
        <scheme val="minor"/>
      </rPr>
      <t xml:space="preserve"> - Corporal punishment
</t>
    </r>
    <r>
      <rPr>
        <b/>
        <sz val="11"/>
        <color theme="1"/>
        <rFont val="Calibri"/>
        <family val="2"/>
        <scheme val="minor"/>
      </rPr>
      <t>03082</t>
    </r>
    <r>
      <rPr>
        <sz val="11"/>
        <color theme="1"/>
        <rFont val="Calibri"/>
        <family val="2"/>
        <scheme val="minor"/>
      </rPr>
      <t xml:space="preserve"> - Counseling mandated
</t>
    </r>
    <r>
      <rPr>
        <b/>
        <sz val="11"/>
        <color theme="1"/>
        <rFont val="Calibri"/>
        <family val="2"/>
        <scheme val="minor"/>
      </rPr>
      <t>03083</t>
    </r>
    <r>
      <rPr>
        <sz val="11"/>
        <color theme="1"/>
        <rFont val="Calibri"/>
        <family val="2"/>
        <scheme val="minor"/>
      </rPr>
      <t xml:space="preserve"> - Demerit
</t>
    </r>
    <r>
      <rPr>
        <b/>
        <sz val="11"/>
        <color theme="1"/>
        <rFont val="Calibri"/>
        <family val="2"/>
        <scheme val="minor"/>
      </rPr>
      <t>03084</t>
    </r>
    <r>
      <rPr>
        <sz val="11"/>
        <color theme="1"/>
        <rFont val="Calibri"/>
        <family val="2"/>
        <scheme val="minor"/>
      </rPr>
      <t xml:space="preserve"> - Detention
</t>
    </r>
    <r>
      <rPr>
        <b/>
        <sz val="11"/>
        <color theme="1"/>
        <rFont val="Calibri"/>
        <family val="2"/>
        <scheme val="minor"/>
      </rPr>
      <t>03085</t>
    </r>
    <r>
      <rPr>
        <sz val="11"/>
        <color theme="1"/>
        <rFont val="Calibri"/>
        <family val="2"/>
        <scheme val="minor"/>
      </rPr>
      <t xml:space="preserve"> - Expulsion recommendation
</t>
    </r>
    <r>
      <rPr>
        <b/>
        <sz val="11"/>
        <color theme="1"/>
        <rFont val="Calibri"/>
        <family val="2"/>
        <scheme val="minor"/>
      </rPr>
      <t>03086</t>
    </r>
    <r>
      <rPr>
        <sz val="11"/>
        <color theme="1"/>
        <rFont val="Calibri"/>
        <family val="2"/>
        <scheme val="minor"/>
      </rPr>
      <t xml:space="preserve"> - Expulsion with services
</t>
    </r>
    <r>
      <rPr>
        <b/>
        <sz val="11"/>
        <color theme="1"/>
        <rFont val="Calibri"/>
        <family val="2"/>
        <scheme val="minor"/>
      </rPr>
      <t>03087</t>
    </r>
    <r>
      <rPr>
        <sz val="11"/>
        <color theme="1"/>
        <rFont val="Calibri"/>
        <family val="2"/>
        <scheme val="minor"/>
      </rPr>
      <t xml:space="preserve"> - Expulsion without services
</t>
    </r>
    <r>
      <rPr>
        <b/>
        <sz val="11"/>
        <color theme="1"/>
        <rFont val="Calibri"/>
        <family val="2"/>
        <scheme val="minor"/>
      </rPr>
      <t>03088</t>
    </r>
    <r>
      <rPr>
        <sz val="11"/>
        <color theme="1"/>
        <rFont val="Calibri"/>
        <family val="2"/>
        <scheme val="minor"/>
      </rPr>
      <t xml:space="preserve"> - Juvenile justice referral
</t>
    </r>
    <r>
      <rPr>
        <b/>
        <sz val="11"/>
        <color theme="1"/>
        <rFont val="Calibri"/>
        <family val="2"/>
        <scheme val="minor"/>
      </rPr>
      <t>03089</t>
    </r>
    <r>
      <rPr>
        <sz val="11"/>
        <color theme="1"/>
        <rFont val="Calibri"/>
        <family val="2"/>
        <scheme val="minor"/>
      </rPr>
      <t xml:space="preserve"> - Law enforcement referral
</t>
    </r>
    <r>
      <rPr>
        <b/>
        <sz val="11"/>
        <color theme="1"/>
        <rFont val="Calibri"/>
        <family val="2"/>
        <scheme val="minor"/>
      </rPr>
      <t>03090</t>
    </r>
    <r>
      <rPr>
        <sz val="11"/>
        <color theme="1"/>
        <rFont val="Calibri"/>
        <family val="2"/>
        <scheme val="minor"/>
      </rPr>
      <t xml:space="preserve"> - Letter of apology
</t>
    </r>
    <r>
      <rPr>
        <b/>
        <sz val="11"/>
        <color theme="1"/>
        <rFont val="Calibri"/>
        <family val="2"/>
        <scheme val="minor"/>
      </rPr>
      <t>03091</t>
    </r>
    <r>
      <rPr>
        <sz val="11"/>
        <color theme="1"/>
        <rFont val="Calibri"/>
        <family val="2"/>
        <scheme val="minor"/>
      </rPr>
      <t xml:space="preserve"> - Loss of privileges
</t>
    </r>
    <r>
      <rPr>
        <b/>
        <sz val="11"/>
        <color theme="1"/>
        <rFont val="Calibri"/>
        <family val="2"/>
        <scheme val="minor"/>
      </rPr>
      <t>13357</t>
    </r>
    <r>
      <rPr>
        <sz val="11"/>
        <color theme="1"/>
        <rFont val="Calibri"/>
        <family val="2"/>
        <scheme val="minor"/>
      </rPr>
      <t xml:space="preserve"> - Mechanical Restraint
</t>
    </r>
    <r>
      <rPr>
        <b/>
        <sz val="11"/>
        <color theme="1"/>
        <rFont val="Calibri"/>
        <family val="2"/>
        <scheme val="minor"/>
      </rPr>
      <t>03105</t>
    </r>
    <r>
      <rPr>
        <sz val="11"/>
        <color theme="1"/>
        <rFont val="Calibri"/>
        <family val="2"/>
        <scheme val="minor"/>
      </rPr>
      <t xml:space="preserve"> - No action
</t>
    </r>
    <r>
      <rPr>
        <b/>
        <sz val="11"/>
        <color theme="1"/>
        <rFont val="Calibri"/>
        <family val="2"/>
        <scheme val="minor"/>
      </rPr>
      <t>09998</t>
    </r>
    <r>
      <rPr>
        <sz val="11"/>
        <color theme="1"/>
        <rFont val="Calibri"/>
        <family val="2"/>
        <scheme val="minor"/>
      </rPr>
      <t xml:space="preserve"> - None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03092</t>
    </r>
    <r>
      <rPr>
        <sz val="11"/>
        <color theme="1"/>
        <rFont val="Calibri"/>
        <family val="2"/>
        <scheme val="minor"/>
      </rPr>
      <t xml:space="preserve"> - Physical activity
</t>
    </r>
    <r>
      <rPr>
        <b/>
        <sz val="11"/>
        <color theme="1"/>
        <rFont val="Calibri"/>
        <family val="2"/>
        <scheme val="minor"/>
      </rPr>
      <t>13358</t>
    </r>
    <r>
      <rPr>
        <sz val="11"/>
        <color theme="1"/>
        <rFont val="Calibri"/>
        <family val="2"/>
        <scheme val="minor"/>
      </rPr>
      <t xml:space="preserve"> - Physical Restraint
</t>
    </r>
    <r>
      <rPr>
        <b/>
        <sz val="11"/>
        <color theme="1"/>
        <rFont val="Calibri"/>
        <family val="2"/>
        <scheme val="minor"/>
      </rPr>
      <t>03158</t>
    </r>
    <r>
      <rPr>
        <sz val="11"/>
        <color theme="1"/>
        <rFont val="Calibri"/>
        <family val="2"/>
        <scheme val="minor"/>
      </rPr>
      <t xml:space="preserve"> - Removal by a hearing officer
</t>
    </r>
    <r>
      <rPr>
        <b/>
        <sz val="11"/>
        <color theme="1"/>
        <rFont val="Calibri"/>
        <family val="2"/>
        <scheme val="minor"/>
      </rPr>
      <t>03093</t>
    </r>
    <r>
      <rPr>
        <sz val="11"/>
        <color theme="1"/>
        <rFont val="Calibri"/>
        <family val="2"/>
        <scheme val="minor"/>
      </rPr>
      <t xml:space="preserve"> - Reprimand
</t>
    </r>
    <r>
      <rPr>
        <b/>
        <sz val="11"/>
        <color theme="1"/>
        <rFont val="Calibri"/>
        <family val="2"/>
        <scheme val="minor"/>
      </rPr>
      <t>03094</t>
    </r>
    <r>
      <rPr>
        <sz val="11"/>
        <color theme="1"/>
        <rFont val="Calibri"/>
        <family val="2"/>
        <scheme val="minor"/>
      </rPr>
      <t xml:space="preserve"> - Restitution
</t>
    </r>
    <r>
      <rPr>
        <b/>
        <sz val="11"/>
        <color theme="1"/>
        <rFont val="Calibri"/>
        <family val="2"/>
        <scheme val="minor"/>
      </rPr>
      <t>03095</t>
    </r>
    <r>
      <rPr>
        <sz val="11"/>
        <color theme="1"/>
        <rFont val="Calibri"/>
        <family val="2"/>
        <scheme val="minor"/>
      </rPr>
      <t xml:space="preserve"> - Saturday school
</t>
    </r>
    <r>
      <rPr>
        <b/>
        <sz val="11"/>
        <color theme="1"/>
        <rFont val="Calibri"/>
        <family val="2"/>
        <scheme val="minor"/>
      </rPr>
      <t>03096</t>
    </r>
    <r>
      <rPr>
        <sz val="11"/>
        <color theme="1"/>
        <rFont val="Calibri"/>
        <family val="2"/>
        <scheme val="minor"/>
      </rPr>
      <t xml:space="preserve"> - School probation
</t>
    </r>
    <r>
      <rPr>
        <b/>
        <sz val="11"/>
        <color theme="1"/>
        <rFont val="Calibri"/>
        <family val="2"/>
        <scheme val="minor"/>
      </rPr>
      <t>13359</t>
    </r>
    <r>
      <rPr>
        <sz val="11"/>
        <color theme="1"/>
        <rFont val="Calibri"/>
        <family val="2"/>
        <scheme val="minor"/>
      </rPr>
      <t xml:space="preserve"> - Seclusion
</t>
    </r>
    <r>
      <rPr>
        <b/>
        <sz val="11"/>
        <color theme="1"/>
        <rFont val="Calibri"/>
        <family val="2"/>
        <scheme val="minor"/>
      </rPr>
      <t>03097</t>
    </r>
    <r>
      <rPr>
        <sz val="11"/>
        <color theme="1"/>
        <rFont val="Calibri"/>
        <family val="2"/>
        <scheme val="minor"/>
      </rPr>
      <t xml:space="preserve"> - Substance abuse counseling mandated
</t>
    </r>
    <r>
      <rPr>
        <b/>
        <sz val="11"/>
        <color theme="1"/>
        <rFont val="Calibri"/>
        <family val="2"/>
        <scheme val="minor"/>
      </rPr>
      <t>03098</t>
    </r>
    <r>
      <rPr>
        <sz val="11"/>
        <color theme="1"/>
        <rFont val="Calibri"/>
        <family val="2"/>
        <scheme val="minor"/>
      </rPr>
      <t xml:space="preserve"> - Substance abuse treatment mandated
</t>
    </r>
    <r>
      <rPr>
        <b/>
        <sz val="11"/>
        <color theme="1"/>
        <rFont val="Calibri"/>
        <family val="2"/>
        <scheme val="minor"/>
      </rPr>
      <t>03099</t>
    </r>
    <r>
      <rPr>
        <sz val="11"/>
        <color theme="1"/>
        <rFont val="Calibri"/>
        <family val="2"/>
        <scheme val="minor"/>
      </rPr>
      <t xml:space="preserve"> - Suspension after school
</t>
    </r>
    <r>
      <rPr>
        <b/>
        <sz val="11"/>
        <color theme="1"/>
        <rFont val="Calibri"/>
        <family val="2"/>
        <scheme val="minor"/>
      </rPr>
      <t>03100</t>
    </r>
    <r>
      <rPr>
        <sz val="11"/>
        <color theme="1"/>
        <rFont val="Calibri"/>
        <family val="2"/>
        <scheme val="minor"/>
      </rPr>
      <t xml:space="preserve"> - Suspension, in-school
</t>
    </r>
    <r>
      <rPr>
        <b/>
        <sz val="11"/>
        <color theme="1"/>
        <rFont val="Calibri"/>
        <family val="2"/>
        <scheme val="minor"/>
      </rPr>
      <t>03154</t>
    </r>
    <r>
      <rPr>
        <sz val="11"/>
        <color theme="1"/>
        <rFont val="Calibri"/>
        <family val="2"/>
        <scheme val="minor"/>
      </rPr>
      <t xml:space="preserve"> - Suspension, out of school, greater than 10 consecutive school days
</t>
    </r>
    <r>
      <rPr>
        <b/>
        <sz val="11"/>
        <color theme="1"/>
        <rFont val="Calibri"/>
        <family val="2"/>
        <scheme val="minor"/>
      </rPr>
      <t>03155</t>
    </r>
    <r>
      <rPr>
        <sz val="11"/>
        <color theme="1"/>
        <rFont val="Calibri"/>
        <family val="2"/>
        <scheme val="minor"/>
      </rPr>
      <t xml:space="preserve"> - Suspension, out of school, separate days cumulating to more than 10 school days
</t>
    </r>
    <r>
      <rPr>
        <b/>
        <sz val="11"/>
        <color theme="1"/>
        <rFont val="Calibri"/>
        <family val="2"/>
        <scheme val="minor"/>
      </rPr>
      <t>03101</t>
    </r>
    <r>
      <rPr>
        <sz val="11"/>
        <color theme="1"/>
        <rFont val="Calibri"/>
        <family val="2"/>
        <scheme val="minor"/>
      </rPr>
      <t xml:space="preserve"> - Suspension, out-of-school, with services
</t>
    </r>
    <r>
      <rPr>
        <b/>
        <sz val="11"/>
        <color theme="1"/>
        <rFont val="Calibri"/>
        <family val="2"/>
        <scheme val="minor"/>
      </rPr>
      <t>03102</t>
    </r>
    <r>
      <rPr>
        <sz val="11"/>
        <color theme="1"/>
        <rFont val="Calibri"/>
        <family val="2"/>
        <scheme val="minor"/>
      </rPr>
      <t xml:space="preserve"> - Suspension, out-of-school, without services
</t>
    </r>
    <r>
      <rPr>
        <b/>
        <sz val="11"/>
        <color theme="1"/>
        <rFont val="Calibri"/>
        <family val="2"/>
        <scheme val="minor"/>
      </rPr>
      <t>03157</t>
    </r>
    <r>
      <rPr>
        <sz val="11"/>
        <color theme="1"/>
        <rFont val="Calibri"/>
        <family val="2"/>
        <scheme val="minor"/>
      </rPr>
      <t xml:space="preserve"> - Unilateral removal - drug incident
</t>
    </r>
    <r>
      <rPr>
        <b/>
        <sz val="11"/>
        <color theme="1"/>
        <rFont val="Calibri"/>
        <family val="2"/>
        <scheme val="minor"/>
      </rPr>
      <t>03156</t>
    </r>
    <r>
      <rPr>
        <sz val="11"/>
        <color theme="1"/>
        <rFont val="Calibri"/>
        <family val="2"/>
        <scheme val="minor"/>
      </rPr>
      <t xml:space="preserve"> - Unilateral removal - weapon incident
</t>
    </r>
    <r>
      <rPr>
        <b/>
        <sz val="11"/>
        <color theme="1"/>
        <rFont val="Calibri"/>
        <family val="2"/>
        <scheme val="minor"/>
      </rPr>
      <t>09997</t>
    </r>
    <r>
      <rPr>
        <sz val="11"/>
        <color theme="1"/>
        <rFont val="Calibri"/>
        <family val="2"/>
        <scheme val="minor"/>
      </rPr>
      <t xml:space="preserve"> - Unknown
</t>
    </r>
    <r>
      <rPr>
        <b/>
        <sz val="11"/>
        <color theme="1"/>
        <rFont val="Calibri"/>
        <family val="2"/>
        <scheme val="minor"/>
      </rPr>
      <t>03103</t>
    </r>
    <r>
      <rPr>
        <sz val="11"/>
        <color theme="1"/>
        <rFont val="Calibri"/>
        <family val="2"/>
        <scheme val="minor"/>
      </rPr>
      <t xml:space="preserve"> - Unsatisfactory behavior grade
</t>
    </r>
    <r>
      <rPr>
        <b/>
        <sz val="11"/>
        <color theme="1"/>
        <rFont val="Calibri"/>
        <family val="2"/>
        <scheme val="minor"/>
      </rPr>
      <t>03104</t>
    </r>
    <r>
      <rPr>
        <sz val="11"/>
        <color theme="1"/>
        <rFont val="Calibri"/>
        <family val="2"/>
        <scheme val="minor"/>
      </rPr>
      <t xml:space="preserve"> - Work detail
</t>
    </r>
  </si>
  <si>
    <r>
      <t>DrugRelated</t>
    </r>
    <r>
      <rPr>
        <sz val="11"/>
        <color theme="1"/>
        <rFont val="Calibri"/>
        <family val="2"/>
        <scheme val="minor"/>
      </rPr>
      <t xml:space="preserve"> - Illicit drug related
</t>
    </r>
    <r>
      <rPr>
        <b/>
        <sz val="11"/>
        <color theme="1"/>
        <rFont val="Calibri"/>
        <family val="2"/>
        <scheme val="minor"/>
      </rPr>
      <t>AlcoholRelated</t>
    </r>
    <r>
      <rPr>
        <sz val="11"/>
        <color theme="1"/>
        <rFont val="Calibri"/>
        <family val="2"/>
        <scheme val="minor"/>
      </rPr>
      <t xml:space="preserve"> - Alcohol related
</t>
    </r>
    <r>
      <rPr>
        <b/>
        <sz val="11"/>
        <color theme="1"/>
        <rFont val="Calibri"/>
        <family val="2"/>
        <scheme val="minor"/>
      </rPr>
      <t>WeaponsPossession</t>
    </r>
    <r>
      <rPr>
        <sz val="11"/>
        <color theme="1"/>
        <rFont val="Calibri"/>
        <family val="2"/>
        <scheme val="minor"/>
      </rPr>
      <t xml:space="preserve"> - Weapons possession
</t>
    </r>
    <r>
      <rPr>
        <b/>
        <sz val="11"/>
        <color theme="1"/>
        <rFont val="Calibri"/>
        <family val="2"/>
        <scheme val="minor"/>
      </rPr>
      <t>WithPhysicalInjury</t>
    </r>
    <r>
      <rPr>
        <sz val="11"/>
        <color theme="1"/>
        <rFont val="Calibri"/>
        <family val="2"/>
        <scheme val="minor"/>
      </rPr>
      <t xml:space="preserve"> - Violent Incident (with Physical Injury)
</t>
    </r>
    <r>
      <rPr>
        <b/>
        <sz val="11"/>
        <color theme="1"/>
        <rFont val="Calibri"/>
        <family val="2"/>
        <scheme val="minor"/>
      </rPr>
      <t>WithoutPhysicalInjury</t>
    </r>
    <r>
      <rPr>
        <sz val="11"/>
        <color theme="1"/>
        <rFont val="Calibri"/>
        <family val="2"/>
        <scheme val="minor"/>
      </rPr>
      <t xml:space="preserve"> - Violent Incident (without Physical Injury)
</t>
    </r>
    <r>
      <rPr>
        <b/>
        <sz val="11"/>
        <color theme="1"/>
        <rFont val="Calibri"/>
        <family val="2"/>
        <scheme val="minor"/>
      </rPr>
      <t>Other</t>
    </r>
    <r>
      <rPr>
        <sz val="11"/>
        <color theme="1"/>
        <rFont val="Calibri"/>
        <family val="2"/>
        <scheme val="minor"/>
      </rPr>
      <t xml:space="preserve"> - Other reasons for out of school suspensions related to drug use and violence
</t>
    </r>
  </si>
  <si>
    <r>
      <t>01</t>
    </r>
    <r>
      <rPr>
        <sz val="11"/>
        <color theme="1"/>
        <rFont val="Calibri"/>
        <family val="2"/>
        <scheme val="minor"/>
      </rPr>
      <t xml:space="preserve"> - No Difference
</t>
    </r>
    <r>
      <rPr>
        <b/>
        <sz val="11"/>
        <color theme="1"/>
        <rFont val="Calibri"/>
        <family val="2"/>
        <scheme val="minor"/>
      </rPr>
      <t>02</t>
    </r>
    <r>
      <rPr>
        <sz val="11"/>
        <color theme="1"/>
        <rFont val="Calibri"/>
        <family val="2"/>
        <scheme val="minor"/>
      </rPr>
      <t xml:space="preserve"> - Term Modified By District
</t>
    </r>
    <r>
      <rPr>
        <b/>
        <sz val="11"/>
        <color theme="1"/>
        <rFont val="Calibri"/>
        <family val="2"/>
        <scheme val="minor"/>
      </rPr>
      <t>03</t>
    </r>
    <r>
      <rPr>
        <sz val="11"/>
        <color theme="1"/>
        <rFont val="Calibri"/>
        <family val="2"/>
        <scheme val="minor"/>
      </rPr>
      <t xml:space="preserve"> - Term Modified By Court Order
</t>
    </r>
    <r>
      <rPr>
        <b/>
        <sz val="11"/>
        <color theme="1"/>
        <rFont val="Calibri"/>
        <family val="2"/>
        <scheme val="minor"/>
      </rPr>
      <t>04</t>
    </r>
    <r>
      <rPr>
        <sz val="11"/>
        <color theme="1"/>
        <rFont val="Calibri"/>
        <family val="2"/>
        <scheme val="minor"/>
      </rPr>
      <t xml:space="preserve"> - Term Modified By Mutual Agreement
</t>
    </r>
    <r>
      <rPr>
        <b/>
        <sz val="11"/>
        <color theme="1"/>
        <rFont val="Calibri"/>
        <family val="2"/>
        <scheme val="minor"/>
      </rPr>
      <t>05</t>
    </r>
    <r>
      <rPr>
        <sz val="11"/>
        <color theme="1"/>
        <rFont val="Calibri"/>
        <family val="2"/>
        <scheme val="minor"/>
      </rPr>
      <t xml:space="preserve"> - Student Completed Term Requirements Sooner Than Expected
</t>
    </r>
    <r>
      <rPr>
        <b/>
        <sz val="11"/>
        <color theme="1"/>
        <rFont val="Calibri"/>
        <family val="2"/>
        <scheme val="minor"/>
      </rPr>
      <t>06</t>
    </r>
    <r>
      <rPr>
        <sz val="11"/>
        <color theme="1"/>
        <rFont val="Calibri"/>
        <family val="2"/>
        <scheme val="minor"/>
      </rPr>
      <t xml:space="preserve"> - Student Incarcerated
</t>
    </r>
    <r>
      <rPr>
        <b/>
        <sz val="11"/>
        <color theme="1"/>
        <rFont val="Calibri"/>
        <family val="2"/>
        <scheme val="minor"/>
      </rPr>
      <t>07</t>
    </r>
    <r>
      <rPr>
        <sz val="11"/>
        <color theme="1"/>
        <rFont val="Calibri"/>
        <family val="2"/>
        <scheme val="minor"/>
      </rPr>
      <t xml:space="preserve"> - Term Decreased Due To Extenuating Health-Related Circumstances
</t>
    </r>
    <r>
      <rPr>
        <b/>
        <sz val="11"/>
        <color theme="1"/>
        <rFont val="Calibri"/>
        <family val="2"/>
        <scheme val="minor"/>
      </rPr>
      <t>08</t>
    </r>
    <r>
      <rPr>
        <sz val="11"/>
        <color theme="1"/>
        <rFont val="Calibri"/>
        <family val="2"/>
        <scheme val="minor"/>
      </rPr>
      <t xml:space="preserve"> - Student Withdrew From School
</t>
    </r>
    <r>
      <rPr>
        <b/>
        <sz val="11"/>
        <color theme="1"/>
        <rFont val="Calibri"/>
        <family val="2"/>
        <scheme val="minor"/>
      </rPr>
      <t>09</t>
    </r>
    <r>
      <rPr>
        <sz val="11"/>
        <color theme="1"/>
        <rFont val="Calibri"/>
        <family val="2"/>
        <scheme val="minor"/>
      </rPr>
      <t xml:space="preserve"> - School Year Ended
</t>
    </r>
    <r>
      <rPr>
        <b/>
        <sz val="11"/>
        <color theme="1"/>
        <rFont val="Calibri"/>
        <family val="2"/>
        <scheme val="minor"/>
      </rPr>
      <t>10</t>
    </r>
    <r>
      <rPr>
        <sz val="11"/>
        <color theme="1"/>
        <rFont val="Calibri"/>
        <family val="2"/>
        <scheme val="minor"/>
      </rPr>
      <t xml:space="preserve"> - Continuation Of Previous Year's Disciplinary Action Assignment
</t>
    </r>
    <r>
      <rPr>
        <b/>
        <sz val="11"/>
        <color theme="1"/>
        <rFont val="Calibri"/>
        <family val="2"/>
        <scheme val="minor"/>
      </rPr>
      <t>11</t>
    </r>
    <r>
      <rPr>
        <sz val="11"/>
        <color theme="1"/>
        <rFont val="Calibri"/>
        <family val="2"/>
        <scheme val="minor"/>
      </rPr>
      <t xml:space="preserve"> - Term Modified By Placement Program Due To Student Behavior While In The Placement
</t>
    </r>
    <r>
      <rPr>
        <b/>
        <sz val="11"/>
        <color theme="1"/>
        <rFont val="Calibri"/>
        <family val="2"/>
        <scheme val="minor"/>
      </rPr>
      <t>12</t>
    </r>
    <r>
      <rPr>
        <sz val="11"/>
        <color theme="1"/>
        <rFont val="Calibri"/>
        <family val="2"/>
        <scheme val="minor"/>
      </rPr>
      <t xml:space="preserve"> - Other
</t>
    </r>
  </si>
  <si>
    <r>
      <t>REMDW</t>
    </r>
    <r>
      <rPr>
        <sz val="11"/>
        <color theme="1"/>
        <rFont val="Calibri"/>
        <family val="2"/>
        <scheme val="minor"/>
      </rPr>
      <t xml:space="preserve"> - Removal for drugs, weapons, or serious bodily injury
</t>
    </r>
    <r>
      <rPr>
        <b/>
        <sz val="11"/>
        <color theme="1"/>
        <rFont val="Calibri"/>
        <family val="2"/>
        <scheme val="minor"/>
      </rPr>
      <t>REMHO</t>
    </r>
    <r>
      <rPr>
        <sz val="11"/>
        <color theme="1"/>
        <rFont val="Calibri"/>
        <family val="2"/>
        <scheme val="minor"/>
      </rPr>
      <t xml:space="preserve"> - Removed based on a Hearing Officer finding
</t>
    </r>
  </si>
  <si>
    <r>
      <t>Drugs</t>
    </r>
    <r>
      <rPr>
        <sz val="11"/>
        <color theme="1"/>
        <rFont val="Calibri"/>
        <family val="2"/>
        <scheme val="minor"/>
      </rPr>
      <t xml:space="preserve"> - Drugs
</t>
    </r>
    <r>
      <rPr>
        <b/>
        <sz val="11"/>
        <color theme="1"/>
        <rFont val="Calibri"/>
        <family val="2"/>
        <scheme val="minor"/>
      </rPr>
      <t>Weapons</t>
    </r>
    <r>
      <rPr>
        <sz val="11"/>
        <color theme="1"/>
        <rFont val="Calibri"/>
        <family val="2"/>
        <scheme val="minor"/>
      </rPr>
      <t xml:space="preserve"> - Weapons
</t>
    </r>
    <r>
      <rPr>
        <b/>
        <sz val="11"/>
        <color theme="1"/>
        <rFont val="Calibri"/>
        <family val="2"/>
        <scheme val="minor"/>
      </rPr>
      <t>SeriousBodilyInjury</t>
    </r>
    <r>
      <rPr>
        <sz val="11"/>
        <color theme="1"/>
        <rFont val="Calibri"/>
        <family val="2"/>
        <scheme val="minor"/>
      </rPr>
      <t xml:space="preserve"> - Serious bodily injury
</t>
    </r>
  </si>
  <si>
    <r>
      <t>EXPNOTMODNOALT</t>
    </r>
    <r>
      <rPr>
        <sz val="11"/>
        <color theme="1"/>
        <rFont val="Calibri"/>
        <family val="2"/>
        <scheme val="minor"/>
      </rPr>
      <t xml:space="preserve"> - One year expulsion and no educational services
</t>
    </r>
    <r>
      <rPr>
        <b/>
        <sz val="11"/>
        <color theme="1"/>
        <rFont val="Calibri"/>
        <family val="2"/>
        <scheme val="minor"/>
      </rPr>
      <t>EXPMODALT</t>
    </r>
    <r>
      <rPr>
        <sz val="11"/>
        <color theme="1"/>
        <rFont val="Calibri"/>
        <family val="2"/>
        <scheme val="minor"/>
      </rPr>
      <t xml:space="preserve"> - Expulsion modified to less than one year with educational services
</t>
    </r>
    <r>
      <rPr>
        <b/>
        <sz val="11"/>
        <color theme="1"/>
        <rFont val="Calibri"/>
        <family val="2"/>
        <scheme val="minor"/>
      </rPr>
      <t>EXPMODNOALT</t>
    </r>
    <r>
      <rPr>
        <sz val="11"/>
        <color theme="1"/>
        <rFont val="Calibri"/>
        <family val="2"/>
        <scheme val="minor"/>
      </rPr>
      <t xml:space="preserve"> - Expulsion modified to less than one year without educational services
</t>
    </r>
    <r>
      <rPr>
        <b/>
        <sz val="11"/>
        <color theme="1"/>
        <rFont val="Calibri"/>
        <family val="2"/>
        <scheme val="minor"/>
      </rPr>
      <t>EXPALT</t>
    </r>
    <r>
      <rPr>
        <sz val="11"/>
        <color theme="1"/>
        <rFont val="Calibri"/>
        <family val="2"/>
        <scheme val="minor"/>
      </rPr>
      <t xml:space="preserve"> - One year expulsion and educational services
</t>
    </r>
    <r>
      <rPr>
        <b/>
        <sz val="11"/>
        <color theme="1"/>
        <rFont val="Calibri"/>
        <family val="2"/>
        <scheme val="minor"/>
      </rPr>
      <t>REMOVEOTHER</t>
    </r>
    <r>
      <rPr>
        <sz val="11"/>
        <color theme="1"/>
        <rFont val="Calibri"/>
        <family val="2"/>
        <scheme val="minor"/>
      </rPr>
      <t xml:space="preserve"> - Other reasons such as death, withdrawal, or incarceration
</t>
    </r>
    <r>
      <rPr>
        <b/>
        <sz val="11"/>
        <color theme="1"/>
        <rFont val="Calibri"/>
        <family val="2"/>
        <scheme val="minor"/>
      </rPr>
      <t>OTHERDISACTION</t>
    </r>
    <r>
      <rPr>
        <sz val="11"/>
        <color theme="1"/>
        <rFont val="Calibri"/>
        <family val="2"/>
        <scheme val="minor"/>
      </rPr>
      <t xml:space="preserve"> - Another type of disciplinary action
</t>
    </r>
    <r>
      <rPr>
        <b/>
        <sz val="11"/>
        <color theme="1"/>
        <rFont val="Calibri"/>
        <family val="2"/>
        <scheme val="minor"/>
      </rPr>
      <t>NOACTION</t>
    </r>
    <r>
      <rPr>
        <sz val="11"/>
        <color theme="1"/>
        <rFont val="Calibri"/>
        <family val="2"/>
        <scheme val="minor"/>
      </rPr>
      <t xml:space="preserve"> - No disciplinary action taken
</t>
    </r>
  </si>
  <si>
    <r>
      <t>OutOfSchool</t>
    </r>
    <r>
      <rPr>
        <sz val="11"/>
        <color theme="1"/>
        <rFont val="Calibri"/>
        <family val="2"/>
        <scheme val="minor"/>
      </rPr>
      <t xml:space="preserve"> - Out of School Suspensions/Expulsions
</t>
    </r>
    <r>
      <rPr>
        <b/>
        <sz val="11"/>
        <color theme="1"/>
        <rFont val="Calibri"/>
        <family val="2"/>
        <scheme val="minor"/>
      </rPr>
      <t>InSchool</t>
    </r>
    <r>
      <rPr>
        <sz val="11"/>
        <color theme="1"/>
        <rFont val="Calibri"/>
        <family val="2"/>
        <scheme val="minor"/>
      </rPr>
      <t xml:space="preserve"> - In School Suspensions
</t>
    </r>
  </si>
  <si>
    <r>
      <t>EXPMOD</t>
    </r>
    <r>
      <rPr>
        <sz val="11"/>
        <color theme="1"/>
        <rFont val="Calibri"/>
        <family val="2"/>
        <scheme val="minor"/>
      </rPr>
      <t xml:space="preserve"> - Expulsion modified to less than one year with educational services under IDEA
</t>
    </r>
    <r>
      <rPr>
        <b/>
        <sz val="11"/>
        <color theme="1"/>
        <rFont val="Calibri"/>
        <family val="2"/>
        <scheme val="minor"/>
      </rPr>
      <t>EXPNOTMOD</t>
    </r>
    <r>
      <rPr>
        <sz val="11"/>
        <color theme="1"/>
        <rFont val="Calibri"/>
        <family val="2"/>
        <scheme val="minor"/>
      </rPr>
      <t xml:space="preserve"> - One year expulsion with educational services under IDEA
</t>
    </r>
    <r>
      <rPr>
        <b/>
        <sz val="11"/>
        <color theme="1"/>
        <rFont val="Calibri"/>
        <family val="2"/>
        <scheme val="minor"/>
      </rPr>
      <t>REMOVEOTHER</t>
    </r>
    <r>
      <rPr>
        <sz val="11"/>
        <color theme="1"/>
        <rFont val="Calibri"/>
        <family val="2"/>
        <scheme val="minor"/>
      </rPr>
      <t xml:space="preserve"> - Other reasons such as death, withdrawal, or incarceration
</t>
    </r>
    <r>
      <rPr>
        <b/>
        <sz val="11"/>
        <color theme="1"/>
        <rFont val="Calibri"/>
        <family val="2"/>
        <scheme val="minor"/>
      </rPr>
      <t>OTHERDISACTION</t>
    </r>
    <r>
      <rPr>
        <sz val="11"/>
        <color theme="1"/>
        <rFont val="Calibri"/>
        <family val="2"/>
        <scheme val="minor"/>
      </rPr>
      <t xml:space="preserve"> - Another type of disciplinary action
</t>
    </r>
    <r>
      <rPr>
        <b/>
        <sz val="11"/>
        <color theme="1"/>
        <rFont val="Calibri"/>
        <family val="2"/>
        <scheme val="minor"/>
      </rPr>
      <t>NOACTION</t>
    </r>
    <r>
      <rPr>
        <sz val="11"/>
        <color theme="1"/>
        <rFont val="Calibri"/>
        <family val="2"/>
        <scheme val="minor"/>
      </rPr>
      <t xml:space="preserve"> - No disciplinary action taken
</t>
    </r>
  </si>
  <si>
    <t>Economically Disadvantaged</t>
  </si>
  <si>
    <r>
      <t>Free</t>
    </r>
    <r>
      <rPr>
        <sz val="11"/>
        <color theme="1"/>
        <rFont val="Calibri"/>
        <family val="2"/>
        <scheme val="minor"/>
      </rPr>
      <t xml:space="preserve"> - Free
</t>
    </r>
    <r>
      <rPr>
        <b/>
        <sz val="11"/>
        <color theme="1"/>
        <rFont val="Calibri"/>
        <family val="2"/>
        <scheme val="minor"/>
      </rPr>
      <t>FullPrice</t>
    </r>
    <r>
      <rPr>
        <sz val="11"/>
        <color theme="1"/>
        <rFont val="Calibri"/>
        <family val="2"/>
        <scheme val="minor"/>
      </rPr>
      <t xml:space="preserve"> - Full price
</t>
    </r>
    <r>
      <rPr>
        <b/>
        <sz val="11"/>
        <color theme="1"/>
        <rFont val="Calibri"/>
        <family val="2"/>
        <scheme val="minor"/>
      </rPr>
      <t>ReducedPrice</t>
    </r>
    <r>
      <rPr>
        <sz val="11"/>
        <color theme="1"/>
        <rFont val="Calibri"/>
        <family val="2"/>
        <scheme val="minor"/>
      </rPr>
      <t xml:space="preserve"> - Reduced price
</t>
    </r>
    <r>
      <rPr>
        <b/>
        <sz val="11"/>
        <color theme="1"/>
        <rFont val="Calibri"/>
        <family val="2"/>
        <scheme val="minor"/>
      </rPr>
      <t>Other</t>
    </r>
    <r>
      <rPr>
        <sz val="11"/>
        <color theme="1"/>
        <rFont val="Calibri"/>
        <family val="2"/>
        <scheme val="minor"/>
      </rPr>
      <t xml:space="preserve"> - Other
</t>
    </r>
  </si>
  <si>
    <t>Graduation Plan</t>
  </si>
  <si>
    <t>Graduation Plan-&gt;Subject Area</t>
  </si>
  <si>
    <t>Graduation Plan-&gt;Course</t>
  </si>
  <si>
    <r>
      <t>B</t>
    </r>
    <r>
      <rPr>
        <sz val="11"/>
        <color theme="1"/>
        <rFont val="Calibri"/>
        <family val="2"/>
        <scheme val="minor"/>
      </rPr>
      <t xml:space="preserve"> - Basic or remedial
</t>
    </r>
    <r>
      <rPr>
        <b/>
        <sz val="11"/>
        <color theme="1"/>
        <rFont val="Calibri"/>
        <family val="2"/>
        <scheme val="minor"/>
      </rPr>
      <t>E</t>
    </r>
    <r>
      <rPr>
        <sz val="11"/>
        <color theme="1"/>
        <rFont val="Calibri"/>
        <family val="2"/>
        <scheme val="minor"/>
      </rPr>
      <t xml:space="preserve"> - Enriched or advanced
</t>
    </r>
    <r>
      <rPr>
        <b/>
        <sz val="11"/>
        <color theme="1"/>
        <rFont val="Calibri"/>
        <family val="2"/>
        <scheme val="minor"/>
      </rPr>
      <t>G</t>
    </r>
    <r>
      <rPr>
        <sz val="11"/>
        <color theme="1"/>
        <rFont val="Calibri"/>
        <family val="2"/>
        <scheme val="minor"/>
      </rPr>
      <t xml:space="preserve"> - General or regular
</t>
    </r>
    <r>
      <rPr>
        <b/>
        <sz val="11"/>
        <color theme="1"/>
        <rFont val="Calibri"/>
        <family val="2"/>
        <scheme val="minor"/>
      </rPr>
      <t>H</t>
    </r>
    <r>
      <rPr>
        <sz val="11"/>
        <color theme="1"/>
        <rFont val="Calibri"/>
        <family val="2"/>
        <scheme val="minor"/>
      </rPr>
      <t xml:space="preserve"> - Honors
</t>
    </r>
    <r>
      <rPr>
        <b/>
        <sz val="11"/>
        <color theme="1"/>
        <rFont val="Calibri"/>
        <family val="2"/>
        <scheme val="minor"/>
      </rPr>
      <t>C</t>
    </r>
    <r>
      <rPr>
        <sz val="11"/>
        <color theme="1"/>
        <rFont val="Calibri"/>
        <family val="2"/>
        <scheme val="minor"/>
      </rPr>
      <t xml:space="preserve"> - College
</t>
    </r>
    <r>
      <rPr>
        <b/>
        <sz val="11"/>
        <color theme="1"/>
        <rFont val="Calibri"/>
        <family val="2"/>
        <scheme val="minor"/>
      </rPr>
      <t>X</t>
    </r>
    <r>
      <rPr>
        <sz val="11"/>
        <color theme="1"/>
        <rFont val="Calibri"/>
        <family val="2"/>
        <scheme val="minor"/>
      </rPr>
      <t xml:space="preserve"> - No specified level of rigor
</t>
    </r>
  </si>
  <si>
    <t>Immigrant</t>
  </si>
  <si>
    <t>English Learner</t>
  </si>
  <si>
    <r>
      <t>PROGRESS</t>
    </r>
    <r>
      <rPr>
        <sz val="11"/>
        <color theme="1"/>
        <rFont val="Calibri"/>
        <family val="2"/>
        <scheme val="minor"/>
      </rPr>
      <t xml:space="preserve"> - Making progress
</t>
    </r>
    <r>
      <rPr>
        <b/>
        <sz val="11"/>
        <color theme="1"/>
        <rFont val="Calibri"/>
        <family val="2"/>
        <scheme val="minor"/>
      </rPr>
      <t>NOPROGRESS</t>
    </r>
    <r>
      <rPr>
        <sz val="11"/>
        <color theme="1"/>
        <rFont val="Calibri"/>
        <family val="2"/>
        <scheme val="minor"/>
      </rPr>
      <t xml:space="preserve"> - Did not make progress
</t>
    </r>
    <r>
      <rPr>
        <b/>
        <sz val="11"/>
        <color theme="1"/>
        <rFont val="Calibri"/>
        <family val="2"/>
        <scheme val="minor"/>
      </rPr>
      <t>PROFICIENT</t>
    </r>
    <r>
      <rPr>
        <sz val="11"/>
        <color theme="1"/>
        <rFont val="Calibri"/>
        <family val="2"/>
        <scheme val="minor"/>
      </rPr>
      <t xml:space="preserve"> - Attained proficiency
</t>
    </r>
  </si>
  <si>
    <t>Migrant</t>
  </si>
  <si>
    <r>
      <t>01</t>
    </r>
    <r>
      <rPr>
        <sz val="11"/>
        <color theme="1"/>
        <rFont val="Calibri"/>
        <family val="2"/>
        <scheme val="minor"/>
      </rPr>
      <t xml:space="preserve"> - Basic School Program
</t>
    </r>
    <r>
      <rPr>
        <b/>
        <sz val="11"/>
        <color theme="1"/>
        <rFont val="Calibri"/>
        <family val="2"/>
        <scheme val="minor"/>
      </rPr>
      <t>02</t>
    </r>
    <r>
      <rPr>
        <sz val="11"/>
        <color theme="1"/>
        <rFont val="Calibri"/>
        <family val="2"/>
        <scheme val="minor"/>
      </rPr>
      <t xml:space="preserve"> - Regular Term MEP-Funded Project
</t>
    </r>
    <r>
      <rPr>
        <b/>
        <sz val="11"/>
        <color theme="1"/>
        <rFont val="Calibri"/>
        <family val="2"/>
        <scheme val="minor"/>
      </rPr>
      <t>03</t>
    </r>
    <r>
      <rPr>
        <sz val="11"/>
        <color theme="1"/>
        <rFont val="Calibri"/>
        <family val="2"/>
        <scheme val="minor"/>
      </rPr>
      <t xml:space="preserve"> - Summer/Intersession MEP-Funded Project
</t>
    </r>
    <r>
      <rPr>
        <b/>
        <sz val="11"/>
        <color theme="1"/>
        <rFont val="Calibri"/>
        <family val="2"/>
        <scheme val="minor"/>
      </rPr>
      <t>04</t>
    </r>
    <r>
      <rPr>
        <sz val="11"/>
        <color theme="1"/>
        <rFont val="Calibri"/>
        <family val="2"/>
        <scheme val="minor"/>
      </rPr>
      <t xml:space="preserve"> - Year Round MEP-Funded Project
</t>
    </r>
    <r>
      <rPr>
        <b/>
        <sz val="11"/>
        <color theme="1"/>
        <rFont val="Calibri"/>
        <family val="2"/>
        <scheme val="minor"/>
      </rPr>
      <t>05</t>
    </r>
    <r>
      <rPr>
        <sz val="11"/>
        <color theme="1"/>
        <rFont val="Calibri"/>
        <family val="2"/>
        <scheme val="minor"/>
      </rPr>
      <t xml:space="preserve"> - Basic School Program and Regular-Term MEP-Funded Project
</t>
    </r>
    <r>
      <rPr>
        <b/>
        <sz val="11"/>
        <color theme="1"/>
        <rFont val="Calibri"/>
        <family val="2"/>
        <scheme val="minor"/>
      </rPr>
      <t>06</t>
    </r>
    <r>
      <rPr>
        <sz val="11"/>
        <color theme="1"/>
        <rFont val="Calibri"/>
        <family val="2"/>
        <scheme val="minor"/>
      </rPr>
      <t xml:space="preserve"> - Residency Only (none of the above)
</t>
    </r>
  </si>
  <si>
    <r>
      <t>CounselingServices</t>
    </r>
    <r>
      <rPr>
        <sz val="11"/>
        <color theme="1"/>
        <rFont val="Calibri"/>
        <family val="2"/>
        <scheme val="minor"/>
      </rPr>
      <t xml:space="preserve"> - Counseling Services
</t>
    </r>
    <r>
      <rPr>
        <b/>
        <sz val="11"/>
        <color theme="1"/>
        <rFont val="Calibri"/>
        <family val="2"/>
        <scheme val="minor"/>
      </rPr>
      <t>HighSchoolAccrual</t>
    </r>
    <r>
      <rPr>
        <sz val="11"/>
        <color theme="1"/>
        <rFont val="Calibri"/>
        <family val="2"/>
        <scheme val="minor"/>
      </rPr>
      <t xml:space="preserve"> - High School Accrual
</t>
    </r>
    <r>
      <rPr>
        <b/>
        <sz val="11"/>
        <color theme="1"/>
        <rFont val="Calibri"/>
        <family val="2"/>
        <scheme val="minor"/>
      </rPr>
      <t>InstructionalServices</t>
    </r>
    <r>
      <rPr>
        <sz val="11"/>
        <color theme="1"/>
        <rFont val="Calibri"/>
        <family val="2"/>
        <scheme val="minor"/>
      </rPr>
      <t xml:space="preserve"> - Instructional Services
</t>
    </r>
    <r>
      <rPr>
        <b/>
        <sz val="11"/>
        <color theme="1"/>
        <rFont val="Calibri"/>
        <family val="2"/>
        <scheme val="minor"/>
      </rPr>
      <t>MathematicsInstruction</t>
    </r>
    <r>
      <rPr>
        <sz val="11"/>
        <color theme="1"/>
        <rFont val="Calibri"/>
        <family val="2"/>
        <scheme val="minor"/>
      </rPr>
      <t xml:space="preserve"> - Mathematics Instruction
</t>
    </r>
    <r>
      <rPr>
        <b/>
        <sz val="11"/>
        <color theme="1"/>
        <rFont val="Calibri"/>
        <family val="2"/>
        <scheme val="minor"/>
      </rPr>
      <t>ReadingInstruction</t>
    </r>
    <r>
      <rPr>
        <sz val="11"/>
        <color theme="1"/>
        <rFont val="Calibri"/>
        <family val="2"/>
        <scheme val="minor"/>
      </rPr>
      <t xml:space="preserve"> - Reading Instruction
</t>
    </r>
    <r>
      <rPr>
        <b/>
        <sz val="11"/>
        <color theme="1"/>
        <rFont val="Calibri"/>
        <family val="2"/>
        <scheme val="minor"/>
      </rPr>
      <t>ReferralServices</t>
    </r>
    <r>
      <rPr>
        <sz val="11"/>
        <color theme="1"/>
        <rFont val="Calibri"/>
        <family val="2"/>
        <scheme val="minor"/>
      </rPr>
      <t xml:space="preserve"> - Referral Services
</t>
    </r>
    <r>
      <rPr>
        <b/>
        <sz val="11"/>
        <color theme="1"/>
        <rFont val="Calibri"/>
        <family val="2"/>
        <scheme val="minor"/>
      </rPr>
      <t>SupportServices</t>
    </r>
    <r>
      <rPr>
        <sz val="11"/>
        <color theme="1"/>
        <rFont val="Calibri"/>
        <family val="2"/>
        <scheme val="minor"/>
      </rPr>
      <t xml:space="preserve"> - Support Services
</t>
    </r>
  </si>
  <si>
    <r>
      <t>01</t>
    </r>
    <r>
      <rPr>
        <sz val="11"/>
        <color theme="1"/>
        <rFont val="Calibri"/>
        <family val="2"/>
        <scheme val="minor"/>
      </rPr>
      <t xml:space="preserve"> - Providing services for the duration of the term
</t>
    </r>
    <r>
      <rPr>
        <b/>
        <sz val="11"/>
        <color theme="1"/>
        <rFont val="Calibri"/>
        <family val="2"/>
        <scheme val="minor"/>
      </rPr>
      <t>02</t>
    </r>
    <r>
      <rPr>
        <sz val="11"/>
        <color theme="1"/>
        <rFont val="Calibri"/>
        <family val="2"/>
        <scheme val="minor"/>
      </rPr>
      <t xml:space="preserve"> - Providing services for an additional year -comparable services are not available
</t>
    </r>
    <r>
      <rPr>
        <b/>
        <sz val="11"/>
        <color theme="1"/>
        <rFont val="Calibri"/>
        <family val="2"/>
        <scheme val="minor"/>
      </rPr>
      <t>03</t>
    </r>
    <r>
      <rPr>
        <sz val="11"/>
        <color theme="1"/>
        <rFont val="Calibri"/>
        <family val="2"/>
        <scheme val="minor"/>
      </rPr>
      <t xml:space="preserve"> - Serving secondary students through credit accrual programs
</t>
    </r>
  </si>
  <si>
    <r>
      <t>SchoolBased</t>
    </r>
    <r>
      <rPr>
        <sz val="11"/>
        <color theme="1"/>
        <rFont val="Calibri"/>
        <family val="2"/>
        <scheme val="minor"/>
      </rPr>
      <t xml:space="preserve"> - School-based MEP Project
</t>
    </r>
    <r>
      <rPr>
        <b/>
        <sz val="11"/>
        <color theme="1"/>
        <rFont val="Calibri"/>
        <family val="2"/>
        <scheme val="minor"/>
      </rPr>
      <t>NonSchoolBased</t>
    </r>
    <r>
      <rPr>
        <sz val="11"/>
        <color theme="1"/>
        <rFont val="Calibri"/>
        <family val="2"/>
        <scheme val="minor"/>
      </rPr>
      <t xml:space="preserve"> - Non-school-based MEP project
</t>
    </r>
  </si>
  <si>
    <t>Neglected or Delinquent</t>
  </si>
  <si>
    <r>
      <t>NeglectedPrograms</t>
    </r>
    <r>
      <rPr>
        <sz val="11"/>
        <color theme="1"/>
        <rFont val="Calibri"/>
        <family val="2"/>
        <scheme val="minor"/>
      </rPr>
      <t xml:space="preserve"> - Neglected programs
</t>
    </r>
    <r>
      <rPr>
        <b/>
        <sz val="11"/>
        <color theme="1"/>
        <rFont val="Calibri"/>
        <family val="2"/>
        <scheme val="minor"/>
      </rPr>
      <t>JuvenileDetention</t>
    </r>
    <r>
      <rPr>
        <sz val="11"/>
        <color theme="1"/>
        <rFont val="Calibri"/>
        <family val="2"/>
        <scheme val="minor"/>
      </rPr>
      <t xml:space="preserve"> - Juvenile Detention
</t>
    </r>
    <r>
      <rPr>
        <b/>
        <sz val="11"/>
        <color theme="1"/>
        <rFont val="Calibri"/>
        <family val="2"/>
        <scheme val="minor"/>
      </rPr>
      <t>JuvenileCorrection</t>
    </r>
    <r>
      <rPr>
        <sz val="11"/>
        <color theme="1"/>
        <rFont val="Calibri"/>
        <family val="2"/>
        <scheme val="minor"/>
      </rPr>
      <t xml:space="preserve"> - Juvenile Correction
</t>
    </r>
    <r>
      <rPr>
        <b/>
        <sz val="11"/>
        <color theme="1"/>
        <rFont val="Calibri"/>
        <family val="2"/>
        <scheme val="minor"/>
      </rPr>
      <t>AdultCorrection</t>
    </r>
    <r>
      <rPr>
        <sz val="11"/>
        <color theme="1"/>
        <rFont val="Calibri"/>
        <family val="2"/>
        <scheme val="minor"/>
      </rPr>
      <t xml:space="preserve"> - Adult Correction
</t>
    </r>
    <r>
      <rPr>
        <b/>
        <sz val="11"/>
        <color theme="1"/>
        <rFont val="Calibri"/>
        <family val="2"/>
        <scheme val="minor"/>
      </rPr>
      <t>AtRiskPrograms</t>
    </r>
    <r>
      <rPr>
        <sz val="11"/>
        <color theme="1"/>
        <rFont val="Calibri"/>
        <family val="2"/>
        <scheme val="minor"/>
      </rPr>
      <t xml:space="preserve"> - At-risk programs
</t>
    </r>
    <r>
      <rPr>
        <b/>
        <sz val="11"/>
        <color theme="1"/>
        <rFont val="Calibri"/>
        <family val="2"/>
        <scheme val="minor"/>
      </rPr>
      <t>OtherPrograms</t>
    </r>
    <r>
      <rPr>
        <sz val="11"/>
        <color theme="1"/>
        <rFont val="Calibri"/>
        <family val="2"/>
        <scheme val="minor"/>
      </rPr>
      <t xml:space="preserve"> - Other Programs
</t>
    </r>
  </si>
  <si>
    <r>
      <t>Apprenticeship</t>
    </r>
    <r>
      <rPr>
        <sz val="11"/>
        <color theme="1"/>
        <rFont val="Calibri"/>
        <family val="2"/>
        <scheme val="minor"/>
      </rPr>
      <t xml:space="preserve"> - Apprenticeship
</t>
    </r>
    <r>
      <rPr>
        <b/>
        <sz val="11"/>
        <color theme="1"/>
        <rFont val="Calibri"/>
        <family val="2"/>
        <scheme val="minor"/>
      </rPr>
      <t>ClinicalWork</t>
    </r>
    <r>
      <rPr>
        <sz val="11"/>
        <color theme="1"/>
        <rFont val="Calibri"/>
        <family val="2"/>
        <scheme val="minor"/>
      </rPr>
      <t xml:space="preserve"> - Clinical work experience
</t>
    </r>
    <r>
      <rPr>
        <b/>
        <sz val="11"/>
        <color theme="1"/>
        <rFont val="Calibri"/>
        <family val="2"/>
        <scheme val="minor"/>
      </rPr>
      <t>CooperativeEducation</t>
    </r>
    <r>
      <rPr>
        <sz val="11"/>
        <color theme="1"/>
        <rFont val="Calibri"/>
        <family val="2"/>
        <scheme val="minor"/>
      </rPr>
      <t xml:space="preserve"> - Cooperative education
</t>
    </r>
    <r>
      <rPr>
        <b/>
        <sz val="11"/>
        <color theme="1"/>
        <rFont val="Calibri"/>
        <family val="2"/>
        <scheme val="minor"/>
      </rPr>
      <t>JobShadowing</t>
    </r>
    <r>
      <rPr>
        <sz val="11"/>
        <color theme="1"/>
        <rFont val="Calibri"/>
        <family val="2"/>
        <scheme val="minor"/>
      </rPr>
      <t xml:space="preserve"> - Job shadowing
</t>
    </r>
    <r>
      <rPr>
        <b/>
        <sz val="11"/>
        <color theme="1"/>
        <rFont val="Calibri"/>
        <family val="2"/>
        <scheme val="minor"/>
      </rPr>
      <t>Mentorship</t>
    </r>
    <r>
      <rPr>
        <sz val="11"/>
        <color theme="1"/>
        <rFont val="Calibri"/>
        <family val="2"/>
        <scheme val="minor"/>
      </rPr>
      <t xml:space="preserve"> - Mentorship
</t>
    </r>
    <r>
      <rPr>
        <b/>
        <sz val="11"/>
        <color theme="1"/>
        <rFont val="Calibri"/>
        <family val="2"/>
        <scheme val="minor"/>
      </rPr>
      <t>NonPaidInternship</t>
    </r>
    <r>
      <rPr>
        <sz val="11"/>
        <color theme="1"/>
        <rFont val="Calibri"/>
        <family val="2"/>
        <scheme val="minor"/>
      </rPr>
      <t xml:space="preserve"> - Non-Paid Internship
</t>
    </r>
    <r>
      <rPr>
        <b/>
        <sz val="11"/>
        <color theme="1"/>
        <rFont val="Calibri"/>
        <family val="2"/>
        <scheme val="minor"/>
      </rPr>
      <t>OnTheJob</t>
    </r>
    <r>
      <rPr>
        <sz val="11"/>
        <color theme="1"/>
        <rFont val="Calibri"/>
        <family val="2"/>
        <scheme val="minor"/>
      </rPr>
      <t xml:space="preserve"> - On-the-Job
</t>
    </r>
    <r>
      <rPr>
        <b/>
        <sz val="11"/>
        <color theme="1"/>
        <rFont val="Calibri"/>
        <family val="2"/>
        <scheme val="minor"/>
      </rPr>
      <t>PaidInternship</t>
    </r>
    <r>
      <rPr>
        <sz val="11"/>
        <color theme="1"/>
        <rFont val="Calibri"/>
        <family val="2"/>
        <scheme val="minor"/>
      </rPr>
      <t xml:space="preserve"> - Paid internship
</t>
    </r>
    <r>
      <rPr>
        <b/>
        <sz val="11"/>
        <color theme="1"/>
        <rFont val="Calibri"/>
        <family val="2"/>
        <scheme val="minor"/>
      </rPr>
      <t>ServiceLearning</t>
    </r>
    <r>
      <rPr>
        <sz val="11"/>
        <color theme="1"/>
        <rFont val="Calibri"/>
        <family val="2"/>
        <scheme val="minor"/>
      </rPr>
      <t xml:space="preserve"> - Service learning
</t>
    </r>
    <r>
      <rPr>
        <b/>
        <sz val="11"/>
        <color theme="1"/>
        <rFont val="Calibri"/>
        <family val="2"/>
        <scheme val="minor"/>
      </rPr>
      <t>SupervisedAgricultural</t>
    </r>
    <r>
      <rPr>
        <sz val="11"/>
        <color theme="1"/>
        <rFont val="Calibri"/>
        <family val="2"/>
        <scheme val="minor"/>
      </rPr>
      <t xml:space="preserve"> - Supervised agricultural experience
</t>
    </r>
    <r>
      <rPr>
        <b/>
        <sz val="11"/>
        <color theme="1"/>
        <rFont val="Calibri"/>
        <family val="2"/>
        <scheme val="minor"/>
      </rPr>
      <t>UnpaidInternship</t>
    </r>
    <r>
      <rPr>
        <sz val="11"/>
        <color theme="1"/>
        <rFont val="Calibri"/>
        <family val="2"/>
        <scheme val="minor"/>
      </rPr>
      <t xml:space="preserve"> - Unpaid internship
</t>
    </r>
    <r>
      <rPr>
        <b/>
        <sz val="11"/>
        <color theme="1"/>
        <rFont val="Calibri"/>
        <family val="2"/>
        <scheme val="minor"/>
      </rPr>
      <t>Other</t>
    </r>
    <r>
      <rPr>
        <sz val="11"/>
        <color theme="1"/>
        <rFont val="Calibri"/>
        <family val="2"/>
        <scheme val="minor"/>
      </rPr>
      <t xml:space="preserve"> - Other
</t>
    </r>
  </si>
  <si>
    <t>Learner Action</t>
  </si>
  <si>
    <r>
      <t>abandoned</t>
    </r>
    <r>
      <rPr>
        <sz val="11"/>
        <color theme="1"/>
        <rFont val="Calibri"/>
        <family val="2"/>
        <scheme val="minor"/>
      </rPr>
      <t xml:space="preserve"> - Abandoned
</t>
    </r>
    <r>
      <rPr>
        <b/>
        <sz val="11"/>
        <color theme="1"/>
        <rFont val="Calibri"/>
        <family val="2"/>
        <scheme val="minor"/>
      </rPr>
      <t>answered</t>
    </r>
    <r>
      <rPr>
        <sz val="11"/>
        <color theme="1"/>
        <rFont val="Calibri"/>
        <family val="2"/>
        <scheme val="minor"/>
      </rPr>
      <t xml:space="preserve"> - Answered
</t>
    </r>
    <r>
      <rPr>
        <b/>
        <sz val="11"/>
        <color theme="1"/>
        <rFont val="Calibri"/>
        <family val="2"/>
        <scheme val="minor"/>
      </rPr>
      <t>asked</t>
    </r>
    <r>
      <rPr>
        <sz val="11"/>
        <color theme="1"/>
        <rFont val="Calibri"/>
        <family val="2"/>
        <scheme val="minor"/>
      </rPr>
      <t xml:space="preserve"> - Asked
</t>
    </r>
    <r>
      <rPr>
        <b/>
        <sz val="11"/>
        <color theme="1"/>
        <rFont val="Calibri"/>
        <family val="2"/>
        <scheme val="minor"/>
      </rPr>
      <t>attempted</t>
    </r>
    <r>
      <rPr>
        <sz val="11"/>
        <color theme="1"/>
        <rFont val="Calibri"/>
        <family val="2"/>
        <scheme val="minor"/>
      </rPr>
      <t xml:space="preserve"> - Attempted
</t>
    </r>
    <r>
      <rPr>
        <b/>
        <sz val="11"/>
        <color theme="1"/>
        <rFont val="Calibri"/>
        <family val="2"/>
        <scheme val="minor"/>
      </rPr>
      <t>attended</t>
    </r>
    <r>
      <rPr>
        <sz val="11"/>
        <color theme="1"/>
        <rFont val="Calibri"/>
        <family val="2"/>
        <scheme val="minor"/>
      </rPr>
      <t xml:space="preserve"> - Attended
</t>
    </r>
    <r>
      <rPr>
        <b/>
        <sz val="11"/>
        <color theme="1"/>
        <rFont val="Calibri"/>
        <family val="2"/>
        <scheme val="minor"/>
      </rPr>
      <t>commented</t>
    </r>
    <r>
      <rPr>
        <sz val="11"/>
        <color theme="1"/>
        <rFont val="Calibri"/>
        <family val="2"/>
        <scheme val="minor"/>
      </rPr>
      <t xml:space="preserve"> - Commented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exited</t>
    </r>
    <r>
      <rPr>
        <sz val="11"/>
        <color theme="1"/>
        <rFont val="Calibri"/>
        <family val="2"/>
        <scheme val="minor"/>
      </rPr>
      <t xml:space="preserve"> - Exited
</t>
    </r>
    <r>
      <rPr>
        <b/>
        <sz val="11"/>
        <color theme="1"/>
        <rFont val="Calibri"/>
        <family val="2"/>
        <scheme val="minor"/>
      </rPr>
      <t>experienced</t>
    </r>
    <r>
      <rPr>
        <sz val="11"/>
        <color theme="1"/>
        <rFont val="Calibri"/>
        <family val="2"/>
        <scheme val="minor"/>
      </rPr>
      <t xml:space="preserve"> - Experienced
</t>
    </r>
    <r>
      <rPr>
        <b/>
        <sz val="11"/>
        <color theme="1"/>
        <rFont val="Calibri"/>
        <family val="2"/>
        <scheme val="minor"/>
      </rPr>
      <t>failed</t>
    </r>
    <r>
      <rPr>
        <sz val="11"/>
        <color theme="1"/>
        <rFont val="Calibri"/>
        <family val="2"/>
        <scheme val="minor"/>
      </rPr>
      <t xml:space="preserve"> - Failed
</t>
    </r>
    <r>
      <rPr>
        <b/>
        <sz val="11"/>
        <color theme="1"/>
        <rFont val="Calibri"/>
        <family val="2"/>
        <scheme val="minor"/>
      </rPr>
      <t>imported</t>
    </r>
    <r>
      <rPr>
        <sz val="11"/>
        <color theme="1"/>
        <rFont val="Calibri"/>
        <family val="2"/>
        <scheme val="minor"/>
      </rPr>
      <t xml:space="preserve"> - Imported
</t>
    </r>
    <r>
      <rPr>
        <b/>
        <sz val="11"/>
        <color theme="1"/>
        <rFont val="Calibri"/>
        <family val="2"/>
        <scheme val="minor"/>
      </rPr>
      <t>initialized</t>
    </r>
    <r>
      <rPr>
        <sz val="11"/>
        <color theme="1"/>
        <rFont val="Calibri"/>
        <family val="2"/>
        <scheme val="minor"/>
      </rPr>
      <t xml:space="preserve"> - Initialized
</t>
    </r>
    <r>
      <rPr>
        <b/>
        <sz val="11"/>
        <color theme="1"/>
        <rFont val="Calibri"/>
        <family val="2"/>
        <scheme val="minor"/>
      </rPr>
      <t>interacted</t>
    </r>
    <r>
      <rPr>
        <sz val="11"/>
        <color theme="1"/>
        <rFont val="Calibri"/>
        <family val="2"/>
        <scheme val="minor"/>
      </rPr>
      <t xml:space="preserve"> - Interacted
</t>
    </r>
    <r>
      <rPr>
        <b/>
        <sz val="11"/>
        <color theme="1"/>
        <rFont val="Calibri"/>
        <family val="2"/>
        <scheme val="minor"/>
      </rPr>
      <t>launched</t>
    </r>
    <r>
      <rPr>
        <sz val="11"/>
        <color theme="1"/>
        <rFont val="Calibri"/>
        <family val="2"/>
        <scheme val="minor"/>
      </rPr>
      <t xml:space="preserve"> - Launched
</t>
    </r>
    <r>
      <rPr>
        <b/>
        <sz val="11"/>
        <color theme="1"/>
        <rFont val="Calibri"/>
        <family val="2"/>
        <scheme val="minor"/>
      </rPr>
      <t>logged-in</t>
    </r>
    <r>
      <rPr>
        <sz val="11"/>
        <color theme="1"/>
        <rFont val="Calibri"/>
        <family val="2"/>
        <scheme val="minor"/>
      </rPr>
      <t xml:space="preserve"> - Logged-In
</t>
    </r>
    <r>
      <rPr>
        <b/>
        <sz val="11"/>
        <color theme="1"/>
        <rFont val="Calibri"/>
        <family val="2"/>
        <scheme val="minor"/>
      </rPr>
      <t>logged-out</t>
    </r>
    <r>
      <rPr>
        <sz val="11"/>
        <color theme="1"/>
        <rFont val="Calibri"/>
        <family val="2"/>
        <scheme val="minor"/>
      </rPr>
      <t xml:space="preserve"> - Logged-Out
</t>
    </r>
    <r>
      <rPr>
        <b/>
        <sz val="11"/>
        <color theme="1"/>
        <rFont val="Calibri"/>
        <family val="2"/>
        <scheme val="minor"/>
      </rPr>
      <t>mastered</t>
    </r>
    <r>
      <rPr>
        <sz val="11"/>
        <color theme="1"/>
        <rFont val="Calibri"/>
        <family val="2"/>
        <scheme val="minor"/>
      </rPr>
      <t xml:space="preserve"> - Mastered
</t>
    </r>
    <r>
      <rPr>
        <b/>
        <sz val="11"/>
        <color theme="1"/>
        <rFont val="Calibri"/>
        <family val="2"/>
        <scheme val="minor"/>
      </rPr>
      <t>passed</t>
    </r>
    <r>
      <rPr>
        <sz val="11"/>
        <color theme="1"/>
        <rFont val="Calibri"/>
        <family val="2"/>
        <scheme val="minor"/>
      </rPr>
      <t xml:space="preserve"> - Passed
</t>
    </r>
    <r>
      <rPr>
        <b/>
        <sz val="11"/>
        <color theme="1"/>
        <rFont val="Calibri"/>
        <family val="2"/>
        <scheme val="minor"/>
      </rPr>
      <t>preferred</t>
    </r>
    <r>
      <rPr>
        <sz val="11"/>
        <color theme="1"/>
        <rFont val="Calibri"/>
        <family val="2"/>
        <scheme val="minor"/>
      </rPr>
      <t xml:space="preserve"> - Preferred
</t>
    </r>
    <r>
      <rPr>
        <b/>
        <sz val="11"/>
        <color theme="1"/>
        <rFont val="Calibri"/>
        <family val="2"/>
        <scheme val="minor"/>
      </rPr>
      <t>progressed</t>
    </r>
    <r>
      <rPr>
        <sz val="11"/>
        <color theme="1"/>
        <rFont val="Calibri"/>
        <family val="2"/>
        <scheme val="minor"/>
      </rPr>
      <t xml:space="preserve"> - Progressed
</t>
    </r>
    <r>
      <rPr>
        <b/>
        <sz val="11"/>
        <color theme="1"/>
        <rFont val="Calibri"/>
        <family val="2"/>
        <scheme val="minor"/>
      </rPr>
      <t>registered</t>
    </r>
    <r>
      <rPr>
        <sz val="11"/>
        <color theme="1"/>
        <rFont val="Calibri"/>
        <family val="2"/>
        <scheme val="minor"/>
      </rPr>
      <t xml:space="preserve"> - Registered
</t>
    </r>
    <r>
      <rPr>
        <b/>
        <sz val="11"/>
        <color theme="1"/>
        <rFont val="Calibri"/>
        <family val="2"/>
        <scheme val="minor"/>
      </rPr>
      <t>responded</t>
    </r>
    <r>
      <rPr>
        <sz val="11"/>
        <color theme="1"/>
        <rFont val="Calibri"/>
        <family val="2"/>
        <scheme val="minor"/>
      </rPr>
      <t xml:space="preserve"> - Responded
</t>
    </r>
    <r>
      <rPr>
        <b/>
        <sz val="11"/>
        <color theme="1"/>
        <rFont val="Calibri"/>
        <family val="2"/>
        <scheme val="minor"/>
      </rPr>
      <t>resumed</t>
    </r>
    <r>
      <rPr>
        <sz val="11"/>
        <color theme="1"/>
        <rFont val="Calibri"/>
        <family val="2"/>
        <scheme val="minor"/>
      </rPr>
      <t xml:space="preserve"> - Resumed
</t>
    </r>
    <r>
      <rPr>
        <b/>
        <sz val="11"/>
        <color theme="1"/>
        <rFont val="Calibri"/>
        <family val="2"/>
        <scheme val="minor"/>
      </rPr>
      <t>satisfied</t>
    </r>
    <r>
      <rPr>
        <sz val="11"/>
        <color theme="1"/>
        <rFont val="Calibri"/>
        <family val="2"/>
        <scheme val="minor"/>
      </rPr>
      <t xml:space="preserve"> - Satisfied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shared</t>
    </r>
    <r>
      <rPr>
        <sz val="11"/>
        <color theme="1"/>
        <rFont val="Calibri"/>
        <family val="2"/>
        <scheme val="minor"/>
      </rPr>
      <t xml:space="preserve"> - Shared
</t>
    </r>
    <r>
      <rPr>
        <b/>
        <sz val="11"/>
        <color theme="1"/>
        <rFont val="Calibri"/>
        <family val="2"/>
        <scheme val="minor"/>
      </rPr>
      <t>suspended</t>
    </r>
    <r>
      <rPr>
        <sz val="11"/>
        <color theme="1"/>
        <rFont val="Calibri"/>
        <family val="2"/>
        <scheme val="minor"/>
      </rPr>
      <t xml:space="preserve"> - Suspended
</t>
    </r>
    <r>
      <rPr>
        <b/>
        <sz val="11"/>
        <color theme="1"/>
        <rFont val="Calibri"/>
        <family val="2"/>
        <scheme val="minor"/>
      </rPr>
      <t>terminated</t>
    </r>
    <r>
      <rPr>
        <sz val="11"/>
        <color theme="1"/>
        <rFont val="Calibri"/>
        <family val="2"/>
        <scheme val="minor"/>
      </rPr>
      <t xml:space="preserve"> - Terminated
</t>
    </r>
    <r>
      <rPr>
        <b/>
        <sz val="11"/>
        <color theme="1"/>
        <rFont val="Calibri"/>
        <family val="2"/>
        <scheme val="minor"/>
      </rPr>
      <t>voided</t>
    </r>
    <r>
      <rPr>
        <sz val="11"/>
        <color theme="1"/>
        <rFont val="Calibri"/>
        <family val="2"/>
        <scheme val="minor"/>
      </rPr>
      <t xml:space="preserve"> - Voided
</t>
    </r>
    <r>
      <rPr>
        <b/>
        <sz val="11"/>
        <color theme="1"/>
        <rFont val="Calibri"/>
        <family val="2"/>
        <scheme val="minor"/>
      </rPr>
      <t>waived</t>
    </r>
    <r>
      <rPr>
        <sz val="11"/>
        <color theme="1"/>
        <rFont val="Calibri"/>
        <family val="2"/>
        <scheme val="minor"/>
      </rPr>
      <t xml:space="preserve"> - Waived
</t>
    </r>
  </si>
  <si>
    <t>K12 Staff</t>
  </si>
  <si>
    <t>Assignment</t>
  </si>
  <si>
    <r>
      <t>AdministrativeSupportStaff</t>
    </r>
    <r>
      <rPr>
        <sz val="11"/>
        <color theme="1"/>
        <rFont val="Calibri"/>
        <family val="2"/>
        <scheme val="minor"/>
      </rPr>
      <t xml:space="preserve"> - Administrative Support Staff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AllOtherSupportStaff</t>
    </r>
    <r>
      <rPr>
        <sz val="11"/>
        <color theme="1"/>
        <rFont val="Calibri"/>
        <family val="2"/>
        <scheme val="minor"/>
      </rPr>
      <t xml:space="preserve"> - All Other Support Staff 
</t>
    </r>
    <r>
      <rPr>
        <b/>
        <sz val="11"/>
        <color theme="1"/>
        <rFont val="Calibri"/>
        <family val="2"/>
        <scheme val="minor"/>
      </rPr>
      <t>BehavioralSpecialists</t>
    </r>
    <r>
      <rPr>
        <sz val="11"/>
        <color theme="1"/>
        <rFont val="Calibri"/>
        <family val="2"/>
        <scheme val="minor"/>
      </rPr>
      <t xml:space="preserve"> - Behavioral Specialists
</t>
    </r>
    <r>
      <rPr>
        <b/>
        <sz val="11"/>
        <color theme="1"/>
        <rFont val="Calibri"/>
        <family val="2"/>
        <scheme val="minor"/>
      </rPr>
      <t>ELAssistantTeachers</t>
    </r>
    <r>
      <rPr>
        <sz val="11"/>
        <color theme="1"/>
        <rFont val="Calibri"/>
        <family val="2"/>
        <scheme val="minor"/>
      </rPr>
      <t xml:space="preserve"> - Early Learning Assistant Teachers
</t>
    </r>
    <r>
      <rPr>
        <b/>
        <sz val="11"/>
        <color theme="1"/>
        <rFont val="Calibri"/>
        <family val="2"/>
        <scheme val="minor"/>
      </rPr>
      <t>ELTeachers</t>
    </r>
    <r>
      <rPr>
        <sz val="11"/>
        <color theme="1"/>
        <rFont val="Calibri"/>
        <family val="2"/>
        <scheme val="minor"/>
      </rPr>
      <t xml:space="preserve"> - Early Learning Teachers
</t>
    </r>
    <r>
      <rPr>
        <b/>
        <sz val="11"/>
        <color theme="1"/>
        <rFont val="Calibri"/>
        <family val="2"/>
        <scheme val="minor"/>
      </rPr>
      <t>ElementaryTeachers</t>
    </r>
    <r>
      <rPr>
        <sz val="11"/>
        <color theme="1"/>
        <rFont val="Calibri"/>
        <family val="2"/>
        <scheme val="minor"/>
      </rPr>
      <t xml:space="preserve"> - Elementary Teachers
</t>
    </r>
    <r>
      <rPr>
        <b/>
        <sz val="11"/>
        <color theme="1"/>
        <rFont val="Calibri"/>
        <family val="2"/>
        <scheme val="minor"/>
      </rPr>
      <t>FamilyServiceWorkers</t>
    </r>
    <r>
      <rPr>
        <sz val="11"/>
        <color theme="1"/>
        <rFont val="Calibri"/>
        <family val="2"/>
        <scheme val="minor"/>
      </rPr>
      <t xml:space="preserve"> - Family Service Workers
</t>
    </r>
    <r>
      <rPr>
        <b/>
        <sz val="11"/>
        <color theme="1"/>
        <rFont val="Calibri"/>
        <family val="2"/>
        <scheme val="minor"/>
      </rPr>
      <t>HealthSpecialists</t>
    </r>
    <r>
      <rPr>
        <sz val="11"/>
        <color theme="1"/>
        <rFont val="Calibri"/>
        <family val="2"/>
        <scheme val="minor"/>
      </rPr>
      <t xml:space="preserve"> - Health Specialists
</t>
    </r>
    <r>
      <rPr>
        <b/>
        <sz val="11"/>
        <color theme="1"/>
        <rFont val="Calibri"/>
        <family val="2"/>
        <scheme val="minor"/>
      </rPr>
      <t>HomeVisitors</t>
    </r>
    <r>
      <rPr>
        <sz val="11"/>
        <color theme="1"/>
        <rFont val="Calibri"/>
        <family val="2"/>
        <scheme val="minor"/>
      </rPr>
      <t xml:space="preserve"> - Home Visitors
</t>
    </r>
    <r>
      <rPr>
        <b/>
        <sz val="11"/>
        <color theme="1"/>
        <rFont val="Calibri"/>
        <family val="2"/>
        <scheme val="minor"/>
      </rPr>
      <t>InstructionalCoordinators</t>
    </r>
    <r>
      <rPr>
        <sz val="11"/>
        <color theme="1"/>
        <rFont val="Calibri"/>
        <family val="2"/>
        <scheme val="minor"/>
      </rPr>
      <t xml:space="preserve"> - Instructional Coordinators
</t>
    </r>
    <r>
      <rPr>
        <b/>
        <sz val="11"/>
        <color theme="1"/>
        <rFont val="Calibri"/>
        <family val="2"/>
        <scheme val="minor"/>
      </rPr>
      <t>KindergartenTeachers</t>
    </r>
    <r>
      <rPr>
        <sz val="11"/>
        <color theme="1"/>
        <rFont val="Calibri"/>
        <family val="2"/>
        <scheme val="minor"/>
      </rPr>
      <t xml:space="preserve"> - Kindergarten Teachers
</t>
    </r>
    <r>
      <rPr>
        <b/>
        <sz val="11"/>
        <color theme="1"/>
        <rFont val="Calibri"/>
        <family val="2"/>
        <scheme val="minor"/>
      </rPr>
      <t>LibraryMediaSpecialists</t>
    </r>
    <r>
      <rPr>
        <sz val="11"/>
        <color theme="1"/>
        <rFont val="Calibri"/>
        <family val="2"/>
        <scheme val="minor"/>
      </rPr>
      <t xml:space="preserve"> - Librarians/Media Specialists
</t>
    </r>
    <r>
      <rPr>
        <b/>
        <sz val="11"/>
        <color theme="1"/>
        <rFont val="Calibri"/>
        <family val="2"/>
        <scheme val="minor"/>
      </rPr>
      <t>LibraryMediaSupportStaff</t>
    </r>
    <r>
      <rPr>
        <sz val="11"/>
        <color theme="1"/>
        <rFont val="Calibri"/>
        <family val="2"/>
        <scheme val="minor"/>
      </rPr>
      <t xml:space="preserve"> - Library/Media Support Staff
</t>
    </r>
    <r>
      <rPr>
        <b/>
        <sz val="11"/>
        <color theme="1"/>
        <rFont val="Calibri"/>
        <family val="2"/>
        <scheme val="minor"/>
      </rPr>
      <t>MentalHealthSpecialists</t>
    </r>
    <r>
      <rPr>
        <sz val="11"/>
        <color theme="1"/>
        <rFont val="Calibri"/>
        <family val="2"/>
        <scheme val="minor"/>
      </rPr>
      <t xml:space="preserve"> - Mental Health Specialists
</t>
    </r>
    <r>
      <rPr>
        <b/>
        <sz val="11"/>
        <color theme="1"/>
        <rFont val="Calibri"/>
        <family val="2"/>
        <scheme val="minor"/>
      </rPr>
      <t>NutritionSpecialists</t>
    </r>
    <r>
      <rPr>
        <sz val="11"/>
        <color theme="1"/>
        <rFont val="Calibri"/>
        <family val="2"/>
        <scheme val="minor"/>
      </rPr>
      <t xml:space="preserve"> - Nutrition Specialists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PartCEarlyInterventionists</t>
    </r>
    <r>
      <rPr>
        <sz val="11"/>
        <color theme="1"/>
        <rFont val="Calibri"/>
        <family val="2"/>
        <scheme val="minor"/>
      </rPr>
      <t xml:space="preserve"> - Part C Early Interventionists
</t>
    </r>
    <r>
      <rPr>
        <b/>
        <sz val="11"/>
        <color theme="1"/>
        <rFont val="Calibri"/>
        <family val="2"/>
        <scheme val="minor"/>
      </rPr>
      <t>PartCServiceCoordinators</t>
    </r>
    <r>
      <rPr>
        <sz val="11"/>
        <color theme="1"/>
        <rFont val="Calibri"/>
        <family val="2"/>
        <scheme val="minor"/>
      </rPr>
      <t xml:space="preserve"> - Part C Service Coordinators
</t>
    </r>
    <r>
      <rPr>
        <b/>
        <sz val="11"/>
        <color theme="1"/>
        <rFont val="Calibri"/>
        <family val="2"/>
        <scheme val="minor"/>
      </rPr>
      <t>SchoolCounselors</t>
    </r>
    <r>
      <rPr>
        <sz val="11"/>
        <color theme="1"/>
        <rFont val="Calibri"/>
        <family val="2"/>
        <scheme val="minor"/>
      </rPr>
      <t xml:space="preserve"> - School Counselors
</t>
    </r>
    <r>
      <rPr>
        <b/>
        <sz val="11"/>
        <color theme="1"/>
        <rFont val="Calibri"/>
        <family val="2"/>
        <scheme val="minor"/>
      </rPr>
      <t>SecondaryTeachers</t>
    </r>
    <r>
      <rPr>
        <sz val="11"/>
        <color theme="1"/>
        <rFont val="Calibri"/>
        <family val="2"/>
        <scheme val="minor"/>
      </rPr>
      <t xml:space="preserve"> - Secondary Teachers
</t>
    </r>
    <r>
      <rPr>
        <b/>
        <sz val="11"/>
        <color theme="1"/>
        <rFont val="Calibri"/>
        <family val="2"/>
        <scheme val="minor"/>
      </rPr>
      <t>SocialWorkers</t>
    </r>
    <r>
      <rPr>
        <sz val="11"/>
        <color theme="1"/>
        <rFont val="Calibri"/>
        <family val="2"/>
        <scheme val="minor"/>
      </rPr>
      <t xml:space="preserve"> - Social Workers
</t>
    </r>
    <r>
      <rPr>
        <b/>
        <sz val="11"/>
        <color theme="1"/>
        <rFont val="Calibri"/>
        <family val="2"/>
        <scheme val="minor"/>
      </rPr>
      <t>SpecialEducationTeachers</t>
    </r>
    <r>
      <rPr>
        <sz val="11"/>
        <color theme="1"/>
        <rFont val="Calibri"/>
        <family val="2"/>
        <scheme val="minor"/>
      </rPr>
      <t xml:space="preserve"> - Special Education Teachers
</t>
    </r>
    <r>
      <rPr>
        <b/>
        <sz val="11"/>
        <color theme="1"/>
        <rFont val="Calibri"/>
        <family val="2"/>
        <scheme val="minor"/>
      </rPr>
      <t>SpecialNeedsSpecialists</t>
    </r>
    <r>
      <rPr>
        <sz val="11"/>
        <color theme="1"/>
        <rFont val="Calibri"/>
        <family val="2"/>
        <scheme val="minor"/>
      </rPr>
      <t xml:space="preserve"> - Special Needs Specialists
</t>
    </r>
    <r>
      <rPr>
        <b/>
        <sz val="11"/>
        <color theme="1"/>
        <rFont val="Calibri"/>
        <family val="2"/>
        <scheme val="minor"/>
      </rPr>
      <t>StudentSupportServicesStaff</t>
    </r>
    <r>
      <rPr>
        <sz val="11"/>
        <color theme="1"/>
        <rFont val="Calibri"/>
        <family val="2"/>
        <scheme val="minor"/>
      </rPr>
      <t xml:space="preserve"> - Student Support Services Staff
</t>
    </r>
    <r>
      <rPr>
        <b/>
        <sz val="11"/>
        <color theme="1"/>
        <rFont val="Calibri"/>
        <family val="2"/>
        <scheme val="minor"/>
      </rPr>
      <t>UngradedTeachers</t>
    </r>
    <r>
      <rPr>
        <sz val="11"/>
        <color theme="1"/>
        <rFont val="Calibri"/>
        <family val="2"/>
        <scheme val="minor"/>
      </rPr>
      <t xml:space="preserve"> - Ungraded Teachers
</t>
    </r>
    <r>
      <rPr>
        <b/>
        <sz val="11"/>
        <color theme="1"/>
        <rFont val="Calibri"/>
        <family val="2"/>
        <scheme val="minor"/>
      </rPr>
      <t>PrekindergartenTeachers</t>
    </r>
    <r>
      <rPr>
        <sz val="11"/>
        <color theme="1"/>
        <rFont val="Calibri"/>
        <family val="2"/>
        <scheme val="minor"/>
      </rPr>
      <t xml:space="preserve"> - Pre-kindergarten Teachers
</t>
    </r>
    <r>
      <rPr>
        <b/>
        <sz val="11"/>
        <color theme="1"/>
        <rFont val="Calibri"/>
        <family val="2"/>
        <scheme val="minor"/>
      </rPr>
      <t>SchoolPsychologist</t>
    </r>
    <r>
      <rPr>
        <sz val="11"/>
        <color theme="1"/>
        <rFont val="Calibri"/>
        <family val="2"/>
        <scheme val="minor"/>
      </rPr>
      <t xml:space="preserve"> - School Psychologist
</t>
    </r>
  </si>
  <si>
    <r>
      <t>03187</t>
    </r>
    <r>
      <rPr>
        <sz val="11"/>
        <color theme="1"/>
        <rFont val="Calibri"/>
        <family val="2"/>
        <scheme val="minor"/>
      </rPr>
      <t xml:space="preserve"> - Administrative staff
</t>
    </r>
    <r>
      <rPr>
        <b/>
        <sz val="11"/>
        <color theme="1"/>
        <rFont val="Calibri"/>
        <family val="2"/>
        <scheme val="minor"/>
      </rPr>
      <t>73071</t>
    </r>
    <r>
      <rPr>
        <sz val="11"/>
        <color theme="1"/>
        <rFont val="Calibri"/>
        <family val="2"/>
        <scheme val="minor"/>
      </rPr>
      <t xml:space="preserve"> - Co-teacher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73073</t>
    </r>
    <r>
      <rPr>
        <sz val="11"/>
        <color theme="1"/>
        <rFont val="Calibri"/>
        <family val="2"/>
        <scheme val="minor"/>
      </rPr>
      <t xml:space="preserve"> - Course Proctor
</t>
    </r>
    <r>
      <rPr>
        <b/>
        <sz val="11"/>
        <color theme="1"/>
        <rFont val="Calibri"/>
        <family val="2"/>
        <scheme val="minor"/>
      </rPr>
      <t>05973</t>
    </r>
    <r>
      <rPr>
        <sz val="11"/>
        <color theme="1"/>
        <rFont val="Calibri"/>
        <family val="2"/>
        <scheme val="minor"/>
      </rPr>
      <t xml:space="preserve"> - Instructor of record
</t>
    </r>
    <r>
      <rPr>
        <b/>
        <sz val="11"/>
        <color theme="1"/>
        <rFont val="Calibri"/>
        <family val="2"/>
        <scheme val="minor"/>
      </rPr>
      <t>01234</t>
    </r>
    <r>
      <rPr>
        <sz val="11"/>
        <color theme="1"/>
        <rFont val="Calibri"/>
        <family val="2"/>
        <scheme val="minor"/>
      </rPr>
      <t xml:space="preserve"> - Intern
</t>
    </r>
    <r>
      <rPr>
        <b/>
        <sz val="11"/>
        <color theme="1"/>
        <rFont val="Calibri"/>
        <family val="2"/>
        <scheme val="minor"/>
      </rPr>
      <t>73072</t>
    </r>
    <r>
      <rPr>
        <sz val="11"/>
        <color theme="1"/>
        <rFont val="Calibri"/>
        <family val="2"/>
        <scheme val="minor"/>
      </rPr>
      <t xml:space="preserve"> - Lead Team Teacher
</t>
    </r>
    <r>
      <rPr>
        <b/>
        <sz val="11"/>
        <color theme="1"/>
        <rFont val="Calibri"/>
        <family val="2"/>
        <scheme val="minor"/>
      </rPr>
      <t>00069</t>
    </r>
    <r>
      <rPr>
        <sz val="11"/>
        <color theme="1"/>
        <rFont val="Calibri"/>
        <family val="2"/>
        <scheme val="minor"/>
      </rPr>
      <t xml:space="preserve"> - Non-instructional staff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00059</t>
    </r>
    <r>
      <rPr>
        <sz val="11"/>
        <color theme="1"/>
        <rFont val="Calibri"/>
        <family val="2"/>
        <scheme val="minor"/>
      </rPr>
      <t xml:space="preserve"> - Paraprofessionals/teacher aides
</t>
    </r>
    <r>
      <rPr>
        <b/>
        <sz val="11"/>
        <color theme="1"/>
        <rFont val="Calibri"/>
        <family val="2"/>
        <scheme val="minor"/>
      </rPr>
      <t>05971</t>
    </r>
    <r>
      <rPr>
        <sz val="11"/>
        <color theme="1"/>
        <rFont val="Calibri"/>
        <family val="2"/>
        <scheme val="minor"/>
      </rPr>
      <t xml:space="preserve"> - Primary instructor
</t>
    </r>
    <r>
      <rPr>
        <b/>
        <sz val="11"/>
        <color theme="1"/>
        <rFont val="Calibri"/>
        <family val="2"/>
        <scheme val="minor"/>
      </rPr>
      <t>04735</t>
    </r>
    <r>
      <rPr>
        <sz val="11"/>
        <color theme="1"/>
        <rFont val="Calibri"/>
        <family val="2"/>
        <scheme val="minor"/>
      </rPr>
      <t xml:space="preserve"> - Resource teacher
</t>
    </r>
    <r>
      <rPr>
        <b/>
        <sz val="11"/>
        <color theme="1"/>
        <rFont val="Calibri"/>
        <family val="2"/>
        <scheme val="minor"/>
      </rPr>
      <t>05972</t>
    </r>
    <r>
      <rPr>
        <sz val="11"/>
        <color theme="1"/>
        <rFont val="Calibri"/>
        <family val="2"/>
        <scheme val="minor"/>
      </rPr>
      <t xml:space="preserve"> - Secondary instructor
</t>
    </r>
    <r>
      <rPr>
        <b/>
        <sz val="11"/>
        <color theme="1"/>
        <rFont val="Calibri"/>
        <family val="2"/>
        <scheme val="minor"/>
      </rPr>
      <t>73074</t>
    </r>
    <r>
      <rPr>
        <sz val="11"/>
        <color theme="1"/>
        <rFont val="Calibri"/>
        <family val="2"/>
        <scheme val="minor"/>
      </rPr>
      <t xml:space="preserve"> - Special Education Consultant
</t>
    </r>
    <r>
      <rPr>
        <b/>
        <sz val="11"/>
        <color theme="1"/>
        <rFont val="Calibri"/>
        <family val="2"/>
        <scheme val="minor"/>
      </rPr>
      <t>00080</t>
    </r>
    <r>
      <rPr>
        <sz val="11"/>
        <color theme="1"/>
        <rFont val="Calibri"/>
        <family val="2"/>
        <scheme val="minor"/>
      </rPr>
      <t xml:space="preserve"> - Student teachers
</t>
    </r>
    <r>
      <rPr>
        <b/>
        <sz val="11"/>
        <color theme="1"/>
        <rFont val="Calibri"/>
        <family val="2"/>
        <scheme val="minor"/>
      </rPr>
      <t>01382</t>
    </r>
    <r>
      <rPr>
        <sz val="11"/>
        <color theme="1"/>
        <rFont val="Calibri"/>
        <family val="2"/>
        <scheme val="minor"/>
      </rPr>
      <t xml:space="preserve"> - Volunteer/no contract
</t>
    </r>
  </si>
  <si>
    <r>
      <t>Teachers</t>
    </r>
    <r>
      <rPr>
        <sz val="11"/>
        <color theme="1"/>
        <rFont val="Calibri"/>
        <family val="2"/>
        <scheme val="minor"/>
      </rPr>
      <t xml:space="preserve"> - Teachers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Counselors</t>
    </r>
    <r>
      <rPr>
        <sz val="11"/>
        <color theme="1"/>
        <rFont val="Calibri"/>
        <family val="2"/>
        <scheme val="minor"/>
      </rPr>
      <t xml:space="preserve"> - Counselors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Recruiters</t>
    </r>
    <r>
      <rPr>
        <sz val="11"/>
        <color theme="1"/>
        <rFont val="Calibri"/>
        <family val="2"/>
        <scheme val="minor"/>
      </rPr>
      <t xml:space="preserve"> - Recruiters
</t>
    </r>
    <r>
      <rPr>
        <b/>
        <sz val="11"/>
        <color theme="1"/>
        <rFont val="Calibri"/>
        <family val="2"/>
        <scheme val="minor"/>
      </rPr>
      <t>RecordsTransferStaff</t>
    </r>
    <r>
      <rPr>
        <sz val="11"/>
        <color theme="1"/>
        <rFont val="Calibri"/>
        <family val="2"/>
        <scheme val="minor"/>
      </rPr>
      <t xml:space="preserve"> - Records Transfer Staff
</t>
    </r>
  </si>
  <si>
    <r>
      <t>TitleITeacher</t>
    </r>
    <r>
      <rPr>
        <sz val="11"/>
        <color theme="1"/>
        <rFont val="Calibri"/>
        <family val="2"/>
        <scheme val="minor"/>
      </rPr>
      <t xml:space="preserve"> - Title I Teachers
</t>
    </r>
    <r>
      <rPr>
        <b/>
        <sz val="11"/>
        <color theme="1"/>
        <rFont val="Calibri"/>
        <family val="2"/>
        <scheme val="minor"/>
      </rPr>
      <t>TitleIParaprofessional</t>
    </r>
    <r>
      <rPr>
        <sz val="11"/>
        <color theme="1"/>
        <rFont val="Calibri"/>
        <family val="2"/>
        <scheme val="minor"/>
      </rPr>
      <t xml:space="preserve"> - Title I Paraprofessionals 
</t>
    </r>
    <r>
      <rPr>
        <b/>
        <sz val="11"/>
        <color theme="1"/>
        <rFont val="Calibri"/>
        <family val="2"/>
        <scheme val="minor"/>
      </rPr>
      <t>TitleISupportStaff</t>
    </r>
    <r>
      <rPr>
        <sz val="11"/>
        <color theme="1"/>
        <rFont val="Calibri"/>
        <family val="2"/>
        <scheme val="minor"/>
      </rPr>
      <t xml:space="preserve"> - Title I Clerical Support Staff
</t>
    </r>
    <r>
      <rPr>
        <b/>
        <sz val="11"/>
        <color theme="1"/>
        <rFont val="Calibri"/>
        <family val="2"/>
        <scheme val="minor"/>
      </rPr>
      <t>TitleIAdministrator</t>
    </r>
    <r>
      <rPr>
        <sz val="11"/>
        <color theme="1"/>
        <rFont val="Calibri"/>
        <family val="2"/>
        <scheme val="minor"/>
      </rPr>
      <t xml:space="preserve"> - Title I Administrators (non-clerical)
</t>
    </r>
    <r>
      <rPr>
        <b/>
        <sz val="11"/>
        <color theme="1"/>
        <rFont val="Calibri"/>
        <family val="2"/>
        <scheme val="minor"/>
      </rPr>
      <t>TitleIOtherParaprofessional</t>
    </r>
    <r>
      <rPr>
        <sz val="11"/>
        <color theme="1"/>
        <rFont val="Calibri"/>
        <family val="2"/>
        <scheme val="minor"/>
      </rPr>
      <t xml:space="preserve"> - Title I Other Paraprofessionals
</t>
    </r>
  </si>
  <si>
    <r>
      <t>3TO5</t>
    </r>
    <r>
      <rPr>
        <sz val="11"/>
        <color theme="1"/>
        <rFont val="Calibri"/>
        <family val="2"/>
        <scheme val="minor"/>
      </rPr>
      <t xml:space="preserve"> - 3 through 5
</t>
    </r>
    <r>
      <rPr>
        <b/>
        <sz val="11"/>
        <color theme="1"/>
        <rFont val="Calibri"/>
        <family val="2"/>
        <scheme val="minor"/>
      </rPr>
      <t>6TO21</t>
    </r>
    <r>
      <rPr>
        <sz val="11"/>
        <color theme="1"/>
        <rFont val="Calibri"/>
        <family val="2"/>
        <scheme val="minor"/>
      </rPr>
      <t xml:space="preserve"> - 6 through 21
</t>
    </r>
  </si>
  <si>
    <r>
      <t>04723</t>
    </r>
    <r>
      <rPr>
        <sz val="11"/>
        <color theme="1"/>
        <rFont val="Calibri"/>
        <family val="2"/>
        <scheme val="minor"/>
      </rPr>
      <t xml:space="preserve"> - Athletic coach
</t>
    </r>
    <r>
      <rPr>
        <b/>
        <sz val="11"/>
        <color theme="1"/>
        <rFont val="Calibri"/>
        <family val="2"/>
        <scheme val="minor"/>
      </rPr>
      <t>04724</t>
    </r>
    <r>
      <rPr>
        <sz val="11"/>
        <color theme="1"/>
        <rFont val="Calibri"/>
        <family val="2"/>
        <scheme val="minor"/>
      </rPr>
      <t xml:space="preserve"> - Behavioral management specialist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04726</t>
    </r>
    <r>
      <rPr>
        <sz val="11"/>
        <color theme="1"/>
        <rFont val="Calibri"/>
        <family val="2"/>
        <scheme val="minor"/>
      </rPr>
      <t xml:space="preserve"> - Curriculum specialist
</t>
    </r>
    <r>
      <rPr>
        <b/>
        <sz val="11"/>
        <color theme="1"/>
        <rFont val="Calibri"/>
        <family val="2"/>
        <scheme val="minor"/>
      </rPr>
      <t>04727</t>
    </r>
    <r>
      <rPr>
        <sz val="11"/>
        <color theme="1"/>
        <rFont val="Calibri"/>
        <family val="2"/>
        <scheme val="minor"/>
      </rPr>
      <t xml:space="preserve"> - Education diagnostician
</t>
    </r>
    <r>
      <rPr>
        <b/>
        <sz val="11"/>
        <color theme="1"/>
        <rFont val="Calibri"/>
        <family val="2"/>
        <scheme val="minor"/>
      </rPr>
      <t>04728</t>
    </r>
    <r>
      <rPr>
        <sz val="11"/>
        <color theme="1"/>
        <rFont val="Calibri"/>
        <family val="2"/>
        <scheme val="minor"/>
      </rPr>
      <t xml:space="preserve"> - Librarian/media consultant
</t>
    </r>
    <r>
      <rPr>
        <b/>
        <sz val="11"/>
        <color theme="1"/>
        <rFont val="Calibri"/>
        <family val="2"/>
        <scheme val="minor"/>
      </rPr>
      <t>04729</t>
    </r>
    <r>
      <rPr>
        <sz val="11"/>
        <color theme="1"/>
        <rFont val="Calibri"/>
        <family val="2"/>
        <scheme val="minor"/>
      </rPr>
      <t xml:space="preserve"> - Remedial specialist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04731</t>
    </r>
    <r>
      <rPr>
        <sz val="11"/>
        <color theme="1"/>
        <rFont val="Calibri"/>
        <family val="2"/>
        <scheme val="minor"/>
      </rPr>
      <t xml:space="preserve"> - Student teacher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04733</t>
    </r>
    <r>
      <rPr>
        <sz val="11"/>
        <color theme="1"/>
        <rFont val="Calibri"/>
        <family val="2"/>
        <scheme val="minor"/>
      </rPr>
      <t xml:space="preserve"> - Teacher trainer
</t>
    </r>
    <r>
      <rPr>
        <b/>
        <sz val="11"/>
        <color theme="1"/>
        <rFont val="Calibri"/>
        <family val="2"/>
        <scheme val="minor"/>
      </rPr>
      <t>04734</t>
    </r>
    <r>
      <rPr>
        <sz val="11"/>
        <color theme="1"/>
        <rFont val="Calibri"/>
        <family val="2"/>
        <scheme val="minor"/>
      </rPr>
      <t xml:space="preserve"> - Teaching intern
</t>
    </r>
    <r>
      <rPr>
        <b/>
        <sz val="11"/>
        <color theme="1"/>
        <rFont val="Calibri"/>
        <family val="2"/>
        <scheme val="minor"/>
      </rPr>
      <t>04735</t>
    </r>
    <r>
      <rPr>
        <sz val="11"/>
        <color theme="1"/>
        <rFont val="Calibri"/>
        <family val="2"/>
        <scheme val="minor"/>
      </rPr>
      <t xml:space="preserve"> - Resource teacher
</t>
    </r>
    <r>
      <rPr>
        <b/>
        <sz val="11"/>
        <color theme="1"/>
        <rFont val="Calibri"/>
        <family val="2"/>
        <scheme val="minor"/>
      </rPr>
      <t>09999</t>
    </r>
    <r>
      <rPr>
        <sz val="11"/>
        <color theme="1"/>
        <rFont val="Calibri"/>
        <family val="2"/>
        <scheme val="minor"/>
      </rPr>
      <t xml:space="preserve"> - Other
</t>
    </r>
  </si>
  <si>
    <r>
      <t>Emergency</t>
    </r>
    <r>
      <rPr>
        <sz val="11"/>
        <color theme="1"/>
        <rFont val="Calibri"/>
        <family val="2"/>
        <scheme val="minor"/>
      </rPr>
      <t xml:space="preserve"> - Emergency
</t>
    </r>
    <r>
      <rPr>
        <b/>
        <sz val="11"/>
        <color theme="1"/>
        <rFont val="Calibri"/>
        <family val="2"/>
        <scheme val="minor"/>
      </rPr>
      <t>Intern</t>
    </r>
    <r>
      <rPr>
        <sz val="11"/>
        <color theme="1"/>
        <rFont val="Calibri"/>
        <family val="2"/>
        <scheme val="minor"/>
      </rPr>
      <t xml:space="preserve"> - Intern
</t>
    </r>
    <r>
      <rPr>
        <b/>
        <sz val="11"/>
        <color theme="1"/>
        <rFont val="Calibri"/>
        <family val="2"/>
        <scheme val="minor"/>
      </rPr>
      <t>Master</t>
    </r>
    <r>
      <rPr>
        <sz val="11"/>
        <color theme="1"/>
        <rFont val="Calibri"/>
        <family val="2"/>
        <scheme val="minor"/>
      </rPr>
      <t xml:space="preserve"> - Master
</t>
    </r>
    <r>
      <rPr>
        <b/>
        <sz val="11"/>
        <color theme="1"/>
        <rFont val="Calibri"/>
        <family val="2"/>
        <scheme val="minor"/>
      </rPr>
      <t>Nonrenewable</t>
    </r>
    <r>
      <rPr>
        <sz val="11"/>
        <color theme="1"/>
        <rFont val="Calibri"/>
        <family val="2"/>
        <scheme val="minor"/>
      </rPr>
      <t xml:space="preserve"> - Nonrenewable
</t>
    </r>
    <r>
      <rPr>
        <b/>
        <sz val="11"/>
        <color theme="1"/>
        <rFont val="Calibri"/>
        <family val="2"/>
        <scheme val="minor"/>
      </rPr>
      <t>Probationary</t>
    </r>
    <r>
      <rPr>
        <sz val="11"/>
        <color theme="1"/>
        <rFont val="Calibri"/>
        <family val="2"/>
        <scheme val="minor"/>
      </rPr>
      <t xml:space="preserve"> - Probationary/initial
</t>
    </r>
    <r>
      <rPr>
        <b/>
        <sz val="11"/>
        <color theme="1"/>
        <rFont val="Calibri"/>
        <family val="2"/>
        <scheme val="minor"/>
      </rPr>
      <t>Professional</t>
    </r>
    <r>
      <rPr>
        <sz val="11"/>
        <color theme="1"/>
        <rFont val="Calibri"/>
        <family val="2"/>
        <scheme val="minor"/>
      </rPr>
      <t xml:space="preserve"> - Professional
</t>
    </r>
    <r>
      <rPr>
        <b/>
        <sz val="11"/>
        <color theme="1"/>
        <rFont val="Calibri"/>
        <family val="2"/>
        <scheme val="minor"/>
      </rPr>
      <t>Provisional</t>
    </r>
    <r>
      <rPr>
        <sz val="11"/>
        <color theme="1"/>
        <rFont val="Calibri"/>
        <family val="2"/>
        <scheme val="minor"/>
      </rPr>
      <t xml:space="preserve"> - Provisional
</t>
    </r>
    <r>
      <rPr>
        <b/>
        <sz val="11"/>
        <color theme="1"/>
        <rFont val="Calibri"/>
        <family val="2"/>
        <scheme val="minor"/>
      </rPr>
      <t>Regular</t>
    </r>
    <r>
      <rPr>
        <sz val="11"/>
        <color theme="1"/>
        <rFont val="Calibri"/>
        <family val="2"/>
        <scheme val="minor"/>
      </rPr>
      <t xml:space="preserve"> - Regular/standard
</t>
    </r>
    <r>
      <rPr>
        <b/>
        <sz val="11"/>
        <color theme="1"/>
        <rFont val="Calibri"/>
        <family val="2"/>
        <scheme val="minor"/>
      </rPr>
      <t>Retired</t>
    </r>
    <r>
      <rPr>
        <sz val="11"/>
        <color theme="1"/>
        <rFont val="Calibri"/>
        <family val="2"/>
        <scheme val="minor"/>
      </rPr>
      <t xml:space="preserve"> - Retired
</t>
    </r>
    <r>
      <rPr>
        <b/>
        <sz val="11"/>
        <color theme="1"/>
        <rFont val="Calibri"/>
        <family val="2"/>
        <scheme val="minor"/>
      </rPr>
      <t>Specialist</t>
    </r>
    <r>
      <rPr>
        <sz val="11"/>
        <color theme="1"/>
        <rFont val="Calibri"/>
        <family val="2"/>
        <scheme val="minor"/>
      </rPr>
      <t xml:space="preserve"> - Specialist
</t>
    </r>
    <r>
      <rPr>
        <b/>
        <sz val="11"/>
        <color theme="1"/>
        <rFont val="Calibri"/>
        <family val="2"/>
        <scheme val="minor"/>
      </rPr>
      <t>Substitute</t>
    </r>
    <r>
      <rPr>
        <sz val="11"/>
        <color theme="1"/>
        <rFont val="Calibri"/>
        <family val="2"/>
        <scheme val="minor"/>
      </rPr>
      <t xml:space="preserve"> - Substitute
</t>
    </r>
    <r>
      <rPr>
        <b/>
        <sz val="11"/>
        <color theme="1"/>
        <rFont val="Calibri"/>
        <family val="2"/>
        <scheme val="minor"/>
      </rPr>
      <t>TeacherAssistant</t>
    </r>
    <r>
      <rPr>
        <sz val="11"/>
        <color theme="1"/>
        <rFont val="Calibri"/>
        <family val="2"/>
        <scheme val="minor"/>
      </rPr>
      <t xml:space="preserve"> - Teacher assistant
</t>
    </r>
    <r>
      <rPr>
        <b/>
        <sz val="11"/>
        <color theme="1"/>
        <rFont val="Calibri"/>
        <family val="2"/>
        <scheme val="minor"/>
      </rPr>
      <t>Temporary</t>
    </r>
    <r>
      <rPr>
        <sz val="11"/>
        <color theme="1"/>
        <rFont val="Calibri"/>
        <family val="2"/>
        <scheme val="minor"/>
      </rPr>
      <t xml:space="preserve"> - Temporary
</t>
    </r>
    <r>
      <rPr>
        <b/>
        <sz val="11"/>
        <color theme="1"/>
        <rFont val="Calibri"/>
        <family val="2"/>
        <scheme val="minor"/>
      </rPr>
      <t>09999</t>
    </r>
    <r>
      <rPr>
        <sz val="11"/>
        <color theme="1"/>
        <rFont val="Calibri"/>
        <family val="2"/>
        <scheme val="minor"/>
      </rPr>
      <t xml:space="preserve"> - Other
</t>
    </r>
  </si>
  <si>
    <r>
      <t>01050</t>
    </r>
    <r>
      <rPr>
        <sz val="11"/>
        <color theme="1"/>
        <rFont val="Calibri"/>
        <family val="2"/>
        <scheme val="minor"/>
      </rPr>
      <t xml:space="preserve"> - Associate's degree (two years or more) 
</t>
    </r>
    <r>
      <rPr>
        <b/>
        <sz val="11"/>
        <color theme="1"/>
        <rFont val="Calibri"/>
        <family val="2"/>
        <scheme val="minor"/>
      </rPr>
      <t>01235</t>
    </r>
    <r>
      <rPr>
        <sz val="11"/>
        <color theme="1"/>
        <rFont val="Calibri"/>
        <family val="2"/>
        <scheme val="minor"/>
      </rPr>
      <t xml:space="preserve"> - 4-year bachelor's degree
</t>
    </r>
    <r>
      <rPr>
        <b/>
        <sz val="11"/>
        <color theme="1"/>
        <rFont val="Calibri"/>
        <family val="2"/>
        <scheme val="minor"/>
      </rPr>
      <t>01236</t>
    </r>
    <r>
      <rPr>
        <sz val="11"/>
        <color theme="1"/>
        <rFont val="Calibri"/>
        <family val="2"/>
        <scheme val="minor"/>
      </rPr>
      <t xml:space="preserve"> - 5-year bachelor's degree
</t>
    </r>
    <r>
      <rPr>
        <b/>
        <sz val="11"/>
        <color theme="1"/>
        <rFont val="Calibri"/>
        <family val="2"/>
        <scheme val="minor"/>
      </rPr>
      <t>73205</t>
    </r>
    <r>
      <rPr>
        <sz val="11"/>
        <color theme="1"/>
        <rFont val="Calibri"/>
        <family val="2"/>
        <scheme val="minor"/>
      </rPr>
      <t xml:space="preserve"> - Post-baccalaureate certificate
</t>
    </r>
    <r>
      <rPr>
        <b/>
        <sz val="11"/>
        <color theme="1"/>
        <rFont val="Calibri"/>
        <family val="2"/>
        <scheme val="minor"/>
      </rPr>
      <t>01237</t>
    </r>
    <r>
      <rPr>
        <sz val="11"/>
        <color theme="1"/>
        <rFont val="Calibri"/>
        <family val="2"/>
        <scheme val="minor"/>
      </rPr>
      <t xml:space="preserve"> - Master's degree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01238</t>
    </r>
    <r>
      <rPr>
        <sz val="11"/>
        <color theme="1"/>
        <rFont val="Calibri"/>
        <family val="2"/>
        <scheme val="minor"/>
      </rPr>
      <t xml:space="preserve"> - Doctoral degree
</t>
    </r>
    <r>
      <rPr>
        <b/>
        <sz val="11"/>
        <color theme="1"/>
        <rFont val="Calibri"/>
        <family val="2"/>
        <scheme val="minor"/>
      </rPr>
      <t>73206</t>
    </r>
    <r>
      <rPr>
        <sz val="11"/>
        <color theme="1"/>
        <rFont val="Calibri"/>
        <family val="2"/>
        <scheme val="minor"/>
      </rPr>
      <t xml:space="preserve"> - Post-doctoral certificate
</t>
    </r>
    <r>
      <rPr>
        <b/>
        <sz val="11"/>
        <color theme="1"/>
        <rFont val="Calibri"/>
        <family val="2"/>
        <scheme val="minor"/>
      </rPr>
      <t>01239</t>
    </r>
    <r>
      <rPr>
        <sz val="11"/>
        <color theme="1"/>
        <rFont val="Calibri"/>
        <family val="2"/>
        <scheme val="minor"/>
      </rPr>
      <t xml:space="preserve"> - Met state testing requirement
</t>
    </r>
    <r>
      <rPr>
        <b/>
        <sz val="11"/>
        <color theme="1"/>
        <rFont val="Calibri"/>
        <family val="2"/>
        <scheme val="minor"/>
      </rPr>
      <t>01240</t>
    </r>
    <r>
      <rPr>
        <sz val="11"/>
        <color theme="1"/>
        <rFont val="Calibri"/>
        <family val="2"/>
        <scheme val="minor"/>
      </rPr>
      <t xml:space="preserve"> - Special/alternative program completion
</t>
    </r>
    <r>
      <rPr>
        <b/>
        <sz val="11"/>
        <color theme="1"/>
        <rFont val="Calibri"/>
        <family val="2"/>
        <scheme val="minor"/>
      </rPr>
      <t>01241</t>
    </r>
    <r>
      <rPr>
        <sz val="11"/>
        <color theme="1"/>
        <rFont val="Calibri"/>
        <family val="2"/>
        <scheme val="minor"/>
      </rPr>
      <t xml:space="preserve"> - Relevant experience
</t>
    </r>
    <r>
      <rPr>
        <b/>
        <sz val="11"/>
        <color theme="1"/>
        <rFont val="Calibri"/>
        <family val="2"/>
        <scheme val="minor"/>
      </rPr>
      <t>01242</t>
    </r>
    <r>
      <rPr>
        <sz val="11"/>
        <color theme="1"/>
        <rFont val="Calibri"/>
        <family val="2"/>
        <scheme val="minor"/>
      </rPr>
      <t xml:space="preserve"> - Credentials based on reciprocation with another state
</t>
    </r>
  </si>
  <si>
    <r>
      <t>HighlyQualitifed</t>
    </r>
    <r>
      <rPr>
        <sz val="11"/>
        <color theme="1"/>
        <rFont val="Calibri"/>
        <family val="2"/>
        <scheme val="minor"/>
      </rPr>
      <t xml:space="preserve"> - Highly qualified
</t>
    </r>
    <r>
      <rPr>
        <b/>
        <sz val="11"/>
        <color theme="1"/>
        <rFont val="Calibri"/>
        <family val="2"/>
        <scheme val="minor"/>
      </rPr>
      <t>NotHighlyQualified</t>
    </r>
    <r>
      <rPr>
        <sz val="11"/>
        <color theme="1"/>
        <rFont val="Calibri"/>
        <family val="2"/>
        <scheme val="minor"/>
      </rPr>
      <t xml:space="preserve"> - Not highly qualified
</t>
    </r>
  </si>
  <si>
    <r>
      <t>Qualified</t>
    </r>
    <r>
      <rPr>
        <sz val="11"/>
        <color theme="1"/>
        <rFont val="Calibri"/>
        <family val="2"/>
        <scheme val="minor"/>
      </rPr>
      <t xml:space="preserve"> - Qualified
</t>
    </r>
    <r>
      <rPr>
        <b/>
        <sz val="11"/>
        <color theme="1"/>
        <rFont val="Calibri"/>
        <family val="2"/>
        <scheme val="minor"/>
      </rPr>
      <t>NotQualified</t>
    </r>
    <r>
      <rPr>
        <sz val="11"/>
        <color theme="1"/>
        <rFont val="Calibri"/>
        <family val="2"/>
        <scheme val="minor"/>
      </rPr>
      <t xml:space="preserve"> - Not Qualified
</t>
    </r>
  </si>
  <si>
    <r>
      <t>Business</t>
    </r>
    <r>
      <rPr>
        <sz val="11"/>
        <color theme="1"/>
        <rFont val="Calibri"/>
        <family val="2"/>
        <scheme val="minor"/>
      </rPr>
      <t xml:space="preserve"> - Business
</t>
    </r>
    <r>
      <rPr>
        <b/>
        <sz val="11"/>
        <color theme="1"/>
        <rFont val="Calibri"/>
        <family val="2"/>
        <scheme val="minor"/>
      </rPr>
      <t>EducationOrganizationNetwork</t>
    </r>
    <r>
      <rPr>
        <sz val="11"/>
        <color theme="1"/>
        <rFont val="Calibri"/>
        <family val="2"/>
        <scheme val="minor"/>
      </rPr>
      <t xml:space="preserve"> - Education organization network
</t>
    </r>
    <r>
      <rPr>
        <b/>
        <sz val="11"/>
        <color theme="1"/>
        <rFont val="Calibri"/>
        <family val="2"/>
        <scheme val="minor"/>
      </rPr>
      <t>EducationServiceCenter</t>
    </r>
    <r>
      <rPr>
        <sz val="11"/>
        <color theme="1"/>
        <rFont val="Calibri"/>
        <family val="2"/>
        <scheme val="minor"/>
      </rPr>
      <t xml:space="preserve"> - Education Service Center
</t>
    </r>
    <r>
      <rPr>
        <b/>
        <sz val="11"/>
        <color theme="1"/>
        <rFont val="Calibri"/>
        <family val="2"/>
        <scheme val="minor"/>
      </rPr>
      <t>Federal</t>
    </r>
    <r>
      <rPr>
        <sz val="11"/>
        <color theme="1"/>
        <rFont val="Calibri"/>
        <family val="2"/>
        <scheme val="minor"/>
      </rPr>
      <t xml:space="preserve"> - Federal government
</t>
    </r>
    <r>
      <rPr>
        <b/>
        <sz val="11"/>
        <color theme="1"/>
        <rFont val="Calibri"/>
        <family val="2"/>
        <scheme val="minor"/>
      </rPr>
      <t>LEA</t>
    </r>
    <r>
      <rPr>
        <sz val="11"/>
        <color theme="1"/>
        <rFont val="Calibri"/>
        <family val="2"/>
        <scheme val="minor"/>
      </rPr>
      <t xml:space="preserve"> - Local education agency
</t>
    </r>
    <r>
      <rPr>
        <b/>
        <sz val="11"/>
        <color theme="1"/>
        <rFont val="Calibri"/>
        <family val="2"/>
        <scheme val="minor"/>
      </rPr>
      <t>NonProfit</t>
    </r>
    <r>
      <rPr>
        <sz val="11"/>
        <color theme="1"/>
        <rFont val="Calibri"/>
        <family val="2"/>
        <scheme val="minor"/>
      </rPr>
      <t xml:space="preserve"> - Non-profit organization
</t>
    </r>
    <r>
      <rPr>
        <b/>
        <sz val="11"/>
        <color theme="1"/>
        <rFont val="Calibri"/>
        <family val="2"/>
        <scheme val="minor"/>
      </rPr>
      <t>Postsecondary</t>
    </r>
    <r>
      <rPr>
        <sz val="11"/>
        <color theme="1"/>
        <rFont val="Calibri"/>
        <family val="2"/>
        <scheme val="minor"/>
      </rPr>
      <t xml:space="preserve"> - Postsecondary institution
</t>
    </r>
    <r>
      <rPr>
        <b/>
        <sz val="11"/>
        <color theme="1"/>
        <rFont val="Calibri"/>
        <family val="2"/>
        <scheme val="minor"/>
      </rPr>
      <t>Private</t>
    </r>
    <r>
      <rPr>
        <sz val="11"/>
        <color theme="1"/>
        <rFont val="Calibri"/>
        <family val="2"/>
        <scheme val="minor"/>
      </rPr>
      <t xml:space="preserve"> - Private organization
</t>
    </r>
    <r>
      <rPr>
        <b/>
        <sz val="11"/>
        <color theme="1"/>
        <rFont val="Calibri"/>
        <family val="2"/>
        <scheme val="minor"/>
      </rPr>
      <t>Regional</t>
    </r>
    <r>
      <rPr>
        <sz val="11"/>
        <color theme="1"/>
        <rFont val="Calibri"/>
        <family val="2"/>
        <scheme val="minor"/>
      </rPr>
      <t xml:space="preserve"> - Regional or intermediate education agency
</t>
    </r>
    <r>
      <rPr>
        <b/>
        <sz val="11"/>
        <color theme="1"/>
        <rFont val="Calibri"/>
        <family val="2"/>
        <scheme val="minor"/>
      </rPr>
      <t>Religious</t>
    </r>
    <r>
      <rPr>
        <sz val="11"/>
        <color theme="1"/>
        <rFont val="Calibri"/>
        <family val="2"/>
        <scheme val="minor"/>
      </rPr>
      <t xml:space="preserve"> - Religious organization
</t>
    </r>
    <r>
      <rPr>
        <b/>
        <sz val="11"/>
        <color theme="1"/>
        <rFont val="Calibri"/>
        <family val="2"/>
        <scheme val="minor"/>
      </rPr>
      <t>School</t>
    </r>
    <r>
      <rPr>
        <sz val="11"/>
        <color theme="1"/>
        <rFont val="Calibri"/>
        <family val="2"/>
        <scheme val="minor"/>
      </rPr>
      <t xml:space="preserve"> - School
</t>
    </r>
    <r>
      <rPr>
        <b/>
        <sz val="11"/>
        <color theme="1"/>
        <rFont val="Calibri"/>
        <family val="2"/>
        <scheme val="minor"/>
      </rPr>
      <t>SEA</t>
    </r>
    <r>
      <rPr>
        <sz val="11"/>
        <color theme="1"/>
        <rFont val="Calibri"/>
        <family val="2"/>
        <scheme val="minor"/>
      </rPr>
      <t xml:space="preserve"> - State Education Agency
</t>
    </r>
    <r>
      <rPr>
        <b/>
        <sz val="11"/>
        <color theme="1"/>
        <rFont val="Calibri"/>
        <family val="2"/>
        <scheme val="minor"/>
      </rPr>
      <t>Other</t>
    </r>
    <r>
      <rPr>
        <sz val="11"/>
        <color theme="1"/>
        <rFont val="Calibri"/>
        <family val="2"/>
        <scheme val="minor"/>
      </rPr>
      <t xml:space="preserve"> - Other
</t>
    </r>
  </si>
  <si>
    <r>
      <t>FAL1</t>
    </r>
    <r>
      <rPr>
        <sz val="11"/>
        <color theme="1"/>
        <rFont val="Calibri"/>
        <family val="2"/>
        <scheme val="minor"/>
      </rPr>
      <t xml:space="preserve"> - Level 1 (lowest level)
</t>
    </r>
    <r>
      <rPr>
        <b/>
        <sz val="11"/>
        <color theme="1"/>
        <rFont val="Calibri"/>
        <family val="2"/>
        <scheme val="minor"/>
      </rPr>
      <t>FAL2</t>
    </r>
    <r>
      <rPr>
        <sz val="11"/>
        <color theme="1"/>
        <rFont val="Calibri"/>
        <family val="2"/>
        <scheme val="minor"/>
      </rPr>
      <t xml:space="preserve"> - Level 2
</t>
    </r>
    <r>
      <rPr>
        <b/>
        <sz val="11"/>
        <color theme="1"/>
        <rFont val="Calibri"/>
        <family val="2"/>
        <scheme val="minor"/>
      </rPr>
      <t>FAL3</t>
    </r>
    <r>
      <rPr>
        <sz val="11"/>
        <color theme="1"/>
        <rFont val="Calibri"/>
        <family val="2"/>
        <scheme val="minor"/>
      </rPr>
      <t xml:space="preserve"> - Level 3
</t>
    </r>
    <r>
      <rPr>
        <b/>
        <sz val="11"/>
        <color theme="1"/>
        <rFont val="Calibri"/>
        <family val="2"/>
        <scheme val="minor"/>
      </rPr>
      <t>FAL4</t>
    </r>
    <r>
      <rPr>
        <sz val="11"/>
        <color theme="1"/>
        <rFont val="Calibri"/>
        <family val="2"/>
        <scheme val="minor"/>
      </rPr>
      <t xml:space="preserve"> - Level 4
</t>
    </r>
    <r>
      <rPr>
        <b/>
        <sz val="11"/>
        <color theme="1"/>
        <rFont val="Calibri"/>
        <family val="2"/>
        <scheme val="minor"/>
      </rPr>
      <t>FAL5</t>
    </r>
    <r>
      <rPr>
        <sz val="11"/>
        <color theme="1"/>
        <rFont val="Calibri"/>
        <family val="2"/>
        <scheme val="minor"/>
      </rPr>
      <t xml:space="preserve"> - Level 5
</t>
    </r>
    <r>
      <rPr>
        <b/>
        <sz val="11"/>
        <color theme="1"/>
        <rFont val="Calibri"/>
        <family val="2"/>
        <scheme val="minor"/>
      </rPr>
      <t>FAL6</t>
    </r>
    <r>
      <rPr>
        <sz val="11"/>
        <color theme="1"/>
        <rFont val="Calibri"/>
        <family val="2"/>
        <scheme val="minor"/>
      </rPr>
      <t xml:space="preserve"> - Level 6 (highest level)
</t>
    </r>
    <r>
      <rPr>
        <b/>
        <sz val="11"/>
        <color theme="1"/>
        <rFont val="Calibri"/>
        <family val="2"/>
        <scheme val="minor"/>
      </rPr>
      <t>EVALNR</t>
    </r>
    <r>
      <rPr>
        <sz val="11"/>
        <color theme="1"/>
        <rFont val="Calibri"/>
        <family val="2"/>
        <scheme val="minor"/>
      </rPr>
      <t xml:space="preserve"> - Evaluated, not ranked
</t>
    </r>
  </si>
  <si>
    <r>
      <t>Administrative</t>
    </r>
    <r>
      <rPr>
        <sz val="11"/>
        <color theme="1"/>
        <rFont val="Calibri"/>
        <family val="2"/>
        <scheme val="minor"/>
      </rPr>
      <t xml:space="preserve"> - Administrative
</t>
    </r>
    <r>
      <rPr>
        <b/>
        <sz val="11"/>
        <color theme="1"/>
        <rFont val="Calibri"/>
        <family val="2"/>
        <scheme val="minor"/>
      </rPr>
      <t>AnnualLeave</t>
    </r>
    <r>
      <rPr>
        <sz val="11"/>
        <color theme="1"/>
        <rFont val="Calibri"/>
        <family val="2"/>
        <scheme val="minor"/>
      </rPr>
      <t xml:space="preserve"> - Annual leave
</t>
    </r>
    <r>
      <rPr>
        <b/>
        <sz val="11"/>
        <color theme="1"/>
        <rFont val="Calibri"/>
        <family val="2"/>
        <scheme val="minor"/>
      </rPr>
      <t>Bereavement</t>
    </r>
    <r>
      <rPr>
        <sz val="11"/>
        <color theme="1"/>
        <rFont val="Calibri"/>
        <family val="2"/>
        <scheme val="minor"/>
      </rPr>
      <t xml:space="preserve"> - Bereavement
</t>
    </r>
    <r>
      <rPr>
        <b/>
        <sz val="11"/>
        <color theme="1"/>
        <rFont val="Calibri"/>
        <family val="2"/>
        <scheme val="minor"/>
      </rPr>
      <t>CompensatoryLeaveTime</t>
    </r>
    <r>
      <rPr>
        <sz val="11"/>
        <color theme="1"/>
        <rFont val="Calibri"/>
        <family val="2"/>
        <scheme val="minor"/>
      </rPr>
      <t xml:space="preserve"> - Compensatory leave time
</t>
    </r>
    <r>
      <rPr>
        <b/>
        <sz val="11"/>
        <color theme="1"/>
        <rFont val="Calibri"/>
        <family val="2"/>
        <scheme val="minor"/>
      </rPr>
      <t>FamilyAndMedicalLeave</t>
    </r>
    <r>
      <rPr>
        <sz val="11"/>
        <color theme="1"/>
        <rFont val="Calibri"/>
        <family val="2"/>
        <scheme val="minor"/>
      </rPr>
      <t xml:space="preserve"> - Family and medical leave
</t>
    </r>
    <r>
      <rPr>
        <b/>
        <sz val="11"/>
        <color theme="1"/>
        <rFont val="Calibri"/>
        <family val="2"/>
        <scheme val="minor"/>
      </rPr>
      <t>FlexTime</t>
    </r>
    <r>
      <rPr>
        <sz val="11"/>
        <color theme="1"/>
        <rFont val="Calibri"/>
        <family val="2"/>
        <scheme val="minor"/>
      </rPr>
      <t xml:space="preserve"> - Flex time
</t>
    </r>
    <r>
      <rPr>
        <b/>
        <sz val="11"/>
        <color theme="1"/>
        <rFont val="Calibri"/>
        <family val="2"/>
        <scheme val="minor"/>
      </rPr>
      <t>GovernmentRequested</t>
    </r>
    <r>
      <rPr>
        <sz val="11"/>
        <color theme="1"/>
        <rFont val="Calibri"/>
        <family val="2"/>
        <scheme val="minor"/>
      </rPr>
      <t xml:space="preserve"> - Government-requested
</t>
    </r>
    <r>
      <rPr>
        <b/>
        <sz val="11"/>
        <color theme="1"/>
        <rFont val="Calibri"/>
        <family val="2"/>
        <scheme val="minor"/>
      </rPr>
      <t>JuryDuty</t>
    </r>
    <r>
      <rPr>
        <sz val="11"/>
        <color theme="1"/>
        <rFont val="Calibri"/>
        <family val="2"/>
        <scheme val="minor"/>
      </rPr>
      <t xml:space="preserve"> - Jury Duty
</t>
    </r>
    <r>
      <rPr>
        <b/>
        <sz val="11"/>
        <color theme="1"/>
        <rFont val="Calibri"/>
        <family val="2"/>
        <scheme val="minor"/>
      </rPr>
      <t>MilitaryLeave</t>
    </r>
    <r>
      <rPr>
        <sz val="11"/>
        <color theme="1"/>
        <rFont val="Calibri"/>
        <family val="2"/>
        <scheme val="minor"/>
      </rPr>
      <t xml:space="preserve"> - Military leave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Personal</t>
    </r>
    <r>
      <rPr>
        <sz val="11"/>
        <color theme="1"/>
        <rFont val="Calibri"/>
        <family val="2"/>
        <scheme val="minor"/>
      </rPr>
      <t xml:space="preserve"> - Personal
</t>
    </r>
    <r>
      <rPr>
        <b/>
        <sz val="11"/>
        <color theme="1"/>
        <rFont val="Calibri"/>
        <family val="2"/>
        <scheme val="minor"/>
      </rPr>
      <t>ProfessionalDevelopment</t>
    </r>
    <r>
      <rPr>
        <sz val="11"/>
        <color theme="1"/>
        <rFont val="Calibri"/>
        <family val="2"/>
        <scheme val="minor"/>
      </rPr>
      <t xml:space="preserve"> - Professional development
</t>
    </r>
    <r>
      <rPr>
        <b/>
        <sz val="11"/>
        <color theme="1"/>
        <rFont val="Calibri"/>
        <family val="2"/>
        <scheme val="minor"/>
      </rPr>
      <t>ReleaseTime</t>
    </r>
    <r>
      <rPr>
        <sz val="11"/>
        <color theme="1"/>
        <rFont val="Calibri"/>
        <family val="2"/>
        <scheme val="minor"/>
      </rPr>
      <t xml:space="preserve"> - Release time
</t>
    </r>
    <r>
      <rPr>
        <b/>
        <sz val="11"/>
        <color theme="1"/>
        <rFont val="Calibri"/>
        <family val="2"/>
        <scheme val="minor"/>
      </rPr>
      <t>SabbaticalLeave</t>
    </r>
    <r>
      <rPr>
        <sz val="11"/>
        <color theme="1"/>
        <rFont val="Calibri"/>
        <family val="2"/>
        <scheme val="minor"/>
      </rPr>
      <t xml:space="preserve"> - Sabbatical leave
</t>
    </r>
    <r>
      <rPr>
        <b/>
        <sz val="11"/>
        <color theme="1"/>
        <rFont val="Calibri"/>
        <family val="2"/>
        <scheme val="minor"/>
      </rPr>
      <t>SickLeave</t>
    </r>
    <r>
      <rPr>
        <sz val="11"/>
        <color theme="1"/>
        <rFont val="Calibri"/>
        <family val="2"/>
        <scheme val="minor"/>
      </rPr>
      <t xml:space="preserve"> - Sick leave
</t>
    </r>
    <r>
      <rPr>
        <b/>
        <sz val="11"/>
        <color theme="1"/>
        <rFont val="Calibri"/>
        <family val="2"/>
        <scheme val="minor"/>
      </rPr>
      <t>Suspension</t>
    </r>
    <r>
      <rPr>
        <sz val="11"/>
        <color theme="1"/>
        <rFont val="Calibri"/>
        <family val="2"/>
        <scheme val="minor"/>
      </rPr>
      <t xml:space="preserve"> - Suspension
</t>
    </r>
    <r>
      <rPr>
        <b/>
        <sz val="11"/>
        <color theme="1"/>
        <rFont val="Calibri"/>
        <family val="2"/>
        <scheme val="minor"/>
      </rPr>
      <t>WorkersCompensation</t>
    </r>
    <r>
      <rPr>
        <sz val="11"/>
        <color theme="1"/>
        <rFont val="Calibri"/>
        <family val="2"/>
        <scheme val="minor"/>
      </rPr>
      <t xml:space="preserve"> - Workers compensation
</t>
    </r>
  </si>
  <si>
    <t>K12 Course</t>
  </si>
  <si>
    <r>
      <t>AdvancedPlacement</t>
    </r>
    <r>
      <rPr>
        <sz val="11"/>
        <color theme="1"/>
        <rFont val="Calibri"/>
        <family val="2"/>
        <scheme val="minor"/>
      </rPr>
      <t xml:space="preserve"> - Advanced Placement
</t>
    </r>
    <r>
      <rPr>
        <b/>
        <sz val="11"/>
        <color theme="1"/>
        <rFont val="Calibri"/>
        <family val="2"/>
        <scheme val="minor"/>
      </rPr>
      <t>ApprenticeshipCredit</t>
    </r>
    <r>
      <rPr>
        <sz val="11"/>
        <color theme="1"/>
        <rFont val="Calibri"/>
        <family val="2"/>
        <scheme val="minor"/>
      </rPr>
      <t xml:space="preserve"> - Apprenticeship Credit
</t>
    </r>
    <r>
      <rPr>
        <b/>
        <sz val="11"/>
        <color theme="1"/>
        <rFont val="Calibri"/>
        <family val="2"/>
        <scheme val="minor"/>
      </rPr>
      <t>CTE</t>
    </r>
    <r>
      <rPr>
        <sz val="11"/>
        <color theme="1"/>
        <rFont val="Calibri"/>
        <family val="2"/>
        <scheme val="minor"/>
      </rPr>
      <t xml:space="preserve"> - Career and Technical Education
</t>
    </r>
    <r>
      <rPr>
        <b/>
        <sz val="11"/>
        <color theme="1"/>
        <rFont val="Calibri"/>
        <family val="2"/>
        <scheme val="minor"/>
      </rPr>
      <t>DualCredit</t>
    </r>
    <r>
      <rPr>
        <sz val="11"/>
        <color theme="1"/>
        <rFont val="Calibri"/>
        <family val="2"/>
        <scheme val="minor"/>
      </rPr>
      <t xml:space="preserve"> - Dual Credit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QualifiedAdmission</t>
    </r>
    <r>
      <rPr>
        <sz val="11"/>
        <color theme="1"/>
        <rFont val="Calibri"/>
        <family val="2"/>
        <scheme val="minor"/>
      </rPr>
      <t xml:space="preserve"> - Qualified Admission
</t>
    </r>
    <r>
      <rPr>
        <b/>
        <sz val="11"/>
        <color theme="1"/>
        <rFont val="Calibri"/>
        <family val="2"/>
        <scheme val="minor"/>
      </rPr>
      <t>STEM</t>
    </r>
    <r>
      <rPr>
        <sz val="11"/>
        <color theme="1"/>
        <rFont val="Calibri"/>
        <family val="2"/>
        <scheme val="minor"/>
      </rPr>
      <t xml:space="preserve"> - Science, Technology, Engineering and Mathematics
</t>
    </r>
    <r>
      <rPr>
        <b/>
        <sz val="11"/>
        <color theme="1"/>
        <rFont val="Calibri"/>
        <family val="2"/>
        <scheme val="minor"/>
      </rPr>
      <t>CTEAndAcademic</t>
    </r>
    <r>
      <rPr>
        <sz val="11"/>
        <color theme="1"/>
        <rFont val="Calibri"/>
        <family val="2"/>
        <scheme val="minor"/>
      </rPr>
      <t xml:space="preserve"> - Simultaneous CTE and Academic Credit
</t>
    </r>
    <r>
      <rPr>
        <b/>
        <sz val="11"/>
        <color theme="1"/>
        <rFont val="Calibri"/>
        <family val="2"/>
        <scheme val="minor"/>
      </rPr>
      <t>StateScholarship</t>
    </r>
    <r>
      <rPr>
        <sz val="11"/>
        <color theme="1"/>
        <rFont val="Calibri"/>
        <family val="2"/>
        <scheme val="minor"/>
      </rPr>
      <t xml:space="preserve"> - State Scholarship
</t>
    </r>
  </si>
  <si>
    <r>
      <t>Applicable</t>
    </r>
    <r>
      <rPr>
        <sz val="11"/>
        <color theme="1"/>
        <rFont val="Calibri"/>
        <family val="2"/>
        <scheme val="minor"/>
      </rPr>
      <t xml:space="preserve"> - Applicable in GPA
</t>
    </r>
    <r>
      <rPr>
        <b/>
        <sz val="11"/>
        <color theme="1"/>
        <rFont val="Calibri"/>
        <family val="2"/>
        <scheme val="minor"/>
      </rPr>
      <t>NotApplicable</t>
    </r>
    <r>
      <rPr>
        <sz val="11"/>
        <color theme="1"/>
        <rFont val="Calibri"/>
        <family val="2"/>
        <scheme val="minor"/>
      </rPr>
      <t xml:space="preserve"> - Not Applicable in GPA
</t>
    </r>
    <r>
      <rPr>
        <b/>
        <sz val="11"/>
        <color theme="1"/>
        <rFont val="Calibri"/>
        <family val="2"/>
        <scheme val="minor"/>
      </rPr>
      <t>Weighted</t>
    </r>
    <r>
      <rPr>
        <sz val="11"/>
        <color theme="1"/>
        <rFont val="Calibri"/>
        <family val="2"/>
        <scheme val="minor"/>
      </rPr>
      <t xml:space="preserve"> - Weighted in GPA
</t>
    </r>
  </si>
  <si>
    <r>
      <t>00568</t>
    </r>
    <r>
      <rPr>
        <sz val="11"/>
        <color theme="1"/>
        <rFont val="Calibri"/>
        <family val="2"/>
        <scheme val="minor"/>
      </rPr>
      <t xml:space="preserve"> - Remedial course
</t>
    </r>
    <r>
      <rPr>
        <b/>
        <sz val="11"/>
        <color theme="1"/>
        <rFont val="Calibri"/>
        <family val="2"/>
        <scheme val="minor"/>
      </rPr>
      <t>00569</t>
    </r>
    <r>
      <rPr>
        <sz val="11"/>
        <color theme="1"/>
        <rFont val="Calibri"/>
        <family val="2"/>
        <scheme val="minor"/>
      </rPr>
      <t xml:space="preserve"> - Students with disabilities course
</t>
    </r>
    <r>
      <rPr>
        <b/>
        <sz val="11"/>
        <color theme="1"/>
        <rFont val="Calibri"/>
        <family val="2"/>
        <scheme val="minor"/>
      </rPr>
      <t>00570</t>
    </r>
    <r>
      <rPr>
        <sz val="11"/>
        <color theme="1"/>
        <rFont val="Calibri"/>
        <family val="2"/>
        <scheme val="minor"/>
      </rPr>
      <t xml:space="preserve"> - Basic course
</t>
    </r>
    <r>
      <rPr>
        <b/>
        <sz val="11"/>
        <color theme="1"/>
        <rFont val="Calibri"/>
        <family val="2"/>
        <scheme val="minor"/>
      </rPr>
      <t>00571</t>
    </r>
    <r>
      <rPr>
        <sz val="11"/>
        <color theme="1"/>
        <rFont val="Calibri"/>
        <family val="2"/>
        <scheme val="minor"/>
      </rPr>
      <t xml:space="preserve"> - General course
</t>
    </r>
    <r>
      <rPr>
        <b/>
        <sz val="11"/>
        <color theme="1"/>
        <rFont val="Calibri"/>
        <family val="2"/>
        <scheme val="minor"/>
      </rPr>
      <t>00572</t>
    </r>
    <r>
      <rPr>
        <sz val="11"/>
        <color theme="1"/>
        <rFont val="Calibri"/>
        <family val="2"/>
        <scheme val="minor"/>
      </rPr>
      <t xml:space="preserve"> - Honors level course
</t>
    </r>
    <r>
      <rPr>
        <b/>
        <sz val="11"/>
        <color theme="1"/>
        <rFont val="Calibri"/>
        <family val="2"/>
        <scheme val="minor"/>
      </rPr>
      <t>00573</t>
    </r>
    <r>
      <rPr>
        <sz val="11"/>
        <color theme="1"/>
        <rFont val="Calibri"/>
        <family val="2"/>
        <scheme val="minor"/>
      </rPr>
      <t xml:space="preserve"> - Gifted and talented course
</t>
    </r>
    <r>
      <rPr>
        <b/>
        <sz val="11"/>
        <color theme="1"/>
        <rFont val="Calibri"/>
        <family val="2"/>
        <scheme val="minor"/>
      </rPr>
      <t>00574</t>
    </r>
    <r>
      <rPr>
        <sz val="11"/>
        <color theme="1"/>
        <rFont val="Calibri"/>
        <family val="2"/>
        <scheme val="minor"/>
      </rPr>
      <t xml:space="preserve"> - International Baccalaureate course
</t>
    </r>
    <r>
      <rPr>
        <b/>
        <sz val="11"/>
        <color theme="1"/>
        <rFont val="Calibri"/>
        <family val="2"/>
        <scheme val="minor"/>
      </rPr>
      <t>00575</t>
    </r>
    <r>
      <rPr>
        <sz val="11"/>
        <color theme="1"/>
        <rFont val="Calibri"/>
        <family val="2"/>
        <scheme val="minor"/>
      </rPr>
      <t xml:space="preserve"> - Advanced placement course
</t>
    </r>
    <r>
      <rPr>
        <b/>
        <sz val="11"/>
        <color theme="1"/>
        <rFont val="Calibri"/>
        <family val="2"/>
        <scheme val="minor"/>
      </rPr>
      <t>00576</t>
    </r>
    <r>
      <rPr>
        <sz val="11"/>
        <color theme="1"/>
        <rFont val="Calibri"/>
        <family val="2"/>
        <scheme val="minor"/>
      </rPr>
      <t xml:space="preserve"> - College-level course
</t>
    </r>
    <r>
      <rPr>
        <b/>
        <sz val="11"/>
        <color theme="1"/>
        <rFont val="Calibri"/>
        <family val="2"/>
        <scheme val="minor"/>
      </rPr>
      <t>00577</t>
    </r>
    <r>
      <rPr>
        <sz val="11"/>
        <color theme="1"/>
        <rFont val="Calibri"/>
        <family val="2"/>
        <scheme val="minor"/>
      </rPr>
      <t xml:space="preserve"> - Untracked course
</t>
    </r>
    <r>
      <rPr>
        <b/>
        <sz val="11"/>
        <color theme="1"/>
        <rFont val="Calibri"/>
        <family val="2"/>
        <scheme val="minor"/>
      </rPr>
      <t>00578</t>
    </r>
    <r>
      <rPr>
        <sz val="11"/>
        <color theme="1"/>
        <rFont val="Calibri"/>
        <family val="2"/>
        <scheme val="minor"/>
      </rPr>
      <t xml:space="preserve"> - English Learner course
</t>
    </r>
    <r>
      <rPr>
        <b/>
        <sz val="11"/>
        <color theme="1"/>
        <rFont val="Calibri"/>
        <family val="2"/>
        <scheme val="minor"/>
      </rPr>
      <t>00579</t>
    </r>
    <r>
      <rPr>
        <sz val="11"/>
        <color theme="1"/>
        <rFont val="Calibri"/>
        <family val="2"/>
        <scheme val="minor"/>
      </rPr>
      <t xml:space="preserve"> - Accepted as a high school equivalent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73044</t>
    </r>
    <r>
      <rPr>
        <sz val="11"/>
        <color theme="1"/>
        <rFont val="Calibri"/>
        <family val="2"/>
        <scheme val="minor"/>
      </rPr>
      <t xml:space="preserve"> - Career and technical education general course
</t>
    </r>
    <r>
      <rPr>
        <b/>
        <sz val="11"/>
        <color theme="1"/>
        <rFont val="Calibri"/>
        <family val="2"/>
        <scheme val="minor"/>
      </rPr>
      <t>73045</t>
    </r>
    <r>
      <rPr>
        <sz val="11"/>
        <color theme="1"/>
        <rFont val="Calibri"/>
        <family val="2"/>
        <scheme val="minor"/>
      </rPr>
      <t xml:space="preserve"> - Career and technical education dual-credit course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</si>
  <si>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AS</t>
    </r>
    <r>
      <rPr>
        <sz val="11"/>
        <color theme="1"/>
        <rFont val="Calibri"/>
        <family val="2"/>
        <scheme val="minor"/>
      </rPr>
      <t xml:space="preserve"> - Associate's degree
</t>
    </r>
    <r>
      <rPr>
        <b/>
        <sz val="11"/>
        <color theme="1"/>
        <rFont val="Calibri"/>
        <family val="2"/>
        <scheme val="minor"/>
      </rPr>
      <t>BA</t>
    </r>
    <r>
      <rPr>
        <sz val="11"/>
        <color theme="1"/>
        <rFont val="Calibri"/>
        <family val="2"/>
        <scheme val="minor"/>
      </rPr>
      <t xml:space="preserve"> - Bachelor's degree
</t>
    </r>
    <r>
      <rPr>
        <b/>
        <sz val="11"/>
        <color theme="1"/>
        <rFont val="Calibri"/>
        <family val="2"/>
        <scheme val="minor"/>
      </rPr>
      <t>PB</t>
    </r>
    <r>
      <rPr>
        <sz val="11"/>
        <color theme="1"/>
        <rFont val="Calibri"/>
        <family val="2"/>
        <scheme val="minor"/>
      </rPr>
      <t xml:space="preserve"> - Post-baccalaureate certificate
</t>
    </r>
    <r>
      <rPr>
        <b/>
        <sz val="11"/>
        <color theme="1"/>
        <rFont val="Calibri"/>
        <family val="2"/>
        <scheme val="minor"/>
      </rPr>
      <t>MD</t>
    </r>
    <r>
      <rPr>
        <sz val="11"/>
        <color theme="1"/>
        <rFont val="Calibri"/>
        <family val="2"/>
        <scheme val="minor"/>
      </rPr>
      <t xml:space="preserve"> - Master's degree
</t>
    </r>
    <r>
      <rPr>
        <b/>
        <sz val="11"/>
        <color theme="1"/>
        <rFont val="Calibri"/>
        <family val="2"/>
        <scheme val="minor"/>
      </rPr>
      <t>PM</t>
    </r>
    <r>
      <rPr>
        <sz val="11"/>
        <color theme="1"/>
        <rFont val="Calibri"/>
        <family val="2"/>
        <scheme val="minor"/>
      </rPr>
      <t xml:space="preserve"> - Post-master's certificate
</t>
    </r>
    <r>
      <rPr>
        <b/>
        <sz val="11"/>
        <color theme="1"/>
        <rFont val="Calibri"/>
        <family val="2"/>
        <scheme val="minor"/>
      </rPr>
      <t>DO</t>
    </r>
    <r>
      <rPr>
        <sz val="11"/>
        <color theme="1"/>
        <rFont val="Calibri"/>
        <family val="2"/>
        <scheme val="minor"/>
      </rPr>
      <t xml:space="preserve"> - Doctoral degree
</t>
    </r>
    <r>
      <rPr>
        <b/>
        <sz val="11"/>
        <color theme="1"/>
        <rFont val="Calibri"/>
        <family val="2"/>
        <scheme val="minor"/>
      </rPr>
      <t>PD</t>
    </r>
    <r>
      <rPr>
        <sz val="11"/>
        <color theme="1"/>
        <rFont val="Calibri"/>
        <family val="2"/>
        <scheme val="minor"/>
      </rPr>
      <t xml:space="preserve"> - Post-doctoral certificate
</t>
    </r>
    <r>
      <rPr>
        <b/>
        <sz val="11"/>
        <color theme="1"/>
        <rFont val="Calibri"/>
        <family val="2"/>
        <scheme val="minor"/>
      </rPr>
      <t>AE</t>
    </r>
    <r>
      <rPr>
        <sz val="11"/>
        <color theme="1"/>
        <rFont val="Calibri"/>
        <family val="2"/>
        <scheme val="minor"/>
      </rPr>
      <t xml:space="preserve"> - Adult Education
</t>
    </r>
    <r>
      <rPr>
        <b/>
        <sz val="11"/>
        <color theme="1"/>
        <rFont val="Calibri"/>
        <family val="2"/>
        <scheme val="minor"/>
      </rPr>
      <t>PT</t>
    </r>
    <r>
      <rPr>
        <sz val="11"/>
        <color theme="1"/>
        <rFont val="Calibri"/>
        <family val="2"/>
        <scheme val="minor"/>
      </rPr>
      <t xml:space="preserve"> - Professional or technical credential
</t>
    </r>
    <r>
      <rPr>
        <b/>
        <sz val="11"/>
        <color theme="1"/>
        <rFont val="Calibri"/>
        <family val="2"/>
        <scheme val="minor"/>
      </rPr>
      <t>OT</t>
    </r>
    <r>
      <rPr>
        <sz val="11"/>
        <color theme="1"/>
        <rFont val="Calibri"/>
        <family val="2"/>
        <scheme val="minor"/>
      </rPr>
      <t xml:space="preserve"> - Other
</t>
    </r>
  </si>
  <si>
    <r>
      <t>LEAOnly</t>
    </r>
    <r>
      <rPr>
        <sz val="11"/>
        <color theme="1"/>
        <rFont val="Calibri"/>
        <family val="2"/>
        <scheme val="minor"/>
      </rPr>
      <t xml:space="preserve"> - LEA only
</t>
    </r>
    <r>
      <rPr>
        <b/>
        <sz val="11"/>
        <color theme="1"/>
        <rFont val="Calibri"/>
        <family val="2"/>
        <scheme val="minor"/>
      </rPr>
      <t>SEAOnly</t>
    </r>
    <r>
      <rPr>
        <sz val="11"/>
        <color theme="1"/>
        <rFont val="Calibri"/>
        <family val="2"/>
        <scheme val="minor"/>
      </rPr>
      <t xml:space="preserve"> - SEA only
</t>
    </r>
    <r>
      <rPr>
        <b/>
        <sz val="11"/>
        <color theme="1"/>
        <rFont val="Calibri"/>
        <family val="2"/>
        <scheme val="minor"/>
      </rPr>
      <t>Both</t>
    </r>
    <r>
      <rPr>
        <sz val="11"/>
        <color theme="1"/>
        <rFont val="Calibri"/>
        <family val="2"/>
        <scheme val="minor"/>
      </rPr>
      <t xml:space="preserve"> - LEA and SEA
</t>
    </r>
    <r>
      <rPr>
        <b/>
        <sz val="11"/>
        <color theme="1"/>
        <rFont val="Calibri"/>
        <family val="2"/>
        <scheme val="minor"/>
      </rPr>
      <t>Neither</t>
    </r>
    <r>
      <rPr>
        <sz val="11"/>
        <color theme="1"/>
        <rFont val="Calibri"/>
        <family val="2"/>
        <scheme val="minor"/>
      </rPr>
      <t xml:space="preserve"> - Neither LEA or SEA
</t>
    </r>
  </si>
  <si>
    <r>
      <t>LEA</t>
    </r>
    <r>
      <rPr>
        <sz val="11"/>
        <color theme="1"/>
        <rFont val="Calibri"/>
        <family val="2"/>
        <scheme val="minor"/>
      </rPr>
      <t xml:space="preserve"> - Local Education Agency (LEA) curriculum framework
</t>
    </r>
    <r>
      <rPr>
        <b/>
        <sz val="11"/>
        <color theme="1"/>
        <rFont val="Calibri"/>
        <family val="2"/>
        <scheme val="minor"/>
      </rPr>
      <t>NationalStandard</t>
    </r>
    <r>
      <rPr>
        <sz val="11"/>
        <color theme="1"/>
        <rFont val="Calibri"/>
        <family val="2"/>
        <scheme val="minor"/>
      </rPr>
      <t xml:space="preserve"> - National curriculum standard
</t>
    </r>
    <r>
      <rPr>
        <b/>
        <sz val="11"/>
        <color theme="1"/>
        <rFont val="Calibri"/>
        <family val="2"/>
        <scheme val="minor"/>
      </rPr>
      <t>PrivateOrReligious</t>
    </r>
    <r>
      <rPr>
        <sz val="11"/>
        <color theme="1"/>
        <rFont val="Calibri"/>
        <family val="2"/>
        <scheme val="minor"/>
      </rPr>
      <t xml:space="preserve"> - Private, religious curriculum
</t>
    </r>
    <r>
      <rPr>
        <b/>
        <sz val="11"/>
        <color theme="1"/>
        <rFont val="Calibri"/>
        <family val="2"/>
        <scheme val="minor"/>
      </rPr>
      <t>School</t>
    </r>
    <r>
      <rPr>
        <sz val="11"/>
        <color theme="1"/>
        <rFont val="Calibri"/>
        <family val="2"/>
        <scheme val="minor"/>
      </rPr>
      <t xml:space="preserve"> - School curriculum framework
</t>
    </r>
    <r>
      <rPr>
        <b/>
        <sz val="11"/>
        <color theme="1"/>
        <rFont val="Calibri"/>
        <family val="2"/>
        <scheme val="minor"/>
      </rPr>
      <t>State</t>
    </r>
    <r>
      <rPr>
        <sz val="11"/>
        <color theme="1"/>
        <rFont val="Calibri"/>
        <family val="2"/>
        <scheme val="minor"/>
      </rPr>
      <t xml:space="preserve"> - State curriculum framework
</t>
    </r>
    <r>
      <rPr>
        <b/>
        <sz val="11"/>
        <color theme="1"/>
        <rFont val="Calibri"/>
        <family val="2"/>
        <scheme val="minor"/>
      </rPr>
      <t>Other</t>
    </r>
    <r>
      <rPr>
        <sz val="11"/>
        <color theme="1"/>
        <rFont val="Calibri"/>
        <family val="2"/>
        <scheme val="minor"/>
      </rPr>
      <t xml:space="preserve"> - Other
</t>
    </r>
  </si>
  <si>
    <r>
      <t>ArtHistory</t>
    </r>
    <r>
      <rPr>
        <sz val="11"/>
        <color theme="1"/>
        <rFont val="Calibri"/>
        <family val="2"/>
        <scheme val="minor"/>
      </rPr>
      <t xml:space="preserve"> - Art History
</t>
    </r>
    <r>
      <rPr>
        <b/>
        <sz val="11"/>
        <color theme="1"/>
        <rFont val="Calibri"/>
        <family val="2"/>
        <scheme val="minor"/>
      </rPr>
      <t>Biology</t>
    </r>
    <r>
      <rPr>
        <sz val="11"/>
        <color theme="1"/>
        <rFont val="Calibri"/>
        <family val="2"/>
        <scheme val="minor"/>
      </rPr>
      <t xml:space="preserve"> - Biology
</t>
    </r>
    <r>
      <rPr>
        <b/>
        <sz val="11"/>
        <color theme="1"/>
        <rFont val="Calibri"/>
        <family val="2"/>
        <scheme val="minor"/>
      </rPr>
      <t>CalculusAB</t>
    </r>
    <r>
      <rPr>
        <sz val="11"/>
        <color theme="1"/>
        <rFont val="Calibri"/>
        <family val="2"/>
        <scheme val="minor"/>
      </rPr>
      <t xml:space="preserve"> - Calculus AB
</t>
    </r>
    <r>
      <rPr>
        <b/>
        <sz val="11"/>
        <color theme="1"/>
        <rFont val="Calibri"/>
        <family val="2"/>
        <scheme val="minor"/>
      </rPr>
      <t>CalculusBC</t>
    </r>
    <r>
      <rPr>
        <sz val="11"/>
        <color theme="1"/>
        <rFont val="Calibri"/>
        <family val="2"/>
        <scheme val="minor"/>
      </rPr>
      <t xml:space="preserve"> - Calculus BC
</t>
    </r>
    <r>
      <rPr>
        <b/>
        <sz val="11"/>
        <color theme="1"/>
        <rFont val="Calibri"/>
        <family val="2"/>
        <scheme val="minor"/>
      </rPr>
      <t>Chemistry</t>
    </r>
    <r>
      <rPr>
        <sz val="11"/>
        <color theme="1"/>
        <rFont val="Calibri"/>
        <family val="2"/>
        <scheme val="minor"/>
      </rPr>
      <t xml:space="preserve"> - Chemistry
</t>
    </r>
    <r>
      <rPr>
        <b/>
        <sz val="11"/>
        <color theme="1"/>
        <rFont val="Calibri"/>
        <family val="2"/>
        <scheme val="minor"/>
      </rPr>
      <t>ComputerScienceA</t>
    </r>
    <r>
      <rPr>
        <sz val="11"/>
        <color theme="1"/>
        <rFont val="Calibri"/>
        <family val="2"/>
        <scheme val="minor"/>
      </rPr>
      <t xml:space="preserve"> - Computer Science A
</t>
    </r>
    <r>
      <rPr>
        <b/>
        <sz val="11"/>
        <color theme="1"/>
        <rFont val="Calibri"/>
        <family val="2"/>
        <scheme val="minor"/>
      </rPr>
      <t>ComputerScienceAB</t>
    </r>
    <r>
      <rPr>
        <sz val="11"/>
        <color theme="1"/>
        <rFont val="Calibri"/>
        <family val="2"/>
        <scheme val="minor"/>
      </rPr>
      <t xml:space="preserve"> - Computer Science AB
</t>
    </r>
    <r>
      <rPr>
        <b/>
        <sz val="11"/>
        <color theme="1"/>
        <rFont val="Calibri"/>
        <family val="2"/>
        <scheme val="minor"/>
      </rPr>
      <t>Macroeconomics</t>
    </r>
    <r>
      <rPr>
        <sz val="11"/>
        <color theme="1"/>
        <rFont val="Calibri"/>
        <family val="2"/>
        <scheme val="minor"/>
      </rPr>
      <t xml:space="preserve"> - Macroeconomics
</t>
    </r>
    <r>
      <rPr>
        <b/>
        <sz val="11"/>
        <color theme="1"/>
        <rFont val="Calibri"/>
        <family val="2"/>
        <scheme val="minor"/>
      </rPr>
      <t>Microeconomics</t>
    </r>
    <r>
      <rPr>
        <sz val="11"/>
        <color theme="1"/>
        <rFont val="Calibri"/>
        <family val="2"/>
        <scheme val="minor"/>
      </rPr>
      <t xml:space="preserve"> - Microeconomics
</t>
    </r>
    <r>
      <rPr>
        <b/>
        <sz val="11"/>
        <color theme="1"/>
        <rFont val="Calibri"/>
        <family val="2"/>
        <scheme val="minor"/>
      </rPr>
      <t>EnglishLanguage</t>
    </r>
    <r>
      <rPr>
        <sz val="11"/>
        <color theme="1"/>
        <rFont val="Calibri"/>
        <family val="2"/>
        <scheme val="minor"/>
      </rPr>
      <t xml:space="preserve"> - English Language
</t>
    </r>
    <r>
      <rPr>
        <b/>
        <sz val="11"/>
        <color theme="1"/>
        <rFont val="Calibri"/>
        <family val="2"/>
        <scheme val="minor"/>
      </rPr>
      <t>EnglishLiterature</t>
    </r>
    <r>
      <rPr>
        <sz val="11"/>
        <color theme="1"/>
        <rFont val="Calibri"/>
        <family val="2"/>
        <scheme val="minor"/>
      </rPr>
      <t xml:space="preserve"> - English Literature
</t>
    </r>
    <r>
      <rPr>
        <b/>
        <sz val="11"/>
        <color theme="1"/>
        <rFont val="Calibri"/>
        <family val="2"/>
        <scheme val="minor"/>
      </rPr>
      <t>EnvironmentalScience</t>
    </r>
    <r>
      <rPr>
        <sz val="11"/>
        <color theme="1"/>
        <rFont val="Calibri"/>
        <family val="2"/>
        <scheme val="minor"/>
      </rPr>
      <t xml:space="preserve"> - Environmental Science
</t>
    </r>
    <r>
      <rPr>
        <b/>
        <sz val="11"/>
        <color theme="1"/>
        <rFont val="Calibri"/>
        <family val="2"/>
        <scheme val="minor"/>
      </rPr>
      <t>EuropeanHistory</t>
    </r>
    <r>
      <rPr>
        <sz val="11"/>
        <color theme="1"/>
        <rFont val="Calibri"/>
        <family val="2"/>
        <scheme val="minor"/>
      </rPr>
      <t xml:space="preserve"> - European History
</t>
    </r>
    <r>
      <rPr>
        <b/>
        <sz val="11"/>
        <color theme="1"/>
        <rFont val="Calibri"/>
        <family val="2"/>
        <scheme val="minor"/>
      </rPr>
      <t>FrenchLanguage</t>
    </r>
    <r>
      <rPr>
        <sz val="11"/>
        <color theme="1"/>
        <rFont val="Calibri"/>
        <family val="2"/>
        <scheme val="minor"/>
      </rPr>
      <t xml:space="preserve"> - French Language
</t>
    </r>
    <r>
      <rPr>
        <b/>
        <sz val="11"/>
        <color theme="1"/>
        <rFont val="Calibri"/>
        <family val="2"/>
        <scheme val="minor"/>
      </rPr>
      <t>FrenchLiterature</t>
    </r>
    <r>
      <rPr>
        <sz val="11"/>
        <color theme="1"/>
        <rFont val="Calibri"/>
        <family val="2"/>
        <scheme val="minor"/>
      </rPr>
      <t xml:space="preserve"> - French Literature
</t>
    </r>
    <r>
      <rPr>
        <b/>
        <sz val="11"/>
        <color theme="1"/>
        <rFont val="Calibri"/>
        <family val="2"/>
        <scheme val="minor"/>
      </rPr>
      <t>GermanLanguage</t>
    </r>
    <r>
      <rPr>
        <sz val="11"/>
        <color theme="1"/>
        <rFont val="Calibri"/>
        <family val="2"/>
        <scheme val="minor"/>
      </rPr>
      <t xml:space="preserve"> - German Language
</t>
    </r>
    <r>
      <rPr>
        <b/>
        <sz val="11"/>
        <color theme="1"/>
        <rFont val="Calibri"/>
        <family val="2"/>
        <scheme val="minor"/>
      </rPr>
      <t>CompGovernmentAndPolitics</t>
    </r>
    <r>
      <rPr>
        <sz val="11"/>
        <color theme="1"/>
        <rFont val="Calibri"/>
        <family val="2"/>
        <scheme val="minor"/>
      </rPr>
      <t xml:space="preserve"> - Comp Government And Politics
</t>
    </r>
    <r>
      <rPr>
        <b/>
        <sz val="11"/>
        <color theme="1"/>
        <rFont val="Calibri"/>
        <family val="2"/>
        <scheme val="minor"/>
      </rPr>
      <t>USGovernmentAndPolitics</t>
    </r>
    <r>
      <rPr>
        <sz val="11"/>
        <color theme="1"/>
        <rFont val="Calibri"/>
        <family val="2"/>
        <scheme val="minor"/>
      </rPr>
      <t xml:space="preserve"> - US Government And Politics
</t>
    </r>
    <r>
      <rPr>
        <b/>
        <sz val="11"/>
        <color theme="1"/>
        <rFont val="Calibri"/>
        <family val="2"/>
        <scheme val="minor"/>
      </rPr>
      <t>HumanGeography</t>
    </r>
    <r>
      <rPr>
        <sz val="11"/>
        <color theme="1"/>
        <rFont val="Calibri"/>
        <family val="2"/>
        <scheme val="minor"/>
      </rPr>
      <t xml:space="preserve"> - Human Geography
</t>
    </r>
    <r>
      <rPr>
        <b/>
        <sz val="11"/>
        <color theme="1"/>
        <rFont val="Calibri"/>
        <family val="2"/>
        <scheme val="minor"/>
      </rPr>
      <t>ItalianLanguageAndCulture</t>
    </r>
    <r>
      <rPr>
        <sz val="11"/>
        <color theme="1"/>
        <rFont val="Calibri"/>
        <family val="2"/>
        <scheme val="minor"/>
      </rPr>
      <t xml:space="preserve"> - Italian Language And Culture
</t>
    </r>
    <r>
      <rPr>
        <b/>
        <sz val="11"/>
        <color theme="1"/>
        <rFont val="Calibri"/>
        <family val="2"/>
        <scheme val="minor"/>
      </rPr>
      <t>LatinLiterature</t>
    </r>
    <r>
      <rPr>
        <sz val="11"/>
        <color theme="1"/>
        <rFont val="Calibri"/>
        <family val="2"/>
        <scheme val="minor"/>
      </rPr>
      <t xml:space="preserve"> - Latin Literature
</t>
    </r>
    <r>
      <rPr>
        <b/>
        <sz val="11"/>
        <color theme="1"/>
        <rFont val="Calibri"/>
        <family val="2"/>
        <scheme val="minor"/>
      </rPr>
      <t>LatinVergil</t>
    </r>
    <r>
      <rPr>
        <sz val="11"/>
        <color theme="1"/>
        <rFont val="Calibri"/>
        <family val="2"/>
        <scheme val="minor"/>
      </rPr>
      <t xml:space="preserve"> - Latin Vergil
</t>
    </r>
    <r>
      <rPr>
        <b/>
        <sz val="11"/>
        <color theme="1"/>
        <rFont val="Calibri"/>
        <family val="2"/>
        <scheme val="minor"/>
      </rPr>
      <t>MusicTheory</t>
    </r>
    <r>
      <rPr>
        <sz val="11"/>
        <color theme="1"/>
        <rFont val="Calibri"/>
        <family val="2"/>
        <scheme val="minor"/>
      </rPr>
      <t xml:space="preserve"> - Music Theory
</t>
    </r>
    <r>
      <rPr>
        <b/>
        <sz val="11"/>
        <color theme="1"/>
        <rFont val="Calibri"/>
        <family val="2"/>
        <scheme val="minor"/>
      </rPr>
      <t>PhysicsB</t>
    </r>
    <r>
      <rPr>
        <sz val="11"/>
        <color theme="1"/>
        <rFont val="Calibri"/>
        <family val="2"/>
        <scheme val="minor"/>
      </rPr>
      <t xml:space="preserve"> - Physics B
</t>
    </r>
    <r>
      <rPr>
        <b/>
        <sz val="11"/>
        <color theme="1"/>
        <rFont val="Calibri"/>
        <family val="2"/>
        <scheme val="minor"/>
      </rPr>
      <t>PhysicsC</t>
    </r>
    <r>
      <rPr>
        <sz val="11"/>
        <color theme="1"/>
        <rFont val="Calibri"/>
        <family val="2"/>
        <scheme val="minor"/>
      </rPr>
      <t xml:space="preserve"> - Physics C
</t>
    </r>
    <r>
      <rPr>
        <b/>
        <sz val="11"/>
        <color theme="1"/>
        <rFont val="Calibri"/>
        <family val="2"/>
        <scheme val="minor"/>
      </rPr>
      <t>Psychology</t>
    </r>
    <r>
      <rPr>
        <sz val="11"/>
        <color theme="1"/>
        <rFont val="Calibri"/>
        <family val="2"/>
        <scheme val="minor"/>
      </rPr>
      <t xml:space="preserve"> - Psychology
</t>
    </r>
    <r>
      <rPr>
        <b/>
        <sz val="11"/>
        <color theme="1"/>
        <rFont val="Calibri"/>
        <family val="2"/>
        <scheme val="minor"/>
      </rPr>
      <t>SpanishLanguage</t>
    </r>
    <r>
      <rPr>
        <sz val="11"/>
        <color theme="1"/>
        <rFont val="Calibri"/>
        <family val="2"/>
        <scheme val="minor"/>
      </rPr>
      <t xml:space="preserve"> - Spanish Language
</t>
    </r>
    <r>
      <rPr>
        <b/>
        <sz val="11"/>
        <color theme="1"/>
        <rFont val="Calibri"/>
        <family val="2"/>
        <scheme val="minor"/>
      </rPr>
      <t>SpanishLiterature</t>
    </r>
    <r>
      <rPr>
        <sz val="11"/>
        <color theme="1"/>
        <rFont val="Calibri"/>
        <family val="2"/>
        <scheme val="minor"/>
      </rPr>
      <t xml:space="preserve"> - Spanish Literature
</t>
    </r>
    <r>
      <rPr>
        <b/>
        <sz val="11"/>
        <color theme="1"/>
        <rFont val="Calibri"/>
        <family val="2"/>
        <scheme val="minor"/>
      </rPr>
      <t>Statistics</t>
    </r>
    <r>
      <rPr>
        <sz val="11"/>
        <color theme="1"/>
        <rFont val="Calibri"/>
        <family val="2"/>
        <scheme val="minor"/>
      </rPr>
      <t xml:space="preserve"> - Statistics
</t>
    </r>
    <r>
      <rPr>
        <b/>
        <sz val="11"/>
        <color theme="1"/>
        <rFont val="Calibri"/>
        <family val="2"/>
        <scheme val="minor"/>
      </rPr>
      <t>StudioArt</t>
    </r>
    <r>
      <rPr>
        <sz val="11"/>
        <color theme="1"/>
        <rFont val="Calibri"/>
        <family val="2"/>
        <scheme val="minor"/>
      </rPr>
      <t xml:space="preserve"> - Studio Art
</t>
    </r>
    <r>
      <rPr>
        <b/>
        <sz val="11"/>
        <color theme="1"/>
        <rFont val="Calibri"/>
        <family val="2"/>
        <scheme val="minor"/>
      </rPr>
      <t>USHistory</t>
    </r>
    <r>
      <rPr>
        <sz val="11"/>
        <color theme="1"/>
        <rFont val="Calibri"/>
        <family val="2"/>
        <scheme val="minor"/>
      </rPr>
      <t xml:space="preserve"> - US History
</t>
    </r>
    <r>
      <rPr>
        <b/>
        <sz val="11"/>
        <color theme="1"/>
        <rFont val="Calibri"/>
        <family val="2"/>
        <scheme val="minor"/>
      </rPr>
      <t>WorldHistory</t>
    </r>
    <r>
      <rPr>
        <sz val="11"/>
        <color theme="1"/>
        <rFont val="Calibri"/>
        <family val="2"/>
        <scheme val="minor"/>
      </rPr>
      <t xml:space="preserve"> - World History
</t>
    </r>
  </si>
  <si>
    <r>
      <t>01</t>
    </r>
    <r>
      <rPr>
        <sz val="11"/>
        <color theme="1"/>
        <rFont val="Calibri"/>
        <family val="2"/>
        <scheme val="minor"/>
      </rPr>
      <t xml:space="preserve"> - Agriculture, Food &amp; Natural Resources
</t>
    </r>
    <r>
      <rPr>
        <b/>
        <sz val="11"/>
        <color theme="1"/>
        <rFont val="Calibri"/>
        <family val="2"/>
        <scheme val="minor"/>
      </rPr>
      <t>02</t>
    </r>
    <r>
      <rPr>
        <sz val="11"/>
        <color theme="1"/>
        <rFont val="Calibri"/>
        <family val="2"/>
        <scheme val="minor"/>
      </rPr>
      <t xml:space="preserve"> - Architecture &amp; Construction
</t>
    </r>
    <r>
      <rPr>
        <b/>
        <sz val="11"/>
        <color theme="1"/>
        <rFont val="Calibri"/>
        <family val="2"/>
        <scheme val="minor"/>
      </rPr>
      <t>03</t>
    </r>
    <r>
      <rPr>
        <sz val="11"/>
        <color theme="1"/>
        <rFont val="Calibri"/>
        <family val="2"/>
        <scheme val="minor"/>
      </rPr>
      <t xml:space="preserve"> - Arts, A/V Technology &amp; Communications
</t>
    </r>
    <r>
      <rPr>
        <b/>
        <sz val="11"/>
        <color theme="1"/>
        <rFont val="Calibri"/>
        <family val="2"/>
        <scheme val="minor"/>
      </rPr>
      <t>04</t>
    </r>
    <r>
      <rPr>
        <sz val="11"/>
        <color theme="1"/>
        <rFont val="Calibri"/>
        <family val="2"/>
        <scheme val="minor"/>
      </rPr>
      <t xml:space="preserve"> - Business Management &amp; Administration
</t>
    </r>
    <r>
      <rPr>
        <b/>
        <sz val="11"/>
        <color theme="1"/>
        <rFont val="Calibri"/>
        <family val="2"/>
        <scheme val="minor"/>
      </rPr>
      <t>05</t>
    </r>
    <r>
      <rPr>
        <sz val="11"/>
        <color theme="1"/>
        <rFont val="Calibri"/>
        <family val="2"/>
        <scheme val="minor"/>
      </rPr>
      <t xml:space="preserve"> - Education &amp; Training
</t>
    </r>
    <r>
      <rPr>
        <b/>
        <sz val="11"/>
        <color theme="1"/>
        <rFont val="Calibri"/>
        <family val="2"/>
        <scheme val="minor"/>
      </rPr>
      <t>06</t>
    </r>
    <r>
      <rPr>
        <sz val="11"/>
        <color theme="1"/>
        <rFont val="Calibri"/>
        <family val="2"/>
        <scheme val="minor"/>
      </rPr>
      <t xml:space="preserve"> - Finance
</t>
    </r>
    <r>
      <rPr>
        <b/>
        <sz val="11"/>
        <color theme="1"/>
        <rFont val="Calibri"/>
        <family val="2"/>
        <scheme val="minor"/>
      </rPr>
      <t>07</t>
    </r>
    <r>
      <rPr>
        <sz val="11"/>
        <color theme="1"/>
        <rFont val="Calibri"/>
        <family val="2"/>
        <scheme val="minor"/>
      </rPr>
      <t xml:space="preserve"> - Government &amp; Public Administration
</t>
    </r>
    <r>
      <rPr>
        <b/>
        <sz val="11"/>
        <color theme="1"/>
        <rFont val="Calibri"/>
        <family val="2"/>
        <scheme val="minor"/>
      </rPr>
      <t>08</t>
    </r>
    <r>
      <rPr>
        <sz val="11"/>
        <color theme="1"/>
        <rFont val="Calibri"/>
        <family val="2"/>
        <scheme val="minor"/>
      </rPr>
      <t xml:space="preserve"> - Health Science
</t>
    </r>
    <r>
      <rPr>
        <b/>
        <sz val="11"/>
        <color theme="1"/>
        <rFont val="Calibri"/>
        <family val="2"/>
        <scheme val="minor"/>
      </rPr>
      <t>09</t>
    </r>
    <r>
      <rPr>
        <sz val="11"/>
        <color theme="1"/>
        <rFont val="Calibri"/>
        <family val="2"/>
        <scheme val="minor"/>
      </rPr>
      <t xml:space="preserve"> - Hospitality &amp; Tourism
</t>
    </r>
    <r>
      <rPr>
        <b/>
        <sz val="11"/>
        <color theme="1"/>
        <rFont val="Calibri"/>
        <family val="2"/>
        <scheme val="minor"/>
      </rPr>
      <t>10</t>
    </r>
    <r>
      <rPr>
        <sz val="11"/>
        <color theme="1"/>
        <rFont val="Calibri"/>
        <family val="2"/>
        <scheme val="minor"/>
      </rPr>
      <t xml:space="preserve"> - Human Services
</t>
    </r>
    <r>
      <rPr>
        <b/>
        <sz val="11"/>
        <color theme="1"/>
        <rFont val="Calibri"/>
        <family val="2"/>
        <scheme val="minor"/>
      </rPr>
      <t>11</t>
    </r>
    <r>
      <rPr>
        <sz val="11"/>
        <color theme="1"/>
        <rFont val="Calibri"/>
        <family val="2"/>
        <scheme val="minor"/>
      </rPr>
      <t xml:space="preserve"> - Information Technology
</t>
    </r>
    <r>
      <rPr>
        <b/>
        <sz val="11"/>
        <color theme="1"/>
        <rFont val="Calibri"/>
        <family val="2"/>
        <scheme val="minor"/>
      </rPr>
      <t>12</t>
    </r>
    <r>
      <rPr>
        <sz val="11"/>
        <color theme="1"/>
        <rFont val="Calibri"/>
        <family val="2"/>
        <scheme val="minor"/>
      </rPr>
      <t xml:space="preserve"> - Law, Public Safety, Corrections &amp; Security
</t>
    </r>
    <r>
      <rPr>
        <b/>
        <sz val="11"/>
        <color theme="1"/>
        <rFont val="Calibri"/>
        <family val="2"/>
        <scheme val="minor"/>
      </rPr>
      <t>13</t>
    </r>
    <r>
      <rPr>
        <sz val="11"/>
        <color theme="1"/>
        <rFont val="Calibri"/>
        <family val="2"/>
        <scheme val="minor"/>
      </rPr>
      <t xml:space="preserve"> - Manufacturing
</t>
    </r>
    <r>
      <rPr>
        <b/>
        <sz val="11"/>
        <color theme="1"/>
        <rFont val="Calibri"/>
        <family val="2"/>
        <scheme val="minor"/>
      </rPr>
      <t>14</t>
    </r>
    <r>
      <rPr>
        <sz val="11"/>
        <color theme="1"/>
        <rFont val="Calibri"/>
        <family val="2"/>
        <scheme val="minor"/>
      </rPr>
      <t xml:space="preserve"> - Marketing
</t>
    </r>
    <r>
      <rPr>
        <b/>
        <sz val="11"/>
        <color theme="1"/>
        <rFont val="Calibri"/>
        <family val="2"/>
        <scheme val="minor"/>
      </rPr>
      <t>15</t>
    </r>
    <r>
      <rPr>
        <sz val="11"/>
        <color theme="1"/>
        <rFont val="Calibri"/>
        <family val="2"/>
        <scheme val="minor"/>
      </rPr>
      <t xml:space="preserve"> - Science, Technology, Engineering &amp; Mathematics
</t>
    </r>
    <r>
      <rPr>
        <b/>
        <sz val="11"/>
        <color theme="1"/>
        <rFont val="Calibri"/>
        <family val="2"/>
        <scheme val="minor"/>
      </rPr>
      <t>16</t>
    </r>
    <r>
      <rPr>
        <sz val="11"/>
        <color theme="1"/>
        <rFont val="Calibri"/>
        <family val="2"/>
        <scheme val="minor"/>
      </rPr>
      <t xml:space="preserve"> - Transportation, Distribution &amp; Logistics
</t>
    </r>
  </si>
  <si>
    <r>
      <t>Asynchronous</t>
    </r>
    <r>
      <rPr>
        <sz val="11"/>
        <color theme="1"/>
        <rFont val="Calibri"/>
        <family val="2"/>
        <scheme val="minor"/>
      </rPr>
      <t xml:space="preserve"> - Asynchronous
</t>
    </r>
    <r>
      <rPr>
        <b/>
        <sz val="11"/>
        <color theme="1"/>
        <rFont val="Calibri"/>
        <family val="2"/>
        <scheme val="minor"/>
      </rPr>
      <t>Synchronous</t>
    </r>
    <r>
      <rPr>
        <sz val="11"/>
        <color theme="1"/>
        <rFont val="Calibri"/>
        <family val="2"/>
        <scheme val="minor"/>
      </rPr>
      <t xml:space="preserve"> - Synchronous
</t>
    </r>
  </si>
  <si>
    <t>Course Section</t>
  </si>
  <si>
    <r>
      <t>00997</t>
    </r>
    <r>
      <rPr>
        <sz val="11"/>
        <color theme="1"/>
        <rFont val="Calibri"/>
        <family val="2"/>
        <scheme val="minor"/>
      </rPr>
      <t xml:space="preserve"> - Business
</t>
    </r>
    <r>
      <rPr>
        <b/>
        <sz val="11"/>
        <color theme="1"/>
        <rFont val="Calibri"/>
        <family val="2"/>
        <scheme val="minor"/>
      </rPr>
      <t>00752</t>
    </r>
    <r>
      <rPr>
        <sz val="11"/>
        <color theme="1"/>
        <rFont val="Calibri"/>
        <family val="2"/>
        <scheme val="minor"/>
      </rPr>
      <t xml:space="preserve"> - Community facility
</t>
    </r>
    <r>
      <rPr>
        <b/>
        <sz val="11"/>
        <color theme="1"/>
        <rFont val="Calibri"/>
        <family val="2"/>
        <scheme val="minor"/>
      </rPr>
      <t>00753</t>
    </r>
    <r>
      <rPr>
        <sz val="11"/>
        <color theme="1"/>
        <rFont val="Calibri"/>
        <family val="2"/>
        <scheme val="minor"/>
      </rPr>
      <t xml:space="preserve"> - Home of student
</t>
    </r>
    <r>
      <rPr>
        <b/>
        <sz val="11"/>
        <color theme="1"/>
        <rFont val="Calibri"/>
        <family val="2"/>
        <scheme val="minor"/>
      </rPr>
      <t>00754</t>
    </r>
    <r>
      <rPr>
        <sz val="11"/>
        <color theme="1"/>
        <rFont val="Calibri"/>
        <family val="2"/>
        <scheme val="minor"/>
      </rPr>
      <t xml:space="preserve"> - Hospital
</t>
    </r>
    <r>
      <rPr>
        <b/>
        <sz val="11"/>
        <color theme="1"/>
        <rFont val="Calibri"/>
        <family val="2"/>
        <scheme val="minor"/>
      </rPr>
      <t>03018</t>
    </r>
    <r>
      <rPr>
        <sz val="11"/>
        <color theme="1"/>
        <rFont val="Calibri"/>
        <family val="2"/>
        <scheme val="minor"/>
      </rPr>
      <t xml:space="preserve"> - Library/media center
</t>
    </r>
    <r>
      <rPr>
        <b/>
        <sz val="11"/>
        <color theme="1"/>
        <rFont val="Calibri"/>
        <family val="2"/>
        <scheme val="minor"/>
      </rPr>
      <t>03506</t>
    </r>
    <r>
      <rPr>
        <sz val="11"/>
        <color theme="1"/>
        <rFont val="Calibri"/>
        <family val="2"/>
        <scheme val="minor"/>
      </rPr>
      <t xml:space="preserve"> - Mobile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00341</t>
    </r>
    <r>
      <rPr>
        <sz val="11"/>
        <color theme="1"/>
        <rFont val="Calibri"/>
        <family val="2"/>
        <scheme val="minor"/>
      </rPr>
      <t xml:space="preserve"> - Other K-12 educational institution
</t>
    </r>
    <r>
      <rPr>
        <b/>
        <sz val="11"/>
        <color theme="1"/>
        <rFont val="Calibri"/>
        <family val="2"/>
        <scheme val="minor"/>
      </rPr>
      <t>00342</t>
    </r>
    <r>
      <rPr>
        <sz val="11"/>
        <color theme="1"/>
        <rFont val="Calibri"/>
        <family val="2"/>
        <scheme val="minor"/>
      </rPr>
      <t xml:space="preserve"> - Postsecondary facility
</t>
    </r>
    <r>
      <rPr>
        <b/>
        <sz val="11"/>
        <color theme="1"/>
        <rFont val="Calibri"/>
        <family val="2"/>
        <scheme val="minor"/>
      </rPr>
      <t>00675</t>
    </r>
    <r>
      <rPr>
        <sz val="11"/>
        <color theme="1"/>
        <rFont val="Calibri"/>
        <family val="2"/>
        <scheme val="minor"/>
      </rPr>
      <t xml:space="preserve"> - School
</t>
    </r>
  </si>
  <si>
    <r>
      <t>Broadcast</t>
    </r>
    <r>
      <rPr>
        <sz val="11"/>
        <color theme="1"/>
        <rFont val="Calibri"/>
        <family val="2"/>
        <scheme val="minor"/>
      </rPr>
      <t xml:space="preserve"> - Broadcast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EarlyCollege</t>
    </r>
    <r>
      <rPr>
        <sz val="11"/>
        <color theme="1"/>
        <rFont val="Calibri"/>
        <family val="2"/>
        <scheme val="minor"/>
      </rPr>
      <t xml:space="preserve"> - Early College
</t>
    </r>
    <r>
      <rPr>
        <b/>
        <sz val="11"/>
        <color theme="1"/>
        <rFont val="Calibri"/>
        <family val="2"/>
        <scheme val="minor"/>
      </rPr>
      <t>AudioVideo</t>
    </r>
    <r>
      <rPr>
        <sz val="11"/>
        <color theme="1"/>
        <rFont val="Calibri"/>
        <family val="2"/>
        <scheme val="minor"/>
      </rPr>
      <t xml:space="preserve"> - Interactive Audio/Video
</t>
    </r>
    <r>
      <rPr>
        <b/>
        <sz val="11"/>
        <color theme="1"/>
        <rFont val="Calibri"/>
        <family val="2"/>
        <scheme val="minor"/>
      </rPr>
      <t>Online</t>
    </r>
    <r>
      <rPr>
        <sz val="11"/>
        <color theme="1"/>
        <rFont val="Calibri"/>
        <family val="2"/>
        <scheme val="minor"/>
      </rPr>
      <t xml:space="preserve"> - Online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FaceToFace</t>
    </r>
    <r>
      <rPr>
        <sz val="11"/>
        <color theme="1"/>
        <rFont val="Calibri"/>
        <family val="2"/>
        <scheme val="minor"/>
      </rPr>
      <t xml:space="preserve"> - Face to Face
</t>
    </r>
    <r>
      <rPr>
        <b/>
        <sz val="11"/>
        <color theme="1"/>
        <rFont val="Calibri"/>
        <family val="2"/>
        <scheme val="minor"/>
      </rPr>
      <t>BlendedLearning</t>
    </r>
    <r>
      <rPr>
        <sz val="11"/>
        <color theme="1"/>
        <rFont val="Calibri"/>
        <family val="2"/>
        <scheme val="minor"/>
      </rPr>
      <t xml:space="preserve"> - Blended Learning
</t>
    </r>
  </si>
  <si>
    <r>
      <t>MaleOnly</t>
    </r>
    <r>
      <rPr>
        <sz val="11"/>
        <color theme="1"/>
        <rFont val="Calibri"/>
        <family val="2"/>
        <scheme val="minor"/>
      </rPr>
      <t xml:space="preserve"> - Male-only
</t>
    </r>
    <r>
      <rPr>
        <b/>
        <sz val="11"/>
        <color theme="1"/>
        <rFont val="Calibri"/>
        <family val="2"/>
        <scheme val="minor"/>
      </rPr>
      <t>FemaleOnly</t>
    </r>
    <r>
      <rPr>
        <sz val="11"/>
        <color theme="1"/>
        <rFont val="Calibri"/>
        <family val="2"/>
        <scheme val="minor"/>
      </rPr>
      <t xml:space="preserve"> - Female-only
</t>
    </r>
    <r>
      <rPr>
        <b/>
        <sz val="11"/>
        <color theme="1"/>
        <rFont val="Calibri"/>
        <family val="2"/>
        <scheme val="minor"/>
      </rPr>
      <t>NotSingleSex</t>
    </r>
    <r>
      <rPr>
        <sz val="11"/>
        <color theme="1"/>
        <rFont val="Calibri"/>
        <family val="2"/>
        <scheme val="minor"/>
      </rPr>
      <t xml:space="preserve"> - Not a single-sex class
</t>
    </r>
  </si>
  <si>
    <r>
      <t>Accelerated</t>
    </r>
    <r>
      <rPr>
        <sz val="11"/>
        <color theme="1"/>
        <rFont val="Calibri"/>
        <family val="2"/>
        <scheme val="minor"/>
      </rPr>
      <t xml:space="preserve"> - Accelerated
</t>
    </r>
    <r>
      <rPr>
        <b/>
        <sz val="11"/>
        <color theme="1"/>
        <rFont val="Calibri"/>
        <family val="2"/>
        <scheme val="minor"/>
      </rPr>
      <t>AdultBasic</t>
    </r>
    <r>
      <rPr>
        <sz val="11"/>
        <color theme="1"/>
        <rFont val="Calibri"/>
        <family val="2"/>
        <scheme val="minor"/>
      </rPr>
      <t xml:space="preserve"> - Adult Basic
</t>
    </r>
    <r>
      <rPr>
        <b/>
        <sz val="11"/>
        <color theme="1"/>
        <rFont val="Calibri"/>
        <family val="2"/>
        <scheme val="minor"/>
      </rPr>
      <t>AdvancedPlacement</t>
    </r>
    <r>
      <rPr>
        <sz val="11"/>
        <color theme="1"/>
        <rFont val="Calibri"/>
        <family val="2"/>
        <scheme val="minor"/>
      </rPr>
      <t xml:space="preserve"> - Advanced Placement
</t>
    </r>
    <r>
      <rPr>
        <b/>
        <sz val="11"/>
        <color theme="1"/>
        <rFont val="Calibri"/>
        <family val="2"/>
        <scheme val="minor"/>
      </rPr>
      <t>Basic</t>
    </r>
    <r>
      <rPr>
        <sz val="11"/>
        <color theme="1"/>
        <rFont val="Calibri"/>
        <family val="2"/>
        <scheme val="minor"/>
      </rPr>
      <t xml:space="preserve"> - Basic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CollegeLevel</t>
    </r>
    <r>
      <rPr>
        <sz val="11"/>
        <color theme="1"/>
        <rFont val="Calibri"/>
        <family val="2"/>
        <scheme val="minor"/>
      </rPr>
      <t xml:space="preserve"> - College Level
</t>
    </r>
    <r>
      <rPr>
        <b/>
        <sz val="11"/>
        <color theme="1"/>
        <rFont val="Calibri"/>
        <family val="2"/>
        <scheme val="minor"/>
      </rPr>
      <t>CollegePreparatory</t>
    </r>
    <r>
      <rPr>
        <sz val="11"/>
        <color theme="1"/>
        <rFont val="Calibri"/>
        <family val="2"/>
        <scheme val="minor"/>
      </rPr>
      <t xml:space="preserve"> - College Preparatory
</t>
    </r>
    <r>
      <rPr>
        <b/>
        <sz val="11"/>
        <color theme="1"/>
        <rFont val="Calibri"/>
        <family val="2"/>
        <scheme val="minor"/>
      </rPr>
      <t>GiftedTalented</t>
    </r>
    <r>
      <rPr>
        <sz val="11"/>
        <color theme="1"/>
        <rFont val="Calibri"/>
        <family val="2"/>
        <scheme val="minor"/>
      </rPr>
      <t xml:space="preserve"> - Gifted and Talented
</t>
    </r>
    <r>
      <rPr>
        <b/>
        <sz val="11"/>
        <color theme="1"/>
        <rFont val="Calibri"/>
        <family val="2"/>
        <scheme val="minor"/>
      </rPr>
      <t>Honors</t>
    </r>
    <r>
      <rPr>
        <sz val="11"/>
        <color theme="1"/>
        <rFont val="Calibri"/>
        <family val="2"/>
        <scheme val="minor"/>
      </rPr>
      <t xml:space="preserve"> - Honors
</t>
    </r>
    <r>
      <rPr>
        <b/>
        <sz val="11"/>
        <color theme="1"/>
        <rFont val="Calibri"/>
        <family val="2"/>
        <scheme val="minor"/>
      </rPr>
      <t>NonAcademic</t>
    </r>
    <r>
      <rPr>
        <sz val="11"/>
        <color theme="1"/>
        <rFont val="Calibri"/>
        <family val="2"/>
        <scheme val="minor"/>
      </rPr>
      <t xml:space="preserve"> - Non-Academic
</t>
    </r>
    <r>
      <rPr>
        <b/>
        <sz val="11"/>
        <color theme="1"/>
        <rFont val="Calibri"/>
        <family val="2"/>
        <scheme val="minor"/>
      </rPr>
      <t>SpecialEducation</t>
    </r>
    <r>
      <rPr>
        <sz val="11"/>
        <color theme="1"/>
        <rFont val="Calibri"/>
        <family val="2"/>
        <scheme val="minor"/>
      </rPr>
      <t xml:space="preserve"> - Special Education
</t>
    </r>
    <r>
      <rPr>
        <b/>
        <sz val="11"/>
        <color theme="1"/>
        <rFont val="Calibri"/>
        <family val="2"/>
        <scheme val="minor"/>
      </rPr>
      <t>TechnicalPreparatory</t>
    </r>
    <r>
      <rPr>
        <sz val="11"/>
        <color theme="1"/>
        <rFont val="Calibri"/>
        <family val="2"/>
        <scheme val="minor"/>
      </rPr>
      <t xml:space="preserve"> - Technical Preparatory
</t>
    </r>
    <r>
      <rPr>
        <b/>
        <sz val="11"/>
        <color theme="1"/>
        <rFont val="Calibri"/>
        <family val="2"/>
        <scheme val="minor"/>
      </rPr>
      <t>Vocational</t>
    </r>
    <r>
      <rPr>
        <sz val="11"/>
        <color theme="1"/>
        <rFont val="Calibri"/>
        <family val="2"/>
        <scheme val="minor"/>
      </rPr>
      <t xml:space="preserve"> - Vocational
</t>
    </r>
    <r>
      <rPr>
        <b/>
        <sz val="11"/>
        <color theme="1"/>
        <rFont val="Calibri"/>
        <family val="2"/>
        <scheme val="minor"/>
      </rPr>
      <t>LowerDivision</t>
    </r>
    <r>
      <rPr>
        <sz val="11"/>
        <color theme="1"/>
        <rFont val="Calibri"/>
        <family val="2"/>
        <scheme val="minor"/>
      </rPr>
      <t xml:space="preserve"> - Lower division
</t>
    </r>
    <r>
      <rPr>
        <b/>
        <sz val="11"/>
        <color theme="1"/>
        <rFont val="Calibri"/>
        <family val="2"/>
        <scheme val="minor"/>
      </rPr>
      <t>UpperDivision</t>
    </r>
    <r>
      <rPr>
        <sz val="11"/>
        <color theme="1"/>
        <rFont val="Calibri"/>
        <family val="2"/>
        <scheme val="minor"/>
      </rPr>
      <t xml:space="preserve"> - Upper division
</t>
    </r>
    <r>
      <rPr>
        <b/>
        <sz val="11"/>
        <color theme="1"/>
        <rFont val="Calibri"/>
        <family val="2"/>
        <scheme val="minor"/>
      </rPr>
      <t>Dual</t>
    </r>
    <r>
      <rPr>
        <sz val="11"/>
        <color theme="1"/>
        <rFont val="Calibri"/>
        <family val="2"/>
        <scheme val="minor"/>
      </rPr>
      <t xml:space="preserve"> - Dual level
</t>
    </r>
    <r>
      <rPr>
        <b/>
        <sz val="11"/>
        <color theme="1"/>
        <rFont val="Calibri"/>
        <family val="2"/>
        <scheme val="minor"/>
      </rPr>
      <t>GraduateProfessional</t>
    </r>
    <r>
      <rPr>
        <sz val="11"/>
        <color theme="1"/>
        <rFont val="Calibri"/>
        <family val="2"/>
        <scheme val="minor"/>
      </rPr>
      <t xml:space="preserve"> - Graduate/Professional
</t>
    </r>
    <r>
      <rPr>
        <b/>
        <sz val="11"/>
        <color theme="1"/>
        <rFont val="Calibri"/>
        <family val="2"/>
        <scheme val="minor"/>
      </rPr>
      <t>Regents</t>
    </r>
    <r>
      <rPr>
        <sz val="11"/>
        <color theme="1"/>
        <rFont val="Calibri"/>
        <family val="2"/>
        <scheme val="minor"/>
      </rPr>
      <t xml:space="preserve"> - Regents
</t>
    </r>
    <r>
      <rPr>
        <b/>
        <sz val="11"/>
        <color theme="1"/>
        <rFont val="Calibri"/>
        <family val="2"/>
        <scheme val="minor"/>
      </rPr>
      <t>Remedial</t>
    </r>
    <r>
      <rPr>
        <sz val="11"/>
        <color theme="1"/>
        <rFont val="Calibri"/>
        <family val="2"/>
        <scheme val="minor"/>
      </rPr>
      <t xml:space="preserve"> - Remedial/Developmental
</t>
    </r>
    <r>
      <rPr>
        <b/>
        <sz val="11"/>
        <color theme="1"/>
        <rFont val="Calibri"/>
        <family val="2"/>
        <scheme val="minor"/>
      </rPr>
      <t>K12</t>
    </r>
    <r>
      <rPr>
        <sz val="11"/>
        <color theme="1"/>
        <rFont val="Calibri"/>
        <family val="2"/>
        <scheme val="minor"/>
      </rPr>
      <t xml:space="preserve"> - K12
</t>
    </r>
  </si>
  <si>
    <t>Course</t>
  </si>
  <si>
    <r>
      <t>00512</t>
    </r>
    <r>
      <rPr>
        <sz val="11"/>
        <color theme="1"/>
        <rFont val="Calibri"/>
        <family val="2"/>
        <scheme val="minor"/>
      </rPr>
      <t xml:space="preserve"> - Achievement/proficiency level
</t>
    </r>
    <r>
      <rPr>
        <b/>
        <sz val="11"/>
        <color theme="1"/>
        <rFont val="Calibri"/>
        <family val="2"/>
        <scheme val="minor"/>
      </rPr>
      <t>00494</t>
    </r>
    <r>
      <rPr>
        <sz val="11"/>
        <color theme="1"/>
        <rFont val="Calibri"/>
        <family val="2"/>
        <scheme val="minor"/>
      </rPr>
      <t xml:space="preserve"> - ACT score
</t>
    </r>
    <r>
      <rPr>
        <b/>
        <sz val="11"/>
        <color theme="1"/>
        <rFont val="Calibri"/>
        <family val="2"/>
        <scheme val="minor"/>
      </rPr>
      <t>00490</t>
    </r>
    <r>
      <rPr>
        <sz val="11"/>
        <color theme="1"/>
        <rFont val="Calibri"/>
        <family val="2"/>
        <scheme val="minor"/>
      </rPr>
      <t xml:space="preserve"> - Age score
</t>
    </r>
    <r>
      <rPr>
        <b/>
        <sz val="11"/>
        <color theme="1"/>
        <rFont val="Calibri"/>
        <family val="2"/>
        <scheme val="minor"/>
      </rPr>
      <t>00491</t>
    </r>
    <r>
      <rPr>
        <sz val="11"/>
        <color theme="1"/>
        <rFont val="Calibri"/>
        <family val="2"/>
        <scheme val="minor"/>
      </rPr>
      <t xml:space="preserve"> - C-scaled scores
</t>
    </r>
    <r>
      <rPr>
        <b/>
        <sz val="11"/>
        <color theme="1"/>
        <rFont val="Calibri"/>
        <family val="2"/>
        <scheme val="minor"/>
      </rPr>
      <t>00492</t>
    </r>
    <r>
      <rPr>
        <sz val="11"/>
        <color theme="1"/>
        <rFont val="Calibri"/>
        <family val="2"/>
        <scheme val="minor"/>
      </rPr>
      <t xml:space="preserve"> - College Board examination scores
</t>
    </r>
    <r>
      <rPr>
        <b/>
        <sz val="11"/>
        <color theme="1"/>
        <rFont val="Calibri"/>
        <family val="2"/>
        <scheme val="minor"/>
      </rPr>
      <t>00493</t>
    </r>
    <r>
      <rPr>
        <sz val="11"/>
        <color theme="1"/>
        <rFont val="Calibri"/>
        <family val="2"/>
        <scheme val="minor"/>
      </rPr>
      <t xml:space="preserve"> - Grade equivalent or grade-level indicator
</t>
    </r>
    <r>
      <rPr>
        <b/>
        <sz val="11"/>
        <color theme="1"/>
        <rFont val="Calibri"/>
        <family val="2"/>
        <scheme val="minor"/>
      </rPr>
      <t>03473</t>
    </r>
    <r>
      <rPr>
        <sz val="11"/>
        <color theme="1"/>
        <rFont val="Calibri"/>
        <family val="2"/>
        <scheme val="minor"/>
      </rPr>
      <t xml:space="preserve"> - Graduation score
</t>
    </r>
    <r>
      <rPr>
        <b/>
        <sz val="11"/>
        <color theme="1"/>
        <rFont val="Calibri"/>
        <family val="2"/>
        <scheme val="minor"/>
      </rPr>
      <t>03474</t>
    </r>
    <r>
      <rPr>
        <sz val="11"/>
        <color theme="1"/>
        <rFont val="Calibri"/>
        <family val="2"/>
        <scheme val="minor"/>
      </rPr>
      <t xml:space="preserve"> - Growth/value-added/indexing
</t>
    </r>
    <r>
      <rPr>
        <b/>
        <sz val="11"/>
        <color theme="1"/>
        <rFont val="Calibri"/>
        <family val="2"/>
        <scheme val="minor"/>
      </rPr>
      <t>03475</t>
    </r>
    <r>
      <rPr>
        <sz val="11"/>
        <color theme="1"/>
        <rFont val="Calibri"/>
        <family val="2"/>
        <scheme val="minor"/>
      </rPr>
      <t xml:space="preserve"> - International Baccalaureate score
</t>
    </r>
    <r>
      <rPr>
        <b/>
        <sz val="11"/>
        <color theme="1"/>
        <rFont val="Calibri"/>
        <family val="2"/>
        <scheme val="minor"/>
      </rPr>
      <t>00144</t>
    </r>
    <r>
      <rPr>
        <sz val="11"/>
        <color theme="1"/>
        <rFont val="Calibri"/>
        <family val="2"/>
        <scheme val="minor"/>
      </rPr>
      <t xml:space="preserve"> - Letter grade/mark
</t>
    </r>
    <r>
      <rPr>
        <b/>
        <sz val="11"/>
        <color theme="1"/>
        <rFont val="Calibri"/>
        <family val="2"/>
        <scheme val="minor"/>
      </rPr>
      <t>00513</t>
    </r>
    <r>
      <rPr>
        <sz val="11"/>
        <color theme="1"/>
        <rFont val="Calibri"/>
        <family val="2"/>
        <scheme val="minor"/>
      </rPr>
      <t xml:space="preserve"> - Mastery level
</t>
    </r>
    <r>
      <rPr>
        <b/>
        <sz val="11"/>
        <color theme="1"/>
        <rFont val="Calibri"/>
        <family val="2"/>
        <scheme val="minor"/>
      </rPr>
      <t>00497</t>
    </r>
    <r>
      <rPr>
        <sz val="11"/>
        <color theme="1"/>
        <rFont val="Calibri"/>
        <family val="2"/>
        <scheme val="minor"/>
      </rPr>
      <t xml:space="preserve"> - Normal curve equivalent
</t>
    </r>
    <r>
      <rPr>
        <b/>
        <sz val="11"/>
        <color theme="1"/>
        <rFont val="Calibri"/>
        <family val="2"/>
        <scheme val="minor"/>
      </rPr>
      <t>00498</t>
    </r>
    <r>
      <rPr>
        <sz val="11"/>
        <color theme="1"/>
        <rFont val="Calibri"/>
        <family val="2"/>
        <scheme val="minor"/>
      </rPr>
      <t xml:space="preserve"> - Normalized standard score
</t>
    </r>
    <r>
      <rPr>
        <b/>
        <sz val="11"/>
        <color theme="1"/>
        <rFont val="Calibri"/>
        <family val="2"/>
        <scheme val="minor"/>
      </rPr>
      <t>00499</t>
    </r>
    <r>
      <rPr>
        <sz val="11"/>
        <color theme="1"/>
        <rFont val="Calibri"/>
        <family val="2"/>
        <scheme val="minor"/>
      </rPr>
      <t xml:space="preserve"> - Number score
</t>
    </r>
    <r>
      <rPr>
        <b/>
        <sz val="11"/>
        <color theme="1"/>
        <rFont val="Calibri"/>
        <family val="2"/>
        <scheme val="minor"/>
      </rPr>
      <t>00500</t>
    </r>
    <r>
      <rPr>
        <sz val="11"/>
        <color theme="1"/>
        <rFont val="Calibri"/>
        <family val="2"/>
        <scheme val="minor"/>
      </rPr>
      <t xml:space="preserve"> - Pass-fail
</t>
    </r>
    <r>
      <rPr>
        <b/>
        <sz val="11"/>
        <color theme="1"/>
        <rFont val="Calibri"/>
        <family val="2"/>
        <scheme val="minor"/>
      </rPr>
      <t>03476</t>
    </r>
    <r>
      <rPr>
        <sz val="11"/>
        <color theme="1"/>
        <rFont val="Calibri"/>
        <family val="2"/>
        <scheme val="minor"/>
      </rPr>
      <t xml:space="preserve"> - Percentile
</t>
    </r>
    <r>
      <rPr>
        <b/>
        <sz val="11"/>
        <color theme="1"/>
        <rFont val="Calibri"/>
        <family val="2"/>
        <scheme val="minor"/>
      </rPr>
      <t>00502</t>
    </r>
    <r>
      <rPr>
        <sz val="11"/>
        <color theme="1"/>
        <rFont val="Calibri"/>
        <family val="2"/>
        <scheme val="minor"/>
      </rPr>
      <t xml:space="preserve"> - Percentile rank
</t>
    </r>
    <r>
      <rPr>
        <b/>
        <sz val="11"/>
        <color theme="1"/>
        <rFont val="Calibri"/>
        <family val="2"/>
        <scheme val="minor"/>
      </rPr>
      <t>00503</t>
    </r>
    <r>
      <rPr>
        <sz val="11"/>
        <color theme="1"/>
        <rFont val="Calibri"/>
        <family val="2"/>
        <scheme val="minor"/>
      </rPr>
      <t xml:space="preserve"> - Proficiency level
</t>
    </r>
    <r>
      <rPr>
        <b/>
        <sz val="11"/>
        <color theme="1"/>
        <rFont val="Calibri"/>
        <family val="2"/>
        <scheme val="minor"/>
      </rPr>
      <t>03477</t>
    </r>
    <r>
      <rPr>
        <sz val="11"/>
        <color theme="1"/>
        <rFont val="Calibri"/>
        <family val="2"/>
        <scheme val="minor"/>
      </rPr>
      <t xml:space="preserve"> - Promotion score
</t>
    </r>
    <r>
      <rPr>
        <b/>
        <sz val="11"/>
        <color theme="1"/>
        <rFont val="Calibri"/>
        <family val="2"/>
        <scheme val="minor"/>
      </rPr>
      <t>00504</t>
    </r>
    <r>
      <rPr>
        <sz val="11"/>
        <color theme="1"/>
        <rFont val="Calibri"/>
        <family val="2"/>
        <scheme val="minor"/>
      </rPr>
      <t xml:space="preserve"> - Ranking
</t>
    </r>
    <r>
      <rPr>
        <b/>
        <sz val="11"/>
        <color theme="1"/>
        <rFont val="Calibri"/>
        <family val="2"/>
        <scheme val="minor"/>
      </rPr>
      <t>00505</t>
    </r>
    <r>
      <rPr>
        <sz val="11"/>
        <color theme="1"/>
        <rFont val="Calibri"/>
        <family val="2"/>
        <scheme val="minor"/>
      </rPr>
      <t xml:space="preserve"> - Ratio IQ's
</t>
    </r>
    <r>
      <rPr>
        <b/>
        <sz val="11"/>
        <color theme="1"/>
        <rFont val="Calibri"/>
        <family val="2"/>
        <scheme val="minor"/>
      </rPr>
      <t>03478</t>
    </r>
    <r>
      <rPr>
        <sz val="11"/>
        <color theme="1"/>
        <rFont val="Calibri"/>
        <family val="2"/>
        <scheme val="minor"/>
      </rPr>
      <t xml:space="preserve"> - Raw score
</t>
    </r>
    <r>
      <rPr>
        <b/>
        <sz val="11"/>
        <color theme="1"/>
        <rFont val="Calibri"/>
        <family val="2"/>
        <scheme val="minor"/>
      </rPr>
      <t>03479</t>
    </r>
    <r>
      <rPr>
        <sz val="11"/>
        <color theme="1"/>
        <rFont val="Calibri"/>
        <family val="2"/>
        <scheme val="minor"/>
      </rPr>
      <t xml:space="preserve"> - Scale score
</t>
    </r>
    <r>
      <rPr>
        <b/>
        <sz val="11"/>
        <color theme="1"/>
        <rFont val="Calibri"/>
        <family val="2"/>
        <scheme val="minor"/>
      </rPr>
      <t>00506</t>
    </r>
    <r>
      <rPr>
        <sz val="11"/>
        <color theme="1"/>
        <rFont val="Calibri"/>
        <family val="2"/>
        <scheme val="minor"/>
      </rPr>
      <t xml:space="preserve"> - Standard age score
</t>
    </r>
    <r>
      <rPr>
        <b/>
        <sz val="11"/>
        <color theme="1"/>
        <rFont val="Calibri"/>
        <family val="2"/>
        <scheme val="minor"/>
      </rPr>
      <t>00508</t>
    </r>
    <r>
      <rPr>
        <sz val="11"/>
        <color theme="1"/>
        <rFont val="Calibri"/>
        <family val="2"/>
        <scheme val="minor"/>
      </rPr>
      <t xml:space="preserve"> - Stanine score
</t>
    </r>
    <r>
      <rPr>
        <b/>
        <sz val="11"/>
        <color theme="1"/>
        <rFont val="Calibri"/>
        <family val="2"/>
        <scheme val="minor"/>
      </rPr>
      <t>00509</t>
    </r>
    <r>
      <rPr>
        <sz val="11"/>
        <color theme="1"/>
        <rFont val="Calibri"/>
        <family val="2"/>
        <scheme val="minor"/>
      </rPr>
      <t xml:space="preserve"> - Sten score
</t>
    </r>
    <r>
      <rPr>
        <b/>
        <sz val="11"/>
        <color theme="1"/>
        <rFont val="Calibri"/>
        <family val="2"/>
        <scheme val="minor"/>
      </rPr>
      <t>00510</t>
    </r>
    <r>
      <rPr>
        <sz val="11"/>
        <color theme="1"/>
        <rFont val="Calibri"/>
        <family val="2"/>
        <scheme val="minor"/>
      </rPr>
      <t xml:space="preserve"> - T-score
</t>
    </r>
    <r>
      <rPr>
        <b/>
        <sz val="11"/>
        <color theme="1"/>
        <rFont val="Calibri"/>
        <family val="2"/>
        <scheme val="minor"/>
      </rPr>
      <t>03480</t>
    </r>
    <r>
      <rPr>
        <sz val="11"/>
        <color theme="1"/>
        <rFont val="Calibri"/>
        <family val="2"/>
        <scheme val="minor"/>
      </rPr>
      <t xml:space="preserve"> - Workplace readiness score
</t>
    </r>
    <r>
      <rPr>
        <b/>
        <sz val="11"/>
        <color theme="1"/>
        <rFont val="Calibri"/>
        <family val="2"/>
        <scheme val="minor"/>
      </rPr>
      <t>00511</t>
    </r>
    <r>
      <rPr>
        <sz val="11"/>
        <color theme="1"/>
        <rFont val="Calibri"/>
        <family val="2"/>
        <scheme val="minor"/>
      </rPr>
      <t xml:space="preserve"> - Z-score
</t>
    </r>
    <r>
      <rPr>
        <b/>
        <sz val="11"/>
        <color theme="1"/>
        <rFont val="Calibri"/>
        <family val="2"/>
        <scheme val="minor"/>
      </rPr>
      <t>09999</t>
    </r>
    <r>
      <rPr>
        <sz val="11"/>
        <color theme="1"/>
        <rFont val="Calibri"/>
        <family val="2"/>
        <scheme val="minor"/>
      </rPr>
      <t xml:space="preserve"> - Other
</t>
    </r>
  </si>
  <si>
    <r>
      <t>NewEnrollment</t>
    </r>
    <r>
      <rPr>
        <sz val="11"/>
        <color theme="1"/>
        <rFont val="Calibri"/>
        <family val="2"/>
        <scheme val="minor"/>
      </rPr>
      <t xml:space="preserve"> - New Enrollment
</t>
    </r>
    <r>
      <rPr>
        <b/>
        <sz val="11"/>
        <color theme="1"/>
        <rFont val="Calibri"/>
        <family val="2"/>
        <scheme val="minor"/>
      </rPr>
      <t>Transfer</t>
    </r>
    <r>
      <rPr>
        <sz val="11"/>
        <color theme="1"/>
        <rFont val="Calibri"/>
        <family val="2"/>
        <scheme val="minor"/>
      </rPr>
      <t xml:space="preserve"> - Transfer
</t>
    </r>
  </si>
  <si>
    <r>
      <t>Transfer</t>
    </r>
    <r>
      <rPr>
        <sz val="11"/>
        <color theme="1"/>
        <rFont val="Calibri"/>
        <family val="2"/>
        <scheme val="minor"/>
      </rPr>
      <t xml:space="preserve"> - Student transferred to another Class Section of the same course in the same educational institution.
</t>
    </r>
    <r>
      <rPr>
        <b/>
        <sz val="11"/>
        <color theme="1"/>
        <rFont val="Calibri"/>
        <family val="2"/>
        <scheme val="minor"/>
      </rPr>
      <t>CompletedForCredit</t>
    </r>
    <r>
      <rPr>
        <sz val="11"/>
        <color theme="1"/>
        <rFont val="Calibri"/>
        <family val="2"/>
        <scheme val="minor"/>
      </rPr>
      <t xml:space="preserve"> - Class Section completed, student received credit for the course.
</t>
    </r>
    <r>
      <rPr>
        <b/>
        <sz val="11"/>
        <color theme="1"/>
        <rFont val="Calibri"/>
        <family val="2"/>
        <scheme val="minor"/>
      </rPr>
      <t>CompletedNoCredit</t>
    </r>
    <r>
      <rPr>
        <sz val="11"/>
        <color theme="1"/>
        <rFont val="Calibri"/>
        <family val="2"/>
        <scheme val="minor"/>
      </rPr>
      <t xml:space="preserve"> - Class Section completed, student did not receive credit for the course.
</t>
    </r>
    <r>
      <rPr>
        <b/>
        <sz val="11"/>
        <color theme="1"/>
        <rFont val="Calibri"/>
        <family val="2"/>
        <scheme val="minor"/>
      </rPr>
      <t>Incomplete</t>
    </r>
    <r>
      <rPr>
        <sz val="11"/>
        <color theme="1"/>
        <rFont val="Calibri"/>
        <family val="2"/>
        <scheme val="minor"/>
      </rPr>
      <t xml:space="preserve"> - Class Section completed, student did not complete the work required to complete the course.
</t>
    </r>
  </si>
  <si>
    <r>
      <t>Pre-registered</t>
    </r>
    <r>
      <rPr>
        <sz val="11"/>
        <color theme="1"/>
        <rFont val="Calibri"/>
        <family val="2"/>
        <scheme val="minor"/>
      </rPr>
      <t xml:space="preserve"> - Pre-registered
</t>
    </r>
    <r>
      <rPr>
        <b/>
        <sz val="11"/>
        <color theme="1"/>
        <rFont val="Calibri"/>
        <family val="2"/>
        <scheme val="minor"/>
      </rPr>
      <t>Registered</t>
    </r>
    <r>
      <rPr>
        <sz val="11"/>
        <color theme="1"/>
        <rFont val="Calibri"/>
        <family val="2"/>
        <scheme val="minor"/>
      </rPr>
      <t xml:space="preserve"> - Registered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WaitListed</t>
    </r>
    <r>
      <rPr>
        <sz val="11"/>
        <color theme="1"/>
        <rFont val="Calibri"/>
        <family val="2"/>
        <scheme val="minor"/>
      </rPr>
      <t xml:space="preserve"> - Wait Listed
</t>
    </r>
    <r>
      <rPr>
        <b/>
        <sz val="11"/>
        <color theme="1"/>
        <rFont val="Calibri"/>
        <family val="2"/>
        <scheme val="minor"/>
      </rPr>
      <t>Dropped</t>
    </r>
    <r>
      <rPr>
        <sz val="11"/>
        <color theme="1"/>
        <rFont val="Calibri"/>
        <family val="2"/>
        <scheme val="minor"/>
      </rPr>
      <t xml:space="preserve"> - Dropped
</t>
    </r>
    <r>
      <rPr>
        <b/>
        <sz val="11"/>
        <color theme="1"/>
        <rFont val="Calibri"/>
        <family val="2"/>
        <scheme val="minor"/>
      </rPr>
      <t>Completed</t>
    </r>
    <r>
      <rPr>
        <sz val="11"/>
        <color theme="1"/>
        <rFont val="Calibri"/>
        <family val="2"/>
        <scheme val="minor"/>
      </rPr>
      <t xml:space="preserve"> - Completed
</t>
    </r>
  </si>
  <si>
    <t>Enrollment-&gt;Student Course Section Mark</t>
  </si>
  <si>
    <t>Staff</t>
  </si>
  <si>
    <r>
      <t>LeadTeacher</t>
    </r>
    <r>
      <rPr>
        <sz val="11"/>
        <color theme="1"/>
        <rFont val="Calibri"/>
        <family val="2"/>
        <scheme val="minor"/>
      </rPr>
      <t xml:space="preserve"> - Lead Teacher
</t>
    </r>
    <r>
      <rPr>
        <b/>
        <sz val="11"/>
        <color theme="1"/>
        <rFont val="Calibri"/>
        <family val="2"/>
        <scheme val="minor"/>
      </rPr>
      <t>TeamTeacher</t>
    </r>
    <r>
      <rPr>
        <sz val="11"/>
        <color theme="1"/>
        <rFont val="Calibri"/>
        <family val="2"/>
        <scheme val="minor"/>
      </rPr>
      <t xml:space="preserve"> - Team Teacher
</t>
    </r>
    <r>
      <rPr>
        <b/>
        <sz val="11"/>
        <color theme="1"/>
        <rFont val="Calibri"/>
        <family val="2"/>
        <scheme val="minor"/>
      </rPr>
      <t>ContributingProfessional</t>
    </r>
    <r>
      <rPr>
        <sz val="11"/>
        <color theme="1"/>
        <rFont val="Calibri"/>
        <family val="2"/>
        <scheme val="minor"/>
      </rPr>
      <t xml:space="preserve"> - Contributing Professional
</t>
    </r>
  </si>
  <si>
    <t>Teacher Student Data Link Exclusion</t>
  </si>
  <si>
    <t>Incident</t>
  </si>
  <si>
    <r>
      <t>13765</t>
    </r>
    <r>
      <rPr>
        <sz val="11"/>
        <color theme="1"/>
        <rFont val="Calibri"/>
        <family val="2"/>
        <scheme val="minor"/>
      </rPr>
      <t xml:space="preserve"> - After classes
</t>
    </r>
    <r>
      <rPr>
        <b/>
        <sz val="11"/>
        <color theme="1"/>
        <rFont val="Calibri"/>
        <family val="2"/>
        <scheme val="minor"/>
      </rPr>
      <t>13761</t>
    </r>
    <r>
      <rPr>
        <sz val="11"/>
        <color theme="1"/>
        <rFont val="Calibri"/>
        <family val="2"/>
        <scheme val="minor"/>
      </rPr>
      <t xml:space="preserve"> - Before classes
</t>
    </r>
    <r>
      <rPr>
        <b/>
        <sz val="11"/>
        <color theme="1"/>
        <rFont val="Calibri"/>
        <family val="2"/>
        <scheme val="minor"/>
      </rPr>
      <t>13762</t>
    </r>
    <r>
      <rPr>
        <sz val="11"/>
        <color theme="1"/>
        <rFont val="Calibri"/>
        <family val="2"/>
        <scheme val="minor"/>
      </rPr>
      <t xml:space="preserve"> - During class
</t>
    </r>
    <r>
      <rPr>
        <b/>
        <sz val="11"/>
        <color theme="1"/>
        <rFont val="Calibri"/>
        <family val="2"/>
        <scheme val="minor"/>
      </rPr>
      <t>13764</t>
    </r>
    <r>
      <rPr>
        <sz val="11"/>
        <color theme="1"/>
        <rFont val="Calibri"/>
        <family val="2"/>
        <scheme val="minor"/>
      </rPr>
      <t xml:space="preserve"> - During lunch/recess
</t>
    </r>
    <r>
      <rPr>
        <b/>
        <sz val="11"/>
        <color theme="1"/>
        <rFont val="Calibri"/>
        <family val="2"/>
        <scheme val="minor"/>
      </rPr>
      <t>13763</t>
    </r>
    <r>
      <rPr>
        <sz val="11"/>
        <color theme="1"/>
        <rFont val="Calibri"/>
        <family val="2"/>
        <scheme val="minor"/>
      </rPr>
      <t xml:space="preserve"> - During passing
</t>
    </r>
    <r>
      <rPr>
        <b/>
        <sz val="11"/>
        <color theme="1"/>
        <rFont val="Calibri"/>
        <family val="2"/>
        <scheme val="minor"/>
      </rPr>
      <t>13770</t>
    </r>
    <r>
      <rPr>
        <sz val="11"/>
        <color theme="1"/>
        <rFont val="Calibri"/>
        <family val="2"/>
        <scheme val="minor"/>
      </rPr>
      <t xml:space="preserve"> - Nonschool-sponsored activity
</t>
    </r>
    <r>
      <rPr>
        <b/>
        <sz val="11"/>
        <color theme="1"/>
        <rFont val="Calibri"/>
        <family val="2"/>
        <scheme val="minor"/>
      </rPr>
      <t>13768</t>
    </r>
    <r>
      <rPr>
        <sz val="11"/>
        <color theme="1"/>
        <rFont val="Calibri"/>
        <family val="2"/>
        <scheme val="minor"/>
      </rPr>
      <t xml:space="preserve"> - On the way from school
</t>
    </r>
    <r>
      <rPr>
        <b/>
        <sz val="11"/>
        <color theme="1"/>
        <rFont val="Calibri"/>
        <family val="2"/>
        <scheme val="minor"/>
      </rPr>
      <t>13767</t>
    </r>
    <r>
      <rPr>
        <sz val="11"/>
        <color theme="1"/>
        <rFont val="Calibri"/>
        <family val="2"/>
        <scheme val="minor"/>
      </rPr>
      <t xml:space="preserve"> - On the way to school
</t>
    </r>
    <r>
      <rPr>
        <b/>
        <sz val="11"/>
        <color theme="1"/>
        <rFont val="Calibri"/>
        <family val="2"/>
        <scheme val="minor"/>
      </rPr>
      <t>13766</t>
    </r>
    <r>
      <rPr>
        <sz val="11"/>
        <color theme="1"/>
        <rFont val="Calibri"/>
        <family val="2"/>
        <scheme val="minor"/>
      </rPr>
      <t xml:space="preserve"> - Other time during school hours
</t>
    </r>
    <r>
      <rPr>
        <b/>
        <sz val="11"/>
        <color theme="1"/>
        <rFont val="Calibri"/>
        <family val="2"/>
        <scheme val="minor"/>
      </rPr>
      <t>13771</t>
    </r>
    <r>
      <rPr>
        <sz val="11"/>
        <color theme="1"/>
        <rFont val="Calibri"/>
        <family val="2"/>
        <scheme val="minor"/>
      </rPr>
      <t xml:space="preserve"> - Other time outside school hours
</t>
    </r>
    <r>
      <rPr>
        <b/>
        <sz val="11"/>
        <color theme="1"/>
        <rFont val="Calibri"/>
        <family val="2"/>
        <scheme val="minor"/>
      </rPr>
      <t>13769</t>
    </r>
    <r>
      <rPr>
        <sz val="11"/>
        <color theme="1"/>
        <rFont val="Calibri"/>
        <family val="2"/>
        <scheme val="minor"/>
      </rPr>
      <t xml:space="preserve"> - School-sponsored activity
</t>
    </r>
    <r>
      <rPr>
        <b/>
        <sz val="11"/>
        <color theme="1"/>
        <rFont val="Calibri"/>
        <family val="2"/>
        <scheme val="minor"/>
      </rPr>
      <t>13772</t>
    </r>
    <r>
      <rPr>
        <sz val="11"/>
        <color theme="1"/>
        <rFont val="Calibri"/>
        <family val="2"/>
        <scheme val="minor"/>
      </rPr>
      <t xml:space="preserve"> - Unknown
</t>
    </r>
  </si>
  <si>
    <r>
      <t>04618</t>
    </r>
    <r>
      <rPr>
        <sz val="11"/>
        <color theme="1"/>
        <rFont val="Calibri"/>
        <family val="2"/>
        <scheme val="minor"/>
      </rPr>
      <t xml:space="preserve"> - Alcohol
</t>
    </r>
    <r>
      <rPr>
        <b/>
        <sz val="11"/>
        <color theme="1"/>
        <rFont val="Calibri"/>
        <family val="2"/>
        <scheme val="minor"/>
      </rPr>
      <t>04625</t>
    </r>
    <r>
      <rPr>
        <sz val="11"/>
        <color theme="1"/>
        <rFont val="Calibri"/>
        <family val="2"/>
        <scheme val="minor"/>
      </rPr>
      <t xml:space="preserve"> - Arson
</t>
    </r>
    <r>
      <rPr>
        <b/>
        <sz val="11"/>
        <color theme="1"/>
        <rFont val="Calibri"/>
        <family val="2"/>
        <scheme val="minor"/>
      </rPr>
      <t>04626</t>
    </r>
    <r>
      <rPr>
        <sz val="11"/>
        <color theme="1"/>
        <rFont val="Calibri"/>
        <family val="2"/>
        <scheme val="minor"/>
      </rPr>
      <t xml:space="preserve"> - Attendance Policy Violation
</t>
    </r>
    <r>
      <rPr>
        <b/>
        <sz val="11"/>
        <color theme="1"/>
        <rFont val="Calibri"/>
        <family val="2"/>
        <scheme val="minor"/>
      </rPr>
      <t>04632</t>
    </r>
    <r>
      <rPr>
        <sz val="11"/>
        <color theme="1"/>
        <rFont val="Calibri"/>
        <family val="2"/>
        <scheme val="minor"/>
      </rPr>
      <t xml:space="preserve"> - Battery
</t>
    </r>
    <r>
      <rPr>
        <b/>
        <sz val="11"/>
        <color theme="1"/>
        <rFont val="Calibri"/>
        <family val="2"/>
        <scheme val="minor"/>
      </rPr>
      <t>04633</t>
    </r>
    <r>
      <rPr>
        <sz val="11"/>
        <color theme="1"/>
        <rFont val="Calibri"/>
        <family val="2"/>
        <scheme val="minor"/>
      </rPr>
      <t xml:space="preserve"> - Burglary/Breaking and Entering
</t>
    </r>
    <r>
      <rPr>
        <b/>
        <sz val="11"/>
        <color theme="1"/>
        <rFont val="Calibri"/>
        <family val="2"/>
        <scheme val="minor"/>
      </rPr>
      <t>04634</t>
    </r>
    <r>
      <rPr>
        <sz val="11"/>
        <color theme="1"/>
        <rFont val="Calibri"/>
        <family val="2"/>
        <scheme val="minor"/>
      </rPr>
      <t xml:space="preserve"> - Disorderly Conduct
</t>
    </r>
    <r>
      <rPr>
        <b/>
        <sz val="11"/>
        <color theme="1"/>
        <rFont val="Calibri"/>
        <family val="2"/>
        <scheme val="minor"/>
      </rPr>
      <t>04635</t>
    </r>
    <r>
      <rPr>
        <sz val="11"/>
        <color theme="1"/>
        <rFont val="Calibri"/>
        <family val="2"/>
        <scheme val="minor"/>
      </rPr>
      <t xml:space="preserve"> - Drugs Excluding Alcohol and Tobacco
</t>
    </r>
    <r>
      <rPr>
        <b/>
        <sz val="11"/>
        <color theme="1"/>
        <rFont val="Calibri"/>
        <family val="2"/>
        <scheme val="minor"/>
      </rPr>
      <t>04645</t>
    </r>
    <r>
      <rPr>
        <sz val="11"/>
        <color theme="1"/>
        <rFont val="Calibri"/>
        <family val="2"/>
        <scheme val="minor"/>
      </rPr>
      <t xml:space="preserve"> - Fighting
</t>
    </r>
    <r>
      <rPr>
        <b/>
        <sz val="11"/>
        <color theme="1"/>
        <rFont val="Calibri"/>
        <family val="2"/>
        <scheme val="minor"/>
      </rPr>
      <t>13354</t>
    </r>
    <r>
      <rPr>
        <sz val="11"/>
        <color theme="1"/>
        <rFont val="Calibri"/>
        <family val="2"/>
        <scheme val="minor"/>
      </rPr>
      <t xml:space="preserve"> - Harassment or bullying on the basis of disability
</t>
    </r>
    <r>
      <rPr>
        <b/>
        <sz val="11"/>
        <color theme="1"/>
        <rFont val="Calibri"/>
        <family val="2"/>
        <scheme val="minor"/>
      </rPr>
      <t>13355</t>
    </r>
    <r>
      <rPr>
        <sz val="11"/>
        <color theme="1"/>
        <rFont val="Calibri"/>
        <family val="2"/>
        <scheme val="minor"/>
      </rPr>
      <t xml:space="preserve"> - Harassment or bullying on the basis of race, color, or national origin
</t>
    </r>
    <r>
      <rPr>
        <b/>
        <sz val="11"/>
        <color theme="1"/>
        <rFont val="Calibri"/>
        <family val="2"/>
        <scheme val="minor"/>
      </rPr>
      <t>13356</t>
    </r>
    <r>
      <rPr>
        <sz val="11"/>
        <color theme="1"/>
        <rFont val="Calibri"/>
        <family val="2"/>
        <scheme val="minor"/>
      </rPr>
      <t xml:space="preserve"> - Harassment or bullying on the basis of sex
</t>
    </r>
    <r>
      <rPr>
        <b/>
        <sz val="11"/>
        <color theme="1"/>
        <rFont val="Calibri"/>
        <family val="2"/>
        <scheme val="minor"/>
      </rPr>
      <t>04646</t>
    </r>
    <r>
      <rPr>
        <sz val="11"/>
        <color theme="1"/>
        <rFont val="Calibri"/>
        <family val="2"/>
        <scheme val="minor"/>
      </rPr>
      <t xml:space="preserve"> - Harassment, Nonsexual
</t>
    </r>
    <r>
      <rPr>
        <b/>
        <sz val="11"/>
        <color theme="1"/>
        <rFont val="Calibri"/>
        <family val="2"/>
        <scheme val="minor"/>
      </rPr>
      <t>04650</t>
    </r>
    <r>
      <rPr>
        <sz val="11"/>
        <color theme="1"/>
        <rFont val="Calibri"/>
        <family val="2"/>
        <scheme val="minor"/>
      </rPr>
      <t xml:space="preserve"> - Harassment, Sexual
</t>
    </r>
    <r>
      <rPr>
        <b/>
        <sz val="11"/>
        <color theme="1"/>
        <rFont val="Calibri"/>
        <family val="2"/>
        <scheme val="minor"/>
      </rPr>
      <t>04651</t>
    </r>
    <r>
      <rPr>
        <sz val="11"/>
        <color theme="1"/>
        <rFont val="Calibri"/>
        <family val="2"/>
        <scheme val="minor"/>
      </rPr>
      <t xml:space="preserve"> - Homicide
</t>
    </r>
    <r>
      <rPr>
        <b/>
        <sz val="11"/>
        <color theme="1"/>
        <rFont val="Calibri"/>
        <family val="2"/>
        <scheme val="minor"/>
      </rPr>
      <t>04652</t>
    </r>
    <r>
      <rPr>
        <sz val="11"/>
        <color theme="1"/>
        <rFont val="Calibri"/>
        <family val="2"/>
        <scheme val="minor"/>
      </rPr>
      <t xml:space="preserve"> - Inappropriate Use of Medication
</t>
    </r>
    <r>
      <rPr>
        <b/>
        <sz val="11"/>
        <color theme="1"/>
        <rFont val="Calibri"/>
        <family val="2"/>
        <scheme val="minor"/>
      </rPr>
      <t>04659</t>
    </r>
    <r>
      <rPr>
        <sz val="11"/>
        <color theme="1"/>
        <rFont val="Calibri"/>
        <family val="2"/>
        <scheme val="minor"/>
      </rPr>
      <t xml:space="preserve"> - Insubordination
</t>
    </r>
    <r>
      <rPr>
        <b/>
        <sz val="11"/>
        <color theme="1"/>
        <rFont val="Calibri"/>
        <family val="2"/>
        <scheme val="minor"/>
      </rPr>
      <t>04660</t>
    </r>
    <r>
      <rPr>
        <sz val="11"/>
        <color theme="1"/>
        <rFont val="Calibri"/>
        <family val="2"/>
        <scheme val="minor"/>
      </rPr>
      <t xml:space="preserve"> - Kidnapping
</t>
    </r>
    <r>
      <rPr>
        <b/>
        <sz val="11"/>
        <color theme="1"/>
        <rFont val="Calibri"/>
        <family val="2"/>
        <scheme val="minor"/>
      </rPr>
      <t>04661</t>
    </r>
    <r>
      <rPr>
        <sz val="11"/>
        <color theme="1"/>
        <rFont val="Calibri"/>
        <family val="2"/>
        <scheme val="minor"/>
      </rPr>
      <t xml:space="preserve"> - Obscene Behavior
</t>
    </r>
    <r>
      <rPr>
        <b/>
        <sz val="11"/>
        <color theme="1"/>
        <rFont val="Calibri"/>
        <family val="2"/>
        <scheme val="minor"/>
      </rPr>
      <t>04669</t>
    </r>
    <r>
      <rPr>
        <sz val="11"/>
        <color theme="1"/>
        <rFont val="Calibri"/>
        <family val="2"/>
        <scheme val="minor"/>
      </rPr>
      <t xml:space="preserve"> - Physical Altercation, Minor
</t>
    </r>
    <r>
      <rPr>
        <b/>
        <sz val="11"/>
        <color theme="1"/>
        <rFont val="Calibri"/>
        <family val="2"/>
        <scheme val="minor"/>
      </rPr>
      <t>04670</t>
    </r>
    <r>
      <rPr>
        <sz val="11"/>
        <color theme="1"/>
        <rFont val="Calibri"/>
        <family val="2"/>
        <scheme val="minor"/>
      </rPr>
      <t xml:space="preserve"> - Robbery
</t>
    </r>
    <r>
      <rPr>
        <b/>
        <sz val="11"/>
        <color theme="1"/>
        <rFont val="Calibri"/>
        <family val="2"/>
        <scheme val="minor"/>
      </rPr>
      <t>04671</t>
    </r>
    <r>
      <rPr>
        <sz val="11"/>
        <color theme="1"/>
        <rFont val="Calibri"/>
        <family val="2"/>
        <scheme val="minor"/>
      </rPr>
      <t xml:space="preserve"> - School Threat
</t>
    </r>
    <r>
      <rPr>
        <b/>
        <sz val="11"/>
        <color theme="1"/>
        <rFont val="Calibri"/>
        <family val="2"/>
        <scheme val="minor"/>
      </rPr>
      <t>04677</t>
    </r>
    <r>
      <rPr>
        <sz val="11"/>
        <color theme="1"/>
        <rFont val="Calibri"/>
        <family val="2"/>
        <scheme val="minor"/>
      </rPr>
      <t xml:space="preserve"> - Sexual Battery (sexual assault)
</t>
    </r>
    <r>
      <rPr>
        <b/>
        <sz val="11"/>
        <color theme="1"/>
        <rFont val="Calibri"/>
        <family val="2"/>
        <scheme val="minor"/>
      </rPr>
      <t>04678</t>
    </r>
    <r>
      <rPr>
        <sz val="11"/>
        <color theme="1"/>
        <rFont val="Calibri"/>
        <family val="2"/>
        <scheme val="minor"/>
      </rPr>
      <t xml:space="preserve"> - Sexual Offenses, Other (lewd behavior, indecent exposure)
</t>
    </r>
    <r>
      <rPr>
        <b/>
        <sz val="11"/>
        <color theme="1"/>
        <rFont val="Calibri"/>
        <family val="2"/>
        <scheme val="minor"/>
      </rPr>
      <t>04682</t>
    </r>
    <r>
      <rPr>
        <sz val="11"/>
        <color theme="1"/>
        <rFont val="Calibri"/>
        <family val="2"/>
        <scheme val="minor"/>
      </rPr>
      <t xml:space="preserve"> - Theft
</t>
    </r>
    <r>
      <rPr>
        <b/>
        <sz val="11"/>
        <color theme="1"/>
        <rFont val="Calibri"/>
        <family val="2"/>
        <scheme val="minor"/>
      </rPr>
      <t>04686</t>
    </r>
    <r>
      <rPr>
        <sz val="11"/>
        <color theme="1"/>
        <rFont val="Calibri"/>
        <family val="2"/>
        <scheme val="minor"/>
      </rPr>
      <t xml:space="preserve"> - Threat/Intimidation
</t>
    </r>
    <r>
      <rPr>
        <b/>
        <sz val="11"/>
        <color theme="1"/>
        <rFont val="Calibri"/>
        <family val="2"/>
        <scheme val="minor"/>
      </rPr>
      <t>04692</t>
    </r>
    <r>
      <rPr>
        <sz val="11"/>
        <color theme="1"/>
        <rFont val="Calibri"/>
        <family val="2"/>
        <scheme val="minor"/>
      </rPr>
      <t xml:space="preserve"> - Tobacco Possession or Use
</t>
    </r>
    <r>
      <rPr>
        <b/>
        <sz val="11"/>
        <color theme="1"/>
        <rFont val="Calibri"/>
        <family val="2"/>
        <scheme val="minor"/>
      </rPr>
      <t>04699</t>
    </r>
    <r>
      <rPr>
        <sz val="11"/>
        <color theme="1"/>
        <rFont val="Calibri"/>
        <family val="2"/>
        <scheme val="minor"/>
      </rPr>
      <t xml:space="preserve"> - Trespassing
</t>
    </r>
    <r>
      <rPr>
        <b/>
        <sz val="11"/>
        <color theme="1"/>
        <rFont val="Calibri"/>
        <family val="2"/>
        <scheme val="minor"/>
      </rPr>
      <t>04700</t>
    </r>
    <r>
      <rPr>
        <sz val="11"/>
        <color theme="1"/>
        <rFont val="Calibri"/>
        <family val="2"/>
        <scheme val="minor"/>
      </rPr>
      <t xml:space="preserve"> - Vandalism
</t>
    </r>
    <r>
      <rPr>
        <b/>
        <sz val="11"/>
        <color theme="1"/>
        <rFont val="Calibri"/>
        <family val="2"/>
        <scheme val="minor"/>
      </rPr>
      <t>04704</t>
    </r>
    <r>
      <rPr>
        <sz val="11"/>
        <color theme="1"/>
        <rFont val="Calibri"/>
        <family val="2"/>
        <scheme val="minor"/>
      </rPr>
      <t xml:space="preserve"> - Violation of School Rules
</t>
    </r>
    <r>
      <rPr>
        <b/>
        <sz val="11"/>
        <color theme="1"/>
        <rFont val="Calibri"/>
        <family val="2"/>
        <scheme val="minor"/>
      </rPr>
      <t>04705</t>
    </r>
    <r>
      <rPr>
        <sz val="11"/>
        <color theme="1"/>
        <rFont val="Calibri"/>
        <family val="2"/>
        <scheme val="minor"/>
      </rPr>
      <t xml:space="preserve"> - Weapons Possession
</t>
    </r>
  </si>
  <si>
    <r>
      <t>03066</t>
    </r>
    <r>
      <rPr>
        <sz val="11"/>
        <color theme="1"/>
        <rFont val="Calibri"/>
        <family val="2"/>
        <scheme val="minor"/>
      </rPr>
      <t xml:space="preserve"> - Alcohol-related
</t>
    </r>
    <r>
      <rPr>
        <b/>
        <sz val="11"/>
        <color theme="1"/>
        <rFont val="Calibri"/>
        <family val="2"/>
        <scheme val="minor"/>
      </rPr>
      <t>03067</t>
    </r>
    <r>
      <rPr>
        <sz val="11"/>
        <color theme="1"/>
        <rFont val="Calibri"/>
        <family val="2"/>
        <scheme val="minor"/>
      </rPr>
      <t xml:space="preserve"> - Drug-related
</t>
    </r>
    <r>
      <rPr>
        <b/>
        <sz val="11"/>
        <color theme="1"/>
        <rFont val="Calibri"/>
        <family val="2"/>
        <scheme val="minor"/>
      </rPr>
      <t>03068</t>
    </r>
    <r>
      <rPr>
        <sz val="11"/>
        <color theme="1"/>
        <rFont val="Calibri"/>
        <family val="2"/>
        <scheme val="minor"/>
      </rPr>
      <t xml:space="preserve"> - Gang-related
</t>
    </r>
    <r>
      <rPr>
        <b/>
        <sz val="11"/>
        <color theme="1"/>
        <rFont val="Calibri"/>
        <family val="2"/>
        <scheme val="minor"/>
      </rPr>
      <t>13778</t>
    </r>
    <r>
      <rPr>
        <sz val="11"/>
        <color theme="1"/>
        <rFont val="Calibri"/>
        <family val="2"/>
        <scheme val="minor"/>
      </rPr>
      <t xml:space="preserve"> - Hate-related (Disability)
</t>
    </r>
    <r>
      <rPr>
        <b/>
        <sz val="11"/>
        <color theme="1"/>
        <rFont val="Calibri"/>
        <family val="2"/>
        <scheme val="minor"/>
      </rPr>
      <t>13777</t>
    </r>
    <r>
      <rPr>
        <sz val="11"/>
        <color theme="1"/>
        <rFont val="Calibri"/>
        <family val="2"/>
        <scheme val="minor"/>
      </rPr>
      <t xml:space="preserve"> - Hate-related (Other)
</t>
    </r>
    <r>
      <rPr>
        <b/>
        <sz val="11"/>
        <color theme="1"/>
        <rFont val="Calibri"/>
        <family val="2"/>
        <scheme val="minor"/>
      </rPr>
      <t>13779</t>
    </r>
    <r>
      <rPr>
        <sz val="11"/>
        <color theme="1"/>
        <rFont val="Calibri"/>
        <family val="2"/>
        <scheme val="minor"/>
      </rPr>
      <t xml:space="preserve"> - Hate-related (Race, Color, or National Origin)
</t>
    </r>
    <r>
      <rPr>
        <b/>
        <sz val="11"/>
        <color theme="1"/>
        <rFont val="Calibri"/>
        <family val="2"/>
        <scheme val="minor"/>
      </rPr>
      <t>13780</t>
    </r>
    <r>
      <rPr>
        <sz val="11"/>
        <color theme="1"/>
        <rFont val="Calibri"/>
        <family val="2"/>
        <scheme val="minor"/>
      </rPr>
      <t xml:space="preserve"> - Hate-related (Sex)
</t>
    </r>
    <r>
      <rPr>
        <b/>
        <sz val="11"/>
        <color theme="1"/>
        <rFont val="Calibri"/>
        <family val="2"/>
        <scheme val="minor"/>
      </rPr>
      <t>03070</t>
    </r>
    <r>
      <rPr>
        <sz val="11"/>
        <color theme="1"/>
        <rFont val="Calibri"/>
        <family val="2"/>
        <scheme val="minor"/>
      </rPr>
      <t xml:space="preserve"> - Weapon-related
</t>
    </r>
  </si>
  <si>
    <r>
      <t>03011</t>
    </r>
    <r>
      <rPr>
        <sz val="11"/>
        <color theme="1"/>
        <rFont val="Calibri"/>
        <family val="2"/>
        <scheme val="minor"/>
      </rPr>
      <t xml:space="preserve"> - On campus
</t>
    </r>
    <r>
      <rPr>
        <b/>
        <sz val="11"/>
        <color theme="1"/>
        <rFont val="Calibri"/>
        <family val="2"/>
        <scheme val="minor"/>
      </rPr>
      <t>03012</t>
    </r>
    <r>
      <rPr>
        <sz val="11"/>
        <color theme="1"/>
        <rFont val="Calibri"/>
        <family val="2"/>
        <scheme val="minor"/>
      </rPr>
      <t xml:space="preserve"> - Administrative offices area
</t>
    </r>
    <r>
      <rPr>
        <b/>
        <sz val="11"/>
        <color theme="1"/>
        <rFont val="Calibri"/>
        <family val="2"/>
        <scheme val="minor"/>
      </rPr>
      <t>03013</t>
    </r>
    <r>
      <rPr>
        <sz val="11"/>
        <color theme="1"/>
        <rFont val="Calibri"/>
        <family val="2"/>
        <scheme val="minor"/>
      </rPr>
      <t xml:space="preserve"> - Cafeteria area
</t>
    </r>
    <r>
      <rPr>
        <b/>
        <sz val="11"/>
        <color theme="1"/>
        <rFont val="Calibri"/>
        <family val="2"/>
        <scheme val="minor"/>
      </rPr>
      <t>03014</t>
    </r>
    <r>
      <rPr>
        <sz val="11"/>
        <color theme="1"/>
        <rFont val="Calibri"/>
        <family val="2"/>
        <scheme val="minor"/>
      </rPr>
      <t xml:space="preserve"> - Classroom
</t>
    </r>
    <r>
      <rPr>
        <b/>
        <sz val="11"/>
        <color theme="1"/>
        <rFont val="Calibri"/>
        <family val="2"/>
        <scheme val="minor"/>
      </rPr>
      <t>03015</t>
    </r>
    <r>
      <rPr>
        <sz val="11"/>
        <color theme="1"/>
        <rFont val="Calibri"/>
        <family val="2"/>
        <scheme val="minor"/>
      </rPr>
      <t xml:space="preserve"> - Hallway or stairs
</t>
    </r>
    <r>
      <rPr>
        <b/>
        <sz val="11"/>
        <color theme="1"/>
        <rFont val="Calibri"/>
        <family val="2"/>
        <scheme val="minor"/>
      </rPr>
      <t>03016</t>
    </r>
    <r>
      <rPr>
        <sz val="11"/>
        <color theme="1"/>
        <rFont val="Calibri"/>
        <family val="2"/>
        <scheme val="minor"/>
      </rPr>
      <t xml:space="preserve"> - Locker room or gym areas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03018</t>
    </r>
    <r>
      <rPr>
        <sz val="11"/>
        <color theme="1"/>
        <rFont val="Calibri"/>
        <family val="2"/>
        <scheme val="minor"/>
      </rPr>
      <t xml:space="preserve"> - Library/media center
</t>
    </r>
    <r>
      <rPr>
        <b/>
        <sz val="11"/>
        <color theme="1"/>
        <rFont val="Calibri"/>
        <family val="2"/>
        <scheme val="minor"/>
      </rPr>
      <t>03019</t>
    </r>
    <r>
      <rPr>
        <sz val="11"/>
        <color theme="1"/>
        <rFont val="Calibri"/>
        <family val="2"/>
        <scheme val="minor"/>
      </rPr>
      <t xml:space="preserve"> - Computer lab
</t>
    </r>
    <r>
      <rPr>
        <b/>
        <sz val="11"/>
        <color theme="1"/>
        <rFont val="Calibri"/>
        <family val="2"/>
        <scheme val="minor"/>
      </rPr>
      <t>03020</t>
    </r>
    <r>
      <rPr>
        <sz val="11"/>
        <color theme="1"/>
        <rFont val="Calibri"/>
        <family val="2"/>
        <scheme val="minor"/>
      </rPr>
      <t xml:space="preserve"> - Auditorium
</t>
    </r>
    <r>
      <rPr>
        <b/>
        <sz val="11"/>
        <color theme="1"/>
        <rFont val="Calibri"/>
        <family val="2"/>
        <scheme val="minor"/>
      </rPr>
      <t>03021</t>
    </r>
    <r>
      <rPr>
        <sz val="11"/>
        <color theme="1"/>
        <rFont val="Calibri"/>
        <family val="2"/>
        <scheme val="minor"/>
      </rPr>
      <t xml:space="preserve"> - On-campus other inside area
</t>
    </r>
    <r>
      <rPr>
        <b/>
        <sz val="11"/>
        <color theme="1"/>
        <rFont val="Calibri"/>
        <family val="2"/>
        <scheme val="minor"/>
      </rPr>
      <t>03022</t>
    </r>
    <r>
      <rPr>
        <sz val="11"/>
        <color theme="1"/>
        <rFont val="Calibri"/>
        <family val="2"/>
        <scheme val="minor"/>
      </rPr>
      <t xml:space="preserve"> - Athletic field or playground
</t>
    </r>
    <r>
      <rPr>
        <b/>
        <sz val="11"/>
        <color theme="1"/>
        <rFont val="Calibri"/>
        <family val="2"/>
        <scheme val="minor"/>
      </rPr>
      <t>03023</t>
    </r>
    <r>
      <rPr>
        <sz val="11"/>
        <color theme="1"/>
        <rFont val="Calibri"/>
        <family val="2"/>
        <scheme val="minor"/>
      </rPr>
      <t xml:space="preserve"> - Stadium
</t>
    </r>
    <r>
      <rPr>
        <b/>
        <sz val="11"/>
        <color theme="1"/>
        <rFont val="Calibri"/>
        <family val="2"/>
        <scheme val="minor"/>
      </rPr>
      <t>03024</t>
    </r>
    <r>
      <rPr>
        <sz val="11"/>
        <color theme="1"/>
        <rFont val="Calibri"/>
        <family val="2"/>
        <scheme val="minor"/>
      </rPr>
      <t xml:space="preserve"> - Parking lot
</t>
    </r>
    <r>
      <rPr>
        <b/>
        <sz val="11"/>
        <color theme="1"/>
        <rFont val="Calibri"/>
        <family val="2"/>
        <scheme val="minor"/>
      </rPr>
      <t>03025</t>
    </r>
    <r>
      <rPr>
        <sz val="11"/>
        <color theme="1"/>
        <rFont val="Calibri"/>
        <family val="2"/>
        <scheme val="minor"/>
      </rPr>
      <t xml:space="preserve"> - On-campus other outside area
</t>
    </r>
    <r>
      <rPr>
        <b/>
        <sz val="11"/>
        <color theme="1"/>
        <rFont val="Calibri"/>
        <family val="2"/>
        <scheme val="minor"/>
      </rPr>
      <t>03026</t>
    </r>
    <r>
      <rPr>
        <sz val="11"/>
        <color theme="1"/>
        <rFont val="Calibri"/>
        <family val="2"/>
        <scheme val="minor"/>
      </rPr>
      <t xml:space="preserve"> - Off campus
</t>
    </r>
    <r>
      <rPr>
        <b/>
        <sz val="11"/>
        <color theme="1"/>
        <rFont val="Calibri"/>
        <family val="2"/>
        <scheme val="minor"/>
      </rPr>
      <t>03027</t>
    </r>
    <r>
      <rPr>
        <sz val="11"/>
        <color theme="1"/>
        <rFont val="Calibri"/>
        <family val="2"/>
        <scheme val="minor"/>
      </rPr>
      <t xml:space="preserve"> - Bus stop
</t>
    </r>
    <r>
      <rPr>
        <b/>
        <sz val="11"/>
        <color theme="1"/>
        <rFont val="Calibri"/>
        <family val="2"/>
        <scheme val="minor"/>
      </rPr>
      <t>03028</t>
    </r>
    <r>
      <rPr>
        <sz val="11"/>
        <color theme="1"/>
        <rFont val="Calibri"/>
        <family val="2"/>
        <scheme val="minor"/>
      </rPr>
      <t xml:space="preserve"> - School bus
</t>
    </r>
    <r>
      <rPr>
        <b/>
        <sz val="11"/>
        <color theme="1"/>
        <rFont val="Calibri"/>
        <family val="2"/>
        <scheme val="minor"/>
      </rPr>
      <t>03029</t>
    </r>
    <r>
      <rPr>
        <sz val="11"/>
        <color theme="1"/>
        <rFont val="Calibri"/>
        <family val="2"/>
        <scheme val="minor"/>
      </rPr>
      <t xml:space="preserve"> - Walking to or from school
</t>
    </r>
    <r>
      <rPr>
        <b/>
        <sz val="11"/>
        <color theme="1"/>
        <rFont val="Calibri"/>
        <family val="2"/>
        <scheme val="minor"/>
      </rPr>
      <t>03030</t>
    </r>
    <r>
      <rPr>
        <sz val="11"/>
        <color theme="1"/>
        <rFont val="Calibri"/>
        <family val="2"/>
        <scheme val="minor"/>
      </rPr>
      <t xml:space="preserve"> - Off-campus at other school
</t>
    </r>
    <r>
      <rPr>
        <b/>
        <sz val="11"/>
        <color theme="1"/>
        <rFont val="Calibri"/>
        <family val="2"/>
        <scheme val="minor"/>
      </rPr>
      <t>03031</t>
    </r>
    <r>
      <rPr>
        <sz val="11"/>
        <color theme="1"/>
        <rFont val="Calibri"/>
        <family val="2"/>
        <scheme val="minor"/>
      </rPr>
      <t xml:space="preserve"> - Off-campus at other school district facility
</t>
    </r>
    <r>
      <rPr>
        <b/>
        <sz val="11"/>
        <color theme="1"/>
        <rFont val="Calibri"/>
        <family val="2"/>
        <scheme val="minor"/>
      </rPr>
      <t>03413</t>
    </r>
    <r>
      <rPr>
        <sz val="11"/>
        <color theme="1"/>
        <rFont val="Calibri"/>
        <family val="2"/>
        <scheme val="minor"/>
      </rPr>
      <t xml:space="preserve"> - Online
</t>
    </r>
    <r>
      <rPr>
        <b/>
        <sz val="11"/>
        <color theme="1"/>
        <rFont val="Calibri"/>
        <family val="2"/>
        <scheme val="minor"/>
      </rPr>
      <t>13773</t>
    </r>
    <r>
      <rPr>
        <sz val="11"/>
        <color theme="1"/>
        <rFont val="Calibri"/>
        <family val="2"/>
        <scheme val="minor"/>
      </rPr>
      <t xml:space="preserve"> - Off-campus at a school sponsored activity
</t>
    </r>
    <r>
      <rPr>
        <b/>
        <sz val="11"/>
        <color theme="1"/>
        <rFont val="Calibri"/>
        <family val="2"/>
        <scheme val="minor"/>
      </rPr>
      <t>13774</t>
    </r>
    <r>
      <rPr>
        <sz val="11"/>
        <color theme="1"/>
        <rFont val="Calibri"/>
        <family val="2"/>
        <scheme val="minor"/>
      </rPr>
      <t xml:space="preserve"> - Off-campus at another location unrelated to school
</t>
    </r>
    <r>
      <rPr>
        <b/>
        <sz val="11"/>
        <color theme="1"/>
        <rFont val="Calibri"/>
        <family val="2"/>
        <scheme val="minor"/>
      </rPr>
      <t>09997</t>
    </r>
    <r>
      <rPr>
        <sz val="11"/>
        <color theme="1"/>
        <rFont val="Calibri"/>
        <family val="2"/>
        <scheme val="minor"/>
      </rPr>
      <t xml:space="preserve"> - Unknown
</t>
    </r>
  </si>
  <si>
    <r>
      <t>MajorInjury</t>
    </r>
    <r>
      <rPr>
        <sz val="11"/>
        <color theme="1"/>
        <rFont val="Calibri"/>
        <family val="2"/>
        <scheme val="minor"/>
      </rPr>
      <t xml:space="preserve"> - Major injury
</t>
    </r>
    <r>
      <rPr>
        <b/>
        <sz val="11"/>
        <color theme="1"/>
        <rFont val="Calibri"/>
        <family val="2"/>
        <scheme val="minor"/>
      </rPr>
      <t>MinorInjury</t>
    </r>
    <r>
      <rPr>
        <sz val="11"/>
        <color theme="1"/>
        <rFont val="Calibri"/>
        <family val="2"/>
        <scheme val="minor"/>
      </rPr>
      <t xml:space="preserve"> - Minor injury
</t>
    </r>
    <r>
      <rPr>
        <b/>
        <sz val="11"/>
        <color theme="1"/>
        <rFont val="Calibri"/>
        <family val="2"/>
        <scheme val="minor"/>
      </rPr>
      <t>NoInjury</t>
    </r>
    <r>
      <rPr>
        <sz val="11"/>
        <color theme="1"/>
        <rFont val="Calibri"/>
        <family val="2"/>
        <scheme val="minor"/>
      </rPr>
      <t xml:space="preserve"> - No injury
</t>
    </r>
    <r>
      <rPr>
        <b/>
        <sz val="11"/>
        <color theme="1"/>
        <rFont val="Calibri"/>
        <family val="2"/>
        <scheme val="minor"/>
      </rPr>
      <t>SeriousBodilyInjury</t>
    </r>
    <r>
      <rPr>
        <sz val="11"/>
        <color theme="1"/>
        <rFont val="Calibri"/>
        <family val="2"/>
        <scheme val="minor"/>
      </rPr>
      <t xml:space="preserve"> - Serious bodily injury
</t>
    </r>
    <r>
      <rPr>
        <b/>
        <sz val="11"/>
        <color theme="1"/>
        <rFont val="Calibri"/>
        <family val="2"/>
        <scheme val="minor"/>
      </rPr>
      <t>FatalInjury</t>
    </r>
    <r>
      <rPr>
        <sz val="11"/>
        <color theme="1"/>
        <rFont val="Calibri"/>
        <family val="2"/>
        <scheme val="minor"/>
      </rPr>
      <t xml:space="preserve"> - Fatal injury
</t>
    </r>
  </si>
  <si>
    <r>
      <t>00126</t>
    </r>
    <r>
      <rPr>
        <sz val="11"/>
        <color theme="1"/>
        <rFont val="Calibri"/>
        <family val="2"/>
        <scheme val="minor"/>
      </rPr>
      <t xml:space="preserve"> - Student
</t>
    </r>
    <r>
      <rPr>
        <b/>
        <sz val="11"/>
        <color theme="1"/>
        <rFont val="Calibri"/>
        <family val="2"/>
        <scheme val="minor"/>
      </rPr>
      <t>03032</t>
    </r>
    <r>
      <rPr>
        <sz val="11"/>
        <color theme="1"/>
        <rFont val="Calibri"/>
        <family val="2"/>
        <scheme val="minor"/>
      </rPr>
      <t xml:space="preserve"> - Student enrolled in the school where the incident occurred
</t>
    </r>
    <r>
      <rPr>
        <b/>
        <sz val="11"/>
        <color theme="1"/>
        <rFont val="Calibri"/>
        <family val="2"/>
        <scheme val="minor"/>
      </rPr>
      <t>03033</t>
    </r>
    <r>
      <rPr>
        <sz val="11"/>
        <color theme="1"/>
        <rFont val="Calibri"/>
        <family val="2"/>
        <scheme val="minor"/>
      </rPr>
      <t xml:space="preserve"> - Student enrolled in another school
</t>
    </r>
    <r>
      <rPr>
        <b/>
        <sz val="11"/>
        <color theme="1"/>
        <rFont val="Calibri"/>
        <family val="2"/>
        <scheme val="minor"/>
      </rPr>
      <t>03034</t>
    </r>
    <r>
      <rPr>
        <sz val="11"/>
        <color theme="1"/>
        <rFont val="Calibri"/>
        <family val="2"/>
        <scheme val="minor"/>
      </rPr>
      <t xml:space="preserve"> - Student expelled or involuntarily withdrawn
</t>
    </r>
    <r>
      <rPr>
        <b/>
        <sz val="11"/>
        <color theme="1"/>
        <rFont val="Calibri"/>
        <family val="2"/>
        <scheme val="minor"/>
      </rPr>
      <t>03422</t>
    </r>
    <r>
      <rPr>
        <sz val="11"/>
        <color theme="1"/>
        <rFont val="Calibri"/>
        <family val="2"/>
        <scheme val="minor"/>
      </rPr>
      <t xml:space="preserve"> - Staff member
</t>
    </r>
    <r>
      <rPr>
        <b/>
        <sz val="11"/>
        <color theme="1"/>
        <rFont val="Calibri"/>
        <family val="2"/>
        <scheme val="minor"/>
      </rPr>
      <t>03035</t>
    </r>
    <r>
      <rPr>
        <sz val="11"/>
        <color theme="1"/>
        <rFont val="Calibri"/>
        <family val="2"/>
        <scheme val="minor"/>
      </rPr>
      <t xml:space="preserve"> - Professional educational staff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13782</t>
    </r>
    <r>
      <rPr>
        <sz val="11"/>
        <color theme="1"/>
        <rFont val="Calibri"/>
        <family val="2"/>
        <scheme val="minor"/>
      </rPr>
      <t xml:space="preserve"> - Substitute teacher
</t>
    </r>
    <r>
      <rPr>
        <b/>
        <sz val="11"/>
        <color theme="1"/>
        <rFont val="Calibri"/>
        <family val="2"/>
        <scheme val="minor"/>
      </rPr>
      <t>13335</t>
    </r>
    <r>
      <rPr>
        <sz val="11"/>
        <color theme="1"/>
        <rFont val="Calibri"/>
        <family val="2"/>
        <scheme val="minor"/>
      </rPr>
      <t xml:space="preserve"> - Librarians/Media Specialist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13334</t>
    </r>
    <r>
      <rPr>
        <sz val="11"/>
        <color theme="1"/>
        <rFont val="Calibri"/>
        <family val="2"/>
        <scheme val="minor"/>
      </rPr>
      <t xml:space="preserve"> - School Counselor
</t>
    </r>
    <r>
      <rPr>
        <b/>
        <sz val="11"/>
        <color theme="1"/>
        <rFont val="Calibri"/>
        <family val="2"/>
        <scheme val="minor"/>
      </rPr>
      <t>04723</t>
    </r>
    <r>
      <rPr>
        <sz val="11"/>
        <color theme="1"/>
        <rFont val="Calibri"/>
        <family val="2"/>
        <scheme val="minor"/>
      </rPr>
      <t xml:space="preserve"> - Athletic coach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13403</t>
    </r>
    <r>
      <rPr>
        <sz val="11"/>
        <color theme="1"/>
        <rFont val="Calibri"/>
        <family val="2"/>
        <scheme val="minor"/>
      </rPr>
      <t xml:space="preserve"> - Other Professional Staff
</t>
    </r>
    <r>
      <rPr>
        <b/>
        <sz val="11"/>
        <color theme="1"/>
        <rFont val="Calibri"/>
        <family val="2"/>
        <scheme val="minor"/>
      </rPr>
      <t>04783</t>
    </r>
    <r>
      <rPr>
        <sz val="11"/>
        <color theme="1"/>
        <rFont val="Calibri"/>
        <family val="2"/>
        <scheme val="minor"/>
      </rPr>
      <t xml:space="preserve"> - Registered nurse
</t>
    </r>
    <r>
      <rPr>
        <b/>
        <sz val="11"/>
        <color theme="1"/>
        <rFont val="Calibri"/>
        <family val="2"/>
        <scheme val="minor"/>
      </rPr>
      <t>04788</t>
    </r>
    <r>
      <rPr>
        <sz val="11"/>
        <color theme="1"/>
        <rFont val="Calibri"/>
        <family val="2"/>
        <scheme val="minor"/>
      </rPr>
      <t xml:space="preserve"> - Social worker
</t>
    </r>
    <r>
      <rPr>
        <b/>
        <sz val="11"/>
        <color theme="1"/>
        <rFont val="Calibri"/>
        <family val="2"/>
        <scheme val="minor"/>
      </rPr>
      <t>03041</t>
    </r>
    <r>
      <rPr>
        <sz val="11"/>
        <color theme="1"/>
        <rFont val="Calibri"/>
        <family val="2"/>
        <scheme val="minor"/>
      </rPr>
      <t xml:space="preserve"> - Administrator
</t>
    </r>
    <r>
      <rPr>
        <b/>
        <sz val="11"/>
        <color theme="1"/>
        <rFont val="Calibri"/>
        <family val="2"/>
        <scheme val="minor"/>
      </rPr>
      <t>04718</t>
    </r>
    <r>
      <rPr>
        <sz val="11"/>
        <color theme="1"/>
        <rFont val="Calibri"/>
        <family val="2"/>
        <scheme val="minor"/>
      </rPr>
      <t xml:space="preserve"> - Principal/headmaster/headmistress/head of school
</t>
    </r>
    <r>
      <rPr>
        <b/>
        <sz val="11"/>
        <color theme="1"/>
        <rFont val="Calibri"/>
        <family val="2"/>
        <scheme val="minor"/>
      </rPr>
      <t>04711</t>
    </r>
    <r>
      <rPr>
        <sz val="11"/>
        <color theme="1"/>
        <rFont val="Calibri"/>
        <family val="2"/>
        <scheme val="minor"/>
      </rPr>
      <t xml:space="preserve"> - Deputy/associate/vice /assistant principal
</t>
    </r>
    <r>
      <rPr>
        <b/>
        <sz val="11"/>
        <color theme="1"/>
        <rFont val="Calibri"/>
        <family val="2"/>
        <scheme val="minor"/>
      </rPr>
      <t>04710</t>
    </r>
    <r>
      <rPr>
        <sz val="11"/>
        <color theme="1"/>
        <rFont val="Calibri"/>
        <family val="2"/>
        <scheme val="minor"/>
      </rPr>
      <t xml:space="preserve"> - Dean/dean of instructions/dean of students/dean of boys/dean of girls/dean of student activities
</t>
    </r>
    <r>
      <rPr>
        <b/>
        <sz val="11"/>
        <color theme="1"/>
        <rFont val="Calibri"/>
        <family val="2"/>
        <scheme val="minor"/>
      </rPr>
      <t>04721</t>
    </r>
    <r>
      <rPr>
        <sz val="11"/>
        <color theme="1"/>
        <rFont val="Calibri"/>
        <family val="2"/>
        <scheme val="minor"/>
      </rPr>
      <t xml:space="preserve"> - Superintendent/commissioner
</t>
    </r>
    <r>
      <rPr>
        <b/>
        <sz val="11"/>
        <color theme="1"/>
        <rFont val="Calibri"/>
        <family val="2"/>
        <scheme val="minor"/>
      </rPr>
      <t>04712</t>
    </r>
    <r>
      <rPr>
        <sz val="11"/>
        <color theme="1"/>
        <rFont val="Calibri"/>
        <family val="2"/>
        <scheme val="minor"/>
      </rPr>
      <t xml:space="preserve"> - Deputy/associate/assistant superintendent/ commissioner
</t>
    </r>
    <r>
      <rPr>
        <b/>
        <sz val="11"/>
        <color theme="1"/>
        <rFont val="Calibri"/>
        <family val="2"/>
        <scheme val="minor"/>
      </rPr>
      <t>04708</t>
    </r>
    <r>
      <rPr>
        <sz val="11"/>
        <color theme="1"/>
        <rFont val="Calibri"/>
        <family val="2"/>
        <scheme val="minor"/>
      </rPr>
      <t xml:space="preserve"> - Board of education/school board/board of trustees member
</t>
    </r>
    <r>
      <rPr>
        <b/>
        <sz val="11"/>
        <color theme="1"/>
        <rFont val="Calibri"/>
        <family val="2"/>
        <scheme val="minor"/>
      </rPr>
      <t>13342</t>
    </r>
    <r>
      <rPr>
        <sz val="11"/>
        <color theme="1"/>
        <rFont val="Calibri"/>
        <family val="2"/>
        <scheme val="minor"/>
      </rPr>
      <t xml:space="preserve"> - All Other Support Staff
</t>
    </r>
    <r>
      <rPr>
        <b/>
        <sz val="11"/>
        <color theme="1"/>
        <rFont val="Calibri"/>
        <family val="2"/>
        <scheme val="minor"/>
      </rPr>
      <t>04864</t>
    </r>
    <r>
      <rPr>
        <sz val="11"/>
        <color theme="1"/>
        <rFont val="Calibri"/>
        <family val="2"/>
        <scheme val="minor"/>
      </rPr>
      <t xml:space="preserve"> - Bus driver
</t>
    </r>
    <r>
      <rPr>
        <b/>
        <sz val="11"/>
        <color theme="1"/>
        <rFont val="Calibri"/>
        <family val="2"/>
        <scheme val="minor"/>
      </rPr>
      <t>13340</t>
    </r>
    <r>
      <rPr>
        <sz val="11"/>
        <color theme="1"/>
        <rFont val="Calibri"/>
        <family val="2"/>
        <scheme val="minor"/>
      </rPr>
      <t xml:space="preserve"> - School Administrative Support Staff
</t>
    </r>
    <r>
      <rPr>
        <b/>
        <sz val="11"/>
        <color theme="1"/>
        <rFont val="Calibri"/>
        <family val="2"/>
        <scheme val="minor"/>
      </rPr>
      <t>04878</t>
    </r>
    <r>
      <rPr>
        <sz val="11"/>
        <color theme="1"/>
        <rFont val="Calibri"/>
        <family val="2"/>
        <scheme val="minor"/>
      </rPr>
      <t xml:space="preserve"> - Custodian
</t>
    </r>
    <r>
      <rPr>
        <b/>
        <sz val="11"/>
        <color theme="1"/>
        <rFont val="Calibri"/>
        <family val="2"/>
        <scheme val="minor"/>
      </rPr>
      <t>04877</t>
    </r>
    <r>
      <rPr>
        <sz val="11"/>
        <color theme="1"/>
        <rFont val="Calibri"/>
        <family val="2"/>
        <scheme val="minor"/>
      </rPr>
      <t xml:space="preserve"> - Cook/food preparer (food service staff)
</t>
    </r>
    <r>
      <rPr>
        <b/>
        <sz val="11"/>
        <color theme="1"/>
        <rFont val="Calibri"/>
        <family val="2"/>
        <scheme val="minor"/>
      </rPr>
      <t>13333</t>
    </r>
    <r>
      <rPr>
        <sz val="11"/>
        <color theme="1"/>
        <rFont val="Calibri"/>
        <family val="2"/>
        <scheme val="minor"/>
      </rPr>
      <t xml:space="preserve"> - Paraprofessionals/Instructional Aide
</t>
    </r>
    <r>
      <rPr>
        <b/>
        <sz val="11"/>
        <color theme="1"/>
        <rFont val="Calibri"/>
        <family val="2"/>
        <scheme val="minor"/>
      </rPr>
      <t>04885</t>
    </r>
    <r>
      <rPr>
        <sz val="11"/>
        <color theme="1"/>
        <rFont val="Calibri"/>
        <family val="2"/>
        <scheme val="minor"/>
      </rPr>
      <t xml:space="preserve"> - Security guard
</t>
    </r>
    <r>
      <rPr>
        <b/>
        <sz val="11"/>
        <color theme="1"/>
        <rFont val="Calibri"/>
        <family val="2"/>
        <scheme val="minor"/>
      </rPr>
      <t>03054</t>
    </r>
    <r>
      <rPr>
        <sz val="11"/>
        <color theme="1"/>
        <rFont val="Calibri"/>
        <family val="2"/>
        <scheme val="minor"/>
      </rPr>
      <t xml:space="preserve"> - Law enforcement officer
</t>
    </r>
    <r>
      <rPr>
        <b/>
        <sz val="11"/>
        <color theme="1"/>
        <rFont val="Calibri"/>
        <family val="2"/>
        <scheme val="minor"/>
      </rPr>
      <t>03055</t>
    </r>
    <r>
      <rPr>
        <sz val="11"/>
        <color theme="1"/>
        <rFont val="Calibri"/>
        <family val="2"/>
        <scheme val="minor"/>
      </rPr>
      <t xml:space="preserve"> - Municipal law enforcement officer assigned to the school
</t>
    </r>
    <r>
      <rPr>
        <b/>
        <sz val="11"/>
        <color theme="1"/>
        <rFont val="Calibri"/>
        <family val="2"/>
        <scheme val="minor"/>
      </rPr>
      <t>03056</t>
    </r>
    <r>
      <rPr>
        <sz val="11"/>
        <color theme="1"/>
        <rFont val="Calibri"/>
        <family val="2"/>
        <scheme val="minor"/>
      </rPr>
      <t xml:space="preserve"> - Municipal law enforcement officer not assigned to the school
</t>
    </r>
    <r>
      <rPr>
        <b/>
        <sz val="11"/>
        <color theme="1"/>
        <rFont val="Calibri"/>
        <family val="2"/>
        <scheme val="minor"/>
      </rPr>
      <t>03057</t>
    </r>
    <r>
      <rPr>
        <sz val="11"/>
        <color theme="1"/>
        <rFont val="Calibri"/>
        <family val="2"/>
        <scheme val="minor"/>
      </rPr>
      <t xml:space="preserve"> - School district police officer assigned to the school
</t>
    </r>
    <r>
      <rPr>
        <b/>
        <sz val="11"/>
        <color theme="1"/>
        <rFont val="Calibri"/>
        <family val="2"/>
        <scheme val="minor"/>
      </rPr>
      <t>03058</t>
    </r>
    <r>
      <rPr>
        <sz val="11"/>
        <color theme="1"/>
        <rFont val="Calibri"/>
        <family val="2"/>
        <scheme val="minor"/>
      </rPr>
      <t xml:space="preserve"> - School district police officer not assigned to the school
</t>
    </r>
    <r>
      <rPr>
        <b/>
        <sz val="11"/>
        <color theme="1"/>
        <rFont val="Calibri"/>
        <family val="2"/>
        <scheme val="minor"/>
      </rPr>
      <t>03059</t>
    </r>
    <r>
      <rPr>
        <sz val="11"/>
        <color theme="1"/>
        <rFont val="Calibri"/>
        <family val="2"/>
        <scheme val="minor"/>
      </rPr>
      <t xml:space="preserve"> - Nonschool personnel
</t>
    </r>
    <r>
      <rPr>
        <b/>
        <sz val="11"/>
        <color theme="1"/>
        <rFont val="Calibri"/>
        <family val="2"/>
        <scheme val="minor"/>
      </rPr>
      <t>00850</t>
    </r>
    <r>
      <rPr>
        <sz val="11"/>
        <color theme="1"/>
        <rFont val="Calibri"/>
        <family val="2"/>
        <scheme val="minor"/>
      </rPr>
      <t xml:space="preserve"> - Parent/guardian
</t>
    </r>
    <r>
      <rPr>
        <b/>
        <sz val="11"/>
        <color theme="1"/>
        <rFont val="Calibri"/>
        <family val="2"/>
        <scheme val="minor"/>
      </rPr>
      <t>03060</t>
    </r>
    <r>
      <rPr>
        <sz val="11"/>
        <color theme="1"/>
        <rFont val="Calibri"/>
        <family val="2"/>
        <scheme val="minor"/>
      </rPr>
      <t xml:space="preserve"> - Representative of visiting school
</t>
    </r>
    <r>
      <rPr>
        <b/>
        <sz val="11"/>
        <color theme="1"/>
        <rFont val="Calibri"/>
        <family val="2"/>
        <scheme val="minor"/>
      </rPr>
      <t>03061</t>
    </r>
    <r>
      <rPr>
        <sz val="11"/>
        <color theme="1"/>
        <rFont val="Calibri"/>
        <family val="2"/>
        <scheme val="minor"/>
      </rPr>
      <t xml:space="preserve"> - Other adult
</t>
    </r>
    <r>
      <rPr>
        <b/>
        <sz val="11"/>
        <color theme="1"/>
        <rFont val="Calibri"/>
        <family val="2"/>
        <scheme val="minor"/>
      </rPr>
      <t>03168</t>
    </r>
    <r>
      <rPr>
        <sz val="11"/>
        <color theme="1"/>
        <rFont val="Calibri"/>
        <family val="2"/>
        <scheme val="minor"/>
      </rPr>
      <t xml:space="preserve"> - Former student
</t>
    </r>
    <r>
      <rPr>
        <b/>
        <sz val="11"/>
        <color theme="1"/>
        <rFont val="Calibri"/>
        <family val="2"/>
        <scheme val="minor"/>
      </rPr>
      <t>03062</t>
    </r>
    <r>
      <rPr>
        <sz val="11"/>
        <color theme="1"/>
        <rFont val="Calibri"/>
        <family val="2"/>
        <scheme val="minor"/>
      </rPr>
      <t xml:space="preserve"> - Other nonstudent youth
</t>
    </r>
    <r>
      <rPr>
        <b/>
        <sz val="11"/>
        <color theme="1"/>
        <rFont val="Calibri"/>
        <family val="2"/>
        <scheme val="minor"/>
      </rPr>
      <t>09997</t>
    </r>
    <r>
      <rPr>
        <sz val="11"/>
        <color theme="1"/>
        <rFont val="Calibri"/>
        <family val="2"/>
        <scheme val="minor"/>
      </rPr>
      <t xml:space="preserve"> - Unknown
</t>
    </r>
  </si>
  <si>
    <r>
      <t>Primary</t>
    </r>
    <r>
      <rPr>
        <sz val="11"/>
        <color theme="1"/>
        <rFont val="Calibri"/>
        <family val="2"/>
        <scheme val="minor"/>
      </rPr>
      <t xml:space="preserve"> - Primary
</t>
    </r>
    <r>
      <rPr>
        <b/>
        <sz val="11"/>
        <color theme="1"/>
        <rFont val="Calibri"/>
        <family val="2"/>
        <scheme val="minor"/>
      </rPr>
      <t>Secondary</t>
    </r>
    <r>
      <rPr>
        <sz val="11"/>
        <color theme="1"/>
        <rFont val="Calibri"/>
        <family val="2"/>
        <scheme val="minor"/>
      </rPr>
      <t xml:space="preserve"> - Secondary
</t>
    </r>
  </si>
  <si>
    <r>
      <t>03041</t>
    </r>
    <r>
      <rPr>
        <sz val="11"/>
        <color theme="1"/>
        <rFont val="Calibri"/>
        <family val="2"/>
        <scheme val="minor"/>
      </rPr>
      <t xml:space="preserve"> - Administrator
</t>
    </r>
    <r>
      <rPr>
        <b/>
        <sz val="11"/>
        <color theme="1"/>
        <rFont val="Calibri"/>
        <family val="2"/>
        <scheme val="minor"/>
      </rPr>
      <t>13342</t>
    </r>
    <r>
      <rPr>
        <sz val="11"/>
        <color theme="1"/>
        <rFont val="Calibri"/>
        <family val="2"/>
        <scheme val="minor"/>
      </rPr>
      <t xml:space="preserve"> - All Other Support Staff
</t>
    </r>
    <r>
      <rPr>
        <b/>
        <sz val="11"/>
        <color theme="1"/>
        <rFont val="Calibri"/>
        <family val="2"/>
        <scheme val="minor"/>
      </rPr>
      <t>04723</t>
    </r>
    <r>
      <rPr>
        <sz val="11"/>
        <color theme="1"/>
        <rFont val="Calibri"/>
        <family val="2"/>
        <scheme val="minor"/>
      </rPr>
      <t xml:space="preserve"> - Athletic coach
</t>
    </r>
    <r>
      <rPr>
        <b/>
        <sz val="11"/>
        <color theme="1"/>
        <rFont val="Calibri"/>
        <family val="2"/>
        <scheme val="minor"/>
      </rPr>
      <t>04708</t>
    </r>
    <r>
      <rPr>
        <sz val="11"/>
        <color theme="1"/>
        <rFont val="Calibri"/>
        <family val="2"/>
        <scheme val="minor"/>
      </rPr>
      <t xml:space="preserve"> - Board of education/school board/board of trustees member
</t>
    </r>
    <r>
      <rPr>
        <b/>
        <sz val="11"/>
        <color theme="1"/>
        <rFont val="Calibri"/>
        <family val="2"/>
        <scheme val="minor"/>
      </rPr>
      <t>04864</t>
    </r>
    <r>
      <rPr>
        <sz val="11"/>
        <color theme="1"/>
        <rFont val="Calibri"/>
        <family val="2"/>
        <scheme val="minor"/>
      </rPr>
      <t xml:space="preserve"> - Bus driver
</t>
    </r>
    <r>
      <rPr>
        <b/>
        <sz val="11"/>
        <color theme="1"/>
        <rFont val="Calibri"/>
        <family val="2"/>
        <scheme val="minor"/>
      </rPr>
      <t>04877</t>
    </r>
    <r>
      <rPr>
        <sz val="11"/>
        <color theme="1"/>
        <rFont val="Calibri"/>
        <family val="2"/>
        <scheme val="minor"/>
      </rPr>
      <t xml:space="preserve"> - Cook/food preparer (food service staff)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04878</t>
    </r>
    <r>
      <rPr>
        <sz val="11"/>
        <color theme="1"/>
        <rFont val="Calibri"/>
        <family val="2"/>
        <scheme val="minor"/>
      </rPr>
      <t xml:space="preserve"> - Custodian
</t>
    </r>
    <r>
      <rPr>
        <b/>
        <sz val="11"/>
        <color theme="1"/>
        <rFont val="Calibri"/>
        <family val="2"/>
        <scheme val="minor"/>
      </rPr>
      <t>04710</t>
    </r>
    <r>
      <rPr>
        <sz val="11"/>
        <color theme="1"/>
        <rFont val="Calibri"/>
        <family val="2"/>
        <scheme val="minor"/>
      </rPr>
      <t xml:space="preserve"> - Dean/dean of instructions/dean of students/dean of boys/dean of girls/dean of student activities
</t>
    </r>
    <r>
      <rPr>
        <b/>
        <sz val="11"/>
        <color theme="1"/>
        <rFont val="Calibri"/>
        <family val="2"/>
        <scheme val="minor"/>
      </rPr>
      <t>04712</t>
    </r>
    <r>
      <rPr>
        <sz val="11"/>
        <color theme="1"/>
        <rFont val="Calibri"/>
        <family val="2"/>
        <scheme val="minor"/>
      </rPr>
      <t xml:space="preserve"> - Deputy/associate/assistant superintendent/ commissioner
</t>
    </r>
    <r>
      <rPr>
        <b/>
        <sz val="11"/>
        <color theme="1"/>
        <rFont val="Calibri"/>
        <family val="2"/>
        <scheme val="minor"/>
      </rPr>
      <t>04711</t>
    </r>
    <r>
      <rPr>
        <sz val="11"/>
        <color theme="1"/>
        <rFont val="Calibri"/>
        <family val="2"/>
        <scheme val="minor"/>
      </rPr>
      <t xml:space="preserve"> - Deputy/associate/vice /assistant principal
</t>
    </r>
    <r>
      <rPr>
        <b/>
        <sz val="11"/>
        <color theme="1"/>
        <rFont val="Calibri"/>
        <family val="2"/>
        <scheme val="minor"/>
      </rPr>
      <t>03168</t>
    </r>
    <r>
      <rPr>
        <sz val="11"/>
        <color theme="1"/>
        <rFont val="Calibri"/>
        <family val="2"/>
        <scheme val="minor"/>
      </rPr>
      <t xml:space="preserve"> - Former student
</t>
    </r>
    <r>
      <rPr>
        <b/>
        <sz val="11"/>
        <color theme="1"/>
        <rFont val="Calibri"/>
        <family val="2"/>
        <scheme val="minor"/>
      </rPr>
      <t>03054</t>
    </r>
    <r>
      <rPr>
        <sz val="11"/>
        <color theme="1"/>
        <rFont val="Calibri"/>
        <family val="2"/>
        <scheme val="minor"/>
      </rPr>
      <t xml:space="preserve"> - Law enforcement officer
</t>
    </r>
    <r>
      <rPr>
        <b/>
        <sz val="11"/>
        <color theme="1"/>
        <rFont val="Calibri"/>
        <family val="2"/>
        <scheme val="minor"/>
      </rPr>
      <t>13335</t>
    </r>
    <r>
      <rPr>
        <sz val="11"/>
        <color theme="1"/>
        <rFont val="Calibri"/>
        <family val="2"/>
        <scheme val="minor"/>
      </rPr>
      <t xml:space="preserve"> - Librarians/Media Specialist
</t>
    </r>
    <r>
      <rPr>
        <b/>
        <sz val="11"/>
        <color theme="1"/>
        <rFont val="Calibri"/>
        <family val="2"/>
        <scheme val="minor"/>
      </rPr>
      <t>03055</t>
    </r>
    <r>
      <rPr>
        <sz val="11"/>
        <color theme="1"/>
        <rFont val="Calibri"/>
        <family val="2"/>
        <scheme val="minor"/>
      </rPr>
      <t xml:space="preserve"> - Municipal law enforcement officer assigned to the school
</t>
    </r>
    <r>
      <rPr>
        <b/>
        <sz val="11"/>
        <color theme="1"/>
        <rFont val="Calibri"/>
        <family val="2"/>
        <scheme val="minor"/>
      </rPr>
      <t>03056</t>
    </r>
    <r>
      <rPr>
        <sz val="11"/>
        <color theme="1"/>
        <rFont val="Calibri"/>
        <family val="2"/>
        <scheme val="minor"/>
      </rPr>
      <t xml:space="preserve"> - Municipal law enforcement officer not assigned to the school
</t>
    </r>
    <r>
      <rPr>
        <b/>
        <sz val="11"/>
        <color theme="1"/>
        <rFont val="Calibri"/>
        <family val="2"/>
        <scheme val="minor"/>
      </rPr>
      <t>03059</t>
    </r>
    <r>
      <rPr>
        <sz val="11"/>
        <color theme="1"/>
        <rFont val="Calibri"/>
        <family val="2"/>
        <scheme val="minor"/>
      </rPr>
      <t xml:space="preserve"> - Nonschool personnel
</t>
    </r>
    <r>
      <rPr>
        <b/>
        <sz val="11"/>
        <color theme="1"/>
        <rFont val="Calibri"/>
        <family val="2"/>
        <scheme val="minor"/>
      </rPr>
      <t>03061</t>
    </r>
    <r>
      <rPr>
        <sz val="11"/>
        <color theme="1"/>
        <rFont val="Calibri"/>
        <family val="2"/>
        <scheme val="minor"/>
      </rPr>
      <t xml:space="preserve"> - Other adult
</t>
    </r>
    <r>
      <rPr>
        <b/>
        <sz val="11"/>
        <color theme="1"/>
        <rFont val="Calibri"/>
        <family val="2"/>
        <scheme val="minor"/>
      </rPr>
      <t>03062</t>
    </r>
    <r>
      <rPr>
        <sz val="11"/>
        <color theme="1"/>
        <rFont val="Calibri"/>
        <family val="2"/>
        <scheme val="minor"/>
      </rPr>
      <t xml:space="preserve"> - Other nonstudent youth
</t>
    </r>
    <r>
      <rPr>
        <b/>
        <sz val="11"/>
        <color theme="1"/>
        <rFont val="Calibri"/>
        <family val="2"/>
        <scheme val="minor"/>
      </rPr>
      <t>13403</t>
    </r>
    <r>
      <rPr>
        <sz val="11"/>
        <color theme="1"/>
        <rFont val="Calibri"/>
        <family val="2"/>
        <scheme val="minor"/>
      </rPr>
      <t xml:space="preserve"> - Other Professional Staff
</t>
    </r>
    <r>
      <rPr>
        <b/>
        <sz val="11"/>
        <color theme="1"/>
        <rFont val="Calibri"/>
        <family val="2"/>
        <scheme val="minor"/>
      </rPr>
      <t>13333</t>
    </r>
    <r>
      <rPr>
        <sz val="11"/>
        <color theme="1"/>
        <rFont val="Calibri"/>
        <family val="2"/>
        <scheme val="minor"/>
      </rPr>
      <t xml:space="preserve"> - Paraprofessionals/Instructional Aide
</t>
    </r>
    <r>
      <rPr>
        <b/>
        <sz val="11"/>
        <color theme="1"/>
        <rFont val="Calibri"/>
        <family val="2"/>
        <scheme val="minor"/>
      </rPr>
      <t>00850</t>
    </r>
    <r>
      <rPr>
        <sz val="11"/>
        <color theme="1"/>
        <rFont val="Calibri"/>
        <family val="2"/>
        <scheme val="minor"/>
      </rPr>
      <t xml:space="preserve"> - Parent/guardian
</t>
    </r>
    <r>
      <rPr>
        <b/>
        <sz val="11"/>
        <color theme="1"/>
        <rFont val="Calibri"/>
        <family val="2"/>
        <scheme val="minor"/>
      </rPr>
      <t>04718</t>
    </r>
    <r>
      <rPr>
        <sz val="11"/>
        <color theme="1"/>
        <rFont val="Calibri"/>
        <family val="2"/>
        <scheme val="minor"/>
      </rPr>
      <t xml:space="preserve"> - Principal/headmaster/headmistress/head of school
</t>
    </r>
    <r>
      <rPr>
        <b/>
        <sz val="11"/>
        <color theme="1"/>
        <rFont val="Calibri"/>
        <family val="2"/>
        <scheme val="minor"/>
      </rPr>
      <t>03035</t>
    </r>
    <r>
      <rPr>
        <sz val="11"/>
        <color theme="1"/>
        <rFont val="Calibri"/>
        <family val="2"/>
        <scheme val="minor"/>
      </rPr>
      <t xml:space="preserve"> - Professional educational staff
</t>
    </r>
    <r>
      <rPr>
        <b/>
        <sz val="11"/>
        <color theme="1"/>
        <rFont val="Calibri"/>
        <family val="2"/>
        <scheme val="minor"/>
      </rPr>
      <t>04783</t>
    </r>
    <r>
      <rPr>
        <sz val="11"/>
        <color theme="1"/>
        <rFont val="Calibri"/>
        <family val="2"/>
        <scheme val="minor"/>
      </rPr>
      <t xml:space="preserve"> - Registered nurse
</t>
    </r>
    <r>
      <rPr>
        <b/>
        <sz val="11"/>
        <color theme="1"/>
        <rFont val="Calibri"/>
        <family val="2"/>
        <scheme val="minor"/>
      </rPr>
      <t>03060</t>
    </r>
    <r>
      <rPr>
        <sz val="11"/>
        <color theme="1"/>
        <rFont val="Calibri"/>
        <family val="2"/>
        <scheme val="minor"/>
      </rPr>
      <t xml:space="preserve"> - Representative of visiting school
</t>
    </r>
    <r>
      <rPr>
        <b/>
        <sz val="11"/>
        <color theme="1"/>
        <rFont val="Calibri"/>
        <family val="2"/>
        <scheme val="minor"/>
      </rPr>
      <t>13340</t>
    </r>
    <r>
      <rPr>
        <sz val="11"/>
        <color theme="1"/>
        <rFont val="Calibri"/>
        <family val="2"/>
        <scheme val="minor"/>
      </rPr>
      <t xml:space="preserve"> - School Administrative Support Staff
</t>
    </r>
    <r>
      <rPr>
        <b/>
        <sz val="11"/>
        <color theme="1"/>
        <rFont val="Calibri"/>
        <family val="2"/>
        <scheme val="minor"/>
      </rPr>
      <t>13334</t>
    </r>
    <r>
      <rPr>
        <sz val="11"/>
        <color theme="1"/>
        <rFont val="Calibri"/>
        <family val="2"/>
        <scheme val="minor"/>
      </rPr>
      <t xml:space="preserve"> - School Counselor
</t>
    </r>
    <r>
      <rPr>
        <b/>
        <sz val="11"/>
        <color theme="1"/>
        <rFont val="Calibri"/>
        <family val="2"/>
        <scheme val="minor"/>
      </rPr>
      <t>03057</t>
    </r>
    <r>
      <rPr>
        <sz val="11"/>
        <color theme="1"/>
        <rFont val="Calibri"/>
        <family val="2"/>
        <scheme val="minor"/>
      </rPr>
      <t xml:space="preserve"> - School district police officer assigned to the school
</t>
    </r>
    <r>
      <rPr>
        <b/>
        <sz val="11"/>
        <color theme="1"/>
        <rFont val="Calibri"/>
        <family val="2"/>
        <scheme val="minor"/>
      </rPr>
      <t>03058</t>
    </r>
    <r>
      <rPr>
        <sz val="11"/>
        <color theme="1"/>
        <rFont val="Calibri"/>
        <family val="2"/>
        <scheme val="minor"/>
      </rPr>
      <t xml:space="preserve"> - School district police officer not assigned to the school
</t>
    </r>
    <r>
      <rPr>
        <b/>
        <sz val="11"/>
        <color theme="1"/>
        <rFont val="Calibri"/>
        <family val="2"/>
        <scheme val="minor"/>
      </rPr>
      <t>04885</t>
    </r>
    <r>
      <rPr>
        <sz val="11"/>
        <color theme="1"/>
        <rFont val="Calibri"/>
        <family val="2"/>
        <scheme val="minor"/>
      </rPr>
      <t xml:space="preserve"> - Security guard
</t>
    </r>
    <r>
      <rPr>
        <b/>
        <sz val="11"/>
        <color theme="1"/>
        <rFont val="Calibri"/>
        <family val="2"/>
        <scheme val="minor"/>
      </rPr>
      <t>04788</t>
    </r>
    <r>
      <rPr>
        <sz val="11"/>
        <color theme="1"/>
        <rFont val="Calibri"/>
        <family val="2"/>
        <scheme val="minor"/>
      </rPr>
      <t xml:space="preserve"> - Social worker
</t>
    </r>
    <r>
      <rPr>
        <b/>
        <sz val="11"/>
        <color theme="1"/>
        <rFont val="Calibri"/>
        <family val="2"/>
        <scheme val="minor"/>
      </rPr>
      <t>03422</t>
    </r>
    <r>
      <rPr>
        <sz val="11"/>
        <color theme="1"/>
        <rFont val="Calibri"/>
        <family val="2"/>
        <scheme val="minor"/>
      </rPr>
      <t xml:space="preserve"> - Staff member
</t>
    </r>
    <r>
      <rPr>
        <b/>
        <sz val="11"/>
        <color theme="1"/>
        <rFont val="Calibri"/>
        <family val="2"/>
        <scheme val="minor"/>
      </rPr>
      <t>00126</t>
    </r>
    <r>
      <rPr>
        <sz val="11"/>
        <color theme="1"/>
        <rFont val="Calibri"/>
        <family val="2"/>
        <scheme val="minor"/>
      </rPr>
      <t xml:space="preserve"> - Student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03033</t>
    </r>
    <r>
      <rPr>
        <sz val="11"/>
        <color theme="1"/>
        <rFont val="Calibri"/>
        <family val="2"/>
        <scheme val="minor"/>
      </rPr>
      <t xml:space="preserve"> - Student enrolled in another school
</t>
    </r>
    <r>
      <rPr>
        <b/>
        <sz val="11"/>
        <color theme="1"/>
        <rFont val="Calibri"/>
        <family val="2"/>
        <scheme val="minor"/>
      </rPr>
      <t>03032</t>
    </r>
    <r>
      <rPr>
        <sz val="11"/>
        <color theme="1"/>
        <rFont val="Calibri"/>
        <family val="2"/>
        <scheme val="minor"/>
      </rPr>
      <t xml:space="preserve"> - Student enrolled in the school where the incident occurred
</t>
    </r>
    <r>
      <rPr>
        <b/>
        <sz val="11"/>
        <color theme="1"/>
        <rFont val="Calibri"/>
        <family val="2"/>
        <scheme val="minor"/>
      </rPr>
      <t>03034</t>
    </r>
    <r>
      <rPr>
        <sz val="11"/>
        <color theme="1"/>
        <rFont val="Calibri"/>
        <family val="2"/>
        <scheme val="minor"/>
      </rPr>
      <t xml:space="preserve"> - Student expelled or involuntarily withdrawn
</t>
    </r>
    <r>
      <rPr>
        <b/>
        <sz val="11"/>
        <color theme="1"/>
        <rFont val="Calibri"/>
        <family val="2"/>
        <scheme val="minor"/>
      </rPr>
      <t>13782</t>
    </r>
    <r>
      <rPr>
        <sz val="11"/>
        <color theme="1"/>
        <rFont val="Calibri"/>
        <family val="2"/>
        <scheme val="minor"/>
      </rPr>
      <t xml:space="preserve"> - Substitute teacher
</t>
    </r>
    <r>
      <rPr>
        <b/>
        <sz val="11"/>
        <color theme="1"/>
        <rFont val="Calibri"/>
        <family val="2"/>
        <scheme val="minor"/>
      </rPr>
      <t>04721</t>
    </r>
    <r>
      <rPr>
        <sz val="11"/>
        <color theme="1"/>
        <rFont val="Calibri"/>
        <family val="2"/>
        <scheme val="minor"/>
      </rPr>
      <t xml:space="preserve"> - Superintendent/commissioner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09997</t>
    </r>
    <r>
      <rPr>
        <sz val="11"/>
        <color theme="1"/>
        <rFont val="Calibri"/>
        <family val="2"/>
        <scheme val="minor"/>
      </rPr>
      <t xml:space="preserve"> - Unknown
</t>
    </r>
  </si>
  <si>
    <r>
      <t>Victim</t>
    </r>
    <r>
      <rPr>
        <sz val="11"/>
        <color theme="1"/>
        <rFont val="Calibri"/>
        <family val="2"/>
        <scheme val="minor"/>
      </rPr>
      <t xml:space="preserve"> - Victim
</t>
    </r>
    <r>
      <rPr>
        <b/>
        <sz val="11"/>
        <color theme="1"/>
        <rFont val="Calibri"/>
        <family val="2"/>
        <scheme val="minor"/>
      </rPr>
      <t>Perpetrator</t>
    </r>
    <r>
      <rPr>
        <sz val="11"/>
        <color theme="1"/>
        <rFont val="Calibri"/>
        <family val="2"/>
        <scheme val="minor"/>
      </rPr>
      <t xml:space="preserve"> - Perpetrator
</t>
    </r>
    <r>
      <rPr>
        <b/>
        <sz val="11"/>
        <color theme="1"/>
        <rFont val="Calibri"/>
        <family val="2"/>
        <scheme val="minor"/>
      </rPr>
      <t>Witness</t>
    </r>
    <r>
      <rPr>
        <sz val="11"/>
        <color theme="1"/>
        <rFont val="Calibri"/>
        <family val="2"/>
        <scheme val="minor"/>
      </rPr>
      <t xml:space="preserve"> - Witness
</t>
    </r>
    <r>
      <rPr>
        <b/>
        <sz val="11"/>
        <color theme="1"/>
        <rFont val="Calibri"/>
        <family val="2"/>
        <scheme val="minor"/>
      </rPr>
      <t>Reporter</t>
    </r>
    <r>
      <rPr>
        <sz val="11"/>
        <color theme="1"/>
        <rFont val="Calibri"/>
        <family val="2"/>
        <scheme val="minor"/>
      </rPr>
      <t xml:space="preserve"> - Reporter
</t>
    </r>
  </si>
  <si>
    <r>
      <t>Firearm</t>
    </r>
    <r>
      <rPr>
        <sz val="11"/>
        <color theme="1"/>
        <rFont val="Calibri"/>
        <family val="2"/>
        <scheme val="minor"/>
      </rPr>
      <t xml:space="preserve"> - Firearm
</t>
    </r>
    <r>
      <rPr>
        <b/>
        <sz val="11"/>
        <color theme="1"/>
        <rFont val="Calibri"/>
        <family val="2"/>
        <scheme val="minor"/>
      </rPr>
      <t>Handgun</t>
    </r>
    <r>
      <rPr>
        <sz val="11"/>
        <color theme="1"/>
        <rFont val="Calibri"/>
        <family val="2"/>
        <scheme val="minor"/>
      </rPr>
      <t xml:space="preserve"> - Handgun
</t>
    </r>
    <r>
      <rPr>
        <b/>
        <sz val="11"/>
        <color theme="1"/>
        <rFont val="Calibri"/>
        <family val="2"/>
        <scheme val="minor"/>
      </rPr>
      <t>Shotgun</t>
    </r>
    <r>
      <rPr>
        <sz val="11"/>
        <color theme="1"/>
        <rFont val="Calibri"/>
        <family val="2"/>
        <scheme val="minor"/>
      </rPr>
      <t xml:space="preserve"> - Shotgun
</t>
    </r>
    <r>
      <rPr>
        <b/>
        <sz val="11"/>
        <color theme="1"/>
        <rFont val="Calibri"/>
        <family val="2"/>
        <scheme val="minor"/>
      </rPr>
      <t>Rifle</t>
    </r>
    <r>
      <rPr>
        <sz val="11"/>
        <color theme="1"/>
        <rFont val="Calibri"/>
        <family val="2"/>
        <scheme val="minor"/>
      </rPr>
      <t xml:space="preserve"> - Rifle
</t>
    </r>
    <r>
      <rPr>
        <b/>
        <sz val="11"/>
        <color theme="1"/>
        <rFont val="Calibri"/>
        <family val="2"/>
        <scheme val="minor"/>
      </rPr>
      <t>OtherFirearm</t>
    </r>
    <r>
      <rPr>
        <sz val="11"/>
        <color theme="1"/>
        <rFont val="Calibri"/>
        <family val="2"/>
        <scheme val="minor"/>
      </rPr>
      <t xml:space="preserve"> - Other Firearm
</t>
    </r>
    <r>
      <rPr>
        <b/>
        <sz val="11"/>
        <color theme="1"/>
        <rFont val="Calibri"/>
        <family val="2"/>
        <scheme val="minor"/>
      </rPr>
      <t>Knife</t>
    </r>
    <r>
      <rPr>
        <sz val="11"/>
        <color theme="1"/>
        <rFont val="Calibri"/>
        <family val="2"/>
        <scheme val="minor"/>
      </rPr>
      <t xml:space="preserve"> - Knife
</t>
    </r>
    <r>
      <rPr>
        <b/>
        <sz val="11"/>
        <color theme="1"/>
        <rFont val="Calibri"/>
        <family val="2"/>
        <scheme val="minor"/>
      </rPr>
      <t>KnifeLessThanTwoPointFiveInches</t>
    </r>
    <r>
      <rPr>
        <sz val="11"/>
        <color theme="1"/>
        <rFont val="Calibri"/>
        <family val="2"/>
        <scheme val="minor"/>
      </rPr>
      <t xml:space="preserve"> - Knife Less Than 2.5 Inches
</t>
    </r>
    <r>
      <rPr>
        <b/>
        <sz val="11"/>
        <color theme="1"/>
        <rFont val="Calibri"/>
        <family val="2"/>
        <scheme val="minor"/>
      </rPr>
      <t>KnifeLessThanThreeInches</t>
    </r>
    <r>
      <rPr>
        <sz val="11"/>
        <color theme="1"/>
        <rFont val="Calibri"/>
        <family val="2"/>
        <scheme val="minor"/>
      </rPr>
      <t xml:space="preserve"> - Knife Less Than Three Inches
</t>
    </r>
    <r>
      <rPr>
        <b/>
        <sz val="11"/>
        <color theme="1"/>
        <rFont val="Calibri"/>
        <family val="2"/>
        <scheme val="minor"/>
      </rPr>
      <t>KnifeGreaterThanThreeInches</t>
    </r>
    <r>
      <rPr>
        <sz val="11"/>
        <color theme="1"/>
        <rFont val="Calibri"/>
        <family val="2"/>
        <scheme val="minor"/>
      </rPr>
      <t xml:space="preserve"> - Knife Greater Than Three Inches
</t>
    </r>
    <r>
      <rPr>
        <b/>
        <sz val="11"/>
        <color theme="1"/>
        <rFont val="Calibri"/>
        <family val="2"/>
        <scheme val="minor"/>
      </rPr>
      <t>OtherSharpObject</t>
    </r>
    <r>
      <rPr>
        <sz val="11"/>
        <color theme="1"/>
        <rFont val="Calibri"/>
        <family val="2"/>
        <scheme val="minor"/>
      </rPr>
      <t xml:space="preserve"> - Other sharp object
</t>
    </r>
    <r>
      <rPr>
        <b/>
        <sz val="11"/>
        <color theme="1"/>
        <rFont val="Calibri"/>
        <family val="2"/>
        <scheme val="minor"/>
      </rPr>
      <t>OtherObject</t>
    </r>
    <r>
      <rPr>
        <sz val="11"/>
        <color theme="1"/>
        <rFont val="Calibri"/>
        <family val="2"/>
        <scheme val="minor"/>
      </rPr>
      <t xml:space="preserve"> - Other object
</t>
    </r>
    <r>
      <rPr>
        <b/>
        <sz val="11"/>
        <color theme="1"/>
        <rFont val="Calibri"/>
        <family val="2"/>
        <scheme val="minor"/>
      </rPr>
      <t>Substance</t>
    </r>
    <r>
      <rPr>
        <sz val="11"/>
        <color theme="1"/>
        <rFont val="Calibri"/>
        <family val="2"/>
        <scheme val="minor"/>
      </rPr>
      <t xml:space="preserve"> - Substance used as weapon
</t>
    </r>
    <r>
      <rPr>
        <b/>
        <sz val="11"/>
        <color theme="1"/>
        <rFont val="Calibri"/>
        <family val="2"/>
        <scheme val="minor"/>
      </rPr>
      <t>OtherWeapon</t>
    </r>
    <r>
      <rPr>
        <sz val="11"/>
        <color theme="1"/>
        <rFont val="Calibri"/>
        <family val="2"/>
        <scheme val="minor"/>
      </rPr>
      <t xml:space="preserve"> - Other weapon
</t>
    </r>
    <r>
      <rPr>
        <b/>
        <sz val="11"/>
        <color theme="1"/>
        <rFont val="Calibri"/>
        <family val="2"/>
        <scheme val="minor"/>
      </rPr>
      <t>None</t>
    </r>
    <r>
      <rPr>
        <sz val="11"/>
        <color theme="1"/>
        <rFont val="Calibri"/>
        <family val="2"/>
        <scheme val="minor"/>
      </rPr>
      <t xml:space="preserve"> - None
</t>
    </r>
    <r>
      <rPr>
        <b/>
        <sz val="11"/>
        <color theme="1"/>
        <rFont val="Calibri"/>
        <family val="2"/>
        <scheme val="minor"/>
      </rPr>
      <t>Unknown</t>
    </r>
    <r>
      <rPr>
        <sz val="11"/>
        <color theme="1"/>
        <rFont val="Calibri"/>
        <family val="2"/>
        <scheme val="minor"/>
      </rPr>
      <t xml:space="preserve"> - Unknown weapon
</t>
    </r>
  </si>
  <si>
    <r>
      <t>Handguns</t>
    </r>
    <r>
      <rPr>
        <sz val="11"/>
        <color theme="1"/>
        <rFont val="Calibri"/>
        <family val="2"/>
        <scheme val="minor"/>
      </rPr>
      <t xml:space="preserve"> - Handguns
</t>
    </r>
    <r>
      <rPr>
        <b/>
        <sz val="11"/>
        <color theme="1"/>
        <rFont val="Calibri"/>
        <family val="2"/>
        <scheme val="minor"/>
      </rPr>
      <t>RiflesShotguns</t>
    </r>
    <r>
      <rPr>
        <sz val="11"/>
        <color theme="1"/>
        <rFont val="Calibri"/>
        <family val="2"/>
        <scheme val="minor"/>
      </rPr>
      <t xml:space="preserve"> - Rifles / Shotguns
</t>
    </r>
    <r>
      <rPr>
        <b/>
        <sz val="11"/>
        <color theme="1"/>
        <rFont val="Calibri"/>
        <family val="2"/>
        <scheme val="minor"/>
      </rPr>
      <t>Multiple</t>
    </r>
    <r>
      <rPr>
        <sz val="11"/>
        <color theme="1"/>
        <rFont val="Calibri"/>
        <family val="2"/>
        <scheme val="minor"/>
      </rPr>
      <t xml:space="preserve"> - More than one type of weapon or firearm
</t>
    </r>
    <r>
      <rPr>
        <b/>
        <sz val="11"/>
        <color theme="1"/>
        <rFont val="Calibri"/>
        <family val="2"/>
        <scheme val="minor"/>
      </rPr>
      <t>Other</t>
    </r>
    <r>
      <rPr>
        <sz val="11"/>
        <color theme="1"/>
        <rFont val="Calibri"/>
        <family val="2"/>
        <scheme val="minor"/>
      </rPr>
      <t xml:space="preserve"> - Other
</t>
    </r>
  </si>
  <si>
    <t>Calendar</t>
  </si>
  <si>
    <t>Crisis</t>
  </si>
  <si>
    <t>Event</t>
  </si>
  <si>
    <r>
      <t>EmergencyDay</t>
    </r>
    <r>
      <rPr>
        <sz val="11"/>
        <color theme="1"/>
        <rFont val="Calibri"/>
        <family val="2"/>
        <scheme val="minor"/>
      </rPr>
      <t xml:space="preserve"> - Emergency day
</t>
    </r>
    <r>
      <rPr>
        <b/>
        <sz val="11"/>
        <color theme="1"/>
        <rFont val="Calibri"/>
        <family val="2"/>
        <scheme val="minor"/>
      </rPr>
      <t>Holiday</t>
    </r>
    <r>
      <rPr>
        <sz val="11"/>
        <color theme="1"/>
        <rFont val="Calibri"/>
        <family val="2"/>
        <scheme val="minor"/>
      </rPr>
      <t xml:space="preserve"> - Holiday
</t>
    </r>
    <r>
      <rPr>
        <b/>
        <sz val="11"/>
        <color theme="1"/>
        <rFont val="Calibri"/>
        <family val="2"/>
        <scheme val="minor"/>
      </rPr>
      <t>InstructionalDay</t>
    </r>
    <r>
      <rPr>
        <sz val="11"/>
        <color theme="1"/>
        <rFont val="Calibri"/>
        <family val="2"/>
        <scheme val="minor"/>
      </rPr>
      <t xml:space="preserve"> - Instructional day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Strike</t>
    </r>
    <r>
      <rPr>
        <sz val="11"/>
        <color theme="1"/>
        <rFont val="Calibri"/>
        <family val="2"/>
        <scheme val="minor"/>
      </rPr>
      <t xml:space="preserve"> - Strike
</t>
    </r>
    <r>
      <rPr>
        <b/>
        <sz val="11"/>
        <color theme="1"/>
        <rFont val="Calibri"/>
        <family val="2"/>
        <scheme val="minor"/>
      </rPr>
      <t>LateArrivalEarlyDismissal</t>
    </r>
    <r>
      <rPr>
        <sz val="11"/>
        <color theme="1"/>
        <rFont val="Calibri"/>
        <family val="2"/>
        <scheme val="minor"/>
      </rPr>
      <t xml:space="preserve"> - Student late arrival/early dismissal
</t>
    </r>
    <r>
      <rPr>
        <b/>
        <sz val="11"/>
        <color theme="1"/>
        <rFont val="Calibri"/>
        <family val="2"/>
        <scheme val="minor"/>
      </rPr>
      <t>TeacherOnlyDay</t>
    </r>
    <r>
      <rPr>
        <sz val="11"/>
        <color theme="1"/>
        <rFont val="Calibri"/>
        <family val="2"/>
        <scheme val="minor"/>
      </rPr>
      <t xml:space="preserve"> - Teacher only day
</t>
    </r>
  </si>
  <si>
    <t>Postsecondary</t>
  </si>
  <si>
    <t>PS Institution</t>
  </si>
  <si>
    <r>
      <t>FourYear</t>
    </r>
    <r>
      <rPr>
        <sz val="11"/>
        <color theme="1"/>
        <rFont val="Calibri"/>
        <family val="2"/>
        <scheme val="minor"/>
      </rPr>
      <t xml:space="preserve"> - Four or more years
</t>
    </r>
    <r>
      <rPr>
        <b/>
        <sz val="11"/>
        <color theme="1"/>
        <rFont val="Calibri"/>
        <family val="2"/>
        <scheme val="minor"/>
      </rPr>
      <t>TwoToFour</t>
    </r>
    <r>
      <rPr>
        <sz val="11"/>
        <color theme="1"/>
        <rFont val="Calibri"/>
        <family val="2"/>
        <scheme val="minor"/>
      </rPr>
      <t xml:space="preserve"> - At least 2 but less than 4 years
</t>
    </r>
    <r>
      <rPr>
        <b/>
        <sz val="11"/>
        <color theme="1"/>
        <rFont val="Calibri"/>
        <family val="2"/>
        <scheme val="minor"/>
      </rPr>
      <t>LessThanTwo</t>
    </r>
    <r>
      <rPr>
        <sz val="11"/>
        <color theme="1"/>
        <rFont val="Calibri"/>
        <family val="2"/>
        <scheme val="minor"/>
      </rPr>
      <t xml:space="preserve"> - Less than 2 years (below associate)
</t>
    </r>
  </si>
  <si>
    <r>
      <t>Public</t>
    </r>
    <r>
      <rPr>
        <sz val="11"/>
        <color theme="1"/>
        <rFont val="Calibri"/>
        <family val="2"/>
        <scheme val="minor"/>
      </rPr>
      <t xml:space="preserve"> - Public
</t>
    </r>
    <r>
      <rPr>
        <b/>
        <sz val="11"/>
        <color theme="1"/>
        <rFont val="Calibri"/>
        <family val="2"/>
        <scheme val="minor"/>
      </rPr>
      <t>PrivateNFP</t>
    </r>
    <r>
      <rPr>
        <sz val="11"/>
        <color theme="1"/>
        <rFont val="Calibri"/>
        <family val="2"/>
        <scheme val="minor"/>
      </rPr>
      <t xml:space="preserve"> - Private, not for profit
</t>
    </r>
    <r>
      <rPr>
        <b/>
        <sz val="11"/>
        <color theme="1"/>
        <rFont val="Calibri"/>
        <family val="2"/>
        <scheme val="minor"/>
      </rPr>
      <t>PrivateFP</t>
    </r>
    <r>
      <rPr>
        <sz val="11"/>
        <color theme="1"/>
        <rFont val="Calibri"/>
        <family val="2"/>
        <scheme val="minor"/>
      </rPr>
      <t xml:space="preserve"> - Private, for profit
</t>
    </r>
  </si>
  <si>
    <r>
      <t>Assoc/Pub-R-S</t>
    </r>
    <r>
      <rPr>
        <sz val="11"/>
        <color theme="1"/>
        <rFont val="Calibri"/>
        <family val="2"/>
        <scheme val="minor"/>
      </rPr>
      <t xml:space="preserve"> - Associate's--Public Rural-serving Small
</t>
    </r>
    <r>
      <rPr>
        <b/>
        <sz val="11"/>
        <color theme="1"/>
        <rFont val="Calibri"/>
        <family val="2"/>
        <scheme val="minor"/>
      </rPr>
      <t>Assoc/Pub-R-M</t>
    </r>
    <r>
      <rPr>
        <sz val="11"/>
        <color theme="1"/>
        <rFont val="Calibri"/>
        <family val="2"/>
        <scheme val="minor"/>
      </rPr>
      <t xml:space="preserve"> - Associate's--Public Rural-serving Medium
</t>
    </r>
    <r>
      <rPr>
        <b/>
        <sz val="11"/>
        <color theme="1"/>
        <rFont val="Calibri"/>
        <family val="2"/>
        <scheme val="minor"/>
      </rPr>
      <t>Assoc/Pub-R-L</t>
    </r>
    <r>
      <rPr>
        <sz val="11"/>
        <color theme="1"/>
        <rFont val="Calibri"/>
        <family val="2"/>
        <scheme val="minor"/>
      </rPr>
      <t xml:space="preserve"> - Associate's--Public Rural-serving Large
</t>
    </r>
    <r>
      <rPr>
        <b/>
        <sz val="11"/>
        <color theme="1"/>
        <rFont val="Calibri"/>
        <family val="2"/>
        <scheme val="minor"/>
      </rPr>
      <t>Assoc/Pub-S-SC</t>
    </r>
    <r>
      <rPr>
        <sz val="11"/>
        <color theme="1"/>
        <rFont val="Calibri"/>
        <family val="2"/>
        <scheme val="minor"/>
      </rPr>
      <t xml:space="preserve"> - Associate's--Public Suburban-serving Single Campus
</t>
    </r>
    <r>
      <rPr>
        <b/>
        <sz val="11"/>
        <color theme="1"/>
        <rFont val="Calibri"/>
        <family val="2"/>
        <scheme val="minor"/>
      </rPr>
      <t>Assoc/Pub-S-MC</t>
    </r>
    <r>
      <rPr>
        <sz val="11"/>
        <color theme="1"/>
        <rFont val="Calibri"/>
        <family val="2"/>
        <scheme val="minor"/>
      </rPr>
      <t xml:space="preserve"> - Associate's--Public Suburban-serving Multicampus
</t>
    </r>
    <r>
      <rPr>
        <b/>
        <sz val="11"/>
        <color theme="1"/>
        <rFont val="Calibri"/>
        <family val="2"/>
        <scheme val="minor"/>
      </rPr>
      <t>Assoc/Pub-U-SC</t>
    </r>
    <r>
      <rPr>
        <sz val="11"/>
        <color theme="1"/>
        <rFont val="Calibri"/>
        <family val="2"/>
        <scheme val="minor"/>
      </rPr>
      <t xml:space="preserve"> - Associate's--Public Urban-serving Single Campus
</t>
    </r>
    <r>
      <rPr>
        <b/>
        <sz val="11"/>
        <color theme="1"/>
        <rFont val="Calibri"/>
        <family val="2"/>
        <scheme val="minor"/>
      </rPr>
      <t>Assoc/Pub-U-MC</t>
    </r>
    <r>
      <rPr>
        <sz val="11"/>
        <color theme="1"/>
        <rFont val="Calibri"/>
        <family val="2"/>
        <scheme val="minor"/>
      </rPr>
      <t xml:space="preserve"> - Associate's--Public Urban-serving Multicampus
</t>
    </r>
    <r>
      <rPr>
        <b/>
        <sz val="11"/>
        <color theme="1"/>
        <rFont val="Calibri"/>
        <family val="2"/>
        <scheme val="minor"/>
      </rPr>
      <t>Assoc/Pub-Spec</t>
    </r>
    <r>
      <rPr>
        <sz val="11"/>
        <color theme="1"/>
        <rFont val="Calibri"/>
        <family val="2"/>
        <scheme val="minor"/>
      </rPr>
      <t xml:space="preserve"> - Associate's--Public Special Use
</t>
    </r>
    <r>
      <rPr>
        <b/>
        <sz val="11"/>
        <color theme="1"/>
        <rFont val="Calibri"/>
        <family val="2"/>
        <scheme val="minor"/>
      </rPr>
      <t>Assoc/PrivNFP</t>
    </r>
    <r>
      <rPr>
        <sz val="11"/>
        <color theme="1"/>
        <rFont val="Calibri"/>
        <family val="2"/>
        <scheme val="minor"/>
      </rPr>
      <t xml:space="preserve"> - Associate's--Private Not-for-profit
</t>
    </r>
    <r>
      <rPr>
        <b/>
        <sz val="11"/>
        <color theme="1"/>
        <rFont val="Calibri"/>
        <family val="2"/>
        <scheme val="minor"/>
      </rPr>
      <t>Assoc/PrivFP</t>
    </r>
    <r>
      <rPr>
        <sz val="11"/>
        <color theme="1"/>
        <rFont val="Calibri"/>
        <family val="2"/>
        <scheme val="minor"/>
      </rPr>
      <t xml:space="preserve"> - Associate's--Private For-profit
</t>
    </r>
    <r>
      <rPr>
        <b/>
        <sz val="11"/>
        <color theme="1"/>
        <rFont val="Calibri"/>
        <family val="2"/>
        <scheme val="minor"/>
      </rPr>
      <t>Assoc/Pub2in4</t>
    </r>
    <r>
      <rPr>
        <sz val="11"/>
        <color theme="1"/>
        <rFont val="Calibri"/>
        <family val="2"/>
        <scheme val="minor"/>
      </rPr>
      <t xml:space="preserve"> - Associate's--Public 2-year Colleges under 4-year Universities
</t>
    </r>
    <r>
      <rPr>
        <b/>
        <sz val="11"/>
        <color theme="1"/>
        <rFont val="Calibri"/>
        <family val="2"/>
        <scheme val="minor"/>
      </rPr>
      <t>Assoc/Pub4</t>
    </r>
    <r>
      <rPr>
        <sz val="11"/>
        <color theme="1"/>
        <rFont val="Calibri"/>
        <family val="2"/>
        <scheme val="minor"/>
      </rPr>
      <t xml:space="preserve"> - Associate's--Public 4-year Primarily Associate's
</t>
    </r>
    <r>
      <rPr>
        <b/>
        <sz val="11"/>
        <color theme="1"/>
        <rFont val="Calibri"/>
        <family val="2"/>
        <scheme val="minor"/>
      </rPr>
      <t>Assoc/PrivNFP4</t>
    </r>
    <r>
      <rPr>
        <sz val="11"/>
        <color theme="1"/>
        <rFont val="Calibri"/>
        <family val="2"/>
        <scheme val="minor"/>
      </rPr>
      <t xml:space="preserve"> - Associate's--Private Not-for-profit 4-year Primarily Associate's
</t>
    </r>
    <r>
      <rPr>
        <b/>
        <sz val="11"/>
        <color theme="1"/>
        <rFont val="Calibri"/>
        <family val="2"/>
        <scheme val="minor"/>
      </rPr>
      <t>Assoc/PrivFP4</t>
    </r>
    <r>
      <rPr>
        <sz val="11"/>
        <color theme="1"/>
        <rFont val="Calibri"/>
        <family val="2"/>
        <scheme val="minor"/>
      </rPr>
      <t xml:space="preserve"> - Associate's--Private For-profit 4-year Primarily Associate's
</t>
    </r>
    <r>
      <rPr>
        <b/>
        <sz val="11"/>
        <color theme="1"/>
        <rFont val="Calibri"/>
        <family val="2"/>
        <scheme val="minor"/>
      </rPr>
      <t>RU/VH</t>
    </r>
    <r>
      <rPr>
        <sz val="11"/>
        <color theme="1"/>
        <rFont val="Calibri"/>
        <family val="2"/>
        <scheme val="minor"/>
      </rPr>
      <t xml:space="preserve"> - Research Universities (very high research activity)
</t>
    </r>
    <r>
      <rPr>
        <b/>
        <sz val="11"/>
        <color theme="1"/>
        <rFont val="Calibri"/>
        <family val="2"/>
        <scheme val="minor"/>
      </rPr>
      <t>RU/H</t>
    </r>
    <r>
      <rPr>
        <sz val="11"/>
        <color theme="1"/>
        <rFont val="Calibri"/>
        <family val="2"/>
        <scheme val="minor"/>
      </rPr>
      <t xml:space="preserve"> - Research Universities (high research activity)
</t>
    </r>
    <r>
      <rPr>
        <b/>
        <sz val="11"/>
        <color theme="1"/>
        <rFont val="Calibri"/>
        <family val="2"/>
        <scheme val="minor"/>
      </rPr>
      <t>DRU</t>
    </r>
    <r>
      <rPr>
        <sz val="11"/>
        <color theme="1"/>
        <rFont val="Calibri"/>
        <family val="2"/>
        <scheme val="minor"/>
      </rPr>
      <t xml:space="preserve"> - Doctoral/Research Universities
</t>
    </r>
    <r>
      <rPr>
        <b/>
        <sz val="11"/>
        <color theme="1"/>
        <rFont val="Calibri"/>
        <family val="2"/>
        <scheme val="minor"/>
      </rPr>
      <t>Masters/L</t>
    </r>
    <r>
      <rPr>
        <sz val="11"/>
        <color theme="1"/>
        <rFont val="Calibri"/>
        <family val="2"/>
        <scheme val="minor"/>
      </rPr>
      <t xml:space="preserve"> - Master's Colleges and Universities (larger programs)
</t>
    </r>
    <r>
      <rPr>
        <b/>
        <sz val="11"/>
        <color theme="1"/>
        <rFont val="Calibri"/>
        <family val="2"/>
        <scheme val="minor"/>
      </rPr>
      <t>Masters/M</t>
    </r>
    <r>
      <rPr>
        <sz val="11"/>
        <color theme="1"/>
        <rFont val="Calibri"/>
        <family val="2"/>
        <scheme val="minor"/>
      </rPr>
      <t xml:space="preserve"> - Master's Colleges and Universities (medium programs)
</t>
    </r>
    <r>
      <rPr>
        <b/>
        <sz val="11"/>
        <color theme="1"/>
        <rFont val="Calibri"/>
        <family val="2"/>
        <scheme val="minor"/>
      </rPr>
      <t>Masters/S</t>
    </r>
    <r>
      <rPr>
        <sz val="11"/>
        <color theme="1"/>
        <rFont val="Calibri"/>
        <family val="2"/>
        <scheme val="minor"/>
      </rPr>
      <t xml:space="preserve"> - Master's Colleges and Universities (smaller programs)
</t>
    </r>
    <r>
      <rPr>
        <b/>
        <sz val="11"/>
        <color theme="1"/>
        <rFont val="Calibri"/>
        <family val="2"/>
        <scheme val="minor"/>
      </rPr>
      <t>Bac/A&amp;S</t>
    </r>
    <r>
      <rPr>
        <sz val="11"/>
        <color theme="1"/>
        <rFont val="Calibri"/>
        <family val="2"/>
        <scheme val="minor"/>
      </rPr>
      <t xml:space="preserve"> - Baccalaureate Colleges--Arts &amp; Sciences
</t>
    </r>
    <r>
      <rPr>
        <b/>
        <sz val="11"/>
        <color theme="1"/>
        <rFont val="Calibri"/>
        <family val="2"/>
        <scheme val="minor"/>
      </rPr>
      <t>Bac/Diverse</t>
    </r>
    <r>
      <rPr>
        <sz val="11"/>
        <color theme="1"/>
        <rFont val="Calibri"/>
        <family val="2"/>
        <scheme val="minor"/>
      </rPr>
      <t xml:space="preserve"> - Baccalaureate Colleges--Diverse Fields
</t>
    </r>
    <r>
      <rPr>
        <b/>
        <sz val="11"/>
        <color theme="1"/>
        <rFont val="Calibri"/>
        <family val="2"/>
        <scheme val="minor"/>
      </rPr>
      <t>Bac/Assoc</t>
    </r>
    <r>
      <rPr>
        <sz val="11"/>
        <color theme="1"/>
        <rFont val="Calibri"/>
        <family val="2"/>
        <scheme val="minor"/>
      </rPr>
      <t xml:space="preserve"> - Baccalaureate/Associate's Colleges
</t>
    </r>
    <r>
      <rPr>
        <b/>
        <sz val="11"/>
        <color theme="1"/>
        <rFont val="Calibri"/>
        <family val="2"/>
        <scheme val="minor"/>
      </rPr>
      <t>Spec/Faith</t>
    </r>
    <r>
      <rPr>
        <sz val="11"/>
        <color theme="1"/>
        <rFont val="Calibri"/>
        <family val="2"/>
        <scheme val="minor"/>
      </rPr>
      <t xml:space="preserve"> - Special Focus Institutions--Theological seminaries, Bible colleges, other faith-related institutions
</t>
    </r>
    <r>
      <rPr>
        <b/>
        <sz val="11"/>
        <color theme="1"/>
        <rFont val="Calibri"/>
        <family val="2"/>
        <scheme val="minor"/>
      </rPr>
      <t>Spec/Med</t>
    </r>
    <r>
      <rPr>
        <sz val="11"/>
        <color theme="1"/>
        <rFont val="Calibri"/>
        <family val="2"/>
        <scheme val="minor"/>
      </rPr>
      <t xml:space="preserve"> - Special Focus Institutions--Medical schools and medical centers
</t>
    </r>
    <r>
      <rPr>
        <b/>
        <sz val="11"/>
        <color theme="1"/>
        <rFont val="Calibri"/>
        <family val="2"/>
        <scheme val="minor"/>
      </rPr>
      <t>Spec/Health</t>
    </r>
    <r>
      <rPr>
        <sz val="11"/>
        <color theme="1"/>
        <rFont val="Calibri"/>
        <family val="2"/>
        <scheme val="minor"/>
      </rPr>
      <t xml:space="preserve"> - Special Focus Institutions--Other health professions schools
</t>
    </r>
    <r>
      <rPr>
        <b/>
        <sz val="11"/>
        <color theme="1"/>
        <rFont val="Calibri"/>
        <family val="2"/>
        <scheme val="minor"/>
      </rPr>
      <t>Spec/Engg</t>
    </r>
    <r>
      <rPr>
        <sz val="11"/>
        <color theme="1"/>
        <rFont val="Calibri"/>
        <family val="2"/>
        <scheme val="minor"/>
      </rPr>
      <t xml:space="preserve"> - Special Focus Institutions--Schools of engineering
</t>
    </r>
    <r>
      <rPr>
        <b/>
        <sz val="11"/>
        <color theme="1"/>
        <rFont val="Calibri"/>
        <family val="2"/>
        <scheme val="minor"/>
      </rPr>
      <t>Spec/Tech</t>
    </r>
    <r>
      <rPr>
        <sz val="11"/>
        <color theme="1"/>
        <rFont val="Calibri"/>
        <family val="2"/>
        <scheme val="minor"/>
      </rPr>
      <t xml:space="preserve"> - Special Focus Institutions--Other technology-related schools
</t>
    </r>
    <r>
      <rPr>
        <b/>
        <sz val="11"/>
        <color theme="1"/>
        <rFont val="Calibri"/>
        <family val="2"/>
        <scheme val="minor"/>
      </rPr>
      <t>Spec/Bus</t>
    </r>
    <r>
      <rPr>
        <sz val="11"/>
        <color theme="1"/>
        <rFont val="Calibri"/>
        <family val="2"/>
        <scheme val="minor"/>
      </rPr>
      <t xml:space="preserve"> - Special Focus Institutions--Schools of business and management
</t>
    </r>
    <r>
      <rPr>
        <b/>
        <sz val="11"/>
        <color theme="1"/>
        <rFont val="Calibri"/>
        <family val="2"/>
        <scheme val="minor"/>
      </rPr>
      <t>Spec/Arts</t>
    </r>
    <r>
      <rPr>
        <sz val="11"/>
        <color theme="1"/>
        <rFont val="Calibri"/>
        <family val="2"/>
        <scheme val="minor"/>
      </rPr>
      <t xml:space="preserve"> - Special Focus Institutions--Schools of art, music, and design
</t>
    </r>
    <r>
      <rPr>
        <b/>
        <sz val="11"/>
        <color theme="1"/>
        <rFont val="Calibri"/>
        <family val="2"/>
        <scheme val="minor"/>
      </rPr>
      <t>Spec/Law</t>
    </r>
    <r>
      <rPr>
        <sz val="11"/>
        <color theme="1"/>
        <rFont val="Calibri"/>
        <family val="2"/>
        <scheme val="minor"/>
      </rPr>
      <t xml:space="preserve"> - Special Focus Institutions--Schools of law
</t>
    </r>
    <r>
      <rPr>
        <b/>
        <sz val="11"/>
        <color theme="1"/>
        <rFont val="Calibri"/>
        <family val="2"/>
        <scheme val="minor"/>
      </rPr>
      <t>Spec/Other</t>
    </r>
    <r>
      <rPr>
        <sz val="11"/>
        <color theme="1"/>
        <rFont val="Calibri"/>
        <family val="2"/>
        <scheme val="minor"/>
      </rPr>
      <t xml:space="preserve"> - Special Focus Institutions-Other special-focus institutions
</t>
    </r>
    <r>
      <rPr>
        <b/>
        <sz val="11"/>
        <color theme="1"/>
        <rFont val="Calibri"/>
        <family val="2"/>
        <scheme val="minor"/>
      </rPr>
      <t>Tribal</t>
    </r>
    <r>
      <rPr>
        <sz val="11"/>
        <color theme="1"/>
        <rFont val="Calibri"/>
        <family val="2"/>
        <scheme val="minor"/>
      </rPr>
      <t xml:space="preserve"> - Tribal Colleges
</t>
    </r>
  </si>
  <si>
    <r>
      <t>Semester</t>
    </r>
    <r>
      <rPr>
        <sz val="11"/>
        <color theme="1"/>
        <rFont val="Calibri"/>
        <family val="2"/>
        <scheme val="minor"/>
      </rPr>
      <t xml:space="preserve"> - Semester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Trimester</t>
    </r>
    <r>
      <rPr>
        <sz val="11"/>
        <color theme="1"/>
        <rFont val="Calibri"/>
        <family val="2"/>
        <scheme val="minor"/>
      </rPr>
      <t xml:space="preserve"> - Trimester
</t>
    </r>
    <r>
      <rPr>
        <b/>
        <sz val="11"/>
        <color theme="1"/>
        <rFont val="Calibri"/>
        <family val="2"/>
        <scheme val="minor"/>
      </rPr>
      <t>4-1-4</t>
    </r>
    <r>
      <rPr>
        <sz val="11"/>
        <color theme="1"/>
        <rFont val="Calibri"/>
        <family val="2"/>
        <scheme val="minor"/>
      </rPr>
      <t xml:space="preserve"> - 4-1-4 or similar plan
</t>
    </r>
    <r>
      <rPr>
        <b/>
        <sz val="11"/>
        <color theme="1"/>
        <rFont val="Calibri"/>
        <family val="2"/>
        <scheme val="minor"/>
      </rPr>
      <t>Other</t>
    </r>
    <r>
      <rPr>
        <sz val="11"/>
        <color theme="1"/>
        <rFont val="Calibri"/>
        <family val="2"/>
        <scheme val="minor"/>
      </rPr>
      <t xml:space="preserve"> - Other academic plan
</t>
    </r>
    <r>
      <rPr>
        <b/>
        <sz val="11"/>
        <color theme="1"/>
        <rFont val="Calibri"/>
        <family val="2"/>
        <scheme val="minor"/>
      </rPr>
      <t>DiffersByProgram</t>
    </r>
    <r>
      <rPr>
        <sz val="11"/>
        <color theme="1"/>
        <rFont val="Calibri"/>
        <family val="2"/>
        <scheme val="minor"/>
      </rPr>
      <t xml:space="preserve"> - Differs by program
</t>
    </r>
    <r>
      <rPr>
        <b/>
        <sz val="11"/>
        <color theme="1"/>
        <rFont val="Calibri"/>
        <family val="2"/>
        <scheme val="minor"/>
      </rPr>
      <t>ContinuousBasis</t>
    </r>
    <r>
      <rPr>
        <sz val="11"/>
        <color theme="1"/>
        <rFont val="Calibri"/>
        <family val="2"/>
        <scheme val="minor"/>
      </rPr>
      <t xml:space="preserve"> - Continuous basis
</t>
    </r>
  </si>
  <si>
    <r>
      <t>Longterminvestments</t>
    </r>
    <r>
      <rPr>
        <sz val="11"/>
        <color theme="1"/>
        <rFont val="Calibri"/>
        <family val="2"/>
        <scheme val="minor"/>
      </rPr>
      <t xml:space="preserve"> - Long-term investments
</t>
    </r>
    <r>
      <rPr>
        <b/>
        <sz val="11"/>
        <color theme="1"/>
        <rFont val="Calibri"/>
        <family val="2"/>
        <scheme val="minor"/>
      </rPr>
      <t>PropertyPlantEquipmentnetofaccumulateddepreciation</t>
    </r>
    <r>
      <rPr>
        <sz val="11"/>
        <color theme="1"/>
        <rFont val="Calibri"/>
        <family val="2"/>
        <scheme val="minor"/>
      </rPr>
      <t xml:space="preserve"> - Property, Plant, and Equipment, net of accumulated depreciation
</t>
    </r>
    <r>
      <rPr>
        <b/>
        <sz val="11"/>
        <color theme="1"/>
        <rFont val="Calibri"/>
        <family val="2"/>
        <scheme val="minor"/>
      </rPr>
      <t>IntangibleAssetsnetofaccumulatedamortization</t>
    </r>
    <r>
      <rPr>
        <sz val="11"/>
        <color theme="1"/>
        <rFont val="Calibri"/>
        <family val="2"/>
        <scheme val="minor"/>
      </rPr>
      <t xml:space="preserve"> - Intangible Assets, net of accumulated amortization
</t>
    </r>
    <r>
      <rPr>
        <b/>
        <sz val="11"/>
        <color theme="1"/>
        <rFont val="Calibri"/>
        <family val="2"/>
        <scheme val="minor"/>
      </rPr>
      <t>AssetsCashcashequivalentstemporaryinvestments</t>
    </r>
    <r>
      <rPr>
        <sz val="11"/>
        <color theme="1"/>
        <rFont val="Calibri"/>
        <family val="2"/>
        <scheme val="minor"/>
      </rPr>
      <t xml:space="preserve"> - Assets: Cash, cash equivalents, and temporary investments
</t>
    </r>
    <r>
      <rPr>
        <b/>
        <sz val="11"/>
        <color theme="1"/>
        <rFont val="Calibri"/>
        <family val="2"/>
        <scheme val="minor"/>
      </rPr>
      <t>AssetsReceivablesnetofallowancefor</t>
    </r>
    <r>
      <rPr>
        <sz val="11"/>
        <color theme="1"/>
        <rFont val="Calibri"/>
        <family val="2"/>
        <scheme val="minor"/>
      </rPr>
      <t xml:space="preserve"> - Assets: Receivables (net of allowance for uncollectible amounts)
</t>
    </r>
    <r>
      <rPr>
        <b/>
        <sz val="11"/>
        <color theme="1"/>
        <rFont val="Calibri"/>
        <family val="2"/>
        <scheme val="minor"/>
      </rPr>
      <t>AssetsInventoriesprepaidexpensesdeferredcharges</t>
    </r>
    <r>
      <rPr>
        <sz val="11"/>
        <color theme="1"/>
        <rFont val="Calibri"/>
        <family val="2"/>
        <scheme val="minor"/>
      </rPr>
      <t xml:space="preserve"> - Assets: Inventories, prepaid expenses, and deferred charges
</t>
    </r>
    <r>
      <rPr>
        <b/>
        <sz val="11"/>
        <color theme="1"/>
        <rFont val="Calibri"/>
        <family val="2"/>
        <scheme val="minor"/>
      </rPr>
      <t>AssetsAmountsheldbytrusteesfor</t>
    </r>
    <r>
      <rPr>
        <sz val="11"/>
        <color theme="1"/>
        <rFont val="Calibri"/>
        <family val="2"/>
        <scheme val="minor"/>
      </rPr>
      <t xml:space="preserve"> - Assets: Amounts held by trustees for construction and debt service
</t>
    </r>
    <r>
      <rPr>
        <b/>
        <sz val="11"/>
        <color theme="1"/>
        <rFont val="Calibri"/>
        <family val="2"/>
        <scheme val="minor"/>
      </rPr>
      <t>AssetsOtherassets</t>
    </r>
    <r>
      <rPr>
        <sz val="11"/>
        <color theme="1"/>
        <rFont val="Calibri"/>
        <family val="2"/>
        <scheme val="minor"/>
      </rPr>
      <t xml:space="preserve"> - Assets: Other assets
</t>
    </r>
    <r>
      <rPr>
        <b/>
        <sz val="11"/>
        <color theme="1"/>
        <rFont val="Calibri"/>
        <family val="2"/>
        <scheme val="minor"/>
      </rPr>
      <t>LiabilitiesAccountspayable</t>
    </r>
    <r>
      <rPr>
        <sz val="11"/>
        <color theme="1"/>
        <rFont val="Calibri"/>
        <family val="2"/>
        <scheme val="minor"/>
      </rPr>
      <t xml:space="preserve"> - Liabilities: Accounts payable
</t>
    </r>
    <r>
      <rPr>
        <b/>
        <sz val="11"/>
        <color theme="1"/>
        <rFont val="Calibri"/>
        <family val="2"/>
        <scheme val="minor"/>
      </rPr>
      <t>LiabilitiesDeferredrevenuesrefundableadvances</t>
    </r>
    <r>
      <rPr>
        <sz val="11"/>
        <color theme="1"/>
        <rFont val="Calibri"/>
        <family val="2"/>
        <scheme val="minor"/>
      </rPr>
      <t xml:space="preserve"> - Liabilities: Deferred revenues and refundable advances
</t>
    </r>
    <r>
      <rPr>
        <b/>
        <sz val="11"/>
        <color theme="1"/>
        <rFont val="Calibri"/>
        <family val="2"/>
        <scheme val="minor"/>
      </rPr>
      <t>LiabilitiesPostretirementpostemploymentobligations</t>
    </r>
    <r>
      <rPr>
        <sz val="11"/>
        <color theme="1"/>
        <rFont val="Calibri"/>
        <family val="2"/>
        <scheme val="minor"/>
      </rPr>
      <t xml:space="preserve"> - Liabilities: Post-retirement and post-employment obligations
</t>
    </r>
    <r>
      <rPr>
        <b/>
        <sz val="11"/>
        <color theme="1"/>
        <rFont val="Calibri"/>
        <family val="2"/>
        <scheme val="minor"/>
      </rPr>
      <t>LiabilitiesOtheraccruedliabilities</t>
    </r>
    <r>
      <rPr>
        <sz val="11"/>
        <color theme="1"/>
        <rFont val="Calibri"/>
        <family val="2"/>
        <scheme val="minor"/>
      </rPr>
      <t xml:space="preserve"> - Liabilities: Other accrued liabilities
</t>
    </r>
    <r>
      <rPr>
        <b/>
        <sz val="11"/>
        <color theme="1"/>
        <rFont val="Calibri"/>
        <family val="2"/>
        <scheme val="minor"/>
      </rPr>
      <t>LiabilitiesAnnuitylifeincomeobligationsother</t>
    </r>
    <r>
      <rPr>
        <sz val="11"/>
        <color theme="1"/>
        <rFont val="Calibri"/>
        <family val="2"/>
        <scheme val="minor"/>
      </rPr>
      <t xml:space="preserve"> - Liabilities: Annuity and life income obligations and other amounts held for the benefit of others
</t>
    </r>
    <r>
      <rPr>
        <b/>
        <sz val="11"/>
        <color theme="1"/>
        <rFont val="Calibri"/>
        <family val="2"/>
        <scheme val="minor"/>
      </rPr>
      <t>LiabilitiesBondsnotescapitalleases</t>
    </r>
    <r>
      <rPr>
        <sz val="11"/>
        <color theme="1"/>
        <rFont val="Calibri"/>
        <family val="2"/>
        <scheme val="minor"/>
      </rPr>
      <t xml:space="preserve"> - Liabilities: Bonds, notes, and capital leases payable and other long-term debt, including current portion
</t>
    </r>
    <r>
      <rPr>
        <b/>
        <sz val="11"/>
        <color theme="1"/>
        <rFont val="Calibri"/>
        <family val="2"/>
        <scheme val="minor"/>
      </rPr>
      <t>LiabilitiesGovernmentgrantsrefundableunder</t>
    </r>
    <r>
      <rPr>
        <sz val="11"/>
        <color theme="1"/>
        <rFont val="Calibri"/>
        <family val="2"/>
        <scheme val="minor"/>
      </rPr>
      <t xml:space="preserve"> - Liabilities: Government grants refundable under student loan programs
</t>
    </r>
    <r>
      <rPr>
        <b/>
        <sz val="11"/>
        <color theme="1"/>
        <rFont val="Calibri"/>
        <family val="2"/>
        <scheme val="minor"/>
      </rPr>
      <t>LiabilitiesOtherliabilities</t>
    </r>
    <r>
      <rPr>
        <sz val="11"/>
        <color theme="1"/>
        <rFont val="Calibri"/>
        <family val="2"/>
        <scheme val="minor"/>
      </rPr>
      <t xml:space="preserve"> - Liabilities: Other liabilities
</t>
    </r>
    <r>
      <rPr>
        <b/>
        <sz val="11"/>
        <color theme="1"/>
        <rFont val="Calibri"/>
        <family val="2"/>
        <scheme val="minor"/>
      </rPr>
      <t>DebtrelatedtoPropertyPlantEquipment</t>
    </r>
    <r>
      <rPr>
        <sz val="11"/>
        <color theme="1"/>
        <rFont val="Calibri"/>
        <family val="2"/>
        <scheme val="minor"/>
      </rPr>
      <t xml:space="preserve"> - Debt related to Property, Plant, and Equipment
</t>
    </r>
    <r>
      <rPr>
        <b/>
        <sz val="11"/>
        <color theme="1"/>
        <rFont val="Calibri"/>
        <family val="2"/>
        <scheme val="minor"/>
      </rPr>
      <t>Totalunrestrictednetassets</t>
    </r>
    <r>
      <rPr>
        <sz val="11"/>
        <color theme="1"/>
        <rFont val="Calibri"/>
        <family val="2"/>
        <scheme val="minor"/>
      </rPr>
      <t xml:space="preserve"> - Total unrestricted net assets
</t>
    </r>
    <r>
      <rPr>
        <b/>
        <sz val="11"/>
        <color theme="1"/>
        <rFont val="Calibri"/>
        <family val="2"/>
        <scheme val="minor"/>
      </rPr>
      <t>Permanentlyrestrictednetassets</t>
    </r>
    <r>
      <rPr>
        <sz val="11"/>
        <color theme="1"/>
        <rFont val="Calibri"/>
        <family val="2"/>
        <scheme val="minor"/>
      </rPr>
      <t xml:space="preserve"> - Permanently restricted net assets
</t>
    </r>
    <r>
      <rPr>
        <b/>
        <sz val="11"/>
        <color theme="1"/>
        <rFont val="Calibri"/>
        <family val="2"/>
        <scheme val="minor"/>
      </rPr>
      <t>Temporarilyrestrictednetassets</t>
    </r>
    <r>
      <rPr>
        <sz val="11"/>
        <color theme="1"/>
        <rFont val="Calibri"/>
        <family val="2"/>
        <scheme val="minor"/>
      </rPr>
      <t xml:space="preserve"> - Temporarily restricted net assets
</t>
    </r>
    <r>
      <rPr>
        <b/>
        <sz val="11"/>
        <color theme="1"/>
        <rFont val="Calibri"/>
        <family val="2"/>
        <scheme val="minor"/>
      </rPr>
      <t>GrossPropertyPlantEquipmentLandlandimprovements</t>
    </r>
    <r>
      <rPr>
        <sz val="11"/>
        <color theme="1"/>
        <rFont val="Calibri"/>
        <family val="2"/>
        <scheme val="minor"/>
      </rPr>
      <t xml:space="preserve"> - Gross Property Plant Equipment: Land and land improvements
</t>
    </r>
    <r>
      <rPr>
        <b/>
        <sz val="11"/>
        <color theme="1"/>
        <rFont val="Calibri"/>
        <family val="2"/>
        <scheme val="minor"/>
      </rPr>
      <t>GrossPropertyPlantEquipmentBuildings</t>
    </r>
    <r>
      <rPr>
        <sz val="11"/>
        <color theme="1"/>
        <rFont val="Calibri"/>
        <family val="2"/>
        <scheme val="minor"/>
      </rPr>
      <t xml:space="preserve"> - Gross Property Plant Equipment: Buildings
</t>
    </r>
    <r>
      <rPr>
        <b/>
        <sz val="11"/>
        <color theme="1"/>
        <rFont val="Calibri"/>
        <family val="2"/>
        <scheme val="minor"/>
      </rPr>
      <t>GrossPropertyPlantEquipmentEquipment</t>
    </r>
    <r>
      <rPr>
        <sz val="11"/>
        <color theme="1"/>
        <rFont val="Calibri"/>
        <family val="2"/>
        <scheme val="minor"/>
      </rPr>
      <t xml:space="preserve"> - Gross Property Plant Equipment: Equipment, including art and library collections
</t>
    </r>
    <r>
      <rPr>
        <b/>
        <sz val="11"/>
        <color theme="1"/>
        <rFont val="Calibri"/>
        <family val="2"/>
        <scheme val="minor"/>
      </rPr>
      <t>GrossPropertyPlantEquipmentConstructioninProgress</t>
    </r>
    <r>
      <rPr>
        <sz val="11"/>
        <color theme="1"/>
        <rFont val="Calibri"/>
        <family val="2"/>
        <scheme val="minor"/>
      </rPr>
      <t xml:space="preserve"> - Gross Property Plant Equipment: Construction in Progress
</t>
    </r>
    <r>
      <rPr>
        <b/>
        <sz val="11"/>
        <color theme="1"/>
        <rFont val="Calibri"/>
        <family val="2"/>
        <scheme val="minor"/>
      </rPr>
      <t>GrossPropertyPlantEquipmentOther</t>
    </r>
    <r>
      <rPr>
        <sz val="11"/>
        <color theme="1"/>
        <rFont val="Calibri"/>
        <family val="2"/>
        <scheme val="minor"/>
      </rPr>
      <t xml:space="preserve"> - Gross Property Plant Equipment: Other
</t>
    </r>
    <r>
      <rPr>
        <b/>
        <sz val="11"/>
        <color theme="1"/>
        <rFont val="Calibri"/>
        <family val="2"/>
        <scheme val="minor"/>
      </rPr>
      <t>Accumulateddepreciation</t>
    </r>
    <r>
      <rPr>
        <sz val="11"/>
        <color theme="1"/>
        <rFont val="Calibri"/>
        <family val="2"/>
        <scheme val="minor"/>
      </rPr>
      <t xml:space="preserve"> - Accumulated depreciation
</t>
    </r>
  </si>
  <si>
    <r>
      <t>Instruction</t>
    </r>
    <r>
      <rPr>
        <sz val="11"/>
        <color theme="1"/>
        <rFont val="Calibri"/>
        <family val="2"/>
        <scheme val="minor"/>
      </rPr>
      <t xml:space="preserve"> - Instruction
</t>
    </r>
    <r>
      <rPr>
        <b/>
        <sz val="11"/>
        <color theme="1"/>
        <rFont val="Calibri"/>
        <family val="2"/>
        <scheme val="minor"/>
      </rPr>
      <t>Research</t>
    </r>
    <r>
      <rPr>
        <sz val="11"/>
        <color theme="1"/>
        <rFont val="Calibri"/>
        <family val="2"/>
        <scheme val="minor"/>
      </rPr>
      <t xml:space="preserve"> - Research
</t>
    </r>
    <r>
      <rPr>
        <b/>
        <sz val="11"/>
        <color theme="1"/>
        <rFont val="Calibri"/>
        <family val="2"/>
        <scheme val="minor"/>
      </rPr>
      <t>Publicservice</t>
    </r>
    <r>
      <rPr>
        <sz val="11"/>
        <color theme="1"/>
        <rFont val="Calibri"/>
        <family val="2"/>
        <scheme val="minor"/>
      </rPr>
      <t xml:space="preserve"> - Public service
</t>
    </r>
    <r>
      <rPr>
        <b/>
        <sz val="11"/>
        <color theme="1"/>
        <rFont val="Calibri"/>
        <family val="2"/>
        <scheme val="minor"/>
      </rPr>
      <t>Academicsupport</t>
    </r>
    <r>
      <rPr>
        <sz val="11"/>
        <color theme="1"/>
        <rFont val="Calibri"/>
        <family val="2"/>
        <scheme val="minor"/>
      </rPr>
      <t xml:space="preserve"> - Academic support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Institutionalsupport</t>
    </r>
    <r>
      <rPr>
        <sz val="11"/>
        <color theme="1"/>
        <rFont val="Calibri"/>
        <family val="2"/>
        <scheme val="minor"/>
      </rPr>
      <t xml:space="preserve"> - Institutional support
</t>
    </r>
    <r>
      <rPr>
        <b/>
        <sz val="11"/>
        <color theme="1"/>
        <rFont val="Calibri"/>
        <family val="2"/>
        <scheme val="minor"/>
      </rPr>
      <t>Auxiliaryenterprises</t>
    </r>
    <r>
      <rPr>
        <sz val="11"/>
        <color theme="1"/>
        <rFont val="Calibri"/>
        <family val="2"/>
        <scheme val="minor"/>
      </rPr>
      <t xml:space="preserve"> - Auxiliary enterprises
</t>
    </r>
    <r>
      <rPr>
        <b/>
        <sz val="11"/>
        <color theme="1"/>
        <rFont val="Calibri"/>
        <family val="2"/>
        <scheme val="minor"/>
      </rPr>
      <t>Netgrantaidtostudents</t>
    </r>
    <r>
      <rPr>
        <sz val="11"/>
        <color theme="1"/>
        <rFont val="Calibri"/>
        <family val="2"/>
        <scheme val="minor"/>
      </rPr>
      <t xml:space="preserve"> - Net grant aid to students
</t>
    </r>
    <r>
      <rPr>
        <b/>
        <sz val="11"/>
        <color theme="1"/>
        <rFont val="Calibri"/>
        <family val="2"/>
        <scheme val="minor"/>
      </rPr>
      <t>Hospitalservices</t>
    </r>
    <r>
      <rPr>
        <sz val="11"/>
        <color theme="1"/>
        <rFont val="Calibri"/>
        <family val="2"/>
        <scheme val="minor"/>
      </rPr>
      <t xml:space="preserve"> - Hospital services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t>
    </r>
    <r>
      <rPr>
        <sz val="11"/>
        <color theme="1"/>
        <rFont val="Calibri"/>
        <family val="2"/>
        <scheme val="minor"/>
      </rPr>
      <t xml:space="preserve"> - Other
</t>
    </r>
  </si>
  <si>
    <r>
      <t>Passthrough</t>
    </r>
    <r>
      <rPr>
        <sz val="11"/>
        <color theme="1"/>
        <rFont val="Calibri"/>
        <family val="2"/>
        <scheme val="minor"/>
      </rPr>
      <t xml:space="preserve"> - Pass through
</t>
    </r>
    <r>
      <rPr>
        <b/>
        <sz val="11"/>
        <color theme="1"/>
        <rFont val="Calibri"/>
        <family val="2"/>
        <scheme val="minor"/>
      </rPr>
      <t>Federalgrantrevenue</t>
    </r>
    <r>
      <rPr>
        <sz val="11"/>
        <color theme="1"/>
        <rFont val="Calibri"/>
        <family val="2"/>
        <scheme val="minor"/>
      </rPr>
      <t xml:space="preserve"> - Federal grant revenue
</t>
    </r>
    <r>
      <rPr>
        <b/>
        <sz val="11"/>
        <color theme="1"/>
        <rFont val="Calibri"/>
        <family val="2"/>
        <scheme val="minor"/>
      </rPr>
      <t>DoesnotawardPellgrants</t>
    </r>
    <r>
      <rPr>
        <sz val="11"/>
        <color theme="1"/>
        <rFont val="Calibri"/>
        <family val="2"/>
        <scheme val="minor"/>
      </rPr>
      <t xml:space="preserve"> - Does not award Pell grants
</t>
    </r>
  </si>
  <si>
    <r>
      <t>Tuitionfeesnetofallowance</t>
    </r>
    <r>
      <rPr>
        <sz val="11"/>
        <color theme="1"/>
        <rFont val="Calibri"/>
        <family val="2"/>
        <scheme val="minor"/>
      </rPr>
      <t xml:space="preserve"> - Tuition and fees (net of allowance)
</t>
    </r>
    <r>
      <rPr>
        <b/>
        <sz val="11"/>
        <color theme="1"/>
        <rFont val="Calibri"/>
        <family val="2"/>
        <scheme val="minor"/>
      </rPr>
      <t>Federalappropriations</t>
    </r>
    <r>
      <rPr>
        <sz val="11"/>
        <color theme="1"/>
        <rFont val="Calibri"/>
        <family val="2"/>
        <scheme val="minor"/>
      </rPr>
      <t xml:space="preserve"> - Federal appropriations
</t>
    </r>
    <r>
      <rPr>
        <b/>
        <sz val="11"/>
        <color theme="1"/>
        <rFont val="Calibri"/>
        <family val="2"/>
        <scheme val="minor"/>
      </rPr>
      <t>Stateappropriations</t>
    </r>
    <r>
      <rPr>
        <sz val="11"/>
        <color theme="1"/>
        <rFont val="Calibri"/>
        <family val="2"/>
        <scheme val="minor"/>
      </rPr>
      <t xml:space="preserve"> - State appropriations
</t>
    </r>
    <r>
      <rPr>
        <b/>
        <sz val="11"/>
        <color theme="1"/>
        <rFont val="Calibri"/>
        <family val="2"/>
        <scheme val="minor"/>
      </rPr>
      <t>Localappropriations</t>
    </r>
    <r>
      <rPr>
        <sz val="11"/>
        <color theme="1"/>
        <rFont val="Calibri"/>
        <family val="2"/>
        <scheme val="minor"/>
      </rPr>
      <t xml:space="preserve"> - Local appropriations
</t>
    </r>
    <r>
      <rPr>
        <b/>
        <sz val="11"/>
        <color theme="1"/>
        <rFont val="Calibri"/>
        <family val="2"/>
        <scheme val="minor"/>
      </rPr>
      <t>Federalgrantscontracts</t>
    </r>
    <r>
      <rPr>
        <sz val="11"/>
        <color theme="1"/>
        <rFont val="Calibri"/>
        <family val="2"/>
        <scheme val="minor"/>
      </rPr>
      <t xml:space="preserve"> - Federal grants and contracts
</t>
    </r>
    <r>
      <rPr>
        <b/>
        <sz val="11"/>
        <color theme="1"/>
        <rFont val="Calibri"/>
        <family val="2"/>
        <scheme val="minor"/>
      </rPr>
      <t>Stategrantscontracts</t>
    </r>
    <r>
      <rPr>
        <sz val="11"/>
        <color theme="1"/>
        <rFont val="Calibri"/>
        <family val="2"/>
        <scheme val="minor"/>
      </rPr>
      <t xml:space="preserve"> - State grants and contracts
</t>
    </r>
    <r>
      <rPr>
        <b/>
        <sz val="11"/>
        <color theme="1"/>
        <rFont val="Calibri"/>
        <family val="2"/>
        <scheme val="minor"/>
      </rPr>
      <t>Localgrantscontracts</t>
    </r>
    <r>
      <rPr>
        <sz val="11"/>
        <color theme="1"/>
        <rFont val="Calibri"/>
        <family val="2"/>
        <scheme val="minor"/>
      </rPr>
      <t xml:space="preserve"> - Local grants and contracts
</t>
    </r>
    <r>
      <rPr>
        <b/>
        <sz val="11"/>
        <color theme="1"/>
        <rFont val="Calibri"/>
        <family val="2"/>
        <scheme val="minor"/>
      </rPr>
      <t>Privategifts</t>
    </r>
    <r>
      <rPr>
        <sz val="11"/>
        <color theme="1"/>
        <rFont val="Calibri"/>
        <family val="2"/>
        <scheme val="minor"/>
      </rPr>
      <t xml:space="preserve"> - Private gifts
</t>
    </r>
    <r>
      <rPr>
        <b/>
        <sz val="11"/>
        <color theme="1"/>
        <rFont val="Calibri"/>
        <family val="2"/>
        <scheme val="minor"/>
      </rPr>
      <t>Privategrantscontracts</t>
    </r>
    <r>
      <rPr>
        <sz val="11"/>
        <color theme="1"/>
        <rFont val="Calibri"/>
        <family val="2"/>
        <scheme val="minor"/>
      </rPr>
      <t xml:space="preserve"> - Private grants and contracts
</t>
    </r>
    <r>
      <rPr>
        <b/>
        <sz val="11"/>
        <color theme="1"/>
        <rFont val="Calibri"/>
        <family val="2"/>
        <scheme val="minor"/>
      </rPr>
      <t>Contributionsfromaffiliatedentities</t>
    </r>
    <r>
      <rPr>
        <sz val="11"/>
        <color theme="1"/>
        <rFont val="Calibri"/>
        <family val="2"/>
        <scheme val="minor"/>
      </rPr>
      <t xml:space="preserve"> - Contributions from affiliated entities
</t>
    </r>
    <r>
      <rPr>
        <b/>
        <sz val="11"/>
        <color theme="1"/>
        <rFont val="Calibri"/>
        <family val="2"/>
        <scheme val="minor"/>
      </rPr>
      <t>Investmentreturn</t>
    </r>
    <r>
      <rPr>
        <sz val="11"/>
        <color theme="1"/>
        <rFont val="Calibri"/>
        <family val="2"/>
        <scheme val="minor"/>
      </rPr>
      <t xml:space="preserve"> - Investment return
</t>
    </r>
    <r>
      <rPr>
        <b/>
        <sz val="11"/>
        <color theme="1"/>
        <rFont val="Calibri"/>
        <family val="2"/>
        <scheme val="minor"/>
      </rPr>
      <t>Salesservicesofeducationalactivities</t>
    </r>
    <r>
      <rPr>
        <sz val="11"/>
        <color theme="1"/>
        <rFont val="Calibri"/>
        <family val="2"/>
        <scheme val="minor"/>
      </rPr>
      <t xml:space="preserve"> - Sales and services of educational activities
</t>
    </r>
    <r>
      <rPr>
        <b/>
        <sz val="11"/>
        <color theme="1"/>
        <rFont val="Calibri"/>
        <family val="2"/>
        <scheme val="minor"/>
      </rPr>
      <t>Salesservicesofauxiliaryenterprisesnetofallowance</t>
    </r>
    <r>
      <rPr>
        <sz val="11"/>
        <color theme="1"/>
        <rFont val="Calibri"/>
        <family val="2"/>
        <scheme val="minor"/>
      </rPr>
      <t xml:space="preserve"> - Sales and services of auxiliary enterprises (net of allowance)
</t>
    </r>
    <r>
      <rPr>
        <b/>
        <sz val="11"/>
        <color theme="1"/>
        <rFont val="Calibri"/>
        <family val="2"/>
        <scheme val="minor"/>
      </rPr>
      <t>Hospitalrevenuenottobereportedby</t>
    </r>
    <r>
      <rPr>
        <sz val="11"/>
        <color theme="1"/>
        <rFont val="Calibri"/>
        <family val="2"/>
        <scheme val="minor"/>
      </rPr>
      <t xml:space="preserve"> - Hospital revenue (not to be reported by less-than-4-year institutions)
</t>
    </r>
    <r>
      <rPr>
        <b/>
        <sz val="11"/>
        <color theme="1"/>
        <rFont val="Calibri"/>
        <family val="2"/>
        <scheme val="minor"/>
      </rPr>
      <t>Independentoperationsrevenuenottobe</t>
    </r>
    <r>
      <rPr>
        <sz val="11"/>
        <color theme="1"/>
        <rFont val="Calibri"/>
        <family val="2"/>
        <scheme val="minor"/>
      </rPr>
      <t xml:space="preserve"> - Independent operations revenue (not to be reported by less-than-4-year institutions)
</t>
    </r>
    <r>
      <rPr>
        <b/>
        <sz val="11"/>
        <color theme="1"/>
        <rFont val="Calibri"/>
        <family val="2"/>
        <scheme val="minor"/>
      </rPr>
      <t>Otherrevenue</t>
    </r>
    <r>
      <rPr>
        <sz val="11"/>
        <color theme="1"/>
        <rFont val="Calibri"/>
        <family val="2"/>
        <scheme val="minor"/>
      </rPr>
      <t xml:space="preserve"> - Other revenue
</t>
    </r>
    <r>
      <rPr>
        <b/>
        <sz val="11"/>
        <color theme="1"/>
        <rFont val="Calibri"/>
        <family val="2"/>
        <scheme val="minor"/>
      </rPr>
      <t>Netassetsreleasedfromrestriction</t>
    </r>
    <r>
      <rPr>
        <sz val="11"/>
        <color theme="1"/>
        <rFont val="Calibri"/>
        <family val="2"/>
        <scheme val="minor"/>
      </rPr>
      <t xml:space="preserve"> - Net assets released from restriction
</t>
    </r>
  </si>
  <si>
    <r>
      <t>Unrestricted</t>
    </r>
    <r>
      <rPr>
        <sz val="11"/>
        <color theme="1"/>
        <rFont val="Calibri"/>
        <family val="2"/>
        <scheme val="minor"/>
      </rPr>
      <t xml:space="preserve"> - Unrestricted
</t>
    </r>
    <r>
      <rPr>
        <b/>
        <sz val="11"/>
        <color theme="1"/>
        <rFont val="Calibri"/>
        <family val="2"/>
        <scheme val="minor"/>
      </rPr>
      <t>TemporarilyRestricted</t>
    </r>
    <r>
      <rPr>
        <sz val="11"/>
        <color theme="1"/>
        <rFont val="Calibri"/>
        <family val="2"/>
        <scheme val="minor"/>
      </rPr>
      <t xml:space="preserve"> - Temporarily Restricted
</t>
    </r>
    <r>
      <rPr>
        <b/>
        <sz val="11"/>
        <color theme="1"/>
        <rFont val="Calibri"/>
        <family val="2"/>
        <scheme val="minor"/>
      </rPr>
      <t>PermanentlyRestricted</t>
    </r>
    <r>
      <rPr>
        <sz val="11"/>
        <color theme="1"/>
        <rFont val="Calibri"/>
        <family val="2"/>
        <scheme val="minor"/>
      </rPr>
      <t xml:space="preserve"> - Permanently Restricted
</t>
    </r>
  </si>
  <si>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Grantsbystategovernment</t>
    </r>
    <r>
      <rPr>
        <sz val="11"/>
        <color theme="1"/>
        <rFont val="Calibri"/>
        <family val="2"/>
        <scheme val="minor"/>
      </rPr>
      <t xml:space="preserve"> - Grants by state government
</t>
    </r>
    <r>
      <rPr>
        <b/>
        <sz val="11"/>
        <color theme="1"/>
        <rFont val="Calibri"/>
        <family val="2"/>
        <scheme val="minor"/>
      </rPr>
      <t>Grantsbylocalgovernment</t>
    </r>
    <r>
      <rPr>
        <sz val="11"/>
        <color theme="1"/>
        <rFont val="Calibri"/>
        <family val="2"/>
        <scheme val="minor"/>
      </rPr>
      <t xml:space="preserve"> - Grants by local government
</t>
    </r>
    <r>
      <rPr>
        <b/>
        <sz val="11"/>
        <color theme="1"/>
        <rFont val="Calibri"/>
        <family val="2"/>
        <scheme val="minor"/>
      </rPr>
      <t>Institutionalgrantsrestricted</t>
    </r>
    <r>
      <rPr>
        <sz val="11"/>
        <color theme="1"/>
        <rFont val="Calibri"/>
        <family val="2"/>
        <scheme val="minor"/>
      </rPr>
      <t xml:space="preserve"> - Institutional grants (restricted)
</t>
    </r>
    <r>
      <rPr>
        <b/>
        <sz val="11"/>
        <color theme="1"/>
        <rFont val="Calibri"/>
        <family val="2"/>
        <scheme val="minor"/>
      </rPr>
      <t>Institutionalgrantsunrestricted</t>
    </r>
    <r>
      <rPr>
        <sz val="11"/>
        <color theme="1"/>
        <rFont val="Calibri"/>
        <family val="2"/>
        <scheme val="minor"/>
      </rPr>
      <t xml:space="preserve"> - Institutional grants (unrestricted)
</t>
    </r>
    <r>
      <rPr>
        <b/>
        <sz val="11"/>
        <color theme="1"/>
        <rFont val="Calibri"/>
        <family val="2"/>
        <scheme val="minor"/>
      </rPr>
      <t>Discountsallowancesappliedtotuitionfees</t>
    </r>
    <r>
      <rPr>
        <sz val="11"/>
        <color theme="1"/>
        <rFont val="Calibri"/>
        <family val="2"/>
        <scheme val="minor"/>
      </rPr>
      <t xml:space="preserve"> - Discounts and allowances applied to tuition and fees
</t>
    </r>
    <r>
      <rPr>
        <b/>
        <sz val="11"/>
        <color theme="1"/>
        <rFont val="Calibri"/>
        <family val="2"/>
        <scheme val="minor"/>
      </rPr>
      <t>Discountsallowancesappliedtoauxiliary</t>
    </r>
    <r>
      <rPr>
        <sz val="11"/>
        <color theme="1"/>
        <rFont val="Calibri"/>
        <family val="2"/>
        <scheme val="minor"/>
      </rPr>
      <t xml:space="preserve"> - Discounts and allowances applied to auxiliary enterprise revenues
</t>
    </r>
  </si>
  <si>
    <r>
      <t>Totalcurrentassets</t>
    </r>
    <r>
      <rPr>
        <sz val="11"/>
        <color theme="1"/>
        <rFont val="Calibri"/>
        <family val="2"/>
        <scheme val="minor"/>
      </rPr>
      <t xml:space="preserve"> - Total current assets
</t>
    </r>
    <r>
      <rPr>
        <b/>
        <sz val="11"/>
        <color theme="1"/>
        <rFont val="Calibri"/>
        <family val="2"/>
        <scheme val="minor"/>
      </rPr>
      <t>Depreciablecapitalassetsnetofdepreciation</t>
    </r>
    <r>
      <rPr>
        <sz val="11"/>
        <color theme="1"/>
        <rFont val="Calibri"/>
        <family val="2"/>
        <scheme val="minor"/>
      </rPr>
      <t xml:space="preserve"> - Depreciable capital assets, net of depreciation
</t>
    </r>
    <r>
      <rPr>
        <b/>
        <sz val="11"/>
        <color theme="1"/>
        <rFont val="Calibri"/>
        <family val="2"/>
        <scheme val="minor"/>
      </rPr>
      <t>Othernoncurrentassets</t>
    </r>
    <r>
      <rPr>
        <sz val="11"/>
        <color theme="1"/>
        <rFont val="Calibri"/>
        <family val="2"/>
        <scheme val="minor"/>
      </rPr>
      <t xml:space="preserve"> - Other noncurrent assets
</t>
    </r>
    <r>
      <rPr>
        <b/>
        <sz val="11"/>
        <color theme="1"/>
        <rFont val="Calibri"/>
        <family val="2"/>
        <scheme val="minor"/>
      </rPr>
      <t>Deferredoutflowsofresources</t>
    </r>
    <r>
      <rPr>
        <sz val="11"/>
        <color theme="1"/>
        <rFont val="Calibri"/>
        <family val="2"/>
        <scheme val="minor"/>
      </rPr>
      <t xml:space="preserve"> - Deferred outflows of resources
</t>
    </r>
    <r>
      <rPr>
        <b/>
        <sz val="11"/>
        <color theme="1"/>
        <rFont val="Calibri"/>
        <family val="2"/>
        <scheme val="minor"/>
      </rPr>
      <t>Longtermdebtcurrentportion</t>
    </r>
    <r>
      <rPr>
        <sz val="11"/>
        <color theme="1"/>
        <rFont val="Calibri"/>
        <family val="2"/>
        <scheme val="minor"/>
      </rPr>
      <t xml:space="preserve"> - Long-term debt, current portion
</t>
    </r>
    <r>
      <rPr>
        <b/>
        <sz val="11"/>
        <color theme="1"/>
        <rFont val="Calibri"/>
        <family val="2"/>
        <scheme val="minor"/>
      </rPr>
      <t>Othercurrentliabilities</t>
    </r>
    <r>
      <rPr>
        <sz val="11"/>
        <color theme="1"/>
        <rFont val="Calibri"/>
        <family val="2"/>
        <scheme val="minor"/>
      </rPr>
      <t xml:space="preserve"> - Other current liabilities
</t>
    </r>
    <r>
      <rPr>
        <b/>
        <sz val="11"/>
        <color theme="1"/>
        <rFont val="Calibri"/>
        <family val="2"/>
        <scheme val="minor"/>
      </rPr>
      <t>Longtermdebt</t>
    </r>
    <r>
      <rPr>
        <sz val="11"/>
        <color theme="1"/>
        <rFont val="Calibri"/>
        <family val="2"/>
        <scheme val="minor"/>
      </rPr>
      <t xml:space="preserve"> - Long-term debt
</t>
    </r>
    <r>
      <rPr>
        <b/>
        <sz val="11"/>
        <color theme="1"/>
        <rFont val="Calibri"/>
        <family val="2"/>
        <scheme val="minor"/>
      </rPr>
      <t>Othernoncurrentliabilities</t>
    </r>
    <r>
      <rPr>
        <sz val="11"/>
        <color theme="1"/>
        <rFont val="Calibri"/>
        <family val="2"/>
        <scheme val="minor"/>
      </rPr>
      <t xml:space="preserve"> - Other non-current liabilities
</t>
    </r>
    <r>
      <rPr>
        <b/>
        <sz val="11"/>
        <color theme="1"/>
        <rFont val="Calibri"/>
        <family val="2"/>
        <scheme val="minor"/>
      </rPr>
      <t>Deferredinflowsofresources</t>
    </r>
    <r>
      <rPr>
        <sz val="11"/>
        <color theme="1"/>
        <rFont val="Calibri"/>
        <family val="2"/>
        <scheme val="minor"/>
      </rPr>
      <t xml:space="preserve"> - Deferred inflows of resources
</t>
    </r>
    <r>
      <rPr>
        <b/>
        <sz val="11"/>
        <color theme="1"/>
        <rFont val="Calibri"/>
        <family val="2"/>
        <scheme val="minor"/>
      </rPr>
      <t>Netassetsinvestedincapitalassetsnetofrelateddebt</t>
    </r>
    <r>
      <rPr>
        <sz val="11"/>
        <color theme="1"/>
        <rFont val="Calibri"/>
        <family val="2"/>
        <scheme val="minor"/>
      </rPr>
      <t xml:space="preserve"> - Net assets invested in capital assets, net of related debt
</t>
    </r>
    <r>
      <rPr>
        <b/>
        <sz val="11"/>
        <color theme="1"/>
        <rFont val="Calibri"/>
        <family val="2"/>
        <scheme val="minor"/>
      </rPr>
      <t>Restrictedexpendablenetassets</t>
    </r>
    <r>
      <rPr>
        <sz val="11"/>
        <color theme="1"/>
        <rFont val="Calibri"/>
        <family val="2"/>
        <scheme val="minor"/>
      </rPr>
      <t xml:space="preserve"> - Restricted expendable net assets
</t>
    </r>
    <r>
      <rPr>
        <b/>
        <sz val="11"/>
        <color theme="1"/>
        <rFont val="Calibri"/>
        <family val="2"/>
        <scheme val="minor"/>
      </rPr>
      <t>Restrictednonexpendablenetassets</t>
    </r>
    <r>
      <rPr>
        <sz val="11"/>
        <color theme="1"/>
        <rFont val="Calibri"/>
        <family val="2"/>
        <scheme val="minor"/>
      </rPr>
      <t xml:space="preserve"> - Restricted non-expendable net assets
</t>
    </r>
    <r>
      <rPr>
        <b/>
        <sz val="11"/>
        <color theme="1"/>
        <rFont val="Calibri"/>
        <family val="2"/>
        <scheme val="minor"/>
      </rPr>
      <t>Unrestrictednetassets</t>
    </r>
    <r>
      <rPr>
        <sz val="11"/>
        <color theme="1"/>
        <rFont val="Calibri"/>
        <family val="2"/>
        <scheme val="minor"/>
      </rPr>
      <t xml:space="preserve"> - Unrestricted net assets
</t>
    </r>
    <r>
      <rPr>
        <b/>
        <sz val="11"/>
        <color theme="1"/>
        <rFont val="Calibri"/>
        <family val="2"/>
        <scheme val="minor"/>
      </rPr>
      <t>CapitalAssetsLandlandimprovements</t>
    </r>
    <r>
      <rPr>
        <sz val="11"/>
        <color theme="1"/>
        <rFont val="Calibri"/>
        <family val="2"/>
        <scheme val="minor"/>
      </rPr>
      <t xml:space="preserve"> - Capital Assets: Land and land improvements
</t>
    </r>
    <r>
      <rPr>
        <b/>
        <sz val="11"/>
        <color theme="1"/>
        <rFont val="Calibri"/>
        <family val="2"/>
        <scheme val="minor"/>
      </rPr>
      <t>CapitalAssetsInfrastructure</t>
    </r>
    <r>
      <rPr>
        <sz val="11"/>
        <color theme="1"/>
        <rFont val="Calibri"/>
        <family val="2"/>
        <scheme val="minor"/>
      </rPr>
      <t xml:space="preserve"> - Capital Assets: Infrastructure
</t>
    </r>
    <r>
      <rPr>
        <b/>
        <sz val="11"/>
        <color theme="1"/>
        <rFont val="Calibri"/>
        <family val="2"/>
        <scheme val="minor"/>
      </rPr>
      <t>CapitalAssetsBuildings</t>
    </r>
    <r>
      <rPr>
        <sz val="11"/>
        <color theme="1"/>
        <rFont val="Calibri"/>
        <family val="2"/>
        <scheme val="minor"/>
      </rPr>
      <t xml:space="preserve"> - Capital Assets: Buildings
</t>
    </r>
    <r>
      <rPr>
        <b/>
        <sz val="11"/>
        <color theme="1"/>
        <rFont val="Calibri"/>
        <family val="2"/>
        <scheme val="minor"/>
      </rPr>
      <t>CapitalAssetsEquipmentincludingartlibrary</t>
    </r>
    <r>
      <rPr>
        <sz val="11"/>
        <color theme="1"/>
        <rFont val="Calibri"/>
        <family val="2"/>
        <scheme val="minor"/>
      </rPr>
      <t xml:space="preserve"> - Capital Assets: Equipment, including art and library collections
</t>
    </r>
    <r>
      <rPr>
        <b/>
        <sz val="11"/>
        <color theme="1"/>
        <rFont val="Calibri"/>
        <family val="2"/>
        <scheme val="minor"/>
      </rPr>
      <t>CapitalAssetsConstructioninprogress</t>
    </r>
    <r>
      <rPr>
        <sz val="11"/>
        <color theme="1"/>
        <rFont val="Calibri"/>
        <family val="2"/>
        <scheme val="minor"/>
      </rPr>
      <t xml:space="preserve"> - Capital Assets: Construction in progress
</t>
    </r>
    <r>
      <rPr>
        <b/>
        <sz val="11"/>
        <color theme="1"/>
        <rFont val="Calibri"/>
        <family val="2"/>
        <scheme val="minor"/>
      </rPr>
      <t>CapitalAssetsAccumulateddepreciation</t>
    </r>
    <r>
      <rPr>
        <sz val="11"/>
        <color theme="1"/>
        <rFont val="Calibri"/>
        <family val="2"/>
        <scheme val="minor"/>
      </rPr>
      <t xml:space="preserve"> - Capital Assets: Accumulated depreciation
</t>
    </r>
    <r>
      <rPr>
        <b/>
        <sz val="11"/>
        <color theme="1"/>
        <rFont val="Calibri"/>
        <family val="2"/>
        <scheme val="minor"/>
      </rPr>
      <t>CapitalAssetsIntangibleassetsnetof</t>
    </r>
    <r>
      <rPr>
        <sz val="11"/>
        <color theme="1"/>
        <rFont val="Calibri"/>
        <family val="2"/>
        <scheme val="minor"/>
      </rPr>
      <t xml:space="preserve"> - Capital Assets: Intangible assets, net of accumulated amortization
</t>
    </r>
    <r>
      <rPr>
        <b/>
        <sz val="11"/>
        <color theme="1"/>
        <rFont val="Calibri"/>
        <family val="2"/>
        <scheme val="minor"/>
      </rPr>
      <t>CapitalAssetsOthercapitalassets</t>
    </r>
    <r>
      <rPr>
        <sz val="11"/>
        <color theme="1"/>
        <rFont val="Calibri"/>
        <family val="2"/>
        <scheme val="minor"/>
      </rPr>
      <t xml:space="preserve"> - Capital Assets: Other capital assets
</t>
    </r>
  </si>
  <si>
    <r>
      <t>Instruction</t>
    </r>
    <r>
      <rPr>
        <sz val="11"/>
        <color theme="1"/>
        <rFont val="Calibri"/>
        <family val="2"/>
        <scheme val="minor"/>
      </rPr>
      <t xml:space="preserve"> - Instruction
</t>
    </r>
    <r>
      <rPr>
        <b/>
        <sz val="11"/>
        <color theme="1"/>
        <rFont val="Calibri"/>
        <family val="2"/>
        <scheme val="minor"/>
      </rPr>
      <t>Research</t>
    </r>
    <r>
      <rPr>
        <sz val="11"/>
        <color theme="1"/>
        <rFont val="Calibri"/>
        <family val="2"/>
        <scheme val="minor"/>
      </rPr>
      <t xml:space="preserve"> - Research
</t>
    </r>
    <r>
      <rPr>
        <b/>
        <sz val="11"/>
        <color theme="1"/>
        <rFont val="Calibri"/>
        <family val="2"/>
        <scheme val="minor"/>
      </rPr>
      <t>Publicservice</t>
    </r>
    <r>
      <rPr>
        <sz val="11"/>
        <color theme="1"/>
        <rFont val="Calibri"/>
        <family val="2"/>
        <scheme val="minor"/>
      </rPr>
      <t xml:space="preserve"> - Public service
</t>
    </r>
    <r>
      <rPr>
        <b/>
        <sz val="11"/>
        <color theme="1"/>
        <rFont val="Calibri"/>
        <family val="2"/>
        <scheme val="minor"/>
      </rPr>
      <t>Academicsupport</t>
    </r>
    <r>
      <rPr>
        <sz val="11"/>
        <color theme="1"/>
        <rFont val="Calibri"/>
        <family val="2"/>
        <scheme val="minor"/>
      </rPr>
      <t xml:space="preserve"> - Academic support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Institutionalsupport</t>
    </r>
    <r>
      <rPr>
        <sz val="11"/>
        <color theme="1"/>
        <rFont val="Calibri"/>
        <family val="2"/>
        <scheme val="minor"/>
      </rPr>
      <t xml:space="preserve"> - Institutional support
</t>
    </r>
    <r>
      <rPr>
        <b/>
        <sz val="11"/>
        <color theme="1"/>
        <rFont val="Calibri"/>
        <family val="2"/>
        <scheme val="minor"/>
      </rPr>
      <t>Auxiliaryenterprises</t>
    </r>
    <r>
      <rPr>
        <sz val="11"/>
        <color theme="1"/>
        <rFont val="Calibri"/>
        <family val="2"/>
        <scheme val="minor"/>
      </rPr>
      <t xml:space="preserve"> - Auxiliary enterprises
</t>
    </r>
    <r>
      <rPr>
        <b/>
        <sz val="11"/>
        <color theme="1"/>
        <rFont val="Calibri"/>
        <family val="2"/>
        <scheme val="minor"/>
      </rPr>
      <t>Scholarshipsfellowships</t>
    </r>
    <r>
      <rPr>
        <sz val="11"/>
        <color theme="1"/>
        <rFont val="Calibri"/>
        <family val="2"/>
        <scheme val="minor"/>
      </rPr>
      <t xml:space="preserve"> - Scholarships and fellowships
</t>
    </r>
    <r>
      <rPr>
        <b/>
        <sz val="11"/>
        <color theme="1"/>
        <rFont val="Calibri"/>
        <family val="2"/>
        <scheme val="minor"/>
      </rPr>
      <t>Hospitalservices</t>
    </r>
    <r>
      <rPr>
        <sz val="11"/>
        <color theme="1"/>
        <rFont val="Calibri"/>
        <family val="2"/>
        <scheme val="minor"/>
      </rPr>
      <t xml:space="preserve"> - Hospital services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t>
    </r>
    <r>
      <rPr>
        <sz val="11"/>
        <color theme="1"/>
        <rFont val="Calibri"/>
        <family val="2"/>
        <scheme val="minor"/>
      </rPr>
      <t xml:space="preserve"> - Other
</t>
    </r>
  </si>
  <si>
    <r>
      <t>Tuitionfeesnetofdiscountsallowances</t>
    </r>
    <r>
      <rPr>
        <sz val="11"/>
        <color theme="1"/>
        <rFont val="Calibri"/>
        <family val="2"/>
        <scheme val="minor"/>
      </rPr>
      <t xml:space="preserve"> - Tuition and fees (net discounts and allowances)
</t>
    </r>
    <r>
      <rPr>
        <b/>
        <sz val="11"/>
        <color theme="1"/>
        <rFont val="Calibri"/>
        <family val="2"/>
        <scheme val="minor"/>
      </rPr>
      <t>Federaloperatinggrantscontracts</t>
    </r>
    <r>
      <rPr>
        <sz val="11"/>
        <color theme="1"/>
        <rFont val="Calibri"/>
        <family val="2"/>
        <scheme val="minor"/>
      </rPr>
      <t xml:space="preserve"> - Federal operating grants and contracts
</t>
    </r>
    <r>
      <rPr>
        <b/>
        <sz val="11"/>
        <color theme="1"/>
        <rFont val="Calibri"/>
        <family val="2"/>
        <scheme val="minor"/>
      </rPr>
      <t>Stateoperatinggrantscontracts</t>
    </r>
    <r>
      <rPr>
        <sz val="11"/>
        <color theme="1"/>
        <rFont val="Calibri"/>
        <family val="2"/>
        <scheme val="minor"/>
      </rPr>
      <t xml:space="preserve"> - State operating grants and contracts
</t>
    </r>
    <r>
      <rPr>
        <b/>
        <sz val="11"/>
        <color theme="1"/>
        <rFont val="Calibri"/>
        <family val="2"/>
        <scheme val="minor"/>
      </rPr>
      <t>Localgovernmentoperatinggrantscontracts</t>
    </r>
    <r>
      <rPr>
        <sz val="11"/>
        <color theme="1"/>
        <rFont val="Calibri"/>
        <family val="2"/>
        <scheme val="minor"/>
      </rPr>
      <t xml:space="preserve"> - Local government operating grants and contracts
</t>
    </r>
    <r>
      <rPr>
        <b/>
        <sz val="11"/>
        <color theme="1"/>
        <rFont val="Calibri"/>
        <family val="2"/>
        <scheme val="minor"/>
      </rPr>
      <t>Privateoperatinggrantscontracts</t>
    </r>
    <r>
      <rPr>
        <sz val="11"/>
        <color theme="1"/>
        <rFont val="Calibri"/>
        <family val="2"/>
        <scheme val="minor"/>
      </rPr>
      <t xml:space="preserve"> - Private operating grants and contracts
</t>
    </r>
    <r>
      <rPr>
        <b/>
        <sz val="11"/>
        <color theme="1"/>
        <rFont val="Calibri"/>
        <family val="2"/>
        <scheme val="minor"/>
      </rPr>
      <t>Salesservicesofauxiliaryenterprisesnetofdiscounts</t>
    </r>
    <r>
      <rPr>
        <sz val="11"/>
        <color theme="1"/>
        <rFont val="Calibri"/>
        <family val="2"/>
        <scheme val="minor"/>
      </rPr>
      <t xml:space="preserve"> - Sales and services of auxiliary enterprises (net discounts and allowances)
</t>
    </r>
    <r>
      <rPr>
        <b/>
        <sz val="11"/>
        <color theme="1"/>
        <rFont val="Calibri"/>
        <family val="2"/>
        <scheme val="minor"/>
      </rPr>
      <t>Salesservicesofhospitalsafterdeducting</t>
    </r>
    <r>
      <rPr>
        <sz val="11"/>
        <color theme="1"/>
        <rFont val="Calibri"/>
        <family val="2"/>
        <scheme val="minor"/>
      </rPr>
      <t xml:space="preserve"> - Sales and services of hospitals (after deducting patient contractual allowances)
</t>
    </r>
    <r>
      <rPr>
        <b/>
        <sz val="11"/>
        <color theme="1"/>
        <rFont val="Calibri"/>
        <family val="2"/>
        <scheme val="minor"/>
      </rPr>
      <t>Salesservicesofeducationalactivities</t>
    </r>
    <r>
      <rPr>
        <sz val="11"/>
        <color theme="1"/>
        <rFont val="Calibri"/>
        <family val="2"/>
        <scheme val="minor"/>
      </rPr>
      <t xml:space="preserve"> - Sales &amp; services of educational activities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Otheroperatingrevenue</t>
    </r>
    <r>
      <rPr>
        <sz val="11"/>
        <color theme="1"/>
        <rFont val="Calibri"/>
        <family val="2"/>
        <scheme val="minor"/>
      </rPr>
      <t xml:space="preserve"> - Other operating revenue
</t>
    </r>
    <r>
      <rPr>
        <b/>
        <sz val="11"/>
        <color theme="1"/>
        <rFont val="Calibri"/>
        <family val="2"/>
        <scheme val="minor"/>
      </rPr>
      <t>Federalappropriations</t>
    </r>
    <r>
      <rPr>
        <sz val="11"/>
        <color theme="1"/>
        <rFont val="Calibri"/>
        <family val="2"/>
        <scheme val="minor"/>
      </rPr>
      <t xml:space="preserve"> - Federal appropriations
</t>
    </r>
    <r>
      <rPr>
        <b/>
        <sz val="11"/>
        <color theme="1"/>
        <rFont val="Calibri"/>
        <family val="2"/>
        <scheme val="minor"/>
      </rPr>
      <t>Stateappropriations</t>
    </r>
    <r>
      <rPr>
        <sz val="11"/>
        <color theme="1"/>
        <rFont val="Calibri"/>
        <family val="2"/>
        <scheme val="minor"/>
      </rPr>
      <t xml:space="preserve"> - State appropriations
</t>
    </r>
    <r>
      <rPr>
        <b/>
        <sz val="11"/>
        <color theme="1"/>
        <rFont val="Calibri"/>
        <family val="2"/>
        <scheme val="minor"/>
      </rPr>
      <t>Localappropriationseducationdistrict</t>
    </r>
    <r>
      <rPr>
        <sz val="11"/>
        <color theme="1"/>
        <rFont val="Calibri"/>
        <family val="2"/>
        <scheme val="minor"/>
      </rPr>
      <t xml:space="preserve"> - Local appropriations, education district taxes, and similar support
</t>
    </r>
    <r>
      <rPr>
        <b/>
        <sz val="11"/>
        <color theme="1"/>
        <rFont val="Calibri"/>
        <family val="2"/>
        <scheme val="minor"/>
      </rPr>
      <t>Federalnonoperatinggrants</t>
    </r>
    <r>
      <rPr>
        <sz val="11"/>
        <color theme="1"/>
        <rFont val="Calibri"/>
        <family val="2"/>
        <scheme val="minor"/>
      </rPr>
      <t xml:space="preserve"> - Federal nonoperating grants
</t>
    </r>
    <r>
      <rPr>
        <b/>
        <sz val="11"/>
        <color theme="1"/>
        <rFont val="Calibri"/>
        <family val="2"/>
        <scheme val="minor"/>
      </rPr>
      <t>Statenonoperatinggrants</t>
    </r>
    <r>
      <rPr>
        <sz val="11"/>
        <color theme="1"/>
        <rFont val="Calibri"/>
        <family val="2"/>
        <scheme val="minor"/>
      </rPr>
      <t xml:space="preserve"> - State nonoperating grants
</t>
    </r>
    <r>
      <rPr>
        <b/>
        <sz val="11"/>
        <color theme="1"/>
        <rFont val="Calibri"/>
        <family val="2"/>
        <scheme val="minor"/>
      </rPr>
      <t>Localgovernmentnonoperatinggrants</t>
    </r>
    <r>
      <rPr>
        <sz val="11"/>
        <color theme="1"/>
        <rFont val="Calibri"/>
        <family val="2"/>
        <scheme val="minor"/>
      </rPr>
      <t xml:space="preserve"> - Local government nonoperating grants
</t>
    </r>
    <r>
      <rPr>
        <b/>
        <sz val="11"/>
        <color theme="1"/>
        <rFont val="Calibri"/>
        <family val="2"/>
        <scheme val="minor"/>
      </rPr>
      <t>Giftsincludingcontributionsfromaffiliated</t>
    </r>
    <r>
      <rPr>
        <sz val="11"/>
        <color theme="1"/>
        <rFont val="Calibri"/>
        <family val="2"/>
        <scheme val="minor"/>
      </rPr>
      <t xml:space="preserve"> - Gifts, including contributions from affiliated organizations
</t>
    </r>
    <r>
      <rPr>
        <b/>
        <sz val="11"/>
        <color theme="1"/>
        <rFont val="Calibri"/>
        <family val="2"/>
        <scheme val="minor"/>
      </rPr>
      <t>Investmentincome</t>
    </r>
    <r>
      <rPr>
        <sz val="11"/>
        <color theme="1"/>
        <rFont val="Calibri"/>
        <family val="2"/>
        <scheme val="minor"/>
      </rPr>
      <t xml:space="preserve"> - Investment income
</t>
    </r>
    <r>
      <rPr>
        <b/>
        <sz val="11"/>
        <color theme="1"/>
        <rFont val="Calibri"/>
        <family val="2"/>
        <scheme val="minor"/>
      </rPr>
      <t>Othernonoperatingrevenues</t>
    </r>
    <r>
      <rPr>
        <sz val="11"/>
        <color theme="1"/>
        <rFont val="Calibri"/>
        <family val="2"/>
        <scheme val="minor"/>
      </rPr>
      <t xml:space="preserve"> - Other nonoperating revenues
</t>
    </r>
    <r>
      <rPr>
        <b/>
        <sz val="11"/>
        <color theme="1"/>
        <rFont val="Calibri"/>
        <family val="2"/>
        <scheme val="minor"/>
      </rPr>
      <t>Capitalappropriations</t>
    </r>
    <r>
      <rPr>
        <sz val="11"/>
        <color theme="1"/>
        <rFont val="Calibri"/>
        <family val="2"/>
        <scheme val="minor"/>
      </rPr>
      <t xml:space="preserve"> - Capital appropriations
</t>
    </r>
    <r>
      <rPr>
        <b/>
        <sz val="11"/>
        <color theme="1"/>
        <rFont val="Calibri"/>
        <family val="2"/>
        <scheme val="minor"/>
      </rPr>
      <t>Capitalgrantsgifts</t>
    </r>
    <r>
      <rPr>
        <sz val="11"/>
        <color theme="1"/>
        <rFont val="Calibri"/>
        <family val="2"/>
        <scheme val="minor"/>
      </rPr>
      <t xml:space="preserve"> - Capital grants and gifts
</t>
    </r>
    <r>
      <rPr>
        <b/>
        <sz val="11"/>
        <color theme="1"/>
        <rFont val="Calibri"/>
        <family val="2"/>
        <scheme val="minor"/>
      </rPr>
      <t>Additionstopermanentendowments</t>
    </r>
    <r>
      <rPr>
        <sz val="11"/>
        <color theme="1"/>
        <rFont val="Calibri"/>
        <family val="2"/>
        <scheme val="minor"/>
      </rPr>
      <t xml:space="preserve"> - Additions to permanent endowments
</t>
    </r>
    <r>
      <rPr>
        <b/>
        <sz val="11"/>
        <color theme="1"/>
        <rFont val="Calibri"/>
        <family val="2"/>
        <scheme val="minor"/>
      </rPr>
      <t>Otherrevenuesadditions</t>
    </r>
    <r>
      <rPr>
        <sz val="11"/>
        <color theme="1"/>
        <rFont val="Calibri"/>
        <family val="2"/>
        <scheme val="minor"/>
      </rPr>
      <t xml:space="preserve"> - Other revenues and additions
</t>
    </r>
  </si>
  <si>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Grantsbystategovernment</t>
    </r>
    <r>
      <rPr>
        <sz val="11"/>
        <color theme="1"/>
        <rFont val="Calibri"/>
        <family val="2"/>
        <scheme val="minor"/>
      </rPr>
      <t xml:space="preserve"> - Grants by state government
</t>
    </r>
    <r>
      <rPr>
        <b/>
        <sz val="11"/>
        <color theme="1"/>
        <rFont val="Calibri"/>
        <family val="2"/>
        <scheme val="minor"/>
      </rPr>
      <t>Grantsbylocalgovernment</t>
    </r>
    <r>
      <rPr>
        <sz val="11"/>
        <color theme="1"/>
        <rFont val="Calibri"/>
        <family val="2"/>
        <scheme val="minor"/>
      </rPr>
      <t xml:space="preserve"> - Grants by local government
</t>
    </r>
    <r>
      <rPr>
        <b/>
        <sz val="11"/>
        <color theme="1"/>
        <rFont val="Calibri"/>
        <family val="2"/>
        <scheme val="minor"/>
      </rPr>
      <t>Institutionalgrantsfromrestrictedresources</t>
    </r>
    <r>
      <rPr>
        <sz val="11"/>
        <color theme="1"/>
        <rFont val="Calibri"/>
        <family val="2"/>
        <scheme val="minor"/>
      </rPr>
      <t xml:space="preserve"> - Institutional grants from restricted resources
</t>
    </r>
    <r>
      <rPr>
        <b/>
        <sz val="11"/>
        <color theme="1"/>
        <rFont val="Calibri"/>
        <family val="2"/>
        <scheme val="minor"/>
      </rPr>
      <t>Institutionalgrantsfromunrestrictedresources</t>
    </r>
    <r>
      <rPr>
        <sz val="11"/>
        <color theme="1"/>
        <rFont val="Calibri"/>
        <family val="2"/>
        <scheme val="minor"/>
      </rPr>
      <t xml:space="preserve"> - Institutional grants from unrestricted resources
</t>
    </r>
    <r>
      <rPr>
        <b/>
        <sz val="11"/>
        <color theme="1"/>
        <rFont val="Calibri"/>
        <family val="2"/>
        <scheme val="minor"/>
      </rPr>
      <t>Discountsallowancesappliedtotuitionfees</t>
    </r>
    <r>
      <rPr>
        <sz val="11"/>
        <color theme="1"/>
        <rFont val="Calibri"/>
        <family val="2"/>
        <scheme val="minor"/>
      </rPr>
      <t xml:space="preserve"> - Discounts &amp; allowances applied to tuition &amp; fees
</t>
    </r>
    <r>
      <rPr>
        <b/>
        <sz val="11"/>
        <color theme="1"/>
        <rFont val="Calibri"/>
        <family val="2"/>
        <scheme val="minor"/>
      </rPr>
      <t>Discountsallowancesappliedtosalesservices</t>
    </r>
    <r>
      <rPr>
        <sz val="11"/>
        <color theme="1"/>
        <rFont val="Calibri"/>
        <family val="2"/>
        <scheme val="minor"/>
      </rPr>
      <t xml:space="preserve"> - Discounts &amp; allowances applied to sales &amp; services of auxiliary enterprises
</t>
    </r>
  </si>
  <si>
    <r>
      <t>Auxiliaryenterprises</t>
    </r>
    <r>
      <rPr>
        <sz val="11"/>
        <color theme="1"/>
        <rFont val="Calibri"/>
        <family val="2"/>
        <scheme val="minor"/>
      </rPr>
      <t xml:space="preserve"> - Auxiliary enterprises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Doesnotparticipateinintercollegiateathletics</t>
    </r>
    <r>
      <rPr>
        <sz val="11"/>
        <color theme="1"/>
        <rFont val="Calibri"/>
        <family val="2"/>
        <scheme val="minor"/>
      </rPr>
      <t xml:space="preserve"> - Does not participate in intercollegiate athletics
</t>
    </r>
    <r>
      <rPr>
        <b/>
        <sz val="11"/>
        <color theme="1"/>
        <rFont val="Calibri"/>
        <family val="2"/>
        <scheme val="minor"/>
      </rPr>
      <t>Other</t>
    </r>
    <r>
      <rPr>
        <sz val="11"/>
        <color theme="1"/>
        <rFont val="Calibri"/>
        <family val="2"/>
        <scheme val="minor"/>
      </rPr>
      <t xml:space="preserve"> - Other
</t>
    </r>
  </si>
  <si>
    <r>
      <t>Salarieswages</t>
    </r>
    <r>
      <rPr>
        <sz val="11"/>
        <color theme="1"/>
        <rFont val="Calibri"/>
        <family val="2"/>
        <scheme val="minor"/>
      </rPr>
      <t xml:space="preserve"> - Salaries and wages
</t>
    </r>
    <r>
      <rPr>
        <b/>
        <sz val="11"/>
        <color theme="1"/>
        <rFont val="Calibri"/>
        <family val="2"/>
        <scheme val="minor"/>
      </rPr>
      <t>Benefits</t>
    </r>
    <r>
      <rPr>
        <sz val="11"/>
        <color theme="1"/>
        <rFont val="Calibri"/>
        <family val="2"/>
        <scheme val="minor"/>
      </rPr>
      <t xml:space="preserve"> - Benefits
</t>
    </r>
    <r>
      <rPr>
        <b/>
        <sz val="11"/>
        <color theme="1"/>
        <rFont val="Calibri"/>
        <family val="2"/>
        <scheme val="minor"/>
      </rPr>
      <t>Operationmaintenanceofplant</t>
    </r>
    <r>
      <rPr>
        <sz val="11"/>
        <color theme="1"/>
        <rFont val="Calibri"/>
        <family val="2"/>
        <scheme val="minor"/>
      </rPr>
      <t xml:space="preserve"> - Operation and maintenance of plant
</t>
    </r>
    <r>
      <rPr>
        <b/>
        <sz val="11"/>
        <color theme="1"/>
        <rFont val="Calibri"/>
        <family val="2"/>
        <scheme val="minor"/>
      </rPr>
      <t>Depreciation</t>
    </r>
    <r>
      <rPr>
        <sz val="11"/>
        <color theme="1"/>
        <rFont val="Calibri"/>
        <family val="2"/>
        <scheme val="minor"/>
      </rPr>
      <t xml:space="preserve"> - Depreciation
</t>
    </r>
    <r>
      <rPr>
        <b/>
        <sz val="11"/>
        <color theme="1"/>
        <rFont val="Calibri"/>
        <family val="2"/>
        <scheme val="minor"/>
      </rPr>
      <t>Interest</t>
    </r>
    <r>
      <rPr>
        <sz val="11"/>
        <color theme="1"/>
        <rFont val="Calibri"/>
        <family val="2"/>
        <scheme val="minor"/>
      </rPr>
      <t xml:space="preserve"> - Interest
</t>
    </r>
    <r>
      <rPr>
        <b/>
        <sz val="11"/>
        <color theme="1"/>
        <rFont val="Calibri"/>
        <family val="2"/>
        <scheme val="minor"/>
      </rPr>
      <t>Other</t>
    </r>
    <r>
      <rPr>
        <sz val="11"/>
        <color theme="1"/>
        <rFont val="Calibri"/>
        <family val="2"/>
        <scheme val="minor"/>
      </rPr>
      <t xml:space="preserve"> - Other
</t>
    </r>
  </si>
  <si>
    <t>IPEDS Reporting</t>
  </si>
  <si>
    <r>
      <t>PerTerm</t>
    </r>
    <r>
      <rPr>
        <sz val="11"/>
        <color theme="1"/>
        <rFont val="Calibri"/>
        <family val="2"/>
        <scheme val="minor"/>
      </rPr>
      <t xml:space="preserve"> - Per Term
</t>
    </r>
    <r>
      <rPr>
        <b/>
        <sz val="11"/>
        <color theme="1"/>
        <rFont val="Calibri"/>
        <family val="2"/>
        <scheme val="minor"/>
      </rPr>
      <t>PerYear</t>
    </r>
    <r>
      <rPr>
        <sz val="11"/>
        <color theme="1"/>
        <rFont val="Calibri"/>
        <family val="2"/>
        <scheme val="minor"/>
      </rPr>
      <t xml:space="preserve"> - Per Year
</t>
    </r>
    <r>
      <rPr>
        <b/>
        <sz val="11"/>
        <color theme="1"/>
        <rFont val="Calibri"/>
        <family val="2"/>
        <scheme val="minor"/>
      </rPr>
      <t>PerProgram</t>
    </r>
    <r>
      <rPr>
        <sz val="11"/>
        <color theme="1"/>
        <rFont val="Calibri"/>
        <family val="2"/>
        <scheme val="minor"/>
      </rPr>
      <t xml:space="preserve"> - Per Program
</t>
    </r>
    <r>
      <rPr>
        <b/>
        <sz val="11"/>
        <color theme="1"/>
        <rFont val="Calibri"/>
        <family val="2"/>
        <scheme val="minor"/>
      </rPr>
      <t>PerCourse</t>
    </r>
    <r>
      <rPr>
        <sz val="11"/>
        <color theme="1"/>
        <rFont val="Calibri"/>
        <family val="2"/>
        <scheme val="minor"/>
      </rPr>
      <t xml:space="preserve"> - Per Course
</t>
    </r>
    <r>
      <rPr>
        <b/>
        <sz val="11"/>
        <color theme="1"/>
        <rFont val="Calibri"/>
        <family val="2"/>
        <scheme val="minor"/>
      </rPr>
      <t>PerCredit</t>
    </r>
    <r>
      <rPr>
        <sz val="11"/>
        <color theme="1"/>
        <rFont val="Calibri"/>
        <family val="2"/>
        <scheme val="minor"/>
      </rPr>
      <t xml:space="preserve"> - Per Credit
</t>
    </r>
  </si>
  <si>
    <r>
      <t>Required</t>
    </r>
    <r>
      <rPr>
        <sz val="11"/>
        <color theme="1"/>
        <rFont val="Calibri"/>
        <family val="2"/>
        <scheme val="minor"/>
      </rPr>
      <t xml:space="preserve"> - Required
</t>
    </r>
    <r>
      <rPr>
        <b/>
        <sz val="11"/>
        <color theme="1"/>
        <rFont val="Calibri"/>
        <family val="2"/>
        <scheme val="minor"/>
      </rPr>
      <t>Recommended</t>
    </r>
    <r>
      <rPr>
        <sz val="11"/>
        <color theme="1"/>
        <rFont val="Calibri"/>
        <family val="2"/>
        <scheme val="minor"/>
      </rPr>
      <t xml:space="preserve"> - Recommended
</t>
    </r>
    <r>
      <rPr>
        <b/>
        <sz val="11"/>
        <color theme="1"/>
        <rFont val="Calibri"/>
        <family val="2"/>
        <scheme val="minor"/>
      </rPr>
      <t>NeitherRequiredRecommended</t>
    </r>
    <r>
      <rPr>
        <sz val="11"/>
        <color theme="1"/>
        <rFont val="Calibri"/>
        <family val="2"/>
        <scheme val="minor"/>
      </rPr>
      <t xml:space="preserve"> - Neither Required nor Recommended
</t>
    </r>
    <r>
      <rPr>
        <b/>
        <sz val="11"/>
        <color theme="1"/>
        <rFont val="Calibri"/>
        <family val="2"/>
        <scheme val="minor"/>
      </rPr>
      <t>DontKnow</t>
    </r>
    <r>
      <rPr>
        <sz val="11"/>
        <color theme="1"/>
        <rFont val="Calibri"/>
        <family val="2"/>
        <scheme val="minor"/>
      </rPr>
      <t xml:space="preserve"> - Don't Know
</t>
    </r>
  </si>
  <si>
    <r>
      <t>SecondarySchoolGPA</t>
    </r>
    <r>
      <rPr>
        <sz val="11"/>
        <color theme="1"/>
        <rFont val="Calibri"/>
        <family val="2"/>
        <scheme val="minor"/>
      </rPr>
      <t xml:space="preserve"> - Secondary school GPA
</t>
    </r>
    <r>
      <rPr>
        <b/>
        <sz val="11"/>
        <color theme="1"/>
        <rFont val="Calibri"/>
        <family val="2"/>
        <scheme val="minor"/>
      </rPr>
      <t>SecondarySchoolRank</t>
    </r>
    <r>
      <rPr>
        <sz val="11"/>
        <color theme="1"/>
        <rFont val="Calibri"/>
        <family val="2"/>
        <scheme val="minor"/>
      </rPr>
      <t xml:space="preserve"> - Secondary school rank
</t>
    </r>
    <r>
      <rPr>
        <b/>
        <sz val="11"/>
        <color theme="1"/>
        <rFont val="Calibri"/>
        <family val="2"/>
        <scheme val="minor"/>
      </rPr>
      <t>SecondarySchoolRecord</t>
    </r>
    <r>
      <rPr>
        <sz val="11"/>
        <color theme="1"/>
        <rFont val="Calibri"/>
        <family val="2"/>
        <scheme val="minor"/>
      </rPr>
      <t xml:space="preserve"> - Secondary school record
</t>
    </r>
    <r>
      <rPr>
        <b/>
        <sz val="11"/>
        <color theme="1"/>
        <rFont val="Calibri"/>
        <family val="2"/>
        <scheme val="minor"/>
      </rPr>
      <t>CompletionOfCollegePrepProgram</t>
    </r>
    <r>
      <rPr>
        <sz val="11"/>
        <color theme="1"/>
        <rFont val="Calibri"/>
        <family val="2"/>
        <scheme val="minor"/>
      </rPr>
      <t xml:space="preserve"> - Completion of college-preparatory program
</t>
    </r>
    <r>
      <rPr>
        <b/>
        <sz val="11"/>
        <color theme="1"/>
        <rFont val="Calibri"/>
        <family val="2"/>
        <scheme val="minor"/>
      </rPr>
      <t>Recommendations</t>
    </r>
    <r>
      <rPr>
        <sz val="11"/>
        <color theme="1"/>
        <rFont val="Calibri"/>
        <family val="2"/>
        <scheme val="minor"/>
      </rPr>
      <t xml:space="preserve"> - Recommendations
</t>
    </r>
    <r>
      <rPr>
        <b/>
        <sz val="11"/>
        <color theme="1"/>
        <rFont val="Calibri"/>
        <family val="2"/>
        <scheme val="minor"/>
      </rPr>
      <t>FormalDemonstrationOfCompetencies</t>
    </r>
    <r>
      <rPr>
        <sz val="11"/>
        <color theme="1"/>
        <rFont val="Calibri"/>
        <family val="2"/>
        <scheme val="minor"/>
      </rPr>
      <t xml:space="preserve"> - Formal demonstration of competencies (e.g., portfolios, certificates of mastery, assessment instruments)
</t>
    </r>
    <r>
      <rPr>
        <b/>
        <sz val="11"/>
        <color theme="1"/>
        <rFont val="Calibri"/>
        <family val="2"/>
        <scheme val="minor"/>
      </rPr>
      <t>AdmissionTestScores</t>
    </r>
    <r>
      <rPr>
        <sz val="11"/>
        <color theme="1"/>
        <rFont val="Calibri"/>
        <family val="2"/>
        <scheme val="minor"/>
      </rPr>
      <t xml:space="preserve"> - Admission test scores
</t>
    </r>
    <r>
      <rPr>
        <b/>
        <sz val="11"/>
        <color theme="1"/>
        <rFont val="Calibri"/>
        <family val="2"/>
        <scheme val="minor"/>
      </rPr>
      <t>SAT_ACT</t>
    </r>
    <r>
      <rPr>
        <sz val="11"/>
        <color theme="1"/>
        <rFont val="Calibri"/>
        <family val="2"/>
        <scheme val="minor"/>
      </rPr>
      <t xml:space="preserve"> - SAT / ACT
</t>
    </r>
    <r>
      <rPr>
        <b/>
        <sz val="11"/>
        <color theme="1"/>
        <rFont val="Calibri"/>
        <family val="2"/>
        <scheme val="minor"/>
      </rPr>
      <t>TOEFL</t>
    </r>
    <r>
      <rPr>
        <sz val="11"/>
        <color theme="1"/>
        <rFont val="Calibri"/>
        <family val="2"/>
        <scheme val="minor"/>
      </rPr>
      <t xml:space="preserve"> - Test of English as a Foreign Language
</t>
    </r>
    <r>
      <rPr>
        <b/>
        <sz val="11"/>
        <color theme="1"/>
        <rFont val="Calibri"/>
        <family val="2"/>
        <scheme val="minor"/>
      </rPr>
      <t>OtherTest</t>
    </r>
    <r>
      <rPr>
        <sz val="11"/>
        <color theme="1"/>
        <rFont val="Calibri"/>
        <family val="2"/>
        <scheme val="minor"/>
      </rPr>
      <t xml:space="preserve"> - Other Test (ABT, Wonderlic, WISC-III, etc.)
</t>
    </r>
  </si>
  <si>
    <r>
      <t>Credit</t>
    </r>
    <r>
      <rPr>
        <sz val="11"/>
        <color theme="1"/>
        <rFont val="Calibri"/>
        <family val="2"/>
        <scheme val="minor"/>
      </rPr>
      <t xml:space="preserve"> - Credit
</t>
    </r>
    <r>
      <rPr>
        <b/>
        <sz val="11"/>
        <color theme="1"/>
        <rFont val="Calibri"/>
        <family val="2"/>
        <scheme val="minor"/>
      </rPr>
      <t>Contact</t>
    </r>
    <r>
      <rPr>
        <sz val="11"/>
        <color theme="1"/>
        <rFont val="Calibri"/>
        <family val="2"/>
        <scheme val="minor"/>
      </rPr>
      <t xml:space="preserve"> - Contact
</t>
    </r>
  </si>
  <si>
    <r>
      <t>PrimaryEnrollment</t>
    </r>
    <r>
      <rPr>
        <sz val="11"/>
        <color theme="1"/>
        <rFont val="Calibri"/>
        <family val="2"/>
        <scheme val="minor"/>
      </rPr>
      <t xml:space="preserve"> - Primary enrollment
</t>
    </r>
    <r>
      <rPr>
        <b/>
        <sz val="11"/>
        <color theme="1"/>
        <rFont val="Calibri"/>
        <family val="2"/>
        <scheme val="minor"/>
      </rPr>
      <t>AdditionalEnrollment</t>
    </r>
    <r>
      <rPr>
        <sz val="11"/>
        <color theme="1"/>
        <rFont val="Calibri"/>
        <family val="2"/>
        <scheme val="minor"/>
      </rPr>
      <t xml:space="preserve"> - Additional enrollment
</t>
    </r>
    <r>
      <rPr>
        <b/>
        <sz val="11"/>
        <color theme="1"/>
        <rFont val="Calibri"/>
        <family val="2"/>
        <scheme val="minor"/>
      </rPr>
      <t>PrimaryCompletion</t>
    </r>
    <r>
      <rPr>
        <sz val="11"/>
        <color theme="1"/>
        <rFont val="Calibri"/>
        <family val="2"/>
        <scheme val="minor"/>
      </rPr>
      <t xml:space="preserve"> - Primary completion
</t>
    </r>
    <r>
      <rPr>
        <b/>
        <sz val="11"/>
        <color theme="1"/>
        <rFont val="Calibri"/>
        <family val="2"/>
        <scheme val="minor"/>
      </rPr>
      <t>AdditionalCompletion</t>
    </r>
    <r>
      <rPr>
        <sz val="11"/>
        <color theme="1"/>
        <rFont val="Calibri"/>
        <family val="2"/>
        <scheme val="minor"/>
      </rPr>
      <t xml:space="preserve"> - Additional completion
</t>
    </r>
  </si>
  <si>
    <r>
      <t>CIP1980</t>
    </r>
    <r>
      <rPr>
        <sz val="11"/>
        <color theme="1"/>
        <rFont val="Calibri"/>
        <family val="2"/>
        <scheme val="minor"/>
      </rPr>
      <t xml:space="preserve"> - CIP 1980
</t>
    </r>
    <r>
      <rPr>
        <b/>
        <sz val="11"/>
        <color theme="1"/>
        <rFont val="Calibri"/>
        <family val="2"/>
        <scheme val="minor"/>
      </rPr>
      <t>CIP1985</t>
    </r>
    <r>
      <rPr>
        <sz val="11"/>
        <color theme="1"/>
        <rFont val="Calibri"/>
        <family val="2"/>
        <scheme val="minor"/>
      </rPr>
      <t xml:space="preserve"> - CIP 1985
</t>
    </r>
    <r>
      <rPr>
        <b/>
        <sz val="11"/>
        <color theme="1"/>
        <rFont val="Calibri"/>
        <family val="2"/>
        <scheme val="minor"/>
      </rPr>
      <t>CIP1990</t>
    </r>
    <r>
      <rPr>
        <sz val="11"/>
        <color theme="1"/>
        <rFont val="Calibri"/>
        <family val="2"/>
        <scheme val="minor"/>
      </rPr>
      <t xml:space="preserve"> - CIP 1990
</t>
    </r>
    <r>
      <rPr>
        <b/>
        <sz val="11"/>
        <color theme="1"/>
        <rFont val="Calibri"/>
        <family val="2"/>
        <scheme val="minor"/>
      </rPr>
      <t>CIP2000</t>
    </r>
    <r>
      <rPr>
        <sz val="11"/>
        <color theme="1"/>
        <rFont val="Calibri"/>
        <family val="2"/>
        <scheme val="minor"/>
      </rPr>
      <t xml:space="preserve"> - CIP 2000
</t>
    </r>
    <r>
      <rPr>
        <b/>
        <sz val="11"/>
        <color theme="1"/>
        <rFont val="Calibri"/>
        <family val="2"/>
        <scheme val="minor"/>
      </rPr>
      <t>CIP2010</t>
    </r>
    <r>
      <rPr>
        <sz val="11"/>
        <color theme="1"/>
        <rFont val="Calibri"/>
        <family val="2"/>
        <scheme val="minor"/>
      </rPr>
      <t xml:space="preserve"> - CIP 2010
</t>
    </r>
  </si>
  <si>
    <r>
      <t>Hours</t>
    </r>
    <r>
      <rPr>
        <sz val="11"/>
        <color theme="1"/>
        <rFont val="Calibri"/>
        <family val="2"/>
        <scheme val="minor"/>
      </rPr>
      <t xml:space="preserve"> - Hours
</t>
    </r>
    <r>
      <rPr>
        <b/>
        <sz val="11"/>
        <color theme="1"/>
        <rFont val="Calibri"/>
        <family val="2"/>
        <scheme val="minor"/>
      </rPr>
      <t>Weeks</t>
    </r>
    <r>
      <rPr>
        <sz val="11"/>
        <color theme="1"/>
        <rFont val="Calibri"/>
        <family val="2"/>
        <scheme val="minor"/>
      </rPr>
      <t xml:space="preserve"> - Weeks
</t>
    </r>
    <r>
      <rPr>
        <b/>
        <sz val="11"/>
        <color theme="1"/>
        <rFont val="Calibri"/>
        <family val="2"/>
        <scheme val="minor"/>
      </rPr>
      <t>Quarters</t>
    </r>
    <r>
      <rPr>
        <sz val="11"/>
        <color theme="1"/>
        <rFont val="Calibri"/>
        <family val="2"/>
        <scheme val="minor"/>
      </rPr>
      <t xml:space="preserve"> - Quarters
</t>
    </r>
    <r>
      <rPr>
        <b/>
        <sz val="11"/>
        <color theme="1"/>
        <rFont val="Calibri"/>
        <family val="2"/>
        <scheme val="minor"/>
      </rPr>
      <t>Semesters</t>
    </r>
    <r>
      <rPr>
        <sz val="11"/>
        <color theme="1"/>
        <rFont val="Calibri"/>
        <family val="2"/>
        <scheme val="minor"/>
      </rPr>
      <t xml:space="preserve"> - Semesters
</t>
    </r>
    <r>
      <rPr>
        <b/>
        <sz val="11"/>
        <color theme="1"/>
        <rFont val="Calibri"/>
        <family val="2"/>
        <scheme val="minor"/>
      </rPr>
      <t>Years</t>
    </r>
    <r>
      <rPr>
        <sz val="11"/>
        <color theme="1"/>
        <rFont val="Calibri"/>
        <family val="2"/>
        <scheme val="minor"/>
      </rPr>
      <t xml:space="preserve"> - Years
</t>
    </r>
  </si>
  <si>
    <r>
      <t>Major</t>
    </r>
    <r>
      <rPr>
        <sz val="11"/>
        <color theme="1"/>
        <rFont val="Calibri"/>
        <family val="2"/>
        <scheme val="minor"/>
      </rPr>
      <t xml:space="preserve"> - Major
</t>
    </r>
    <r>
      <rPr>
        <b/>
        <sz val="11"/>
        <color theme="1"/>
        <rFont val="Calibri"/>
        <family val="2"/>
        <scheme val="minor"/>
      </rPr>
      <t>Minor</t>
    </r>
    <r>
      <rPr>
        <sz val="11"/>
        <color theme="1"/>
        <rFont val="Calibri"/>
        <family val="2"/>
        <scheme val="minor"/>
      </rPr>
      <t xml:space="preserve"> - Minor
</t>
    </r>
    <r>
      <rPr>
        <b/>
        <sz val="11"/>
        <color theme="1"/>
        <rFont val="Calibri"/>
        <family val="2"/>
        <scheme val="minor"/>
      </rPr>
      <t>Certificate</t>
    </r>
    <r>
      <rPr>
        <sz val="11"/>
        <color theme="1"/>
        <rFont val="Calibri"/>
        <family val="2"/>
        <scheme val="minor"/>
      </rPr>
      <t xml:space="preserve"> - Certificate
</t>
    </r>
    <r>
      <rPr>
        <b/>
        <sz val="11"/>
        <color theme="1"/>
        <rFont val="Calibri"/>
        <family val="2"/>
        <scheme val="minor"/>
      </rPr>
      <t>Other</t>
    </r>
    <r>
      <rPr>
        <sz val="11"/>
        <color theme="1"/>
        <rFont val="Calibri"/>
        <family val="2"/>
        <scheme val="minor"/>
      </rPr>
      <t xml:space="preserve"> - Other
</t>
    </r>
  </si>
  <si>
    <t>PS Applicant</t>
  </si>
  <si>
    <r>
      <t>Conditional</t>
    </r>
    <r>
      <rPr>
        <sz val="11"/>
        <color theme="1"/>
        <rFont val="Calibri"/>
        <family val="2"/>
        <scheme val="minor"/>
      </rPr>
      <t xml:space="preserve"> - Conditional Admit
</t>
    </r>
    <r>
      <rPr>
        <b/>
        <sz val="11"/>
        <color theme="1"/>
        <rFont val="Calibri"/>
        <family val="2"/>
        <scheme val="minor"/>
      </rPr>
      <t>EarlyAction</t>
    </r>
    <r>
      <rPr>
        <sz val="11"/>
        <color theme="1"/>
        <rFont val="Calibri"/>
        <family val="2"/>
        <scheme val="minor"/>
      </rPr>
      <t xml:space="preserve"> - Early Action
</t>
    </r>
    <r>
      <rPr>
        <b/>
        <sz val="11"/>
        <color theme="1"/>
        <rFont val="Calibri"/>
        <family val="2"/>
        <scheme val="minor"/>
      </rPr>
      <t>EarlyAdmit</t>
    </r>
    <r>
      <rPr>
        <sz val="11"/>
        <color theme="1"/>
        <rFont val="Calibri"/>
        <family val="2"/>
        <scheme val="minor"/>
      </rPr>
      <t xml:space="preserve"> - Early Admit
</t>
    </r>
    <r>
      <rPr>
        <b/>
        <sz val="11"/>
        <color theme="1"/>
        <rFont val="Calibri"/>
        <family val="2"/>
        <scheme val="minor"/>
      </rPr>
      <t>EarlyDecision</t>
    </r>
    <r>
      <rPr>
        <sz val="11"/>
        <color theme="1"/>
        <rFont val="Calibri"/>
        <family val="2"/>
        <scheme val="minor"/>
      </rPr>
      <t xml:space="preserve"> - Early Decision
</t>
    </r>
    <r>
      <rPr>
        <b/>
        <sz val="11"/>
        <color theme="1"/>
        <rFont val="Calibri"/>
        <family val="2"/>
        <scheme val="minor"/>
      </rPr>
      <t>Regular</t>
    </r>
    <r>
      <rPr>
        <sz val="11"/>
        <color theme="1"/>
        <rFont val="Calibri"/>
        <family val="2"/>
        <scheme val="minor"/>
      </rPr>
      <t xml:space="preserve"> - Regular Admit
</t>
    </r>
    <r>
      <rPr>
        <b/>
        <sz val="11"/>
        <color theme="1"/>
        <rFont val="Calibri"/>
        <family val="2"/>
        <scheme val="minor"/>
      </rPr>
      <t>Waitlist</t>
    </r>
    <r>
      <rPr>
        <sz val="11"/>
        <color theme="1"/>
        <rFont val="Calibri"/>
        <family val="2"/>
        <scheme val="minor"/>
      </rPr>
      <t xml:space="preserve"> - Waitlist Admit
</t>
    </r>
    <r>
      <rPr>
        <b/>
        <sz val="11"/>
        <color theme="1"/>
        <rFont val="Calibri"/>
        <family val="2"/>
        <scheme val="minor"/>
      </rPr>
      <t>Other</t>
    </r>
    <r>
      <rPr>
        <sz val="11"/>
        <color theme="1"/>
        <rFont val="Calibri"/>
        <family val="2"/>
        <scheme val="minor"/>
      </rPr>
      <t xml:space="preserve"> - Other Admit
</t>
    </r>
    <r>
      <rPr>
        <b/>
        <sz val="11"/>
        <color theme="1"/>
        <rFont val="Calibri"/>
        <family val="2"/>
        <scheme val="minor"/>
      </rPr>
      <t>No</t>
    </r>
    <r>
      <rPr>
        <sz val="11"/>
        <color theme="1"/>
        <rFont val="Calibri"/>
        <family val="2"/>
        <scheme val="minor"/>
      </rPr>
      <t xml:space="preserve"> - No
</t>
    </r>
  </si>
  <si>
    <r>
      <t>HighSchool</t>
    </r>
    <r>
      <rPr>
        <sz val="11"/>
        <color theme="1"/>
        <rFont val="Calibri"/>
        <family val="2"/>
        <scheme val="minor"/>
      </rPr>
      <t xml:space="preserve"> - High School
</t>
    </r>
    <r>
      <rPr>
        <b/>
        <sz val="11"/>
        <color theme="1"/>
        <rFont val="Calibri"/>
        <family val="2"/>
        <scheme val="minor"/>
      </rPr>
      <t>PSUndergraduate</t>
    </r>
    <r>
      <rPr>
        <sz val="11"/>
        <color theme="1"/>
        <rFont val="Calibri"/>
        <family val="2"/>
        <scheme val="minor"/>
      </rPr>
      <t xml:space="preserve"> - Postsecondary Undergraduate
</t>
    </r>
    <r>
      <rPr>
        <b/>
        <sz val="11"/>
        <color theme="1"/>
        <rFont val="Calibri"/>
        <family val="2"/>
        <scheme val="minor"/>
      </rPr>
      <t>PSTransfer</t>
    </r>
    <r>
      <rPr>
        <sz val="11"/>
        <color theme="1"/>
        <rFont val="Calibri"/>
        <family val="2"/>
        <scheme val="minor"/>
      </rPr>
      <t xml:space="preserve"> - Postsecondary Transfer Institution
</t>
    </r>
    <r>
      <rPr>
        <b/>
        <sz val="11"/>
        <color theme="1"/>
        <rFont val="Calibri"/>
        <family val="2"/>
        <scheme val="minor"/>
      </rPr>
      <t>PSGraduate</t>
    </r>
    <r>
      <rPr>
        <sz val="11"/>
        <color theme="1"/>
        <rFont val="Calibri"/>
        <family val="2"/>
        <scheme val="minor"/>
      </rPr>
      <t xml:space="preserve"> - Postsecondary Graduate
</t>
    </r>
  </si>
  <si>
    <t>PS Student</t>
  </si>
  <si>
    <r>
      <t>Dependent</t>
    </r>
    <r>
      <rPr>
        <sz val="11"/>
        <color theme="1"/>
        <rFont val="Calibri"/>
        <family val="2"/>
        <scheme val="minor"/>
      </rPr>
      <t xml:space="preserve"> - Dependent
</t>
    </r>
    <r>
      <rPr>
        <b/>
        <sz val="11"/>
        <color theme="1"/>
        <rFont val="Calibri"/>
        <family val="2"/>
        <scheme val="minor"/>
      </rPr>
      <t>Independent</t>
    </r>
    <r>
      <rPr>
        <sz val="11"/>
        <color theme="1"/>
        <rFont val="Calibri"/>
        <family val="2"/>
        <scheme val="minor"/>
      </rPr>
      <t xml:space="preserve"> - Independent
</t>
    </r>
    <r>
      <rPr>
        <b/>
        <sz val="11"/>
        <color theme="1"/>
        <rFont val="Calibri"/>
        <family val="2"/>
        <scheme val="minor"/>
      </rPr>
      <t>Unknown</t>
    </r>
    <r>
      <rPr>
        <sz val="11"/>
        <color theme="1"/>
        <rFont val="Calibri"/>
        <family val="2"/>
        <scheme val="minor"/>
      </rPr>
      <t xml:space="preserve"> - Unknown
</t>
    </r>
  </si>
  <si>
    <r>
      <t>USCitizen</t>
    </r>
    <r>
      <rPr>
        <sz val="11"/>
        <color theme="1"/>
        <rFont val="Calibri"/>
        <family val="2"/>
        <scheme val="minor"/>
      </rPr>
      <t xml:space="preserve"> - US Citizen
</t>
    </r>
    <r>
      <rPr>
        <b/>
        <sz val="11"/>
        <color theme="1"/>
        <rFont val="Calibri"/>
        <family val="2"/>
        <scheme val="minor"/>
      </rPr>
      <t>PermanentResident</t>
    </r>
    <r>
      <rPr>
        <sz val="11"/>
        <color theme="1"/>
        <rFont val="Calibri"/>
        <family val="2"/>
        <scheme val="minor"/>
      </rPr>
      <t xml:space="preserve"> - Permanent resident
</t>
    </r>
    <r>
      <rPr>
        <b/>
        <sz val="11"/>
        <color theme="1"/>
        <rFont val="Calibri"/>
        <family val="2"/>
        <scheme val="minor"/>
      </rPr>
      <t>ResidentAlien</t>
    </r>
    <r>
      <rPr>
        <sz val="11"/>
        <color theme="1"/>
        <rFont val="Calibri"/>
        <family val="2"/>
        <scheme val="minor"/>
      </rPr>
      <t xml:space="preserve"> - Resident alien
</t>
    </r>
    <r>
      <rPr>
        <b/>
        <sz val="11"/>
        <color theme="1"/>
        <rFont val="Calibri"/>
        <family val="2"/>
        <scheme val="minor"/>
      </rPr>
      <t>NonResidentAlien</t>
    </r>
    <r>
      <rPr>
        <sz val="11"/>
        <color theme="1"/>
        <rFont val="Calibri"/>
        <family val="2"/>
        <scheme val="minor"/>
      </rPr>
      <t xml:space="preserve"> - Non-resident alien
</t>
    </r>
    <r>
      <rPr>
        <b/>
        <sz val="11"/>
        <color theme="1"/>
        <rFont val="Calibri"/>
        <family val="2"/>
        <scheme val="minor"/>
      </rPr>
      <t>Refugee</t>
    </r>
    <r>
      <rPr>
        <sz val="11"/>
        <color theme="1"/>
        <rFont val="Calibri"/>
        <family val="2"/>
        <scheme val="minor"/>
      </rPr>
      <t xml:space="preserve"> - Refugee
</t>
    </r>
  </si>
  <si>
    <r>
      <t>F1</t>
    </r>
    <r>
      <rPr>
        <sz val="11"/>
        <color theme="1"/>
        <rFont val="Calibri"/>
        <family val="2"/>
        <scheme val="minor"/>
      </rPr>
      <t xml:space="preserve"> - Foreign Student Visa
</t>
    </r>
    <r>
      <rPr>
        <b/>
        <sz val="11"/>
        <color theme="1"/>
        <rFont val="Calibri"/>
        <family val="2"/>
        <scheme val="minor"/>
      </rPr>
      <t>M1</t>
    </r>
    <r>
      <rPr>
        <sz val="11"/>
        <color theme="1"/>
        <rFont val="Calibri"/>
        <family val="2"/>
        <scheme val="minor"/>
      </rPr>
      <t xml:space="preserve"> - Foreign Student pursuing vocational or non-academic studies Visa
</t>
    </r>
    <r>
      <rPr>
        <b/>
        <sz val="11"/>
        <color theme="1"/>
        <rFont val="Calibri"/>
        <family val="2"/>
        <scheme val="minor"/>
      </rPr>
      <t>H1</t>
    </r>
    <r>
      <rPr>
        <sz val="11"/>
        <color theme="1"/>
        <rFont val="Calibri"/>
        <family val="2"/>
        <scheme val="minor"/>
      </rPr>
      <t xml:space="preserve"> - Employment Visa
</t>
    </r>
    <r>
      <rPr>
        <b/>
        <sz val="11"/>
        <color theme="1"/>
        <rFont val="Calibri"/>
        <family val="2"/>
        <scheme val="minor"/>
      </rPr>
      <t>B1</t>
    </r>
    <r>
      <rPr>
        <sz val="11"/>
        <color theme="1"/>
        <rFont val="Calibri"/>
        <family val="2"/>
        <scheme val="minor"/>
      </rPr>
      <t xml:space="preserve"> - Business Visa
</t>
    </r>
    <r>
      <rPr>
        <b/>
        <sz val="11"/>
        <color theme="1"/>
        <rFont val="Calibri"/>
        <family val="2"/>
        <scheme val="minor"/>
      </rPr>
      <t>B2</t>
    </r>
    <r>
      <rPr>
        <sz val="11"/>
        <color theme="1"/>
        <rFont val="Calibri"/>
        <family val="2"/>
        <scheme val="minor"/>
      </rPr>
      <t xml:space="preserve"> - Tourist Visa
</t>
    </r>
    <r>
      <rPr>
        <b/>
        <sz val="11"/>
        <color theme="1"/>
        <rFont val="Calibri"/>
        <family val="2"/>
        <scheme val="minor"/>
      </rPr>
      <t>J1</t>
    </r>
    <r>
      <rPr>
        <sz val="11"/>
        <color theme="1"/>
        <rFont val="Calibri"/>
        <family val="2"/>
        <scheme val="minor"/>
      </rPr>
      <t xml:space="preserve"> - Exchange Scholar Visa
</t>
    </r>
    <r>
      <rPr>
        <b/>
        <sz val="11"/>
        <color theme="1"/>
        <rFont val="Calibri"/>
        <family val="2"/>
        <scheme val="minor"/>
      </rPr>
      <t>OV</t>
    </r>
    <r>
      <rPr>
        <sz val="11"/>
        <color theme="1"/>
        <rFont val="Calibri"/>
        <family val="2"/>
        <scheme val="minor"/>
      </rPr>
      <t xml:space="preserve"> - Other Visa
</t>
    </r>
  </si>
  <si>
    <r>
      <t>InDistrict</t>
    </r>
    <r>
      <rPr>
        <sz val="11"/>
        <color theme="1"/>
        <rFont val="Calibri"/>
        <family val="2"/>
        <scheme val="minor"/>
      </rPr>
      <t xml:space="preserve"> - In-district
</t>
    </r>
    <r>
      <rPr>
        <b/>
        <sz val="11"/>
        <color theme="1"/>
        <rFont val="Calibri"/>
        <family val="2"/>
        <scheme val="minor"/>
      </rPr>
      <t>InState</t>
    </r>
    <r>
      <rPr>
        <sz val="11"/>
        <color theme="1"/>
        <rFont val="Calibri"/>
        <family val="2"/>
        <scheme val="minor"/>
      </rPr>
      <t xml:space="preserve"> - In-state
</t>
    </r>
    <r>
      <rPr>
        <b/>
        <sz val="11"/>
        <color theme="1"/>
        <rFont val="Calibri"/>
        <family val="2"/>
        <scheme val="minor"/>
      </rPr>
      <t>OutOfState</t>
    </r>
    <r>
      <rPr>
        <sz val="11"/>
        <color theme="1"/>
        <rFont val="Calibri"/>
        <family val="2"/>
        <scheme val="minor"/>
      </rPr>
      <t xml:space="preserve"> - Out-of-state
</t>
    </r>
    <r>
      <rPr>
        <b/>
        <sz val="11"/>
        <color theme="1"/>
        <rFont val="Calibri"/>
        <family val="2"/>
        <scheme val="minor"/>
      </rPr>
      <t>NoDifferential</t>
    </r>
    <r>
      <rPr>
        <sz val="11"/>
        <color theme="1"/>
        <rFont val="Calibri"/>
        <family val="2"/>
        <scheme val="minor"/>
      </rPr>
      <t xml:space="preserve"> - No differential tuition based on residency
</t>
    </r>
  </si>
  <si>
    <r>
      <t>OnCampus</t>
    </r>
    <r>
      <rPr>
        <sz val="11"/>
        <color theme="1"/>
        <rFont val="Calibri"/>
        <family val="2"/>
        <scheme val="minor"/>
      </rPr>
      <t xml:space="preserve"> - On campus
</t>
    </r>
    <r>
      <rPr>
        <b/>
        <sz val="11"/>
        <color theme="1"/>
        <rFont val="Calibri"/>
        <family val="2"/>
        <scheme val="minor"/>
      </rPr>
      <t>OffCampusWFamily</t>
    </r>
    <r>
      <rPr>
        <sz val="11"/>
        <color theme="1"/>
        <rFont val="Calibri"/>
        <family val="2"/>
        <scheme val="minor"/>
      </rPr>
      <t xml:space="preserve"> - Off campus, with family
</t>
    </r>
    <r>
      <rPr>
        <b/>
        <sz val="11"/>
        <color theme="1"/>
        <rFont val="Calibri"/>
        <family val="2"/>
        <scheme val="minor"/>
      </rPr>
      <t>OffCampusWOFamily</t>
    </r>
    <r>
      <rPr>
        <sz val="11"/>
        <color theme="1"/>
        <rFont val="Calibri"/>
        <family val="2"/>
        <scheme val="minor"/>
      </rPr>
      <t xml:space="preserve"> - Off campus, without family
</t>
    </r>
    <r>
      <rPr>
        <b/>
        <sz val="11"/>
        <color theme="1"/>
        <rFont val="Calibri"/>
        <family val="2"/>
        <scheme val="minor"/>
      </rPr>
      <t>Unknown</t>
    </r>
    <r>
      <rPr>
        <sz val="11"/>
        <color theme="1"/>
        <rFont val="Calibri"/>
        <family val="2"/>
        <scheme val="minor"/>
      </rPr>
      <t xml:space="preserve"> - Unknown
</t>
    </r>
  </si>
  <si>
    <r>
      <t>Yes</t>
    </r>
    <r>
      <rPr>
        <sz val="11"/>
        <color theme="1"/>
        <rFont val="Calibri"/>
        <family val="2"/>
        <scheme val="minor"/>
      </rPr>
      <t xml:space="preserve"> - Currently meets standard for limited English proficiency
</t>
    </r>
    <r>
      <rPr>
        <b/>
        <sz val="11"/>
        <color theme="1"/>
        <rFont val="Calibri"/>
        <family val="2"/>
        <scheme val="minor"/>
      </rPr>
      <t>No</t>
    </r>
    <r>
      <rPr>
        <sz val="11"/>
        <color theme="1"/>
        <rFont val="Calibri"/>
        <family val="2"/>
        <scheme val="minor"/>
      </rPr>
      <t xml:space="preserve"> - Currently does not meet standard for limited English proficiency
</t>
    </r>
    <r>
      <rPr>
        <b/>
        <sz val="11"/>
        <color theme="1"/>
        <rFont val="Calibri"/>
        <family val="2"/>
        <scheme val="minor"/>
      </rPr>
      <t>Ever</t>
    </r>
    <r>
      <rPr>
        <sz val="11"/>
        <color theme="1"/>
        <rFont val="Calibri"/>
        <family val="2"/>
        <scheme val="minor"/>
      </rPr>
      <t xml:space="preserve"> - Ever met standard for limited English proficiency
</t>
    </r>
  </si>
  <si>
    <r>
      <t>01</t>
    </r>
    <r>
      <rPr>
        <sz val="11"/>
        <color theme="1"/>
        <rFont val="Calibri"/>
        <family val="2"/>
        <scheme val="minor"/>
      </rPr>
      <t xml:space="preserve"> - Less than high school
</t>
    </r>
    <r>
      <rPr>
        <b/>
        <sz val="11"/>
        <color theme="1"/>
        <rFont val="Calibri"/>
        <family val="2"/>
        <scheme val="minor"/>
      </rPr>
      <t>02</t>
    </r>
    <r>
      <rPr>
        <sz val="11"/>
        <color theme="1"/>
        <rFont val="Calibri"/>
        <family val="2"/>
        <scheme val="minor"/>
      </rPr>
      <t xml:space="preserve"> - High school diploma or equivalent
</t>
    </r>
    <r>
      <rPr>
        <b/>
        <sz val="11"/>
        <color theme="1"/>
        <rFont val="Calibri"/>
        <family val="2"/>
        <scheme val="minor"/>
      </rPr>
      <t>03</t>
    </r>
    <r>
      <rPr>
        <sz val="11"/>
        <color theme="1"/>
        <rFont val="Calibri"/>
        <family val="2"/>
        <scheme val="minor"/>
      </rPr>
      <t xml:space="preserve"> - Some college but no formal award
</t>
    </r>
    <r>
      <rPr>
        <b/>
        <sz val="11"/>
        <color theme="1"/>
        <rFont val="Calibri"/>
        <family val="2"/>
        <scheme val="minor"/>
      </rPr>
      <t>04</t>
    </r>
    <r>
      <rPr>
        <sz val="11"/>
        <color theme="1"/>
        <rFont val="Calibri"/>
        <family val="2"/>
        <scheme val="minor"/>
      </rPr>
      <t xml:space="preserve"> - Certificate, less than an Associate's degree
</t>
    </r>
    <r>
      <rPr>
        <b/>
        <sz val="11"/>
        <color theme="1"/>
        <rFont val="Calibri"/>
        <family val="2"/>
        <scheme val="minor"/>
      </rPr>
      <t>05</t>
    </r>
    <r>
      <rPr>
        <sz val="11"/>
        <color theme="1"/>
        <rFont val="Calibri"/>
        <family val="2"/>
        <scheme val="minor"/>
      </rPr>
      <t xml:space="preserve"> - Associate's degree
</t>
    </r>
    <r>
      <rPr>
        <b/>
        <sz val="11"/>
        <color theme="1"/>
        <rFont val="Calibri"/>
        <family val="2"/>
        <scheme val="minor"/>
      </rPr>
      <t>06</t>
    </r>
    <r>
      <rPr>
        <sz val="11"/>
        <color theme="1"/>
        <rFont val="Calibri"/>
        <family val="2"/>
        <scheme val="minor"/>
      </rPr>
      <t xml:space="preserve"> - Baccalaureate degree
</t>
    </r>
    <r>
      <rPr>
        <b/>
        <sz val="11"/>
        <color theme="1"/>
        <rFont val="Calibri"/>
        <family val="2"/>
        <scheme val="minor"/>
      </rPr>
      <t>07</t>
    </r>
    <r>
      <rPr>
        <sz val="11"/>
        <color theme="1"/>
        <rFont val="Calibri"/>
        <family val="2"/>
        <scheme val="minor"/>
      </rPr>
      <t xml:space="preserve"> - Master's degree
</t>
    </r>
    <r>
      <rPr>
        <b/>
        <sz val="11"/>
        <color theme="1"/>
        <rFont val="Calibri"/>
        <family val="2"/>
        <scheme val="minor"/>
      </rPr>
      <t>08</t>
    </r>
    <r>
      <rPr>
        <sz val="11"/>
        <color theme="1"/>
        <rFont val="Calibri"/>
        <family val="2"/>
        <scheme val="minor"/>
      </rPr>
      <t xml:space="preserve"> - Doctoral/Professional degree
</t>
    </r>
    <r>
      <rPr>
        <b/>
        <sz val="11"/>
        <color theme="1"/>
        <rFont val="Calibri"/>
        <family val="2"/>
        <scheme val="minor"/>
      </rPr>
      <t>09</t>
    </r>
    <r>
      <rPr>
        <sz val="11"/>
        <color theme="1"/>
        <rFont val="Calibri"/>
        <family val="2"/>
        <scheme val="minor"/>
      </rPr>
      <t xml:space="preserve"> - Unknown
</t>
    </r>
  </si>
  <si>
    <r>
      <t>NotActive</t>
    </r>
    <r>
      <rPr>
        <sz val="11"/>
        <color theme="1"/>
        <rFont val="Calibri"/>
        <family val="2"/>
        <scheme val="minor"/>
      </rPr>
      <t xml:space="preserve"> - Not Active
</t>
    </r>
    <r>
      <rPr>
        <b/>
        <sz val="11"/>
        <color theme="1"/>
        <rFont val="Calibri"/>
        <family val="2"/>
        <scheme val="minor"/>
      </rPr>
      <t>Active</t>
    </r>
    <r>
      <rPr>
        <sz val="11"/>
        <color theme="1"/>
        <rFont val="Calibri"/>
        <family val="2"/>
        <scheme val="minor"/>
      </rPr>
      <t xml:space="preserve"> - Active
</t>
    </r>
    <r>
      <rPr>
        <b/>
        <sz val="11"/>
        <color theme="1"/>
        <rFont val="Calibri"/>
        <family val="2"/>
        <scheme val="minor"/>
      </rPr>
      <t>Unknown</t>
    </r>
    <r>
      <rPr>
        <sz val="11"/>
        <color theme="1"/>
        <rFont val="Calibri"/>
        <family val="2"/>
        <scheme val="minor"/>
      </rPr>
      <t xml:space="preserve"> - Unknown
</t>
    </r>
  </si>
  <si>
    <r>
      <t>NotVeteran</t>
    </r>
    <r>
      <rPr>
        <sz val="11"/>
        <color theme="1"/>
        <rFont val="Calibri"/>
        <family val="2"/>
        <scheme val="minor"/>
      </rPr>
      <t xml:space="preserve"> - Not a Veteran
</t>
    </r>
    <r>
      <rPr>
        <b/>
        <sz val="11"/>
        <color theme="1"/>
        <rFont val="Calibri"/>
        <family val="2"/>
        <scheme val="minor"/>
      </rPr>
      <t>Veteran</t>
    </r>
    <r>
      <rPr>
        <sz val="11"/>
        <color theme="1"/>
        <rFont val="Calibri"/>
        <family val="2"/>
        <scheme val="minor"/>
      </rPr>
      <t xml:space="preserve"> - Veteran
</t>
    </r>
    <r>
      <rPr>
        <b/>
        <sz val="11"/>
        <color theme="1"/>
        <rFont val="Calibri"/>
        <family val="2"/>
        <scheme val="minor"/>
      </rPr>
      <t>Unknown</t>
    </r>
    <r>
      <rPr>
        <sz val="11"/>
        <color theme="1"/>
        <rFont val="Calibri"/>
        <family val="2"/>
        <scheme val="minor"/>
      </rPr>
      <t xml:space="preserve"> - Unknown
</t>
    </r>
  </si>
  <si>
    <t>Application</t>
  </si>
  <si>
    <r>
      <t>SAT_Reading</t>
    </r>
    <r>
      <rPr>
        <sz val="11"/>
        <color theme="1"/>
        <rFont val="Calibri"/>
        <family val="2"/>
        <scheme val="minor"/>
      </rPr>
      <t xml:space="preserve"> - SAT Reading
</t>
    </r>
    <r>
      <rPr>
        <b/>
        <sz val="11"/>
        <color theme="1"/>
        <rFont val="Calibri"/>
        <family val="2"/>
        <scheme val="minor"/>
      </rPr>
      <t>SAT_Writing</t>
    </r>
    <r>
      <rPr>
        <sz val="11"/>
        <color theme="1"/>
        <rFont val="Calibri"/>
        <family val="2"/>
        <scheme val="minor"/>
      </rPr>
      <t xml:space="preserve"> - SAT Writing
</t>
    </r>
    <r>
      <rPr>
        <b/>
        <sz val="11"/>
        <color theme="1"/>
        <rFont val="Calibri"/>
        <family val="2"/>
        <scheme val="minor"/>
      </rPr>
      <t>SAT_Math</t>
    </r>
    <r>
      <rPr>
        <sz val="11"/>
        <color theme="1"/>
        <rFont val="Calibri"/>
        <family val="2"/>
        <scheme val="minor"/>
      </rPr>
      <t xml:space="preserve"> - SAT Math
</t>
    </r>
    <r>
      <rPr>
        <b/>
        <sz val="11"/>
        <color theme="1"/>
        <rFont val="Calibri"/>
        <family val="2"/>
        <scheme val="minor"/>
      </rPr>
      <t>SAT_Total</t>
    </r>
    <r>
      <rPr>
        <sz val="11"/>
        <color theme="1"/>
        <rFont val="Calibri"/>
        <family val="2"/>
        <scheme val="minor"/>
      </rPr>
      <t xml:space="preserve"> - SAT Total
</t>
    </r>
    <r>
      <rPr>
        <b/>
        <sz val="11"/>
        <color theme="1"/>
        <rFont val="Calibri"/>
        <family val="2"/>
        <scheme val="minor"/>
      </rPr>
      <t>ACT_English</t>
    </r>
    <r>
      <rPr>
        <sz val="11"/>
        <color theme="1"/>
        <rFont val="Calibri"/>
        <family val="2"/>
        <scheme val="minor"/>
      </rPr>
      <t xml:space="preserve"> - ACT English
</t>
    </r>
    <r>
      <rPr>
        <b/>
        <sz val="11"/>
        <color theme="1"/>
        <rFont val="Calibri"/>
        <family val="2"/>
        <scheme val="minor"/>
      </rPr>
      <t>ACT_Math</t>
    </r>
    <r>
      <rPr>
        <sz val="11"/>
        <color theme="1"/>
        <rFont val="Calibri"/>
        <family val="2"/>
        <scheme val="minor"/>
      </rPr>
      <t xml:space="preserve"> - ACT Math
</t>
    </r>
    <r>
      <rPr>
        <b/>
        <sz val="11"/>
        <color theme="1"/>
        <rFont val="Calibri"/>
        <family val="2"/>
        <scheme val="minor"/>
      </rPr>
      <t>ACT_Reading</t>
    </r>
    <r>
      <rPr>
        <sz val="11"/>
        <color theme="1"/>
        <rFont val="Calibri"/>
        <family val="2"/>
        <scheme val="minor"/>
      </rPr>
      <t xml:space="preserve"> - ACT Reading
</t>
    </r>
    <r>
      <rPr>
        <b/>
        <sz val="11"/>
        <color theme="1"/>
        <rFont val="Calibri"/>
        <family val="2"/>
        <scheme val="minor"/>
      </rPr>
      <t>ACT_Science</t>
    </r>
    <r>
      <rPr>
        <sz val="11"/>
        <color theme="1"/>
        <rFont val="Calibri"/>
        <family val="2"/>
        <scheme val="minor"/>
      </rPr>
      <t xml:space="preserve"> - ACT Science
</t>
    </r>
    <r>
      <rPr>
        <b/>
        <sz val="11"/>
        <color theme="1"/>
        <rFont val="Calibri"/>
        <family val="2"/>
        <scheme val="minor"/>
      </rPr>
      <t>ACT_Composite</t>
    </r>
    <r>
      <rPr>
        <sz val="11"/>
        <color theme="1"/>
        <rFont val="Calibri"/>
        <family val="2"/>
        <scheme val="minor"/>
      </rPr>
      <t xml:space="preserve"> - ACT Composite
</t>
    </r>
    <r>
      <rPr>
        <b/>
        <sz val="11"/>
        <color theme="1"/>
        <rFont val="Calibri"/>
        <family val="2"/>
        <scheme val="minor"/>
      </rPr>
      <t>COMPASS_reading</t>
    </r>
    <r>
      <rPr>
        <sz val="11"/>
        <color theme="1"/>
        <rFont val="Calibri"/>
        <family val="2"/>
        <scheme val="minor"/>
      </rPr>
      <t xml:space="preserve"> - COMPASS reading
</t>
    </r>
    <r>
      <rPr>
        <b/>
        <sz val="11"/>
        <color theme="1"/>
        <rFont val="Calibri"/>
        <family val="2"/>
        <scheme val="minor"/>
      </rPr>
      <t>COMPASS_writing</t>
    </r>
    <r>
      <rPr>
        <sz val="11"/>
        <color theme="1"/>
        <rFont val="Calibri"/>
        <family val="2"/>
        <scheme val="minor"/>
      </rPr>
      <t xml:space="preserve"> - COMPASS writing
</t>
    </r>
    <r>
      <rPr>
        <b/>
        <sz val="11"/>
        <color theme="1"/>
        <rFont val="Calibri"/>
        <family val="2"/>
        <scheme val="minor"/>
      </rPr>
      <t>COMPASS_math</t>
    </r>
    <r>
      <rPr>
        <sz val="11"/>
        <color theme="1"/>
        <rFont val="Calibri"/>
        <family val="2"/>
        <scheme val="minor"/>
      </rPr>
      <t xml:space="preserve"> - COMPASS math
</t>
    </r>
    <r>
      <rPr>
        <b/>
        <sz val="11"/>
        <color theme="1"/>
        <rFont val="Calibri"/>
        <family val="2"/>
        <scheme val="minor"/>
      </rPr>
      <t>Accuplacer_reading</t>
    </r>
    <r>
      <rPr>
        <sz val="11"/>
        <color theme="1"/>
        <rFont val="Calibri"/>
        <family val="2"/>
        <scheme val="minor"/>
      </rPr>
      <t xml:space="preserve"> - Accuplacer reading
</t>
    </r>
    <r>
      <rPr>
        <b/>
        <sz val="11"/>
        <color theme="1"/>
        <rFont val="Calibri"/>
        <family val="2"/>
        <scheme val="minor"/>
      </rPr>
      <t>Accuplacer_writing</t>
    </r>
    <r>
      <rPr>
        <sz val="11"/>
        <color theme="1"/>
        <rFont val="Calibri"/>
        <family val="2"/>
        <scheme val="minor"/>
      </rPr>
      <t xml:space="preserve"> - Accuplacer writing
</t>
    </r>
    <r>
      <rPr>
        <b/>
        <sz val="11"/>
        <color theme="1"/>
        <rFont val="Calibri"/>
        <family val="2"/>
        <scheme val="minor"/>
      </rPr>
      <t>Accuplacer_math</t>
    </r>
    <r>
      <rPr>
        <sz val="11"/>
        <color theme="1"/>
        <rFont val="Calibri"/>
        <family val="2"/>
        <scheme val="minor"/>
      </rPr>
      <t xml:space="preserve"> - Accuplacer math
</t>
    </r>
    <r>
      <rPr>
        <b/>
        <sz val="11"/>
        <color theme="1"/>
        <rFont val="Calibri"/>
        <family val="2"/>
        <scheme val="minor"/>
      </rPr>
      <t>Other</t>
    </r>
    <r>
      <rPr>
        <sz val="11"/>
        <color theme="1"/>
        <rFont val="Calibri"/>
        <family val="2"/>
        <scheme val="minor"/>
      </rPr>
      <t xml:space="preserve"> - Other
</t>
    </r>
  </si>
  <si>
    <t>K12 Transcript</t>
  </si>
  <si>
    <t>Financial Aid</t>
  </si>
  <si>
    <r>
      <t>FAFSA</t>
    </r>
    <r>
      <rPr>
        <sz val="11"/>
        <color theme="1"/>
        <rFont val="Calibri"/>
        <family val="2"/>
        <scheme val="minor"/>
      </rPr>
      <t xml:space="preserve"> - Free Application for Federal Student Aid (FAFSA)
</t>
    </r>
    <r>
      <rPr>
        <b/>
        <sz val="11"/>
        <color theme="1"/>
        <rFont val="Calibri"/>
        <family val="2"/>
        <scheme val="minor"/>
      </rPr>
      <t>StateApplication</t>
    </r>
    <r>
      <rPr>
        <sz val="11"/>
        <color theme="1"/>
        <rFont val="Calibri"/>
        <family val="2"/>
        <scheme val="minor"/>
      </rPr>
      <t xml:space="preserve"> - State Application
</t>
    </r>
    <r>
      <rPr>
        <b/>
        <sz val="11"/>
        <color theme="1"/>
        <rFont val="Calibri"/>
        <family val="2"/>
        <scheme val="minor"/>
      </rPr>
      <t>InstitutionApplication</t>
    </r>
    <r>
      <rPr>
        <sz val="11"/>
        <color theme="1"/>
        <rFont val="Calibri"/>
        <family val="2"/>
        <scheme val="minor"/>
      </rPr>
      <t xml:space="preserve"> - Institution Application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None</t>
    </r>
    <r>
      <rPr>
        <sz val="11"/>
        <color theme="1"/>
        <rFont val="Calibri"/>
        <family val="2"/>
        <scheme val="minor"/>
      </rPr>
      <t xml:space="preserve"> - None
</t>
    </r>
  </si>
  <si>
    <r>
      <t>Federal</t>
    </r>
    <r>
      <rPr>
        <sz val="11"/>
        <color theme="1"/>
        <rFont val="Calibri"/>
        <family val="2"/>
        <scheme val="minor"/>
      </rPr>
      <t xml:space="preserve"> - Federal
</t>
    </r>
    <r>
      <rPr>
        <b/>
        <sz val="11"/>
        <color theme="1"/>
        <rFont val="Calibri"/>
        <family val="2"/>
        <scheme val="minor"/>
      </rPr>
      <t>Institutional</t>
    </r>
    <r>
      <rPr>
        <sz val="11"/>
        <color theme="1"/>
        <rFont val="Calibri"/>
        <family val="2"/>
        <scheme val="minor"/>
      </rPr>
      <t xml:space="preserve"> - Institutional
</t>
    </r>
  </si>
  <si>
    <r>
      <t>Awarded</t>
    </r>
    <r>
      <rPr>
        <sz val="11"/>
        <color theme="1"/>
        <rFont val="Calibri"/>
        <family val="2"/>
        <scheme val="minor"/>
      </rPr>
      <t xml:space="preserve"> - Awarded
</t>
    </r>
    <r>
      <rPr>
        <b/>
        <sz val="11"/>
        <color theme="1"/>
        <rFont val="Calibri"/>
        <family val="2"/>
        <scheme val="minor"/>
      </rPr>
      <t>Accepted</t>
    </r>
    <r>
      <rPr>
        <sz val="11"/>
        <color theme="1"/>
        <rFont val="Calibri"/>
        <family val="2"/>
        <scheme val="minor"/>
      </rPr>
      <t xml:space="preserve"> - Accepted
</t>
    </r>
    <r>
      <rPr>
        <b/>
        <sz val="11"/>
        <color theme="1"/>
        <rFont val="Calibri"/>
        <family val="2"/>
        <scheme val="minor"/>
      </rPr>
      <t>Disbursed</t>
    </r>
    <r>
      <rPr>
        <sz val="11"/>
        <color theme="1"/>
        <rFont val="Calibri"/>
        <family val="2"/>
        <scheme val="minor"/>
      </rPr>
      <t xml:space="preserve"> - Disbursed
</t>
    </r>
    <r>
      <rPr>
        <b/>
        <sz val="11"/>
        <color theme="1"/>
        <rFont val="Calibri"/>
        <family val="2"/>
        <scheme val="minor"/>
      </rPr>
      <t>Declined</t>
    </r>
    <r>
      <rPr>
        <sz val="11"/>
        <color theme="1"/>
        <rFont val="Calibri"/>
        <family val="2"/>
        <scheme val="minor"/>
      </rPr>
      <t xml:space="preserve"> - Declined
</t>
    </r>
  </si>
  <si>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StateAndLocalGrants</t>
    </r>
    <r>
      <rPr>
        <sz val="11"/>
        <color theme="1"/>
        <rFont val="Calibri"/>
        <family val="2"/>
        <scheme val="minor"/>
      </rPr>
      <t xml:space="preserve"> - State and local grants
</t>
    </r>
    <r>
      <rPr>
        <b/>
        <sz val="11"/>
        <color theme="1"/>
        <rFont val="Calibri"/>
        <family val="2"/>
        <scheme val="minor"/>
      </rPr>
      <t>InstitutionalGrants</t>
    </r>
    <r>
      <rPr>
        <sz val="11"/>
        <color theme="1"/>
        <rFont val="Calibri"/>
        <family val="2"/>
        <scheme val="minor"/>
      </rPr>
      <t xml:space="preserve"> - Institutional grants
</t>
    </r>
    <r>
      <rPr>
        <b/>
        <sz val="11"/>
        <color theme="1"/>
        <rFont val="Calibri"/>
        <family val="2"/>
        <scheme val="minor"/>
      </rPr>
      <t>PrivateGrants</t>
    </r>
    <r>
      <rPr>
        <sz val="11"/>
        <color theme="1"/>
        <rFont val="Calibri"/>
        <family val="2"/>
        <scheme val="minor"/>
      </rPr>
      <t xml:space="preserve"> - Private grants
</t>
    </r>
    <r>
      <rPr>
        <b/>
        <sz val="11"/>
        <color theme="1"/>
        <rFont val="Calibri"/>
        <family val="2"/>
        <scheme val="minor"/>
      </rPr>
      <t>OtherGrants</t>
    </r>
    <r>
      <rPr>
        <sz val="11"/>
        <color theme="1"/>
        <rFont val="Calibri"/>
        <family val="2"/>
        <scheme val="minor"/>
      </rPr>
      <t xml:space="preserve"> - Other grants
</t>
    </r>
    <r>
      <rPr>
        <b/>
        <sz val="11"/>
        <color theme="1"/>
        <rFont val="Calibri"/>
        <family val="2"/>
        <scheme val="minor"/>
      </rPr>
      <t>Assistantships</t>
    </r>
    <r>
      <rPr>
        <sz val="11"/>
        <color theme="1"/>
        <rFont val="Calibri"/>
        <family val="2"/>
        <scheme val="minor"/>
      </rPr>
      <t xml:space="preserve"> - Assistantships
</t>
    </r>
    <r>
      <rPr>
        <b/>
        <sz val="11"/>
        <color theme="1"/>
        <rFont val="Calibri"/>
        <family val="2"/>
        <scheme val="minor"/>
      </rPr>
      <t>FederalScholarships</t>
    </r>
    <r>
      <rPr>
        <sz val="11"/>
        <color theme="1"/>
        <rFont val="Calibri"/>
        <family val="2"/>
        <scheme val="minor"/>
      </rPr>
      <t xml:space="preserve"> - Federal scholarships
</t>
    </r>
    <r>
      <rPr>
        <b/>
        <sz val="11"/>
        <color theme="1"/>
        <rFont val="Calibri"/>
        <family val="2"/>
        <scheme val="minor"/>
      </rPr>
      <t>StateAndLocalScholarships</t>
    </r>
    <r>
      <rPr>
        <sz val="11"/>
        <color theme="1"/>
        <rFont val="Calibri"/>
        <family val="2"/>
        <scheme val="minor"/>
      </rPr>
      <t xml:space="preserve"> - State and local scholarships
</t>
    </r>
    <r>
      <rPr>
        <b/>
        <sz val="11"/>
        <color theme="1"/>
        <rFont val="Calibri"/>
        <family val="2"/>
        <scheme val="minor"/>
      </rPr>
      <t>InstitutionalScholarships</t>
    </r>
    <r>
      <rPr>
        <sz val="11"/>
        <color theme="1"/>
        <rFont val="Calibri"/>
        <family val="2"/>
        <scheme val="minor"/>
      </rPr>
      <t xml:space="preserve"> - Institutional scholarships
</t>
    </r>
    <r>
      <rPr>
        <b/>
        <sz val="11"/>
        <color theme="1"/>
        <rFont val="Calibri"/>
        <family val="2"/>
        <scheme val="minor"/>
      </rPr>
      <t>PrivateScholarships</t>
    </r>
    <r>
      <rPr>
        <sz val="11"/>
        <color theme="1"/>
        <rFont val="Calibri"/>
        <family val="2"/>
        <scheme val="minor"/>
      </rPr>
      <t xml:space="preserve"> - Private scholarships
</t>
    </r>
    <r>
      <rPr>
        <b/>
        <sz val="11"/>
        <color theme="1"/>
        <rFont val="Calibri"/>
        <family val="2"/>
        <scheme val="minor"/>
      </rPr>
      <t>OtherScholarships</t>
    </r>
    <r>
      <rPr>
        <sz val="11"/>
        <color theme="1"/>
        <rFont val="Calibri"/>
        <family val="2"/>
        <scheme val="minor"/>
      </rPr>
      <t xml:space="preserve"> - Other scholarships
</t>
    </r>
    <r>
      <rPr>
        <b/>
        <sz val="11"/>
        <color theme="1"/>
        <rFont val="Calibri"/>
        <family val="2"/>
        <scheme val="minor"/>
      </rPr>
      <t>FederalSubsidizedLoans</t>
    </r>
    <r>
      <rPr>
        <sz val="11"/>
        <color theme="1"/>
        <rFont val="Calibri"/>
        <family val="2"/>
        <scheme val="minor"/>
      </rPr>
      <t xml:space="preserve"> - Federal subsidized loans
</t>
    </r>
    <r>
      <rPr>
        <b/>
        <sz val="11"/>
        <color theme="1"/>
        <rFont val="Calibri"/>
        <family val="2"/>
        <scheme val="minor"/>
      </rPr>
      <t>FederalUnsubsidizedLoans</t>
    </r>
    <r>
      <rPr>
        <sz val="11"/>
        <color theme="1"/>
        <rFont val="Calibri"/>
        <family val="2"/>
        <scheme val="minor"/>
      </rPr>
      <t xml:space="preserve"> - Federal unsubsidized loans
</t>
    </r>
    <r>
      <rPr>
        <b/>
        <sz val="11"/>
        <color theme="1"/>
        <rFont val="Calibri"/>
        <family val="2"/>
        <scheme val="minor"/>
      </rPr>
      <t>PrivateLoans</t>
    </r>
    <r>
      <rPr>
        <sz val="11"/>
        <color theme="1"/>
        <rFont val="Calibri"/>
        <family val="2"/>
        <scheme val="minor"/>
      </rPr>
      <t xml:space="preserve"> - Private loans
</t>
    </r>
    <r>
      <rPr>
        <b/>
        <sz val="11"/>
        <color theme="1"/>
        <rFont val="Calibri"/>
        <family val="2"/>
        <scheme val="minor"/>
      </rPr>
      <t>StateLoans</t>
    </r>
    <r>
      <rPr>
        <sz val="11"/>
        <color theme="1"/>
        <rFont val="Calibri"/>
        <family val="2"/>
        <scheme val="minor"/>
      </rPr>
      <t xml:space="preserve"> - State loans
</t>
    </r>
    <r>
      <rPr>
        <b/>
        <sz val="11"/>
        <color theme="1"/>
        <rFont val="Calibri"/>
        <family val="2"/>
        <scheme val="minor"/>
      </rPr>
      <t>InstitutionalLoans</t>
    </r>
    <r>
      <rPr>
        <sz val="11"/>
        <color theme="1"/>
        <rFont val="Calibri"/>
        <family val="2"/>
        <scheme val="minor"/>
      </rPr>
      <t xml:space="preserve"> - Institutional loans
</t>
    </r>
    <r>
      <rPr>
        <b/>
        <sz val="11"/>
        <color theme="1"/>
        <rFont val="Calibri"/>
        <family val="2"/>
        <scheme val="minor"/>
      </rPr>
      <t>ParentPLUSLoans</t>
    </r>
    <r>
      <rPr>
        <sz val="11"/>
        <color theme="1"/>
        <rFont val="Calibri"/>
        <family val="2"/>
        <scheme val="minor"/>
      </rPr>
      <t xml:space="preserve"> - Parent PLUS loans
</t>
    </r>
    <r>
      <rPr>
        <b/>
        <sz val="11"/>
        <color theme="1"/>
        <rFont val="Calibri"/>
        <family val="2"/>
        <scheme val="minor"/>
      </rPr>
      <t>OtherLoans</t>
    </r>
    <r>
      <rPr>
        <sz val="11"/>
        <color theme="1"/>
        <rFont val="Calibri"/>
        <family val="2"/>
        <scheme val="minor"/>
      </rPr>
      <t xml:space="preserve"> - Other loans
</t>
    </r>
    <r>
      <rPr>
        <b/>
        <sz val="11"/>
        <color theme="1"/>
        <rFont val="Calibri"/>
        <family val="2"/>
        <scheme val="minor"/>
      </rPr>
      <t>StateWork</t>
    </r>
    <r>
      <rPr>
        <sz val="11"/>
        <color theme="1"/>
        <rFont val="Calibri"/>
        <family val="2"/>
        <scheme val="minor"/>
      </rPr>
      <t xml:space="preserve"> - State work
</t>
    </r>
    <r>
      <rPr>
        <b/>
        <sz val="11"/>
        <color theme="1"/>
        <rFont val="Calibri"/>
        <family val="2"/>
        <scheme val="minor"/>
      </rPr>
      <t>FederalWorkStudy</t>
    </r>
    <r>
      <rPr>
        <sz val="11"/>
        <color theme="1"/>
        <rFont val="Calibri"/>
        <family val="2"/>
        <scheme val="minor"/>
      </rPr>
      <t xml:space="preserve"> - Federal work study
</t>
    </r>
    <r>
      <rPr>
        <b/>
        <sz val="11"/>
        <color theme="1"/>
        <rFont val="Calibri"/>
        <family val="2"/>
        <scheme val="minor"/>
      </rPr>
      <t>OtherOnCampusWork</t>
    </r>
    <r>
      <rPr>
        <sz val="11"/>
        <color theme="1"/>
        <rFont val="Calibri"/>
        <family val="2"/>
        <scheme val="minor"/>
      </rPr>
      <t xml:space="preserve"> - Other on-campus work
</t>
    </r>
  </si>
  <si>
    <r>
      <t>VeteranReceivingBenefits</t>
    </r>
    <r>
      <rPr>
        <sz val="11"/>
        <color theme="1"/>
        <rFont val="Calibri"/>
        <family val="2"/>
        <scheme val="minor"/>
      </rPr>
      <t xml:space="preserve"> - Veteran receiving benefits
</t>
    </r>
    <r>
      <rPr>
        <b/>
        <sz val="11"/>
        <color theme="1"/>
        <rFont val="Calibri"/>
        <family val="2"/>
        <scheme val="minor"/>
      </rPr>
      <t>VeteranDoesNotReceiveBenefits</t>
    </r>
    <r>
      <rPr>
        <sz val="11"/>
        <color theme="1"/>
        <rFont val="Calibri"/>
        <family val="2"/>
        <scheme val="minor"/>
      </rPr>
      <t xml:space="preserve"> - Veteran does not receive benefits
</t>
    </r>
    <r>
      <rPr>
        <b/>
        <sz val="11"/>
        <color theme="1"/>
        <rFont val="Calibri"/>
        <family val="2"/>
        <scheme val="minor"/>
      </rPr>
      <t>DependentReceivingBenefits</t>
    </r>
    <r>
      <rPr>
        <sz val="11"/>
        <color theme="1"/>
        <rFont val="Calibri"/>
        <family val="2"/>
        <scheme val="minor"/>
      </rPr>
      <t xml:space="preserve"> - Dependent receiving benefits
</t>
    </r>
  </si>
  <si>
    <r>
      <t>Post911GIBill</t>
    </r>
    <r>
      <rPr>
        <sz val="11"/>
        <color theme="1"/>
        <rFont val="Calibri"/>
        <family val="2"/>
        <scheme val="minor"/>
      </rPr>
      <t xml:space="preserve"> - Post-9/11 GI Bill
</t>
    </r>
    <r>
      <rPr>
        <b/>
        <sz val="11"/>
        <color theme="1"/>
        <rFont val="Calibri"/>
        <family val="2"/>
        <scheme val="minor"/>
      </rPr>
      <t>DODTuitionAssistance</t>
    </r>
    <r>
      <rPr>
        <sz val="11"/>
        <color theme="1"/>
        <rFont val="Calibri"/>
        <family val="2"/>
        <scheme val="minor"/>
      </rPr>
      <t xml:space="preserve"> - Department of Defense Tuition Assistance
</t>
    </r>
  </si>
  <si>
    <t>Institution Enrollment</t>
  </si>
  <si>
    <r>
      <t>01</t>
    </r>
    <r>
      <rPr>
        <sz val="11"/>
        <color theme="1"/>
        <rFont val="Calibri"/>
        <family val="2"/>
        <scheme val="minor"/>
      </rPr>
      <t xml:space="preserve"> - Death
</t>
    </r>
    <r>
      <rPr>
        <b/>
        <sz val="11"/>
        <color theme="1"/>
        <rFont val="Calibri"/>
        <family val="2"/>
        <scheme val="minor"/>
      </rPr>
      <t>02</t>
    </r>
    <r>
      <rPr>
        <sz val="11"/>
        <color theme="1"/>
        <rFont val="Calibri"/>
        <family val="2"/>
        <scheme val="minor"/>
      </rPr>
      <t xml:space="preserve"> - Total and permanent disability
</t>
    </r>
    <r>
      <rPr>
        <b/>
        <sz val="11"/>
        <color theme="1"/>
        <rFont val="Calibri"/>
        <family val="2"/>
        <scheme val="minor"/>
      </rPr>
      <t>03</t>
    </r>
    <r>
      <rPr>
        <sz val="11"/>
        <color theme="1"/>
        <rFont val="Calibri"/>
        <family val="2"/>
        <scheme val="minor"/>
      </rPr>
      <t xml:space="preserve"> - Service in the armed forces
</t>
    </r>
    <r>
      <rPr>
        <b/>
        <sz val="11"/>
        <color theme="1"/>
        <rFont val="Calibri"/>
        <family val="2"/>
        <scheme val="minor"/>
      </rPr>
      <t>04</t>
    </r>
    <r>
      <rPr>
        <sz val="11"/>
        <color theme="1"/>
        <rFont val="Calibri"/>
        <family val="2"/>
        <scheme val="minor"/>
      </rPr>
      <t xml:space="preserve"> - Service with a foreign aid service of the federal government
</t>
    </r>
    <r>
      <rPr>
        <b/>
        <sz val="11"/>
        <color theme="1"/>
        <rFont val="Calibri"/>
        <family val="2"/>
        <scheme val="minor"/>
      </rPr>
      <t>05</t>
    </r>
    <r>
      <rPr>
        <sz val="11"/>
        <color theme="1"/>
        <rFont val="Calibri"/>
        <family val="2"/>
        <scheme val="minor"/>
      </rPr>
      <t xml:space="preserve"> - Service on official church missions
</t>
    </r>
  </si>
  <si>
    <r>
      <t>Undergraduate</t>
    </r>
    <r>
      <rPr>
        <sz val="11"/>
        <color theme="1"/>
        <rFont val="Calibri"/>
        <family val="2"/>
        <scheme val="minor"/>
      </rPr>
      <t xml:space="preserve"> - Undergraduate
</t>
    </r>
    <r>
      <rPr>
        <b/>
        <sz val="11"/>
        <color theme="1"/>
        <rFont val="Calibri"/>
        <family val="2"/>
        <scheme val="minor"/>
      </rPr>
      <t>Graduate</t>
    </r>
    <r>
      <rPr>
        <sz val="11"/>
        <color theme="1"/>
        <rFont val="Calibri"/>
        <family val="2"/>
        <scheme val="minor"/>
      </rPr>
      <t xml:space="preserve"> - Graduate
</t>
    </r>
  </si>
  <si>
    <r>
      <t>Withdrawn</t>
    </r>
    <r>
      <rPr>
        <sz val="11"/>
        <color theme="1"/>
        <rFont val="Calibri"/>
        <family val="2"/>
        <scheme val="minor"/>
      </rPr>
      <t xml:space="preserve"> - Withdrawn
</t>
    </r>
    <r>
      <rPr>
        <b/>
        <sz val="11"/>
        <color theme="1"/>
        <rFont val="Calibri"/>
        <family val="2"/>
        <scheme val="minor"/>
      </rPr>
      <t>Graduated</t>
    </r>
    <r>
      <rPr>
        <sz val="11"/>
        <color theme="1"/>
        <rFont val="Calibri"/>
        <family val="2"/>
        <scheme val="minor"/>
      </rPr>
      <t xml:space="preserve"> - Graduated
</t>
    </r>
    <r>
      <rPr>
        <b/>
        <sz val="11"/>
        <color theme="1"/>
        <rFont val="Calibri"/>
        <family val="2"/>
        <scheme val="minor"/>
      </rPr>
      <t>ApprovedLeaveOfAbsence</t>
    </r>
    <r>
      <rPr>
        <sz val="11"/>
        <color theme="1"/>
        <rFont val="Calibri"/>
        <family val="2"/>
        <scheme val="minor"/>
      </rPr>
      <t xml:space="preserve"> - Approved Leave of Absence
</t>
    </r>
    <r>
      <rPr>
        <b/>
        <sz val="11"/>
        <color theme="1"/>
        <rFont val="Calibri"/>
        <family val="2"/>
        <scheme val="minor"/>
      </rPr>
      <t>Deceased</t>
    </r>
    <r>
      <rPr>
        <sz val="11"/>
        <color theme="1"/>
        <rFont val="Calibri"/>
        <family val="2"/>
        <scheme val="minor"/>
      </rPr>
      <t xml:space="preserve"> - Deceased
</t>
    </r>
    <r>
      <rPr>
        <b/>
        <sz val="11"/>
        <color theme="1"/>
        <rFont val="Calibri"/>
        <family val="2"/>
        <scheme val="minor"/>
      </rPr>
      <t>Unknown</t>
    </r>
    <r>
      <rPr>
        <sz val="11"/>
        <color theme="1"/>
        <rFont val="Calibri"/>
        <family val="2"/>
        <scheme val="minor"/>
      </rPr>
      <t xml:space="preserve"> - Unknown
</t>
    </r>
  </si>
  <si>
    <r>
      <t>YesStateDefined</t>
    </r>
    <r>
      <rPr>
        <sz val="11"/>
        <color theme="1"/>
        <rFont val="Calibri"/>
        <family val="2"/>
        <scheme val="minor"/>
      </rPr>
      <t xml:space="preserve"> - Yes, state defined
</t>
    </r>
    <r>
      <rPr>
        <b/>
        <sz val="11"/>
        <color theme="1"/>
        <rFont val="Calibri"/>
        <family val="2"/>
        <scheme val="minor"/>
      </rPr>
      <t>YesInstitutionDefined</t>
    </r>
    <r>
      <rPr>
        <sz val="11"/>
        <color theme="1"/>
        <rFont val="Calibri"/>
        <family val="2"/>
        <scheme val="minor"/>
      </rPr>
      <t xml:space="preserve"> - Yes, institution defined
</t>
    </r>
  </si>
  <si>
    <r>
      <t>CollegeReady</t>
    </r>
    <r>
      <rPr>
        <sz val="11"/>
        <color theme="1"/>
        <rFont val="Calibri"/>
        <family val="2"/>
        <scheme val="minor"/>
      </rPr>
      <t xml:space="preserve"> - College Ready
</t>
    </r>
    <r>
      <rPr>
        <b/>
        <sz val="11"/>
        <color theme="1"/>
        <rFont val="Calibri"/>
        <family val="2"/>
        <scheme val="minor"/>
      </rPr>
      <t>NotCollegeReady</t>
    </r>
    <r>
      <rPr>
        <sz val="11"/>
        <color theme="1"/>
        <rFont val="Calibri"/>
        <family val="2"/>
        <scheme val="minor"/>
      </rPr>
      <t xml:space="preserve"> - Not College Ready
</t>
    </r>
  </si>
  <si>
    <r>
      <t>DevelopmentalMath</t>
    </r>
    <r>
      <rPr>
        <sz val="11"/>
        <color theme="1"/>
        <rFont val="Calibri"/>
        <family val="2"/>
        <scheme val="minor"/>
      </rPr>
      <t xml:space="preserve"> - Developmental Math
</t>
    </r>
    <r>
      <rPr>
        <b/>
        <sz val="11"/>
        <color theme="1"/>
        <rFont val="Calibri"/>
        <family val="2"/>
        <scheme val="minor"/>
      </rPr>
      <t>DevelopmentalEnglish</t>
    </r>
    <r>
      <rPr>
        <sz val="11"/>
        <color theme="1"/>
        <rFont val="Calibri"/>
        <family val="2"/>
        <scheme val="minor"/>
      </rPr>
      <t xml:space="preserve"> - Developmental English
</t>
    </r>
    <r>
      <rPr>
        <b/>
        <sz val="11"/>
        <color theme="1"/>
        <rFont val="Calibri"/>
        <family val="2"/>
        <scheme val="minor"/>
      </rPr>
      <t>DevelopmentalReading</t>
    </r>
    <r>
      <rPr>
        <sz val="11"/>
        <color theme="1"/>
        <rFont val="Calibri"/>
        <family val="2"/>
        <scheme val="minor"/>
      </rPr>
      <t xml:space="preserve"> - Developmental Reading
</t>
    </r>
    <r>
      <rPr>
        <b/>
        <sz val="11"/>
        <color theme="1"/>
        <rFont val="Calibri"/>
        <family val="2"/>
        <scheme val="minor"/>
      </rPr>
      <t>DevelopmentalEnglishReading</t>
    </r>
    <r>
      <rPr>
        <sz val="11"/>
        <color theme="1"/>
        <rFont val="Calibri"/>
        <family val="2"/>
        <scheme val="minor"/>
      </rPr>
      <t xml:space="preserve"> - Developmental English/Reading
</t>
    </r>
    <r>
      <rPr>
        <b/>
        <sz val="11"/>
        <color theme="1"/>
        <rFont val="Calibri"/>
        <family val="2"/>
        <scheme val="minor"/>
      </rPr>
      <t>DevelopmentalOther</t>
    </r>
    <r>
      <rPr>
        <sz val="11"/>
        <color theme="1"/>
        <rFont val="Calibri"/>
        <family val="2"/>
        <scheme val="minor"/>
      </rPr>
      <t xml:space="preserve"> - Developmental Other
</t>
    </r>
  </si>
  <si>
    <t>Institution Enrollment-&gt;Program</t>
  </si>
  <si>
    <t>Institution Enrollment-&gt;Prior Academic Award</t>
  </si>
  <si>
    <r>
      <t>B17</t>
    </r>
    <r>
      <rPr>
        <sz val="11"/>
        <color theme="1"/>
        <rFont val="Calibri"/>
        <family val="2"/>
        <scheme val="minor"/>
      </rPr>
      <t xml:space="preserve"> - Did not complete secondary school
</t>
    </r>
    <r>
      <rPr>
        <b/>
        <sz val="11"/>
        <color theme="1"/>
        <rFont val="Calibri"/>
        <family val="2"/>
        <scheme val="minor"/>
      </rPr>
      <t>B18</t>
    </r>
    <r>
      <rPr>
        <sz val="11"/>
        <color theme="1"/>
        <rFont val="Calibri"/>
        <family val="2"/>
        <scheme val="minor"/>
      </rPr>
      <t xml:space="preserve"> - Standard High School Diploma which may or may not include an exit test
</t>
    </r>
    <r>
      <rPr>
        <b/>
        <sz val="11"/>
        <color theme="1"/>
        <rFont val="Calibri"/>
        <family val="2"/>
        <scheme val="minor"/>
      </rPr>
      <t>B19</t>
    </r>
    <r>
      <rPr>
        <sz val="11"/>
        <color theme="1"/>
        <rFont val="Calibri"/>
        <family val="2"/>
        <scheme val="minor"/>
      </rPr>
      <t xml:space="preserve"> - Advanced or honors diploma
</t>
    </r>
    <r>
      <rPr>
        <b/>
        <sz val="11"/>
        <color theme="1"/>
        <rFont val="Calibri"/>
        <family val="2"/>
        <scheme val="minor"/>
      </rPr>
      <t>B20</t>
    </r>
    <r>
      <rPr>
        <sz val="11"/>
        <color theme="1"/>
        <rFont val="Calibri"/>
        <family val="2"/>
        <scheme val="minor"/>
      </rPr>
      <t xml:space="preserve"> - Vocational diploma
</t>
    </r>
    <r>
      <rPr>
        <b/>
        <sz val="11"/>
        <color theme="1"/>
        <rFont val="Calibri"/>
        <family val="2"/>
        <scheme val="minor"/>
      </rPr>
      <t>B21</t>
    </r>
    <r>
      <rPr>
        <sz val="11"/>
        <color theme="1"/>
        <rFont val="Calibri"/>
        <family val="2"/>
        <scheme val="minor"/>
      </rPr>
      <t xml:space="preserve"> - Special Education Diploma normally for students with a disability
</t>
    </r>
    <r>
      <rPr>
        <b/>
        <sz val="11"/>
        <color theme="1"/>
        <rFont val="Calibri"/>
        <family val="2"/>
        <scheme val="minor"/>
      </rPr>
      <t>B22</t>
    </r>
    <r>
      <rPr>
        <sz val="11"/>
        <color theme="1"/>
        <rFont val="Calibri"/>
        <family val="2"/>
        <scheme val="minor"/>
      </rPr>
      <t xml:space="preserve"> - Certificate of completion or attendance
</t>
    </r>
    <r>
      <rPr>
        <b/>
        <sz val="11"/>
        <color theme="1"/>
        <rFont val="Calibri"/>
        <family val="2"/>
        <scheme val="minor"/>
      </rPr>
      <t>B23</t>
    </r>
    <r>
      <rPr>
        <sz val="11"/>
        <color theme="1"/>
        <rFont val="Calibri"/>
        <family val="2"/>
        <scheme val="minor"/>
      </rPr>
      <t xml:space="preserve"> - Special certificate of completion or attendance
</t>
    </r>
    <r>
      <rPr>
        <b/>
        <sz val="11"/>
        <color theme="1"/>
        <rFont val="Calibri"/>
        <family val="2"/>
        <scheme val="minor"/>
      </rPr>
      <t>B24</t>
    </r>
    <r>
      <rPr>
        <sz val="11"/>
        <color theme="1"/>
        <rFont val="Calibri"/>
        <family val="2"/>
        <scheme val="minor"/>
      </rPr>
      <t xml:space="preserve"> - General Education Development Test Diploma (GED)
</t>
    </r>
    <r>
      <rPr>
        <b/>
        <sz val="11"/>
        <color theme="1"/>
        <rFont val="Calibri"/>
        <family val="2"/>
        <scheme val="minor"/>
      </rPr>
      <t>B25</t>
    </r>
    <r>
      <rPr>
        <sz val="11"/>
        <color theme="1"/>
        <rFont val="Calibri"/>
        <family val="2"/>
        <scheme val="minor"/>
      </rPr>
      <t xml:space="preserve"> - Other high school equivalency diploma
</t>
    </r>
    <r>
      <rPr>
        <b/>
        <sz val="11"/>
        <color theme="1"/>
        <rFont val="Calibri"/>
        <family val="2"/>
        <scheme val="minor"/>
      </rPr>
      <t>B26</t>
    </r>
    <r>
      <rPr>
        <sz val="11"/>
        <color theme="1"/>
        <rFont val="Calibri"/>
        <family val="2"/>
        <scheme val="minor"/>
      </rPr>
      <t xml:space="preserve"> - International diploma or certificate (such as International Baccalaureate)
</t>
    </r>
    <r>
      <rPr>
        <b/>
        <sz val="11"/>
        <color theme="1"/>
        <rFont val="Calibri"/>
        <family val="2"/>
        <scheme val="minor"/>
      </rPr>
      <t>B27</t>
    </r>
    <r>
      <rPr>
        <sz val="11"/>
        <color theme="1"/>
        <rFont val="Calibri"/>
        <family val="2"/>
        <scheme val="minor"/>
      </rPr>
      <t xml:space="preserve"> - Standard High School Diploma with only 3 year curriculum
</t>
    </r>
    <r>
      <rPr>
        <b/>
        <sz val="11"/>
        <color theme="1"/>
        <rFont val="Calibri"/>
        <family val="2"/>
        <scheme val="minor"/>
      </rPr>
      <t>B28</t>
    </r>
    <r>
      <rPr>
        <sz val="11"/>
        <color theme="1"/>
        <rFont val="Calibri"/>
        <family val="2"/>
        <scheme val="minor"/>
      </rPr>
      <t xml:space="preserve"> - Met all graduation requirements except for required exit test
</t>
    </r>
    <r>
      <rPr>
        <b/>
        <sz val="11"/>
        <color theme="1"/>
        <rFont val="Calibri"/>
        <family val="2"/>
        <scheme val="minor"/>
      </rPr>
      <t>1.1</t>
    </r>
    <r>
      <rPr>
        <sz val="11"/>
        <color theme="1"/>
        <rFont val="Calibri"/>
        <family val="2"/>
        <scheme val="minor"/>
      </rPr>
      <t xml:space="preserve"> - Certificate of completion
</t>
    </r>
    <r>
      <rPr>
        <b/>
        <sz val="11"/>
        <color theme="1"/>
        <rFont val="Calibri"/>
        <family val="2"/>
        <scheme val="minor"/>
      </rPr>
      <t>1.2</t>
    </r>
    <r>
      <rPr>
        <sz val="11"/>
        <color theme="1"/>
        <rFont val="Calibri"/>
        <family val="2"/>
        <scheme val="minor"/>
      </rPr>
      <t xml:space="preserve"> - Certificate of proficiency
</t>
    </r>
    <r>
      <rPr>
        <b/>
        <sz val="11"/>
        <color theme="1"/>
        <rFont val="Calibri"/>
        <family val="2"/>
        <scheme val="minor"/>
      </rPr>
      <t>2.0</t>
    </r>
    <r>
      <rPr>
        <sz val="11"/>
        <color theme="1"/>
        <rFont val="Calibri"/>
        <family val="2"/>
        <scheme val="minor"/>
      </rPr>
      <t xml:space="preserve"> - Certificate
</t>
    </r>
    <r>
      <rPr>
        <b/>
        <sz val="11"/>
        <color theme="1"/>
        <rFont val="Calibri"/>
        <family val="2"/>
        <scheme val="minor"/>
      </rPr>
      <t>2.1</t>
    </r>
    <r>
      <rPr>
        <sz val="11"/>
        <color theme="1"/>
        <rFont val="Calibri"/>
        <family val="2"/>
        <scheme val="minor"/>
      </rPr>
      <t xml:space="preserve"> - Postsecondary Certificate Or Diploma (less than one year)
</t>
    </r>
    <r>
      <rPr>
        <b/>
        <sz val="11"/>
        <color theme="1"/>
        <rFont val="Calibri"/>
        <family val="2"/>
        <scheme val="minor"/>
      </rPr>
      <t>2.2</t>
    </r>
    <r>
      <rPr>
        <sz val="11"/>
        <color theme="1"/>
        <rFont val="Calibri"/>
        <family val="2"/>
        <scheme val="minor"/>
      </rPr>
      <t xml:space="preserve"> - Postsecondary Certificate Or Diploma (one year or more but less than four years)
</t>
    </r>
    <r>
      <rPr>
        <b/>
        <sz val="11"/>
        <color theme="1"/>
        <rFont val="Calibri"/>
        <family val="2"/>
        <scheme val="minor"/>
      </rPr>
      <t>2.3</t>
    </r>
    <r>
      <rPr>
        <sz val="11"/>
        <color theme="1"/>
        <rFont val="Calibri"/>
        <family val="2"/>
        <scheme val="minor"/>
      </rPr>
      <t xml:space="preserve"> - Associate Degree (e.g., Associate In Arts, Associate In Science)
</t>
    </r>
    <r>
      <rPr>
        <b/>
        <sz val="11"/>
        <color theme="1"/>
        <rFont val="Calibri"/>
        <family val="2"/>
        <scheme val="minor"/>
      </rPr>
      <t>2.4</t>
    </r>
    <r>
      <rPr>
        <sz val="11"/>
        <color theme="1"/>
        <rFont val="Calibri"/>
        <family val="2"/>
        <scheme val="minor"/>
      </rPr>
      <t xml:space="preserve"> - Baccalaureate Degree
</t>
    </r>
    <r>
      <rPr>
        <b/>
        <sz val="11"/>
        <color theme="1"/>
        <rFont val="Calibri"/>
        <family val="2"/>
        <scheme val="minor"/>
      </rPr>
      <t>2.5</t>
    </r>
    <r>
      <rPr>
        <sz val="11"/>
        <color theme="1"/>
        <rFont val="Calibri"/>
        <family val="2"/>
        <scheme val="minor"/>
      </rPr>
      <t xml:space="preserve"> - Baccalaureate (Honors) Degree
</t>
    </r>
    <r>
      <rPr>
        <b/>
        <sz val="11"/>
        <color theme="1"/>
        <rFont val="Calibri"/>
        <family val="2"/>
        <scheme val="minor"/>
      </rPr>
      <t>2.6</t>
    </r>
    <r>
      <rPr>
        <sz val="11"/>
        <color theme="1"/>
        <rFont val="Calibri"/>
        <family val="2"/>
        <scheme val="minor"/>
      </rPr>
      <t xml:space="preserve"> - Postsecondary Certificate Or Diploma (one year or more but less than two years)
</t>
    </r>
    <r>
      <rPr>
        <b/>
        <sz val="11"/>
        <color theme="1"/>
        <rFont val="Calibri"/>
        <family val="2"/>
        <scheme val="minor"/>
      </rPr>
      <t>2.7</t>
    </r>
    <r>
      <rPr>
        <sz val="11"/>
        <color theme="1"/>
        <rFont val="Calibri"/>
        <family val="2"/>
        <scheme val="minor"/>
      </rPr>
      <t xml:space="preserve"> - Postsecondary Certificate Or Diploma (two years or more but less than four years)
</t>
    </r>
    <r>
      <rPr>
        <b/>
        <sz val="11"/>
        <color theme="1"/>
        <rFont val="Calibri"/>
        <family val="2"/>
        <scheme val="minor"/>
      </rPr>
      <t>3.1</t>
    </r>
    <r>
      <rPr>
        <sz val="11"/>
        <color theme="1"/>
        <rFont val="Calibri"/>
        <family val="2"/>
        <scheme val="minor"/>
      </rPr>
      <t xml:space="preserve"> - First Professional Degree
</t>
    </r>
    <r>
      <rPr>
        <b/>
        <sz val="11"/>
        <color theme="1"/>
        <rFont val="Calibri"/>
        <family val="2"/>
        <scheme val="minor"/>
      </rPr>
      <t>3.2</t>
    </r>
    <r>
      <rPr>
        <sz val="11"/>
        <color theme="1"/>
        <rFont val="Calibri"/>
        <family val="2"/>
        <scheme val="minor"/>
      </rPr>
      <t xml:space="preserve"> - Post-Professional Degree
</t>
    </r>
    <r>
      <rPr>
        <b/>
        <sz val="11"/>
        <color theme="1"/>
        <rFont val="Calibri"/>
        <family val="2"/>
        <scheme val="minor"/>
      </rPr>
      <t>4.1</t>
    </r>
    <r>
      <rPr>
        <sz val="11"/>
        <color theme="1"/>
        <rFont val="Calibri"/>
        <family val="2"/>
        <scheme val="minor"/>
      </rPr>
      <t xml:space="preserve"> - Graduate Certificate
</t>
    </r>
    <r>
      <rPr>
        <b/>
        <sz val="11"/>
        <color theme="1"/>
        <rFont val="Calibri"/>
        <family val="2"/>
        <scheme val="minor"/>
      </rPr>
      <t>4.2</t>
    </r>
    <r>
      <rPr>
        <sz val="11"/>
        <color theme="1"/>
        <rFont val="Calibri"/>
        <family val="2"/>
        <scheme val="minor"/>
      </rPr>
      <t xml:space="preserve"> - Master's Degree
</t>
    </r>
    <r>
      <rPr>
        <b/>
        <sz val="11"/>
        <color theme="1"/>
        <rFont val="Calibri"/>
        <family val="2"/>
        <scheme val="minor"/>
      </rPr>
      <t>4.3</t>
    </r>
    <r>
      <rPr>
        <sz val="11"/>
        <color theme="1"/>
        <rFont val="Calibri"/>
        <family val="2"/>
        <scheme val="minor"/>
      </rPr>
      <t xml:space="preserve"> - Intermediate Graduate Degree
</t>
    </r>
    <r>
      <rPr>
        <b/>
        <sz val="11"/>
        <color theme="1"/>
        <rFont val="Calibri"/>
        <family val="2"/>
        <scheme val="minor"/>
      </rPr>
      <t>4.4</t>
    </r>
    <r>
      <rPr>
        <sz val="11"/>
        <color theme="1"/>
        <rFont val="Calibri"/>
        <family val="2"/>
        <scheme val="minor"/>
      </rPr>
      <t xml:space="preserve"> - Doctoral Degree
</t>
    </r>
    <r>
      <rPr>
        <b/>
        <sz val="11"/>
        <color theme="1"/>
        <rFont val="Calibri"/>
        <family val="2"/>
        <scheme val="minor"/>
      </rPr>
      <t>4.5</t>
    </r>
    <r>
      <rPr>
        <sz val="11"/>
        <color theme="1"/>
        <rFont val="Calibri"/>
        <family val="2"/>
        <scheme val="minor"/>
      </rPr>
      <t xml:space="preserve"> - Post-doctoral Award
</t>
    </r>
    <r>
      <rPr>
        <b/>
        <sz val="11"/>
        <color theme="1"/>
        <rFont val="Calibri"/>
        <family val="2"/>
        <scheme val="minor"/>
      </rPr>
      <t>IPEDS1</t>
    </r>
    <r>
      <rPr>
        <sz val="11"/>
        <color theme="1"/>
        <rFont val="Calibri"/>
        <family val="2"/>
        <scheme val="minor"/>
      </rPr>
      <t xml:space="preserve"> - Postsecondary award, certificate, or diploma of less than one academic year (less than 900 contact or clock hours)
</t>
    </r>
    <r>
      <rPr>
        <b/>
        <sz val="11"/>
        <color theme="1"/>
        <rFont val="Calibri"/>
        <family val="2"/>
        <scheme val="minor"/>
      </rPr>
      <t>IPEDS2</t>
    </r>
    <r>
      <rPr>
        <sz val="11"/>
        <color theme="1"/>
        <rFont val="Calibri"/>
        <family val="2"/>
        <scheme val="minor"/>
      </rPr>
      <t xml:space="preserve"> - Postsecondary award, certificate, or diploma of at least one but less than two academic years (at least 900 but less than 1800 contact or clock hours)
</t>
    </r>
    <r>
      <rPr>
        <b/>
        <sz val="11"/>
        <color theme="1"/>
        <rFont val="Calibri"/>
        <family val="2"/>
        <scheme val="minor"/>
      </rPr>
      <t>IPEDS3</t>
    </r>
    <r>
      <rPr>
        <sz val="11"/>
        <color theme="1"/>
        <rFont val="Calibri"/>
        <family val="2"/>
        <scheme val="minor"/>
      </rPr>
      <t xml:space="preserve"> - Associate's Degree
</t>
    </r>
    <r>
      <rPr>
        <b/>
        <sz val="11"/>
        <color theme="1"/>
        <rFont val="Calibri"/>
        <family val="2"/>
        <scheme val="minor"/>
      </rPr>
      <t>IPEDS4</t>
    </r>
    <r>
      <rPr>
        <sz val="11"/>
        <color theme="1"/>
        <rFont val="Calibri"/>
        <family val="2"/>
        <scheme val="minor"/>
      </rPr>
      <t xml:space="preserve"> - Postsecondary award, certificate, or diploma of at least two but less than four academic years (at least 1800 contact or clock hours)
</t>
    </r>
    <r>
      <rPr>
        <b/>
        <sz val="11"/>
        <color theme="1"/>
        <rFont val="Calibri"/>
        <family val="2"/>
        <scheme val="minor"/>
      </rPr>
      <t>IPEDS5</t>
    </r>
    <r>
      <rPr>
        <sz val="11"/>
        <color theme="1"/>
        <rFont val="Calibri"/>
        <family val="2"/>
        <scheme val="minor"/>
      </rPr>
      <t xml:space="preserve"> - Bachelor's Degree or equivalent
</t>
    </r>
    <r>
      <rPr>
        <b/>
        <sz val="11"/>
        <color theme="1"/>
        <rFont val="Calibri"/>
        <family val="2"/>
        <scheme val="minor"/>
      </rPr>
      <t>IPEDS6</t>
    </r>
    <r>
      <rPr>
        <sz val="11"/>
        <color theme="1"/>
        <rFont val="Calibri"/>
        <family val="2"/>
        <scheme val="minor"/>
      </rPr>
      <t xml:space="preserve"> - Postbaccalaureate Certificate
</t>
    </r>
    <r>
      <rPr>
        <b/>
        <sz val="11"/>
        <color theme="1"/>
        <rFont val="Calibri"/>
        <family val="2"/>
        <scheme val="minor"/>
      </rPr>
      <t>IPEDS7</t>
    </r>
    <r>
      <rPr>
        <sz val="11"/>
        <color theme="1"/>
        <rFont val="Calibri"/>
        <family val="2"/>
        <scheme val="minor"/>
      </rPr>
      <t xml:space="preserve"> - Master's Degree
</t>
    </r>
    <r>
      <rPr>
        <b/>
        <sz val="11"/>
        <color theme="1"/>
        <rFont val="Calibri"/>
        <family val="2"/>
        <scheme val="minor"/>
      </rPr>
      <t>IPEDS8</t>
    </r>
    <r>
      <rPr>
        <sz val="11"/>
        <color theme="1"/>
        <rFont val="Calibri"/>
        <family val="2"/>
        <scheme val="minor"/>
      </rPr>
      <t xml:space="preserve"> - Post Masters Certificate
</t>
    </r>
    <r>
      <rPr>
        <b/>
        <sz val="11"/>
        <color theme="1"/>
        <rFont val="Calibri"/>
        <family val="2"/>
        <scheme val="minor"/>
      </rPr>
      <t>IPEDS9</t>
    </r>
    <r>
      <rPr>
        <sz val="11"/>
        <color theme="1"/>
        <rFont val="Calibri"/>
        <family val="2"/>
        <scheme val="minor"/>
      </rPr>
      <t xml:space="preserve"> - Doctor's Degree
</t>
    </r>
    <r>
      <rPr>
        <b/>
        <sz val="11"/>
        <color theme="1"/>
        <rFont val="Calibri"/>
        <family val="2"/>
        <scheme val="minor"/>
      </rPr>
      <t>IPEDS10</t>
    </r>
    <r>
      <rPr>
        <sz val="11"/>
        <color theme="1"/>
        <rFont val="Calibri"/>
        <family val="2"/>
        <scheme val="minor"/>
      </rPr>
      <t xml:space="preserve"> - First-Professional Degree
</t>
    </r>
    <r>
      <rPr>
        <b/>
        <sz val="11"/>
        <color theme="1"/>
        <rFont val="Calibri"/>
        <family val="2"/>
        <scheme val="minor"/>
      </rPr>
      <t>IPEDS11</t>
    </r>
    <r>
      <rPr>
        <sz val="11"/>
        <color theme="1"/>
        <rFont val="Calibri"/>
        <family val="2"/>
        <scheme val="minor"/>
      </rPr>
      <t xml:space="preserve"> - First-Professional Certificate (Post-Degree)
</t>
    </r>
    <r>
      <rPr>
        <b/>
        <sz val="11"/>
        <color theme="1"/>
        <rFont val="Calibri"/>
        <family val="2"/>
        <scheme val="minor"/>
      </rPr>
      <t>IPEDS17</t>
    </r>
    <r>
      <rPr>
        <sz val="11"/>
        <color theme="1"/>
        <rFont val="Calibri"/>
        <family val="2"/>
        <scheme val="minor"/>
      </rPr>
      <t xml:space="preserve"> - Doctor's degree - research/scholarship
</t>
    </r>
    <r>
      <rPr>
        <b/>
        <sz val="11"/>
        <color theme="1"/>
        <rFont val="Calibri"/>
        <family val="2"/>
        <scheme val="minor"/>
      </rPr>
      <t>IPEDS18</t>
    </r>
    <r>
      <rPr>
        <sz val="11"/>
        <color theme="1"/>
        <rFont val="Calibri"/>
        <family val="2"/>
        <scheme val="minor"/>
      </rPr>
      <t xml:space="preserve"> - Doctor's degree - professional practice
</t>
    </r>
    <r>
      <rPr>
        <b/>
        <sz val="11"/>
        <color theme="1"/>
        <rFont val="Calibri"/>
        <family val="2"/>
        <scheme val="minor"/>
      </rPr>
      <t>IPEDS19</t>
    </r>
    <r>
      <rPr>
        <sz val="11"/>
        <color theme="1"/>
        <rFont val="Calibri"/>
        <family val="2"/>
        <scheme val="minor"/>
      </rPr>
      <t xml:space="preserve"> - Doctor's degree - other Award Levels
</t>
    </r>
    <r>
      <rPr>
        <b/>
        <sz val="11"/>
        <color theme="1"/>
        <rFont val="Calibri"/>
        <family val="2"/>
        <scheme val="minor"/>
      </rPr>
      <t>CEGEP</t>
    </r>
    <r>
      <rPr>
        <sz val="11"/>
        <color theme="1"/>
        <rFont val="Calibri"/>
        <family val="2"/>
        <scheme val="minor"/>
      </rPr>
      <t xml:space="preserve"> - CEGEP (an award made by Canadian secondary schools that is typically equivalent to a high school diploma plus one year of college level courses)
</t>
    </r>
    <r>
      <rPr>
        <b/>
        <sz val="11"/>
        <color theme="1"/>
        <rFont val="Calibri"/>
        <family val="2"/>
        <scheme val="minor"/>
      </rPr>
      <t>FrenchBaccalaureate</t>
    </r>
    <r>
      <rPr>
        <sz val="11"/>
        <color theme="1"/>
        <rFont val="Calibri"/>
        <family val="2"/>
        <scheme val="minor"/>
      </rPr>
      <t xml:space="preserve"> - French Baccalaureate (award made to high school students that allows French and international students to obtain a standardized qualification)
</t>
    </r>
    <r>
      <rPr>
        <b/>
        <sz val="11"/>
        <color theme="1"/>
        <rFont val="Calibri"/>
        <family val="2"/>
        <scheme val="minor"/>
      </rPr>
      <t>4.0</t>
    </r>
    <r>
      <rPr>
        <sz val="11"/>
        <color theme="1"/>
        <rFont val="Calibri"/>
        <family val="2"/>
        <scheme val="minor"/>
      </rPr>
      <t xml:space="preserve"> - Graduate non-degree - value to represent an award from graduate coursework that is not a certificate or degree
</t>
    </r>
    <r>
      <rPr>
        <b/>
        <sz val="11"/>
        <color theme="1"/>
        <rFont val="Calibri"/>
        <family val="2"/>
        <scheme val="minor"/>
      </rPr>
      <t>3.3</t>
    </r>
    <r>
      <rPr>
        <sz val="11"/>
        <color theme="1"/>
        <rFont val="Calibri"/>
        <family val="2"/>
        <scheme val="minor"/>
      </rPr>
      <t xml:space="preserve"> - Graduate Professional - value to represent an award from graduate coursework in a professional program
</t>
    </r>
    <r>
      <rPr>
        <b/>
        <sz val="11"/>
        <color theme="1"/>
        <rFont val="Calibri"/>
        <family val="2"/>
        <scheme val="minor"/>
      </rPr>
      <t>0.0</t>
    </r>
    <r>
      <rPr>
        <sz val="11"/>
        <color theme="1"/>
        <rFont val="Calibri"/>
        <family val="2"/>
        <scheme val="minor"/>
      </rPr>
      <t xml:space="preserve"> - Other - value to represent an award that does not otherwise fit existing enumerations
</t>
    </r>
    <r>
      <rPr>
        <b/>
        <sz val="11"/>
        <color theme="1"/>
        <rFont val="Calibri"/>
        <family val="2"/>
        <scheme val="minor"/>
      </rPr>
      <t>1.5</t>
    </r>
    <r>
      <rPr>
        <sz val="11"/>
        <color theme="1"/>
        <rFont val="Calibri"/>
        <family val="2"/>
        <scheme val="minor"/>
      </rPr>
      <t xml:space="preserve"> - Statement of achievement
</t>
    </r>
    <r>
      <rPr>
        <b/>
        <sz val="11"/>
        <color theme="1"/>
        <rFont val="Calibri"/>
        <family val="2"/>
        <scheme val="minor"/>
      </rPr>
      <t>1.4</t>
    </r>
    <r>
      <rPr>
        <sz val="11"/>
        <color theme="1"/>
        <rFont val="Calibri"/>
        <family val="2"/>
        <scheme val="minor"/>
      </rPr>
      <t xml:space="preserve"> - Statement of completion
</t>
    </r>
    <r>
      <rPr>
        <b/>
        <sz val="11"/>
        <color theme="1"/>
        <rFont val="Calibri"/>
        <family val="2"/>
        <scheme val="minor"/>
      </rPr>
      <t>1.3</t>
    </r>
    <r>
      <rPr>
        <sz val="11"/>
        <color theme="1"/>
        <rFont val="Calibri"/>
        <family val="2"/>
        <scheme val="minor"/>
      </rPr>
      <t xml:space="preserve"> - Statement of participation
</t>
    </r>
    <r>
      <rPr>
        <b/>
        <sz val="11"/>
        <color theme="1"/>
        <rFont val="Calibri"/>
        <family val="2"/>
        <scheme val="minor"/>
      </rPr>
      <t>2.8</t>
    </r>
    <r>
      <rPr>
        <sz val="11"/>
        <color theme="1"/>
        <rFont val="Calibri"/>
        <family val="2"/>
        <scheme val="minor"/>
      </rPr>
      <t xml:space="preserve"> - Undergraduate non-degree - value to represent an award from undergraduate coursework that is not a certificate or degree
</t>
    </r>
  </si>
  <si>
    <r>
      <t>Achievement</t>
    </r>
    <r>
      <rPr>
        <sz val="11"/>
        <color theme="1"/>
        <rFont val="Calibri"/>
        <family val="2"/>
        <scheme val="minor"/>
      </rPr>
      <t xml:space="preserve"> - Achievement
</t>
    </r>
    <r>
      <rPr>
        <b/>
        <sz val="11"/>
        <color theme="1"/>
        <rFont val="Calibri"/>
        <family val="2"/>
        <scheme val="minor"/>
      </rPr>
      <t>Experience</t>
    </r>
    <r>
      <rPr>
        <sz val="11"/>
        <color theme="1"/>
        <rFont val="Calibri"/>
        <family val="2"/>
        <scheme val="minor"/>
      </rPr>
      <t xml:space="preserve"> - Experience
</t>
    </r>
    <r>
      <rPr>
        <b/>
        <sz val="11"/>
        <color theme="1"/>
        <rFont val="Calibri"/>
        <family val="2"/>
        <scheme val="minor"/>
      </rPr>
      <t>Status</t>
    </r>
    <r>
      <rPr>
        <sz val="11"/>
        <color theme="1"/>
        <rFont val="Calibri"/>
        <family val="2"/>
        <scheme val="minor"/>
      </rPr>
      <t xml:space="preserve"> - Status
</t>
    </r>
    <r>
      <rPr>
        <b/>
        <sz val="11"/>
        <color theme="1"/>
        <rFont val="Calibri"/>
        <family val="2"/>
        <scheme val="minor"/>
      </rPr>
      <t>Score</t>
    </r>
    <r>
      <rPr>
        <sz val="11"/>
        <color theme="1"/>
        <rFont val="Calibri"/>
        <family val="2"/>
        <scheme val="minor"/>
      </rPr>
      <t xml:space="preserve"> - Score
</t>
    </r>
    <r>
      <rPr>
        <b/>
        <sz val="11"/>
        <color theme="1"/>
        <rFont val="Calibri"/>
        <family val="2"/>
        <scheme val="minor"/>
      </rPr>
      <t>Course</t>
    </r>
    <r>
      <rPr>
        <sz val="11"/>
        <color theme="1"/>
        <rFont val="Calibri"/>
        <family val="2"/>
        <scheme val="minor"/>
      </rPr>
      <t xml:space="preserve"> - Course
</t>
    </r>
  </si>
  <si>
    <r>
      <t>SpecializedKnowledge</t>
    </r>
    <r>
      <rPr>
        <sz val="11"/>
        <color theme="1"/>
        <rFont val="Calibri"/>
        <family val="2"/>
        <scheme val="minor"/>
      </rPr>
      <t xml:space="preserve"> - Specialized Knowledge
</t>
    </r>
    <r>
      <rPr>
        <b/>
        <sz val="11"/>
        <color theme="1"/>
        <rFont val="Calibri"/>
        <family val="2"/>
        <scheme val="minor"/>
      </rPr>
      <t>BroadAndIntegrativeKnowledge</t>
    </r>
    <r>
      <rPr>
        <sz val="11"/>
        <color theme="1"/>
        <rFont val="Calibri"/>
        <family val="2"/>
        <scheme val="minor"/>
      </rPr>
      <t xml:space="preserve"> - Broad and Integrative Knowledge
</t>
    </r>
    <r>
      <rPr>
        <b/>
        <sz val="11"/>
        <color theme="1"/>
        <rFont val="Calibri"/>
        <family val="2"/>
        <scheme val="minor"/>
      </rPr>
      <t>IntellectualSkills</t>
    </r>
    <r>
      <rPr>
        <sz val="11"/>
        <color theme="1"/>
        <rFont val="Calibri"/>
        <family val="2"/>
        <scheme val="minor"/>
      </rPr>
      <t xml:space="preserve"> - Intellectual Skills
</t>
    </r>
    <r>
      <rPr>
        <b/>
        <sz val="11"/>
        <color theme="1"/>
        <rFont val="Calibri"/>
        <family val="2"/>
        <scheme val="minor"/>
      </rPr>
      <t>AppliedAndCollaborativeLearning</t>
    </r>
    <r>
      <rPr>
        <sz val="11"/>
        <color theme="1"/>
        <rFont val="Calibri"/>
        <family val="2"/>
        <scheme val="minor"/>
      </rPr>
      <t xml:space="preserve"> - Applied and Collaborative Learning
</t>
    </r>
    <r>
      <rPr>
        <b/>
        <sz val="11"/>
        <color theme="1"/>
        <rFont val="Calibri"/>
        <family val="2"/>
        <scheme val="minor"/>
      </rPr>
      <t>CivicAndGlobalLearning</t>
    </r>
    <r>
      <rPr>
        <sz val="11"/>
        <color theme="1"/>
        <rFont val="Calibri"/>
        <family val="2"/>
        <scheme val="minor"/>
      </rPr>
      <t xml:space="preserve"> - Civic and Global Learning
</t>
    </r>
  </si>
  <si>
    <t>Institution Enrollment-&gt;Prior Academic Award-&gt;Endorser</t>
  </si>
  <si>
    <t>Institution Enrollment-&gt;Prior Academic Award-&gt;Thesis or Dissertation Advisor</t>
  </si>
  <si>
    <t>Term Enrollment</t>
  </si>
  <si>
    <r>
      <t>FirstTime</t>
    </r>
    <r>
      <rPr>
        <sz val="11"/>
        <color theme="1"/>
        <rFont val="Calibri"/>
        <family val="2"/>
        <scheme val="minor"/>
      </rPr>
      <t xml:space="preserve"> - First time at institution, non-transfer in
</t>
    </r>
    <r>
      <rPr>
        <b/>
        <sz val="11"/>
        <color theme="1"/>
        <rFont val="Calibri"/>
        <family val="2"/>
        <scheme val="minor"/>
      </rPr>
      <t>Continuing</t>
    </r>
    <r>
      <rPr>
        <sz val="11"/>
        <color theme="1"/>
        <rFont val="Calibri"/>
        <family val="2"/>
        <scheme val="minor"/>
      </rPr>
      <t xml:space="preserve"> - Continuing
</t>
    </r>
    <r>
      <rPr>
        <b/>
        <sz val="11"/>
        <color theme="1"/>
        <rFont val="Calibri"/>
        <family val="2"/>
        <scheme val="minor"/>
      </rPr>
      <t>Re-admit</t>
    </r>
    <r>
      <rPr>
        <sz val="11"/>
        <color theme="1"/>
        <rFont val="Calibri"/>
        <family val="2"/>
        <scheme val="minor"/>
      </rPr>
      <t xml:space="preserve"> - Re-admit
</t>
    </r>
    <r>
      <rPr>
        <b/>
        <sz val="11"/>
        <color theme="1"/>
        <rFont val="Calibri"/>
        <family val="2"/>
        <scheme val="minor"/>
      </rPr>
      <t>TransferIn</t>
    </r>
    <r>
      <rPr>
        <sz val="11"/>
        <color theme="1"/>
        <rFont val="Calibri"/>
        <family val="2"/>
        <scheme val="minor"/>
      </rPr>
      <t xml:space="preserve"> - Transfer in
</t>
    </r>
  </si>
  <si>
    <r>
      <t>01</t>
    </r>
    <r>
      <rPr>
        <sz val="11"/>
        <color theme="1"/>
        <rFont val="Calibri"/>
        <family val="2"/>
        <scheme val="minor"/>
      </rPr>
      <t xml:space="preserve"> - Full-time
</t>
    </r>
    <r>
      <rPr>
        <b/>
        <sz val="11"/>
        <color theme="1"/>
        <rFont val="Calibri"/>
        <family val="2"/>
        <scheme val="minor"/>
      </rPr>
      <t>02</t>
    </r>
    <r>
      <rPr>
        <sz val="11"/>
        <color theme="1"/>
        <rFont val="Calibri"/>
        <family val="2"/>
        <scheme val="minor"/>
      </rPr>
      <t xml:space="preserve"> - Less than full-time but at least half-time
</t>
    </r>
    <r>
      <rPr>
        <b/>
        <sz val="11"/>
        <color theme="1"/>
        <rFont val="Calibri"/>
        <family val="2"/>
        <scheme val="minor"/>
      </rPr>
      <t>03</t>
    </r>
    <r>
      <rPr>
        <sz val="11"/>
        <color theme="1"/>
        <rFont val="Calibri"/>
        <family val="2"/>
        <scheme val="minor"/>
      </rPr>
      <t xml:space="preserve"> - Less than half-time
</t>
    </r>
    <r>
      <rPr>
        <b/>
        <sz val="11"/>
        <color theme="1"/>
        <rFont val="Calibri"/>
        <family val="2"/>
        <scheme val="minor"/>
      </rPr>
      <t>04</t>
    </r>
    <r>
      <rPr>
        <sz val="11"/>
        <color theme="1"/>
        <rFont val="Calibri"/>
        <family val="2"/>
        <scheme val="minor"/>
      </rPr>
      <t xml:space="preserve"> - Less than full-time but at least three quarter-time
</t>
    </r>
    <r>
      <rPr>
        <b/>
        <sz val="11"/>
        <color theme="1"/>
        <rFont val="Calibri"/>
        <family val="2"/>
        <scheme val="minor"/>
      </rPr>
      <t>05</t>
    </r>
    <r>
      <rPr>
        <sz val="11"/>
        <color theme="1"/>
        <rFont val="Calibri"/>
        <family val="2"/>
        <scheme val="minor"/>
      </rPr>
      <t xml:space="preserve"> - Less than three quarter-time but at least half-time
</t>
    </r>
  </si>
  <si>
    <r>
      <t>Fall</t>
    </r>
    <r>
      <rPr>
        <sz val="11"/>
        <color theme="1"/>
        <rFont val="Calibri"/>
        <family val="2"/>
        <scheme val="minor"/>
      </rPr>
      <t xml:space="preserve"> - Fall
</t>
    </r>
    <r>
      <rPr>
        <b/>
        <sz val="11"/>
        <color theme="1"/>
        <rFont val="Calibri"/>
        <family val="2"/>
        <scheme val="minor"/>
      </rPr>
      <t>Winter</t>
    </r>
    <r>
      <rPr>
        <sz val="11"/>
        <color theme="1"/>
        <rFont val="Calibri"/>
        <family val="2"/>
        <scheme val="minor"/>
      </rPr>
      <t xml:space="preserve"> - Winter
</t>
    </r>
    <r>
      <rPr>
        <b/>
        <sz val="11"/>
        <color theme="1"/>
        <rFont val="Calibri"/>
        <family val="2"/>
        <scheme val="minor"/>
      </rPr>
      <t>WinterIntersession</t>
    </r>
    <r>
      <rPr>
        <sz val="11"/>
        <color theme="1"/>
        <rFont val="Calibri"/>
        <family val="2"/>
        <scheme val="minor"/>
      </rPr>
      <t xml:space="preserve"> - Winter Intersession
</t>
    </r>
    <r>
      <rPr>
        <b/>
        <sz val="11"/>
        <color theme="1"/>
        <rFont val="Calibri"/>
        <family val="2"/>
        <scheme val="minor"/>
      </rPr>
      <t>Spring</t>
    </r>
    <r>
      <rPr>
        <sz val="11"/>
        <color theme="1"/>
        <rFont val="Calibri"/>
        <family val="2"/>
        <scheme val="minor"/>
      </rPr>
      <t xml:space="preserve"> - Spring
</t>
    </r>
    <r>
      <rPr>
        <b/>
        <sz val="11"/>
        <color theme="1"/>
        <rFont val="Calibri"/>
        <family val="2"/>
        <scheme val="minor"/>
      </rPr>
      <t>Summer</t>
    </r>
    <r>
      <rPr>
        <sz val="11"/>
        <color theme="1"/>
        <rFont val="Calibri"/>
        <family val="2"/>
        <scheme val="minor"/>
      </rPr>
      <t xml:space="preserve"> - Summer
</t>
    </r>
    <r>
      <rPr>
        <b/>
        <sz val="11"/>
        <color theme="1"/>
        <rFont val="Calibri"/>
        <family val="2"/>
        <scheme val="minor"/>
      </rPr>
      <t>Summer1</t>
    </r>
    <r>
      <rPr>
        <sz val="11"/>
        <color theme="1"/>
        <rFont val="Calibri"/>
        <family val="2"/>
        <scheme val="minor"/>
      </rPr>
      <t xml:space="preserve"> - Summer 1
</t>
    </r>
    <r>
      <rPr>
        <b/>
        <sz val="11"/>
        <color theme="1"/>
        <rFont val="Calibri"/>
        <family val="2"/>
        <scheme val="minor"/>
      </rPr>
      <t>Summer2</t>
    </r>
    <r>
      <rPr>
        <sz val="11"/>
        <color theme="1"/>
        <rFont val="Calibri"/>
        <family val="2"/>
        <scheme val="minor"/>
      </rPr>
      <t xml:space="preserve"> - Summer 2
</t>
    </r>
    <r>
      <rPr>
        <b/>
        <sz val="11"/>
        <color theme="1"/>
        <rFont val="Calibri"/>
        <family val="2"/>
        <scheme val="minor"/>
      </rPr>
      <t>SpringIntersession</t>
    </r>
    <r>
      <rPr>
        <sz val="11"/>
        <color theme="1"/>
        <rFont val="Calibri"/>
        <family val="2"/>
        <scheme val="minor"/>
      </rPr>
      <t xml:space="preserve"> - Spring Intersession
</t>
    </r>
    <r>
      <rPr>
        <b/>
        <sz val="11"/>
        <color theme="1"/>
        <rFont val="Calibri"/>
        <family val="2"/>
        <scheme val="minor"/>
      </rPr>
      <t>Other</t>
    </r>
    <r>
      <rPr>
        <sz val="11"/>
        <color theme="1"/>
        <rFont val="Calibri"/>
        <family val="2"/>
        <scheme val="minor"/>
      </rPr>
      <t xml:space="preserve"> - Other
</t>
    </r>
  </si>
  <si>
    <r>
      <t>EnrolledExclusively</t>
    </r>
    <r>
      <rPr>
        <sz val="11"/>
        <color theme="1"/>
        <rFont val="Calibri"/>
        <family val="2"/>
        <scheme val="minor"/>
      </rPr>
      <t xml:space="preserve"> - Enrolled exclusively in distance education courses
</t>
    </r>
    <r>
      <rPr>
        <b/>
        <sz val="11"/>
        <color theme="1"/>
        <rFont val="Calibri"/>
        <family val="2"/>
        <scheme val="minor"/>
      </rPr>
      <t>EnrolledInSome</t>
    </r>
    <r>
      <rPr>
        <sz val="11"/>
        <color theme="1"/>
        <rFont val="Calibri"/>
        <family val="2"/>
        <scheme val="minor"/>
      </rPr>
      <t xml:space="preserve"> - Enrolled in some but not all distance education courses
</t>
    </r>
    <r>
      <rPr>
        <b/>
        <sz val="11"/>
        <color theme="1"/>
        <rFont val="Calibri"/>
        <family val="2"/>
        <scheme val="minor"/>
      </rPr>
      <t>NotEnrolled</t>
    </r>
    <r>
      <rPr>
        <sz val="11"/>
        <color theme="1"/>
        <rFont val="Calibri"/>
        <family val="2"/>
        <scheme val="minor"/>
      </rPr>
      <t xml:space="preserve"> - Not enrolled in distance education courses
</t>
    </r>
  </si>
  <si>
    <t>Academic Record-&gt;Academic Award-&gt;Endorser</t>
  </si>
  <si>
    <t>Academic Record-&gt;Academic Award-&gt;Thesis or Dissertation Advisor</t>
  </si>
  <si>
    <t>CTE</t>
  </si>
  <si>
    <r>
      <t>Underrepresented</t>
    </r>
    <r>
      <rPr>
        <sz val="11"/>
        <color theme="1"/>
        <rFont val="Calibri"/>
        <family val="2"/>
        <scheme val="minor"/>
      </rPr>
      <t xml:space="preserve"> - Members of an underrepresented gender group
</t>
    </r>
    <r>
      <rPr>
        <b/>
        <sz val="11"/>
        <color theme="1"/>
        <rFont val="Calibri"/>
        <family val="2"/>
        <scheme val="minor"/>
      </rPr>
      <t>NotUnderrepresented</t>
    </r>
    <r>
      <rPr>
        <sz val="11"/>
        <color theme="1"/>
        <rFont val="Calibri"/>
        <family val="2"/>
        <scheme val="minor"/>
      </rPr>
      <t xml:space="preserve"> - Not members of an underrepresented gender group
</t>
    </r>
  </si>
  <si>
    <r>
      <t>01</t>
    </r>
    <r>
      <rPr>
        <sz val="11"/>
        <color theme="1"/>
        <rFont val="Calibri"/>
        <family val="2"/>
        <scheme val="minor"/>
      </rPr>
      <t xml:space="preserve"> - Materials in Braille
</t>
    </r>
    <r>
      <rPr>
        <b/>
        <sz val="11"/>
        <color theme="1"/>
        <rFont val="Calibri"/>
        <family val="2"/>
        <scheme val="minor"/>
      </rPr>
      <t>02</t>
    </r>
    <r>
      <rPr>
        <sz val="11"/>
        <color theme="1"/>
        <rFont val="Calibri"/>
        <family val="2"/>
        <scheme val="minor"/>
      </rPr>
      <t xml:space="preserve"> - Closed caption decoder
</t>
    </r>
    <r>
      <rPr>
        <b/>
        <sz val="11"/>
        <color theme="1"/>
        <rFont val="Calibri"/>
        <family val="2"/>
        <scheme val="minor"/>
      </rPr>
      <t>03</t>
    </r>
    <r>
      <rPr>
        <sz val="11"/>
        <color theme="1"/>
        <rFont val="Calibri"/>
        <family val="2"/>
        <scheme val="minor"/>
      </rPr>
      <t xml:space="preserve"> - Computer-based instruction or other assistive technological devices
</t>
    </r>
    <r>
      <rPr>
        <b/>
        <sz val="11"/>
        <color theme="1"/>
        <rFont val="Calibri"/>
        <family val="2"/>
        <scheme val="minor"/>
      </rPr>
      <t>04</t>
    </r>
    <r>
      <rPr>
        <sz val="11"/>
        <color theme="1"/>
        <rFont val="Calibri"/>
        <family val="2"/>
        <scheme val="minor"/>
      </rPr>
      <t xml:space="preserve"> - Listening devices
</t>
    </r>
    <r>
      <rPr>
        <b/>
        <sz val="11"/>
        <color theme="1"/>
        <rFont val="Calibri"/>
        <family val="2"/>
        <scheme val="minor"/>
      </rPr>
      <t>05</t>
    </r>
    <r>
      <rPr>
        <sz val="11"/>
        <color theme="1"/>
        <rFont val="Calibri"/>
        <family val="2"/>
        <scheme val="minor"/>
      </rPr>
      <t xml:space="preserve"> - Low vision readers
</t>
    </r>
    <r>
      <rPr>
        <b/>
        <sz val="11"/>
        <color theme="1"/>
        <rFont val="Calibri"/>
        <family val="2"/>
        <scheme val="minor"/>
      </rPr>
      <t>06</t>
    </r>
    <r>
      <rPr>
        <sz val="11"/>
        <color theme="1"/>
        <rFont val="Calibri"/>
        <family val="2"/>
        <scheme val="minor"/>
      </rPr>
      <t xml:space="preserve"> - Notetakers
</t>
    </r>
    <r>
      <rPr>
        <b/>
        <sz val="11"/>
        <color theme="1"/>
        <rFont val="Calibri"/>
        <family val="2"/>
        <scheme val="minor"/>
      </rPr>
      <t>07</t>
    </r>
    <r>
      <rPr>
        <sz val="11"/>
        <color theme="1"/>
        <rFont val="Calibri"/>
        <family val="2"/>
        <scheme val="minor"/>
      </rPr>
      <t xml:space="preserve"> - Readers
</t>
    </r>
    <r>
      <rPr>
        <b/>
        <sz val="11"/>
        <color theme="1"/>
        <rFont val="Calibri"/>
        <family val="2"/>
        <scheme val="minor"/>
      </rPr>
      <t>08</t>
    </r>
    <r>
      <rPr>
        <sz val="11"/>
        <color theme="1"/>
        <rFont val="Calibri"/>
        <family val="2"/>
        <scheme val="minor"/>
      </rPr>
      <t xml:space="preserve"> - Sign language interpreters
</t>
    </r>
    <r>
      <rPr>
        <b/>
        <sz val="11"/>
        <color theme="1"/>
        <rFont val="Calibri"/>
        <family val="2"/>
        <scheme val="minor"/>
      </rPr>
      <t>09</t>
    </r>
    <r>
      <rPr>
        <sz val="11"/>
        <color theme="1"/>
        <rFont val="Calibri"/>
        <family val="2"/>
        <scheme val="minor"/>
      </rPr>
      <t xml:space="preserve"> - Special housing accommodations
</t>
    </r>
    <r>
      <rPr>
        <b/>
        <sz val="11"/>
        <color theme="1"/>
        <rFont val="Calibri"/>
        <family val="2"/>
        <scheme val="minor"/>
      </rPr>
      <t>10</t>
    </r>
    <r>
      <rPr>
        <sz val="11"/>
        <color theme="1"/>
        <rFont val="Calibri"/>
        <family val="2"/>
        <scheme val="minor"/>
      </rPr>
      <t xml:space="preserve"> - Recorded text
</t>
    </r>
    <r>
      <rPr>
        <b/>
        <sz val="11"/>
        <color theme="1"/>
        <rFont val="Calibri"/>
        <family val="2"/>
        <scheme val="minor"/>
      </rPr>
      <t>11</t>
    </r>
    <r>
      <rPr>
        <sz val="11"/>
        <color theme="1"/>
        <rFont val="Calibri"/>
        <family val="2"/>
        <scheme val="minor"/>
      </rPr>
      <t xml:space="preserve"> - Telecommunication Devices (TDDs) for Hearing Impaired
</t>
    </r>
    <r>
      <rPr>
        <b/>
        <sz val="11"/>
        <color theme="1"/>
        <rFont val="Calibri"/>
        <family val="2"/>
        <scheme val="minor"/>
      </rPr>
      <t>12</t>
    </r>
    <r>
      <rPr>
        <sz val="11"/>
        <color theme="1"/>
        <rFont val="Calibri"/>
        <family val="2"/>
        <scheme val="minor"/>
      </rPr>
      <t xml:space="preserve"> - Telephone handset amplifiers
</t>
    </r>
    <r>
      <rPr>
        <b/>
        <sz val="11"/>
        <color theme="1"/>
        <rFont val="Calibri"/>
        <family val="2"/>
        <scheme val="minor"/>
      </rPr>
      <t>13</t>
    </r>
    <r>
      <rPr>
        <sz val="11"/>
        <color theme="1"/>
        <rFont val="Calibri"/>
        <family val="2"/>
        <scheme val="minor"/>
      </rPr>
      <t xml:space="preserve"> - Test assistants
</t>
    </r>
    <r>
      <rPr>
        <b/>
        <sz val="11"/>
        <color theme="1"/>
        <rFont val="Calibri"/>
        <family val="2"/>
        <scheme val="minor"/>
      </rPr>
      <t>14</t>
    </r>
    <r>
      <rPr>
        <sz val="11"/>
        <color theme="1"/>
        <rFont val="Calibri"/>
        <family val="2"/>
        <scheme val="minor"/>
      </rPr>
      <t xml:space="preserve"> - Test modifications
</t>
    </r>
    <r>
      <rPr>
        <b/>
        <sz val="11"/>
        <color theme="1"/>
        <rFont val="Calibri"/>
        <family val="2"/>
        <scheme val="minor"/>
      </rPr>
      <t>15</t>
    </r>
    <r>
      <rPr>
        <sz val="11"/>
        <color theme="1"/>
        <rFont val="Calibri"/>
        <family val="2"/>
        <scheme val="minor"/>
      </rPr>
      <t xml:space="preserve"> - Transportation services (e.g., handicapped parking spaces)
</t>
    </r>
    <r>
      <rPr>
        <b/>
        <sz val="11"/>
        <color theme="1"/>
        <rFont val="Calibri"/>
        <family val="2"/>
        <scheme val="minor"/>
      </rPr>
      <t>16</t>
    </r>
    <r>
      <rPr>
        <sz val="11"/>
        <color theme="1"/>
        <rFont val="Calibri"/>
        <family val="2"/>
        <scheme val="minor"/>
      </rPr>
      <t xml:space="preserve"> - Tutors
</t>
    </r>
    <r>
      <rPr>
        <b/>
        <sz val="11"/>
        <color theme="1"/>
        <rFont val="Calibri"/>
        <family val="2"/>
        <scheme val="minor"/>
      </rPr>
      <t>17</t>
    </r>
    <r>
      <rPr>
        <sz val="11"/>
        <color theme="1"/>
        <rFont val="Calibri"/>
        <family val="2"/>
        <scheme val="minor"/>
      </rPr>
      <t xml:space="preserve"> - Voice synthesizer speech programs, equipment
</t>
    </r>
    <r>
      <rPr>
        <b/>
        <sz val="11"/>
        <color theme="1"/>
        <rFont val="Calibri"/>
        <family val="2"/>
        <scheme val="minor"/>
      </rPr>
      <t>18</t>
    </r>
    <r>
      <rPr>
        <sz val="11"/>
        <color theme="1"/>
        <rFont val="Calibri"/>
        <family val="2"/>
        <scheme val="minor"/>
      </rPr>
      <t xml:space="preserve"> - Wheel chair accessibility
</t>
    </r>
    <r>
      <rPr>
        <b/>
        <sz val="11"/>
        <color theme="1"/>
        <rFont val="Calibri"/>
        <family val="2"/>
        <scheme val="minor"/>
      </rPr>
      <t>19</t>
    </r>
    <r>
      <rPr>
        <sz val="11"/>
        <color theme="1"/>
        <rFont val="Calibri"/>
        <family val="2"/>
        <scheme val="minor"/>
      </rPr>
      <t xml:space="preserve"> - Wheel chair
</t>
    </r>
    <r>
      <rPr>
        <b/>
        <sz val="11"/>
        <color theme="1"/>
        <rFont val="Calibri"/>
        <family val="2"/>
        <scheme val="minor"/>
      </rPr>
      <t>99</t>
    </r>
    <r>
      <rPr>
        <sz val="11"/>
        <color theme="1"/>
        <rFont val="Calibri"/>
        <family val="2"/>
        <scheme val="minor"/>
      </rPr>
      <t xml:space="preserve"> - Other type of accommodation
</t>
    </r>
  </si>
  <si>
    <r>
      <t>Permanent</t>
    </r>
    <r>
      <rPr>
        <sz val="11"/>
        <color theme="1"/>
        <rFont val="Calibri"/>
        <family val="2"/>
        <scheme val="minor"/>
      </rPr>
      <t xml:space="preserve"> - Disability has been confirmed as a permanent disability
</t>
    </r>
    <r>
      <rPr>
        <b/>
        <sz val="11"/>
        <color theme="1"/>
        <rFont val="Calibri"/>
        <family val="2"/>
        <scheme val="minor"/>
      </rPr>
      <t>Temporary</t>
    </r>
    <r>
      <rPr>
        <sz val="11"/>
        <color theme="1"/>
        <rFont val="Calibri"/>
        <family val="2"/>
        <scheme val="minor"/>
      </rPr>
      <t xml:space="preserve"> - Disability has been confirmed as a temporary disability
</t>
    </r>
  </si>
  <si>
    <t>Graduate Student</t>
  </si>
  <si>
    <r>
      <t>Qualifying</t>
    </r>
    <r>
      <rPr>
        <sz val="11"/>
        <color theme="1"/>
        <rFont val="Calibri"/>
        <family val="2"/>
        <scheme val="minor"/>
      </rPr>
      <t xml:space="preserve"> - Qualifying exam
</t>
    </r>
    <r>
      <rPr>
        <b/>
        <sz val="11"/>
        <color theme="1"/>
        <rFont val="Calibri"/>
        <family val="2"/>
        <scheme val="minor"/>
      </rPr>
      <t>OralComprehensive</t>
    </r>
    <r>
      <rPr>
        <sz val="11"/>
        <color theme="1"/>
        <rFont val="Calibri"/>
        <family val="2"/>
        <scheme val="minor"/>
      </rPr>
      <t xml:space="preserve"> - Oral comprehensive exam
</t>
    </r>
    <r>
      <rPr>
        <b/>
        <sz val="11"/>
        <color theme="1"/>
        <rFont val="Calibri"/>
        <family val="2"/>
        <scheme val="minor"/>
      </rPr>
      <t>WrittenComprehensive</t>
    </r>
    <r>
      <rPr>
        <sz val="11"/>
        <color theme="1"/>
        <rFont val="Calibri"/>
        <family val="2"/>
        <scheme val="minor"/>
      </rPr>
      <t xml:space="preserve"> - Written comprehensive exam
</t>
    </r>
    <r>
      <rPr>
        <b/>
        <sz val="11"/>
        <color theme="1"/>
        <rFont val="Calibri"/>
        <family val="2"/>
        <scheme val="minor"/>
      </rPr>
      <t>Candidacy</t>
    </r>
    <r>
      <rPr>
        <sz val="11"/>
        <color theme="1"/>
        <rFont val="Calibri"/>
        <family val="2"/>
        <scheme val="minor"/>
      </rPr>
      <t xml:space="preserve"> - Candidacy exam
</t>
    </r>
    <r>
      <rPr>
        <b/>
        <sz val="11"/>
        <color theme="1"/>
        <rFont val="Calibri"/>
        <family val="2"/>
        <scheme val="minor"/>
      </rPr>
      <t>Other</t>
    </r>
    <r>
      <rPr>
        <sz val="11"/>
        <color theme="1"/>
        <rFont val="Calibri"/>
        <family val="2"/>
        <scheme val="minor"/>
      </rPr>
      <t xml:space="preserve"> - Other departmental or institutional exam
</t>
    </r>
  </si>
  <si>
    <r>
      <t>NotRequired</t>
    </r>
    <r>
      <rPr>
        <sz val="11"/>
        <color theme="1"/>
        <rFont val="Calibri"/>
        <family val="2"/>
        <scheme val="minor"/>
      </rPr>
      <t xml:space="preserve"> - Exam not required
</t>
    </r>
    <r>
      <rPr>
        <b/>
        <sz val="11"/>
        <color theme="1"/>
        <rFont val="Calibri"/>
        <family val="2"/>
        <scheme val="minor"/>
      </rPr>
      <t>NotTaken</t>
    </r>
    <r>
      <rPr>
        <sz val="11"/>
        <color theme="1"/>
        <rFont val="Calibri"/>
        <family val="2"/>
        <scheme val="minor"/>
      </rPr>
      <t xml:space="preserve"> - Exam required but not taken
</t>
    </r>
    <r>
      <rPr>
        <b/>
        <sz val="11"/>
        <color theme="1"/>
        <rFont val="Calibri"/>
        <family val="2"/>
        <scheme val="minor"/>
      </rPr>
      <t>Waived</t>
    </r>
    <r>
      <rPr>
        <sz val="11"/>
        <color theme="1"/>
        <rFont val="Calibri"/>
        <family val="2"/>
        <scheme val="minor"/>
      </rPr>
      <t xml:space="preserve"> - Exam waived
</t>
    </r>
    <r>
      <rPr>
        <b/>
        <sz val="11"/>
        <color theme="1"/>
        <rFont val="Calibri"/>
        <family val="2"/>
        <scheme val="minor"/>
      </rPr>
      <t>Passed</t>
    </r>
    <r>
      <rPr>
        <sz val="11"/>
        <color theme="1"/>
        <rFont val="Calibri"/>
        <family val="2"/>
        <scheme val="minor"/>
      </rPr>
      <t xml:space="preserve"> - Exam taken and passed
</t>
    </r>
    <r>
      <rPr>
        <b/>
        <sz val="11"/>
        <color theme="1"/>
        <rFont val="Calibri"/>
        <family val="2"/>
        <scheme val="minor"/>
      </rPr>
      <t>Failed</t>
    </r>
    <r>
      <rPr>
        <sz val="11"/>
        <color theme="1"/>
        <rFont val="Calibri"/>
        <family val="2"/>
        <scheme val="minor"/>
      </rPr>
      <t xml:space="preserve"> - Exam taken and failed
</t>
    </r>
  </si>
  <si>
    <r>
      <t>True</t>
    </r>
    <r>
      <rPr>
        <sz val="11"/>
        <color theme="1"/>
        <rFont val="Calibri"/>
        <family val="2"/>
        <scheme val="minor"/>
      </rPr>
      <t xml:space="preserve"> - Student was admitted as a doctoral candidate
</t>
    </r>
    <r>
      <rPr>
        <b/>
        <sz val="11"/>
        <color theme="1"/>
        <rFont val="Calibri"/>
        <family val="2"/>
        <scheme val="minor"/>
      </rPr>
      <t>False</t>
    </r>
    <r>
      <rPr>
        <sz val="11"/>
        <color theme="1"/>
        <rFont val="Calibri"/>
        <family val="2"/>
        <scheme val="minor"/>
      </rPr>
      <t xml:space="preserve"> - Student was not admitted as a doctoral candidate
</t>
    </r>
  </si>
  <si>
    <t>Graduate Student-&gt;Thesis/Dissertation Advisor</t>
  </si>
  <si>
    <t>Teacher Education/Preparation</t>
  </si>
  <si>
    <r>
      <t>No</t>
    </r>
    <r>
      <rPr>
        <sz val="11"/>
        <color theme="1"/>
        <rFont val="Calibri"/>
        <family val="2"/>
        <scheme val="minor"/>
      </rPr>
      <t xml:space="preserve"> - No
</t>
    </r>
    <r>
      <rPr>
        <b/>
        <sz val="11"/>
        <color theme="1"/>
        <rFont val="Calibri"/>
        <family val="2"/>
        <scheme val="minor"/>
      </rPr>
      <t>SeekingCandidacy</t>
    </r>
    <r>
      <rPr>
        <sz val="11"/>
        <color theme="1"/>
        <rFont val="Calibri"/>
        <family val="2"/>
        <scheme val="minor"/>
      </rPr>
      <t xml:space="preserve"> - Seeking Candidacy
</t>
    </r>
    <r>
      <rPr>
        <b/>
        <sz val="11"/>
        <color theme="1"/>
        <rFont val="Calibri"/>
        <family val="2"/>
        <scheme val="minor"/>
      </rPr>
      <t>Enrolled</t>
    </r>
    <r>
      <rPr>
        <sz val="11"/>
        <color theme="1"/>
        <rFont val="Calibri"/>
        <family val="2"/>
        <scheme val="minor"/>
      </rPr>
      <t xml:space="preserve"> - Enrolled
</t>
    </r>
  </si>
  <si>
    <r>
      <t>PraxisI</t>
    </r>
    <r>
      <rPr>
        <sz val="11"/>
        <color theme="1"/>
        <rFont val="Calibri"/>
        <family val="2"/>
        <scheme val="minor"/>
      </rPr>
      <t xml:space="preserve"> - Praxis I
</t>
    </r>
    <r>
      <rPr>
        <b/>
        <sz val="11"/>
        <color theme="1"/>
        <rFont val="Calibri"/>
        <family val="2"/>
        <scheme val="minor"/>
      </rPr>
      <t>PraxisII</t>
    </r>
    <r>
      <rPr>
        <sz val="11"/>
        <color theme="1"/>
        <rFont val="Calibri"/>
        <family val="2"/>
        <scheme val="minor"/>
      </rPr>
      <t xml:space="preserve"> - Praxis II
</t>
    </r>
    <r>
      <rPr>
        <b/>
        <sz val="11"/>
        <color theme="1"/>
        <rFont val="Calibri"/>
        <family val="2"/>
        <scheme val="minor"/>
      </rPr>
      <t>ACTFL</t>
    </r>
    <r>
      <rPr>
        <sz val="11"/>
        <color theme="1"/>
        <rFont val="Calibri"/>
        <family val="2"/>
        <scheme val="minor"/>
      </rPr>
      <t xml:space="preserve"> - ACTFL
</t>
    </r>
    <r>
      <rPr>
        <b/>
        <sz val="11"/>
        <color theme="1"/>
        <rFont val="Calibri"/>
        <family val="2"/>
        <scheme val="minor"/>
      </rPr>
      <t>StateExam</t>
    </r>
    <r>
      <rPr>
        <sz val="11"/>
        <color theme="1"/>
        <rFont val="Calibri"/>
        <family val="2"/>
        <scheme val="minor"/>
      </rPr>
      <t xml:space="preserve"> - State Exam
</t>
    </r>
    <r>
      <rPr>
        <b/>
        <sz val="11"/>
        <color theme="1"/>
        <rFont val="Calibri"/>
        <family val="2"/>
        <scheme val="minor"/>
      </rPr>
      <t>Other</t>
    </r>
    <r>
      <rPr>
        <sz val="11"/>
        <color theme="1"/>
        <rFont val="Calibri"/>
        <family val="2"/>
        <scheme val="minor"/>
      </rPr>
      <t xml:space="preserve"> - Other
</t>
    </r>
  </si>
  <si>
    <r>
      <t>1</t>
    </r>
    <r>
      <rPr>
        <sz val="11"/>
        <color theme="1"/>
        <rFont val="Calibri"/>
        <family val="2"/>
        <scheme val="minor"/>
      </rPr>
      <t xml:space="preserve"> - Educational Testing Service (ETS)
</t>
    </r>
    <r>
      <rPr>
        <b/>
        <sz val="11"/>
        <color theme="1"/>
        <rFont val="Calibri"/>
        <family val="2"/>
        <scheme val="minor"/>
      </rPr>
      <t>2</t>
    </r>
    <r>
      <rPr>
        <sz val="11"/>
        <color theme="1"/>
        <rFont val="Calibri"/>
        <family val="2"/>
        <scheme val="minor"/>
      </rPr>
      <t xml:space="preserve"> - Evaluation Systems Group of Pearson
</t>
    </r>
    <r>
      <rPr>
        <b/>
        <sz val="11"/>
        <color theme="1"/>
        <rFont val="Calibri"/>
        <family val="2"/>
        <scheme val="minor"/>
      </rPr>
      <t>3</t>
    </r>
    <r>
      <rPr>
        <sz val="11"/>
        <color theme="1"/>
        <rFont val="Calibri"/>
        <family val="2"/>
        <scheme val="minor"/>
      </rPr>
      <t xml:space="preserve"> - College Board
</t>
    </r>
    <r>
      <rPr>
        <b/>
        <sz val="11"/>
        <color theme="1"/>
        <rFont val="Calibri"/>
        <family val="2"/>
        <scheme val="minor"/>
      </rPr>
      <t>4</t>
    </r>
    <r>
      <rPr>
        <sz val="11"/>
        <color theme="1"/>
        <rFont val="Calibri"/>
        <family val="2"/>
        <scheme val="minor"/>
      </rPr>
      <t xml:space="preserve"> - American Board for Certification of Teacher Excellence (ABCTE)
</t>
    </r>
    <r>
      <rPr>
        <b/>
        <sz val="11"/>
        <color theme="1"/>
        <rFont val="Calibri"/>
        <family val="2"/>
        <scheme val="minor"/>
      </rPr>
      <t>5</t>
    </r>
    <r>
      <rPr>
        <sz val="11"/>
        <color theme="1"/>
        <rFont val="Calibri"/>
        <family val="2"/>
        <scheme val="minor"/>
      </rPr>
      <t xml:space="preserve"> - American Council on the Teaching of Foreign Languages (ACTFL)
</t>
    </r>
    <r>
      <rPr>
        <b/>
        <sz val="11"/>
        <color theme="1"/>
        <rFont val="Calibri"/>
        <family val="2"/>
        <scheme val="minor"/>
      </rPr>
      <t>98</t>
    </r>
    <r>
      <rPr>
        <sz val="11"/>
        <color theme="1"/>
        <rFont val="Calibri"/>
        <family val="2"/>
        <scheme val="minor"/>
      </rPr>
      <t xml:space="preserve"> - State
</t>
    </r>
    <r>
      <rPr>
        <b/>
        <sz val="11"/>
        <color theme="1"/>
        <rFont val="Calibri"/>
        <family val="2"/>
        <scheme val="minor"/>
      </rPr>
      <t>99</t>
    </r>
    <r>
      <rPr>
        <sz val="11"/>
        <color theme="1"/>
        <rFont val="Calibri"/>
        <family val="2"/>
        <scheme val="minor"/>
      </rPr>
      <t xml:space="preserve"> - Other
</t>
    </r>
  </si>
  <si>
    <t>Assessment</t>
  </si>
  <si>
    <r>
      <t>01</t>
    </r>
    <r>
      <rPr>
        <sz val="11"/>
        <color theme="1"/>
        <rFont val="Calibri"/>
        <family val="2"/>
        <scheme val="minor"/>
      </rPr>
      <t xml:space="preserve"> - Full-time
</t>
    </r>
    <r>
      <rPr>
        <b/>
        <sz val="11"/>
        <color theme="1"/>
        <rFont val="Calibri"/>
        <family val="2"/>
        <scheme val="minor"/>
      </rPr>
      <t>02</t>
    </r>
    <r>
      <rPr>
        <sz val="11"/>
        <color theme="1"/>
        <rFont val="Calibri"/>
        <family val="2"/>
        <scheme val="minor"/>
      </rPr>
      <t xml:space="preserve"> - Less than full-time but at least half-time
</t>
    </r>
    <r>
      <rPr>
        <b/>
        <sz val="11"/>
        <color theme="1"/>
        <rFont val="Calibri"/>
        <family val="2"/>
        <scheme val="minor"/>
      </rPr>
      <t>03</t>
    </r>
    <r>
      <rPr>
        <sz val="11"/>
        <color theme="1"/>
        <rFont val="Calibri"/>
        <family val="2"/>
        <scheme val="minor"/>
      </rPr>
      <t xml:space="preserve"> - Less than half-time
</t>
    </r>
  </si>
  <si>
    <t>Program Participation</t>
  </si>
  <si>
    <t>PS Staff</t>
  </si>
  <si>
    <r>
      <t>Full-time</t>
    </r>
    <r>
      <rPr>
        <sz val="11"/>
        <color theme="1"/>
        <rFont val="Calibri"/>
        <family val="2"/>
        <scheme val="minor"/>
      </rPr>
      <t xml:space="preserve"> - Full-time
</t>
    </r>
    <r>
      <rPr>
        <b/>
        <sz val="11"/>
        <color theme="1"/>
        <rFont val="Calibri"/>
        <family val="2"/>
        <scheme val="minor"/>
      </rPr>
      <t>Part-time</t>
    </r>
    <r>
      <rPr>
        <sz val="11"/>
        <color theme="1"/>
        <rFont val="Calibri"/>
        <family val="2"/>
        <scheme val="minor"/>
      </rPr>
      <t xml:space="preserve"> - Part-time
</t>
    </r>
  </si>
  <si>
    <r>
      <t>LessThan9-Month</t>
    </r>
    <r>
      <rPr>
        <sz val="11"/>
        <color theme="1"/>
        <rFont val="Calibri"/>
        <family val="2"/>
        <scheme val="minor"/>
      </rPr>
      <t xml:space="preserve"> - Less than 9-Month
</t>
    </r>
    <r>
      <rPr>
        <b/>
        <sz val="11"/>
        <color theme="1"/>
        <rFont val="Calibri"/>
        <family val="2"/>
        <scheme val="minor"/>
      </rPr>
      <t>9-Month</t>
    </r>
    <r>
      <rPr>
        <sz val="11"/>
        <color theme="1"/>
        <rFont val="Calibri"/>
        <family val="2"/>
        <scheme val="minor"/>
      </rPr>
      <t xml:space="preserve"> - 9-Month
</t>
    </r>
    <r>
      <rPr>
        <b/>
        <sz val="11"/>
        <color theme="1"/>
        <rFont val="Calibri"/>
        <family val="2"/>
        <scheme val="minor"/>
      </rPr>
      <t>10-Month</t>
    </r>
    <r>
      <rPr>
        <sz val="11"/>
        <color theme="1"/>
        <rFont val="Calibri"/>
        <family val="2"/>
        <scheme val="minor"/>
      </rPr>
      <t xml:space="preserve"> - 10-Month
</t>
    </r>
    <r>
      <rPr>
        <b/>
        <sz val="11"/>
        <color theme="1"/>
        <rFont val="Calibri"/>
        <family val="2"/>
        <scheme val="minor"/>
      </rPr>
      <t>11-Month</t>
    </r>
    <r>
      <rPr>
        <sz val="11"/>
        <color theme="1"/>
        <rFont val="Calibri"/>
        <family val="2"/>
        <scheme val="minor"/>
      </rPr>
      <t xml:space="preserve"> - 11-Month
</t>
    </r>
    <r>
      <rPr>
        <b/>
        <sz val="11"/>
        <color theme="1"/>
        <rFont val="Calibri"/>
        <family val="2"/>
        <scheme val="minor"/>
      </rPr>
      <t>12-Month</t>
    </r>
    <r>
      <rPr>
        <sz val="11"/>
        <color theme="1"/>
        <rFont val="Calibri"/>
        <family val="2"/>
        <scheme val="minor"/>
      </rPr>
      <t xml:space="preserve"> - 12-Month
</t>
    </r>
  </si>
  <si>
    <r>
      <t>Tenured</t>
    </r>
    <r>
      <rPr>
        <sz val="11"/>
        <color theme="1"/>
        <rFont val="Calibri"/>
        <family val="2"/>
        <scheme val="minor"/>
      </rPr>
      <t xml:space="preserve"> - Tenured
</t>
    </r>
    <r>
      <rPr>
        <b/>
        <sz val="11"/>
        <color theme="1"/>
        <rFont val="Calibri"/>
        <family val="2"/>
        <scheme val="minor"/>
      </rPr>
      <t>OnTenureTrack</t>
    </r>
    <r>
      <rPr>
        <sz val="11"/>
        <color theme="1"/>
        <rFont val="Calibri"/>
        <family val="2"/>
        <scheme val="minor"/>
      </rPr>
      <t xml:space="preserve"> - On tenure track
</t>
    </r>
    <r>
      <rPr>
        <b/>
        <sz val="11"/>
        <color theme="1"/>
        <rFont val="Calibri"/>
        <family val="2"/>
        <scheme val="minor"/>
      </rPr>
      <t>NotOnTenureTrack</t>
    </r>
    <r>
      <rPr>
        <sz val="11"/>
        <color theme="1"/>
        <rFont val="Calibri"/>
        <family val="2"/>
        <scheme val="minor"/>
      </rPr>
      <t xml:space="preserve"> - Not on tenure track
</t>
    </r>
    <r>
      <rPr>
        <b/>
        <sz val="11"/>
        <color theme="1"/>
        <rFont val="Calibri"/>
        <family val="2"/>
        <scheme val="minor"/>
      </rPr>
      <t>WithoutFacultyStatus</t>
    </r>
    <r>
      <rPr>
        <sz val="11"/>
        <color theme="1"/>
        <rFont val="Calibri"/>
        <family val="2"/>
        <scheme val="minor"/>
      </rPr>
      <t xml:space="preserve"> - Without faculty status
</t>
    </r>
  </si>
  <si>
    <r>
      <t>Multi-year</t>
    </r>
    <r>
      <rPr>
        <sz val="11"/>
        <color theme="1"/>
        <rFont val="Calibri"/>
        <family val="2"/>
        <scheme val="minor"/>
      </rPr>
      <t xml:space="preserve"> - Multi-year
</t>
    </r>
    <r>
      <rPr>
        <b/>
        <sz val="11"/>
        <color theme="1"/>
        <rFont val="Calibri"/>
        <family val="2"/>
        <scheme val="minor"/>
      </rPr>
      <t>Annual</t>
    </r>
    <r>
      <rPr>
        <sz val="11"/>
        <color theme="1"/>
        <rFont val="Calibri"/>
        <family val="2"/>
        <scheme val="minor"/>
      </rPr>
      <t xml:space="preserve"> - Annual
</t>
    </r>
    <r>
      <rPr>
        <b/>
        <sz val="11"/>
        <color theme="1"/>
        <rFont val="Calibri"/>
        <family val="2"/>
        <scheme val="minor"/>
      </rPr>
      <t>LessThanAnnual</t>
    </r>
    <r>
      <rPr>
        <sz val="11"/>
        <color theme="1"/>
        <rFont val="Calibri"/>
        <family val="2"/>
        <scheme val="minor"/>
      </rPr>
      <t xml:space="preserve"> - Less than annual
</t>
    </r>
    <r>
      <rPr>
        <b/>
        <sz val="11"/>
        <color theme="1"/>
        <rFont val="Calibri"/>
        <family val="2"/>
        <scheme val="minor"/>
      </rPr>
      <t>NotApplicable</t>
    </r>
    <r>
      <rPr>
        <sz val="11"/>
        <color theme="1"/>
        <rFont val="Calibri"/>
        <family val="2"/>
        <scheme val="minor"/>
      </rPr>
      <t xml:space="preserve"> - Not applicable
</t>
    </r>
  </si>
  <si>
    <r>
      <t>Professor</t>
    </r>
    <r>
      <rPr>
        <sz val="11"/>
        <color theme="1"/>
        <rFont val="Calibri"/>
        <family val="2"/>
        <scheme val="minor"/>
      </rPr>
      <t xml:space="preserve"> - Professor
</t>
    </r>
    <r>
      <rPr>
        <b/>
        <sz val="11"/>
        <color theme="1"/>
        <rFont val="Calibri"/>
        <family val="2"/>
        <scheme val="minor"/>
      </rPr>
      <t>AssociateProfessor</t>
    </r>
    <r>
      <rPr>
        <sz val="11"/>
        <color theme="1"/>
        <rFont val="Calibri"/>
        <family val="2"/>
        <scheme val="minor"/>
      </rPr>
      <t xml:space="preserve"> - Associate Professor
</t>
    </r>
    <r>
      <rPr>
        <b/>
        <sz val="11"/>
        <color theme="1"/>
        <rFont val="Calibri"/>
        <family val="2"/>
        <scheme val="minor"/>
      </rPr>
      <t>AssistantProfessor</t>
    </r>
    <r>
      <rPr>
        <sz val="11"/>
        <color theme="1"/>
        <rFont val="Calibri"/>
        <family val="2"/>
        <scheme val="minor"/>
      </rPr>
      <t xml:space="preserve"> - Assistant Professor
</t>
    </r>
    <r>
      <rPr>
        <b/>
        <sz val="11"/>
        <color theme="1"/>
        <rFont val="Calibri"/>
        <family val="2"/>
        <scheme val="minor"/>
      </rPr>
      <t>Instructor</t>
    </r>
    <r>
      <rPr>
        <sz val="11"/>
        <color theme="1"/>
        <rFont val="Calibri"/>
        <family val="2"/>
        <scheme val="minor"/>
      </rPr>
      <t xml:space="preserve"> - Instructor
</t>
    </r>
    <r>
      <rPr>
        <b/>
        <sz val="11"/>
        <color theme="1"/>
        <rFont val="Calibri"/>
        <family val="2"/>
        <scheme val="minor"/>
      </rPr>
      <t>Lecturer</t>
    </r>
    <r>
      <rPr>
        <sz val="11"/>
        <color theme="1"/>
        <rFont val="Calibri"/>
        <family val="2"/>
        <scheme val="minor"/>
      </rPr>
      <t xml:space="preserve"> - Lecturer
</t>
    </r>
    <r>
      <rPr>
        <b/>
        <sz val="11"/>
        <color theme="1"/>
        <rFont val="Calibri"/>
        <family val="2"/>
        <scheme val="minor"/>
      </rPr>
      <t>NoAcademicRank</t>
    </r>
    <r>
      <rPr>
        <sz val="11"/>
        <color theme="1"/>
        <rFont val="Calibri"/>
        <family val="2"/>
        <scheme val="minor"/>
      </rPr>
      <t xml:space="preserve"> - No Academic Rank
</t>
    </r>
  </si>
  <si>
    <r>
      <t>01</t>
    </r>
    <r>
      <rPr>
        <sz val="11"/>
        <color theme="1"/>
        <rFont val="Calibri"/>
        <family val="2"/>
        <scheme val="minor"/>
      </rPr>
      <t xml:space="preserve"> - Postsecondary Teacher: Instruction
</t>
    </r>
    <r>
      <rPr>
        <b/>
        <sz val="11"/>
        <color theme="1"/>
        <rFont val="Calibri"/>
        <family val="2"/>
        <scheme val="minor"/>
      </rPr>
      <t>02</t>
    </r>
    <r>
      <rPr>
        <sz val="11"/>
        <color theme="1"/>
        <rFont val="Calibri"/>
        <family val="2"/>
        <scheme val="minor"/>
      </rPr>
      <t xml:space="preserve"> - Postsecondary Teacher: Instruction/Research/Public Service
</t>
    </r>
    <r>
      <rPr>
        <b/>
        <sz val="11"/>
        <color theme="1"/>
        <rFont val="Calibri"/>
        <family val="2"/>
        <scheme val="minor"/>
      </rPr>
      <t>03</t>
    </r>
    <r>
      <rPr>
        <sz val="11"/>
        <color theme="1"/>
        <rFont val="Calibri"/>
        <family val="2"/>
        <scheme val="minor"/>
      </rPr>
      <t xml:space="preserve"> - Postsecondary Teacher: Research
</t>
    </r>
    <r>
      <rPr>
        <b/>
        <sz val="11"/>
        <color theme="1"/>
        <rFont val="Calibri"/>
        <family val="2"/>
        <scheme val="minor"/>
      </rPr>
      <t>04</t>
    </r>
    <r>
      <rPr>
        <sz val="11"/>
        <color theme="1"/>
        <rFont val="Calibri"/>
        <family val="2"/>
        <scheme val="minor"/>
      </rPr>
      <t xml:space="preserve"> - Postsecondary Teacher: Public Service
</t>
    </r>
    <r>
      <rPr>
        <b/>
        <sz val="11"/>
        <color theme="1"/>
        <rFont val="Calibri"/>
        <family val="2"/>
        <scheme val="minor"/>
      </rPr>
      <t>05</t>
    </r>
    <r>
      <rPr>
        <sz val="11"/>
        <color theme="1"/>
        <rFont val="Calibri"/>
        <family val="2"/>
        <scheme val="minor"/>
      </rPr>
      <t xml:space="preserve"> - Archivists, Curators, and Museum Technicians
</t>
    </r>
    <r>
      <rPr>
        <b/>
        <sz val="11"/>
        <color theme="1"/>
        <rFont val="Calibri"/>
        <family val="2"/>
        <scheme val="minor"/>
      </rPr>
      <t>06</t>
    </r>
    <r>
      <rPr>
        <sz val="11"/>
        <color theme="1"/>
        <rFont val="Calibri"/>
        <family val="2"/>
        <scheme val="minor"/>
      </rPr>
      <t xml:space="preserve"> - Librarians
</t>
    </r>
    <r>
      <rPr>
        <b/>
        <sz val="11"/>
        <color theme="1"/>
        <rFont val="Calibri"/>
        <family val="2"/>
        <scheme val="minor"/>
      </rPr>
      <t>07</t>
    </r>
    <r>
      <rPr>
        <sz val="11"/>
        <color theme="1"/>
        <rFont val="Calibri"/>
        <family val="2"/>
        <scheme val="minor"/>
      </rPr>
      <t xml:space="preserve"> - Librarian Technicians
</t>
    </r>
    <r>
      <rPr>
        <b/>
        <sz val="11"/>
        <color theme="1"/>
        <rFont val="Calibri"/>
        <family val="2"/>
        <scheme val="minor"/>
      </rPr>
      <t>08</t>
    </r>
    <r>
      <rPr>
        <sz val="11"/>
        <color theme="1"/>
        <rFont val="Calibri"/>
        <family val="2"/>
        <scheme val="minor"/>
      </rPr>
      <t xml:space="preserve"> - Non-Postsecondary Teachers
</t>
    </r>
    <r>
      <rPr>
        <b/>
        <sz val="11"/>
        <color theme="1"/>
        <rFont val="Calibri"/>
        <family val="2"/>
        <scheme val="minor"/>
      </rPr>
      <t>09</t>
    </r>
    <r>
      <rPr>
        <sz val="11"/>
        <color theme="1"/>
        <rFont val="Calibri"/>
        <family val="2"/>
        <scheme val="minor"/>
      </rPr>
      <t xml:space="preserve"> - Management Occupations
</t>
    </r>
    <r>
      <rPr>
        <b/>
        <sz val="11"/>
        <color theme="1"/>
        <rFont val="Calibri"/>
        <family val="2"/>
        <scheme val="minor"/>
      </rPr>
      <t>10</t>
    </r>
    <r>
      <rPr>
        <sz val="11"/>
        <color theme="1"/>
        <rFont val="Calibri"/>
        <family val="2"/>
        <scheme val="minor"/>
      </rPr>
      <t xml:space="preserve"> - Business and Financial Occupations
</t>
    </r>
    <r>
      <rPr>
        <b/>
        <sz val="11"/>
        <color theme="1"/>
        <rFont val="Calibri"/>
        <family val="2"/>
        <scheme val="minor"/>
      </rPr>
      <t>11</t>
    </r>
    <r>
      <rPr>
        <sz val="11"/>
        <color theme="1"/>
        <rFont val="Calibri"/>
        <family val="2"/>
        <scheme val="minor"/>
      </rPr>
      <t xml:space="preserve"> - Computer, Engineering and Science Occupations
</t>
    </r>
    <r>
      <rPr>
        <b/>
        <sz val="11"/>
        <color theme="1"/>
        <rFont val="Calibri"/>
        <family val="2"/>
        <scheme val="minor"/>
      </rPr>
      <t>12</t>
    </r>
    <r>
      <rPr>
        <sz val="11"/>
        <color theme="1"/>
        <rFont val="Calibri"/>
        <family val="2"/>
        <scheme val="minor"/>
      </rPr>
      <t xml:space="preserve"> - Community Service, Legal, Arts, and Media Occupations
</t>
    </r>
    <r>
      <rPr>
        <b/>
        <sz val="11"/>
        <color theme="1"/>
        <rFont val="Calibri"/>
        <family val="2"/>
        <scheme val="minor"/>
      </rPr>
      <t>13</t>
    </r>
    <r>
      <rPr>
        <sz val="11"/>
        <color theme="1"/>
        <rFont val="Calibri"/>
        <family val="2"/>
        <scheme val="minor"/>
      </rPr>
      <t xml:space="preserve"> - Healthcare Practitioners and Technical Occupations
</t>
    </r>
    <r>
      <rPr>
        <b/>
        <sz val="11"/>
        <color theme="1"/>
        <rFont val="Calibri"/>
        <family val="2"/>
        <scheme val="minor"/>
      </rPr>
      <t>14</t>
    </r>
    <r>
      <rPr>
        <sz val="11"/>
        <color theme="1"/>
        <rFont val="Calibri"/>
        <family val="2"/>
        <scheme val="minor"/>
      </rPr>
      <t xml:space="preserve"> - Service Occupations
</t>
    </r>
    <r>
      <rPr>
        <b/>
        <sz val="11"/>
        <color theme="1"/>
        <rFont val="Calibri"/>
        <family val="2"/>
        <scheme val="minor"/>
      </rPr>
      <t>15</t>
    </r>
    <r>
      <rPr>
        <sz val="11"/>
        <color theme="1"/>
        <rFont val="Calibri"/>
        <family val="2"/>
        <scheme val="minor"/>
      </rPr>
      <t xml:space="preserve"> - Sales and Related Occupations
</t>
    </r>
    <r>
      <rPr>
        <b/>
        <sz val="11"/>
        <color theme="1"/>
        <rFont val="Calibri"/>
        <family val="2"/>
        <scheme val="minor"/>
      </rPr>
      <t>16</t>
    </r>
    <r>
      <rPr>
        <sz val="11"/>
        <color theme="1"/>
        <rFont val="Calibri"/>
        <family val="2"/>
        <scheme val="minor"/>
      </rPr>
      <t xml:space="preserve"> - Office and Administrative Support Occupations
</t>
    </r>
    <r>
      <rPr>
        <b/>
        <sz val="11"/>
        <color theme="1"/>
        <rFont val="Calibri"/>
        <family val="2"/>
        <scheme val="minor"/>
      </rPr>
      <t>17</t>
    </r>
    <r>
      <rPr>
        <sz val="11"/>
        <color theme="1"/>
        <rFont val="Calibri"/>
        <family val="2"/>
        <scheme val="minor"/>
      </rPr>
      <t xml:space="preserve"> - Natural Resources, Construction
</t>
    </r>
    <r>
      <rPr>
        <b/>
        <sz val="11"/>
        <color theme="1"/>
        <rFont val="Calibri"/>
        <family val="2"/>
        <scheme val="minor"/>
      </rPr>
      <t>18</t>
    </r>
    <r>
      <rPr>
        <sz val="11"/>
        <color theme="1"/>
        <rFont val="Calibri"/>
        <family val="2"/>
        <scheme val="minor"/>
      </rPr>
      <t xml:space="preserve"> - Maintenance Occupations
</t>
    </r>
  </si>
  <si>
    <r>
      <t>01</t>
    </r>
    <r>
      <rPr>
        <sz val="11"/>
        <color theme="1"/>
        <rFont val="Calibri"/>
        <family val="2"/>
        <scheme val="minor"/>
      </rPr>
      <t xml:space="preserve"> - Teaching
</t>
    </r>
    <r>
      <rPr>
        <b/>
        <sz val="11"/>
        <color theme="1"/>
        <rFont val="Calibri"/>
        <family val="2"/>
        <scheme val="minor"/>
      </rPr>
      <t>02</t>
    </r>
    <r>
      <rPr>
        <sz val="11"/>
        <color theme="1"/>
        <rFont val="Calibri"/>
        <family val="2"/>
        <scheme val="minor"/>
      </rPr>
      <t xml:space="preserve"> - Research
</t>
    </r>
    <r>
      <rPr>
        <b/>
        <sz val="11"/>
        <color theme="1"/>
        <rFont val="Calibri"/>
        <family val="2"/>
        <scheme val="minor"/>
      </rPr>
      <t>03</t>
    </r>
    <r>
      <rPr>
        <sz val="11"/>
        <color theme="1"/>
        <rFont val="Calibri"/>
        <family val="2"/>
        <scheme val="minor"/>
      </rPr>
      <t xml:space="preserve"> - Management Occupations
</t>
    </r>
    <r>
      <rPr>
        <b/>
        <sz val="11"/>
        <color theme="1"/>
        <rFont val="Calibri"/>
        <family val="2"/>
        <scheme val="minor"/>
      </rPr>
      <t>04</t>
    </r>
    <r>
      <rPr>
        <sz val="11"/>
        <color theme="1"/>
        <rFont val="Calibri"/>
        <family val="2"/>
        <scheme val="minor"/>
      </rPr>
      <t xml:space="preserve"> - Business and Financial Occupations
</t>
    </r>
    <r>
      <rPr>
        <b/>
        <sz val="11"/>
        <color theme="1"/>
        <rFont val="Calibri"/>
        <family val="2"/>
        <scheme val="minor"/>
      </rPr>
      <t>05</t>
    </r>
    <r>
      <rPr>
        <sz val="11"/>
        <color theme="1"/>
        <rFont val="Calibri"/>
        <family val="2"/>
        <scheme val="minor"/>
      </rPr>
      <t xml:space="preserve"> - Computer, Engineering and Science Occupations
</t>
    </r>
    <r>
      <rPr>
        <b/>
        <sz val="11"/>
        <color theme="1"/>
        <rFont val="Calibri"/>
        <family val="2"/>
        <scheme val="minor"/>
      </rPr>
      <t>06</t>
    </r>
    <r>
      <rPr>
        <sz val="11"/>
        <color theme="1"/>
        <rFont val="Calibri"/>
        <family val="2"/>
        <scheme val="minor"/>
      </rPr>
      <t xml:space="preserve"> - Community Service, Legal, Arts and Media Occupations
</t>
    </r>
    <r>
      <rPr>
        <b/>
        <sz val="11"/>
        <color theme="1"/>
        <rFont val="Calibri"/>
        <family val="2"/>
        <scheme val="minor"/>
      </rPr>
      <t>07</t>
    </r>
    <r>
      <rPr>
        <sz val="11"/>
        <color theme="1"/>
        <rFont val="Calibri"/>
        <family val="2"/>
        <scheme val="minor"/>
      </rPr>
      <t xml:space="preserve"> - Library and Non-postsecondary Teaching
</t>
    </r>
    <r>
      <rPr>
        <b/>
        <sz val="11"/>
        <color theme="1"/>
        <rFont val="Calibri"/>
        <family val="2"/>
        <scheme val="minor"/>
      </rPr>
      <t>08</t>
    </r>
    <r>
      <rPr>
        <sz val="11"/>
        <color theme="1"/>
        <rFont val="Calibri"/>
        <family val="2"/>
        <scheme val="minor"/>
      </rPr>
      <t xml:space="preserve"> - Healthcare Practitioners and Technical Occupations
</t>
    </r>
  </si>
  <si>
    <r>
      <t>ExclusivelyCredit</t>
    </r>
    <r>
      <rPr>
        <sz val="11"/>
        <color theme="1"/>
        <rFont val="Calibri"/>
        <family val="2"/>
        <scheme val="minor"/>
      </rPr>
      <t xml:space="preserve"> - Exclusively credit
</t>
    </r>
    <r>
      <rPr>
        <b/>
        <sz val="11"/>
        <color theme="1"/>
        <rFont val="Calibri"/>
        <family val="2"/>
        <scheme val="minor"/>
      </rPr>
      <t>ExclusivelyNotForCredit</t>
    </r>
    <r>
      <rPr>
        <sz val="11"/>
        <color theme="1"/>
        <rFont val="Calibri"/>
        <family val="2"/>
        <scheme val="minor"/>
      </rPr>
      <t xml:space="preserve"> - Exclusively not-for-credit
</t>
    </r>
    <r>
      <rPr>
        <b/>
        <sz val="11"/>
        <color theme="1"/>
        <rFont val="Calibri"/>
        <family val="2"/>
        <scheme val="minor"/>
      </rPr>
      <t>Combined</t>
    </r>
    <r>
      <rPr>
        <sz val="11"/>
        <color theme="1"/>
        <rFont val="Calibri"/>
        <family val="2"/>
        <scheme val="minor"/>
      </rPr>
      <t xml:space="preserve"> - Combined credit/not-for-credit
</t>
    </r>
  </si>
  <si>
    <r>
      <t>OnCampus</t>
    </r>
    <r>
      <rPr>
        <sz val="11"/>
        <color theme="1"/>
        <rFont val="Calibri"/>
        <family val="2"/>
        <scheme val="minor"/>
      </rPr>
      <t xml:space="preserve"> - On campus
</t>
    </r>
    <r>
      <rPr>
        <b/>
        <sz val="11"/>
        <color theme="1"/>
        <rFont val="Calibri"/>
        <family val="2"/>
        <scheme val="minor"/>
      </rPr>
      <t>OffCampus</t>
    </r>
    <r>
      <rPr>
        <sz val="11"/>
        <color theme="1"/>
        <rFont val="Calibri"/>
        <family val="2"/>
        <scheme val="minor"/>
      </rPr>
      <t xml:space="preserve"> - Off campus (e.g., branch campus, etc.)
</t>
    </r>
    <r>
      <rPr>
        <b/>
        <sz val="11"/>
        <color theme="1"/>
        <rFont val="Calibri"/>
        <family val="2"/>
        <scheme val="minor"/>
      </rPr>
      <t>Extension</t>
    </r>
    <r>
      <rPr>
        <sz val="11"/>
        <color theme="1"/>
        <rFont val="Calibri"/>
        <family val="2"/>
        <scheme val="minor"/>
      </rPr>
      <t xml:space="preserve"> - Extension center or site
</t>
    </r>
    <r>
      <rPr>
        <b/>
        <sz val="11"/>
        <color theme="1"/>
        <rFont val="Calibri"/>
        <family val="2"/>
        <scheme val="minor"/>
      </rPr>
      <t>StudyAbroad</t>
    </r>
    <r>
      <rPr>
        <sz val="11"/>
        <color theme="1"/>
        <rFont val="Calibri"/>
        <family val="2"/>
        <scheme val="minor"/>
      </rPr>
      <t xml:space="preserve"> - Study abroad
</t>
    </r>
    <r>
      <rPr>
        <b/>
        <sz val="11"/>
        <color theme="1"/>
        <rFont val="Calibri"/>
        <family val="2"/>
        <scheme val="minor"/>
      </rPr>
      <t>Correctional</t>
    </r>
    <r>
      <rPr>
        <sz val="11"/>
        <color theme="1"/>
        <rFont val="Calibri"/>
        <family val="2"/>
        <scheme val="minor"/>
      </rPr>
      <t xml:space="preserve"> - Correctional institution
</t>
    </r>
    <r>
      <rPr>
        <b/>
        <sz val="11"/>
        <color theme="1"/>
        <rFont val="Calibri"/>
        <family val="2"/>
        <scheme val="minor"/>
      </rPr>
      <t>Military</t>
    </r>
    <r>
      <rPr>
        <sz val="11"/>
        <color theme="1"/>
        <rFont val="Calibri"/>
        <family val="2"/>
        <scheme val="minor"/>
      </rPr>
      <t xml:space="preserve"> - Military Base
</t>
    </r>
    <r>
      <rPr>
        <b/>
        <sz val="11"/>
        <color theme="1"/>
        <rFont val="Calibri"/>
        <family val="2"/>
        <scheme val="minor"/>
      </rPr>
      <t>Telecommunication</t>
    </r>
    <r>
      <rPr>
        <sz val="11"/>
        <color theme="1"/>
        <rFont val="Calibri"/>
        <family val="2"/>
        <scheme val="minor"/>
      </rPr>
      <t xml:space="preserve"> - Instructional telecommunications
</t>
    </r>
    <r>
      <rPr>
        <b/>
        <sz val="11"/>
        <color theme="1"/>
        <rFont val="Calibri"/>
        <family val="2"/>
        <scheme val="minor"/>
      </rPr>
      <t>Auxiliary</t>
    </r>
    <r>
      <rPr>
        <sz val="11"/>
        <color theme="1"/>
        <rFont val="Calibri"/>
        <family val="2"/>
        <scheme val="minor"/>
      </rPr>
      <t xml:space="preserve"> - Auxiliary
</t>
    </r>
    <r>
      <rPr>
        <b/>
        <sz val="11"/>
        <color theme="1"/>
        <rFont val="Calibri"/>
        <family val="2"/>
        <scheme val="minor"/>
      </rPr>
      <t>ClinicHospital</t>
    </r>
    <r>
      <rPr>
        <sz val="11"/>
        <color theme="1"/>
        <rFont val="Calibri"/>
        <family val="2"/>
        <scheme val="minor"/>
      </rPr>
      <t xml:space="preserve"> - Clinic or hospital
</t>
    </r>
  </si>
  <si>
    <r>
      <t>Honors</t>
    </r>
    <r>
      <rPr>
        <sz val="11"/>
        <color theme="1"/>
        <rFont val="Calibri"/>
        <family val="2"/>
        <scheme val="minor"/>
      </rPr>
      <t xml:space="preserve"> - Honors
</t>
    </r>
    <r>
      <rPr>
        <b/>
        <sz val="11"/>
        <color theme="1"/>
        <rFont val="Calibri"/>
        <family val="2"/>
        <scheme val="minor"/>
      </rPr>
      <t>HonorsOption</t>
    </r>
    <r>
      <rPr>
        <sz val="11"/>
        <color theme="1"/>
        <rFont val="Calibri"/>
        <family val="2"/>
        <scheme val="minor"/>
      </rPr>
      <t xml:space="preserve"> - Honors option
</t>
    </r>
  </si>
  <si>
    <r>
      <t>Regular</t>
    </r>
    <r>
      <rPr>
        <sz val="11"/>
        <color theme="1"/>
        <rFont val="Calibri"/>
        <family val="2"/>
        <scheme val="minor"/>
      </rPr>
      <t xml:space="preserve"> - Regular/general enrollment
</t>
    </r>
    <r>
      <rPr>
        <b/>
        <sz val="11"/>
        <color theme="1"/>
        <rFont val="Calibri"/>
        <family val="2"/>
        <scheme val="minor"/>
      </rPr>
      <t>Major</t>
    </r>
    <r>
      <rPr>
        <sz val="11"/>
        <color theme="1"/>
        <rFont val="Calibri"/>
        <family val="2"/>
        <scheme val="minor"/>
      </rPr>
      <t xml:space="preserve"> - Credit associated with the student's major
</t>
    </r>
    <r>
      <rPr>
        <b/>
        <sz val="11"/>
        <color theme="1"/>
        <rFont val="Calibri"/>
        <family val="2"/>
        <scheme val="minor"/>
      </rPr>
      <t>AcademicRenewal</t>
    </r>
    <r>
      <rPr>
        <sz val="11"/>
        <color theme="1"/>
        <rFont val="Calibri"/>
        <family val="2"/>
        <scheme val="minor"/>
      </rPr>
      <t xml:space="preserve"> - Academic Renewal
</t>
    </r>
    <r>
      <rPr>
        <b/>
        <sz val="11"/>
        <color theme="1"/>
        <rFont val="Calibri"/>
        <family val="2"/>
        <scheme val="minor"/>
      </rPr>
      <t>AdultBasic</t>
    </r>
    <r>
      <rPr>
        <sz val="11"/>
        <color theme="1"/>
        <rFont val="Calibri"/>
        <family val="2"/>
        <scheme val="minor"/>
      </rPr>
      <t xml:space="preserve"> - Adult Basic
</t>
    </r>
    <r>
      <rPr>
        <b/>
        <sz val="11"/>
        <color theme="1"/>
        <rFont val="Calibri"/>
        <family val="2"/>
        <scheme val="minor"/>
      </rPr>
      <t>AdvancedPlacement</t>
    </r>
    <r>
      <rPr>
        <sz val="11"/>
        <color theme="1"/>
        <rFont val="Calibri"/>
        <family val="2"/>
        <scheme val="minor"/>
      </rPr>
      <t xml:space="preserve"> - Advanced Placement
</t>
    </r>
    <r>
      <rPr>
        <b/>
        <sz val="11"/>
        <color theme="1"/>
        <rFont val="Calibri"/>
        <family val="2"/>
        <scheme val="minor"/>
      </rPr>
      <t>AdvancedStanding</t>
    </r>
    <r>
      <rPr>
        <sz val="11"/>
        <color theme="1"/>
        <rFont val="Calibri"/>
        <family val="2"/>
        <scheme val="minor"/>
      </rPr>
      <t xml:space="preserve"> - Advanced Standing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ContinuingEducation</t>
    </r>
    <r>
      <rPr>
        <sz val="11"/>
        <color theme="1"/>
        <rFont val="Calibri"/>
        <family val="2"/>
        <scheme val="minor"/>
      </rPr>
      <t xml:space="preserve"> - Continuing Education
</t>
    </r>
    <r>
      <rPr>
        <b/>
        <sz val="11"/>
        <color theme="1"/>
        <rFont val="Calibri"/>
        <family val="2"/>
        <scheme val="minor"/>
      </rPr>
      <t>Exemption</t>
    </r>
    <r>
      <rPr>
        <sz val="11"/>
        <color theme="1"/>
        <rFont val="Calibri"/>
        <family val="2"/>
        <scheme val="minor"/>
      </rPr>
      <t xml:space="preserve"> - Exemption
</t>
    </r>
    <r>
      <rPr>
        <b/>
        <sz val="11"/>
        <color theme="1"/>
        <rFont val="Calibri"/>
        <family val="2"/>
        <scheme val="minor"/>
      </rPr>
      <t>Equivalence</t>
    </r>
    <r>
      <rPr>
        <sz val="11"/>
        <color theme="1"/>
        <rFont val="Calibri"/>
        <family val="2"/>
        <scheme val="minor"/>
      </rPr>
      <t xml:space="preserve"> - Equivalence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Military</t>
    </r>
    <r>
      <rPr>
        <sz val="11"/>
        <color theme="1"/>
        <rFont val="Calibri"/>
        <family val="2"/>
        <scheme val="minor"/>
      </rPr>
      <t xml:space="preserve"> - Military
</t>
    </r>
    <r>
      <rPr>
        <b/>
        <sz val="11"/>
        <color theme="1"/>
        <rFont val="Calibri"/>
        <family val="2"/>
        <scheme val="minor"/>
      </rPr>
      <t>Remedial</t>
    </r>
    <r>
      <rPr>
        <sz val="11"/>
        <color theme="1"/>
        <rFont val="Calibri"/>
        <family val="2"/>
        <scheme val="minor"/>
      </rPr>
      <t xml:space="preserve"> - Remedial/developmental
</t>
    </r>
    <r>
      <rPr>
        <b/>
        <sz val="11"/>
        <color theme="1"/>
        <rFont val="Calibri"/>
        <family val="2"/>
        <scheme val="minor"/>
      </rPr>
      <t>CreditByExam</t>
    </r>
    <r>
      <rPr>
        <sz val="11"/>
        <color theme="1"/>
        <rFont val="Calibri"/>
        <family val="2"/>
        <scheme val="minor"/>
      </rPr>
      <t xml:space="preserve"> - Credit granted from successful score on a standardized test of comprehension or proficiency.
</t>
    </r>
    <r>
      <rPr>
        <b/>
        <sz val="11"/>
        <color theme="1"/>
        <rFont val="Calibri"/>
        <family val="2"/>
        <scheme val="minor"/>
      </rPr>
      <t>HighSchoolTransferCredit</t>
    </r>
    <r>
      <rPr>
        <sz val="11"/>
        <color theme="1"/>
        <rFont val="Calibri"/>
        <family val="2"/>
        <scheme val="minor"/>
      </rPr>
      <t xml:space="preserve"> - Credit from a high school course is transferred to the college.
</t>
    </r>
    <r>
      <rPr>
        <b/>
        <sz val="11"/>
        <color theme="1"/>
        <rFont val="Calibri"/>
        <family val="2"/>
        <scheme val="minor"/>
      </rPr>
      <t>HighSchoolCreditOnly</t>
    </r>
    <r>
      <rPr>
        <sz val="11"/>
        <color theme="1"/>
        <rFont val="Calibri"/>
        <family val="2"/>
        <scheme val="minor"/>
      </rPr>
      <t xml:space="preserve"> - Credit from a college course is transferred back to high school and not counted by the college.
</t>
    </r>
    <r>
      <rPr>
        <b/>
        <sz val="11"/>
        <color theme="1"/>
        <rFont val="Calibri"/>
        <family val="2"/>
        <scheme val="minor"/>
      </rPr>
      <t>HighSchoolDualCredit</t>
    </r>
    <r>
      <rPr>
        <sz val="11"/>
        <color theme="1"/>
        <rFont val="Calibri"/>
        <family val="2"/>
        <scheme val="minor"/>
      </rPr>
      <t xml:space="preserve"> - Credit from a college course is counted at both the college and high school.
</t>
    </r>
    <r>
      <rPr>
        <b/>
        <sz val="11"/>
        <color theme="1"/>
        <rFont val="Calibri"/>
        <family val="2"/>
        <scheme val="minor"/>
      </rPr>
      <t>JuniorHighSchoolCredit</t>
    </r>
    <r>
      <rPr>
        <sz val="11"/>
        <color theme="1"/>
        <rFont val="Calibri"/>
        <family val="2"/>
        <scheme val="minor"/>
      </rPr>
      <t xml:space="preserve"> - Credit from a junior high school course is counted at the high school.
</t>
    </r>
  </si>
  <si>
    <r>
      <t>Undergraduate</t>
    </r>
    <r>
      <rPr>
        <sz val="11"/>
        <color theme="1"/>
        <rFont val="Calibri"/>
        <family val="2"/>
        <scheme val="minor"/>
      </rPr>
      <t xml:space="preserve"> - Undergraduate
</t>
    </r>
    <r>
      <rPr>
        <b/>
        <sz val="11"/>
        <color theme="1"/>
        <rFont val="Calibri"/>
        <family val="2"/>
        <scheme val="minor"/>
      </rPr>
      <t>Ungraded</t>
    </r>
    <r>
      <rPr>
        <sz val="11"/>
        <color theme="1"/>
        <rFont val="Calibri"/>
        <family val="2"/>
        <scheme val="minor"/>
      </rPr>
      <t xml:space="preserve"> - Ungraded
</t>
    </r>
    <r>
      <rPr>
        <b/>
        <sz val="11"/>
        <color theme="1"/>
        <rFont val="Calibri"/>
        <family val="2"/>
        <scheme val="minor"/>
      </rPr>
      <t>LowerDivision</t>
    </r>
    <r>
      <rPr>
        <sz val="11"/>
        <color theme="1"/>
        <rFont val="Calibri"/>
        <family val="2"/>
        <scheme val="minor"/>
      </rPr>
      <t xml:space="preserve"> - Lower division credit (associated with first/second year)
</t>
    </r>
    <r>
      <rPr>
        <b/>
        <sz val="11"/>
        <color theme="1"/>
        <rFont val="Calibri"/>
        <family val="2"/>
        <scheme val="minor"/>
      </rPr>
      <t>UpperDivision</t>
    </r>
    <r>
      <rPr>
        <sz val="11"/>
        <color theme="1"/>
        <rFont val="Calibri"/>
        <family val="2"/>
        <scheme val="minor"/>
      </rPr>
      <t xml:space="preserve"> - Higher or upper division credit (associated with third or fourth year)
</t>
    </r>
    <r>
      <rPr>
        <b/>
        <sz val="11"/>
        <color theme="1"/>
        <rFont val="Calibri"/>
        <family val="2"/>
        <scheme val="minor"/>
      </rPr>
      <t>Vocational</t>
    </r>
    <r>
      <rPr>
        <sz val="11"/>
        <color theme="1"/>
        <rFont val="Calibri"/>
        <family val="2"/>
        <scheme val="minor"/>
      </rPr>
      <t xml:space="preserve"> - Vocational/technical credit
</t>
    </r>
    <r>
      <rPr>
        <b/>
        <sz val="11"/>
        <color theme="1"/>
        <rFont val="Calibri"/>
        <family val="2"/>
        <scheme val="minor"/>
      </rPr>
      <t>TechnicalPreparatory</t>
    </r>
    <r>
      <rPr>
        <sz val="11"/>
        <color theme="1"/>
        <rFont val="Calibri"/>
        <family val="2"/>
        <scheme val="minor"/>
      </rPr>
      <t xml:space="preserve"> - Technical preparatory credit
</t>
    </r>
    <r>
      <rPr>
        <b/>
        <sz val="11"/>
        <color theme="1"/>
        <rFont val="Calibri"/>
        <family val="2"/>
        <scheme val="minor"/>
      </rPr>
      <t>Graduate</t>
    </r>
    <r>
      <rPr>
        <sz val="11"/>
        <color theme="1"/>
        <rFont val="Calibri"/>
        <family val="2"/>
        <scheme val="minor"/>
      </rPr>
      <t xml:space="preserve"> - Graduate level credit
</t>
    </r>
    <r>
      <rPr>
        <b/>
        <sz val="11"/>
        <color theme="1"/>
        <rFont val="Calibri"/>
        <family val="2"/>
        <scheme val="minor"/>
      </rPr>
      <t>Professional</t>
    </r>
    <r>
      <rPr>
        <sz val="11"/>
        <color theme="1"/>
        <rFont val="Calibri"/>
        <family val="2"/>
        <scheme val="minor"/>
      </rPr>
      <t xml:space="preserve"> - Professional
</t>
    </r>
    <r>
      <rPr>
        <b/>
        <sz val="11"/>
        <color theme="1"/>
        <rFont val="Calibri"/>
        <family val="2"/>
        <scheme val="minor"/>
      </rPr>
      <t>Dual</t>
    </r>
    <r>
      <rPr>
        <sz val="11"/>
        <color theme="1"/>
        <rFont val="Calibri"/>
        <family val="2"/>
        <scheme val="minor"/>
      </rPr>
      <t xml:space="preserve"> - Dual Level
</t>
    </r>
    <r>
      <rPr>
        <b/>
        <sz val="11"/>
        <color theme="1"/>
        <rFont val="Calibri"/>
        <family val="2"/>
        <scheme val="minor"/>
      </rPr>
      <t>GraduateProfessional</t>
    </r>
    <r>
      <rPr>
        <sz val="11"/>
        <color theme="1"/>
        <rFont val="Calibri"/>
        <family val="2"/>
        <scheme val="minor"/>
      </rPr>
      <t xml:space="preserve"> - Graduate Professional
</t>
    </r>
  </si>
  <si>
    <r>
      <t>Lecture</t>
    </r>
    <r>
      <rPr>
        <sz val="11"/>
        <color theme="1"/>
        <rFont val="Calibri"/>
        <family val="2"/>
        <scheme val="minor"/>
      </rPr>
      <t xml:space="preserve"> - Lecture
</t>
    </r>
    <r>
      <rPr>
        <b/>
        <sz val="11"/>
        <color theme="1"/>
        <rFont val="Calibri"/>
        <family val="2"/>
        <scheme val="minor"/>
      </rPr>
      <t>Laboratory</t>
    </r>
    <r>
      <rPr>
        <sz val="11"/>
        <color theme="1"/>
        <rFont val="Calibri"/>
        <family val="2"/>
        <scheme val="minor"/>
      </rPr>
      <t xml:space="preserve"> - Laboratory
</t>
    </r>
    <r>
      <rPr>
        <b/>
        <sz val="11"/>
        <color theme="1"/>
        <rFont val="Calibri"/>
        <family val="2"/>
        <scheme val="minor"/>
      </rPr>
      <t>Seminar</t>
    </r>
    <r>
      <rPr>
        <sz val="11"/>
        <color theme="1"/>
        <rFont val="Calibri"/>
        <family val="2"/>
        <scheme val="minor"/>
      </rPr>
      <t xml:space="preserve"> - Seminar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PrivateStudy</t>
    </r>
    <r>
      <rPr>
        <sz val="11"/>
        <color theme="1"/>
        <rFont val="Calibri"/>
        <family val="2"/>
        <scheme val="minor"/>
      </rPr>
      <t xml:space="preserve"> - Private Study
</t>
    </r>
    <r>
      <rPr>
        <b/>
        <sz val="11"/>
        <color theme="1"/>
        <rFont val="Calibri"/>
        <family val="2"/>
        <scheme val="minor"/>
      </rPr>
      <t>PracticeTeaching</t>
    </r>
    <r>
      <rPr>
        <sz val="11"/>
        <color theme="1"/>
        <rFont val="Calibri"/>
        <family val="2"/>
        <scheme val="minor"/>
      </rPr>
      <t xml:space="preserve"> - Practice Teaching
</t>
    </r>
    <r>
      <rPr>
        <b/>
        <sz val="11"/>
        <color theme="1"/>
        <rFont val="Calibri"/>
        <family val="2"/>
        <scheme val="minor"/>
      </rPr>
      <t>Internship</t>
    </r>
    <r>
      <rPr>
        <sz val="11"/>
        <color theme="1"/>
        <rFont val="Calibri"/>
        <family val="2"/>
        <scheme val="minor"/>
      </rPr>
      <t xml:space="preserve"> - Internship
</t>
    </r>
    <r>
      <rPr>
        <b/>
        <sz val="11"/>
        <color theme="1"/>
        <rFont val="Calibri"/>
        <family val="2"/>
        <scheme val="minor"/>
      </rPr>
      <t>Practicum</t>
    </r>
    <r>
      <rPr>
        <sz val="11"/>
        <color theme="1"/>
        <rFont val="Calibri"/>
        <family val="2"/>
        <scheme val="minor"/>
      </rPr>
      <t xml:space="preserve"> - Practicum
</t>
    </r>
    <r>
      <rPr>
        <b/>
        <sz val="11"/>
        <color theme="1"/>
        <rFont val="Calibri"/>
        <family val="2"/>
        <scheme val="minor"/>
      </rPr>
      <t>ApprenticeshipExternship</t>
    </r>
    <r>
      <rPr>
        <sz val="11"/>
        <color theme="1"/>
        <rFont val="Calibri"/>
        <family val="2"/>
        <scheme val="minor"/>
      </rPr>
      <t xml:space="preserve"> - Apprenticeship Externship
</t>
    </r>
    <r>
      <rPr>
        <b/>
        <sz val="11"/>
        <color theme="1"/>
        <rFont val="Calibri"/>
        <family val="2"/>
        <scheme val="minor"/>
      </rPr>
      <t>AppliedInstruction</t>
    </r>
    <r>
      <rPr>
        <sz val="11"/>
        <color theme="1"/>
        <rFont val="Calibri"/>
        <family val="2"/>
        <scheme val="minor"/>
      </rPr>
      <t xml:space="preserve"> - Applied Instruction
</t>
    </r>
    <r>
      <rPr>
        <b/>
        <sz val="11"/>
        <color theme="1"/>
        <rFont val="Calibri"/>
        <family val="2"/>
        <scheme val="minor"/>
      </rPr>
      <t>Residency</t>
    </r>
    <r>
      <rPr>
        <sz val="11"/>
        <color theme="1"/>
        <rFont val="Calibri"/>
        <family val="2"/>
        <scheme val="minor"/>
      </rPr>
      <t xml:space="preserve"> - Residency
</t>
    </r>
    <r>
      <rPr>
        <b/>
        <sz val="11"/>
        <color theme="1"/>
        <rFont val="Calibri"/>
        <family val="2"/>
        <scheme val="minor"/>
      </rPr>
      <t>ClinicalRotationInstruction</t>
    </r>
    <r>
      <rPr>
        <sz val="11"/>
        <color theme="1"/>
        <rFont val="Calibri"/>
        <family val="2"/>
        <scheme val="minor"/>
      </rPr>
      <t xml:space="preserve"> - Clinical Rotation Instruction
</t>
    </r>
    <r>
      <rPr>
        <b/>
        <sz val="11"/>
        <color theme="1"/>
        <rFont val="Calibri"/>
        <family val="2"/>
        <scheme val="minor"/>
      </rPr>
      <t>SelfPaced</t>
    </r>
    <r>
      <rPr>
        <sz val="11"/>
        <color theme="1"/>
        <rFont val="Calibri"/>
        <family val="2"/>
        <scheme val="minor"/>
      </rPr>
      <t xml:space="preserve"> - Self Paced
</t>
    </r>
    <r>
      <rPr>
        <b/>
        <sz val="11"/>
        <color theme="1"/>
        <rFont val="Calibri"/>
        <family val="2"/>
        <scheme val="minor"/>
      </rPr>
      <t>FieldStudy</t>
    </r>
    <r>
      <rPr>
        <sz val="11"/>
        <color theme="1"/>
        <rFont val="Calibri"/>
        <family val="2"/>
        <scheme val="minor"/>
      </rPr>
      <t xml:space="preserve"> - Field Study
</t>
    </r>
    <r>
      <rPr>
        <b/>
        <sz val="11"/>
        <color theme="1"/>
        <rFont val="Calibri"/>
        <family val="2"/>
        <scheme val="minor"/>
      </rPr>
      <t>InternetInstruction</t>
    </r>
    <r>
      <rPr>
        <sz val="11"/>
        <color theme="1"/>
        <rFont val="Calibri"/>
        <family val="2"/>
        <scheme val="minor"/>
      </rPr>
      <t xml:space="preserve"> - Internet Instruction
</t>
    </r>
    <r>
      <rPr>
        <b/>
        <sz val="11"/>
        <color theme="1"/>
        <rFont val="Calibri"/>
        <family val="2"/>
        <scheme val="minor"/>
      </rPr>
      <t>InteractiveVideo</t>
    </r>
    <r>
      <rPr>
        <sz val="11"/>
        <color theme="1"/>
        <rFont val="Calibri"/>
        <family val="2"/>
        <scheme val="minor"/>
      </rPr>
      <t xml:space="preserve"> - Interactive Video
</t>
    </r>
    <r>
      <rPr>
        <b/>
        <sz val="11"/>
        <color theme="1"/>
        <rFont val="Calibri"/>
        <family val="2"/>
        <scheme val="minor"/>
      </rPr>
      <t>Videotape</t>
    </r>
    <r>
      <rPr>
        <sz val="11"/>
        <color theme="1"/>
        <rFont val="Calibri"/>
        <family val="2"/>
        <scheme val="minor"/>
      </rPr>
      <t xml:space="preserve"> - Videotape
</t>
    </r>
    <r>
      <rPr>
        <b/>
        <sz val="11"/>
        <color theme="1"/>
        <rFont val="Calibri"/>
        <family val="2"/>
        <scheme val="minor"/>
      </rPr>
      <t>Television</t>
    </r>
    <r>
      <rPr>
        <sz val="11"/>
        <color theme="1"/>
        <rFont val="Calibri"/>
        <family val="2"/>
        <scheme val="minor"/>
      </rPr>
      <t xml:space="preserve"> - Television
</t>
    </r>
    <r>
      <rPr>
        <b/>
        <sz val="11"/>
        <color theme="1"/>
        <rFont val="Calibri"/>
        <family val="2"/>
        <scheme val="minor"/>
      </rPr>
      <t>OtherDistanceLearning</t>
    </r>
    <r>
      <rPr>
        <sz val="11"/>
        <color theme="1"/>
        <rFont val="Calibri"/>
        <family val="2"/>
        <scheme val="minor"/>
      </rPr>
      <t xml:space="preserve"> - Other Distance Learning
</t>
    </r>
    <r>
      <rPr>
        <b/>
        <sz val="11"/>
        <color theme="1"/>
        <rFont val="Calibri"/>
        <family val="2"/>
        <scheme val="minor"/>
      </rPr>
      <t>Audiotape</t>
    </r>
    <r>
      <rPr>
        <sz val="11"/>
        <color theme="1"/>
        <rFont val="Calibri"/>
        <family val="2"/>
        <scheme val="minor"/>
      </rPr>
      <t xml:space="preserve"> - Audiotape
</t>
    </r>
    <r>
      <rPr>
        <b/>
        <sz val="11"/>
        <color theme="1"/>
        <rFont val="Calibri"/>
        <family val="2"/>
        <scheme val="minor"/>
      </rPr>
      <t>ComputerBasedInstruction</t>
    </r>
    <r>
      <rPr>
        <sz val="11"/>
        <color theme="1"/>
        <rFont val="Calibri"/>
        <family val="2"/>
        <scheme val="minor"/>
      </rPr>
      <t xml:space="preserve"> - Computer Based Instruction
</t>
    </r>
    <r>
      <rPr>
        <b/>
        <sz val="11"/>
        <color theme="1"/>
        <rFont val="Calibri"/>
        <family val="2"/>
        <scheme val="minor"/>
      </rPr>
      <t>CompressedVideo</t>
    </r>
    <r>
      <rPr>
        <sz val="11"/>
        <color theme="1"/>
        <rFont val="Calibri"/>
        <family val="2"/>
        <scheme val="minor"/>
      </rPr>
      <t xml:space="preserve"> - Compressed Video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CooperativeEducation</t>
    </r>
    <r>
      <rPr>
        <sz val="11"/>
        <color theme="1"/>
        <rFont val="Calibri"/>
        <family val="2"/>
        <scheme val="minor"/>
      </rPr>
      <t xml:space="preserve"> - Cooperative Education
</t>
    </r>
    <r>
      <rPr>
        <b/>
        <sz val="11"/>
        <color theme="1"/>
        <rFont val="Calibri"/>
        <family val="2"/>
        <scheme val="minor"/>
      </rPr>
      <t>WorkStudy</t>
    </r>
    <r>
      <rPr>
        <sz val="11"/>
        <color theme="1"/>
        <rFont val="Calibri"/>
        <family val="2"/>
        <scheme val="minor"/>
      </rPr>
      <t xml:space="preserve"> - Work Study
</t>
    </r>
  </si>
  <si>
    <r>
      <t>AuditedCourse</t>
    </r>
    <r>
      <rPr>
        <sz val="11"/>
        <color theme="1"/>
        <rFont val="Calibri"/>
        <family val="2"/>
        <scheme val="minor"/>
      </rPr>
      <t xml:space="preserve"> - Audited or visited the course
</t>
    </r>
    <r>
      <rPr>
        <b/>
        <sz val="11"/>
        <color theme="1"/>
        <rFont val="Calibri"/>
        <family val="2"/>
        <scheme val="minor"/>
      </rPr>
      <t>HonorsGrade</t>
    </r>
    <r>
      <rPr>
        <sz val="11"/>
        <color theme="1"/>
        <rFont val="Calibri"/>
        <family val="2"/>
        <scheme val="minor"/>
      </rPr>
      <t xml:space="preserve"> - Honors grade
</t>
    </r>
    <r>
      <rPr>
        <b/>
        <sz val="11"/>
        <color theme="1"/>
        <rFont val="Calibri"/>
        <family val="2"/>
        <scheme val="minor"/>
      </rPr>
      <t>Incomplete</t>
    </r>
    <r>
      <rPr>
        <sz val="11"/>
        <color theme="1"/>
        <rFont val="Calibri"/>
        <family val="2"/>
        <scheme val="minor"/>
      </rPr>
      <t xml:space="preserve"> - Incomplete
</t>
    </r>
    <r>
      <rPr>
        <b/>
        <sz val="11"/>
        <color theme="1"/>
        <rFont val="Calibri"/>
        <family val="2"/>
        <scheme val="minor"/>
      </rPr>
      <t>IncompleteNotResolvedFail</t>
    </r>
    <r>
      <rPr>
        <sz val="11"/>
        <color theme="1"/>
        <rFont val="Calibri"/>
        <family val="2"/>
        <scheme val="minor"/>
      </rPr>
      <t xml:space="preserve"> - Incomplete Not Resolved Fail
</t>
    </r>
    <r>
      <rPr>
        <b/>
        <sz val="11"/>
        <color theme="1"/>
        <rFont val="Calibri"/>
        <family val="2"/>
        <scheme val="minor"/>
      </rPr>
      <t>InProgress</t>
    </r>
    <r>
      <rPr>
        <sz val="11"/>
        <color theme="1"/>
        <rFont val="Calibri"/>
        <family val="2"/>
        <scheme val="minor"/>
      </rPr>
      <t xml:space="preserve"> - In Progress
</t>
    </r>
    <r>
      <rPr>
        <b/>
        <sz val="11"/>
        <color theme="1"/>
        <rFont val="Calibri"/>
        <family val="2"/>
        <scheme val="minor"/>
      </rPr>
      <t>NotYetReported</t>
    </r>
    <r>
      <rPr>
        <sz val="11"/>
        <color theme="1"/>
        <rFont val="Calibri"/>
        <family val="2"/>
        <scheme val="minor"/>
      </rPr>
      <t xml:space="preserve"> - Not Yet Reported
</t>
    </r>
    <r>
      <rPr>
        <b/>
        <sz val="11"/>
        <color theme="1"/>
        <rFont val="Calibri"/>
        <family val="2"/>
        <scheme val="minor"/>
      </rPr>
      <t>OtherFail</t>
    </r>
    <r>
      <rPr>
        <sz val="11"/>
        <color theme="1"/>
        <rFont val="Calibri"/>
        <family val="2"/>
        <scheme val="minor"/>
      </rPr>
      <t xml:space="preserve"> - Other Fail
</t>
    </r>
    <r>
      <rPr>
        <b/>
        <sz val="11"/>
        <color theme="1"/>
        <rFont val="Calibri"/>
        <family val="2"/>
        <scheme val="minor"/>
      </rPr>
      <t>OtherPass</t>
    </r>
    <r>
      <rPr>
        <sz val="11"/>
        <color theme="1"/>
        <rFont val="Calibri"/>
        <family val="2"/>
        <scheme val="minor"/>
      </rPr>
      <t xml:space="preserve"> - Other Pass
</t>
    </r>
    <r>
      <rPr>
        <b/>
        <sz val="11"/>
        <color theme="1"/>
        <rFont val="Calibri"/>
        <family val="2"/>
        <scheme val="minor"/>
      </rPr>
      <t>PassFailFail</t>
    </r>
    <r>
      <rPr>
        <sz val="11"/>
        <color theme="1"/>
        <rFont val="Calibri"/>
        <family val="2"/>
        <scheme val="minor"/>
      </rPr>
      <t xml:space="preserve"> - Pass-Fail : Fail
</t>
    </r>
    <r>
      <rPr>
        <b/>
        <sz val="11"/>
        <color theme="1"/>
        <rFont val="Calibri"/>
        <family val="2"/>
        <scheme val="minor"/>
      </rPr>
      <t>PassFailPass</t>
    </r>
    <r>
      <rPr>
        <sz val="11"/>
        <color theme="1"/>
        <rFont val="Calibri"/>
        <family val="2"/>
        <scheme val="minor"/>
      </rPr>
      <t xml:space="preserve"> - Pass-Fail : Pass
</t>
    </r>
    <r>
      <rPr>
        <b/>
        <sz val="11"/>
        <color theme="1"/>
        <rFont val="Calibri"/>
        <family val="2"/>
        <scheme val="minor"/>
      </rPr>
      <t>TransferNoGrade</t>
    </r>
    <r>
      <rPr>
        <sz val="11"/>
        <color theme="1"/>
        <rFont val="Calibri"/>
        <family val="2"/>
        <scheme val="minor"/>
      </rPr>
      <t xml:space="preserve"> - Transfer No Grade
</t>
    </r>
    <r>
      <rPr>
        <b/>
        <sz val="11"/>
        <color theme="1"/>
        <rFont val="Calibri"/>
        <family val="2"/>
        <scheme val="minor"/>
      </rPr>
      <t>Withdrew</t>
    </r>
    <r>
      <rPr>
        <sz val="11"/>
        <color theme="1"/>
        <rFont val="Calibri"/>
        <family val="2"/>
        <scheme val="minor"/>
      </rPr>
      <t xml:space="preserve"> - Withdrew
</t>
    </r>
    <r>
      <rPr>
        <b/>
        <sz val="11"/>
        <color theme="1"/>
        <rFont val="Calibri"/>
        <family val="2"/>
        <scheme val="minor"/>
      </rPr>
      <t>WithdrewFailing</t>
    </r>
    <r>
      <rPr>
        <sz val="11"/>
        <color theme="1"/>
        <rFont val="Calibri"/>
        <family val="2"/>
        <scheme val="minor"/>
      </rPr>
      <t xml:space="preserve"> - Withdrew failing
</t>
    </r>
    <r>
      <rPr>
        <b/>
        <sz val="11"/>
        <color theme="1"/>
        <rFont val="Calibri"/>
        <family val="2"/>
        <scheme val="minor"/>
      </rPr>
      <t>WithdrewNoPenalty</t>
    </r>
    <r>
      <rPr>
        <sz val="11"/>
        <color theme="1"/>
        <rFont val="Calibri"/>
        <family val="2"/>
        <scheme val="minor"/>
      </rPr>
      <t xml:space="preserve"> - Withdrew No Penalty
</t>
    </r>
    <r>
      <rPr>
        <b/>
        <sz val="11"/>
        <color theme="1"/>
        <rFont val="Calibri"/>
        <family val="2"/>
        <scheme val="minor"/>
      </rPr>
      <t>WithdrewPassing</t>
    </r>
    <r>
      <rPr>
        <sz val="11"/>
        <color theme="1"/>
        <rFont val="Calibri"/>
        <family val="2"/>
        <scheme val="minor"/>
      </rPr>
      <t xml:space="preserve"> - Withdrew passing
</t>
    </r>
  </si>
  <si>
    <t>Career and Technical</t>
  </si>
  <si>
    <t>CTE Student</t>
  </si>
  <si>
    <t>Career Education Plan</t>
  </si>
  <si>
    <t>CTE Staff</t>
  </si>
  <si>
    <t>Adult Education</t>
  </si>
  <si>
    <t>AE Provider</t>
  </si>
  <si>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</si>
  <si>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r>
      <t>LEA</t>
    </r>
    <r>
      <rPr>
        <sz val="11"/>
        <color theme="1"/>
        <rFont val="Calibri"/>
        <family val="2"/>
        <scheme val="minor"/>
      </rPr>
      <t xml:space="preserve"> - Local Education Agency
</t>
    </r>
    <r>
      <rPr>
        <b/>
        <sz val="11"/>
        <color theme="1"/>
        <rFont val="Calibri"/>
        <family val="2"/>
        <scheme val="minor"/>
      </rPr>
      <t>PostsecondaryInstitution</t>
    </r>
    <r>
      <rPr>
        <sz val="11"/>
        <color theme="1"/>
        <rFont val="Calibri"/>
        <family val="2"/>
        <scheme val="minor"/>
      </rPr>
      <t xml:space="preserve"> - Postsecondary Institution
</t>
    </r>
    <r>
      <rPr>
        <b/>
        <sz val="11"/>
        <color theme="1"/>
        <rFont val="Calibri"/>
        <family val="2"/>
        <scheme val="minor"/>
      </rPr>
      <t>CommunityBasedOrganization</t>
    </r>
    <r>
      <rPr>
        <sz val="11"/>
        <color theme="1"/>
        <rFont val="Calibri"/>
        <family val="2"/>
        <scheme val="minor"/>
      </rPr>
      <t xml:space="preserve"> - Community-Based Organization
</t>
    </r>
    <r>
      <rPr>
        <b/>
        <sz val="11"/>
        <color theme="1"/>
        <rFont val="Calibri"/>
        <family val="2"/>
        <scheme val="minor"/>
      </rPr>
      <t>Library</t>
    </r>
    <r>
      <rPr>
        <sz val="11"/>
        <color theme="1"/>
        <rFont val="Calibri"/>
        <family val="2"/>
        <scheme val="minor"/>
      </rPr>
      <t xml:space="preserve"> - Library
</t>
    </r>
    <r>
      <rPr>
        <b/>
        <sz val="11"/>
        <color theme="1"/>
        <rFont val="Calibri"/>
        <family val="2"/>
        <scheme val="minor"/>
      </rPr>
      <t>CorrectionalInstitution</t>
    </r>
    <r>
      <rPr>
        <sz val="11"/>
        <color theme="1"/>
        <rFont val="Calibri"/>
        <family val="2"/>
        <scheme val="minor"/>
      </rPr>
      <t xml:space="preserve"> - Correctional Institution
</t>
    </r>
    <r>
      <rPr>
        <b/>
        <sz val="11"/>
        <color theme="1"/>
        <rFont val="Calibri"/>
        <family val="2"/>
        <scheme val="minor"/>
      </rPr>
      <t>OtherInstitution</t>
    </r>
    <r>
      <rPr>
        <sz val="11"/>
        <color theme="1"/>
        <rFont val="Calibri"/>
        <family val="2"/>
        <scheme val="minor"/>
      </rPr>
      <t xml:space="preserve"> - Other Institution
</t>
    </r>
    <r>
      <rPr>
        <b/>
        <sz val="11"/>
        <color theme="1"/>
        <rFont val="Calibri"/>
        <family val="2"/>
        <scheme val="minor"/>
      </rPr>
      <t>OtherAgency</t>
    </r>
    <r>
      <rPr>
        <sz val="11"/>
        <color theme="1"/>
        <rFont val="Calibri"/>
        <family val="2"/>
        <scheme val="minor"/>
      </rPr>
      <t xml:space="preserve"> - Other state or local government agency
</t>
    </r>
    <r>
      <rPr>
        <b/>
        <sz val="11"/>
        <color theme="1"/>
        <rFont val="Calibri"/>
        <family val="2"/>
        <scheme val="minor"/>
      </rPr>
      <t>Other</t>
    </r>
    <r>
      <rPr>
        <sz val="11"/>
        <color theme="1"/>
        <rFont val="Calibri"/>
        <family val="2"/>
        <scheme val="minor"/>
      </rPr>
      <t xml:space="preserve"> - Other
</t>
    </r>
  </si>
  <si>
    <t>AE Student</t>
  </si>
  <si>
    <r>
      <t>ABE</t>
    </r>
    <r>
      <rPr>
        <sz val="11"/>
        <color theme="1"/>
        <rFont val="Calibri"/>
        <family val="2"/>
        <scheme val="minor"/>
      </rPr>
      <t xml:space="preserve"> - Adult Basic Education
</t>
    </r>
    <r>
      <rPr>
        <b/>
        <sz val="11"/>
        <color theme="1"/>
        <rFont val="Calibri"/>
        <family val="2"/>
        <scheme val="minor"/>
      </rPr>
      <t>ASE</t>
    </r>
    <r>
      <rPr>
        <sz val="11"/>
        <color theme="1"/>
        <rFont val="Calibri"/>
        <family val="2"/>
        <scheme val="minor"/>
      </rPr>
      <t xml:space="preserve"> - Adult Secondary Education
</t>
    </r>
    <r>
      <rPr>
        <b/>
        <sz val="11"/>
        <color theme="1"/>
        <rFont val="Calibri"/>
        <family val="2"/>
        <scheme val="minor"/>
      </rPr>
      <t>ESL</t>
    </r>
    <r>
      <rPr>
        <sz val="11"/>
        <color theme="1"/>
        <rFont val="Calibri"/>
        <family val="2"/>
        <scheme val="minor"/>
      </rPr>
      <t xml:space="preserve"> - English as a Second Language/Civics
</t>
    </r>
  </si>
  <si>
    <r>
      <t>CorrectionalEducation</t>
    </r>
    <r>
      <rPr>
        <sz val="11"/>
        <color theme="1"/>
        <rFont val="Calibri"/>
        <family val="2"/>
        <scheme val="minor"/>
      </rPr>
      <t xml:space="preserve"> - Correctional education program in facility or community
</t>
    </r>
    <r>
      <rPr>
        <b/>
        <sz val="11"/>
        <color theme="1"/>
        <rFont val="Calibri"/>
        <family val="2"/>
        <scheme val="minor"/>
      </rPr>
      <t>FamilyLiteracy</t>
    </r>
    <r>
      <rPr>
        <sz val="11"/>
        <color theme="1"/>
        <rFont val="Calibri"/>
        <family val="2"/>
        <scheme val="minor"/>
      </rPr>
      <t xml:space="preserve"> - Family Literacy
</t>
    </r>
    <r>
      <rPr>
        <b/>
        <sz val="11"/>
        <color theme="1"/>
        <rFont val="Calibri"/>
        <family val="2"/>
        <scheme val="minor"/>
      </rPr>
      <t>WorkplaceLiteracy</t>
    </r>
    <r>
      <rPr>
        <sz val="11"/>
        <color theme="1"/>
        <rFont val="Calibri"/>
        <family val="2"/>
        <scheme val="minor"/>
      </rPr>
      <t xml:space="preserve"> - Workplace Literacy
</t>
    </r>
    <r>
      <rPr>
        <b/>
        <sz val="11"/>
        <color theme="1"/>
        <rFont val="Calibri"/>
        <family val="2"/>
        <scheme val="minor"/>
      </rPr>
      <t>Homeless</t>
    </r>
    <r>
      <rPr>
        <sz val="11"/>
        <color theme="1"/>
        <rFont val="Calibri"/>
        <family val="2"/>
        <scheme val="minor"/>
      </rPr>
      <t xml:space="preserve"> - Program for the Homeless
</t>
    </r>
    <r>
      <rPr>
        <b/>
        <sz val="11"/>
        <color theme="1"/>
        <rFont val="Calibri"/>
        <family val="2"/>
        <scheme val="minor"/>
      </rPr>
      <t>Co-enrollment</t>
    </r>
    <r>
      <rPr>
        <sz val="11"/>
        <color theme="1"/>
        <rFont val="Calibri"/>
        <family val="2"/>
        <scheme val="minor"/>
      </rPr>
      <t xml:space="preserve"> - Co-enrollment in adult education and postsecondary education
</t>
    </r>
    <r>
      <rPr>
        <b/>
        <sz val="11"/>
        <color theme="1"/>
        <rFont val="Calibri"/>
        <family val="2"/>
        <scheme val="minor"/>
      </rPr>
      <t>DistanceEducation</t>
    </r>
    <r>
      <rPr>
        <sz val="11"/>
        <color theme="1"/>
        <rFont val="Calibri"/>
        <family val="2"/>
        <scheme val="minor"/>
      </rPr>
      <t xml:space="preserve"> - Distance Education
</t>
    </r>
  </si>
  <si>
    <r>
      <t>ABEBegLit</t>
    </r>
    <r>
      <rPr>
        <sz val="11"/>
        <color theme="1"/>
        <rFont val="Calibri"/>
        <family val="2"/>
        <scheme val="minor"/>
      </rPr>
      <t xml:space="preserve"> - ABE Beginning Literacy
</t>
    </r>
    <r>
      <rPr>
        <b/>
        <sz val="11"/>
        <color theme="1"/>
        <rFont val="Calibri"/>
        <family val="2"/>
        <scheme val="minor"/>
      </rPr>
      <t>ABEBegBasic</t>
    </r>
    <r>
      <rPr>
        <sz val="11"/>
        <color theme="1"/>
        <rFont val="Calibri"/>
        <family val="2"/>
        <scheme val="minor"/>
      </rPr>
      <t xml:space="preserve"> - Beginning Basic Education
</t>
    </r>
    <r>
      <rPr>
        <b/>
        <sz val="11"/>
        <color theme="1"/>
        <rFont val="Calibri"/>
        <family val="2"/>
        <scheme val="minor"/>
      </rPr>
      <t>ABEIntLow</t>
    </r>
    <r>
      <rPr>
        <sz val="11"/>
        <color theme="1"/>
        <rFont val="Calibri"/>
        <family val="2"/>
        <scheme val="minor"/>
      </rPr>
      <t xml:space="preserve"> - Low Intermediate Basic Education
</t>
    </r>
    <r>
      <rPr>
        <b/>
        <sz val="11"/>
        <color theme="1"/>
        <rFont val="Calibri"/>
        <family val="2"/>
        <scheme val="minor"/>
      </rPr>
      <t>ABEIntHigh</t>
    </r>
    <r>
      <rPr>
        <sz val="11"/>
        <color theme="1"/>
        <rFont val="Calibri"/>
        <family val="2"/>
        <scheme val="minor"/>
      </rPr>
      <t xml:space="preserve"> - High Intermediate Basic Education
</t>
    </r>
    <r>
      <rPr>
        <b/>
        <sz val="11"/>
        <color theme="1"/>
        <rFont val="Calibri"/>
        <family val="2"/>
        <scheme val="minor"/>
      </rPr>
      <t>ASELow</t>
    </r>
    <r>
      <rPr>
        <sz val="11"/>
        <color theme="1"/>
        <rFont val="Calibri"/>
        <family val="2"/>
        <scheme val="minor"/>
      </rPr>
      <t xml:space="preserve"> - Adult Secondary Education Low
</t>
    </r>
    <r>
      <rPr>
        <b/>
        <sz val="11"/>
        <color theme="1"/>
        <rFont val="Calibri"/>
        <family val="2"/>
        <scheme val="minor"/>
      </rPr>
      <t>ASEHigh</t>
    </r>
    <r>
      <rPr>
        <sz val="11"/>
        <color theme="1"/>
        <rFont val="Calibri"/>
        <family val="2"/>
        <scheme val="minor"/>
      </rPr>
      <t xml:space="preserve"> - Adult Secondary Education High
</t>
    </r>
    <r>
      <rPr>
        <b/>
        <sz val="11"/>
        <color theme="1"/>
        <rFont val="Calibri"/>
        <family val="2"/>
        <scheme val="minor"/>
      </rPr>
      <t>ESLBegLit</t>
    </r>
    <r>
      <rPr>
        <sz val="11"/>
        <color theme="1"/>
        <rFont val="Calibri"/>
        <family val="2"/>
        <scheme val="minor"/>
      </rPr>
      <t xml:space="preserve"> - Beginning ESL Literacy
</t>
    </r>
    <r>
      <rPr>
        <b/>
        <sz val="11"/>
        <color theme="1"/>
        <rFont val="Calibri"/>
        <family val="2"/>
        <scheme val="minor"/>
      </rPr>
      <t>ESLBegLow</t>
    </r>
    <r>
      <rPr>
        <sz val="11"/>
        <color theme="1"/>
        <rFont val="Calibri"/>
        <family val="2"/>
        <scheme val="minor"/>
      </rPr>
      <t xml:space="preserve"> - ESL Low Beginning
</t>
    </r>
    <r>
      <rPr>
        <b/>
        <sz val="11"/>
        <color theme="1"/>
        <rFont val="Calibri"/>
        <family val="2"/>
        <scheme val="minor"/>
      </rPr>
      <t>ESLBegHigh</t>
    </r>
    <r>
      <rPr>
        <sz val="11"/>
        <color theme="1"/>
        <rFont val="Calibri"/>
        <family val="2"/>
        <scheme val="minor"/>
      </rPr>
      <t xml:space="preserve"> - ESL High Beginning
</t>
    </r>
    <r>
      <rPr>
        <b/>
        <sz val="11"/>
        <color theme="1"/>
        <rFont val="Calibri"/>
        <family val="2"/>
        <scheme val="minor"/>
      </rPr>
      <t>ESLIntLow</t>
    </r>
    <r>
      <rPr>
        <sz val="11"/>
        <color theme="1"/>
        <rFont val="Calibri"/>
        <family val="2"/>
        <scheme val="minor"/>
      </rPr>
      <t xml:space="preserve"> - ESL Low Intermediate
</t>
    </r>
    <r>
      <rPr>
        <b/>
        <sz val="11"/>
        <color theme="1"/>
        <rFont val="Calibri"/>
        <family val="2"/>
        <scheme val="minor"/>
      </rPr>
      <t>ESLIntHigh</t>
    </r>
    <r>
      <rPr>
        <sz val="11"/>
        <color theme="1"/>
        <rFont val="Calibri"/>
        <family val="2"/>
        <scheme val="minor"/>
      </rPr>
      <t xml:space="preserve"> - ESL Intermediate High
</t>
    </r>
    <r>
      <rPr>
        <b/>
        <sz val="11"/>
        <color theme="1"/>
        <rFont val="Calibri"/>
        <family val="2"/>
        <scheme val="minor"/>
      </rPr>
      <t>ESLAdv</t>
    </r>
    <r>
      <rPr>
        <sz val="11"/>
        <color theme="1"/>
        <rFont val="Calibri"/>
        <family val="2"/>
        <scheme val="minor"/>
      </rPr>
      <t xml:space="preserve"> - ESL Advanced
</t>
    </r>
  </si>
  <si>
    <r>
      <t>01</t>
    </r>
    <r>
      <rPr>
        <sz val="11"/>
        <color theme="1"/>
        <rFont val="Calibri"/>
        <family val="2"/>
        <scheme val="minor"/>
      </rPr>
      <t xml:space="preserve"> - Obtain a job
</t>
    </r>
    <r>
      <rPr>
        <b/>
        <sz val="11"/>
        <color theme="1"/>
        <rFont val="Calibri"/>
        <family val="2"/>
        <scheme val="minor"/>
      </rPr>
      <t>02</t>
    </r>
    <r>
      <rPr>
        <sz val="11"/>
        <color theme="1"/>
        <rFont val="Calibri"/>
        <family val="2"/>
        <scheme val="minor"/>
      </rPr>
      <t xml:space="preserve"> - Retain current job
</t>
    </r>
    <r>
      <rPr>
        <b/>
        <sz val="11"/>
        <color theme="1"/>
        <rFont val="Calibri"/>
        <family val="2"/>
        <scheme val="minor"/>
      </rPr>
      <t>03</t>
    </r>
    <r>
      <rPr>
        <sz val="11"/>
        <color theme="1"/>
        <rFont val="Calibri"/>
        <family val="2"/>
        <scheme val="minor"/>
      </rPr>
      <t xml:space="preserve"> - Earn a secondary school diploma or achieve GED certificate
</t>
    </r>
    <r>
      <rPr>
        <b/>
        <sz val="11"/>
        <color theme="1"/>
        <rFont val="Calibri"/>
        <family val="2"/>
        <scheme val="minor"/>
      </rPr>
      <t>04</t>
    </r>
    <r>
      <rPr>
        <sz val="11"/>
        <color theme="1"/>
        <rFont val="Calibri"/>
        <family val="2"/>
        <scheme val="minor"/>
      </rPr>
      <t xml:space="preserve"> - Enter postsecondary education or job training
</t>
    </r>
    <r>
      <rPr>
        <b/>
        <sz val="11"/>
        <color theme="1"/>
        <rFont val="Calibri"/>
        <family val="2"/>
        <scheme val="minor"/>
      </rPr>
      <t>05</t>
    </r>
    <r>
      <rPr>
        <sz val="11"/>
        <color theme="1"/>
        <rFont val="Calibri"/>
        <family val="2"/>
        <scheme val="minor"/>
      </rPr>
      <t xml:space="preserve"> - Improve basic literacy skills
</t>
    </r>
    <r>
      <rPr>
        <b/>
        <sz val="11"/>
        <color theme="1"/>
        <rFont val="Calibri"/>
        <family val="2"/>
        <scheme val="minor"/>
      </rPr>
      <t>06</t>
    </r>
    <r>
      <rPr>
        <sz val="11"/>
        <color theme="1"/>
        <rFont val="Calibri"/>
        <family val="2"/>
        <scheme val="minor"/>
      </rPr>
      <t xml:space="preserve"> - Improve English language skills
</t>
    </r>
    <r>
      <rPr>
        <b/>
        <sz val="11"/>
        <color theme="1"/>
        <rFont val="Calibri"/>
        <family val="2"/>
        <scheme val="minor"/>
      </rPr>
      <t>07</t>
    </r>
    <r>
      <rPr>
        <sz val="11"/>
        <color theme="1"/>
        <rFont val="Calibri"/>
        <family val="2"/>
        <scheme val="minor"/>
      </rPr>
      <t xml:space="preserve"> - Obtain citizenship skills
</t>
    </r>
    <r>
      <rPr>
        <b/>
        <sz val="11"/>
        <color theme="1"/>
        <rFont val="Calibri"/>
        <family val="2"/>
        <scheme val="minor"/>
      </rPr>
      <t>08</t>
    </r>
    <r>
      <rPr>
        <sz val="11"/>
        <color theme="1"/>
        <rFont val="Calibri"/>
        <family val="2"/>
        <scheme val="minor"/>
      </rPr>
      <t xml:space="preserve"> - Achieve work-based project learner goals
</t>
    </r>
    <r>
      <rPr>
        <b/>
        <sz val="11"/>
        <color theme="1"/>
        <rFont val="Calibri"/>
        <family val="2"/>
        <scheme val="minor"/>
      </rPr>
      <t>09</t>
    </r>
    <r>
      <rPr>
        <sz val="11"/>
        <color theme="1"/>
        <rFont val="Calibri"/>
        <family val="2"/>
        <scheme val="minor"/>
      </rPr>
      <t xml:space="preserve"> - Other personal goals
</t>
    </r>
  </si>
  <si>
    <r>
      <t>Prison</t>
    </r>
    <r>
      <rPr>
        <sz val="11"/>
        <color theme="1"/>
        <rFont val="Calibri"/>
        <family val="2"/>
        <scheme val="minor"/>
      </rPr>
      <t xml:space="preserve"> - Prison, Penitentiary or Correctional Institution
</t>
    </r>
    <r>
      <rPr>
        <b/>
        <sz val="11"/>
        <color theme="1"/>
        <rFont val="Calibri"/>
        <family val="2"/>
        <scheme val="minor"/>
      </rPr>
      <t>Jail</t>
    </r>
    <r>
      <rPr>
        <sz val="11"/>
        <color theme="1"/>
        <rFont val="Calibri"/>
        <family val="2"/>
        <scheme val="minor"/>
      </rPr>
      <t xml:space="preserve"> - Jail
</t>
    </r>
    <r>
      <rPr>
        <b/>
        <sz val="11"/>
        <color theme="1"/>
        <rFont val="Calibri"/>
        <family val="2"/>
        <scheme val="minor"/>
      </rPr>
      <t>JuvenileFacility</t>
    </r>
    <r>
      <rPr>
        <sz val="11"/>
        <color theme="1"/>
        <rFont val="Calibri"/>
        <family val="2"/>
        <scheme val="minor"/>
      </rPr>
      <t xml:space="preserve"> - Juvenile Facility
</t>
    </r>
    <r>
      <rPr>
        <b/>
        <sz val="11"/>
        <color theme="1"/>
        <rFont val="Calibri"/>
        <family val="2"/>
        <scheme val="minor"/>
      </rPr>
      <t>CommunityCorrections</t>
    </r>
    <r>
      <rPr>
        <sz val="11"/>
        <color theme="1"/>
        <rFont val="Calibri"/>
        <family val="2"/>
        <scheme val="minor"/>
      </rPr>
      <t xml:space="preserve"> - Community Corrections
</t>
    </r>
    <r>
      <rPr>
        <b/>
        <sz val="11"/>
        <color theme="1"/>
        <rFont val="Calibri"/>
        <family val="2"/>
        <scheme val="minor"/>
      </rPr>
      <t>Other</t>
    </r>
    <r>
      <rPr>
        <sz val="11"/>
        <color theme="1"/>
        <rFont val="Calibri"/>
        <family val="2"/>
        <scheme val="minor"/>
      </rPr>
      <t xml:space="preserve"> - Other Institution
</t>
    </r>
  </si>
  <si>
    <t>AE Staff</t>
  </si>
  <si>
    <t>Certification</t>
  </si>
  <si>
    <r>
      <t>AdultEducationCertification</t>
    </r>
    <r>
      <rPr>
        <sz val="11"/>
        <color theme="1"/>
        <rFont val="Calibri"/>
        <family val="2"/>
        <scheme val="minor"/>
      </rPr>
      <t xml:space="preserve"> - Adult Education Certification
</t>
    </r>
    <r>
      <rPr>
        <b/>
        <sz val="11"/>
        <color theme="1"/>
        <rFont val="Calibri"/>
        <family val="2"/>
        <scheme val="minor"/>
      </rPr>
      <t>K-12Certification</t>
    </r>
    <r>
      <rPr>
        <sz val="11"/>
        <color theme="1"/>
        <rFont val="Calibri"/>
        <family val="2"/>
        <scheme val="minor"/>
      </rPr>
      <t xml:space="preserve"> - K-12 Certification
</t>
    </r>
    <r>
      <rPr>
        <b/>
        <sz val="11"/>
        <color theme="1"/>
        <rFont val="Calibri"/>
        <family val="2"/>
        <scheme val="minor"/>
      </rPr>
      <t>SpecialEducationCertification</t>
    </r>
    <r>
      <rPr>
        <sz val="11"/>
        <color theme="1"/>
        <rFont val="Calibri"/>
        <family val="2"/>
        <scheme val="minor"/>
      </rPr>
      <t xml:space="preserve"> - Special Education Certification
</t>
    </r>
    <r>
      <rPr>
        <b/>
        <sz val="11"/>
        <color theme="1"/>
        <rFont val="Calibri"/>
        <family val="2"/>
        <scheme val="minor"/>
      </rPr>
      <t>TESOLCertification</t>
    </r>
    <r>
      <rPr>
        <sz val="11"/>
        <color theme="1"/>
        <rFont val="Calibri"/>
        <family val="2"/>
        <scheme val="minor"/>
      </rPr>
      <t xml:space="preserve"> - Teachers of English to Speakers of Other Languages (TESOL) Certification
</t>
    </r>
    <r>
      <rPr>
        <b/>
        <sz val="11"/>
        <color theme="1"/>
        <rFont val="Calibri"/>
        <family val="2"/>
        <scheme val="minor"/>
      </rPr>
      <t>None</t>
    </r>
    <r>
      <rPr>
        <sz val="11"/>
        <color theme="1"/>
        <rFont val="Calibri"/>
        <family val="2"/>
        <scheme val="minor"/>
      </rPr>
      <t xml:space="preserve"> - None
</t>
    </r>
  </si>
  <si>
    <t>Credential</t>
  </si>
  <si>
    <t>Experience</t>
  </si>
  <si>
    <r>
      <t>01</t>
    </r>
    <r>
      <rPr>
        <sz val="11"/>
        <color theme="1"/>
        <rFont val="Calibri"/>
        <family val="2"/>
        <scheme val="minor"/>
      </rPr>
      <t xml:space="preserve"> - State-level administrative/supervisory/ancillary services
</t>
    </r>
    <r>
      <rPr>
        <b/>
        <sz val="11"/>
        <color theme="1"/>
        <rFont val="Calibri"/>
        <family val="2"/>
        <scheme val="minor"/>
      </rPr>
      <t>02</t>
    </r>
    <r>
      <rPr>
        <sz val="11"/>
        <color theme="1"/>
        <rFont val="Calibri"/>
        <family val="2"/>
        <scheme val="minor"/>
      </rPr>
      <t xml:space="preserve"> - Local-level administrative/supervisory/ancillary services
</t>
    </r>
    <r>
      <rPr>
        <b/>
        <sz val="11"/>
        <color theme="1"/>
        <rFont val="Calibri"/>
        <family val="2"/>
        <scheme val="minor"/>
      </rPr>
      <t>03</t>
    </r>
    <r>
      <rPr>
        <sz val="11"/>
        <color theme="1"/>
        <rFont val="Calibri"/>
        <family val="2"/>
        <scheme val="minor"/>
      </rPr>
      <t xml:space="preserve"> - Local teacher
</t>
    </r>
    <r>
      <rPr>
        <b/>
        <sz val="11"/>
        <color theme="1"/>
        <rFont val="Calibri"/>
        <family val="2"/>
        <scheme val="minor"/>
      </rPr>
      <t>04</t>
    </r>
    <r>
      <rPr>
        <sz val="11"/>
        <color theme="1"/>
        <rFont val="Calibri"/>
        <family val="2"/>
        <scheme val="minor"/>
      </rPr>
      <t xml:space="preserve"> - Local counselor
</t>
    </r>
    <r>
      <rPr>
        <b/>
        <sz val="11"/>
        <color theme="1"/>
        <rFont val="Calibri"/>
        <family val="2"/>
        <scheme val="minor"/>
      </rPr>
      <t>05</t>
    </r>
    <r>
      <rPr>
        <sz val="11"/>
        <color theme="1"/>
        <rFont val="Calibri"/>
        <family val="2"/>
        <scheme val="minor"/>
      </rPr>
      <t xml:space="preserve"> - Local paraprofessional
</t>
    </r>
    <r>
      <rPr>
        <b/>
        <sz val="11"/>
        <color theme="1"/>
        <rFont val="Calibri"/>
        <family val="2"/>
        <scheme val="minor"/>
      </rPr>
      <t>06</t>
    </r>
    <r>
      <rPr>
        <sz val="11"/>
        <color theme="1"/>
        <rFont val="Calibri"/>
        <family val="2"/>
        <scheme val="minor"/>
      </rPr>
      <t xml:space="preserve"> - State Professional Development Staff
</t>
    </r>
    <r>
      <rPr>
        <b/>
        <sz val="11"/>
        <color theme="1"/>
        <rFont val="Calibri"/>
        <family val="2"/>
        <scheme val="minor"/>
      </rPr>
      <t>07</t>
    </r>
    <r>
      <rPr>
        <sz val="11"/>
        <color theme="1"/>
        <rFont val="Calibri"/>
        <family val="2"/>
        <scheme val="minor"/>
      </rPr>
      <t xml:space="preserve"> - Regional Professional Development Staff
</t>
    </r>
    <r>
      <rPr>
        <b/>
        <sz val="11"/>
        <color theme="1"/>
        <rFont val="Calibri"/>
        <family val="2"/>
        <scheme val="minor"/>
      </rPr>
      <t>08</t>
    </r>
    <r>
      <rPr>
        <sz val="11"/>
        <color theme="1"/>
        <rFont val="Calibri"/>
        <family val="2"/>
        <scheme val="minor"/>
      </rPr>
      <t xml:space="preserve"> - Local Professional Development Staff
</t>
    </r>
  </si>
  <si>
    <r>
      <t>FullTimePaid</t>
    </r>
    <r>
      <rPr>
        <sz val="11"/>
        <color theme="1"/>
        <rFont val="Calibri"/>
        <family val="2"/>
        <scheme val="minor"/>
      </rPr>
      <t xml:space="preserve"> - Full-time paid
</t>
    </r>
    <r>
      <rPr>
        <b/>
        <sz val="11"/>
        <color theme="1"/>
        <rFont val="Calibri"/>
        <family val="2"/>
        <scheme val="minor"/>
      </rPr>
      <t>PartTimePaid</t>
    </r>
    <r>
      <rPr>
        <sz val="11"/>
        <color theme="1"/>
        <rFont val="Calibri"/>
        <family val="2"/>
        <scheme val="minor"/>
      </rPr>
      <t xml:space="preserve"> - Part-time paid
</t>
    </r>
    <r>
      <rPr>
        <b/>
        <sz val="11"/>
        <color theme="1"/>
        <rFont val="Calibri"/>
        <family val="2"/>
        <scheme val="minor"/>
      </rPr>
      <t>FullTimeVolunteer</t>
    </r>
    <r>
      <rPr>
        <sz val="11"/>
        <color theme="1"/>
        <rFont val="Calibri"/>
        <family val="2"/>
        <scheme val="minor"/>
      </rPr>
      <t xml:space="preserve"> - Full-time volunteer
</t>
    </r>
    <r>
      <rPr>
        <b/>
        <sz val="11"/>
        <color theme="1"/>
        <rFont val="Calibri"/>
        <family val="2"/>
        <scheme val="minor"/>
      </rPr>
      <t>PartTimeVolunteer</t>
    </r>
    <r>
      <rPr>
        <sz val="11"/>
        <color theme="1"/>
        <rFont val="Calibri"/>
        <family val="2"/>
        <scheme val="minor"/>
      </rPr>
      <t xml:space="preserve"> - Part-time volunteer
</t>
    </r>
  </si>
  <si>
    <t>Workforce Program Participant</t>
  </si>
  <si>
    <r>
      <t>01</t>
    </r>
    <r>
      <rPr>
        <sz val="11"/>
        <color theme="1"/>
        <rFont val="Calibri"/>
        <family val="2"/>
        <scheme val="minor"/>
      </rPr>
      <t xml:space="preserve"> - Labor Exchange Services
</t>
    </r>
    <r>
      <rPr>
        <b/>
        <sz val="11"/>
        <color theme="1"/>
        <rFont val="Calibri"/>
        <family val="2"/>
        <scheme val="minor"/>
      </rPr>
      <t>02</t>
    </r>
    <r>
      <rPr>
        <sz val="11"/>
        <color theme="1"/>
        <rFont val="Calibri"/>
        <family val="2"/>
        <scheme val="minor"/>
      </rPr>
      <t xml:space="preserve"> - Adult Workforce Investment Act Program
</t>
    </r>
    <r>
      <rPr>
        <b/>
        <sz val="11"/>
        <color theme="1"/>
        <rFont val="Calibri"/>
        <family val="2"/>
        <scheme val="minor"/>
      </rPr>
      <t>03</t>
    </r>
    <r>
      <rPr>
        <sz val="11"/>
        <color theme="1"/>
        <rFont val="Calibri"/>
        <family val="2"/>
        <scheme val="minor"/>
      </rPr>
      <t xml:space="preserve"> - Dislocated Worker Workforce Investment Act Program
</t>
    </r>
    <r>
      <rPr>
        <b/>
        <sz val="11"/>
        <color theme="1"/>
        <rFont val="Calibri"/>
        <family val="2"/>
        <scheme val="minor"/>
      </rPr>
      <t>04</t>
    </r>
    <r>
      <rPr>
        <sz val="11"/>
        <color theme="1"/>
        <rFont val="Calibri"/>
        <family val="2"/>
        <scheme val="minor"/>
      </rPr>
      <t xml:space="preserve"> - Youth Workforce Investment Act Program
</t>
    </r>
    <r>
      <rPr>
        <b/>
        <sz val="11"/>
        <color theme="1"/>
        <rFont val="Calibri"/>
        <family val="2"/>
        <scheme val="minor"/>
      </rPr>
      <t>05</t>
    </r>
    <r>
      <rPr>
        <sz val="11"/>
        <color theme="1"/>
        <rFont val="Calibri"/>
        <family val="2"/>
        <scheme val="minor"/>
      </rPr>
      <t xml:space="preserve"> - Job Corps
</t>
    </r>
    <r>
      <rPr>
        <b/>
        <sz val="11"/>
        <color theme="1"/>
        <rFont val="Calibri"/>
        <family val="2"/>
        <scheme val="minor"/>
      </rPr>
      <t>06</t>
    </r>
    <r>
      <rPr>
        <sz val="11"/>
        <color theme="1"/>
        <rFont val="Calibri"/>
        <family val="2"/>
        <scheme val="minor"/>
      </rPr>
      <t xml:space="preserve"> - Adult Education and Literacy
</t>
    </r>
    <r>
      <rPr>
        <b/>
        <sz val="11"/>
        <color theme="1"/>
        <rFont val="Calibri"/>
        <family val="2"/>
        <scheme val="minor"/>
      </rPr>
      <t>07</t>
    </r>
    <r>
      <rPr>
        <sz val="11"/>
        <color theme="1"/>
        <rFont val="Calibri"/>
        <family val="2"/>
        <scheme val="minor"/>
      </rPr>
      <t xml:space="preserve"> - National Farmworker Jobs Program
</t>
    </r>
    <r>
      <rPr>
        <b/>
        <sz val="11"/>
        <color theme="1"/>
        <rFont val="Calibri"/>
        <family val="2"/>
        <scheme val="minor"/>
      </rPr>
      <t>08</t>
    </r>
    <r>
      <rPr>
        <sz val="11"/>
        <color theme="1"/>
        <rFont val="Calibri"/>
        <family val="2"/>
        <scheme val="minor"/>
      </rPr>
      <t xml:space="preserve"> - Indian and Native American Programs
</t>
    </r>
    <r>
      <rPr>
        <b/>
        <sz val="11"/>
        <color theme="1"/>
        <rFont val="Calibri"/>
        <family val="2"/>
        <scheme val="minor"/>
      </rPr>
      <t>09</t>
    </r>
    <r>
      <rPr>
        <sz val="11"/>
        <color theme="1"/>
        <rFont val="Calibri"/>
        <family val="2"/>
        <scheme val="minor"/>
      </rPr>
      <t xml:space="preserve"> - Veteran's Programs
</t>
    </r>
    <r>
      <rPr>
        <b/>
        <sz val="11"/>
        <color theme="1"/>
        <rFont val="Calibri"/>
        <family val="2"/>
        <scheme val="minor"/>
      </rPr>
      <t>10</t>
    </r>
    <r>
      <rPr>
        <sz val="11"/>
        <color theme="1"/>
        <rFont val="Calibri"/>
        <family val="2"/>
        <scheme val="minor"/>
      </rPr>
      <t xml:space="preserve"> - Trade Adjustment Assistance Program
</t>
    </r>
    <r>
      <rPr>
        <b/>
        <sz val="11"/>
        <color theme="1"/>
        <rFont val="Calibri"/>
        <family val="2"/>
        <scheme val="minor"/>
      </rPr>
      <t>11</t>
    </r>
    <r>
      <rPr>
        <sz val="11"/>
        <color theme="1"/>
        <rFont val="Calibri"/>
        <family val="2"/>
        <scheme val="minor"/>
      </rPr>
      <t xml:space="preserve"> - YouthBuild Program
</t>
    </r>
    <r>
      <rPr>
        <b/>
        <sz val="11"/>
        <color theme="1"/>
        <rFont val="Calibri"/>
        <family val="2"/>
        <scheme val="minor"/>
      </rPr>
      <t>12</t>
    </r>
    <r>
      <rPr>
        <sz val="11"/>
        <color theme="1"/>
        <rFont val="Calibri"/>
        <family val="2"/>
        <scheme val="minor"/>
      </rPr>
      <t xml:space="preserve"> - Title V Older Worker Program
</t>
    </r>
    <r>
      <rPr>
        <b/>
        <sz val="11"/>
        <color theme="1"/>
        <rFont val="Calibri"/>
        <family val="2"/>
        <scheme val="minor"/>
      </rPr>
      <t>13</t>
    </r>
    <r>
      <rPr>
        <sz val="11"/>
        <color theme="1"/>
        <rFont val="Calibri"/>
        <family val="2"/>
        <scheme val="minor"/>
      </rPr>
      <t xml:space="preserve"> - Registered Apprenticeship
</t>
    </r>
    <r>
      <rPr>
        <b/>
        <sz val="11"/>
        <color theme="1"/>
        <rFont val="Calibri"/>
        <family val="2"/>
        <scheme val="minor"/>
      </rPr>
      <t>14</t>
    </r>
    <r>
      <rPr>
        <sz val="11"/>
        <color theme="1"/>
        <rFont val="Calibri"/>
        <family val="2"/>
        <scheme val="minor"/>
      </rPr>
      <t xml:space="preserve"> - Non-traditional Apprenticeship
</t>
    </r>
    <r>
      <rPr>
        <b/>
        <sz val="11"/>
        <color theme="1"/>
        <rFont val="Calibri"/>
        <family val="2"/>
        <scheme val="minor"/>
      </rPr>
      <t>15</t>
    </r>
    <r>
      <rPr>
        <sz val="11"/>
        <color theme="1"/>
        <rFont val="Calibri"/>
        <family val="2"/>
        <scheme val="minor"/>
      </rPr>
      <t xml:space="preserve"> - Vocational Rehabilitation
</t>
    </r>
    <r>
      <rPr>
        <b/>
        <sz val="11"/>
        <color theme="1"/>
        <rFont val="Calibri"/>
        <family val="2"/>
        <scheme val="minor"/>
      </rPr>
      <t>16</t>
    </r>
    <r>
      <rPr>
        <sz val="11"/>
        <color theme="1"/>
        <rFont val="Calibri"/>
        <family val="2"/>
        <scheme val="minor"/>
      </rPr>
      <t xml:space="preserve"> - Food Stamp Employment and Training Program
</t>
    </r>
    <r>
      <rPr>
        <b/>
        <sz val="11"/>
        <color theme="1"/>
        <rFont val="Calibri"/>
        <family val="2"/>
        <scheme val="minor"/>
      </rPr>
      <t>17</t>
    </r>
    <r>
      <rPr>
        <sz val="11"/>
        <color theme="1"/>
        <rFont val="Calibri"/>
        <family val="2"/>
        <scheme val="minor"/>
      </rPr>
      <t xml:space="preserve"> - TANF Employment and Training Program
</t>
    </r>
    <r>
      <rPr>
        <b/>
        <sz val="11"/>
        <color theme="1"/>
        <rFont val="Calibri"/>
        <family val="2"/>
        <scheme val="minor"/>
      </rPr>
      <t>18</t>
    </r>
    <r>
      <rPr>
        <sz val="11"/>
        <color theme="1"/>
        <rFont val="Calibri"/>
        <family val="2"/>
        <scheme val="minor"/>
      </rPr>
      <t xml:space="preserve"> - Other On-The-Job training Program
</t>
    </r>
    <r>
      <rPr>
        <b/>
        <sz val="11"/>
        <color theme="1"/>
        <rFont val="Calibri"/>
        <family val="2"/>
        <scheme val="minor"/>
      </rPr>
      <t>19</t>
    </r>
    <r>
      <rPr>
        <sz val="11"/>
        <color theme="1"/>
        <rFont val="Calibri"/>
        <family val="2"/>
        <scheme val="minor"/>
      </rPr>
      <t xml:space="preserve"> - Other Workforce Related Employment and Training Program
</t>
    </r>
    <r>
      <rPr>
        <b/>
        <sz val="11"/>
        <color theme="1"/>
        <rFont val="Calibri"/>
        <family val="2"/>
        <scheme val="minor"/>
      </rPr>
      <t>99</t>
    </r>
    <r>
      <rPr>
        <sz val="11"/>
        <color theme="1"/>
        <rFont val="Calibri"/>
        <family val="2"/>
        <scheme val="minor"/>
      </rPr>
      <t xml:space="preserve"> - No identified services
</t>
    </r>
  </si>
  <si>
    <t>Training Record</t>
  </si>
  <si>
    <t>Quarterly Employment Record</t>
  </si>
  <si>
    <r>
      <t>Other</t>
    </r>
    <r>
      <rPr>
        <sz val="11"/>
        <color theme="1"/>
        <rFont val="Calibri"/>
        <family val="2"/>
        <scheme val="minor"/>
      </rPr>
      <t xml:space="preserve"> - Other location
</t>
    </r>
    <r>
      <rPr>
        <b/>
        <sz val="11"/>
        <color theme="1"/>
        <rFont val="Calibri"/>
        <family val="2"/>
        <scheme val="minor"/>
      </rPr>
      <t>Multiple</t>
    </r>
    <r>
      <rPr>
        <sz val="11"/>
        <color theme="1"/>
        <rFont val="Calibri"/>
        <family val="2"/>
        <scheme val="minor"/>
      </rPr>
      <t xml:space="preserve"> - Multiple locations
</t>
    </r>
    <r>
      <rPr>
        <b/>
        <sz val="11"/>
        <color theme="1"/>
        <rFont val="Calibri"/>
        <family val="2"/>
        <scheme val="minor"/>
      </rP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</si>
  <si>
    <r>
      <t>01</t>
    </r>
    <r>
      <rPr>
        <sz val="11"/>
        <color theme="1"/>
        <rFont val="Calibri"/>
        <family val="2"/>
        <scheme val="minor"/>
      </rPr>
      <t xml:space="preserve"> - State UI Wage Records
</t>
    </r>
    <r>
      <rPr>
        <b/>
        <sz val="11"/>
        <color theme="1"/>
        <rFont val="Calibri"/>
        <family val="2"/>
        <scheme val="minor"/>
      </rPr>
      <t>02</t>
    </r>
    <r>
      <rPr>
        <sz val="11"/>
        <color theme="1"/>
        <rFont val="Calibri"/>
        <family val="2"/>
        <scheme val="minor"/>
      </rPr>
      <t xml:space="preserve"> - Wage Record Interchange System (WRIS II)
</t>
    </r>
    <r>
      <rPr>
        <b/>
        <sz val="11"/>
        <color theme="1"/>
        <rFont val="Calibri"/>
        <family val="2"/>
        <scheme val="minor"/>
      </rPr>
      <t>03</t>
    </r>
    <r>
      <rPr>
        <sz val="11"/>
        <color theme="1"/>
        <rFont val="Calibri"/>
        <family val="2"/>
        <scheme val="minor"/>
      </rPr>
      <t xml:space="preserve"> - Federal Employment Data Exchange System (FEDES)
</t>
    </r>
    <r>
      <rPr>
        <b/>
        <sz val="11"/>
        <color theme="1"/>
        <rFont val="Calibri"/>
        <family val="2"/>
        <scheme val="minor"/>
      </rPr>
      <t>04</t>
    </r>
    <r>
      <rPr>
        <sz val="11"/>
        <color theme="1"/>
        <rFont val="Calibri"/>
        <family val="2"/>
        <scheme val="minor"/>
      </rPr>
      <t xml:space="preserve"> - Other
</t>
    </r>
  </si>
  <si>
    <t>Assessments</t>
  </si>
  <si>
    <t>Goal</t>
  </si>
  <si>
    <t>Learner Activity</t>
  </si>
  <si>
    <r>
      <t>Assignment</t>
    </r>
    <r>
      <rPr>
        <sz val="11"/>
        <color theme="1"/>
        <rFont val="Calibri"/>
        <family val="2"/>
        <scheme val="minor"/>
      </rPr>
      <t xml:space="preserve"> - Assignment
</t>
    </r>
    <r>
      <rPr>
        <b/>
        <sz val="11"/>
        <color theme="1"/>
        <rFont val="Calibri"/>
        <family val="2"/>
        <scheme val="minor"/>
      </rPr>
      <t>LearningResource</t>
    </r>
    <r>
      <rPr>
        <sz val="11"/>
        <color theme="1"/>
        <rFont val="Calibri"/>
        <family val="2"/>
        <scheme val="minor"/>
      </rPr>
      <t xml:space="preserve"> - Learning Resource
</t>
    </r>
    <r>
      <rPr>
        <b/>
        <sz val="11"/>
        <color theme="1"/>
        <rFont val="Calibri"/>
        <family val="2"/>
        <scheme val="minor"/>
      </rPr>
      <t>Activity</t>
    </r>
    <r>
      <rPr>
        <sz val="11"/>
        <color theme="1"/>
        <rFont val="Calibri"/>
        <family val="2"/>
        <scheme val="minor"/>
      </rPr>
      <t xml:space="preserve"> - Activity
</t>
    </r>
    <r>
      <rPr>
        <b/>
        <sz val="11"/>
        <color theme="1"/>
        <rFont val="Calibri"/>
        <family val="2"/>
        <scheme val="minor"/>
      </rPr>
      <t>Lesson</t>
    </r>
    <r>
      <rPr>
        <sz val="11"/>
        <color theme="1"/>
        <rFont val="Calibri"/>
        <family val="2"/>
        <scheme val="minor"/>
      </rPr>
      <t xml:space="preserve"> - Lesson
</t>
    </r>
  </si>
  <si>
    <r>
      <t>Week</t>
    </r>
    <r>
      <rPr>
        <sz val="11"/>
        <color theme="1"/>
        <rFont val="Calibri"/>
        <family val="2"/>
        <scheme val="minor"/>
      </rPr>
      <t xml:space="preserve"> - Week
</t>
    </r>
    <r>
      <rPr>
        <b/>
        <sz val="11"/>
        <color theme="1"/>
        <rFont val="Calibri"/>
        <family val="2"/>
        <scheme val="minor"/>
      </rPr>
      <t>Day</t>
    </r>
    <r>
      <rPr>
        <sz val="11"/>
        <color theme="1"/>
        <rFont val="Calibri"/>
        <family val="2"/>
        <scheme val="minor"/>
      </rPr>
      <t xml:space="preserve"> - Day
</t>
    </r>
    <r>
      <rPr>
        <b/>
        <sz val="11"/>
        <color theme="1"/>
        <rFont val="Calibri"/>
        <family val="2"/>
        <scheme val="minor"/>
      </rPr>
      <t>Hour</t>
    </r>
    <r>
      <rPr>
        <sz val="11"/>
        <color theme="1"/>
        <rFont val="Calibri"/>
        <family val="2"/>
        <scheme val="minor"/>
      </rPr>
      <t xml:space="preserve"> - Hour
</t>
    </r>
    <r>
      <rPr>
        <b/>
        <sz val="11"/>
        <color theme="1"/>
        <rFont val="Calibri"/>
        <family val="2"/>
        <scheme val="minor"/>
      </rPr>
      <t>Minute</t>
    </r>
    <r>
      <rPr>
        <sz val="11"/>
        <color theme="1"/>
        <rFont val="Calibri"/>
        <family val="2"/>
        <scheme val="minor"/>
      </rPr>
      <t xml:space="preserve"> - Minute
</t>
    </r>
    <r>
      <rPr>
        <b/>
        <sz val="11"/>
        <color theme="1"/>
        <rFont val="Calibri"/>
        <family val="2"/>
        <scheme val="minor"/>
      </rPr>
      <t>Second</t>
    </r>
    <r>
      <rPr>
        <sz val="11"/>
        <color theme="1"/>
        <rFont val="Calibri"/>
        <family val="2"/>
        <scheme val="minor"/>
      </rPr>
      <t xml:space="preserve"> - Second
</t>
    </r>
  </si>
  <si>
    <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TestContractor</t>
    </r>
    <r>
      <rPr>
        <sz val="11"/>
        <color theme="1"/>
        <rFont val="Calibri"/>
        <family val="2"/>
        <scheme val="minor"/>
      </rPr>
      <t xml:space="preserve"> - Test contractor assigned assessment number
</t>
    </r>
    <r>
      <rPr>
        <b/>
        <sz val="11"/>
        <color theme="1"/>
        <rFont val="Calibri"/>
        <family val="2"/>
        <scheme val="minor"/>
      </rPr>
      <t>Other</t>
    </r>
    <r>
      <rPr>
        <sz val="11"/>
        <color theme="1"/>
        <rFont val="Calibri"/>
        <family val="2"/>
        <scheme val="minor"/>
      </rPr>
      <t xml:space="preserve"> - Other
</t>
    </r>
  </si>
  <si>
    <r>
      <t>AchievementTest</t>
    </r>
    <r>
      <rPr>
        <sz val="11"/>
        <color theme="1"/>
        <rFont val="Calibri"/>
        <family val="2"/>
        <scheme val="minor"/>
      </rPr>
      <t xml:space="preserve"> - Achievement test
</t>
    </r>
    <r>
      <rPr>
        <b/>
        <sz val="11"/>
        <color theme="1"/>
        <rFont val="Calibri"/>
        <family val="2"/>
        <scheme val="minor"/>
      </rPr>
      <t>AdvancedPlacementTest</t>
    </r>
    <r>
      <rPr>
        <sz val="11"/>
        <color theme="1"/>
        <rFont val="Calibri"/>
        <family val="2"/>
        <scheme val="minor"/>
      </rPr>
      <t xml:space="preserve"> - Advanced placement test
</t>
    </r>
    <r>
      <rPr>
        <b/>
        <sz val="11"/>
        <color theme="1"/>
        <rFont val="Calibri"/>
        <family val="2"/>
        <scheme val="minor"/>
      </rPr>
      <t>AlternateAssessmentELL</t>
    </r>
    <r>
      <rPr>
        <sz val="11"/>
        <color theme="1"/>
        <rFont val="Calibri"/>
        <family val="2"/>
        <scheme val="minor"/>
      </rPr>
      <t xml:space="preserve"> - Alternate assessment/ELL
</t>
    </r>
    <r>
      <rPr>
        <b/>
        <sz val="11"/>
        <color theme="1"/>
        <rFont val="Calibri"/>
        <family val="2"/>
        <scheme val="minor"/>
      </rPr>
      <t>AlternateAssessmentGradeLevelStandards</t>
    </r>
    <r>
      <rPr>
        <sz val="11"/>
        <color theme="1"/>
        <rFont val="Calibri"/>
        <family val="2"/>
        <scheme val="minor"/>
      </rPr>
      <t xml:space="preserve"> - Alternate assessment/grade-level standards
</t>
    </r>
    <r>
      <rPr>
        <b/>
        <sz val="11"/>
        <color theme="1"/>
        <rFont val="Calibri"/>
        <family val="2"/>
        <scheme val="minor"/>
      </rPr>
      <t>AlternativeAssessmentModifiedStandards</t>
    </r>
    <r>
      <rPr>
        <sz val="11"/>
        <color theme="1"/>
        <rFont val="Calibri"/>
        <family val="2"/>
        <scheme val="minor"/>
      </rPr>
      <t xml:space="preserve"> - Alternative assessment/modified standards
</t>
    </r>
    <r>
      <rPr>
        <b/>
        <sz val="11"/>
        <color theme="1"/>
        <rFont val="Calibri"/>
        <family val="2"/>
        <scheme val="minor"/>
      </rPr>
      <t>AptitudeTest</t>
    </r>
    <r>
      <rPr>
        <sz val="11"/>
        <color theme="1"/>
        <rFont val="Calibri"/>
        <family val="2"/>
        <scheme val="minor"/>
      </rPr>
      <t xml:space="preserve"> - Aptitude Test
</t>
    </r>
    <r>
      <rPr>
        <b/>
        <sz val="11"/>
        <color theme="1"/>
        <rFont val="Calibri"/>
        <family val="2"/>
        <scheme val="minor"/>
      </rPr>
      <t>Benchmark</t>
    </r>
    <r>
      <rPr>
        <sz val="11"/>
        <color theme="1"/>
        <rFont val="Calibri"/>
        <family val="2"/>
        <scheme val="minor"/>
      </rPr>
      <t xml:space="preserve"> - Benchmark
</t>
    </r>
    <r>
      <rPr>
        <b/>
        <sz val="11"/>
        <color theme="1"/>
        <rFont val="Calibri"/>
        <family val="2"/>
        <scheme val="minor"/>
      </rPr>
      <t>CognitiveAndPerceptualSkills</t>
    </r>
    <r>
      <rPr>
        <sz val="11"/>
        <color theme="1"/>
        <rFont val="Calibri"/>
        <family val="2"/>
        <scheme val="minor"/>
      </rPr>
      <t xml:space="preserve"> - Cognitive and perceptual skills test
</t>
    </r>
    <r>
      <rPr>
        <b/>
        <sz val="11"/>
        <color theme="1"/>
        <rFont val="Calibri"/>
        <family val="2"/>
        <scheme val="minor"/>
      </rPr>
      <t>ComputerAdaptiveTest</t>
    </r>
    <r>
      <rPr>
        <sz val="11"/>
        <color theme="1"/>
        <rFont val="Calibri"/>
        <family val="2"/>
        <scheme val="minor"/>
      </rPr>
      <t xml:space="preserve"> - Computer Adaptive Test
</t>
    </r>
    <r>
      <rPr>
        <b/>
        <sz val="11"/>
        <color theme="1"/>
        <rFont val="Calibri"/>
        <family val="2"/>
        <scheme val="minor"/>
      </rPr>
      <t>DevelopmentalObservation</t>
    </r>
    <r>
      <rPr>
        <sz val="11"/>
        <color theme="1"/>
        <rFont val="Calibri"/>
        <family val="2"/>
        <scheme val="minor"/>
      </rPr>
      <t xml:space="preserve"> - Developmental observation
</t>
    </r>
    <r>
      <rPr>
        <b/>
        <sz val="11"/>
        <color theme="1"/>
        <rFont val="Calibri"/>
        <family val="2"/>
        <scheme val="minor"/>
      </rPr>
      <t>Diagnostic</t>
    </r>
    <r>
      <rPr>
        <sz val="11"/>
        <color theme="1"/>
        <rFont val="Calibri"/>
        <family val="2"/>
        <scheme val="minor"/>
      </rPr>
      <t xml:space="preserve"> - Diagnostic
</t>
    </r>
    <r>
      <rPr>
        <b/>
        <sz val="11"/>
        <color theme="1"/>
        <rFont val="Calibri"/>
        <family val="2"/>
        <scheme val="minor"/>
      </rPr>
      <t>DirectAssessment</t>
    </r>
    <r>
      <rPr>
        <sz val="11"/>
        <color theme="1"/>
        <rFont val="Calibri"/>
        <family val="2"/>
        <scheme val="minor"/>
      </rPr>
      <t xml:space="preserve"> - Direct Assessment
</t>
    </r>
    <r>
      <rPr>
        <b/>
        <sz val="11"/>
        <color theme="1"/>
        <rFont val="Calibri"/>
        <family val="2"/>
        <scheme val="minor"/>
      </rPr>
      <t>Formative</t>
    </r>
    <r>
      <rPr>
        <sz val="11"/>
        <color theme="1"/>
        <rFont val="Calibri"/>
        <family val="2"/>
        <scheme val="minor"/>
      </rPr>
      <t xml:space="preserve"> - Formative
</t>
    </r>
    <r>
      <rPr>
        <b/>
        <sz val="11"/>
        <color theme="1"/>
        <rFont val="Calibri"/>
        <family val="2"/>
        <scheme val="minor"/>
      </rPr>
      <t>GrowthMeasure</t>
    </r>
    <r>
      <rPr>
        <sz val="11"/>
        <color theme="1"/>
        <rFont val="Calibri"/>
        <family val="2"/>
        <scheme val="minor"/>
      </rPr>
      <t xml:space="preserve"> - Growth Measure
</t>
    </r>
    <r>
      <rPr>
        <b/>
        <sz val="11"/>
        <color theme="1"/>
        <rFont val="Calibri"/>
        <family val="2"/>
        <scheme val="minor"/>
      </rPr>
      <t>Interim</t>
    </r>
    <r>
      <rPr>
        <sz val="11"/>
        <color theme="1"/>
        <rFont val="Calibri"/>
        <family val="2"/>
        <scheme val="minor"/>
      </rPr>
      <t xml:space="preserve"> - Interim
</t>
    </r>
    <r>
      <rPr>
        <b/>
        <sz val="11"/>
        <color theme="1"/>
        <rFont val="Calibri"/>
        <family val="2"/>
        <scheme val="minor"/>
      </rPr>
      <t>KindergartenReadiness</t>
    </r>
    <r>
      <rPr>
        <sz val="11"/>
        <color theme="1"/>
        <rFont val="Calibri"/>
        <family val="2"/>
        <scheme val="minor"/>
      </rPr>
      <t xml:space="preserve"> - Kindergarten Readiness
</t>
    </r>
    <r>
      <rPr>
        <b/>
        <sz val="11"/>
        <color theme="1"/>
        <rFont val="Calibri"/>
        <family val="2"/>
        <scheme val="minor"/>
      </rPr>
      <t>LanguageProficiency</t>
    </r>
    <r>
      <rPr>
        <sz val="11"/>
        <color theme="1"/>
        <rFont val="Calibri"/>
        <family val="2"/>
        <scheme val="minor"/>
      </rPr>
      <t xml:space="preserve"> - Language proficiency test
</t>
    </r>
    <r>
      <rPr>
        <b/>
        <sz val="11"/>
        <color theme="1"/>
        <rFont val="Calibri"/>
        <family val="2"/>
        <scheme val="minor"/>
      </rPr>
      <t>MentalAbility</t>
    </r>
    <r>
      <rPr>
        <sz val="11"/>
        <color theme="1"/>
        <rFont val="Calibri"/>
        <family val="2"/>
        <scheme val="minor"/>
      </rPr>
      <t xml:space="preserve"> - Mental ability (intelligence) test
</t>
    </r>
    <r>
      <rPr>
        <b/>
        <sz val="11"/>
        <color theme="1"/>
        <rFont val="Calibri"/>
        <family val="2"/>
        <scheme val="minor"/>
      </rPr>
      <t>Observation</t>
    </r>
    <r>
      <rPr>
        <sz val="11"/>
        <color theme="1"/>
        <rFont val="Calibri"/>
        <family val="2"/>
        <scheme val="minor"/>
      </rPr>
      <t xml:space="preserve"> - Observation
</t>
    </r>
    <r>
      <rPr>
        <b/>
        <sz val="11"/>
        <color theme="1"/>
        <rFont val="Calibri"/>
        <family val="2"/>
        <scheme val="minor"/>
      </rPr>
      <t>ParentReport</t>
    </r>
    <r>
      <rPr>
        <sz val="11"/>
        <color theme="1"/>
        <rFont val="Calibri"/>
        <family val="2"/>
        <scheme val="minor"/>
      </rPr>
      <t xml:space="preserve"> - Parent Report
</t>
    </r>
    <r>
      <rPr>
        <b/>
        <sz val="11"/>
        <color theme="1"/>
        <rFont val="Calibri"/>
        <family val="2"/>
        <scheme val="minor"/>
      </rPr>
      <t>PerformanceAssessment</t>
    </r>
    <r>
      <rPr>
        <sz val="11"/>
        <color theme="1"/>
        <rFont val="Calibri"/>
        <family val="2"/>
        <scheme val="minor"/>
      </rPr>
      <t xml:space="preserve"> - Performance assessment
</t>
    </r>
    <r>
      <rPr>
        <b/>
        <sz val="11"/>
        <color theme="1"/>
        <rFont val="Calibri"/>
        <family val="2"/>
        <scheme val="minor"/>
      </rPr>
      <t>PortfolioAssessment</t>
    </r>
    <r>
      <rPr>
        <sz val="11"/>
        <color theme="1"/>
        <rFont val="Calibri"/>
        <family val="2"/>
        <scheme val="minor"/>
      </rPr>
      <t xml:space="preserve"> - Portfolio assessment
</t>
    </r>
    <r>
      <rPr>
        <b/>
        <sz val="11"/>
        <color theme="1"/>
        <rFont val="Calibri"/>
        <family val="2"/>
        <scheme val="minor"/>
      </rPr>
      <t>PrekindergartenReadiness</t>
    </r>
    <r>
      <rPr>
        <sz val="11"/>
        <color theme="1"/>
        <rFont val="Calibri"/>
        <family val="2"/>
        <scheme val="minor"/>
      </rPr>
      <t xml:space="preserve"> - Prekindergarten Readiness
</t>
    </r>
    <r>
      <rPr>
        <b/>
        <sz val="11"/>
        <color theme="1"/>
        <rFont val="Calibri"/>
        <family val="2"/>
        <scheme val="minor"/>
      </rPr>
      <t>ReadingReadiness</t>
    </r>
    <r>
      <rPr>
        <sz val="11"/>
        <color theme="1"/>
        <rFont val="Calibri"/>
        <family val="2"/>
        <scheme val="minor"/>
      </rPr>
      <t xml:space="preserve"> - Reading readiness test
</t>
    </r>
    <r>
      <rPr>
        <b/>
        <sz val="11"/>
        <color theme="1"/>
        <rFont val="Calibri"/>
        <family val="2"/>
        <scheme val="minor"/>
      </rPr>
      <t>Screening</t>
    </r>
    <r>
      <rPr>
        <sz val="11"/>
        <color theme="1"/>
        <rFont val="Calibri"/>
        <family val="2"/>
        <scheme val="minor"/>
      </rPr>
      <t xml:space="preserve"> - Screening
</t>
    </r>
    <r>
      <rPr>
        <b/>
        <sz val="11"/>
        <color theme="1"/>
        <rFont val="Calibri"/>
        <family val="2"/>
        <scheme val="minor"/>
      </rPr>
      <t>TeacherReport</t>
    </r>
    <r>
      <rPr>
        <sz val="11"/>
        <color theme="1"/>
        <rFont val="Calibri"/>
        <family val="2"/>
        <scheme val="minor"/>
      </rPr>
      <t xml:space="preserve"> - Teacher Report
</t>
    </r>
    <r>
      <rPr>
        <b/>
        <sz val="11"/>
        <color theme="1"/>
        <rFont val="Calibri"/>
        <family val="2"/>
        <scheme val="minor"/>
      </rPr>
      <t>Other</t>
    </r>
    <r>
      <rPr>
        <sz val="11"/>
        <color theme="1"/>
        <rFont val="Calibri"/>
        <family val="2"/>
        <scheme val="minor"/>
      </rPr>
      <t xml:space="preserve"> - Other
</t>
    </r>
  </si>
  <si>
    <r>
      <t>00050</t>
    </r>
    <r>
      <rPr>
        <sz val="11"/>
        <color theme="1"/>
        <rFont val="Calibri"/>
        <family val="2"/>
        <scheme val="minor"/>
      </rPr>
      <t xml:space="preserve"> - Admission
</t>
    </r>
    <r>
      <rPr>
        <b/>
        <sz val="11"/>
        <color theme="1"/>
        <rFont val="Calibri"/>
        <family val="2"/>
        <scheme val="minor"/>
      </rPr>
      <t>00051</t>
    </r>
    <r>
      <rPr>
        <sz val="11"/>
        <color theme="1"/>
        <rFont val="Calibri"/>
        <family val="2"/>
        <scheme val="minor"/>
      </rPr>
      <t xml:space="preserve"> - Assessment of student's progress
</t>
    </r>
    <r>
      <rPr>
        <b/>
        <sz val="11"/>
        <color theme="1"/>
        <rFont val="Calibri"/>
        <family val="2"/>
        <scheme val="minor"/>
      </rPr>
      <t>73055</t>
    </r>
    <r>
      <rPr>
        <sz val="11"/>
        <color theme="1"/>
        <rFont val="Calibri"/>
        <family val="2"/>
        <scheme val="minor"/>
      </rPr>
      <t xml:space="preserve"> - College Readiness
</t>
    </r>
    <r>
      <rPr>
        <b/>
        <sz val="11"/>
        <color theme="1"/>
        <rFont val="Calibri"/>
        <family val="2"/>
        <scheme val="minor"/>
      </rPr>
      <t>00063</t>
    </r>
    <r>
      <rPr>
        <sz val="11"/>
        <color theme="1"/>
        <rFont val="Calibri"/>
        <family val="2"/>
        <scheme val="minor"/>
      </rPr>
      <t xml:space="preserve"> - Course credit
</t>
    </r>
    <r>
      <rPr>
        <b/>
        <sz val="11"/>
        <color theme="1"/>
        <rFont val="Calibri"/>
        <family val="2"/>
        <scheme val="minor"/>
      </rPr>
      <t>00064</t>
    </r>
    <r>
      <rPr>
        <sz val="11"/>
        <color theme="1"/>
        <rFont val="Calibri"/>
        <family val="2"/>
        <scheme val="minor"/>
      </rPr>
      <t xml:space="preserve"> - Course requirement
</t>
    </r>
    <r>
      <rPr>
        <b/>
        <sz val="11"/>
        <color theme="1"/>
        <rFont val="Calibri"/>
        <family val="2"/>
        <scheme val="minor"/>
      </rPr>
      <t>73069</t>
    </r>
    <r>
      <rPr>
        <sz val="11"/>
        <color theme="1"/>
        <rFont val="Calibri"/>
        <family val="2"/>
        <scheme val="minor"/>
      </rPr>
      <t xml:space="preserve"> - Diagnosis
</t>
    </r>
    <r>
      <rPr>
        <b/>
        <sz val="11"/>
        <color theme="1"/>
        <rFont val="Calibri"/>
        <family val="2"/>
        <scheme val="minor"/>
      </rPr>
      <t>03459</t>
    </r>
    <r>
      <rPr>
        <sz val="11"/>
        <color theme="1"/>
        <rFont val="Calibri"/>
        <family val="2"/>
        <scheme val="minor"/>
      </rPr>
      <t xml:space="preserve"> - Federal accountability
</t>
    </r>
    <r>
      <rPr>
        <b/>
        <sz val="11"/>
        <color theme="1"/>
        <rFont val="Calibri"/>
        <family val="2"/>
        <scheme val="minor"/>
      </rPr>
      <t>73068</t>
    </r>
    <r>
      <rPr>
        <sz val="11"/>
        <color theme="1"/>
        <rFont val="Calibri"/>
        <family val="2"/>
        <scheme val="minor"/>
      </rPr>
      <t xml:space="preserve"> - Inform local or state policy
</t>
    </r>
    <r>
      <rPr>
        <b/>
        <sz val="11"/>
        <color theme="1"/>
        <rFont val="Calibri"/>
        <family val="2"/>
        <scheme val="minor"/>
      </rPr>
      <t>00055</t>
    </r>
    <r>
      <rPr>
        <sz val="11"/>
        <color theme="1"/>
        <rFont val="Calibri"/>
        <family val="2"/>
        <scheme val="minor"/>
      </rPr>
      <t xml:space="preserve"> - Instructional decision
</t>
    </r>
    <r>
      <rPr>
        <b/>
        <sz val="11"/>
        <color theme="1"/>
        <rFont val="Calibri"/>
        <family val="2"/>
        <scheme val="minor"/>
      </rPr>
      <t>03457</t>
    </r>
    <r>
      <rPr>
        <sz val="11"/>
        <color theme="1"/>
        <rFont val="Calibri"/>
        <family val="2"/>
        <scheme val="minor"/>
      </rPr>
      <t xml:space="preserve"> - Local accountability
</t>
    </r>
    <r>
      <rPr>
        <b/>
        <sz val="11"/>
        <color theme="1"/>
        <rFont val="Calibri"/>
        <family val="2"/>
        <scheme val="minor"/>
      </rPr>
      <t>02404</t>
    </r>
    <r>
      <rPr>
        <sz val="11"/>
        <color theme="1"/>
        <rFont val="Calibri"/>
        <family val="2"/>
        <scheme val="minor"/>
      </rPr>
      <t xml:space="preserve"> - Local graduation requirement
</t>
    </r>
    <r>
      <rPr>
        <b/>
        <sz val="11"/>
        <color theme="1"/>
        <rFont val="Calibri"/>
        <family val="2"/>
        <scheme val="minor"/>
      </rPr>
      <t>73042</t>
    </r>
    <r>
      <rPr>
        <sz val="11"/>
        <color theme="1"/>
        <rFont val="Calibri"/>
        <family val="2"/>
        <scheme val="minor"/>
      </rPr>
      <t xml:space="preserve"> - Obtain a state- or industry-recognized certificate or license
</t>
    </r>
    <r>
      <rPr>
        <b/>
        <sz val="11"/>
        <color theme="1"/>
        <rFont val="Calibri"/>
        <family val="2"/>
        <scheme val="minor"/>
      </rPr>
      <t>73043</t>
    </r>
    <r>
      <rPr>
        <sz val="11"/>
        <color theme="1"/>
        <rFont val="Calibri"/>
        <family val="2"/>
        <scheme val="minor"/>
      </rPr>
      <t xml:space="preserve"> - Obtain postsecondary credit for the course
</t>
    </r>
    <r>
      <rPr>
        <b/>
        <sz val="11"/>
        <color theme="1"/>
        <rFont val="Calibri"/>
        <family val="2"/>
        <scheme val="minor"/>
      </rPr>
      <t>73067</t>
    </r>
    <r>
      <rPr>
        <sz val="11"/>
        <color theme="1"/>
        <rFont val="Calibri"/>
        <family val="2"/>
        <scheme val="minor"/>
      </rPr>
      <t xml:space="preserve"> - Program eligibility
</t>
    </r>
    <r>
      <rPr>
        <b/>
        <sz val="11"/>
        <color theme="1"/>
        <rFont val="Calibri"/>
        <family val="2"/>
        <scheme val="minor"/>
      </rPr>
      <t>00057</t>
    </r>
    <r>
      <rPr>
        <sz val="11"/>
        <color theme="1"/>
        <rFont val="Calibri"/>
        <family val="2"/>
        <scheme val="minor"/>
      </rPr>
      <t xml:space="preserve"> - Program evaluation
</t>
    </r>
    <r>
      <rPr>
        <b/>
        <sz val="11"/>
        <color theme="1"/>
        <rFont val="Calibri"/>
        <family val="2"/>
        <scheme val="minor"/>
      </rPr>
      <t>00058</t>
    </r>
    <r>
      <rPr>
        <sz val="11"/>
        <color theme="1"/>
        <rFont val="Calibri"/>
        <family val="2"/>
        <scheme val="minor"/>
      </rPr>
      <t xml:space="preserve"> - Program placement
</t>
    </r>
    <r>
      <rPr>
        <b/>
        <sz val="11"/>
        <color theme="1"/>
        <rFont val="Calibri"/>
        <family val="2"/>
        <scheme val="minor"/>
      </rPr>
      <t>00062</t>
    </r>
    <r>
      <rPr>
        <sz val="11"/>
        <color theme="1"/>
        <rFont val="Calibri"/>
        <family val="2"/>
        <scheme val="minor"/>
      </rPr>
      <t xml:space="preserve"> - Promotion to or retention in a grade or program
</t>
    </r>
    <r>
      <rPr>
        <b/>
        <sz val="11"/>
        <color theme="1"/>
        <rFont val="Calibri"/>
        <family val="2"/>
        <scheme val="minor"/>
      </rPr>
      <t>00061</t>
    </r>
    <r>
      <rPr>
        <sz val="11"/>
        <color theme="1"/>
        <rFont val="Calibri"/>
        <family val="2"/>
        <scheme val="minor"/>
      </rPr>
      <t xml:space="preserve"> - Screening
</t>
    </r>
    <r>
      <rPr>
        <b/>
        <sz val="11"/>
        <color theme="1"/>
        <rFont val="Calibri"/>
        <family val="2"/>
        <scheme val="minor"/>
      </rPr>
      <t>03458</t>
    </r>
    <r>
      <rPr>
        <sz val="11"/>
        <color theme="1"/>
        <rFont val="Calibri"/>
        <family val="2"/>
        <scheme val="minor"/>
      </rPr>
      <t xml:space="preserve"> - State accountability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00054</t>
    </r>
    <r>
      <rPr>
        <sz val="11"/>
        <color theme="1"/>
        <rFont val="Calibri"/>
        <family val="2"/>
        <scheme val="minor"/>
      </rPr>
      <t xml:space="preserve"> - State graduation requirement
</t>
    </r>
  </si>
  <si>
    <r>
      <t>13371</t>
    </r>
    <r>
      <rPr>
        <sz val="11"/>
        <color theme="1"/>
        <rFont val="Calibri"/>
        <family val="2"/>
        <scheme val="minor"/>
      </rPr>
      <t xml:space="preserve"> - Arts
</t>
    </r>
    <r>
      <rPr>
        <b/>
        <sz val="11"/>
        <color theme="1"/>
        <rFont val="Calibri"/>
        <family val="2"/>
        <scheme val="minor"/>
      </rPr>
      <t>73065</t>
    </r>
    <r>
      <rPr>
        <sz val="11"/>
        <color theme="1"/>
        <rFont val="Calibri"/>
        <family val="2"/>
        <scheme val="minor"/>
      </rPr>
      <t xml:space="preserve"> - Career and Technical Education
</t>
    </r>
    <r>
      <rPr>
        <b/>
        <sz val="11"/>
        <color theme="1"/>
        <rFont val="Calibri"/>
        <family val="2"/>
        <scheme val="minor"/>
      </rPr>
      <t>13372</t>
    </r>
    <r>
      <rPr>
        <sz val="11"/>
        <color theme="1"/>
        <rFont val="Calibri"/>
        <family val="2"/>
        <scheme val="minor"/>
      </rPr>
      <t xml:space="preserve"> - English
</t>
    </r>
    <r>
      <rPr>
        <b/>
        <sz val="11"/>
        <color theme="1"/>
        <rFont val="Calibri"/>
        <family val="2"/>
        <scheme val="minor"/>
      </rPr>
      <t>00256</t>
    </r>
    <r>
      <rPr>
        <sz val="11"/>
        <color theme="1"/>
        <rFont val="Calibri"/>
        <family val="2"/>
        <scheme val="minor"/>
      </rPr>
      <t xml:space="preserve"> - English as a second language (ESL)
</t>
    </r>
    <r>
      <rPr>
        <b/>
        <sz val="11"/>
        <color theme="1"/>
        <rFont val="Calibri"/>
        <family val="2"/>
        <scheme val="minor"/>
      </rPr>
      <t>00546</t>
    </r>
    <r>
      <rPr>
        <sz val="11"/>
        <color theme="1"/>
        <rFont val="Calibri"/>
        <family val="2"/>
        <scheme val="minor"/>
      </rPr>
      <t xml:space="preserve"> - Foreign Languages
</t>
    </r>
    <r>
      <rPr>
        <b/>
        <sz val="11"/>
        <color theme="1"/>
        <rFont val="Calibri"/>
        <family val="2"/>
        <scheme val="minor"/>
      </rPr>
      <t>73088</t>
    </r>
    <r>
      <rPr>
        <sz val="11"/>
        <color theme="1"/>
        <rFont val="Calibri"/>
        <family val="2"/>
        <scheme val="minor"/>
      </rPr>
      <t xml:space="preserve"> - History Government - US
</t>
    </r>
    <r>
      <rPr>
        <b/>
        <sz val="11"/>
        <color theme="1"/>
        <rFont val="Calibri"/>
        <family val="2"/>
        <scheme val="minor"/>
      </rPr>
      <t>73089</t>
    </r>
    <r>
      <rPr>
        <sz val="11"/>
        <color theme="1"/>
        <rFont val="Calibri"/>
        <family val="2"/>
        <scheme val="minor"/>
      </rPr>
      <t xml:space="preserve"> - History Government - World
</t>
    </r>
    <r>
      <rPr>
        <b/>
        <sz val="11"/>
        <color theme="1"/>
        <rFont val="Calibri"/>
        <family val="2"/>
        <scheme val="minor"/>
      </rPr>
      <t>00554</t>
    </r>
    <r>
      <rPr>
        <sz val="11"/>
        <color theme="1"/>
        <rFont val="Calibri"/>
        <family val="2"/>
        <scheme val="minor"/>
      </rPr>
      <t xml:space="preserve"> - Language arts
</t>
    </r>
    <r>
      <rPr>
        <b/>
        <sz val="11"/>
        <color theme="1"/>
        <rFont val="Calibri"/>
        <family val="2"/>
        <scheme val="minor"/>
      </rPr>
      <t>01166</t>
    </r>
    <r>
      <rPr>
        <sz val="11"/>
        <color theme="1"/>
        <rFont val="Calibri"/>
        <family val="2"/>
        <scheme val="minor"/>
      </rPr>
      <t xml:space="preserve"> - Mathematics
</t>
    </r>
    <r>
      <rPr>
        <b/>
        <sz val="11"/>
        <color theme="1"/>
        <rFont val="Calibri"/>
        <family val="2"/>
        <scheme val="minor"/>
      </rPr>
      <t>00560</t>
    </r>
    <r>
      <rPr>
        <sz val="11"/>
        <color theme="1"/>
        <rFont val="Calibri"/>
        <family val="2"/>
        <scheme val="minor"/>
      </rPr>
      <t xml:space="preserve"> - Reading
</t>
    </r>
    <r>
      <rPr>
        <b/>
        <sz val="11"/>
        <color theme="1"/>
        <rFont val="Calibri"/>
        <family val="2"/>
        <scheme val="minor"/>
      </rPr>
      <t>13373</t>
    </r>
    <r>
      <rPr>
        <sz val="11"/>
        <color theme="1"/>
        <rFont val="Calibri"/>
        <family val="2"/>
        <scheme val="minor"/>
      </rPr>
      <t xml:space="preserve"> - Reading/Language Arts
</t>
    </r>
    <r>
      <rPr>
        <b/>
        <sz val="11"/>
        <color theme="1"/>
        <rFont val="Calibri"/>
        <family val="2"/>
        <scheme val="minor"/>
      </rPr>
      <t>00562</t>
    </r>
    <r>
      <rPr>
        <sz val="11"/>
        <color theme="1"/>
        <rFont val="Calibri"/>
        <family val="2"/>
        <scheme val="minor"/>
      </rPr>
      <t xml:space="preserve"> - Science
</t>
    </r>
    <r>
      <rPr>
        <b/>
        <sz val="11"/>
        <color theme="1"/>
        <rFont val="Calibri"/>
        <family val="2"/>
        <scheme val="minor"/>
      </rPr>
      <t>73086</t>
    </r>
    <r>
      <rPr>
        <sz val="11"/>
        <color theme="1"/>
        <rFont val="Calibri"/>
        <family val="2"/>
        <scheme val="minor"/>
      </rPr>
      <t xml:space="preserve"> - Science - Life
</t>
    </r>
    <r>
      <rPr>
        <b/>
        <sz val="11"/>
        <color theme="1"/>
        <rFont val="Calibri"/>
        <family val="2"/>
        <scheme val="minor"/>
      </rPr>
      <t>73087</t>
    </r>
    <r>
      <rPr>
        <sz val="11"/>
        <color theme="1"/>
        <rFont val="Calibri"/>
        <family val="2"/>
        <scheme val="minor"/>
      </rPr>
      <t xml:space="preserve"> - Science - Physical
</t>
    </r>
    <r>
      <rPr>
        <b/>
        <sz val="11"/>
        <color theme="1"/>
        <rFont val="Calibri"/>
        <family val="2"/>
        <scheme val="minor"/>
      </rPr>
      <t>13374</t>
    </r>
    <r>
      <rPr>
        <sz val="11"/>
        <color theme="1"/>
        <rFont val="Calibri"/>
        <family val="2"/>
        <scheme val="minor"/>
      </rPr>
      <t xml:space="preserve"> - Social Sciences (History, Geography, Economics, Civics and Government)
</t>
    </r>
    <r>
      <rPr>
        <b/>
        <sz val="11"/>
        <color theme="1"/>
        <rFont val="Calibri"/>
        <family val="2"/>
        <scheme val="minor"/>
      </rPr>
      <t>02043</t>
    </r>
    <r>
      <rPr>
        <sz val="11"/>
        <color theme="1"/>
        <rFont val="Calibri"/>
        <family val="2"/>
        <scheme val="minor"/>
      </rPr>
      <t xml:space="preserve"> - Special education
</t>
    </r>
    <r>
      <rPr>
        <b/>
        <sz val="11"/>
        <color theme="1"/>
        <rFont val="Calibri"/>
        <family val="2"/>
        <scheme val="minor"/>
      </rPr>
      <t>01287</t>
    </r>
    <r>
      <rPr>
        <sz val="11"/>
        <color theme="1"/>
        <rFont val="Calibri"/>
        <family val="2"/>
        <scheme val="minor"/>
      </rPr>
      <t xml:space="preserve"> - Writing
</t>
    </r>
    <r>
      <rPr>
        <b/>
        <sz val="11"/>
        <color theme="1"/>
        <rFont val="Calibri"/>
        <family val="2"/>
        <scheme val="minor"/>
      </rPr>
      <t>09999</t>
    </r>
    <r>
      <rPr>
        <sz val="11"/>
        <color theme="1"/>
        <rFont val="Calibri"/>
        <family val="2"/>
        <scheme val="minor"/>
      </rPr>
      <t xml:space="preserve"> - Other
</t>
    </r>
  </si>
  <si>
    <t>Assessment Form</t>
  </si>
  <si>
    <t>Assessment Form Section</t>
  </si>
  <si>
    <r>
      <t>Client</t>
    </r>
    <r>
      <rPr>
        <sz val="11"/>
        <color theme="1"/>
        <rFont val="Calibri"/>
        <family val="2"/>
        <scheme val="minor"/>
      </rPr>
      <t xml:space="preserve"> - Client
</t>
    </r>
    <r>
      <rPr>
        <b/>
        <sz val="11"/>
        <color theme="1"/>
        <rFont val="Calibri"/>
        <family val="2"/>
        <scheme val="minor"/>
      </rPr>
      <t>Publisher</t>
    </r>
    <r>
      <rPr>
        <sz val="11"/>
        <color theme="1"/>
        <rFont val="Calibri"/>
        <family val="2"/>
        <scheme val="minor"/>
      </rPr>
      <t xml:space="preserve"> - Publisher
</t>
    </r>
    <r>
      <rPr>
        <b/>
        <sz val="11"/>
        <color theme="1"/>
        <rFont val="Calibri"/>
        <family val="2"/>
        <scheme val="minor"/>
      </rPr>
      <t>Internal</t>
    </r>
    <r>
      <rPr>
        <sz val="11"/>
        <color theme="1"/>
        <rFont val="Calibri"/>
        <family val="2"/>
        <scheme val="minor"/>
      </rPr>
      <t xml:space="preserve"> - Internal
</t>
    </r>
    <r>
      <rPr>
        <b/>
        <sz val="11"/>
        <color theme="1"/>
        <rFont val="Calibri"/>
        <family val="2"/>
        <scheme val="minor"/>
      </rPr>
      <t>Other</t>
    </r>
    <r>
      <rPr>
        <sz val="11"/>
        <color theme="1"/>
        <rFont val="Calibri"/>
        <family val="2"/>
        <scheme val="minor"/>
      </rPr>
      <t xml:space="preserve"> - Other
</t>
    </r>
  </si>
  <si>
    <t>Assessment Form Section-&gt;Assessment Item</t>
  </si>
  <si>
    <t>Assessment Form Subtest Assessment Item</t>
  </si>
  <si>
    <t>Assessment Item</t>
  </si>
  <si>
    <r>
      <t>MultipleChoice</t>
    </r>
    <r>
      <rPr>
        <sz val="11"/>
        <color theme="1"/>
        <rFont val="Calibri"/>
        <family val="2"/>
        <scheme val="minor"/>
      </rPr>
      <t xml:space="preserve"> - Multiple-choice
</t>
    </r>
    <r>
      <rPr>
        <b/>
        <sz val="11"/>
        <color theme="1"/>
        <rFont val="Calibri"/>
        <family val="2"/>
        <scheme val="minor"/>
      </rPr>
      <t>FillInTheBlank</t>
    </r>
    <r>
      <rPr>
        <sz val="11"/>
        <color theme="1"/>
        <rFont val="Calibri"/>
        <family val="2"/>
        <scheme val="minor"/>
      </rPr>
      <t xml:space="preserve"> - Fill-in-the-blank
</t>
    </r>
    <r>
      <rPr>
        <b/>
        <sz val="11"/>
        <color theme="1"/>
        <rFont val="Calibri"/>
        <family val="2"/>
        <scheme val="minor"/>
      </rPr>
      <t>TrueFalse</t>
    </r>
    <r>
      <rPr>
        <sz val="11"/>
        <color theme="1"/>
        <rFont val="Calibri"/>
        <family val="2"/>
        <scheme val="minor"/>
      </rPr>
      <t xml:space="preserve"> - True/False
</t>
    </r>
    <r>
      <rPr>
        <b/>
        <sz val="11"/>
        <color theme="1"/>
        <rFont val="Calibri"/>
        <family val="2"/>
        <scheme val="minor"/>
      </rPr>
      <t>MultipleResponse</t>
    </r>
    <r>
      <rPr>
        <sz val="11"/>
        <color theme="1"/>
        <rFont val="Calibri"/>
        <family val="2"/>
        <scheme val="minor"/>
      </rPr>
      <t xml:space="preserve"> - Multiple Response
</t>
    </r>
    <r>
      <rPr>
        <b/>
        <sz val="11"/>
        <color theme="1"/>
        <rFont val="Calibri"/>
        <family val="2"/>
        <scheme val="minor"/>
      </rPr>
      <t>Matching</t>
    </r>
    <r>
      <rPr>
        <sz val="11"/>
        <color theme="1"/>
        <rFont val="Calibri"/>
        <family val="2"/>
        <scheme val="minor"/>
      </rPr>
      <t xml:space="preserve"> - Matching
</t>
    </r>
    <r>
      <rPr>
        <b/>
        <sz val="11"/>
        <color theme="1"/>
        <rFont val="Calibri"/>
        <family val="2"/>
        <scheme val="minor"/>
      </rPr>
      <t>ShortAnswer</t>
    </r>
    <r>
      <rPr>
        <sz val="11"/>
        <color theme="1"/>
        <rFont val="Calibri"/>
        <family val="2"/>
        <scheme val="minor"/>
      </rPr>
      <t xml:space="preserve"> - Short answer
</t>
    </r>
    <r>
      <rPr>
        <b/>
        <sz val="11"/>
        <color theme="1"/>
        <rFont val="Calibri"/>
        <family val="2"/>
        <scheme val="minor"/>
      </rPr>
      <t>Labeling</t>
    </r>
    <r>
      <rPr>
        <sz val="11"/>
        <color theme="1"/>
        <rFont val="Calibri"/>
        <family val="2"/>
        <scheme val="minor"/>
      </rPr>
      <t xml:space="preserve"> - Labeling
</t>
    </r>
    <r>
      <rPr>
        <b/>
        <sz val="11"/>
        <color theme="1"/>
        <rFont val="Calibri"/>
        <family val="2"/>
        <scheme val="minor"/>
      </rPr>
      <t>VisualRepresentation</t>
    </r>
    <r>
      <rPr>
        <sz val="11"/>
        <color theme="1"/>
        <rFont val="Calibri"/>
        <family val="2"/>
        <scheme val="minor"/>
      </rPr>
      <t xml:space="preserve"> - Visual representation
</t>
    </r>
    <r>
      <rPr>
        <b/>
        <sz val="11"/>
        <color theme="1"/>
        <rFont val="Calibri"/>
        <family val="2"/>
        <scheme val="minor"/>
      </rPr>
      <t>ShowYourWork</t>
    </r>
    <r>
      <rPr>
        <sz val="11"/>
        <color theme="1"/>
        <rFont val="Calibri"/>
        <family val="2"/>
        <scheme val="minor"/>
      </rPr>
      <t xml:space="preserve"> - Show your work
</t>
    </r>
    <r>
      <rPr>
        <b/>
        <sz val="11"/>
        <color theme="1"/>
        <rFont val="Calibri"/>
        <family val="2"/>
        <scheme val="minor"/>
      </rPr>
      <t>OtherConstructedResponse</t>
    </r>
    <r>
      <rPr>
        <sz val="11"/>
        <color theme="1"/>
        <rFont val="Calibri"/>
        <family val="2"/>
        <scheme val="minor"/>
      </rPr>
      <t xml:space="preserve"> - Other constructed response
</t>
    </r>
    <r>
      <rPr>
        <b/>
        <sz val="11"/>
        <color theme="1"/>
        <rFont val="Calibri"/>
        <family val="2"/>
        <scheme val="minor"/>
      </rPr>
      <t>PerformanceTask</t>
    </r>
    <r>
      <rPr>
        <sz val="11"/>
        <color theme="1"/>
        <rFont val="Calibri"/>
        <family val="2"/>
        <scheme val="minor"/>
      </rPr>
      <t xml:space="preserve"> - Performance task
</t>
    </r>
    <r>
      <rPr>
        <b/>
        <sz val="11"/>
        <color theme="1"/>
        <rFont val="Calibri"/>
        <family val="2"/>
        <scheme val="minor"/>
      </rPr>
      <t>ExtendedResponse</t>
    </r>
    <r>
      <rPr>
        <sz val="11"/>
        <color theme="1"/>
        <rFont val="Calibri"/>
        <family val="2"/>
        <scheme val="minor"/>
      </rPr>
      <t xml:space="preserve"> - Extended Response (Essay)
</t>
    </r>
    <r>
      <rPr>
        <b/>
        <sz val="11"/>
        <color theme="1"/>
        <rFont val="Calibri"/>
        <family val="2"/>
        <scheme val="minor"/>
      </rPr>
      <t>TechnologyEnhancedInteractive</t>
    </r>
    <r>
      <rPr>
        <sz val="11"/>
        <color theme="1"/>
        <rFont val="Calibri"/>
        <family val="2"/>
        <scheme val="minor"/>
      </rPr>
      <t xml:space="preserve"> - Technology Enhanced / Interactive
</t>
    </r>
    <r>
      <rPr>
        <b/>
        <sz val="11"/>
        <color theme="1"/>
        <rFont val="Calibri"/>
        <family val="2"/>
        <scheme val="minor"/>
      </rPr>
      <t>Reordering</t>
    </r>
    <r>
      <rPr>
        <sz val="11"/>
        <color theme="1"/>
        <rFont val="Calibri"/>
        <family val="2"/>
        <scheme val="minor"/>
      </rPr>
      <t xml:space="preserve"> - Reordering
</t>
    </r>
    <r>
      <rPr>
        <b/>
        <sz val="11"/>
        <color theme="1"/>
        <rFont val="Calibri"/>
        <family val="2"/>
        <scheme val="minor"/>
      </rPr>
      <t>Substitution</t>
    </r>
    <r>
      <rPr>
        <sz val="11"/>
        <color theme="1"/>
        <rFont val="Calibri"/>
        <family val="2"/>
        <scheme val="minor"/>
      </rPr>
      <t xml:space="preserve"> - Substitution
</t>
    </r>
    <r>
      <rPr>
        <b/>
        <sz val="11"/>
        <color theme="1"/>
        <rFont val="Calibri"/>
        <family val="2"/>
        <scheme val="minor"/>
      </rPr>
      <t>Other</t>
    </r>
    <r>
      <rPr>
        <sz val="11"/>
        <color theme="1"/>
        <rFont val="Calibri"/>
        <family val="2"/>
        <scheme val="minor"/>
      </rPr>
      <t xml:space="preserve"> - Other
</t>
    </r>
  </si>
  <si>
    <r>
      <t>DevelopingInterpretation</t>
    </r>
    <r>
      <rPr>
        <sz val="11"/>
        <color theme="1"/>
        <rFont val="Calibri"/>
        <family val="2"/>
        <scheme val="minor"/>
      </rPr>
      <t xml:space="preserve"> - Developing Interpretation
</t>
    </r>
    <r>
      <rPr>
        <b/>
        <sz val="11"/>
        <color theme="1"/>
        <rFont val="Calibri"/>
        <family val="2"/>
        <scheme val="minor"/>
      </rPr>
      <t>MakingReaderTextConnections</t>
    </r>
    <r>
      <rPr>
        <sz val="11"/>
        <color theme="1"/>
        <rFont val="Calibri"/>
        <family val="2"/>
        <scheme val="minor"/>
      </rPr>
      <t xml:space="preserve"> - Making reader/text connections
</t>
    </r>
    <r>
      <rPr>
        <b/>
        <sz val="11"/>
        <color theme="1"/>
        <rFont val="Calibri"/>
        <family val="2"/>
        <scheme val="minor"/>
      </rPr>
      <t>ExaminingContentAndStructure</t>
    </r>
    <r>
      <rPr>
        <sz val="11"/>
        <color theme="1"/>
        <rFont val="Calibri"/>
        <family val="2"/>
        <scheme val="minor"/>
      </rPr>
      <t xml:space="preserve"> - Examining content and structure
</t>
    </r>
  </si>
  <si>
    <r>
      <t>LowComplexity</t>
    </r>
    <r>
      <rPr>
        <sz val="11"/>
        <color theme="1"/>
        <rFont val="Calibri"/>
        <family val="2"/>
        <scheme val="minor"/>
      </rPr>
      <t xml:space="preserve"> - Low complexity
</t>
    </r>
    <r>
      <rPr>
        <b/>
        <sz val="11"/>
        <color theme="1"/>
        <rFont val="Calibri"/>
        <family val="2"/>
        <scheme val="minor"/>
      </rPr>
      <t>ModerateComplexity</t>
    </r>
    <r>
      <rPr>
        <sz val="11"/>
        <color theme="1"/>
        <rFont val="Calibri"/>
        <family val="2"/>
        <scheme val="minor"/>
      </rPr>
      <t xml:space="preserve"> - Moderate complexity
</t>
    </r>
    <r>
      <rPr>
        <b/>
        <sz val="11"/>
        <color theme="1"/>
        <rFont val="Calibri"/>
        <family val="2"/>
        <scheme val="minor"/>
      </rPr>
      <t>HighComplexity</t>
    </r>
    <r>
      <rPr>
        <sz val="11"/>
        <color theme="1"/>
        <rFont val="Calibri"/>
        <family val="2"/>
        <scheme val="minor"/>
      </rPr>
      <t xml:space="preserve"> - High complexity
</t>
    </r>
  </si>
  <si>
    <r>
      <t>01</t>
    </r>
    <r>
      <rPr>
        <sz val="11"/>
        <color theme="1"/>
        <rFont val="Calibri"/>
        <family val="2"/>
        <scheme val="minor"/>
      </rPr>
      <t xml:space="preserve"> - Automated Readability Index
</t>
    </r>
    <r>
      <rPr>
        <b/>
        <sz val="11"/>
        <color theme="1"/>
        <rFont val="Calibri"/>
        <family val="2"/>
        <scheme val="minor"/>
      </rPr>
      <t>02</t>
    </r>
    <r>
      <rPr>
        <sz val="11"/>
        <color theme="1"/>
        <rFont val="Calibri"/>
        <family val="2"/>
        <scheme val="minor"/>
      </rPr>
      <t xml:space="preserve"> - Bormuth Index
</t>
    </r>
    <r>
      <rPr>
        <b/>
        <sz val="11"/>
        <color theme="1"/>
        <rFont val="Calibri"/>
        <family val="2"/>
        <scheme val="minor"/>
      </rPr>
      <t>03</t>
    </r>
    <r>
      <rPr>
        <sz val="11"/>
        <color theme="1"/>
        <rFont val="Calibri"/>
        <family val="2"/>
        <scheme val="minor"/>
      </rPr>
      <t xml:space="preserve"> - Coleman Liau Index
</t>
    </r>
    <r>
      <rPr>
        <b/>
        <sz val="11"/>
        <color theme="1"/>
        <rFont val="Calibri"/>
        <family val="2"/>
        <scheme val="minor"/>
      </rPr>
      <t>04</t>
    </r>
    <r>
      <rPr>
        <sz val="11"/>
        <color theme="1"/>
        <rFont val="Calibri"/>
        <family val="2"/>
        <scheme val="minor"/>
      </rPr>
      <t xml:space="preserve"> - Coh-Metrix Readability
</t>
    </r>
    <r>
      <rPr>
        <b/>
        <sz val="11"/>
        <color theme="1"/>
        <rFont val="Calibri"/>
        <family val="2"/>
        <scheme val="minor"/>
      </rPr>
      <t>05</t>
    </r>
    <r>
      <rPr>
        <sz val="11"/>
        <color theme="1"/>
        <rFont val="Calibri"/>
        <family val="2"/>
        <scheme val="minor"/>
      </rPr>
      <t xml:space="preserve"> - Dale-Chall Readability Formula
</t>
    </r>
    <r>
      <rPr>
        <b/>
        <sz val="11"/>
        <color theme="1"/>
        <rFont val="Calibri"/>
        <family val="2"/>
        <scheme val="minor"/>
      </rPr>
      <t>06</t>
    </r>
    <r>
      <rPr>
        <sz val="11"/>
        <color theme="1"/>
        <rFont val="Calibri"/>
        <family val="2"/>
        <scheme val="minor"/>
      </rPr>
      <t xml:space="preserve"> - Flesch-Kincaid Grade Level
</t>
    </r>
    <r>
      <rPr>
        <b/>
        <sz val="11"/>
        <color theme="1"/>
        <rFont val="Calibri"/>
        <family val="2"/>
        <scheme val="minor"/>
      </rPr>
      <t>07</t>
    </r>
    <r>
      <rPr>
        <sz val="11"/>
        <color theme="1"/>
        <rFont val="Calibri"/>
        <family val="2"/>
        <scheme val="minor"/>
      </rPr>
      <t xml:space="preserve"> - Flesch Reading Ease Formula
</t>
    </r>
    <r>
      <rPr>
        <b/>
        <sz val="11"/>
        <color theme="1"/>
        <rFont val="Calibri"/>
        <family val="2"/>
        <scheme val="minor"/>
      </rPr>
      <t>08</t>
    </r>
    <r>
      <rPr>
        <sz val="11"/>
        <color theme="1"/>
        <rFont val="Calibri"/>
        <family val="2"/>
        <scheme val="minor"/>
      </rPr>
      <t xml:space="preserve"> - FORCAST
</t>
    </r>
    <r>
      <rPr>
        <b/>
        <sz val="11"/>
        <color theme="1"/>
        <rFont val="Calibri"/>
        <family val="2"/>
        <scheme val="minor"/>
      </rPr>
      <t>09</t>
    </r>
    <r>
      <rPr>
        <sz val="11"/>
        <color theme="1"/>
        <rFont val="Calibri"/>
        <family val="2"/>
        <scheme val="minor"/>
      </rPr>
      <t xml:space="preserve"> - Fry Readability Formula
</t>
    </r>
    <r>
      <rPr>
        <b/>
        <sz val="11"/>
        <color theme="1"/>
        <rFont val="Calibri"/>
        <family val="2"/>
        <scheme val="minor"/>
      </rPr>
      <t>10</t>
    </r>
    <r>
      <rPr>
        <sz val="11"/>
        <color theme="1"/>
        <rFont val="Calibri"/>
        <family val="2"/>
        <scheme val="minor"/>
      </rPr>
      <t xml:space="preserve"> - Gunning-Fog Scale
</t>
    </r>
    <r>
      <rPr>
        <b/>
        <sz val="11"/>
        <color theme="1"/>
        <rFont val="Calibri"/>
        <family val="2"/>
        <scheme val="minor"/>
      </rPr>
      <t>11</t>
    </r>
    <r>
      <rPr>
        <sz val="11"/>
        <color theme="1"/>
        <rFont val="Calibri"/>
        <family val="2"/>
        <scheme val="minor"/>
      </rPr>
      <t xml:space="preserve"> - Hull Formula
</t>
    </r>
    <r>
      <rPr>
        <b/>
        <sz val="11"/>
        <color theme="1"/>
        <rFont val="Calibri"/>
        <family val="2"/>
        <scheme val="minor"/>
      </rPr>
      <t>12</t>
    </r>
    <r>
      <rPr>
        <sz val="11"/>
        <color theme="1"/>
        <rFont val="Calibri"/>
        <family val="2"/>
        <scheme val="minor"/>
      </rPr>
      <t xml:space="preserve"> - Lexile
</t>
    </r>
    <r>
      <rPr>
        <b/>
        <sz val="11"/>
        <color theme="1"/>
        <rFont val="Calibri"/>
        <family val="2"/>
        <scheme val="minor"/>
      </rPr>
      <t>13</t>
    </r>
    <r>
      <rPr>
        <sz val="11"/>
        <color theme="1"/>
        <rFont val="Calibri"/>
        <family val="2"/>
        <scheme val="minor"/>
      </rPr>
      <t xml:space="preserve"> - Linsear Write Formula
</t>
    </r>
    <r>
      <rPr>
        <b/>
        <sz val="11"/>
        <color theme="1"/>
        <rFont val="Calibri"/>
        <family val="2"/>
        <scheme val="minor"/>
      </rPr>
      <t>14</t>
    </r>
    <r>
      <rPr>
        <sz val="11"/>
        <color theme="1"/>
        <rFont val="Calibri"/>
        <family val="2"/>
        <scheme val="minor"/>
      </rPr>
      <t xml:space="preserve"> - McAlpine EFLAW
</t>
    </r>
    <r>
      <rPr>
        <b/>
        <sz val="11"/>
        <color theme="1"/>
        <rFont val="Calibri"/>
        <family val="2"/>
        <scheme val="minor"/>
      </rPr>
      <t>15</t>
    </r>
    <r>
      <rPr>
        <sz val="11"/>
        <color theme="1"/>
        <rFont val="Calibri"/>
        <family val="2"/>
        <scheme val="minor"/>
      </rPr>
      <t xml:space="preserve"> - Powers-Sumner-Kearl
</t>
    </r>
    <r>
      <rPr>
        <b/>
        <sz val="11"/>
        <color theme="1"/>
        <rFont val="Calibri"/>
        <family val="2"/>
        <scheme val="minor"/>
      </rPr>
      <t>16</t>
    </r>
    <r>
      <rPr>
        <sz val="11"/>
        <color theme="1"/>
        <rFont val="Calibri"/>
        <family val="2"/>
        <scheme val="minor"/>
      </rPr>
      <t xml:space="preserve"> - Raygor Readability Estimate
</t>
    </r>
    <r>
      <rPr>
        <b/>
        <sz val="11"/>
        <color theme="1"/>
        <rFont val="Calibri"/>
        <family val="2"/>
        <scheme val="minor"/>
      </rPr>
      <t>17</t>
    </r>
    <r>
      <rPr>
        <sz val="11"/>
        <color theme="1"/>
        <rFont val="Calibri"/>
        <family val="2"/>
        <scheme val="minor"/>
      </rPr>
      <t xml:space="preserve"> - SMOG Index
</t>
    </r>
    <r>
      <rPr>
        <b/>
        <sz val="11"/>
        <color theme="1"/>
        <rFont val="Calibri"/>
        <family val="2"/>
        <scheme val="minor"/>
      </rPr>
      <t>18</t>
    </r>
    <r>
      <rPr>
        <sz val="11"/>
        <color theme="1"/>
        <rFont val="Calibri"/>
        <family val="2"/>
        <scheme val="minor"/>
      </rPr>
      <t xml:space="preserve"> - Spache Readability Formula
</t>
    </r>
    <r>
      <rPr>
        <b/>
        <sz val="11"/>
        <color theme="1"/>
        <rFont val="Calibri"/>
        <family val="2"/>
        <scheme val="minor"/>
      </rPr>
      <t>19</t>
    </r>
    <r>
      <rPr>
        <sz val="11"/>
        <color theme="1"/>
        <rFont val="Calibri"/>
        <family val="2"/>
        <scheme val="minor"/>
      </rPr>
      <t xml:space="preserve"> - Strain Index
</t>
    </r>
  </si>
  <si>
    <t>Assessment Item Possible Response</t>
  </si>
  <si>
    <t>Assessment Item Response</t>
  </si>
  <si>
    <r>
      <t>Correct</t>
    </r>
    <r>
      <rPr>
        <sz val="11"/>
        <color theme="1"/>
        <rFont val="Calibri"/>
        <family val="2"/>
        <scheme val="minor"/>
      </rPr>
      <t xml:space="preserve"> - Correct
</t>
    </r>
    <r>
      <rPr>
        <b/>
        <sz val="11"/>
        <color theme="1"/>
        <rFont val="Calibri"/>
        <family val="2"/>
        <scheme val="minor"/>
      </rPr>
      <t>Incorrect</t>
    </r>
    <r>
      <rPr>
        <sz val="11"/>
        <color theme="1"/>
        <rFont val="Calibri"/>
        <family val="2"/>
        <scheme val="minor"/>
      </rPr>
      <t xml:space="preserve"> - Incorrect
</t>
    </r>
    <r>
      <rPr>
        <b/>
        <sz val="11"/>
        <color theme="1"/>
        <rFont val="Calibri"/>
        <family val="2"/>
        <scheme val="minor"/>
      </rPr>
      <t>Complete</t>
    </r>
    <r>
      <rPr>
        <sz val="11"/>
        <color theme="1"/>
        <rFont val="Calibri"/>
        <family val="2"/>
        <scheme val="minor"/>
      </rPr>
      <t xml:space="preserve"> - Complete
</t>
    </r>
    <r>
      <rPr>
        <b/>
        <sz val="11"/>
        <color theme="1"/>
        <rFont val="Calibri"/>
        <family val="2"/>
        <scheme val="minor"/>
      </rPr>
      <t>PartialComplete</t>
    </r>
    <r>
      <rPr>
        <sz val="11"/>
        <color theme="1"/>
        <rFont val="Calibri"/>
        <family val="2"/>
        <scheme val="minor"/>
      </rPr>
      <t xml:space="preserve"> - Partial Complete
</t>
    </r>
    <r>
      <rPr>
        <b/>
        <sz val="11"/>
        <color theme="1"/>
        <rFont val="Calibri"/>
        <family val="2"/>
        <scheme val="minor"/>
      </rPr>
      <t>Viewed</t>
    </r>
    <r>
      <rPr>
        <sz val="11"/>
        <color theme="1"/>
        <rFont val="Calibri"/>
        <family val="2"/>
        <scheme val="minor"/>
      </rPr>
      <t xml:space="preserve"> - Viewed
</t>
    </r>
    <r>
      <rPr>
        <b/>
        <sz val="11"/>
        <color theme="1"/>
        <rFont val="Calibri"/>
        <family val="2"/>
        <scheme val="minor"/>
      </rPr>
      <t>NotViewed</t>
    </r>
    <r>
      <rPr>
        <sz val="11"/>
        <color theme="1"/>
        <rFont val="Calibri"/>
        <family val="2"/>
        <scheme val="minor"/>
      </rPr>
      <t xml:space="preserve"> - Not Viewed
</t>
    </r>
    <r>
      <rPr>
        <b/>
        <sz val="11"/>
        <color theme="1"/>
        <rFont val="Calibri"/>
        <family val="2"/>
        <scheme val="minor"/>
      </rPr>
      <t>Attempted</t>
    </r>
    <r>
      <rPr>
        <sz val="11"/>
        <color theme="1"/>
        <rFont val="Calibri"/>
        <family val="2"/>
        <scheme val="minor"/>
      </rPr>
      <t xml:space="preserve"> - Attempted
</t>
    </r>
    <r>
      <rPr>
        <b/>
        <sz val="11"/>
        <color theme="1"/>
        <rFont val="Calibri"/>
        <family val="2"/>
        <scheme val="minor"/>
      </rPr>
      <t>Incomplete</t>
    </r>
    <r>
      <rPr>
        <sz val="11"/>
        <color theme="1"/>
        <rFont val="Calibri"/>
        <family val="2"/>
        <scheme val="minor"/>
      </rPr>
      <t xml:space="preserve"> - Incomplete
</t>
    </r>
    <r>
      <rPr>
        <b/>
        <sz val="11"/>
        <color theme="1"/>
        <rFont val="Calibri"/>
        <family val="2"/>
        <scheme val="minor"/>
      </rPr>
      <t>InProgress</t>
    </r>
    <r>
      <rPr>
        <sz val="11"/>
        <color theme="1"/>
        <rFont val="Calibri"/>
        <family val="2"/>
        <scheme val="minor"/>
      </rPr>
      <t xml:space="preserve"> - In Progress
</t>
    </r>
    <r>
      <rPr>
        <b/>
        <sz val="11"/>
        <color theme="1"/>
        <rFont val="Calibri"/>
        <family val="2"/>
        <scheme val="minor"/>
      </rPr>
      <t>NotProficient</t>
    </r>
    <r>
      <rPr>
        <sz val="11"/>
        <color theme="1"/>
        <rFont val="Calibri"/>
        <family val="2"/>
        <scheme val="minor"/>
      </rPr>
      <t xml:space="preserve"> - Not Yet Proficient
</t>
    </r>
    <r>
      <rPr>
        <b/>
        <sz val="11"/>
        <color theme="1"/>
        <rFont val="Calibri"/>
        <family val="2"/>
        <scheme val="minor"/>
      </rPr>
      <t>Proficient</t>
    </r>
    <r>
      <rPr>
        <sz val="11"/>
        <color theme="1"/>
        <rFont val="Calibri"/>
        <family val="2"/>
        <scheme val="minor"/>
      </rPr>
      <t xml:space="preserve"> - Proficient
</t>
    </r>
  </si>
  <si>
    <r>
      <t>NotScored</t>
    </r>
    <r>
      <rPr>
        <sz val="11"/>
        <color theme="1"/>
        <rFont val="Calibri"/>
        <family val="2"/>
        <scheme val="minor"/>
      </rPr>
      <t xml:space="preserve"> - Not Scored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ScoringError</t>
    </r>
    <r>
      <rPr>
        <sz val="11"/>
        <color theme="1"/>
        <rFont val="Calibri"/>
        <family val="2"/>
        <scheme val="minor"/>
      </rPr>
      <t xml:space="preserve"> - Scoring error
</t>
    </r>
    <r>
      <rPr>
        <b/>
        <sz val="11"/>
        <color theme="1"/>
        <rFont val="Calibri"/>
        <family val="2"/>
        <scheme val="minor"/>
      </rPr>
      <t>WaitingForMachineScore</t>
    </r>
    <r>
      <rPr>
        <sz val="11"/>
        <color theme="1"/>
        <rFont val="Calibri"/>
        <family val="2"/>
        <scheme val="minor"/>
      </rPr>
      <t xml:space="preserve"> - Waiting For Machine Score
</t>
    </r>
  </si>
  <si>
    <t>Assessment Item Response Theory</t>
  </si>
  <si>
    <r>
      <t>None</t>
    </r>
    <r>
      <rPr>
        <sz val="11"/>
        <color theme="1"/>
        <rFont val="Calibri"/>
        <family val="2"/>
        <scheme val="minor"/>
      </rPr>
      <t xml:space="preserve"> - None: 0
</t>
    </r>
    <r>
      <rPr>
        <b/>
        <sz val="11"/>
        <color theme="1"/>
        <rFont val="Calibri"/>
        <family val="2"/>
        <scheme val="minor"/>
      </rPr>
      <t>VeryLow</t>
    </r>
    <r>
      <rPr>
        <sz val="11"/>
        <color theme="1"/>
        <rFont val="Calibri"/>
        <family val="2"/>
        <scheme val="minor"/>
      </rPr>
      <t xml:space="preserve"> - Very low: 0.01 - 0.34
</t>
    </r>
    <r>
      <rPr>
        <b/>
        <sz val="11"/>
        <color theme="1"/>
        <rFont val="Calibri"/>
        <family val="2"/>
        <scheme val="minor"/>
      </rPr>
      <t>Low</t>
    </r>
    <r>
      <rPr>
        <sz val="11"/>
        <color theme="1"/>
        <rFont val="Calibri"/>
        <family val="2"/>
        <scheme val="minor"/>
      </rPr>
      <t xml:space="preserve"> - Low: 0.35 - 0.64
</t>
    </r>
    <r>
      <rPr>
        <b/>
        <sz val="11"/>
        <color theme="1"/>
        <rFont val="Calibri"/>
        <family val="2"/>
        <scheme val="minor"/>
      </rPr>
      <t>Moderate</t>
    </r>
    <r>
      <rPr>
        <sz val="11"/>
        <color theme="1"/>
        <rFont val="Calibri"/>
        <family val="2"/>
        <scheme val="minor"/>
      </rPr>
      <t xml:space="preserve"> - Moderate: 0.65 - 1.34
</t>
    </r>
    <r>
      <rPr>
        <b/>
        <sz val="11"/>
        <color theme="1"/>
        <rFont val="Calibri"/>
        <family val="2"/>
        <scheme val="minor"/>
      </rPr>
      <t>High</t>
    </r>
    <r>
      <rPr>
        <sz val="11"/>
        <color theme="1"/>
        <rFont val="Calibri"/>
        <family val="2"/>
        <scheme val="minor"/>
      </rPr>
      <t xml:space="preserve"> - High: 1.35 - 1.69
</t>
    </r>
    <r>
      <rPr>
        <b/>
        <sz val="11"/>
        <color theme="1"/>
        <rFont val="Calibri"/>
        <family val="2"/>
        <scheme val="minor"/>
      </rPr>
      <t>VeryHigh</t>
    </r>
    <r>
      <rPr>
        <sz val="11"/>
        <color theme="1"/>
        <rFont val="Calibri"/>
        <family val="2"/>
        <scheme val="minor"/>
      </rPr>
      <t xml:space="preserve"> - Very high: &gt; 1.70
</t>
    </r>
    <r>
      <rPr>
        <b/>
        <sz val="11"/>
        <color theme="1"/>
        <rFont val="Calibri"/>
        <family val="2"/>
        <scheme val="minor"/>
      </rPr>
      <t>Perfect</t>
    </r>
    <r>
      <rPr>
        <sz val="11"/>
        <color theme="1"/>
        <rFont val="Calibri"/>
        <family val="2"/>
        <scheme val="minor"/>
      </rPr>
      <t xml:space="preserve"> - Perfect: + infinity
</t>
    </r>
  </si>
  <si>
    <r>
      <t>CohenUnweighted</t>
    </r>
    <r>
      <rPr>
        <sz val="11"/>
        <color theme="1"/>
        <rFont val="Calibri"/>
        <family val="2"/>
        <scheme val="minor"/>
      </rPr>
      <t xml:space="preserve"> - Cohen's unweighted algorithm
</t>
    </r>
    <r>
      <rPr>
        <b/>
        <sz val="11"/>
        <color theme="1"/>
        <rFont val="Calibri"/>
        <family val="2"/>
        <scheme val="minor"/>
      </rPr>
      <t>CohenWeighted</t>
    </r>
    <r>
      <rPr>
        <sz val="11"/>
        <color theme="1"/>
        <rFont val="Calibri"/>
        <family val="2"/>
        <scheme val="minor"/>
      </rPr>
      <t xml:space="preserve"> - Cohen's weighted algorithm
</t>
    </r>
    <r>
      <rPr>
        <b/>
        <sz val="11"/>
        <color theme="1"/>
        <rFont val="Calibri"/>
        <family val="2"/>
        <scheme val="minor"/>
      </rPr>
      <t>FleissAlgorithm</t>
    </r>
    <r>
      <rPr>
        <sz val="11"/>
        <color theme="1"/>
        <rFont val="Calibri"/>
        <family val="2"/>
        <scheme val="minor"/>
      </rPr>
      <t xml:space="preserve"> - Fleiss algorithm
</t>
    </r>
  </si>
  <si>
    <t>Assessment Item Body Custom Interaction</t>
  </si>
  <si>
    <t>Assessment Item Characteristic</t>
  </si>
  <si>
    <r>
      <t>MeanSquareFit</t>
    </r>
    <r>
      <rPr>
        <sz val="11"/>
        <color theme="1"/>
        <rFont val="Calibri"/>
        <family val="2"/>
        <scheme val="minor"/>
      </rPr>
      <t xml:space="preserve"> - Mean Square Fit
</t>
    </r>
    <r>
      <rPr>
        <b/>
        <sz val="11"/>
        <color theme="1"/>
        <rFont val="Calibri"/>
        <family val="2"/>
        <scheme val="minor"/>
      </rPr>
      <t>WeightedMeanSquareFit</t>
    </r>
    <r>
      <rPr>
        <sz val="11"/>
        <color theme="1"/>
        <rFont val="Calibri"/>
        <family val="2"/>
        <scheme val="minor"/>
      </rPr>
      <t xml:space="preserve"> - Weighted Mean Square Fit
</t>
    </r>
    <r>
      <rPr>
        <b/>
        <sz val="11"/>
        <color theme="1"/>
        <rFont val="Calibri"/>
        <family val="2"/>
        <scheme val="minor"/>
      </rPr>
      <t>RevisedMeanSquareFit</t>
    </r>
    <r>
      <rPr>
        <sz val="11"/>
        <color theme="1"/>
        <rFont val="Calibri"/>
        <family val="2"/>
        <scheme val="minor"/>
      </rPr>
      <t xml:space="preserve"> - Revised Mean Square Fit
</t>
    </r>
    <r>
      <rPr>
        <b/>
        <sz val="11"/>
        <color theme="1"/>
        <rFont val="Calibri"/>
        <family val="2"/>
        <scheme val="minor"/>
      </rPr>
      <t>RevisedPointBiserial</t>
    </r>
    <r>
      <rPr>
        <sz val="11"/>
        <color theme="1"/>
        <rFont val="Calibri"/>
        <family val="2"/>
        <scheme val="minor"/>
      </rPr>
      <t xml:space="preserve"> - Revised Point Biserial Measure
</t>
    </r>
    <r>
      <rPr>
        <b/>
        <sz val="11"/>
        <color theme="1"/>
        <rFont val="Calibri"/>
        <family val="2"/>
        <scheme val="minor"/>
      </rPr>
      <t>RaschItemScore</t>
    </r>
    <r>
      <rPr>
        <sz val="11"/>
        <color theme="1"/>
        <rFont val="Calibri"/>
        <family val="2"/>
        <scheme val="minor"/>
      </rPr>
      <t xml:space="preserve"> - Rasch Item Score
</t>
    </r>
    <r>
      <rPr>
        <b/>
        <sz val="11"/>
        <color theme="1"/>
        <rFont val="Calibri"/>
        <family val="2"/>
        <scheme val="minor"/>
      </rPr>
      <t>ResponseCorrelation</t>
    </r>
    <r>
      <rPr>
        <sz val="11"/>
        <color theme="1"/>
        <rFont val="Calibri"/>
        <family val="2"/>
        <scheme val="minor"/>
      </rPr>
      <t xml:space="preserve"> - Response Correlation
</t>
    </r>
    <r>
      <rPr>
        <b/>
        <sz val="11"/>
        <color theme="1"/>
        <rFont val="Calibri"/>
        <family val="2"/>
        <scheme val="minor"/>
      </rPr>
      <t>ResponseCorrelationSquared</t>
    </r>
    <r>
      <rPr>
        <sz val="11"/>
        <color theme="1"/>
        <rFont val="Calibri"/>
        <family val="2"/>
        <scheme val="minor"/>
      </rPr>
      <t xml:space="preserve"> - Response Correlation Squared
</t>
    </r>
    <r>
      <rPr>
        <b/>
        <sz val="11"/>
        <color theme="1"/>
        <rFont val="Calibri"/>
        <family val="2"/>
        <scheme val="minor"/>
      </rPr>
      <t>ZCHISquare</t>
    </r>
    <r>
      <rPr>
        <sz val="11"/>
        <color theme="1"/>
        <rFont val="Calibri"/>
        <family val="2"/>
        <scheme val="minor"/>
      </rPr>
      <t xml:space="preserve"> - Z CHI Square
</t>
    </r>
    <r>
      <rPr>
        <b/>
        <sz val="11"/>
        <color theme="1"/>
        <rFont val="Calibri"/>
        <family val="2"/>
        <scheme val="minor"/>
      </rPr>
      <t>Pval</t>
    </r>
    <r>
      <rPr>
        <sz val="11"/>
        <color theme="1"/>
        <rFont val="Calibri"/>
        <family val="2"/>
        <scheme val="minor"/>
      </rPr>
      <t xml:space="preserve"> - Pval
</t>
    </r>
    <r>
      <rPr>
        <b/>
        <sz val="11"/>
        <color theme="1"/>
        <rFont val="Calibri"/>
        <family val="2"/>
        <scheme val="minor"/>
      </rPr>
      <t>PointBiserial</t>
    </r>
    <r>
      <rPr>
        <sz val="11"/>
        <color theme="1"/>
        <rFont val="Calibri"/>
        <family val="2"/>
        <scheme val="minor"/>
      </rPr>
      <t xml:space="preserve"> - Point Biserial
</t>
    </r>
    <r>
      <rPr>
        <b/>
        <sz val="11"/>
        <color theme="1"/>
        <rFont val="Calibri"/>
        <family val="2"/>
        <scheme val="minor"/>
      </rPr>
      <t>Biserial</t>
    </r>
    <r>
      <rPr>
        <sz val="11"/>
        <color theme="1"/>
        <rFont val="Calibri"/>
        <family val="2"/>
        <scheme val="minor"/>
      </rPr>
      <t xml:space="preserve"> - Biserial
</t>
    </r>
    <r>
      <rPr>
        <b/>
        <sz val="11"/>
        <color theme="1"/>
        <rFont val="Calibri"/>
        <family val="2"/>
        <scheme val="minor"/>
      </rPr>
      <t>DiscriminationIndex</t>
    </r>
    <r>
      <rPr>
        <sz val="11"/>
        <color theme="1"/>
        <rFont val="Calibri"/>
        <family val="2"/>
        <scheme val="minor"/>
      </rPr>
      <t xml:space="preserve"> - Discrimination Index
</t>
    </r>
    <r>
      <rPr>
        <b/>
        <sz val="11"/>
        <color theme="1"/>
        <rFont val="Calibri"/>
        <family val="2"/>
        <scheme val="minor"/>
      </rPr>
      <t>ReliabilityCoefficient</t>
    </r>
    <r>
      <rPr>
        <sz val="11"/>
        <color theme="1"/>
        <rFont val="Calibri"/>
        <family val="2"/>
        <scheme val="minor"/>
      </rPr>
      <t xml:space="preserve"> - Reliability Coefficient
</t>
    </r>
    <r>
      <rPr>
        <b/>
        <sz val="11"/>
        <color theme="1"/>
        <rFont val="Calibri"/>
        <family val="2"/>
        <scheme val="minor"/>
      </rPr>
      <t>CoefficientAlpha</t>
    </r>
    <r>
      <rPr>
        <sz val="11"/>
        <color theme="1"/>
        <rFont val="Calibri"/>
        <family val="2"/>
        <scheme val="minor"/>
      </rPr>
      <t xml:space="preserve"> - Coefficient Alpha
</t>
    </r>
    <r>
      <rPr>
        <b/>
        <sz val="11"/>
        <color theme="1"/>
        <rFont val="Calibri"/>
        <family val="2"/>
        <scheme val="minor"/>
      </rPr>
      <t>ItemTestCorrelation</t>
    </r>
    <r>
      <rPr>
        <sz val="11"/>
        <color theme="1"/>
        <rFont val="Calibri"/>
        <family val="2"/>
        <scheme val="minor"/>
      </rPr>
      <t xml:space="preserve"> - Item Test Correlation
</t>
    </r>
    <r>
      <rPr>
        <b/>
        <sz val="11"/>
        <color theme="1"/>
        <rFont val="Calibri"/>
        <family val="2"/>
        <scheme val="minor"/>
      </rPr>
      <t>ItemVariance</t>
    </r>
    <r>
      <rPr>
        <sz val="11"/>
        <color theme="1"/>
        <rFont val="Calibri"/>
        <family val="2"/>
        <scheme val="minor"/>
      </rPr>
      <t xml:space="preserve"> - Item Variance
</t>
    </r>
    <r>
      <rPr>
        <b/>
        <sz val="11"/>
        <color theme="1"/>
        <rFont val="Calibri"/>
        <family val="2"/>
        <scheme val="minor"/>
      </rPr>
      <t>ScaleValue</t>
    </r>
    <r>
      <rPr>
        <sz val="11"/>
        <color theme="1"/>
        <rFont val="Calibri"/>
        <family val="2"/>
        <scheme val="minor"/>
      </rPr>
      <t xml:space="preserve"> - Scale Value
</t>
    </r>
  </si>
  <si>
    <t>Rubric</t>
  </si>
  <si>
    <t>Assessment Item APIP</t>
  </si>
  <si>
    <t>Assessment Item APIP Interaction</t>
  </si>
  <si>
    <r>
      <t>CustomInteraction</t>
    </r>
    <r>
      <rPr>
        <sz val="11"/>
        <color theme="1"/>
        <rFont val="Calibri"/>
        <family val="2"/>
        <scheme val="minor"/>
      </rPr>
      <t xml:space="preserve"> - Custom Interaction
</t>
    </r>
    <r>
      <rPr>
        <b/>
        <sz val="11"/>
        <color theme="1"/>
        <rFont val="Calibri"/>
        <family val="2"/>
        <scheme val="minor"/>
      </rPr>
      <t>DrawingInteraction</t>
    </r>
    <r>
      <rPr>
        <sz val="11"/>
        <color theme="1"/>
        <rFont val="Calibri"/>
        <family val="2"/>
        <scheme val="minor"/>
      </rPr>
      <t xml:space="preserve"> - Drawing Interaction
</t>
    </r>
    <r>
      <rPr>
        <b/>
        <sz val="11"/>
        <color theme="1"/>
        <rFont val="Calibri"/>
        <family val="2"/>
        <scheme val="minor"/>
      </rPr>
      <t>GapMatchInteraction</t>
    </r>
    <r>
      <rPr>
        <sz val="11"/>
        <color theme="1"/>
        <rFont val="Calibri"/>
        <family val="2"/>
        <scheme val="minor"/>
      </rPr>
      <t xml:space="preserve"> - Gap Match Interaction
</t>
    </r>
    <r>
      <rPr>
        <b/>
        <sz val="11"/>
        <color theme="1"/>
        <rFont val="Calibri"/>
        <family val="2"/>
        <scheme val="minor"/>
      </rPr>
      <t>MatchInteraction</t>
    </r>
    <r>
      <rPr>
        <sz val="11"/>
        <color theme="1"/>
        <rFont val="Calibri"/>
        <family val="2"/>
        <scheme val="minor"/>
      </rPr>
      <t xml:space="preserve"> - Match Interaction
</t>
    </r>
    <r>
      <rPr>
        <b/>
        <sz val="11"/>
        <color theme="1"/>
        <rFont val="Calibri"/>
        <family val="2"/>
        <scheme val="minor"/>
      </rPr>
      <t>GraphicGapMatchInteraction</t>
    </r>
    <r>
      <rPr>
        <sz val="11"/>
        <color theme="1"/>
        <rFont val="Calibri"/>
        <family val="2"/>
        <scheme val="minor"/>
      </rPr>
      <t xml:space="preserve"> - Graphic Gap Match Interaction
</t>
    </r>
    <r>
      <rPr>
        <b/>
        <sz val="11"/>
        <color theme="1"/>
        <rFont val="Calibri"/>
        <family val="2"/>
        <scheme val="minor"/>
      </rPr>
      <t>HotspotInteraction</t>
    </r>
    <r>
      <rPr>
        <sz val="11"/>
        <color theme="1"/>
        <rFont val="Calibri"/>
        <family val="2"/>
        <scheme val="minor"/>
      </rPr>
      <t xml:space="preserve"> - Hotspot Interaction
</t>
    </r>
    <r>
      <rPr>
        <b/>
        <sz val="11"/>
        <color theme="1"/>
        <rFont val="Calibri"/>
        <family val="2"/>
        <scheme val="minor"/>
      </rPr>
      <t>GraphicOrderInteraction</t>
    </r>
    <r>
      <rPr>
        <sz val="11"/>
        <color theme="1"/>
        <rFont val="Calibri"/>
        <family val="2"/>
        <scheme val="minor"/>
      </rPr>
      <t xml:space="preserve"> - Graphic Order Interaction
</t>
    </r>
    <r>
      <rPr>
        <b/>
        <sz val="11"/>
        <color theme="1"/>
        <rFont val="Calibri"/>
        <family val="2"/>
        <scheme val="minor"/>
      </rPr>
      <t>GraphicAssociateInteraction</t>
    </r>
    <r>
      <rPr>
        <sz val="11"/>
        <color theme="1"/>
        <rFont val="Calibri"/>
        <family val="2"/>
        <scheme val="minor"/>
      </rPr>
      <t xml:space="preserve"> - Graphic Associate Interaction
</t>
    </r>
    <r>
      <rPr>
        <b/>
        <sz val="11"/>
        <color theme="1"/>
        <rFont val="Calibri"/>
        <family val="2"/>
        <scheme val="minor"/>
      </rPr>
      <t>ChoiceInteraction</t>
    </r>
    <r>
      <rPr>
        <sz val="11"/>
        <color theme="1"/>
        <rFont val="Calibri"/>
        <family val="2"/>
        <scheme val="minor"/>
      </rPr>
      <t xml:space="preserve"> - Choice Interaction
</t>
    </r>
    <r>
      <rPr>
        <b/>
        <sz val="11"/>
        <color theme="1"/>
        <rFont val="Calibri"/>
        <family val="2"/>
        <scheme val="minor"/>
      </rPr>
      <t>InlineChoiceInteraction</t>
    </r>
    <r>
      <rPr>
        <sz val="11"/>
        <color theme="1"/>
        <rFont val="Calibri"/>
        <family val="2"/>
        <scheme val="minor"/>
      </rPr>
      <t xml:space="preserve"> - Inline Choice Interaction
</t>
    </r>
    <r>
      <rPr>
        <b/>
        <sz val="11"/>
        <color theme="1"/>
        <rFont val="Calibri"/>
        <family val="2"/>
        <scheme val="minor"/>
      </rPr>
      <t>MediaInteraction</t>
    </r>
    <r>
      <rPr>
        <sz val="11"/>
        <color theme="1"/>
        <rFont val="Calibri"/>
        <family val="2"/>
        <scheme val="minor"/>
      </rPr>
      <t xml:space="preserve"> - Media Interaction
</t>
    </r>
    <r>
      <rPr>
        <b/>
        <sz val="11"/>
        <color theme="1"/>
        <rFont val="Calibri"/>
        <family val="2"/>
        <scheme val="minor"/>
      </rPr>
      <t>HottextInteraction</t>
    </r>
    <r>
      <rPr>
        <sz val="11"/>
        <color theme="1"/>
        <rFont val="Calibri"/>
        <family val="2"/>
        <scheme val="minor"/>
      </rPr>
      <t xml:space="preserve"> - Hottext Interaction
</t>
    </r>
    <r>
      <rPr>
        <b/>
        <sz val="11"/>
        <color theme="1"/>
        <rFont val="Calibri"/>
        <family val="2"/>
        <scheme val="minor"/>
      </rPr>
      <t>OrderInteraction</t>
    </r>
    <r>
      <rPr>
        <sz val="11"/>
        <color theme="1"/>
        <rFont val="Calibri"/>
        <family val="2"/>
        <scheme val="minor"/>
      </rPr>
      <t xml:space="preserve"> - Order Interaction
</t>
    </r>
    <r>
      <rPr>
        <b/>
        <sz val="11"/>
        <color theme="1"/>
        <rFont val="Calibri"/>
        <family val="2"/>
        <scheme val="minor"/>
      </rPr>
      <t>PositionObjectInteraction</t>
    </r>
    <r>
      <rPr>
        <sz val="11"/>
        <color theme="1"/>
        <rFont val="Calibri"/>
        <family val="2"/>
        <scheme val="minor"/>
      </rPr>
      <t xml:space="preserve"> - Position Object Interaction
</t>
    </r>
    <r>
      <rPr>
        <b/>
        <sz val="11"/>
        <color theme="1"/>
        <rFont val="Calibri"/>
        <family val="2"/>
        <scheme val="minor"/>
      </rPr>
      <t>TextEntryInteraction</t>
    </r>
    <r>
      <rPr>
        <sz val="11"/>
        <color theme="1"/>
        <rFont val="Calibri"/>
        <family val="2"/>
        <scheme val="minor"/>
      </rPr>
      <t xml:space="preserve"> - Text Entry Interaction
</t>
    </r>
    <r>
      <rPr>
        <b/>
        <sz val="11"/>
        <color theme="1"/>
        <rFont val="Calibri"/>
        <family val="2"/>
        <scheme val="minor"/>
      </rPr>
      <t>ExtendedTextInteraction</t>
    </r>
    <r>
      <rPr>
        <sz val="11"/>
        <color theme="1"/>
        <rFont val="Calibri"/>
        <family val="2"/>
        <scheme val="minor"/>
      </rPr>
      <t xml:space="preserve"> - Extended Text Interaction
</t>
    </r>
    <r>
      <rPr>
        <b/>
        <sz val="11"/>
        <color theme="1"/>
        <rFont val="Calibri"/>
        <family val="2"/>
        <scheme val="minor"/>
      </rPr>
      <t>EndAttemptInteraction</t>
    </r>
    <r>
      <rPr>
        <sz val="11"/>
        <color theme="1"/>
        <rFont val="Calibri"/>
        <family val="2"/>
        <scheme val="minor"/>
      </rPr>
      <t xml:space="preserve"> - End Attempt Interaction
</t>
    </r>
    <r>
      <rPr>
        <b/>
        <sz val="11"/>
        <color theme="1"/>
        <rFont val="Calibri"/>
        <family val="2"/>
        <scheme val="minor"/>
      </rPr>
      <t>UploadInteraction</t>
    </r>
    <r>
      <rPr>
        <sz val="11"/>
        <color theme="1"/>
        <rFont val="Calibri"/>
        <family val="2"/>
        <scheme val="minor"/>
      </rPr>
      <t xml:space="preserve"> - Upload Interaction
</t>
    </r>
    <r>
      <rPr>
        <b/>
        <sz val="11"/>
        <color theme="1"/>
        <rFont val="Calibri"/>
        <family val="2"/>
        <scheme val="minor"/>
      </rPr>
      <t>AssociateInteraction</t>
    </r>
    <r>
      <rPr>
        <sz val="11"/>
        <color theme="1"/>
        <rFont val="Calibri"/>
        <family val="2"/>
        <scheme val="minor"/>
      </rPr>
      <t xml:space="preserve"> - Associate Interaction
</t>
    </r>
  </si>
  <si>
    <t>Assessment Asset</t>
  </si>
  <si>
    <r>
      <t>Client</t>
    </r>
    <r>
      <rPr>
        <sz val="11"/>
        <color theme="1"/>
        <rFont val="Calibri"/>
        <family val="2"/>
        <scheme val="minor"/>
      </rPr>
      <t xml:space="preserve"> - Assigned by the client
</t>
    </r>
    <r>
      <rPr>
        <b/>
        <sz val="11"/>
        <color theme="1"/>
        <rFont val="Calibri"/>
        <family val="2"/>
        <scheme val="minor"/>
      </rPr>
      <t>Publisher</t>
    </r>
    <r>
      <rPr>
        <sz val="11"/>
        <color theme="1"/>
        <rFont val="Calibri"/>
        <family val="2"/>
        <scheme val="minor"/>
      </rPr>
      <t xml:space="preserve"> - Assigned by the asset owner
</t>
    </r>
    <r>
      <rPr>
        <b/>
        <sz val="11"/>
        <color theme="1"/>
        <rFont val="Calibri"/>
        <family val="2"/>
        <scheme val="minor"/>
      </rPr>
      <t>Internal</t>
    </r>
    <r>
      <rPr>
        <sz val="11"/>
        <color theme="1"/>
        <rFont val="Calibri"/>
        <family val="2"/>
        <scheme val="minor"/>
      </rPr>
      <t xml:space="preserve"> - Provided by an internal assessment service
</t>
    </r>
    <r>
      <rPr>
        <b/>
        <sz val="11"/>
        <color theme="1"/>
        <rFont val="Calibri"/>
        <family val="2"/>
        <scheme val="minor"/>
      </rPr>
      <t>Other</t>
    </r>
    <r>
      <rPr>
        <sz val="11"/>
        <color theme="1"/>
        <rFont val="Calibri"/>
        <family val="2"/>
        <scheme val="minor"/>
      </rPr>
      <t xml:space="preserve"> - Custom identifier
</t>
    </r>
  </si>
  <si>
    <r>
      <t>ReadingPassage</t>
    </r>
    <r>
      <rPr>
        <sz val="11"/>
        <color theme="1"/>
        <rFont val="Calibri"/>
        <family val="2"/>
        <scheme val="minor"/>
      </rPr>
      <t xml:space="preserve"> - Reading passage
</t>
    </r>
    <r>
      <rPr>
        <b/>
        <sz val="11"/>
        <color theme="1"/>
        <rFont val="Calibri"/>
        <family val="2"/>
        <scheme val="minor"/>
      </rPr>
      <t>GraphicArt</t>
    </r>
    <r>
      <rPr>
        <sz val="11"/>
        <color theme="1"/>
        <rFont val="Calibri"/>
        <family val="2"/>
        <scheme val="minor"/>
      </rPr>
      <t xml:space="preserve"> - Graphic art
</t>
    </r>
    <r>
      <rPr>
        <b/>
        <sz val="11"/>
        <color theme="1"/>
        <rFont val="Calibri"/>
        <family val="2"/>
        <scheme val="minor"/>
      </rPr>
      <t>Map</t>
    </r>
    <r>
      <rPr>
        <sz val="11"/>
        <color theme="1"/>
        <rFont val="Calibri"/>
        <family val="2"/>
        <scheme val="minor"/>
      </rPr>
      <t xml:space="preserve"> - Map
</t>
    </r>
    <r>
      <rPr>
        <b/>
        <sz val="11"/>
        <color theme="1"/>
        <rFont val="Calibri"/>
        <family val="2"/>
        <scheme val="minor"/>
      </rPr>
      <t>FormulaSheet</t>
    </r>
    <r>
      <rPr>
        <sz val="11"/>
        <color theme="1"/>
        <rFont val="Calibri"/>
        <family val="2"/>
        <scheme val="minor"/>
      </rPr>
      <t xml:space="preserve"> - Formula sheet
</t>
    </r>
    <r>
      <rPr>
        <b/>
        <sz val="11"/>
        <color theme="1"/>
        <rFont val="Calibri"/>
        <family val="2"/>
        <scheme val="minor"/>
      </rPr>
      <t>Table</t>
    </r>
    <r>
      <rPr>
        <sz val="11"/>
        <color theme="1"/>
        <rFont val="Calibri"/>
        <family val="2"/>
        <scheme val="minor"/>
      </rPr>
      <t xml:space="preserve"> - Table
</t>
    </r>
    <r>
      <rPr>
        <b/>
        <sz val="11"/>
        <color theme="1"/>
        <rFont val="Calibri"/>
        <family val="2"/>
        <scheme val="minor"/>
      </rPr>
      <t>Chart</t>
    </r>
    <r>
      <rPr>
        <sz val="11"/>
        <color theme="1"/>
        <rFont val="Calibri"/>
        <family val="2"/>
        <scheme val="minor"/>
      </rPr>
      <t xml:space="preserve"> - Chart
</t>
    </r>
    <r>
      <rPr>
        <b/>
        <sz val="11"/>
        <color theme="1"/>
        <rFont val="Calibri"/>
        <family val="2"/>
        <scheme val="minor"/>
      </rPr>
      <t>Audio</t>
    </r>
    <r>
      <rPr>
        <sz val="11"/>
        <color theme="1"/>
        <rFont val="Calibri"/>
        <family val="2"/>
        <scheme val="minor"/>
      </rPr>
      <t xml:space="preserve"> - Audio
</t>
    </r>
    <r>
      <rPr>
        <b/>
        <sz val="11"/>
        <color theme="1"/>
        <rFont val="Calibri"/>
        <family val="2"/>
        <scheme val="minor"/>
      </rPr>
      <t>Video</t>
    </r>
    <r>
      <rPr>
        <sz val="11"/>
        <color theme="1"/>
        <rFont val="Calibri"/>
        <family val="2"/>
        <scheme val="minor"/>
      </rPr>
      <t xml:space="preserve"> - Video
</t>
    </r>
    <r>
      <rPr>
        <b/>
        <sz val="11"/>
        <color theme="1"/>
        <rFont val="Calibri"/>
        <family val="2"/>
        <scheme val="minor"/>
      </rPr>
      <t>Scenario</t>
    </r>
    <r>
      <rPr>
        <sz val="11"/>
        <color theme="1"/>
        <rFont val="Calibri"/>
        <family val="2"/>
        <scheme val="minor"/>
      </rPr>
      <t xml:space="preserve"> - Scenario
</t>
    </r>
    <r>
      <rPr>
        <b/>
        <sz val="11"/>
        <color theme="1"/>
        <rFont val="Calibri"/>
        <family val="2"/>
        <scheme val="minor"/>
      </rPr>
      <t>Simulation</t>
    </r>
    <r>
      <rPr>
        <sz val="11"/>
        <color theme="1"/>
        <rFont val="Calibri"/>
        <family val="2"/>
        <scheme val="minor"/>
      </rPr>
      <t xml:space="preserve"> - Simulation
</t>
    </r>
    <r>
      <rPr>
        <b/>
        <sz val="11"/>
        <color theme="1"/>
        <rFont val="Calibri"/>
        <family val="2"/>
        <scheme val="minor"/>
      </rPr>
      <t>StoryBoard</t>
    </r>
    <r>
      <rPr>
        <sz val="11"/>
        <color theme="1"/>
        <rFont val="Calibri"/>
        <family val="2"/>
        <scheme val="minor"/>
      </rPr>
      <t xml:space="preserve"> - Story board
</t>
    </r>
    <r>
      <rPr>
        <b/>
        <sz val="11"/>
        <color theme="1"/>
        <rFont val="Calibri"/>
        <family val="2"/>
        <scheme val="minor"/>
      </rPr>
      <t>LabSet</t>
    </r>
    <r>
      <rPr>
        <sz val="11"/>
        <color theme="1"/>
        <rFont val="Calibri"/>
        <family val="2"/>
        <scheme val="minor"/>
      </rPr>
      <t xml:space="preserve"> - Lab set
</t>
    </r>
    <r>
      <rPr>
        <b/>
        <sz val="11"/>
        <color theme="1"/>
        <rFont val="Calibri"/>
        <family val="2"/>
        <scheme val="minor"/>
      </rPr>
      <t>PeriodicTable</t>
    </r>
    <r>
      <rPr>
        <sz val="11"/>
        <color theme="1"/>
        <rFont val="Calibri"/>
        <family val="2"/>
        <scheme val="minor"/>
      </rPr>
      <t xml:space="preserve"> - Periodic table
</t>
    </r>
    <r>
      <rPr>
        <b/>
        <sz val="11"/>
        <color theme="1"/>
        <rFont val="Calibri"/>
        <family val="2"/>
        <scheme val="minor"/>
      </rPr>
      <t>TranslationDictionary</t>
    </r>
    <r>
      <rPr>
        <sz val="11"/>
        <color theme="1"/>
        <rFont val="Calibri"/>
        <family val="2"/>
        <scheme val="minor"/>
      </rPr>
      <t xml:space="preserve"> - Translation dictionary
</t>
    </r>
    <r>
      <rPr>
        <b/>
        <sz val="11"/>
        <color theme="1"/>
        <rFont val="Calibri"/>
        <family val="2"/>
        <scheme val="minor"/>
      </rPr>
      <t>BasicCalculator</t>
    </r>
    <r>
      <rPr>
        <sz val="11"/>
        <color theme="1"/>
        <rFont val="Calibri"/>
        <family val="2"/>
        <scheme val="minor"/>
      </rPr>
      <t xml:space="preserve"> - Basic calculator
</t>
    </r>
    <r>
      <rPr>
        <b/>
        <sz val="11"/>
        <color theme="1"/>
        <rFont val="Calibri"/>
        <family val="2"/>
        <scheme val="minor"/>
      </rPr>
      <t>StandardCalculator</t>
    </r>
    <r>
      <rPr>
        <sz val="11"/>
        <color theme="1"/>
        <rFont val="Calibri"/>
        <family val="2"/>
        <scheme val="minor"/>
      </rPr>
      <t xml:space="preserve"> - Standard calculator
</t>
    </r>
    <r>
      <rPr>
        <b/>
        <sz val="11"/>
        <color theme="1"/>
        <rFont val="Calibri"/>
        <family val="2"/>
        <scheme val="minor"/>
      </rPr>
      <t>ScientificCalculator</t>
    </r>
    <r>
      <rPr>
        <sz val="11"/>
        <color theme="1"/>
        <rFont val="Calibri"/>
        <family val="2"/>
        <scheme val="minor"/>
      </rPr>
      <t xml:space="preserve"> - Scientific calculator
</t>
    </r>
    <r>
      <rPr>
        <b/>
        <sz val="11"/>
        <color theme="1"/>
        <rFont val="Calibri"/>
        <family val="2"/>
        <scheme val="minor"/>
      </rPr>
      <t>GraphingCalculator</t>
    </r>
    <r>
      <rPr>
        <sz val="11"/>
        <color theme="1"/>
        <rFont val="Calibri"/>
        <family val="2"/>
        <scheme val="minor"/>
      </rPr>
      <t xml:space="preserve"> - Graphing calculator
</t>
    </r>
    <r>
      <rPr>
        <b/>
        <sz val="11"/>
        <color theme="1"/>
        <rFont val="Calibri"/>
        <family val="2"/>
        <scheme val="minor"/>
      </rPr>
      <t>Protractor</t>
    </r>
    <r>
      <rPr>
        <sz val="11"/>
        <color theme="1"/>
        <rFont val="Calibri"/>
        <family val="2"/>
        <scheme val="minor"/>
      </rPr>
      <t xml:space="preserve"> - Protractor
</t>
    </r>
    <r>
      <rPr>
        <b/>
        <sz val="11"/>
        <color theme="1"/>
        <rFont val="Calibri"/>
        <family val="2"/>
        <scheme val="minor"/>
      </rPr>
      <t>MetricRuler</t>
    </r>
    <r>
      <rPr>
        <sz val="11"/>
        <color theme="1"/>
        <rFont val="Calibri"/>
        <family val="2"/>
        <scheme val="minor"/>
      </rPr>
      <t xml:space="preserve"> - Metric ruler
</t>
    </r>
    <r>
      <rPr>
        <b/>
        <sz val="11"/>
        <color theme="1"/>
        <rFont val="Calibri"/>
        <family val="2"/>
        <scheme val="minor"/>
      </rPr>
      <t>EnglishRuler</t>
    </r>
    <r>
      <rPr>
        <sz val="11"/>
        <color theme="1"/>
        <rFont val="Calibri"/>
        <family val="2"/>
        <scheme val="minor"/>
      </rPr>
      <t xml:space="preserve"> - English ruler
</t>
    </r>
    <r>
      <rPr>
        <b/>
        <sz val="11"/>
        <color theme="1"/>
        <rFont val="Calibri"/>
        <family val="2"/>
        <scheme val="minor"/>
      </rPr>
      <t>UnitsRuler</t>
    </r>
    <r>
      <rPr>
        <sz val="11"/>
        <color theme="1"/>
        <rFont val="Calibri"/>
        <family val="2"/>
        <scheme val="minor"/>
      </rPr>
      <t xml:space="preserve"> - Units ruler
</t>
    </r>
    <r>
      <rPr>
        <b/>
        <sz val="11"/>
        <color theme="1"/>
        <rFont val="Calibri"/>
        <family val="2"/>
        <scheme val="minor"/>
      </rPr>
      <t>ReadingLine</t>
    </r>
    <r>
      <rPr>
        <sz val="11"/>
        <color theme="1"/>
        <rFont val="Calibri"/>
        <family val="2"/>
        <scheme val="minor"/>
      </rPr>
      <t xml:space="preserve"> - Reading line
</t>
    </r>
    <r>
      <rPr>
        <b/>
        <sz val="11"/>
        <color theme="1"/>
        <rFont val="Calibri"/>
        <family val="2"/>
        <scheme val="minor"/>
      </rPr>
      <t>LineDraw</t>
    </r>
    <r>
      <rPr>
        <sz val="11"/>
        <color theme="1"/>
        <rFont val="Calibri"/>
        <family val="2"/>
        <scheme val="minor"/>
      </rPr>
      <t xml:space="preserve"> - Line draw
</t>
    </r>
    <r>
      <rPr>
        <b/>
        <sz val="11"/>
        <color theme="1"/>
        <rFont val="Calibri"/>
        <family val="2"/>
        <scheme val="minor"/>
      </rPr>
      <t>Highlighter</t>
    </r>
    <r>
      <rPr>
        <sz val="11"/>
        <color theme="1"/>
        <rFont val="Calibri"/>
        <family val="2"/>
        <scheme val="minor"/>
      </rPr>
      <t xml:space="preserve"> - Highlighter
</t>
    </r>
    <r>
      <rPr>
        <b/>
        <sz val="11"/>
        <color theme="1"/>
        <rFont val="Calibri"/>
        <family val="2"/>
        <scheme val="minor"/>
      </rPr>
      <t>OtherInteractive</t>
    </r>
    <r>
      <rPr>
        <sz val="11"/>
        <color theme="1"/>
        <rFont val="Calibri"/>
        <family val="2"/>
        <scheme val="minor"/>
      </rPr>
      <t xml:space="preserve"> - Other interactive
</t>
    </r>
    <r>
      <rPr>
        <b/>
        <sz val="11"/>
        <color theme="1"/>
        <rFont val="Calibri"/>
        <family val="2"/>
        <scheme val="minor"/>
      </rPr>
      <t>OtherNonInteractive</t>
    </r>
    <r>
      <rPr>
        <sz val="11"/>
        <color theme="1"/>
        <rFont val="Calibri"/>
        <family val="2"/>
        <scheme val="minor"/>
      </rPr>
      <t xml:space="preserve"> - Other non-interactive
</t>
    </r>
    <r>
      <rPr>
        <b/>
        <sz val="11"/>
        <color theme="1"/>
        <rFont val="Calibri"/>
        <family val="2"/>
        <scheme val="minor"/>
      </rPr>
      <t>Other</t>
    </r>
    <r>
      <rPr>
        <sz val="11"/>
        <color theme="1"/>
        <rFont val="Calibri"/>
        <family val="2"/>
        <scheme val="minor"/>
      </rPr>
      <t xml:space="preserve"> - Other
</t>
    </r>
  </si>
  <si>
    <t>Assessment Subtest</t>
  </si>
  <si>
    <r>
      <t>AssociationStandard</t>
    </r>
    <r>
      <rPr>
        <sz val="11"/>
        <color theme="1"/>
        <rFont val="Calibri"/>
        <family val="2"/>
        <scheme val="minor"/>
      </rPr>
      <t xml:space="preserve"> - Association standard
</t>
    </r>
    <r>
      <rPr>
        <b/>
        <sz val="11"/>
        <color theme="1"/>
        <rFont val="Calibri"/>
        <family val="2"/>
        <scheme val="minor"/>
      </rPr>
      <t>LocalStandard</t>
    </r>
    <r>
      <rPr>
        <sz val="11"/>
        <color theme="1"/>
        <rFont val="Calibri"/>
        <family val="2"/>
        <scheme val="minor"/>
      </rPr>
      <t xml:space="preserve"> - Local standard
</t>
    </r>
    <r>
      <rPr>
        <b/>
        <sz val="11"/>
        <color theme="1"/>
        <rFont val="Calibri"/>
        <family val="2"/>
        <scheme val="minor"/>
      </rPr>
      <t>None</t>
    </r>
    <r>
      <rPr>
        <sz val="11"/>
        <color theme="1"/>
        <rFont val="Calibri"/>
        <family val="2"/>
        <scheme val="minor"/>
      </rPr>
      <t xml:space="preserve"> - None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OtherStandard</t>
    </r>
    <r>
      <rPr>
        <sz val="11"/>
        <color theme="1"/>
        <rFont val="Calibri"/>
        <family val="2"/>
        <scheme val="minor"/>
      </rPr>
      <t xml:space="preserve"> - Other standard
</t>
    </r>
    <r>
      <rPr>
        <b/>
        <sz val="11"/>
        <color theme="1"/>
        <rFont val="Calibri"/>
        <family val="2"/>
        <scheme val="minor"/>
      </rPr>
      <t>RegionalStandard</t>
    </r>
    <r>
      <rPr>
        <sz val="11"/>
        <color theme="1"/>
        <rFont val="Calibri"/>
        <family val="2"/>
        <scheme val="minor"/>
      </rPr>
      <t xml:space="preserve"> - Regional standard
</t>
    </r>
    <r>
      <rPr>
        <b/>
        <sz val="11"/>
        <color theme="1"/>
        <rFont val="Calibri"/>
        <family val="2"/>
        <scheme val="minor"/>
      </rPr>
      <t>SchoolStandard</t>
    </r>
    <r>
      <rPr>
        <sz val="11"/>
        <color theme="1"/>
        <rFont val="Calibri"/>
        <family val="2"/>
        <scheme val="minor"/>
      </rPr>
      <t xml:space="preserve"> - School standard
</t>
    </r>
    <r>
      <rPr>
        <b/>
        <sz val="11"/>
        <color theme="1"/>
        <rFont val="Calibri"/>
        <family val="2"/>
        <scheme val="minor"/>
      </rPr>
      <t>StatewideStandard</t>
    </r>
    <r>
      <rPr>
        <sz val="11"/>
        <color theme="1"/>
        <rFont val="Calibri"/>
        <family val="2"/>
        <scheme val="minor"/>
      </rPr>
      <t xml:space="preserve"> - Statewide standard
</t>
    </r>
  </si>
  <si>
    <t>Assessment Performance Level</t>
  </si>
  <si>
    <t>Assessment Result</t>
  </si>
  <si>
    <r>
      <t>Integer</t>
    </r>
    <r>
      <rPr>
        <sz val="11"/>
        <color theme="1"/>
        <rFont val="Calibri"/>
        <family val="2"/>
        <scheme val="minor"/>
      </rPr>
      <t xml:space="preserve"> - Integer
</t>
    </r>
    <r>
      <rPr>
        <b/>
        <sz val="11"/>
        <color theme="1"/>
        <rFont val="Calibri"/>
        <family val="2"/>
        <scheme val="minor"/>
      </rPr>
      <t>Decimal</t>
    </r>
    <r>
      <rPr>
        <sz val="11"/>
        <color theme="1"/>
        <rFont val="Calibri"/>
        <family val="2"/>
        <scheme val="minor"/>
      </rPr>
      <t xml:space="preserve"> - Decimal
</t>
    </r>
    <r>
      <rPr>
        <b/>
        <sz val="11"/>
        <color theme="1"/>
        <rFont val="Calibri"/>
        <family val="2"/>
        <scheme val="minor"/>
      </rPr>
      <t>Percentile</t>
    </r>
    <r>
      <rPr>
        <sz val="11"/>
        <color theme="1"/>
        <rFont val="Calibri"/>
        <family val="2"/>
        <scheme val="minor"/>
      </rPr>
      <t xml:space="preserve"> - Percentile
</t>
    </r>
    <r>
      <rPr>
        <b/>
        <sz val="11"/>
        <color theme="1"/>
        <rFont val="Calibri"/>
        <family val="2"/>
        <scheme val="minor"/>
      </rPr>
      <t>String</t>
    </r>
    <r>
      <rPr>
        <sz val="11"/>
        <color theme="1"/>
        <rFont val="Calibri"/>
        <family val="2"/>
        <scheme val="minor"/>
      </rPr>
      <t xml:space="preserve"> - String
</t>
    </r>
  </si>
  <si>
    <r>
      <t>Initial</t>
    </r>
    <r>
      <rPr>
        <sz val="11"/>
        <color theme="1"/>
        <rFont val="Calibri"/>
        <family val="2"/>
        <scheme val="minor"/>
      </rPr>
      <t xml:space="preserve"> - An initial assessment score instance.
</t>
    </r>
    <r>
      <rPr>
        <b/>
        <sz val="11"/>
        <color theme="1"/>
        <rFont val="Calibri"/>
        <family val="2"/>
        <scheme val="minor"/>
      </rPr>
      <t>Reliability</t>
    </r>
    <r>
      <rPr>
        <sz val="11"/>
        <color theme="1"/>
        <rFont val="Calibri"/>
        <family val="2"/>
        <scheme val="minor"/>
      </rPr>
      <t xml:space="preserve"> - An assessment score instance recorded as a measure of reliability
</t>
    </r>
    <r>
      <rPr>
        <b/>
        <sz val="11"/>
        <color theme="1"/>
        <rFont val="Calibri"/>
        <family val="2"/>
        <scheme val="minor"/>
      </rPr>
      <t>Resolution</t>
    </r>
    <r>
      <rPr>
        <sz val="11"/>
        <color theme="1"/>
        <rFont val="Calibri"/>
        <family val="2"/>
        <scheme val="minor"/>
      </rPr>
      <t xml:space="preserve"> - An assessment score instance recorded after resolution of scoring or data issues.
</t>
    </r>
    <r>
      <rPr>
        <b/>
        <sz val="11"/>
        <color theme="1"/>
        <rFont val="Calibri"/>
        <family val="2"/>
        <scheme val="minor"/>
      </rPr>
      <t>Backread</t>
    </r>
    <r>
      <rPr>
        <sz val="11"/>
        <color theme="1"/>
        <rFont val="Calibri"/>
        <family val="2"/>
        <scheme val="minor"/>
      </rPr>
      <t xml:space="preserve"> - An assessment score recorded to determine whether or not each individual scorer is correctly applying the scoring guide to student responses.
</t>
    </r>
    <r>
      <rPr>
        <b/>
        <sz val="11"/>
        <color theme="1"/>
        <rFont val="Calibri"/>
        <family val="2"/>
        <scheme val="minor"/>
      </rPr>
      <t>Final</t>
    </r>
    <r>
      <rPr>
        <sz val="11"/>
        <color theme="1"/>
        <rFont val="Calibri"/>
        <family val="2"/>
        <scheme val="minor"/>
      </rPr>
      <t xml:space="preserve"> - The final assessment score instance.
</t>
    </r>
  </si>
  <si>
    <r>
      <t>GradeLevel</t>
    </r>
    <r>
      <rPr>
        <sz val="11"/>
        <color theme="1"/>
        <rFont val="Calibri"/>
        <family val="2"/>
        <scheme val="minor"/>
      </rPr>
      <t xml:space="preserve"> - At or above Grade Level
</t>
    </r>
    <r>
      <rPr>
        <b/>
        <sz val="11"/>
        <color theme="1"/>
        <rFont val="Calibri"/>
        <family val="2"/>
        <scheme val="minor"/>
      </rPr>
      <t>BelowGradeLevel</t>
    </r>
    <r>
      <rPr>
        <sz val="11"/>
        <color theme="1"/>
        <rFont val="Calibri"/>
        <family val="2"/>
        <scheme val="minor"/>
      </rPr>
      <t xml:space="preserve"> - Below Grade Level
</t>
    </r>
    <r>
      <rPr>
        <b/>
        <sz val="11"/>
        <color theme="1"/>
        <rFont val="Calibri"/>
        <family val="2"/>
        <scheme val="minor"/>
      </rPr>
      <t>NA</t>
    </r>
    <r>
      <rPr>
        <sz val="11"/>
        <color theme="1"/>
        <rFont val="Calibri"/>
        <family val="2"/>
        <scheme val="minor"/>
      </rPr>
      <t xml:space="preserve"> - Not applicable
</t>
    </r>
  </si>
  <si>
    <t>Scorer</t>
  </si>
  <si>
    <t>Assessment Registration</t>
  </si>
  <si>
    <r>
      <t>01043</t>
    </r>
    <r>
      <rPr>
        <sz val="11"/>
        <color theme="1"/>
        <rFont val="Calibri"/>
        <family val="2"/>
        <scheme val="minor"/>
      </rPr>
      <t xml:space="preserve"> - No school completed 
</t>
    </r>
    <r>
      <rPr>
        <b/>
        <sz val="11"/>
        <color theme="1"/>
        <rFont val="Calibri"/>
        <family val="2"/>
        <scheme val="minor"/>
      </rPr>
      <t>00788</t>
    </r>
    <r>
      <rPr>
        <sz val="11"/>
        <color theme="1"/>
        <rFont val="Calibri"/>
        <family val="2"/>
        <scheme val="minor"/>
      </rPr>
      <t xml:space="preserve"> - Preschool 
</t>
    </r>
    <r>
      <rPr>
        <b/>
        <sz val="11"/>
        <color theme="1"/>
        <rFont val="Calibri"/>
        <family val="2"/>
        <scheme val="minor"/>
      </rPr>
      <t>00805</t>
    </r>
    <r>
      <rPr>
        <sz val="11"/>
        <color theme="1"/>
        <rFont val="Calibri"/>
        <family val="2"/>
        <scheme val="minor"/>
      </rPr>
      <t xml:space="preserve"> - Kindergarten 
</t>
    </r>
    <r>
      <rPr>
        <b/>
        <sz val="11"/>
        <color theme="1"/>
        <rFont val="Calibri"/>
        <family val="2"/>
        <scheme val="minor"/>
      </rPr>
      <t>00790</t>
    </r>
    <r>
      <rPr>
        <sz val="11"/>
        <color theme="1"/>
        <rFont val="Calibri"/>
        <family val="2"/>
        <scheme val="minor"/>
      </rPr>
      <t xml:space="preserve"> - First grade 
</t>
    </r>
    <r>
      <rPr>
        <b/>
        <sz val="11"/>
        <color theme="1"/>
        <rFont val="Calibri"/>
        <family val="2"/>
        <scheme val="minor"/>
      </rPr>
      <t>00791</t>
    </r>
    <r>
      <rPr>
        <sz val="11"/>
        <color theme="1"/>
        <rFont val="Calibri"/>
        <family val="2"/>
        <scheme val="minor"/>
      </rPr>
      <t xml:space="preserve"> - Second grade 
</t>
    </r>
    <r>
      <rPr>
        <b/>
        <sz val="11"/>
        <color theme="1"/>
        <rFont val="Calibri"/>
        <family val="2"/>
        <scheme val="minor"/>
      </rPr>
      <t>00792</t>
    </r>
    <r>
      <rPr>
        <sz val="11"/>
        <color theme="1"/>
        <rFont val="Calibri"/>
        <family val="2"/>
        <scheme val="minor"/>
      </rPr>
      <t xml:space="preserve"> - Third grade 
</t>
    </r>
    <r>
      <rPr>
        <b/>
        <sz val="11"/>
        <color theme="1"/>
        <rFont val="Calibri"/>
        <family val="2"/>
        <scheme val="minor"/>
      </rPr>
      <t>00793</t>
    </r>
    <r>
      <rPr>
        <sz val="11"/>
        <color theme="1"/>
        <rFont val="Calibri"/>
        <family val="2"/>
        <scheme val="minor"/>
      </rPr>
      <t xml:space="preserve"> - Fourth grade 
</t>
    </r>
    <r>
      <rPr>
        <b/>
        <sz val="11"/>
        <color theme="1"/>
        <rFont val="Calibri"/>
        <family val="2"/>
        <scheme val="minor"/>
      </rPr>
      <t>00794</t>
    </r>
    <r>
      <rPr>
        <sz val="11"/>
        <color theme="1"/>
        <rFont val="Calibri"/>
        <family val="2"/>
        <scheme val="minor"/>
      </rPr>
      <t xml:space="preserve"> - Fifth grade 
</t>
    </r>
    <r>
      <rPr>
        <b/>
        <sz val="11"/>
        <color theme="1"/>
        <rFont val="Calibri"/>
        <family val="2"/>
        <scheme val="minor"/>
      </rPr>
      <t>00795</t>
    </r>
    <r>
      <rPr>
        <sz val="11"/>
        <color theme="1"/>
        <rFont val="Calibri"/>
        <family val="2"/>
        <scheme val="minor"/>
      </rPr>
      <t xml:space="preserve"> - Sixth grade 
</t>
    </r>
    <r>
      <rPr>
        <b/>
        <sz val="11"/>
        <color theme="1"/>
        <rFont val="Calibri"/>
        <family val="2"/>
        <scheme val="minor"/>
      </rPr>
      <t>00796</t>
    </r>
    <r>
      <rPr>
        <sz val="11"/>
        <color theme="1"/>
        <rFont val="Calibri"/>
        <family val="2"/>
        <scheme val="minor"/>
      </rPr>
      <t xml:space="preserve"> - Seventh grade 
</t>
    </r>
    <r>
      <rPr>
        <b/>
        <sz val="11"/>
        <color theme="1"/>
        <rFont val="Calibri"/>
        <family val="2"/>
        <scheme val="minor"/>
      </rPr>
      <t>00798</t>
    </r>
    <r>
      <rPr>
        <sz val="11"/>
        <color theme="1"/>
        <rFont val="Calibri"/>
        <family val="2"/>
        <scheme val="minor"/>
      </rPr>
      <t xml:space="preserve"> - Eighth grade 
</t>
    </r>
    <r>
      <rPr>
        <b/>
        <sz val="11"/>
        <color theme="1"/>
        <rFont val="Calibri"/>
        <family val="2"/>
        <scheme val="minor"/>
      </rPr>
      <t>00799</t>
    </r>
    <r>
      <rPr>
        <sz val="11"/>
        <color theme="1"/>
        <rFont val="Calibri"/>
        <family val="2"/>
        <scheme val="minor"/>
      </rPr>
      <t xml:space="preserve"> - Ninth grade 
</t>
    </r>
    <r>
      <rPr>
        <b/>
        <sz val="11"/>
        <color theme="1"/>
        <rFont val="Calibri"/>
        <family val="2"/>
        <scheme val="minor"/>
      </rPr>
      <t>00800</t>
    </r>
    <r>
      <rPr>
        <sz val="11"/>
        <color theme="1"/>
        <rFont val="Calibri"/>
        <family val="2"/>
        <scheme val="minor"/>
      </rPr>
      <t xml:space="preserve"> - Tenth grade 
</t>
    </r>
    <r>
      <rPr>
        <b/>
        <sz val="11"/>
        <color theme="1"/>
        <rFont val="Calibri"/>
        <family val="2"/>
        <scheme val="minor"/>
      </rPr>
      <t>00801</t>
    </r>
    <r>
      <rPr>
        <sz val="11"/>
        <color theme="1"/>
        <rFont val="Calibri"/>
        <family val="2"/>
        <scheme val="minor"/>
      </rPr>
      <t xml:space="preserve"> - Eleventh Grade 
</t>
    </r>
    <r>
      <rPr>
        <b/>
        <sz val="11"/>
        <color theme="1"/>
        <rFont val="Calibri"/>
        <family val="2"/>
        <scheme val="minor"/>
      </rPr>
      <t>01809</t>
    </r>
    <r>
      <rPr>
        <sz val="11"/>
        <color theme="1"/>
        <rFont val="Calibri"/>
        <family val="2"/>
        <scheme val="minor"/>
      </rPr>
      <t xml:space="preserve"> - 12th grade, no diploma 
</t>
    </r>
    <r>
      <rPr>
        <b/>
        <sz val="11"/>
        <color theme="1"/>
        <rFont val="Calibri"/>
        <family val="2"/>
        <scheme val="minor"/>
      </rPr>
      <t>01044</t>
    </r>
    <r>
      <rPr>
        <sz val="11"/>
        <color theme="1"/>
        <rFont val="Calibri"/>
        <family val="2"/>
        <scheme val="minor"/>
      </rPr>
      <t xml:space="preserve"> - High school diploma 
</t>
    </r>
    <r>
      <rPr>
        <b/>
        <sz val="11"/>
        <color theme="1"/>
        <rFont val="Calibri"/>
        <family val="2"/>
        <scheme val="minor"/>
      </rPr>
      <t>02408</t>
    </r>
    <r>
      <rPr>
        <sz val="11"/>
        <color theme="1"/>
        <rFont val="Calibri"/>
        <family val="2"/>
        <scheme val="minor"/>
      </rPr>
      <t xml:space="preserve"> - High school completers (e.g., certificate of attendance) 
</t>
    </r>
    <r>
      <rPr>
        <b/>
        <sz val="11"/>
        <color theme="1"/>
        <rFont val="Calibri"/>
        <family val="2"/>
        <scheme val="minor"/>
      </rPr>
      <t>02409</t>
    </r>
    <r>
      <rPr>
        <sz val="11"/>
        <color theme="1"/>
        <rFont val="Calibri"/>
        <family val="2"/>
        <scheme val="minor"/>
      </rPr>
      <t xml:space="preserve"> - High school equivalency (e.g., GED) 
</t>
    </r>
    <r>
      <rPr>
        <b/>
        <sz val="11"/>
        <color theme="1"/>
        <rFont val="Calibri"/>
        <family val="2"/>
        <scheme val="minor"/>
      </rPr>
      <t>00803</t>
    </r>
    <r>
      <rPr>
        <sz val="11"/>
        <color theme="1"/>
        <rFont val="Calibri"/>
        <family val="2"/>
        <scheme val="minor"/>
      </rPr>
      <t xml:space="preserve"> - Grade 13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73063</t>
    </r>
    <r>
      <rPr>
        <sz val="11"/>
        <color theme="1"/>
        <rFont val="Calibri"/>
        <family val="2"/>
        <scheme val="minor"/>
      </rPr>
      <t xml:space="preserve"> - Adult education certification, endorsement, or degree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73083</t>
    </r>
    <r>
      <rPr>
        <sz val="11"/>
        <color theme="1"/>
        <rFont val="Calibri"/>
        <family val="2"/>
        <scheme val="minor"/>
      </rPr>
      <t xml:space="preserve"> - Doctor’s degree-professional practice
</t>
    </r>
    <r>
      <rPr>
        <b/>
        <sz val="11"/>
        <color theme="1"/>
        <rFont val="Calibri"/>
        <family val="2"/>
        <scheme val="minor"/>
      </rPr>
      <t>73084</t>
    </r>
    <r>
      <rPr>
        <sz val="11"/>
        <color theme="1"/>
        <rFont val="Calibri"/>
        <family val="2"/>
        <scheme val="minor"/>
      </rPr>
      <t xml:space="preserve"> - Doctor’s degree-other
</t>
    </r>
    <r>
      <rPr>
        <b/>
        <sz val="11"/>
        <color theme="1"/>
        <rFont val="Calibri"/>
        <family val="2"/>
        <scheme val="minor"/>
      </rPr>
      <t>73085</t>
    </r>
    <r>
      <rPr>
        <sz val="11"/>
        <color theme="1"/>
        <rFont val="Calibri"/>
        <family val="2"/>
        <scheme val="minor"/>
      </rPr>
      <t xml:space="preserve"> - Doctor’s degree-research/scholarship
</t>
    </r>
    <r>
      <rPr>
        <b/>
        <sz val="11"/>
        <color theme="1"/>
        <rFont val="Calibri"/>
        <family val="2"/>
        <scheme val="minor"/>
      </rPr>
      <t>09999</t>
    </r>
    <r>
      <rPr>
        <sz val="11"/>
        <color theme="1"/>
        <rFont val="Calibri"/>
        <family val="2"/>
        <scheme val="minor"/>
      </rPr>
      <t xml:space="preserve"> - Other
</t>
    </r>
  </si>
  <si>
    <r>
      <t>Participated</t>
    </r>
    <r>
      <rPr>
        <sz val="11"/>
        <color theme="1"/>
        <rFont val="Calibri"/>
        <family val="2"/>
        <scheme val="minor"/>
      </rPr>
      <t xml:space="preserve"> - Participated
</t>
    </r>
    <r>
      <rPr>
        <b/>
        <sz val="11"/>
        <color theme="1"/>
        <rFont val="Calibri"/>
        <family val="2"/>
        <scheme val="minor"/>
      </rPr>
      <t>DidNotParticipate</t>
    </r>
    <r>
      <rPr>
        <sz val="11"/>
        <color theme="1"/>
        <rFont val="Calibri"/>
        <family val="2"/>
        <scheme val="minor"/>
      </rPr>
      <t xml:space="preserve"> - Did Not Participate
</t>
    </r>
  </si>
  <si>
    <r>
      <t>Paper</t>
    </r>
    <r>
      <rPr>
        <sz val="11"/>
        <color theme="1"/>
        <rFont val="Calibri"/>
        <family val="2"/>
        <scheme val="minor"/>
      </rPr>
      <t xml:space="preserve"> - Paper
</t>
    </r>
    <r>
      <rPr>
        <b/>
        <sz val="11"/>
        <color theme="1"/>
        <rFont val="Calibri"/>
        <family val="2"/>
        <scheme val="minor"/>
      </rPr>
      <t>Computer</t>
    </r>
    <r>
      <rPr>
        <sz val="11"/>
        <color theme="1"/>
        <rFont val="Calibri"/>
        <family val="2"/>
        <scheme val="minor"/>
      </rPr>
      <t xml:space="preserve"> - Computer
</t>
    </r>
    <r>
      <rPr>
        <b/>
        <sz val="11"/>
        <color theme="1"/>
        <rFont val="Calibri"/>
        <family val="2"/>
        <scheme val="minor"/>
      </rPr>
      <t>Mobile</t>
    </r>
    <r>
      <rPr>
        <sz val="11"/>
        <color theme="1"/>
        <rFont val="Calibri"/>
        <family val="2"/>
        <scheme val="minor"/>
      </rPr>
      <t xml:space="preserve"> - Mobile
</t>
    </r>
    <r>
      <rPr>
        <b/>
        <sz val="11"/>
        <color theme="1"/>
        <rFont val="Calibri"/>
        <family val="2"/>
        <scheme val="minor"/>
      </rPr>
      <t>Clicker</t>
    </r>
    <r>
      <rPr>
        <sz val="11"/>
        <color theme="1"/>
        <rFont val="Calibri"/>
        <family val="2"/>
        <scheme val="minor"/>
      </rPr>
      <t xml:space="preserve"> - Clicker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Handheld</t>
    </r>
    <r>
      <rPr>
        <sz val="11"/>
        <color theme="1"/>
        <rFont val="Calibri"/>
        <family val="2"/>
        <scheme val="minor"/>
      </rPr>
      <t xml:space="preserve"> - Handheld
</t>
    </r>
    <r>
      <rPr>
        <b/>
        <sz val="11"/>
        <color theme="1"/>
        <rFont val="Calibri"/>
        <family val="2"/>
        <scheme val="minor"/>
      </rPr>
      <t>Tablet</t>
    </r>
    <r>
      <rPr>
        <sz val="11"/>
        <color theme="1"/>
        <rFont val="Calibri"/>
        <family val="2"/>
        <scheme val="minor"/>
      </rPr>
      <t xml:space="preserve"> - Tablet
</t>
    </r>
  </si>
  <si>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OutOfSchool</t>
    </r>
    <r>
      <rPr>
        <sz val="11"/>
        <color theme="1"/>
        <rFont val="Calibri"/>
        <family val="2"/>
        <scheme val="minor"/>
      </rPr>
      <t xml:space="preserve"> - Out of school
</t>
    </r>
  </si>
  <si>
    <r>
      <t>Appeal</t>
    </r>
    <r>
      <rPr>
        <sz val="11"/>
        <color theme="1"/>
        <rFont val="Calibri"/>
        <family val="2"/>
        <scheme val="minor"/>
      </rPr>
      <t xml:space="preserve"> - Appeal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Expired</t>
    </r>
    <r>
      <rPr>
        <sz val="11"/>
        <color theme="1"/>
        <rFont val="Calibri"/>
        <family val="2"/>
        <scheme val="minor"/>
      </rPr>
      <t xml:space="preserve"> - Expired
</t>
    </r>
    <r>
      <rPr>
        <b/>
        <sz val="11"/>
        <color theme="1"/>
        <rFont val="Calibri"/>
        <family val="2"/>
        <scheme val="minor"/>
      </rPr>
      <t>Handscoring</t>
    </r>
    <r>
      <rPr>
        <sz val="11"/>
        <color theme="1"/>
        <rFont val="Calibri"/>
        <family val="2"/>
        <scheme val="minor"/>
      </rPr>
      <t xml:space="preserve"> - Handscoring
</t>
    </r>
    <r>
      <rPr>
        <b/>
        <sz val="11"/>
        <color theme="1"/>
        <rFont val="Calibri"/>
        <family val="2"/>
        <scheme val="minor"/>
      </rPr>
      <t>Invalidated</t>
    </r>
    <r>
      <rPr>
        <sz val="11"/>
        <color theme="1"/>
        <rFont val="Calibri"/>
        <family val="2"/>
        <scheme val="minor"/>
      </rPr>
      <t xml:space="preserve"> - Invalidated
</t>
    </r>
    <r>
      <rPr>
        <b/>
        <sz val="11"/>
        <color theme="1"/>
        <rFont val="Calibri"/>
        <family val="2"/>
        <scheme val="minor"/>
      </rPr>
      <t>Paused</t>
    </r>
    <r>
      <rPr>
        <sz val="11"/>
        <color theme="1"/>
        <rFont val="Calibri"/>
        <family val="2"/>
        <scheme val="minor"/>
      </rPr>
      <t xml:space="preserve"> - Paused
</t>
    </r>
    <r>
      <rPr>
        <b/>
        <sz val="11"/>
        <color theme="1"/>
        <rFont val="Calibri"/>
        <family val="2"/>
        <scheme val="minor"/>
      </rPr>
      <t>Reported</t>
    </r>
    <r>
      <rPr>
        <sz val="11"/>
        <color theme="1"/>
        <rFont val="Calibri"/>
        <family val="2"/>
        <scheme val="minor"/>
      </rPr>
      <t xml:space="preserve"> - Reported
</t>
    </r>
    <r>
      <rPr>
        <b/>
        <sz val="11"/>
        <color theme="1"/>
        <rFont val="Calibri"/>
        <family val="2"/>
        <scheme val="minor"/>
      </rPr>
      <t>Reset</t>
    </r>
    <r>
      <rPr>
        <sz val="11"/>
        <color theme="1"/>
        <rFont val="Calibri"/>
        <family val="2"/>
        <scheme val="minor"/>
      </rPr>
      <t xml:space="preserve"> - Reset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Submitted</t>
    </r>
    <r>
      <rPr>
        <sz val="11"/>
        <color theme="1"/>
        <rFont val="Calibri"/>
        <family val="2"/>
        <scheme val="minor"/>
      </rPr>
      <t xml:space="preserve"> - Submitted
</t>
    </r>
  </si>
  <si>
    <r>
      <t>ParentsOptOut</t>
    </r>
    <r>
      <rPr>
        <sz val="11"/>
        <color theme="1"/>
        <rFont val="Calibri"/>
        <family val="2"/>
        <scheme val="minor"/>
      </rPr>
      <t xml:space="preserve"> - Parents opt out
</t>
    </r>
    <r>
      <rPr>
        <b/>
        <sz val="11"/>
        <color theme="1"/>
        <rFont val="Calibri"/>
        <family val="2"/>
        <scheme val="minor"/>
      </rPr>
      <t>Absent</t>
    </r>
    <r>
      <rPr>
        <sz val="11"/>
        <color theme="1"/>
        <rFont val="Calibri"/>
        <family val="2"/>
        <scheme val="minor"/>
      </rPr>
      <t xml:space="preserve"> - Absent during
</t>
    </r>
    <r>
      <rPr>
        <b/>
        <sz val="11"/>
        <color theme="1"/>
        <rFont val="Calibri"/>
        <family val="2"/>
        <scheme val="minor"/>
      </rPr>
      <t>Other</t>
    </r>
    <r>
      <rPr>
        <sz val="11"/>
        <color theme="1"/>
        <rFont val="Calibri"/>
        <family val="2"/>
        <scheme val="minor"/>
      </rPr>
      <t xml:space="preserve"> - Did not participate for other reason
</t>
    </r>
    <r>
      <rPr>
        <b/>
        <sz val="11"/>
        <color theme="1"/>
        <rFont val="Calibri"/>
        <family val="2"/>
        <scheme val="minor"/>
      </rPr>
      <t>OutOfLevelTest</t>
    </r>
    <r>
      <rPr>
        <sz val="11"/>
        <color theme="1"/>
        <rFont val="Calibri"/>
        <family val="2"/>
        <scheme val="minor"/>
      </rPr>
      <t xml:space="preserve"> - Participated in an out of level test
</t>
    </r>
    <r>
      <rPr>
        <b/>
        <sz val="11"/>
        <color theme="1"/>
        <rFont val="Calibri"/>
        <family val="2"/>
        <scheme val="minor"/>
      </rPr>
      <t>NoValidScore</t>
    </r>
    <r>
      <rPr>
        <sz val="11"/>
        <color theme="1"/>
        <rFont val="Calibri"/>
        <family val="2"/>
        <scheme val="minor"/>
      </rPr>
      <t xml:space="preserve"> - No valid score
</t>
    </r>
    <r>
      <rPr>
        <b/>
        <sz val="11"/>
        <color theme="1"/>
        <rFont val="Calibri"/>
        <family val="2"/>
        <scheme val="minor"/>
      </rPr>
      <t>Medical</t>
    </r>
    <r>
      <rPr>
        <sz val="11"/>
        <color theme="1"/>
        <rFont val="Calibri"/>
        <family val="2"/>
        <scheme val="minor"/>
      </rPr>
      <t xml:space="preserve"> - Medical emergency
</t>
    </r>
    <r>
      <rPr>
        <b/>
        <sz val="11"/>
        <color theme="1"/>
        <rFont val="Calibri"/>
        <family val="2"/>
        <scheme val="minor"/>
      </rPr>
      <t>Moved</t>
    </r>
    <r>
      <rPr>
        <sz val="11"/>
        <color theme="1"/>
        <rFont val="Calibri"/>
        <family val="2"/>
        <scheme val="minor"/>
      </rPr>
      <t xml:space="preserve"> - Moved
</t>
    </r>
    <r>
      <rPr>
        <b/>
        <sz val="11"/>
        <color theme="1"/>
        <rFont val="Calibri"/>
        <family val="2"/>
        <scheme val="minor"/>
      </rPr>
      <t>LeftProgram</t>
    </r>
    <r>
      <rPr>
        <sz val="11"/>
        <color theme="1"/>
        <rFont val="Calibri"/>
        <family val="2"/>
        <scheme val="minor"/>
      </rPr>
      <t xml:space="preserve"> - Person left program - unable to locate
</t>
    </r>
  </si>
  <si>
    <r>
      <t>03451</t>
    </r>
    <r>
      <rPr>
        <sz val="11"/>
        <color theme="1"/>
        <rFont val="Calibri"/>
        <family val="2"/>
        <scheme val="minor"/>
      </rPr>
      <t xml:space="preserve"> - Absent
</t>
    </r>
    <r>
      <rPr>
        <b/>
        <sz val="11"/>
        <color theme="1"/>
        <rFont val="Calibri"/>
        <family val="2"/>
        <scheme val="minor"/>
      </rPr>
      <t>03455</t>
    </r>
    <r>
      <rPr>
        <sz val="11"/>
        <color theme="1"/>
        <rFont val="Calibri"/>
        <family val="2"/>
        <scheme val="minor"/>
      </rPr>
      <t xml:space="preserve"> - Disruptive behavior
</t>
    </r>
    <r>
      <rPr>
        <b/>
        <sz val="11"/>
        <color theme="1"/>
        <rFont val="Calibri"/>
        <family val="2"/>
        <scheme val="minor"/>
      </rPr>
      <t>03454</t>
    </r>
    <r>
      <rPr>
        <sz val="11"/>
        <color theme="1"/>
        <rFont val="Calibri"/>
        <family val="2"/>
        <scheme val="minor"/>
      </rPr>
      <t xml:space="preserve"> - Medical waiver
</t>
    </r>
    <r>
      <rPr>
        <b/>
        <sz val="11"/>
        <color theme="1"/>
        <rFont val="Calibri"/>
        <family val="2"/>
        <scheme val="minor"/>
      </rPr>
      <t>03456</t>
    </r>
    <r>
      <rPr>
        <sz val="11"/>
        <color theme="1"/>
        <rFont val="Calibri"/>
        <family val="2"/>
        <scheme val="minor"/>
      </rPr>
      <t xml:space="preserve"> - Previously passed the examination
</t>
    </r>
    <r>
      <rPr>
        <b/>
        <sz val="11"/>
        <color theme="1"/>
        <rFont val="Calibri"/>
        <family val="2"/>
        <scheme val="minor"/>
      </rPr>
      <t>03452</t>
    </r>
    <r>
      <rPr>
        <sz val="11"/>
        <color theme="1"/>
        <rFont val="Calibri"/>
        <family val="2"/>
        <scheme val="minor"/>
      </rPr>
      <t xml:space="preserve"> - Refusal by parent
</t>
    </r>
    <r>
      <rPr>
        <b/>
        <sz val="11"/>
        <color theme="1"/>
        <rFont val="Calibri"/>
        <family val="2"/>
        <scheme val="minor"/>
      </rPr>
      <t>03453</t>
    </r>
    <r>
      <rPr>
        <sz val="11"/>
        <color theme="1"/>
        <rFont val="Calibri"/>
        <family val="2"/>
        <scheme val="minor"/>
      </rPr>
      <t xml:space="preserve"> - Refusal by student
</t>
    </r>
    <r>
      <rPr>
        <b/>
        <sz val="11"/>
        <color theme="1"/>
        <rFont val="Calibri"/>
        <family val="2"/>
        <scheme val="minor"/>
      </rPr>
      <t>09999</t>
    </r>
    <r>
      <rPr>
        <sz val="11"/>
        <color theme="1"/>
        <rFont val="Calibri"/>
        <family val="2"/>
        <scheme val="minor"/>
      </rPr>
      <t xml:space="preserve"> - Other
</t>
    </r>
  </si>
  <si>
    <t>Assessment Personal Needs Profile</t>
  </si>
  <si>
    <t>Assessment Need Profile Content</t>
  </si>
  <si>
    <r>
      <t>Audio</t>
    </r>
    <r>
      <rPr>
        <sz val="11"/>
        <color theme="1"/>
        <rFont val="Calibri"/>
        <family val="2"/>
        <scheme val="minor"/>
      </rPr>
      <t xml:space="preserve"> - Audio
</t>
    </r>
    <r>
      <rPr>
        <b/>
        <sz val="11"/>
        <color theme="1"/>
        <rFont val="Calibri"/>
        <family val="2"/>
        <scheme val="minor"/>
      </rPr>
      <t>Video</t>
    </r>
    <r>
      <rPr>
        <sz val="11"/>
        <color theme="1"/>
        <rFont val="Calibri"/>
        <family val="2"/>
        <scheme val="minor"/>
      </rPr>
      <t xml:space="preserve"> - Video
</t>
    </r>
    <r>
      <rPr>
        <b/>
        <sz val="11"/>
        <color theme="1"/>
        <rFont val="Calibri"/>
        <family val="2"/>
        <scheme val="minor"/>
      </rPr>
      <t>Graphic</t>
    </r>
    <r>
      <rPr>
        <sz val="11"/>
        <color theme="1"/>
        <rFont val="Calibri"/>
        <family val="2"/>
        <scheme val="minor"/>
      </rPr>
      <t xml:space="preserve"> - Graphic
</t>
    </r>
    <r>
      <rPr>
        <b/>
        <sz val="11"/>
        <color theme="1"/>
        <rFont val="Calibri"/>
        <family val="2"/>
        <scheme val="minor"/>
      </rPr>
      <t>Text</t>
    </r>
    <r>
      <rPr>
        <sz val="11"/>
        <color theme="1"/>
        <rFont val="Calibri"/>
        <family val="2"/>
        <scheme val="minor"/>
      </rPr>
      <t xml:space="preserve"> - Text
</t>
    </r>
    <r>
      <rPr>
        <b/>
        <sz val="11"/>
        <color theme="1"/>
        <rFont val="Calibri"/>
        <family val="2"/>
        <scheme val="minor"/>
      </rPr>
      <t>Interactive</t>
    </r>
    <r>
      <rPr>
        <sz val="11"/>
        <color theme="1"/>
        <rFont val="Calibri"/>
        <family val="2"/>
        <scheme val="minor"/>
      </rPr>
      <t xml:space="preserve"> - Interactive
</t>
    </r>
  </si>
  <si>
    <r>
      <t>Flashing</t>
    </r>
    <r>
      <rPr>
        <sz val="11"/>
        <color theme="1"/>
        <rFont val="Calibri"/>
        <family val="2"/>
        <scheme val="minor"/>
      </rPr>
      <t xml:space="preserve"> - Flashing
</t>
    </r>
    <r>
      <rPr>
        <b/>
        <sz val="11"/>
        <color theme="1"/>
        <rFont val="Calibri"/>
        <family val="2"/>
        <scheme val="minor"/>
      </rPr>
      <t>Sound</t>
    </r>
    <r>
      <rPr>
        <sz val="11"/>
        <color theme="1"/>
        <rFont val="Calibri"/>
        <family val="2"/>
        <scheme val="minor"/>
      </rPr>
      <t xml:space="preserve"> - Sound
</t>
    </r>
    <r>
      <rPr>
        <b/>
        <sz val="11"/>
        <color theme="1"/>
        <rFont val="Calibri"/>
        <family val="2"/>
        <scheme val="minor"/>
      </rPr>
      <t>Olfactory</t>
    </r>
    <r>
      <rPr>
        <sz val="11"/>
        <color theme="1"/>
        <rFont val="Calibri"/>
        <family val="2"/>
        <scheme val="minor"/>
      </rPr>
      <t xml:space="preserve"> - Olfactory
</t>
    </r>
    <r>
      <rPr>
        <b/>
        <sz val="11"/>
        <color theme="1"/>
        <rFont val="Calibri"/>
        <family val="2"/>
        <scheme val="minor"/>
      </rPr>
      <t>MotionSimulation</t>
    </r>
    <r>
      <rPr>
        <sz val="11"/>
        <color theme="1"/>
        <rFont val="Calibri"/>
        <family val="2"/>
        <scheme val="minor"/>
      </rPr>
      <t xml:space="preserve"> - Motion simulation
</t>
    </r>
  </si>
  <si>
    <r>
      <t>Dictionary</t>
    </r>
    <r>
      <rPr>
        <sz val="11"/>
        <color theme="1"/>
        <rFont val="Calibri"/>
        <family val="2"/>
        <scheme val="minor"/>
      </rPr>
      <t xml:space="preserve"> - Dictionary
</t>
    </r>
    <r>
      <rPr>
        <b/>
        <sz val="11"/>
        <color theme="1"/>
        <rFont val="Calibri"/>
        <family val="2"/>
        <scheme val="minor"/>
      </rPr>
      <t>Calculator</t>
    </r>
    <r>
      <rPr>
        <sz val="11"/>
        <color theme="1"/>
        <rFont val="Calibri"/>
        <family val="2"/>
        <scheme val="minor"/>
      </rPr>
      <t xml:space="preserve"> - Calculator
</t>
    </r>
    <r>
      <rPr>
        <b/>
        <sz val="11"/>
        <color theme="1"/>
        <rFont val="Calibri"/>
        <family val="2"/>
        <scheme val="minor"/>
      </rPr>
      <t>NoteTaking</t>
    </r>
    <r>
      <rPr>
        <sz val="11"/>
        <color theme="1"/>
        <rFont val="Calibri"/>
        <family val="2"/>
        <scheme val="minor"/>
      </rPr>
      <t xml:space="preserve"> - Note taking
</t>
    </r>
    <r>
      <rPr>
        <b/>
        <sz val="11"/>
        <color theme="1"/>
        <rFont val="Calibri"/>
        <family val="2"/>
        <scheme val="minor"/>
      </rPr>
      <t>PeerInteraction</t>
    </r>
    <r>
      <rPr>
        <sz val="11"/>
        <color theme="1"/>
        <rFont val="Calibri"/>
        <family val="2"/>
        <scheme val="minor"/>
      </rPr>
      <t xml:space="preserve"> - Peer interaction
</t>
    </r>
    <r>
      <rPr>
        <b/>
        <sz val="11"/>
        <color theme="1"/>
        <rFont val="Calibri"/>
        <family val="2"/>
        <scheme val="minor"/>
      </rPr>
      <t>Thesaurus</t>
    </r>
    <r>
      <rPr>
        <sz val="11"/>
        <color theme="1"/>
        <rFont val="Calibri"/>
        <family val="2"/>
        <scheme val="minor"/>
      </rPr>
      <t xml:space="preserve"> - Thesaurus
</t>
    </r>
    <r>
      <rPr>
        <b/>
        <sz val="11"/>
        <color theme="1"/>
        <rFont val="Calibri"/>
        <family val="2"/>
        <scheme val="minor"/>
      </rPr>
      <t>Abacus</t>
    </r>
    <r>
      <rPr>
        <sz val="11"/>
        <color theme="1"/>
        <rFont val="Calibri"/>
        <family val="2"/>
        <scheme val="minor"/>
      </rPr>
      <t xml:space="preserve"> - Abacus
</t>
    </r>
    <r>
      <rPr>
        <b/>
        <sz val="11"/>
        <color theme="1"/>
        <rFont val="Calibri"/>
        <family val="2"/>
        <scheme val="minor"/>
      </rPr>
      <t>SpellChecker</t>
    </r>
    <r>
      <rPr>
        <sz val="11"/>
        <color theme="1"/>
        <rFont val="Calibri"/>
        <family val="2"/>
        <scheme val="minor"/>
      </rPr>
      <t xml:space="preserve"> - Spell checker
</t>
    </r>
    <r>
      <rPr>
        <b/>
        <sz val="11"/>
        <color theme="1"/>
        <rFont val="Calibri"/>
        <family val="2"/>
        <scheme val="minor"/>
      </rPr>
      <t>Homophone</t>
    </r>
    <r>
      <rPr>
        <sz val="11"/>
        <color theme="1"/>
        <rFont val="Calibri"/>
        <family val="2"/>
        <scheme val="minor"/>
      </rPr>
      <t xml:space="preserve"> - Homophone checker
</t>
    </r>
    <r>
      <rPr>
        <b/>
        <sz val="11"/>
        <color theme="1"/>
        <rFont val="Calibri"/>
        <family val="2"/>
        <scheme val="minor"/>
      </rPr>
      <t>MindMapping</t>
    </r>
    <r>
      <rPr>
        <sz val="11"/>
        <color theme="1"/>
        <rFont val="Calibri"/>
        <family val="2"/>
        <scheme val="minor"/>
      </rPr>
      <t xml:space="preserve"> - Mind mapping software
</t>
    </r>
    <r>
      <rPr>
        <b/>
        <sz val="11"/>
        <color theme="1"/>
        <rFont val="Calibri"/>
        <family val="2"/>
        <scheme val="minor"/>
      </rPr>
      <t>OutlineTool</t>
    </r>
    <r>
      <rPr>
        <sz val="11"/>
        <color theme="1"/>
        <rFont val="Calibri"/>
        <family val="2"/>
        <scheme val="minor"/>
      </rPr>
      <t xml:space="preserve"> - Outline tool
</t>
    </r>
  </si>
  <si>
    <r>
      <t>TextOnly</t>
    </r>
    <r>
      <rPr>
        <sz val="11"/>
        <color theme="1"/>
        <rFont val="Calibri"/>
        <family val="2"/>
        <scheme val="minor"/>
      </rPr>
      <t xml:space="preserve"> - Text only
</t>
    </r>
    <r>
      <rPr>
        <b/>
        <sz val="11"/>
        <color theme="1"/>
        <rFont val="Calibri"/>
        <family val="2"/>
        <scheme val="minor"/>
      </rPr>
      <t>TextGraphics</t>
    </r>
    <r>
      <rPr>
        <sz val="11"/>
        <color theme="1"/>
        <rFont val="Calibri"/>
        <family val="2"/>
        <scheme val="minor"/>
      </rPr>
      <t xml:space="preserve"> - Text and graphics
</t>
    </r>
    <r>
      <rPr>
        <b/>
        <sz val="11"/>
        <color theme="1"/>
        <rFont val="Calibri"/>
        <family val="2"/>
        <scheme val="minor"/>
      </rPr>
      <t>GraphicsOnly</t>
    </r>
    <r>
      <rPr>
        <sz val="11"/>
        <color theme="1"/>
        <rFont val="Calibri"/>
        <family val="2"/>
        <scheme val="minor"/>
      </rPr>
      <t xml:space="preserve"> - Graphics only
</t>
    </r>
    <r>
      <rPr>
        <b/>
        <sz val="11"/>
        <color theme="1"/>
        <rFont val="Calibri"/>
        <family val="2"/>
        <scheme val="minor"/>
      </rPr>
      <t>NonVisual</t>
    </r>
    <r>
      <rPr>
        <sz val="11"/>
        <color theme="1"/>
        <rFont val="Calibri"/>
        <family val="2"/>
        <scheme val="minor"/>
      </rPr>
      <t xml:space="preserve"> - Non-visual
</t>
    </r>
  </si>
  <si>
    <t>Assessment Need Profile Control</t>
  </si>
  <si>
    <t>Assessment Need Profile Display</t>
  </si>
  <si>
    <r>
      <t>6</t>
    </r>
    <r>
      <rPr>
        <sz val="11"/>
        <color theme="1"/>
        <rFont val="Calibri"/>
        <family val="2"/>
        <scheme val="minor"/>
      </rPr>
      <t xml:space="preserve"> - Six Braille Dots
</t>
    </r>
    <r>
      <rPr>
        <b/>
        <sz val="11"/>
        <color theme="1"/>
        <rFont val="Calibri"/>
        <family val="2"/>
        <scheme val="minor"/>
      </rPr>
      <t>8</t>
    </r>
    <r>
      <rPr>
        <sz val="11"/>
        <color theme="1"/>
        <rFont val="Calibri"/>
        <family val="2"/>
        <scheme val="minor"/>
      </rPr>
      <t xml:space="preserve"> - Eight Braille Dots
</t>
    </r>
  </si>
  <si>
    <r>
      <t>Contracted</t>
    </r>
    <r>
      <rPr>
        <sz val="11"/>
        <color theme="1"/>
        <rFont val="Calibri"/>
        <family val="2"/>
        <scheme val="minor"/>
      </rPr>
      <t xml:space="preserve"> - Contracted
</t>
    </r>
    <r>
      <rPr>
        <b/>
        <sz val="11"/>
        <color theme="1"/>
        <rFont val="Calibri"/>
        <family val="2"/>
        <scheme val="minor"/>
      </rPr>
      <t>Uncontracted</t>
    </r>
    <r>
      <rPr>
        <sz val="11"/>
        <color theme="1"/>
        <rFont val="Calibri"/>
        <family val="2"/>
        <scheme val="minor"/>
      </rPr>
      <t xml:space="preserve"> - Uncontracted
</t>
    </r>
  </si>
  <si>
    <r>
      <t>Highlight</t>
    </r>
    <r>
      <rPr>
        <sz val="11"/>
        <color theme="1"/>
        <rFont val="Calibri"/>
        <family val="2"/>
        <scheme val="minor"/>
      </rPr>
      <t xml:space="preserve"> - Highlight
</t>
    </r>
    <r>
      <rPr>
        <b/>
        <sz val="11"/>
        <color theme="1"/>
        <rFont val="Calibri"/>
        <family val="2"/>
        <scheme val="minor"/>
      </rPr>
      <t>Bold</t>
    </r>
    <r>
      <rPr>
        <sz val="11"/>
        <color theme="1"/>
        <rFont val="Calibri"/>
        <family val="2"/>
        <scheme val="minor"/>
      </rPr>
      <t xml:space="preserve"> - Bold
</t>
    </r>
    <r>
      <rPr>
        <b/>
        <sz val="11"/>
        <color theme="1"/>
        <rFont val="Calibri"/>
        <family val="2"/>
        <scheme val="minor"/>
      </rPr>
      <t>Underline</t>
    </r>
    <r>
      <rPr>
        <sz val="11"/>
        <color theme="1"/>
        <rFont val="Calibri"/>
        <family val="2"/>
        <scheme val="minor"/>
      </rPr>
      <t xml:space="preserve"> - Underline
</t>
    </r>
    <r>
      <rPr>
        <b/>
        <sz val="11"/>
        <color theme="1"/>
        <rFont val="Calibri"/>
        <family val="2"/>
        <scheme val="minor"/>
      </rPr>
      <t>Italic</t>
    </r>
    <r>
      <rPr>
        <sz val="11"/>
        <color theme="1"/>
        <rFont val="Calibri"/>
        <family val="2"/>
        <scheme val="minor"/>
      </rPr>
      <t xml:space="preserve"> - Italic
</t>
    </r>
    <r>
      <rPr>
        <b/>
        <sz val="11"/>
        <color theme="1"/>
        <rFont val="Calibri"/>
        <family val="2"/>
        <scheme val="minor"/>
      </rPr>
      <t>Strikeout</t>
    </r>
    <r>
      <rPr>
        <sz val="11"/>
        <color theme="1"/>
        <rFont val="Calibri"/>
        <family val="2"/>
        <scheme val="minor"/>
      </rPr>
      <t xml:space="preserve"> - Strikeout
</t>
    </r>
    <r>
      <rPr>
        <b/>
        <sz val="11"/>
        <color theme="1"/>
        <rFont val="Calibri"/>
        <family val="2"/>
        <scheme val="minor"/>
      </rPr>
      <t>Color</t>
    </r>
    <r>
      <rPr>
        <sz val="11"/>
        <color theme="1"/>
        <rFont val="Calibri"/>
        <family val="2"/>
        <scheme val="minor"/>
      </rPr>
      <t xml:space="preserve"> - Color
</t>
    </r>
  </si>
  <si>
    <r>
      <t>Off</t>
    </r>
    <r>
      <rPr>
        <sz val="11"/>
        <color theme="1"/>
        <rFont val="Calibri"/>
        <family val="2"/>
        <scheme val="minor"/>
      </rPr>
      <t xml:space="preserve"> - Off
</t>
    </r>
    <r>
      <rPr>
        <b/>
        <sz val="11"/>
        <color theme="1"/>
        <rFont val="Calibri"/>
        <family val="2"/>
        <scheme val="minor"/>
      </rPr>
      <t>Left</t>
    </r>
    <r>
      <rPr>
        <sz val="11"/>
        <color theme="1"/>
        <rFont val="Calibri"/>
        <family val="2"/>
        <scheme val="minor"/>
      </rPr>
      <t xml:space="preserve"> - Left
</t>
    </r>
    <r>
      <rPr>
        <b/>
        <sz val="11"/>
        <color theme="1"/>
        <rFont val="Calibri"/>
        <family val="2"/>
        <scheme val="minor"/>
      </rPr>
      <t>Right</t>
    </r>
    <r>
      <rPr>
        <sz val="11"/>
        <color theme="1"/>
        <rFont val="Calibri"/>
        <family val="2"/>
        <scheme val="minor"/>
      </rPr>
      <t xml:space="preserve"> - Right
</t>
    </r>
  </si>
  <si>
    <r>
      <t>SpeakLink</t>
    </r>
    <r>
      <rPr>
        <sz val="11"/>
        <color theme="1"/>
        <rFont val="Calibri"/>
        <family val="2"/>
        <scheme val="minor"/>
      </rPr>
      <t xml:space="preserve"> - Speak link
</t>
    </r>
    <r>
      <rPr>
        <b/>
        <sz val="11"/>
        <color theme="1"/>
        <rFont val="Calibri"/>
        <family val="2"/>
        <scheme val="minor"/>
      </rPr>
      <t>DifferentVoice</t>
    </r>
    <r>
      <rPr>
        <sz val="11"/>
        <color theme="1"/>
        <rFont val="Calibri"/>
        <family val="2"/>
        <scheme val="minor"/>
      </rPr>
      <t xml:space="preserve"> - Different voice
</t>
    </r>
    <r>
      <rPr>
        <b/>
        <sz val="11"/>
        <color theme="1"/>
        <rFont val="Calibri"/>
        <family val="2"/>
        <scheme val="minor"/>
      </rPr>
      <t>SoundEffect</t>
    </r>
    <r>
      <rPr>
        <sz val="11"/>
        <color theme="1"/>
        <rFont val="Calibri"/>
        <family val="2"/>
        <scheme val="minor"/>
      </rPr>
      <t xml:space="preserve"> - Sound effect
</t>
    </r>
    <r>
      <rPr>
        <b/>
        <sz val="11"/>
        <color theme="1"/>
        <rFont val="Calibri"/>
        <family val="2"/>
        <scheme val="minor"/>
      </rPr>
      <t>None</t>
    </r>
    <r>
      <rPr>
        <sz val="11"/>
        <color theme="1"/>
        <rFont val="Calibri"/>
        <family val="2"/>
        <scheme val="minor"/>
      </rPr>
      <t xml:space="preserve"> - None
</t>
    </r>
  </si>
  <si>
    <r>
      <t>CustomMask</t>
    </r>
    <r>
      <rPr>
        <sz val="11"/>
        <color theme="1"/>
        <rFont val="Calibri"/>
        <family val="2"/>
        <scheme val="minor"/>
      </rPr>
      <t xml:space="preserve"> - Custom mask
</t>
    </r>
    <r>
      <rPr>
        <b/>
        <sz val="11"/>
        <color theme="1"/>
        <rFont val="Calibri"/>
        <family val="2"/>
        <scheme val="minor"/>
      </rPr>
      <t>AnswerMask</t>
    </r>
    <r>
      <rPr>
        <sz val="11"/>
        <color theme="1"/>
        <rFont val="Calibri"/>
        <family val="2"/>
        <scheme val="minor"/>
      </rPr>
      <t xml:space="preserve"> - Answer mask
</t>
    </r>
  </si>
  <si>
    <r>
      <t>ASL</t>
    </r>
    <r>
      <rPr>
        <sz val="11"/>
        <color theme="1"/>
        <rFont val="Calibri"/>
        <family val="2"/>
        <scheme val="minor"/>
      </rPr>
      <t xml:space="preserve"> - American Sign Language
</t>
    </r>
    <r>
      <rPr>
        <b/>
        <sz val="11"/>
        <color theme="1"/>
        <rFont val="Calibri"/>
        <family val="2"/>
        <scheme val="minor"/>
      </rPr>
      <t>SignedEnglish</t>
    </r>
    <r>
      <rPr>
        <sz val="11"/>
        <color theme="1"/>
        <rFont val="Calibri"/>
        <family val="2"/>
        <scheme val="minor"/>
      </rPr>
      <t xml:space="preserve"> - Signed English
</t>
    </r>
  </si>
  <si>
    <r>
      <t>Human</t>
    </r>
    <r>
      <rPr>
        <sz val="11"/>
        <color theme="1"/>
        <rFont val="Calibri"/>
        <family val="2"/>
        <scheme val="minor"/>
      </rPr>
      <t xml:space="preserve"> - Human
</t>
    </r>
    <r>
      <rPr>
        <b/>
        <sz val="11"/>
        <color theme="1"/>
        <rFont val="Calibri"/>
        <family val="2"/>
        <scheme val="minor"/>
      </rPr>
      <t>Synthetic</t>
    </r>
    <r>
      <rPr>
        <sz val="11"/>
        <color theme="1"/>
        <rFont val="Calibri"/>
        <family val="2"/>
        <scheme val="minor"/>
      </rPr>
      <t xml:space="preserve"> - Synthetic
</t>
    </r>
  </si>
  <si>
    <r>
      <t>Required</t>
    </r>
    <r>
      <rPr>
        <sz val="11"/>
        <color theme="1"/>
        <rFont val="Calibri"/>
        <family val="2"/>
        <scheme val="minor"/>
      </rPr>
      <t xml:space="preserve"> - Required
</t>
    </r>
    <r>
      <rPr>
        <b/>
        <sz val="11"/>
        <color theme="1"/>
        <rFont val="Calibri"/>
        <family val="2"/>
        <scheme val="minor"/>
      </rPr>
      <t>Preferred</t>
    </r>
    <r>
      <rPr>
        <sz val="11"/>
        <color theme="1"/>
        <rFont val="Calibri"/>
        <family val="2"/>
        <scheme val="minor"/>
      </rPr>
      <t xml:space="preserve"> - Preferred
</t>
    </r>
    <r>
      <rPr>
        <b/>
        <sz val="11"/>
        <color theme="1"/>
        <rFont val="Calibri"/>
        <family val="2"/>
        <scheme val="minor"/>
      </rPr>
      <t>OptionallyUse</t>
    </r>
    <r>
      <rPr>
        <sz val="11"/>
        <color theme="1"/>
        <rFont val="Calibri"/>
        <family val="2"/>
        <scheme val="minor"/>
      </rPr>
      <t xml:space="preserve"> - Optionally use
</t>
    </r>
    <r>
      <rPr>
        <b/>
        <sz val="11"/>
        <color theme="1"/>
        <rFont val="Calibri"/>
        <family val="2"/>
        <scheme val="minor"/>
      </rPr>
      <t>Prohibited</t>
    </r>
    <r>
      <rPr>
        <sz val="11"/>
        <color theme="1"/>
        <rFont val="Calibri"/>
        <family val="2"/>
        <scheme val="minor"/>
      </rPr>
      <t xml:space="preserve"> - Prohibited
</t>
    </r>
  </si>
  <si>
    <t>Assessment Need Screen Enhancement</t>
  </si>
  <si>
    <r>
      <t>Line</t>
    </r>
    <r>
      <rPr>
        <sz val="11"/>
        <color theme="1"/>
        <rFont val="Calibri"/>
        <family val="2"/>
        <scheme val="minor"/>
      </rPr>
      <t xml:space="preserve"> - Line
</t>
    </r>
    <r>
      <rPr>
        <b/>
        <sz val="11"/>
        <color theme="1"/>
        <rFont val="Calibri"/>
        <family val="2"/>
        <scheme val="minor"/>
      </rPr>
      <t>Word</t>
    </r>
    <r>
      <rPr>
        <sz val="11"/>
        <color theme="1"/>
        <rFont val="Calibri"/>
        <family val="2"/>
        <scheme val="minor"/>
      </rPr>
      <t xml:space="preserve"> - Word
</t>
    </r>
    <r>
      <rPr>
        <b/>
        <sz val="11"/>
        <color theme="1"/>
        <rFont val="Calibri"/>
        <family val="2"/>
        <scheme val="minor"/>
      </rPr>
      <t>Character</t>
    </r>
    <r>
      <rPr>
        <sz val="11"/>
        <color theme="1"/>
        <rFont val="Calibri"/>
        <family val="2"/>
        <scheme val="minor"/>
      </rPr>
      <t xml:space="preserve"> - Character
</t>
    </r>
  </si>
  <si>
    <t>Assessment Administration</t>
  </si>
  <si>
    <t>Assessment Session</t>
  </si>
  <si>
    <r>
      <t>Standard</t>
    </r>
    <r>
      <rPr>
        <sz val="11"/>
        <color theme="1"/>
        <rFont val="Calibri"/>
        <family val="2"/>
        <scheme val="minor"/>
      </rPr>
      <t xml:space="preserve"> - Standard
</t>
    </r>
    <r>
      <rPr>
        <b/>
        <sz val="11"/>
        <color theme="1"/>
        <rFont val="Calibri"/>
        <family val="2"/>
        <scheme val="minor"/>
      </rPr>
      <t>Accommodation</t>
    </r>
    <r>
      <rPr>
        <sz val="11"/>
        <color theme="1"/>
        <rFont val="Calibri"/>
        <family val="2"/>
        <scheme val="minor"/>
      </rPr>
      <t xml:space="preserve"> - Accommodation
</t>
    </r>
  </si>
  <si>
    <r>
      <t>Teacher</t>
    </r>
    <r>
      <rPr>
        <sz val="11"/>
        <color theme="1"/>
        <rFont val="Calibri"/>
        <family val="2"/>
        <scheme val="minor"/>
      </rPr>
      <t xml:space="preserve"> - Teacher
</t>
    </r>
    <r>
      <rPr>
        <b/>
        <sz val="11"/>
        <color theme="1"/>
        <rFont val="Calibri"/>
        <family val="2"/>
        <scheme val="minor"/>
      </rPr>
      <t>Principal</t>
    </r>
    <r>
      <rPr>
        <sz val="11"/>
        <color theme="1"/>
        <rFont val="Calibri"/>
        <family val="2"/>
        <scheme val="minor"/>
      </rPr>
      <t xml:space="preserve"> - Principal
</t>
    </r>
    <r>
      <rPr>
        <b/>
        <sz val="11"/>
        <color theme="1"/>
        <rFont val="Calibri"/>
        <family val="2"/>
        <scheme val="minor"/>
      </rPr>
      <t>Administrator</t>
    </r>
    <r>
      <rPr>
        <sz val="11"/>
        <color theme="1"/>
        <rFont val="Calibri"/>
        <family val="2"/>
        <scheme val="minor"/>
      </rPr>
      <t xml:space="preserve"> - Administrator
</t>
    </r>
    <r>
      <rPr>
        <b/>
        <sz val="11"/>
        <color theme="1"/>
        <rFont val="Calibri"/>
        <family val="2"/>
        <scheme val="minor"/>
      </rPr>
      <t>Proctor</t>
    </r>
    <r>
      <rPr>
        <sz val="11"/>
        <color theme="1"/>
        <rFont val="Calibri"/>
        <family val="2"/>
        <scheme val="minor"/>
      </rPr>
      <t xml:space="preserve"> - Proctor
</t>
    </r>
    <r>
      <rPr>
        <b/>
        <sz val="11"/>
        <color theme="1"/>
        <rFont val="Calibri"/>
        <family val="2"/>
        <scheme val="minor"/>
      </rPr>
      <t>Observer</t>
    </r>
    <r>
      <rPr>
        <sz val="11"/>
        <color theme="1"/>
        <rFont val="Calibri"/>
        <family val="2"/>
        <scheme val="minor"/>
      </rPr>
      <t xml:space="preserve"> - Observer
</t>
    </r>
    <r>
      <rPr>
        <b/>
        <sz val="11"/>
        <color theme="1"/>
        <rFont val="Calibri"/>
        <family val="2"/>
        <scheme val="minor"/>
      </rPr>
      <t>Scorer</t>
    </r>
    <r>
      <rPr>
        <sz val="11"/>
        <color theme="1"/>
        <rFont val="Calibri"/>
        <family val="2"/>
        <scheme val="minor"/>
      </rPr>
      <t xml:space="preserve"> - Scorer
</t>
    </r>
    <r>
      <rPr>
        <b/>
        <sz val="11"/>
        <color theme="1"/>
        <rFont val="Calibri"/>
        <family val="2"/>
        <scheme val="minor"/>
      </rPr>
      <t>Registrar</t>
    </r>
    <r>
      <rPr>
        <sz val="11"/>
        <color theme="1"/>
        <rFont val="Calibri"/>
        <family val="2"/>
        <scheme val="minor"/>
      </rPr>
      <t xml:space="preserve"> - Registrar
</t>
    </r>
  </si>
  <si>
    <r>
      <t>13807</t>
    </r>
    <r>
      <rPr>
        <sz val="11"/>
        <color theme="1"/>
        <rFont val="Calibri"/>
        <family val="2"/>
        <scheme val="minor"/>
      </rPr>
      <t xml:space="preserve"> - Long-term suspension - non-special education
</t>
    </r>
    <r>
      <rPr>
        <b/>
        <sz val="11"/>
        <color theme="1"/>
        <rFont val="Calibri"/>
        <family val="2"/>
        <scheme val="minor"/>
      </rPr>
      <t>13808</t>
    </r>
    <r>
      <rPr>
        <sz val="11"/>
        <color theme="1"/>
        <rFont val="Calibri"/>
        <family val="2"/>
        <scheme val="minor"/>
      </rPr>
      <t xml:space="preserve"> - Short-term suspension - non-special education
</t>
    </r>
    <r>
      <rPr>
        <b/>
        <sz val="11"/>
        <color theme="1"/>
        <rFont val="Calibri"/>
        <family val="2"/>
        <scheme val="minor"/>
      </rPr>
      <t>13809</t>
    </r>
    <r>
      <rPr>
        <sz val="11"/>
        <color theme="1"/>
        <rFont val="Calibri"/>
        <family val="2"/>
        <scheme val="minor"/>
      </rPr>
      <t xml:space="preserve"> - Suspension - special education
</t>
    </r>
    <r>
      <rPr>
        <b/>
        <sz val="11"/>
        <color theme="1"/>
        <rFont val="Calibri"/>
        <family val="2"/>
        <scheme val="minor"/>
      </rPr>
      <t>13810</t>
    </r>
    <r>
      <rPr>
        <sz val="11"/>
        <color theme="1"/>
        <rFont val="Calibri"/>
        <family val="2"/>
        <scheme val="minor"/>
      </rPr>
      <t xml:space="preserve"> - Truancy - paperwork filed
</t>
    </r>
    <r>
      <rPr>
        <b/>
        <sz val="11"/>
        <color theme="1"/>
        <rFont val="Calibri"/>
        <family val="2"/>
        <scheme val="minor"/>
      </rPr>
      <t>13811</t>
    </r>
    <r>
      <rPr>
        <sz val="11"/>
        <color theme="1"/>
        <rFont val="Calibri"/>
        <family val="2"/>
        <scheme val="minor"/>
      </rPr>
      <t xml:space="preserve"> - Truancy - no paperwork filed
</t>
    </r>
    <r>
      <rPr>
        <b/>
        <sz val="11"/>
        <color theme="1"/>
        <rFont val="Calibri"/>
        <family val="2"/>
        <scheme val="minor"/>
      </rPr>
      <t>13812</t>
    </r>
    <r>
      <rPr>
        <sz val="11"/>
        <color theme="1"/>
        <rFont val="Calibri"/>
        <family val="2"/>
        <scheme val="minor"/>
      </rPr>
      <t xml:space="preserve"> - Earlier truancy
</t>
    </r>
    <r>
      <rPr>
        <b/>
        <sz val="11"/>
        <color theme="1"/>
        <rFont val="Calibri"/>
        <family val="2"/>
        <scheme val="minor"/>
      </rPr>
      <t>13813</t>
    </r>
    <r>
      <rPr>
        <sz val="11"/>
        <color theme="1"/>
        <rFont val="Calibri"/>
        <family val="2"/>
        <scheme val="minor"/>
      </rPr>
      <t xml:space="preserve"> - Chronic absences
</t>
    </r>
    <r>
      <rPr>
        <b/>
        <sz val="11"/>
        <color theme="1"/>
        <rFont val="Calibri"/>
        <family val="2"/>
        <scheme val="minor"/>
      </rPr>
      <t>13814</t>
    </r>
    <r>
      <rPr>
        <sz val="11"/>
        <color theme="1"/>
        <rFont val="Calibri"/>
        <family val="2"/>
        <scheme val="minor"/>
      </rPr>
      <t xml:space="preserve"> - Catastrophic illness or accident
</t>
    </r>
    <r>
      <rPr>
        <b/>
        <sz val="11"/>
        <color theme="1"/>
        <rFont val="Calibri"/>
        <family val="2"/>
        <scheme val="minor"/>
      </rPr>
      <t>13815</t>
    </r>
    <r>
      <rPr>
        <sz val="11"/>
        <color theme="1"/>
        <rFont val="Calibri"/>
        <family val="2"/>
        <scheme val="minor"/>
      </rPr>
      <t xml:space="preserve"> - Home schooled for assessed subjects
</t>
    </r>
    <r>
      <rPr>
        <b/>
        <sz val="11"/>
        <color theme="1"/>
        <rFont val="Calibri"/>
        <family val="2"/>
        <scheme val="minor"/>
      </rPr>
      <t>13816</t>
    </r>
    <r>
      <rPr>
        <sz val="11"/>
        <color theme="1"/>
        <rFont val="Calibri"/>
        <family val="2"/>
        <scheme val="minor"/>
      </rPr>
      <t xml:space="preserve"> - Student took this grade level assessment last year
</t>
    </r>
    <r>
      <rPr>
        <b/>
        <sz val="11"/>
        <color theme="1"/>
        <rFont val="Calibri"/>
        <family val="2"/>
        <scheme val="minor"/>
      </rPr>
      <t>13817</t>
    </r>
    <r>
      <rPr>
        <sz val="11"/>
        <color theme="1"/>
        <rFont val="Calibri"/>
        <family val="2"/>
        <scheme val="minor"/>
      </rPr>
      <t xml:space="preserve"> - Incarcerated at adult facility
</t>
    </r>
    <r>
      <rPr>
        <b/>
        <sz val="11"/>
        <color theme="1"/>
        <rFont val="Calibri"/>
        <family val="2"/>
        <scheme val="minor"/>
      </rPr>
      <t>13818</t>
    </r>
    <r>
      <rPr>
        <sz val="11"/>
        <color theme="1"/>
        <rFont val="Calibri"/>
        <family val="2"/>
        <scheme val="minor"/>
      </rPr>
      <t xml:space="preserve"> - Special treatment center
</t>
    </r>
    <r>
      <rPr>
        <b/>
        <sz val="11"/>
        <color theme="1"/>
        <rFont val="Calibri"/>
        <family val="2"/>
        <scheme val="minor"/>
      </rPr>
      <t>13819</t>
    </r>
    <r>
      <rPr>
        <sz val="11"/>
        <color theme="1"/>
        <rFont val="Calibri"/>
        <family val="2"/>
        <scheme val="minor"/>
      </rPr>
      <t xml:space="preserve"> - Special detention center
</t>
    </r>
    <r>
      <rPr>
        <b/>
        <sz val="11"/>
        <color theme="1"/>
        <rFont val="Calibri"/>
        <family val="2"/>
        <scheme val="minor"/>
      </rPr>
      <t>13820</t>
    </r>
    <r>
      <rPr>
        <sz val="11"/>
        <color theme="1"/>
        <rFont val="Calibri"/>
        <family val="2"/>
        <scheme val="minor"/>
      </rPr>
      <t xml:space="preserve"> - Parent refusal
</t>
    </r>
    <r>
      <rPr>
        <b/>
        <sz val="11"/>
        <color theme="1"/>
        <rFont val="Calibri"/>
        <family val="2"/>
        <scheme val="minor"/>
      </rPr>
      <t>13821</t>
    </r>
    <r>
      <rPr>
        <sz val="11"/>
        <color theme="1"/>
        <rFont val="Calibri"/>
        <family val="2"/>
        <scheme val="minor"/>
      </rPr>
      <t xml:space="preserve"> - Cheating
</t>
    </r>
    <r>
      <rPr>
        <b/>
        <sz val="11"/>
        <color theme="1"/>
        <rFont val="Calibri"/>
        <family val="2"/>
        <scheme val="minor"/>
      </rPr>
      <t>13822</t>
    </r>
    <r>
      <rPr>
        <sz val="11"/>
        <color theme="1"/>
        <rFont val="Calibri"/>
        <family val="2"/>
        <scheme val="minor"/>
      </rPr>
      <t xml:space="preserve"> - Psychological factors of emotional trauma
</t>
    </r>
    <r>
      <rPr>
        <b/>
        <sz val="11"/>
        <color theme="1"/>
        <rFont val="Calibri"/>
        <family val="2"/>
        <scheme val="minor"/>
      </rPr>
      <t>13823</t>
    </r>
    <r>
      <rPr>
        <sz val="11"/>
        <color theme="1"/>
        <rFont val="Calibri"/>
        <family val="2"/>
        <scheme val="minor"/>
      </rPr>
      <t xml:space="preserve"> - Student not showing adequate effort
</t>
    </r>
    <r>
      <rPr>
        <b/>
        <sz val="11"/>
        <color theme="1"/>
        <rFont val="Calibri"/>
        <family val="2"/>
        <scheme val="minor"/>
      </rPr>
      <t>13824</t>
    </r>
    <r>
      <rPr>
        <sz val="11"/>
        <color theme="1"/>
        <rFont val="Calibri"/>
        <family val="2"/>
        <scheme val="minor"/>
      </rPr>
      <t xml:space="preserve"> - Homebound
</t>
    </r>
    <r>
      <rPr>
        <b/>
        <sz val="11"/>
        <color theme="1"/>
        <rFont val="Calibri"/>
        <family val="2"/>
        <scheme val="minor"/>
      </rPr>
      <t>13825</t>
    </r>
    <r>
      <rPr>
        <sz val="11"/>
        <color theme="1"/>
        <rFont val="Calibri"/>
        <family val="2"/>
        <scheme val="minor"/>
      </rPr>
      <t xml:space="preserve"> - Foreign exchange student
</t>
    </r>
    <r>
      <rPr>
        <b/>
        <sz val="11"/>
        <color theme="1"/>
        <rFont val="Calibri"/>
        <family val="2"/>
        <scheme val="minor"/>
      </rPr>
      <t>13826</t>
    </r>
    <r>
      <rPr>
        <sz val="11"/>
        <color theme="1"/>
        <rFont val="Calibri"/>
        <family val="2"/>
        <scheme val="minor"/>
      </rPr>
      <t xml:space="preserve"> - Student refusal
</t>
    </r>
    <r>
      <rPr>
        <b/>
        <sz val="11"/>
        <color theme="1"/>
        <rFont val="Calibri"/>
        <family val="2"/>
        <scheme val="minor"/>
      </rPr>
      <t>13827</t>
    </r>
    <r>
      <rPr>
        <sz val="11"/>
        <color theme="1"/>
        <rFont val="Calibri"/>
        <family val="2"/>
        <scheme val="minor"/>
      </rPr>
      <t xml:space="preserve"> - Reading passage read to student (IEP)
</t>
    </r>
    <r>
      <rPr>
        <b/>
        <sz val="11"/>
        <color theme="1"/>
        <rFont val="Calibri"/>
        <family val="2"/>
        <scheme val="minor"/>
      </rPr>
      <t>13828</t>
    </r>
    <r>
      <rPr>
        <sz val="11"/>
        <color theme="1"/>
        <rFont val="Calibri"/>
        <family val="2"/>
        <scheme val="minor"/>
      </rPr>
      <t xml:space="preserve"> - Non-special education student used calculator on non-calculator items
</t>
    </r>
    <r>
      <rPr>
        <b/>
        <sz val="11"/>
        <color theme="1"/>
        <rFont val="Calibri"/>
        <family val="2"/>
        <scheme val="minor"/>
      </rPr>
      <t>13829</t>
    </r>
    <r>
      <rPr>
        <sz val="11"/>
        <color theme="1"/>
        <rFont val="Calibri"/>
        <family val="2"/>
        <scheme val="minor"/>
      </rPr>
      <t xml:space="preserve"> - Student used math journal (non-IEP)
</t>
    </r>
    <r>
      <rPr>
        <b/>
        <sz val="11"/>
        <color theme="1"/>
        <rFont val="Calibri"/>
        <family val="2"/>
        <scheme val="minor"/>
      </rPr>
      <t>13830</t>
    </r>
    <r>
      <rPr>
        <sz val="11"/>
        <color theme="1"/>
        <rFont val="Calibri"/>
        <family val="2"/>
        <scheme val="minor"/>
      </rPr>
      <t xml:space="preserve"> - Other reason for ineligibility
</t>
    </r>
    <r>
      <rPr>
        <b/>
        <sz val="11"/>
        <color theme="1"/>
        <rFont val="Calibri"/>
        <family val="2"/>
        <scheme val="minor"/>
      </rPr>
      <t>13831</t>
    </r>
    <r>
      <rPr>
        <sz val="11"/>
        <color theme="1"/>
        <rFont val="Calibri"/>
        <family val="2"/>
        <scheme val="minor"/>
      </rPr>
      <t xml:space="preserve"> - Other reason for nonparticipation
</t>
    </r>
    <r>
      <rPr>
        <b/>
        <sz val="11"/>
        <color theme="1"/>
        <rFont val="Calibri"/>
        <family val="2"/>
        <scheme val="minor"/>
      </rPr>
      <t>13832</t>
    </r>
    <r>
      <rPr>
        <sz val="11"/>
        <color theme="1"/>
        <rFont val="Calibri"/>
        <family val="2"/>
        <scheme val="minor"/>
      </rPr>
      <t xml:space="preserve"> - Left testing
</t>
    </r>
    <r>
      <rPr>
        <b/>
        <sz val="11"/>
        <color theme="1"/>
        <rFont val="Calibri"/>
        <family val="2"/>
        <scheme val="minor"/>
      </rPr>
      <t>13833</t>
    </r>
    <r>
      <rPr>
        <sz val="11"/>
        <color theme="1"/>
        <rFont val="Calibri"/>
        <family val="2"/>
        <scheme val="minor"/>
      </rPr>
      <t xml:space="preserve"> - Cross-enrolled
</t>
    </r>
    <r>
      <rPr>
        <b/>
        <sz val="11"/>
        <color theme="1"/>
        <rFont val="Calibri"/>
        <family val="2"/>
        <scheme val="minor"/>
      </rPr>
      <t>13834</t>
    </r>
    <r>
      <rPr>
        <sz val="11"/>
        <color theme="1"/>
        <rFont val="Calibri"/>
        <family val="2"/>
        <scheme val="minor"/>
      </rPr>
      <t xml:space="preserve"> - Only for writing
</t>
    </r>
    <r>
      <rPr>
        <b/>
        <sz val="11"/>
        <color theme="1"/>
        <rFont val="Calibri"/>
        <family val="2"/>
        <scheme val="minor"/>
      </rPr>
      <t>13835</t>
    </r>
    <r>
      <rPr>
        <sz val="11"/>
        <color theme="1"/>
        <rFont val="Calibri"/>
        <family val="2"/>
        <scheme val="minor"/>
      </rPr>
      <t xml:space="preserve"> - Administration or system failure
</t>
    </r>
    <r>
      <rPr>
        <b/>
        <sz val="11"/>
        <color theme="1"/>
        <rFont val="Calibri"/>
        <family val="2"/>
        <scheme val="minor"/>
      </rPr>
      <t>13836</t>
    </r>
    <r>
      <rPr>
        <sz val="11"/>
        <color theme="1"/>
        <rFont val="Calibri"/>
        <family val="2"/>
        <scheme val="minor"/>
      </rPr>
      <t xml:space="preserve"> - Teacher cheating or mis-admin
</t>
    </r>
    <r>
      <rPr>
        <b/>
        <sz val="11"/>
        <color theme="1"/>
        <rFont val="Calibri"/>
        <family val="2"/>
        <scheme val="minor"/>
      </rPr>
      <t>13837</t>
    </r>
    <r>
      <rPr>
        <sz val="11"/>
        <color theme="1"/>
        <rFont val="Calibri"/>
        <family val="2"/>
        <scheme val="minor"/>
      </rPr>
      <t xml:space="preserve"> - Fire alarm
</t>
    </r>
    <r>
      <rPr>
        <b/>
        <sz val="11"/>
        <color theme="1"/>
        <rFont val="Calibri"/>
        <family val="2"/>
        <scheme val="minor"/>
      </rPr>
      <t>09999</t>
    </r>
    <r>
      <rPr>
        <sz val="11"/>
        <color theme="1"/>
        <rFont val="Calibri"/>
        <family val="2"/>
        <scheme val="minor"/>
      </rPr>
      <t xml:space="preserve"> - Other
</t>
    </r>
  </si>
  <si>
    <t>Assessment Participant Session</t>
  </si>
  <si>
    <t>Credentials</t>
  </si>
  <si>
    <t>Credential Award</t>
  </si>
  <si>
    <t>Credential Issuer</t>
  </si>
  <si>
    <r>
      <t>AssessmentBody</t>
    </r>
    <r>
      <rPr>
        <sz val="11"/>
        <color theme="1"/>
        <rFont val="Calibri"/>
        <family val="2"/>
        <scheme val="minor"/>
      </rPr>
      <t xml:space="preserve"> - Assessment Body
</t>
    </r>
    <r>
      <rPr>
        <b/>
        <sz val="11"/>
        <color theme="1"/>
        <rFont val="Calibri"/>
        <family val="2"/>
        <scheme val="minor"/>
      </rPr>
      <t>Business</t>
    </r>
    <r>
      <rPr>
        <sz val="11"/>
        <color theme="1"/>
        <rFont val="Calibri"/>
        <family val="2"/>
        <scheme val="minor"/>
      </rPr>
      <t xml:space="preserve"> - Business
</t>
    </r>
    <r>
      <rPr>
        <b/>
        <sz val="11"/>
        <color theme="1"/>
        <rFont val="Calibri"/>
        <family val="2"/>
        <scheme val="minor"/>
      </rPr>
      <t>BusinessAssociation</t>
    </r>
    <r>
      <rPr>
        <sz val="11"/>
        <color theme="1"/>
        <rFont val="Calibri"/>
        <family val="2"/>
        <scheme val="minor"/>
      </rPr>
      <t xml:space="preserve"> - Business or Industry Association
</t>
    </r>
    <r>
      <rPr>
        <b/>
        <sz val="11"/>
        <color theme="1"/>
        <rFont val="Calibri"/>
        <family val="2"/>
        <scheme val="minor"/>
      </rPr>
      <t>CertificationBody</t>
    </r>
    <r>
      <rPr>
        <sz val="11"/>
        <color theme="1"/>
        <rFont val="Calibri"/>
        <family val="2"/>
        <scheme val="minor"/>
      </rPr>
      <t xml:space="preserve"> - Certification Body
</t>
    </r>
    <r>
      <rPr>
        <b/>
        <sz val="11"/>
        <color theme="1"/>
        <rFont val="Calibri"/>
        <family val="2"/>
        <scheme val="minor"/>
      </rPr>
      <t>FourYear</t>
    </r>
    <r>
      <rPr>
        <sz val="11"/>
        <color theme="1"/>
        <rFont val="Calibri"/>
        <family val="2"/>
        <scheme val="minor"/>
      </rPr>
      <t xml:space="preserve"> - Four-Year College
</t>
    </r>
    <r>
      <rPr>
        <b/>
        <sz val="11"/>
        <color theme="1"/>
        <rFont val="Calibri"/>
        <family val="2"/>
        <scheme val="minor"/>
      </rPr>
      <t>Government</t>
    </r>
    <r>
      <rPr>
        <sz val="11"/>
        <color theme="1"/>
        <rFont val="Calibri"/>
        <family val="2"/>
        <scheme val="minor"/>
      </rPr>
      <t xml:space="preserve"> - Government Agency
</t>
    </r>
    <r>
      <rPr>
        <b/>
        <sz val="11"/>
        <color theme="1"/>
        <rFont val="Calibri"/>
        <family val="2"/>
        <scheme val="minor"/>
      </rPr>
      <t>HighSchool</t>
    </r>
    <r>
      <rPr>
        <sz val="11"/>
        <color theme="1"/>
        <rFont val="Calibri"/>
        <family val="2"/>
        <scheme val="minor"/>
      </rPr>
      <t xml:space="preserve"> - High School
</t>
    </r>
    <r>
      <rPr>
        <b/>
        <sz val="11"/>
        <color theme="1"/>
        <rFont val="Calibri"/>
        <family val="2"/>
        <scheme val="minor"/>
      </rPr>
      <t>LaborUnion</t>
    </r>
    <r>
      <rPr>
        <sz val="11"/>
        <color theme="1"/>
        <rFont val="Calibri"/>
        <family val="2"/>
        <scheme val="minor"/>
      </rPr>
      <t xml:space="preserve"> - Labor Union
</t>
    </r>
    <r>
      <rPr>
        <b/>
        <sz val="11"/>
        <color theme="1"/>
        <rFont val="Calibri"/>
        <family val="2"/>
        <scheme val="minor"/>
      </rPr>
      <t>Magnet</t>
    </r>
    <r>
      <rPr>
        <sz val="11"/>
        <color theme="1"/>
        <rFont val="Calibri"/>
        <family val="2"/>
        <scheme val="minor"/>
      </rPr>
      <t xml:space="preserve"> - Magnet/Competitive Admissions School
</t>
    </r>
    <r>
      <rPr>
        <b/>
        <sz val="11"/>
        <color theme="1"/>
        <rFont val="Calibri"/>
        <family val="2"/>
        <scheme val="minor"/>
      </rPr>
      <t>Military</t>
    </r>
    <r>
      <rPr>
        <sz val="11"/>
        <color theme="1"/>
        <rFont val="Calibri"/>
        <family val="2"/>
        <scheme val="minor"/>
      </rPr>
      <t xml:space="preserve"> - Military
</t>
    </r>
    <r>
      <rPr>
        <b/>
        <sz val="11"/>
        <color theme="1"/>
        <rFont val="Calibri"/>
        <family val="2"/>
        <scheme val="minor"/>
      </rPr>
      <t>NonTraditional</t>
    </r>
    <r>
      <rPr>
        <sz val="11"/>
        <color theme="1"/>
        <rFont val="Calibri"/>
        <family val="2"/>
        <scheme val="minor"/>
      </rPr>
      <t xml:space="preserve"> - Alternative/Non-Traditional School
</t>
    </r>
    <r>
      <rPr>
        <b/>
        <sz val="11"/>
        <color theme="1"/>
        <rFont val="Calibri"/>
        <family val="2"/>
        <scheme val="minor"/>
      </rPr>
      <t>Postsecondary</t>
    </r>
    <r>
      <rPr>
        <sz val="11"/>
        <color theme="1"/>
        <rFont val="Calibri"/>
        <family val="2"/>
        <scheme val="minor"/>
      </rPr>
      <t xml:space="preserve"> - Postsecondary Educational Institution
</t>
    </r>
    <r>
      <rPr>
        <b/>
        <sz val="11"/>
        <color theme="1"/>
        <rFont val="Calibri"/>
        <family val="2"/>
        <scheme val="minor"/>
      </rPr>
      <t>PrimarilyOnline</t>
    </r>
    <r>
      <rPr>
        <sz val="11"/>
        <color theme="1"/>
        <rFont val="Calibri"/>
        <family val="2"/>
        <scheme val="minor"/>
      </rPr>
      <t xml:space="preserve"> - Primarily Online
</t>
    </r>
    <r>
      <rPr>
        <b/>
        <sz val="11"/>
        <color theme="1"/>
        <rFont val="Calibri"/>
        <family val="2"/>
        <scheme val="minor"/>
      </rPr>
      <t>ProfessionalAssociation</t>
    </r>
    <r>
      <rPr>
        <sz val="11"/>
        <color theme="1"/>
        <rFont val="Calibri"/>
        <family val="2"/>
        <scheme val="minor"/>
      </rPr>
      <t xml:space="preserve"> - Professional Association
</t>
    </r>
    <r>
      <rPr>
        <b/>
        <sz val="11"/>
        <color theme="1"/>
        <rFont val="Calibri"/>
        <family val="2"/>
        <scheme val="minor"/>
      </rPr>
      <t>QualityAssurance</t>
    </r>
    <r>
      <rPr>
        <sz val="11"/>
        <color theme="1"/>
        <rFont val="Calibri"/>
        <family val="2"/>
        <scheme val="minor"/>
      </rPr>
      <t xml:space="preserve"> - Quality Assurance Body
</t>
    </r>
    <r>
      <rPr>
        <b/>
        <sz val="11"/>
        <color theme="1"/>
        <rFont val="Calibri"/>
        <family val="2"/>
        <scheme val="minor"/>
      </rPr>
      <t>SecondarySchool</t>
    </r>
    <r>
      <rPr>
        <sz val="11"/>
        <color theme="1"/>
        <rFont val="Calibri"/>
        <family val="2"/>
        <scheme val="minor"/>
      </rPr>
      <t xml:space="preserve"> - Secondary School
</t>
    </r>
    <r>
      <rPr>
        <b/>
        <sz val="11"/>
        <color theme="1"/>
        <rFont val="Calibri"/>
        <family val="2"/>
        <scheme val="minor"/>
      </rPr>
      <t>Technical</t>
    </r>
    <r>
      <rPr>
        <sz val="11"/>
        <color theme="1"/>
        <rFont val="Calibri"/>
        <family val="2"/>
        <scheme val="minor"/>
      </rPr>
      <t xml:space="preserve"> - Career and Technical School
</t>
    </r>
    <r>
      <rPr>
        <b/>
        <sz val="11"/>
        <color theme="1"/>
        <rFont val="Calibri"/>
        <family val="2"/>
        <scheme val="minor"/>
      </rPr>
      <t>TrainingProvider</t>
    </r>
    <r>
      <rPr>
        <sz val="11"/>
        <color theme="1"/>
        <rFont val="Calibri"/>
        <family val="2"/>
        <scheme val="minor"/>
      </rPr>
      <t xml:space="preserve"> - Education and Training Provider
</t>
    </r>
    <r>
      <rPr>
        <b/>
        <sz val="11"/>
        <color theme="1"/>
        <rFont val="Calibri"/>
        <family val="2"/>
        <scheme val="minor"/>
      </rPr>
      <t>TwoYear</t>
    </r>
    <r>
      <rPr>
        <sz val="11"/>
        <color theme="1"/>
        <rFont val="Calibri"/>
        <family val="2"/>
        <scheme val="minor"/>
      </rPr>
      <t xml:space="preserve"> - Two-Year College
</t>
    </r>
    <r>
      <rPr>
        <b/>
        <sz val="11"/>
        <color theme="1"/>
        <rFont val="Calibri"/>
        <family val="2"/>
        <scheme val="minor"/>
      </rPr>
      <t>Vendor</t>
    </r>
    <r>
      <rPr>
        <sz val="11"/>
        <color theme="1"/>
        <rFont val="Calibri"/>
        <family val="2"/>
        <scheme val="minor"/>
      </rPr>
      <t xml:space="preserve"> - Vendor
</t>
    </r>
  </si>
  <si>
    <t>Credential Definition Agent</t>
  </si>
  <si>
    <r>
      <t>accreditedBy</t>
    </r>
    <r>
      <rPr>
        <sz val="11"/>
        <color theme="1"/>
        <rFont val="Calibri"/>
        <family val="2"/>
        <scheme val="minor"/>
      </rPr>
      <t xml:space="preserve"> - Accredited By
</t>
    </r>
    <r>
      <rPr>
        <b/>
        <sz val="11"/>
        <color theme="1"/>
        <rFont val="Calibri"/>
        <family val="2"/>
        <scheme val="minor"/>
      </rPr>
      <t>approvedBy</t>
    </r>
    <r>
      <rPr>
        <sz val="11"/>
        <color theme="1"/>
        <rFont val="Calibri"/>
        <family val="2"/>
        <scheme val="minor"/>
      </rPr>
      <t xml:space="preserve"> - Approved By
</t>
    </r>
    <r>
      <rPr>
        <b/>
        <sz val="11"/>
        <color theme="1"/>
        <rFont val="Calibri"/>
        <family val="2"/>
        <scheme val="minor"/>
      </rPr>
      <t>offeredBy</t>
    </r>
    <r>
      <rPr>
        <sz val="11"/>
        <color theme="1"/>
        <rFont val="Calibri"/>
        <family val="2"/>
        <scheme val="minor"/>
      </rPr>
      <t xml:space="preserve"> - Offered By
</t>
    </r>
    <r>
      <rPr>
        <b/>
        <sz val="11"/>
        <color theme="1"/>
        <rFont val="Calibri"/>
        <family val="2"/>
        <scheme val="minor"/>
      </rPr>
      <t>ownedBy</t>
    </r>
    <r>
      <rPr>
        <sz val="11"/>
        <color theme="1"/>
        <rFont val="Calibri"/>
        <family val="2"/>
        <scheme val="minor"/>
      </rPr>
      <t xml:space="preserve"> - Owned By
</t>
    </r>
    <r>
      <rPr>
        <b/>
        <sz val="11"/>
        <color theme="1"/>
        <rFont val="Calibri"/>
        <family val="2"/>
        <scheme val="minor"/>
      </rPr>
      <t>recognizedBy</t>
    </r>
    <r>
      <rPr>
        <sz val="11"/>
        <color theme="1"/>
        <rFont val="Calibri"/>
        <family val="2"/>
        <scheme val="minor"/>
      </rPr>
      <t xml:space="preserve"> - Recognized By
</t>
    </r>
    <r>
      <rPr>
        <b/>
        <sz val="11"/>
        <color theme="1"/>
        <rFont val="Calibri"/>
        <family val="2"/>
        <scheme val="minor"/>
      </rPr>
      <t>regulatedBy</t>
    </r>
    <r>
      <rPr>
        <sz val="11"/>
        <color theme="1"/>
        <rFont val="Calibri"/>
        <family val="2"/>
        <scheme val="minor"/>
      </rPr>
      <t xml:space="preserve"> - Regulated By
</t>
    </r>
    <r>
      <rPr>
        <b/>
        <sz val="11"/>
        <color theme="1"/>
        <rFont val="Calibri"/>
        <family val="2"/>
        <scheme val="minor"/>
      </rPr>
      <t>renewedBy</t>
    </r>
    <r>
      <rPr>
        <sz val="11"/>
        <color theme="1"/>
        <rFont val="Calibri"/>
        <family val="2"/>
        <scheme val="minor"/>
      </rPr>
      <t xml:space="preserve"> - Renewed By
</t>
    </r>
    <r>
      <rPr>
        <b/>
        <sz val="11"/>
        <color theme="1"/>
        <rFont val="Calibri"/>
        <family val="2"/>
        <scheme val="minor"/>
      </rPr>
      <t>revokedBy</t>
    </r>
    <r>
      <rPr>
        <sz val="11"/>
        <color theme="1"/>
        <rFont val="Calibri"/>
        <family val="2"/>
        <scheme val="minor"/>
      </rPr>
      <t xml:space="preserve"> - Revoked By
</t>
    </r>
  </si>
  <si>
    <t>Credential Definition</t>
  </si>
  <si>
    <r>
      <t>CTID</t>
    </r>
    <r>
      <rPr>
        <sz val="11"/>
        <color theme="1"/>
        <rFont val="Calibri"/>
        <family val="2"/>
        <scheme val="minor"/>
      </rPr>
      <t xml:space="preserve"> - Credential Transparency Identifier
</t>
    </r>
    <r>
      <rPr>
        <b/>
        <sz val="11"/>
        <color theme="1"/>
        <rFont val="Calibri"/>
        <family val="2"/>
        <scheme val="minor"/>
      </rPr>
      <t>URI</t>
    </r>
    <r>
      <rPr>
        <sz val="11"/>
        <color theme="1"/>
        <rFont val="Calibri"/>
        <family val="2"/>
        <scheme val="minor"/>
      </rPr>
      <t xml:space="preserve"> - Uniform Resource Identifier
</t>
    </r>
    <r>
      <rPr>
        <b/>
        <sz val="11"/>
        <color theme="1"/>
        <rFont val="Calibri"/>
        <family val="2"/>
        <scheme val="minor"/>
      </rPr>
      <t>URL</t>
    </r>
    <r>
      <rPr>
        <sz val="11"/>
        <color theme="1"/>
        <rFont val="Calibri"/>
        <family val="2"/>
        <scheme val="minor"/>
      </rPr>
      <t xml:space="preserve"> - Uniform Resource Locator
</t>
    </r>
    <r>
      <rPr>
        <b/>
        <sz val="11"/>
        <color theme="1"/>
        <rFont val="Calibri"/>
        <family val="2"/>
        <scheme val="minor"/>
      </rPr>
      <t>URN</t>
    </r>
    <r>
      <rPr>
        <sz val="11"/>
        <color theme="1"/>
        <rFont val="Calibri"/>
        <family val="2"/>
        <scheme val="minor"/>
      </rPr>
      <t xml:space="preserve"> - Uniform Resource Name
</t>
    </r>
    <r>
      <rPr>
        <b/>
        <sz val="11"/>
        <color theme="1"/>
        <rFont val="Calibri"/>
        <family val="2"/>
        <scheme val="minor"/>
      </rPr>
      <t>UUID</t>
    </r>
    <r>
      <rPr>
        <sz val="11"/>
        <color theme="1"/>
        <rFont val="Calibri"/>
        <family val="2"/>
        <scheme val="minor"/>
      </rPr>
      <t xml:space="preserve"> - Universally Unique Identifier
</t>
    </r>
    <r>
      <rPr>
        <b/>
        <sz val="11"/>
        <color theme="1"/>
        <rFont val="Calibri"/>
        <family val="2"/>
        <scheme val="minor"/>
      </rPr>
      <t>ARK</t>
    </r>
    <r>
      <rPr>
        <sz val="11"/>
        <color theme="1"/>
        <rFont val="Calibri"/>
        <family val="2"/>
        <scheme val="minor"/>
      </rPr>
      <t xml:space="preserve"> - Archival Resource Key
</t>
    </r>
    <r>
      <rPr>
        <b/>
        <sz val="11"/>
        <color theme="1"/>
        <rFont val="Calibri"/>
        <family val="2"/>
        <scheme val="minor"/>
      </rPr>
      <t>DOI</t>
    </r>
    <r>
      <rPr>
        <sz val="11"/>
        <color theme="1"/>
        <rFont val="Calibri"/>
        <family val="2"/>
        <scheme val="minor"/>
      </rPr>
      <t xml:space="preserve"> - Digital Document Identifier
</t>
    </r>
    <r>
      <rPr>
        <b/>
        <sz val="11"/>
        <color theme="1"/>
        <rFont val="Calibri"/>
        <family val="2"/>
        <scheme val="minor"/>
      </rPr>
      <t>INFO</t>
    </r>
    <r>
      <rPr>
        <sz val="11"/>
        <color theme="1"/>
        <rFont val="Calibri"/>
        <family val="2"/>
        <scheme val="minor"/>
      </rPr>
      <t xml:space="preserve"> - INFO URI Scheme
</t>
    </r>
  </si>
  <si>
    <r>
      <t>Active</t>
    </r>
    <r>
      <rPr>
        <sz val="11"/>
        <color theme="1"/>
        <rFont val="Calibri"/>
        <family val="2"/>
        <scheme val="minor"/>
      </rPr>
      <t xml:space="preserve"> - Active
</t>
    </r>
    <r>
      <rPr>
        <b/>
        <sz val="11"/>
        <color theme="1"/>
        <rFont val="Calibri"/>
        <family val="2"/>
        <scheme val="minor"/>
      </rPr>
      <t>Deprecated</t>
    </r>
    <r>
      <rPr>
        <sz val="11"/>
        <color theme="1"/>
        <rFont val="Calibri"/>
        <family val="2"/>
        <scheme val="minor"/>
      </rPr>
      <t xml:space="preserve"> - Deprecated
</t>
    </r>
    <r>
      <rPr>
        <b/>
        <sz val="11"/>
        <color theme="1"/>
        <rFont val="Calibri"/>
        <family val="2"/>
        <scheme val="minor"/>
      </rPr>
      <t>Probationary</t>
    </r>
    <r>
      <rPr>
        <sz val="11"/>
        <color theme="1"/>
        <rFont val="Calibri"/>
        <family val="2"/>
        <scheme val="minor"/>
      </rPr>
      <t xml:space="preserve"> - Probationary
</t>
    </r>
    <r>
      <rPr>
        <b/>
        <sz val="11"/>
        <color theme="1"/>
        <rFont val="Calibri"/>
        <family val="2"/>
        <scheme val="minor"/>
      </rPr>
      <t>Superseded</t>
    </r>
    <r>
      <rPr>
        <sz val="11"/>
        <color theme="1"/>
        <rFont val="Calibri"/>
        <family val="2"/>
        <scheme val="minor"/>
      </rPr>
      <t xml:space="preserve"> - Superseded
</t>
    </r>
  </si>
  <si>
    <r>
      <t>GeneralEducation</t>
    </r>
    <r>
      <rPr>
        <sz val="11"/>
        <color theme="1"/>
        <rFont val="Calibri"/>
        <family val="2"/>
        <scheme val="minor"/>
      </rPr>
      <t xml:space="preserve"> - General Education
</t>
    </r>
    <r>
      <rPr>
        <b/>
        <sz val="11"/>
        <color theme="1"/>
        <rFont val="Calibri"/>
        <family val="2"/>
        <scheme val="minor"/>
      </rPr>
      <t>JobOrCareerPreparation</t>
    </r>
    <r>
      <rPr>
        <sz val="11"/>
        <color theme="1"/>
        <rFont val="Calibri"/>
        <family val="2"/>
        <scheme val="minor"/>
      </rPr>
      <t xml:space="preserve"> - Job/Career Preparation
</t>
    </r>
    <r>
      <rPr>
        <b/>
        <sz val="11"/>
        <color theme="1"/>
        <rFont val="Calibri"/>
        <family val="2"/>
        <scheme val="minor"/>
      </rPr>
      <t>MidCareer</t>
    </r>
    <r>
      <rPr>
        <sz val="11"/>
        <color theme="1"/>
        <rFont val="Calibri"/>
        <family val="2"/>
        <scheme val="minor"/>
      </rPr>
      <t xml:space="preserve"> - Mid-Career Level
</t>
    </r>
    <r>
      <rPr>
        <b/>
        <sz val="11"/>
        <color theme="1"/>
        <rFont val="Calibri"/>
        <family val="2"/>
        <scheme val="minor"/>
      </rPr>
      <t>PriorExperience</t>
    </r>
    <r>
      <rPr>
        <sz val="11"/>
        <color theme="1"/>
        <rFont val="Calibri"/>
        <family val="2"/>
        <scheme val="minor"/>
      </rPr>
      <t xml:space="preserve"> - Prior Learning Experience
</t>
    </r>
  </si>
  <si>
    <r>
      <t>Artifact</t>
    </r>
    <r>
      <rPr>
        <sz val="11"/>
        <color theme="1"/>
        <rFont val="Calibri"/>
        <family val="2"/>
        <scheme val="minor"/>
      </rPr>
      <t xml:space="preserve"> - Artifact
</t>
    </r>
    <r>
      <rPr>
        <b/>
        <sz val="11"/>
        <color theme="1"/>
        <rFont val="Calibri"/>
        <family val="2"/>
        <scheme val="minor"/>
      </rPr>
      <t>Exam</t>
    </r>
    <r>
      <rPr>
        <sz val="11"/>
        <color theme="1"/>
        <rFont val="Calibri"/>
        <family val="2"/>
        <scheme val="minor"/>
      </rPr>
      <t xml:space="preserve"> - Exam
</t>
    </r>
    <r>
      <rPr>
        <b/>
        <sz val="11"/>
        <color theme="1"/>
        <rFont val="Calibri"/>
        <family val="2"/>
        <scheme val="minor"/>
      </rPr>
      <t>Performance</t>
    </r>
    <r>
      <rPr>
        <sz val="11"/>
        <color theme="1"/>
        <rFont val="Calibri"/>
        <family val="2"/>
        <scheme val="minor"/>
      </rPr>
      <t xml:space="preserve"> - Performance
</t>
    </r>
  </si>
  <si>
    <r>
      <t>BadgeClaim</t>
    </r>
    <r>
      <rPr>
        <sz val="11"/>
        <color theme="1"/>
        <rFont val="Calibri"/>
        <family val="2"/>
        <scheme val="minor"/>
      </rPr>
      <t xml:space="preserve"> - Badge Claim
</t>
    </r>
    <r>
      <rPr>
        <b/>
        <sz val="11"/>
        <color theme="1"/>
        <rFont val="Calibri"/>
        <family val="2"/>
        <scheme val="minor"/>
      </rPr>
      <t>TranscriptClaim</t>
    </r>
    <r>
      <rPr>
        <sz val="11"/>
        <color theme="1"/>
        <rFont val="Calibri"/>
        <family val="2"/>
        <scheme val="minor"/>
      </rPr>
      <t xml:space="preserve"> - Transcript Claim
</t>
    </r>
    <r>
      <rPr>
        <b/>
        <sz val="11"/>
        <color theme="1"/>
        <rFont val="Calibri"/>
        <family val="2"/>
        <scheme val="minor"/>
      </rPr>
      <t>VerifiedClaim</t>
    </r>
    <r>
      <rPr>
        <sz val="11"/>
        <color theme="1"/>
        <rFont val="Calibri"/>
        <family val="2"/>
        <scheme val="minor"/>
      </rPr>
      <t xml:space="preserve"> - Verified Claim
</t>
    </r>
  </si>
  <si>
    <r>
      <t>ApprenticeshipCertificate</t>
    </r>
    <r>
      <rPr>
        <sz val="11"/>
        <color theme="1"/>
        <rFont val="Calibri"/>
        <family val="2"/>
        <scheme val="minor"/>
      </rPr>
      <t xml:space="preserve"> - Apprenticeship Certificate
</t>
    </r>
    <r>
      <rPr>
        <b/>
        <sz val="11"/>
        <color theme="1"/>
        <rFont val="Calibri"/>
        <family val="2"/>
        <scheme val="minor"/>
      </rPr>
      <t>AssociateDegree</t>
    </r>
    <r>
      <rPr>
        <sz val="11"/>
        <color theme="1"/>
        <rFont val="Calibri"/>
        <family val="2"/>
        <scheme val="minor"/>
      </rPr>
      <t xml:space="preserve"> - Associate Degree
</t>
    </r>
    <r>
      <rPr>
        <b/>
        <sz val="11"/>
        <color theme="1"/>
        <rFont val="Calibri"/>
        <family val="2"/>
        <scheme val="minor"/>
      </rPr>
      <t>BachelorDegree</t>
    </r>
    <r>
      <rPr>
        <sz val="11"/>
        <color theme="1"/>
        <rFont val="Calibri"/>
        <family val="2"/>
        <scheme val="minor"/>
      </rPr>
      <t xml:space="preserve"> - Bachelor Degree
</t>
    </r>
    <r>
      <rPr>
        <b/>
        <sz val="11"/>
        <color theme="1"/>
        <rFont val="Calibri"/>
        <family val="2"/>
        <scheme val="minor"/>
      </rPr>
      <t>Badge</t>
    </r>
    <r>
      <rPr>
        <sz val="11"/>
        <color theme="1"/>
        <rFont val="Calibri"/>
        <family val="2"/>
        <scheme val="minor"/>
      </rPr>
      <t xml:space="preserve"> - Badge
</t>
    </r>
    <r>
      <rPr>
        <b/>
        <sz val="11"/>
        <color theme="1"/>
        <rFont val="Calibri"/>
        <family val="2"/>
        <scheme val="minor"/>
      </rPr>
      <t>Certificate</t>
    </r>
    <r>
      <rPr>
        <sz val="11"/>
        <color theme="1"/>
        <rFont val="Calibri"/>
        <family val="2"/>
        <scheme val="minor"/>
      </rPr>
      <t xml:space="preserve"> - Certificate
</t>
    </r>
    <r>
      <rPr>
        <b/>
        <sz val="11"/>
        <color theme="1"/>
        <rFont val="Calibri"/>
        <family val="2"/>
        <scheme val="minor"/>
      </rPr>
      <t>Certification</t>
    </r>
    <r>
      <rPr>
        <sz val="11"/>
        <color theme="1"/>
        <rFont val="Calibri"/>
        <family val="2"/>
        <scheme val="minor"/>
      </rPr>
      <t xml:space="preserve"> - Certification
</t>
    </r>
    <r>
      <rPr>
        <b/>
        <sz val="11"/>
        <color theme="1"/>
        <rFont val="Calibri"/>
        <family val="2"/>
        <scheme val="minor"/>
      </rPr>
      <t>ConditionProfile</t>
    </r>
    <r>
      <rPr>
        <sz val="11"/>
        <color theme="1"/>
        <rFont val="Calibri"/>
        <family val="2"/>
        <scheme val="minor"/>
      </rPr>
      <t xml:space="preserve"> - Condition Profile
</t>
    </r>
    <r>
      <rPr>
        <b/>
        <sz val="11"/>
        <color theme="1"/>
        <rFont val="Calibri"/>
        <family val="2"/>
        <scheme val="minor"/>
      </rPr>
      <t>Credential</t>
    </r>
    <r>
      <rPr>
        <sz val="11"/>
        <color theme="1"/>
        <rFont val="Calibri"/>
        <family val="2"/>
        <scheme val="minor"/>
      </rPr>
      <t xml:space="preserve"> - Credential
</t>
    </r>
    <r>
      <rPr>
        <b/>
        <sz val="11"/>
        <color theme="1"/>
        <rFont val="Calibri"/>
        <family val="2"/>
        <scheme val="minor"/>
      </rPr>
      <t>Degree</t>
    </r>
    <r>
      <rPr>
        <sz val="11"/>
        <color theme="1"/>
        <rFont val="Calibri"/>
        <family val="2"/>
        <scheme val="minor"/>
      </rPr>
      <t xml:space="preserve"> - Degree
</t>
    </r>
    <r>
      <rPr>
        <b/>
        <sz val="11"/>
        <color theme="1"/>
        <rFont val="Calibri"/>
        <family val="2"/>
        <scheme val="minor"/>
      </rPr>
      <t>DigitalBadge</t>
    </r>
    <r>
      <rPr>
        <sz val="11"/>
        <color theme="1"/>
        <rFont val="Calibri"/>
        <family val="2"/>
        <scheme val="minor"/>
      </rPr>
      <t xml:space="preserve"> - Digital Badge
</t>
    </r>
    <r>
      <rPr>
        <b/>
        <sz val="11"/>
        <color theme="1"/>
        <rFont val="Calibri"/>
        <family val="2"/>
        <scheme val="minor"/>
      </rPr>
      <t>Diploma</t>
    </r>
    <r>
      <rPr>
        <sz val="11"/>
        <color theme="1"/>
        <rFont val="Calibri"/>
        <family val="2"/>
        <scheme val="minor"/>
      </rPr>
      <t xml:space="preserve"> - Diploma
</t>
    </r>
    <r>
      <rPr>
        <b/>
        <sz val="11"/>
        <color theme="1"/>
        <rFont val="Calibri"/>
        <family val="2"/>
        <scheme val="minor"/>
      </rPr>
      <t>DoctoralDegree</t>
    </r>
    <r>
      <rPr>
        <sz val="11"/>
        <color theme="1"/>
        <rFont val="Calibri"/>
        <family val="2"/>
        <scheme val="minor"/>
      </rPr>
      <t xml:space="preserve"> - Doctoral Degree
</t>
    </r>
    <r>
      <rPr>
        <b/>
        <sz val="11"/>
        <color theme="1"/>
        <rFont val="Calibri"/>
        <family val="2"/>
        <scheme val="minor"/>
      </rPr>
      <t>GeneralEducationDevelopment</t>
    </r>
    <r>
      <rPr>
        <sz val="11"/>
        <color theme="1"/>
        <rFont val="Calibri"/>
        <family val="2"/>
        <scheme val="minor"/>
      </rPr>
      <t xml:space="preserve"> - General Education Development
</t>
    </r>
    <r>
      <rPr>
        <b/>
        <sz val="11"/>
        <color theme="1"/>
        <rFont val="Calibri"/>
        <family val="2"/>
        <scheme val="minor"/>
      </rPr>
      <t>JourneymanCertificate</t>
    </r>
    <r>
      <rPr>
        <sz val="11"/>
        <color theme="1"/>
        <rFont val="Calibri"/>
        <family val="2"/>
        <scheme val="minor"/>
      </rPr>
      <t xml:space="preserve"> - Journeyman Certificate
</t>
    </r>
    <r>
      <rPr>
        <b/>
        <sz val="11"/>
        <color theme="1"/>
        <rFont val="Calibri"/>
        <family val="2"/>
        <scheme val="minor"/>
      </rPr>
      <t>License</t>
    </r>
    <r>
      <rPr>
        <sz val="11"/>
        <color theme="1"/>
        <rFont val="Calibri"/>
        <family val="2"/>
        <scheme val="minor"/>
      </rPr>
      <t xml:space="preserve"> - License
</t>
    </r>
    <r>
      <rPr>
        <b/>
        <sz val="11"/>
        <color theme="1"/>
        <rFont val="Calibri"/>
        <family val="2"/>
        <scheme val="minor"/>
      </rPr>
      <t>MasterCertificate</t>
    </r>
    <r>
      <rPr>
        <sz val="11"/>
        <color theme="1"/>
        <rFont val="Calibri"/>
        <family val="2"/>
        <scheme val="minor"/>
      </rPr>
      <t xml:space="preserve"> - Master Certificate
</t>
    </r>
    <r>
      <rPr>
        <b/>
        <sz val="11"/>
        <color theme="1"/>
        <rFont val="Calibri"/>
        <family val="2"/>
        <scheme val="minor"/>
      </rPr>
      <t>MasterDegree</t>
    </r>
    <r>
      <rPr>
        <sz val="11"/>
        <color theme="1"/>
        <rFont val="Calibri"/>
        <family val="2"/>
        <scheme val="minor"/>
      </rPr>
      <t xml:space="preserve"> - Master Degree
</t>
    </r>
    <r>
      <rPr>
        <b/>
        <sz val="11"/>
        <color theme="1"/>
        <rFont val="Calibri"/>
        <family val="2"/>
        <scheme val="minor"/>
      </rPr>
      <t>MicroCredential</t>
    </r>
    <r>
      <rPr>
        <sz val="11"/>
        <color theme="1"/>
        <rFont val="Calibri"/>
        <family val="2"/>
        <scheme val="minor"/>
      </rPr>
      <t xml:space="preserve"> - Micro Credential
</t>
    </r>
    <r>
      <rPr>
        <b/>
        <sz val="11"/>
        <color theme="1"/>
        <rFont val="Calibri"/>
        <family val="2"/>
        <scheme val="minor"/>
      </rPr>
      <t>OpenBadge</t>
    </r>
    <r>
      <rPr>
        <sz val="11"/>
        <color theme="1"/>
        <rFont val="Calibri"/>
        <family val="2"/>
        <scheme val="minor"/>
      </rPr>
      <t xml:space="preserve"> - Open Badge
</t>
    </r>
    <r>
      <rPr>
        <b/>
        <sz val="11"/>
        <color theme="1"/>
        <rFont val="Calibri"/>
        <family val="2"/>
        <scheme val="minor"/>
      </rPr>
      <t>ProfessionalDoctorate</t>
    </r>
    <r>
      <rPr>
        <sz val="11"/>
        <color theme="1"/>
        <rFont val="Calibri"/>
        <family val="2"/>
        <scheme val="minor"/>
      </rPr>
      <t xml:space="preserve"> - Professional Doctorate
</t>
    </r>
    <r>
      <rPr>
        <b/>
        <sz val="11"/>
        <color theme="1"/>
        <rFont val="Calibri"/>
        <family val="2"/>
        <scheme val="minor"/>
      </rPr>
      <t>QualityAssuranceCredential</t>
    </r>
    <r>
      <rPr>
        <sz val="11"/>
        <color theme="1"/>
        <rFont val="Calibri"/>
        <family val="2"/>
        <scheme val="minor"/>
      </rPr>
      <t xml:space="preserve"> - Quality Assurance Credential
</t>
    </r>
    <r>
      <rPr>
        <b/>
        <sz val="11"/>
        <color theme="1"/>
        <rFont val="Calibri"/>
        <family val="2"/>
        <scheme val="minor"/>
      </rPr>
      <t>ResearchDoctorate</t>
    </r>
    <r>
      <rPr>
        <sz val="11"/>
        <color theme="1"/>
        <rFont val="Calibri"/>
        <family val="2"/>
        <scheme val="minor"/>
      </rPr>
      <t xml:space="preserve"> - Research Doctorate
</t>
    </r>
    <r>
      <rPr>
        <b/>
        <sz val="11"/>
        <color theme="1"/>
        <rFont val="Calibri"/>
        <family val="2"/>
        <scheme val="minor"/>
      </rPr>
      <t>SecondarySchoolDiploma</t>
    </r>
    <r>
      <rPr>
        <sz val="11"/>
        <color theme="1"/>
        <rFont val="Calibri"/>
        <family val="2"/>
        <scheme val="minor"/>
      </rPr>
      <t xml:space="preserve"> - Secondary School Diploma
</t>
    </r>
  </si>
  <si>
    <t>Credential Offered</t>
  </si>
  <si>
    <t>Competencies</t>
  </si>
  <si>
    <t>Competency Framework</t>
  </si>
  <si>
    <r>
      <t>Adopted</t>
    </r>
    <r>
      <rPr>
        <sz val="11"/>
        <color theme="1"/>
        <rFont val="Calibri"/>
        <family val="2"/>
        <scheme val="minor"/>
      </rPr>
      <t xml:space="preserve"> - Adopted
</t>
    </r>
    <r>
      <rPr>
        <b/>
        <sz val="11"/>
        <color theme="1"/>
        <rFont val="Calibri"/>
        <family val="2"/>
        <scheme val="minor"/>
      </rPr>
      <t>Draft</t>
    </r>
    <r>
      <rPr>
        <sz val="11"/>
        <color theme="1"/>
        <rFont val="Calibri"/>
        <family val="2"/>
        <scheme val="minor"/>
      </rPr>
      <t xml:space="preserve"> - Draft
</t>
    </r>
    <r>
      <rPr>
        <b/>
        <sz val="11"/>
        <color theme="1"/>
        <rFont val="Calibri"/>
        <family val="2"/>
        <scheme val="minor"/>
      </rPr>
      <t>Published</t>
    </r>
    <r>
      <rPr>
        <sz val="11"/>
        <color theme="1"/>
        <rFont val="Calibri"/>
        <family val="2"/>
        <scheme val="minor"/>
      </rPr>
      <t xml:space="preserve"> - Published
</t>
    </r>
    <r>
      <rPr>
        <b/>
        <sz val="11"/>
        <color theme="1"/>
        <rFont val="Calibri"/>
        <family val="2"/>
        <scheme val="minor"/>
      </rPr>
      <t>Deprecated</t>
    </r>
    <r>
      <rPr>
        <sz val="11"/>
        <color theme="1"/>
        <rFont val="Calibri"/>
        <family val="2"/>
        <scheme val="minor"/>
      </rPr>
      <t xml:space="preserve"> - Deprecated
</t>
    </r>
    <r>
      <rPr>
        <b/>
        <sz val="11"/>
        <color theme="1"/>
        <rFont val="Calibri"/>
        <family val="2"/>
        <scheme val="minor"/>
      </rPr>
      <t>Unknown</t>
    </r>
    <r>
      <rPr>
        <sz val="11"/>
        <color theme="1"/>
        <rFont val="Calibri"/>
        <family val="2"/>
        <scheme val="minor"/>
      </rPr>
      <t xml:space="preserve"> - Unknown
</t>
    </r>
  </si>
  <si>
    <t>Competency Definition</t>
  </si>
  <si>
    <r>
      <t>SingleIndicator</t>
    </r>
    <r>
      <rPr>
        <sz val="11"/>
        <color theme="1"/>
        <rFont val="Calibri"/>
        <family val="2"/>
        <scheme val="minor"/>
      </rPr>
      <t xml:space="preserve"> - Single Indicator
</t>
    </r>
    <r>
      <rPr>
        <b/>
        <sz val="11"/>
        <color theme="1"/>
        <rFont val="Calibri"/>
        <family val="2"/>
        <scheme val="minor"/>
      </rPr>
      <t>MultipleIndicator</t>
    </r>
    <r>
      <rPr>
        <sz val="11"/>
        <color theme="1"/>
        <rFont val="Calibri"/>
        <family val="2"/>
        <scheme val="minor"/>
      </rPr>
      <t xml:space="preserve"> - Multiple Indicator
</t>
    </r>
    <r>
      <rPr>
        <b/>
        <sz val="11"/>
        <color theme="1"/>
        <rFont val="Calibri"/>
        <family val="2"/>
        <scheme val="minor"/>
      </rPr>
      <t>MultipleCompetency</t>
    </r>
    <r>
      <rPr>
        <sz val="11"/>
        <color theme="1"/>
        <rFont val="Calibri"/>
        <family val="2"/>
        <scheme val="minor"/>
      </rPr>
      <t xml:space="preserve"> - Multiple Competency
</t>
    </r>
    <r>
      <rPr>
        <b/>
        <sz val="11"/>
        <color theme="1"/>
        <rFont val="Calibri"/>
        <family val="2"/>
        <scheme val="minor"/>
      </rPr>
      <t>CannotBeAssessed</t>
    </r>
    <r>
      <rPr>
        <sz val="11"/>
        <color theme="1"/>
        <rFont val="Calibri"/>
        <family val="2"/>
        <scheme val="minor"/>
      </rPr>
      <t xml:space="preserve"> - Cannot be assessed
</t>
    </r>
  </si>
  <si>
    <r>
      <t>Cognitive</t>
    </r>
    <r>
      <rPr>
        <sz val="11"/>
        <color theme="1"/>
        <rFont val="Calibri"/>
        <family val="2"/>
        <scheme val="minor"/>
      </rPr>
      <t xml:space="preserve"> - Cognitive
</t>
    </r>
    <r>
      <rPr>
        <b/>
        <sz val="11"/>
        <color theme="1"/>
        <rFont val="Calibri"/>
        <family val="2"/>
        <scheme val="minor"/>
      </rPr>
      <t>Affective</t>
    </r>
    <r>
      <rPr>
        <sz val="11"/>
        <color theme="1"/>
        <rFont val="Calibri"/>
        <family val="2"/>
        <scheme val="minor"/>
      </rPr>
      <t xml:space="preserve"> - Affective
</t>
    </r>
    <r>
      <rPr>
        <b/>
        <sz val="11"/>
        <color theme="1"/>
        <rFont val="Calibri"/>
        <family val="2"/>
        <scheme val="minor"/>
      </rPr>
      <t>Psychomotor</t>
    </r>
    <r>
      <rPr>
        <sz val="11"/>
        <color theme="1"/>
        <rFont val="Calibri"/>
        <family val="2"/>
        <scheme val="minor"/>
      </rPr>
      <t xml:space="preserve"> - Psychomotor
</t>
    </r>
  </si>
  <si>
    <r>
      <t>Linguistic</t>
    </r>
    <r>
      <rPr>
        <sz val="11"/>
        <color theme="1"/>
        <rFont val="Calibri"/>
        <family val="2"/>
        <scheme val="minor"/>
      </rPr>
      <t xml:space="preserve"> - Linguistic
</t>
    </r>
    <r>
      <rPr>
        <b/>
        <sz val="11"/>
        <color theme="1"/>
        <rFont val="Calibri"/>
        <family val="2"/>
        <scheme val="minor"/>
      </rPr>
      <t>Logic-mathematical</t>
    </r>
    <r>
      <rPr>
        <sz val="11"/>
        <color theme="1"/>
        <rFont val="Calibri"/>
        <family val="2"/>
        <scheme val="minor"/>
      </rPr>
      <t xml:space="preserve"> - Logic-mathematical
</t>
    </r>
    <r>
      <rPr>
        <b/>
        <sz val="11"/>
        <color theme="1"/>
        <rFont val="Calibri"/>
        <family val="2"/>
        <scheme val="minor"/>
      </rPr>
      <t>Musical</t>
    </r>
    <r>
      <rPr>
        <sz val="11"/>
        <color theme="1"/>
        <rFont val="Calibri"/>
        <family val="2"/>
        <scheme val="minor"/>
      </rPr>
      <t xml:space="preserve"> - Musical
</t>
    </r>
    <r>
      <rPr>
        <b/>
        <sz val="11"/>
        <color theme="1"/>
        <rFont val="Calibri"/>
        <family val="2"/>
        <scheme val="minor"/>
      </rPr>
      <t>Spatial</t>
    </r>
    <r>
      <rPr>
        <sz val="11"/>
        <color theme="1"/>
        <rFont val="Calibri"/>
        <family val="2"/>
        <scheme val="minor"/>
      </rPr>
      <t xml:space="preserve"> - Spatial
</t>
    </r>
    <r>
      <rPr>
        <b/>
        <sz val="11"/>
        <color theme="1"/>
        <rFont val="Calibri"/>
        <family val="2"/>
        <scheme val="minor"/>
      </rPr>
      <t>BodilyKinesthetic</t>
    </r>
    <r>
      <rPr>
        <sz val="11"/>
        <color theme="1"/>
        <rFont val="Calibri"/>
        <family val="2"/>
        <scheme val="minor"/>
      </rPr>
      <t xml:space="preserve"> - Bodily/kinesthetic
</t>
    </r>
    <r>
      <rPr>
        <b/>
        <sz val="11"/>
        <color theme="1"/>
        <rFont val="Calibri"/>
        <family val="2"/>
        <scheme val="minor"/>
      </rPr>
      <t>Interpersonal</t>
    </r>
    <r>
      <rPr>
        <sz val="11"/>
        <color theme="1"/>
        <rFont val="Calibri"/>
        <family val="2"/>
        <scheme val="minor"/>
      </rPr>
      <t xml:space="preserve"> - Interpersonal
</t>
    </r>
    <r>
      <rPr>
        <b/>
        <sz val="11"/>
        <color theme="1"/>
        <rFont val="Calibri"/>
        <family val="2"/>
        <scheme val="minor"/>
      </rPr>
      <t>Intrapersonal</t>
    </r>
    <r>
      <rPr>
        <sz val="11"/>
        <color theme="1"/>
        <rFont val="Calibri"/>
        <family val="2"/>
        <scheme val="minor"/>
      </rPr>
      <t xml:space="preserve"> - Intrapersonal
</t>
    </r>
    <r>
      <rPr>
        <b/>
        <sz val="11"/>
        <color theme="1"/>
        <rFont val="Calibri"/>
        <family val="2"/>
        <scheme val="minor"/>
      </rPr>
      <t>Naturalistic</t>
    </r>
    <r>
      <rPr>
        <sz val="11"/>
        <color theme="1"/>
        <rFont val="Calibri"/>
        <family val="2"/>
        <scheme val="minor"/>
      </rPr>
      <t xml:space="preserve"> - Naturalistic
</t>
    </r>
  </si>
  <si>
    <r>
      <t>Vision</t>
    </r>
    <r>
      <rPr>
        <sz val="11"/>
        <color theme="1"/>
        <rFont val="Calibri"/>
        <family val="2"/>
        <scheme val="minor"/>
      </rPr>
      <t xml:space="preserve"> - Vision
</t>
    </r>
    <r>
      <rPr>
        <b/>
        <sz val="11"/>
        <color theme="1"/>
        <rFont val="Calibri"/>
        <family val="2"/>
        <scheme val="minor"/>
      </rPr>
      <t>Hearing</t>
    </r>
    <r>
      <rPr>
        <sz val="11"/>
        <color theme="1"/>
        <rFont val="Calibri"/>
        <family val="2"/>
        <scheme val="minor"/>
      </rPr>
      <t xml:space="preserve"> - Hearing
</t>
    </r>
    <r>
      <rPr>
        <b/>
        <sz val="11"/>
        <color theme="1"/>
        <rFont val="Calibri"/>
        <family val="2"/>
        <scheme val="minor"/>
      </rPr>
      <t>Communication</t>
    </r>
    <r>
      <rPr>
        <sz val="11"/>
        <color theme="1"/>
        <rFont val="Calibri"/>
        <family val="2"/>
        <scheme val="minor"/>
      </rPr>
      <t xml:space="preserve"> - Communication
</t>
    </r>
    <r>
      <rPr>
        <b/>
        <sz val="11"/>
        <color theme="1"/>
        <rFont val="Calibri"/>
        <family val="2"/>
        <scheme val="minor"/>
      </rPr>
      <t>Mobility</t>
    </r>
    <r>
      <rPr>
        <sz val="11"/>
        <color theme="1"/>
        <rFont val="Calibri"/>
        <family val="2"/>
        <scheme val="minor"/>
      </rPr>
      <t xml:space="preserve"> - Mobility
</t>
    </r>
    <r>
      <rPr>
        <b/>
        <sz val="11"/>
        <color theme="1"/>
        <rFont val="Calibri"/>
        <family val="2"/>
        <scheme val="minor"/>
      </rPr>
      <t>General</t>
    </r>
    <r>
      <rPr>
        <sz val="11"/>
        <color theme="1"/>
        <rFont val="Calibri"/>
        <family val="2"/>
        <scheme val="minor"/>
      </rPr>
      <t xml:space="preserve"> - General
</t>
    </r>
  </si>
  <si>
    <t>Competency Association</t>
  </si>
  <si>
    <r>
      <t>Prerequisite</t>
    </r>
    <r>
      <rPr>
        <sz val="11"/>
        <color theme="1"/>
        <rFont val="Calibri"/>
        <family val="2"/>
        <scheme val="minor"/>
      </rPr>
      <t xml:space="preserve"> - Prerequisite
</t>
    </r>
    <r>
      <rPr>
        <b/>
        <sz val="11"/>
        <color theme="1"/>
        <rFont val="Calibri"/>
        <family val="2"/>
        <scheme val="minor"/>
      </rPr>
      <t>ConformsTo</t>
    </r>
    <r>
      <rPr>
        <sz val="11"/>
        <color theme="1"/>
        <rFont val="Calibri"/>
        <family val="2"/>
        <scheme val="minor"/>
      </rPr>
      <t xml:space="preserve"> - Conforms To
</t>
    </r>
    <r>
      <rPr>
        <b/>
        <sz val="11"/>
        <color theme="1"/>
        <rFont val="Calibri"/>
        <family val="2"/>
        <scheme val="minor"/>
      </rPr>
      <t>Defines</t>
    </r>
    <r>
      <rPr>
        <sz val="11"/>
        <color theme="1"/>
        <rFont val="Calibri"/>
        <family val="2"/>
        <scheme val="minor"/>
      </rPr>
      <t xml:space="preserve"> - Defines
</t>
    </r>
    <r>
      <rPr>
        <b/>
        <sz val="11"/>
        <color theme="1"/>
        <rFont val="Calibri"/>
        <family val="2"/>
        <scheme val="minor"/>
      </rPr>
      <t>HasFormat</t>
    </r>
    <r>
      <rPr>
        <sz val="11"/>
        <color theme="1"/>
        <rFont val="Calibri"/>
        <family val="2"/>
        <scheme val="minor"/>
      </rPr>
      <t xml:space="preserve"> - Has Format
</t>
    </r>
    <r>
      <rPr>
        <b/>
        <sz val="11"/>
        <color theme="1"/>
        <rFont val="Calibri"/>
        <family val="2"/>
        <scheme val="minor"/>
      </rPr>
      <t>HasPart</t>
    </r>
    <r>
      <rPr>
        <sz val="11"/>
        <color theme="1"/>
        <rFont val="Calibri"/>
        <family val="2"/>
        <scheme val="minor"/>
      </rPr>
      <t xml:space="preserve"> - Has Part
</t>
    </r>
    <r>
      <rPr>
        <b/>
        <sz val="11"/>
        <color theme="1"/>
        <rFont val="Calibri"/>
        <family val="2"/>
        <scheme val="minor"/>
      </rPr>
      <t>HasVersion</t>
    </r>
    <r>
      <rPr>
        <sz val="11"/>
        <color theme="1"/>
        <rFont val="Calibri"/>
        <family val="2"/>
        <scheme val="minor"/>
      </rPr>
      <t xml:space="preserve"> - Has Version
</t>
    </r>
    <r>
      <rPr>
        <b/>
        <sz val="11"/>
        <color theme="1"/>
        <rFont val="Calibri"/>
        <family val="2"/>
        <scheme val="minor"/>
      </rPr>
      <t>IsAssessedBy</t>
    </r>
    <r>
      <rPr>
        <sz val="11"/>
        <color theme="1"/>
        <rFont val="Calibri"/>
        <family val="2"/>
        <scheme val="minor"/>
      </rPr>
      <t xml:space="preserve"> - Is Assessed By
</t>
    </r>
    <r>
      <rPr>
        <b/>
        <sz val="11"/>
        <color theme="1"/>
        <rFont val="Calibri"/>
        <family val="2"/>
        <scheme val="minor"/>
      </rPr>
      <t>IsConformedTo</t>
    </r>
    <r>
      <rPr>
        <sz val="11"/>
        <color theme="1"/>
        <rFont val="Calibri"/>
        <family val="2"/>
        <scheme val="minor"/>
      </rPr>
      <t xml:space="preserve"> - Is Conformed To
</t>
    </r>
    <r>
      <rPr>
        <b/>
        <sz val="11"/>
        <color theme="1"/>
        <rFont val="Calibri"/>
        <family val="2"/>
        <scheme val="minor"/>
      </rPr>
      <t>IsDefinedBy</t>
    </r>
    <r>
      <rPr>
        <sz val="11"/>
        <color theme="1"/>
        <rFont val="Calibri"/>
        <family val="2"/>
        <scheme val="minor"/>
      </rPr>
      <t xml:space="preserve"> - Is Defined By
</t>
    </r>
    <r>
      <rPr>
        <b/>
        <sz val="11"/>
        <color theme="1"/>
        <rFont val="Calibri"/>
        <family val="2"/>
        <scheme val="minor"/>
      </rPr>
      <t>FormatOf</t>
    </r>
    <r>
      <rPr>
        <sz val="11"/>
        <color theme="1"/>
        <rFont val="Calibri"/>
        <family val="2"/>
        <scheme val="minor"/>
      </rPr>
      <t xml:space="preserve"> - Is Format of
</t>
    </r>
    <r>
      <rPr>
        <b/>
        <sz val="11"/>
        <color theme="1"/>
        <rFont val="Calibri"/>
        <family val="2"/>
        <scheme val="minor"/>
      </rPr>
      <t>IsPartOf</t>
    </r>
    <r>
      <rPr>
        <sz val="11"/>
        <color theme="1"/>
        <rFont val="Calibri"/>
        <family val="2"/>
        <scheme val="minor"/>
      </rPr>
      <t xml:space="preserve"> - Is Part Of
</t>
    </r>
    <r>
      <rPr>
        <b/>
        <sz val="11"/>
        <color theme="1"/>
        <rFont val="Calibri"/>
        <family val="2"/>
        <scheme val="minor"/>
      </rPr>
      <t>IsPrerequisiteTo</t>
    </r>
    <r>
      <rPr>
        <sz val="11"/>
        <color theme="1"/>
        <rFont val="Calibri"/>
        <family val="2"/>
        <scheme val="minor"/>
      </rPr>
      <t xml:space="preserve"> - Is Prerequisite To
</t>
    </r>
    <r>
      <rPr>
        <b/>
        <sz val="11"/>
        <color theme="1"/>
        <rFont val="Calibri"/>
        <family val="2"/>
        <scheme val="minor"/>
      </rPr>
      <t>ReferencedBy</t>
    </r>
    <r>
      <rPr>
        <sz val="11"/>
        <color theme="1"/>
        <rFont val="Calibri"/>
        <family val="2"/>
        <scheme val="minor"/>
      </rPr>
      <t xml:space="preserve"> - Is Referenced By
</t>
    </r>
    <r>
      <rPr>
        <b/>
        <sz val="11"/>
        <color theme="1"/>
        <rFont val="Calibri"/>
        <family val="2"/>
        <scheme val="minor"/>
      </rPr>
      <t>ReplacedBy</t>
    </r>
    <r>
      <rPr>
        <sz val="11"/>
        <color theme="1"/>
        <rFont val="Calibri"/>
        <family val="2"/>
        <scheme val="minor"/>
      </rPr>
      <t xml:space="preserve"> - Is Replaced By
</t>
    </r>
    <r>
      <rPr>
        <b/>
        <sz val="11"/>
        <color theme="1"/>
        <rFont val="Calibri"/>
        <family val="2"/>
        <scheme val="minor"/>
      </rPr>
      <t>RequiredBy</t>
    </r>
    <r>
      <rPr>
        <sz val="11"/>
        <color theme="1"/>
        <rFont val="Calibri"/>
        <family val="2"/>
        <scheme val="minor"/>
      </rPr>
      <t xml:space="preserve"> - Is Required By
</t>
    </r>
    <r>
      <rPr>
        <b/>
        <sz val="11"/>
        <color theme="1"/>
        <rFont val="Calibri"/>
        <family val="2"/>
        <scheme val="minor"/>
      </rPr>
      <t>IsTaughtBy</t>
    </r>
    <r>
      <rPr>
        <sz val="11"/>
        <color theme="1"/>
        <rFont val="Calibri"/>
        <family val="2"/>
        <scheme val="minor"/>
      </rPr>
      <t xml:space="preserve"> - Is Taught By
</t>
    </r>
    <r>
      <rPr>
        <b/>
        <sz val="11"/>
        <color theme="1"/>
        <rFont val="Calibri"/>
        <family val="2"/>
        <scheme val="minor"/>
      </rPr>
      <t>VersionOf</t>
    </r>
    <r>
      <rPr>
        <sz val="11"/>
        <color theme="1"/>
        <rFont val="Calibri"/>
        <family val="2"/>
        <scheme val="minor"/>
      </rPr>
      <t xml:space="preserve"> - Is Version Of
</t>
    </r>
    <r>
      <rPr>
        <b/>
        <sz val="11"/>
        <color theme="1"/>
        <rFont val="Calibri"/>
        <family val="2"/>
        <scheme val="minor"/>
      </rPr>
      <t>Referenced</t>
    </r>
    <r>
      <rPr>
        <sz val="11"/>
        <color theme="1"/>
        <rFont val="Calibri"/>
        <family val="2"/>
        <scheme val="minor"/>
      </rPr>
      <t xml:space="preserve"> - Referenced
</t>
    </r>
    <r>
      <rPr>
        <b/>
        <sz val="11"/>
        <color theme="1"/>
        <rFont val="Calibri"/>
        <family val="2"/>
        <scheme val="minor"/>
      </rPr>
      <t>Assesses</t>
    </r>
    <r>
      <rPr>
        <sz val="11"/>
        <color theme="1"/>
        <rFont val="Calibri"/>
        <family val="2"/>
        <scheme val="minor"/>
      </rPr>
      <t xml:space="preserve"> - Assesses
</t>
    </r>
    <r>
      <rPr>
        <b/>
        <sz val="11"/>
        <color theme="1"/>
        <rFont val="Calibri"/>
        <family val="2"/>
        <scheme val="minor"/>
      </rPr>
      <t>Teaches</t>
    </r>
    <r>
      <rPr>
        <sz val="11"/>
        <color theme="1"/>
        <rFont val="Calibri"/>
        <family val="2"/>
        <scheme val="minor"/>
      </rPr>
      <t xml:space="preserve"> - Teaches
</t>
    </r>
    <r>
      <rPr>
        <b/>
        <sz val="11"/>
        <color theme="1"/>
        <rFont val="Calibri"/>
        <family val="2"/>
        <scheme val="minor"/>
      </rPr>
      <t>Requires</t>
    </r>
    <r>
      <rPr>
        <sz val="11"/>
        <color theme="1"/>
        <rFont val="Calibri"/>
        <family val="2"/>
        <scheme val="minor"/>
      </rPr>
      <t xml:space="preserve"> - Requires
</t>
    </r>
    <r>
      <rPr>
        <b/>
        <sz val="11"/>
        <color theme="1"/>
        <rFont val="Calibri"/>
        <family val="2"/>
        <scheme val="minor"/>
      </rPr>
      <t>ComplexityLevel</t>
    </r>
    <r>
      <rPr>
        <sz val="11"/>
        <color theme="1"/>
        <rFont val="Calibri"/>
        <family val="2"/>
        <scheme val="minor"/>
      </rPr>
      <t xml:space="preserve"> - Complexity Level
</t>
    </r>
    <r>
      <rPr>
        <b/>
        <sz val="11"/>
        <color theme="1"/>
        <rFont val="Calibri"/>
        <family val="2"/>
        <scheme val="minor"/>
      </rPr>
      <t>ReadingLevel</t>
    </r>
    <r>
      <rPr>
        <sz val="11"/>
        <color theme="1"/>
        <rFont val="Calibri"/>
        <family val="2"/>
        <scheme val="minor"/>
      </rPr>
      <t xml:space="preserve"> - Reading Level
</t>
    </r>
    <r>
      <rPr>
        <b/>
        <sz val="11"/>
        <color theme="1"/>
        <rFont val="Calibri"/>
        <family val="2"/>
        <scheme val="minor"/>
      </rPr>
      <t>EducationalSubject</t>
    </r>
    <r>
      <rPr>
        <sz val="11"/>
        <color theme="1"/>
        <rFont val="Calibri"/>
        <family val="2"/>
        <scheme val="minor"/>
      </rPr>
      <t xml:space="preserve"> - Educational Subject
</t>
    </r>
    <r>
      <rPr>
        <b/>
        <sz val="11"/>
        <color theme="1"/>
        <rFont val="Calibri"/>
        <family val="2"/>
        <scheme val="minor"/>
      </rPr>
      <t>EducationLevel</t>
    </r>
    <r>
      <rPr>
        <sz val="11"/>
        <color theme="1"/>
        <rFont val="Calibri"/>
        <family val="2"/>
        <scheme val="minor"/>
      </rPr>
      <t xml:space="preserve"> - Education Level
</t>
    </r>
    <r>
      <rPr>
        <b/>
        <sz val="11"/>
        <color theme="1"/>
        <rFont val="Calibri"/>
        <family val="2"/>
        <scheme val="minor"/>
      </rPr>
      <t>Precedes</t>
    </r>
    <r>
      <rPr>
        <sz val="11"/>
        <color theme="1"/>
        <rFont val="Calibri"/>
        <family val="2"/>
        <scheme val="minor"/>
      </rPr>
      <t xml:space="preserve"> - Precedes
</t>
    </r>
    <r>
      <rPr>
        <b/>
        <sz val="11"/>
        <color theme="1"/>
        <rFont val="Calibri"/>
        <family val="2"/>
        <scheme val="minor"/>
      </rPr>
      <t>Follows</t>
    </r>
    <r>
      <rPr>
        <sz val="11"/>
        <color theme="1"/>
        <rFont val="Calibri"/>
        <family val="2"/>
        <scheme val="minor"/>
      </rPr>
      <t xml:space="preserve"> - Follows
</t>
    </r>
    <r>
      <rPr>
        <b/>
        <sz val="11"/>
        <color theme="1"/>
        <rFont val="Calibri"/>
        <family val="2"/>
        <scheme val="minor"/>
      </rPr>
      <t>IsConcurrentTo</t>
    </r>
    <r>
      <rPr>
        <sz val="11"/>
        <color theme="1"/>
        <rFont val="Calibri"/>
        <family val="2"/>
        <scheme val="minor"/>
      </rPr>
      <t xml:space="preserve"> - Is Concurrent To
</t>
    </r>
  </si>
  <si>
    <t>Competency Set</t>
  </si>
  <si>
    <r>
      <t>All</t>
    </r>
    <r>
      <rPr>
        <sz val="11"/>
        <color theme="1"/>
        <rFont val="Calibri"/>
        <family val="2"/>
        <scheme val="minor"/>
      </rPr>
      <t xml:space="preserve"> - All
</t>
    </r>
    <r>
      <rPr>
        <b/>
        <sz val="11"/>
        <color theme="1"/>
        <rFont val="Calibri"/>
        <family val="2"/>
        <scheme val="minor"/>
      </rPr>
      <t>AtLeast</t>
    </r>
    <r>
      <rPr>
        <sz val="11"/>
        <color theme="1"/>
        <rFont val="Calibri"/>
        <family val="2"/>
        <scheme val="minor"/>
      </rPr>
      <t xml:space="preserve"> - At Least
</t>
    </r>
  </si>
  <si>
    <t>Learning Resources</t>
  </si>
  <si>
    <t>Learning Resource</t>
  </si>
  <si>
    <r>
      <t>AlternateAssessment</t>
    </r>
    <r>
      <rPr>
        <sz val="11"/>
        <color theme="1"/>
        <rFont val="Calibri"/>
        <family val="2"/>
        <scheme val="minor"/>
      </rPr>
      <t xml:space="preserve"> - Alternate Assessment
</t>
    </r>
    <r>
      <rPr>
        <b/>
        <sz val="11"/>
        <color theme="1"/>
        <rFont val="Calibri"/>
        <family val="2"/>
        <scheme val="minor"/>
      </rPr>
      <t>AssessmentItem</t>
    </r>
    <r>
      <rPr>
        <sz val="11"/>
        <color theme="1"/>
        <rFont val="Calibri"/>
        <family val="2"/>
        <scheme val="minor"/>
      </rPr>
      <t xml:space="preserve"> - Assessment Item
</t>
    </r>
    <r>
      <rPr>
        <b/>
        <sz val="11"/>
        <color theme="1"/>
        <rFont val="Calibri"/>
        <family val="2"/>
        <scheme val="minor"/>
      </rPr>
      <t>Course</t>
    </r>
    <r>
      <rPr>
        <sz val="11"/>
        <color theme="1"/>
        <rFont val="Calibri"/>
        <family val="2"/>
        <scheme val="minor"/>
      </rPr>
      <t xml:space="preserve"> - Course
</t>
    </r>
    <r>
      <rPr>
        <b/>
        <sz val="11"/>
        <color theme="1"/>
        <rFont val="Calibri"/>
        <family val="2"/>
        <scheme val="minor"/>
      </rPr>
      <t>DemonstrationSimulation</t>
    </r>
    <r>
      <rPr>
        <sz val="11"/>
        <color theme="1"/>
        <rFont val="Calibri"/>
        <family val="2"/>
        <scheme val="minor"/>
      </rPr>
      <t xml:space="preserve"> - Demonstration/Simulation
</t>
    </r>
    <r>
      <rPr>
        <b/>
        <sz val="11"/>
        <color theme="1"/>
        <rFont val="Calibri"/>
        <family val="2"/>
        <scheme val="minor"/>
      </rPr>
      <t>EducatorCurriculumGuide</t>
    </r>
    <r>
      <rPr>
        <sz val="11"/>
        <color theme="1"/>
        <rFont val="Calibri"/>
        <family val="2"/>
        <scheme val="minor"/>
      </rPr>
      <t xml:space="preserve"> - Educator/Curriculum Guide
</t>
    </r>
    <r>
      <rPr>
        <b/>
        <sz val="11"/>
        <color theme="1"/>
        <rFont val="Calibri"/>
        <family val="2"/>
        <scheme val="minor"/>
      </rPr>
      <t>FormativeAssessment</t>
    </r>
    <r>
      <rPr>
        <sz val="11"/>
        <color theme="1"/>
        <rFont val="Calibri"/>
        <family val="2"/>
        <scheme val="minor"/>
      </rPr>
      <t xml:space="preserve"> - Formative assessment
</t>
    </r>
    <r>
      <rPr>
        <b/>
        <sz val="11"/>
        <color theme="1"/>
        <rFont val="Calibri"/>
        <family val="2"/>
        <scheme val="minor"/>
      </rPr>
      <t>ImagesVisuals</t>
    </r>
    <r>
      <rPr>
        <sz val="11"/>
        <color theme="1"/>
        <rFont val="Calibri"/>
        <family val="2"/>
        <scheme val="minor"/>
      </rPr>
      <t xml:space="preserve"> - Images/Visuals
</t>
    </r>
    <r>
      <rPr>
        <b/>
        <sz val="11"/>
        <color theme="1"/>
        <rFont val="Calibri"/>
        <family val="2"/>
        <scheme val="minor"/>
      </rPr>
      <t>InterimSummativeAssessment</t>
    </r>
    <r>
      <rPr>
        <sz val="11"/>
        <color theme="1"/>
        <rFont val="Calibri"/>
        <family val="2"/>
        <scheme val="minor"/>
      </rPr>
      <t xml:space="preserve"> - Interim/Summative Assessment
</t>
    </r>
    <r>
      <rPr>
        <b/>
        <sz val="11"/>
        <color theme="1"/>
        <rFont val="Calibri"/>
        <family val="2"/>
        <scheme val="minor"/>
      </rPr>
      <t>LearningActivity</t>
    </r>
    <r>
      <rPr>
        <sz val="11"/>
        <color theme="1"/>
        <rFont val="Calibri"/>
        <family val="2"/>
        <scheme val="minor"/>
      </rPr>
      <t xml:space="preserve"> - Learning Activity
</t>
    </r>
    <r>
      <rPr>
        <b/>
        <sz val="11"/>
        <color theme="1"/>
        <rFont val="Calibri"/>
        <family val="2"/>
        <scheme val="minor"/>
      </rPr>
      <t>Lesson</t>
    </r>
    <r>
      <rPr>
        <sz val="11"/>
        <color theme="1"/>
        <rFont val="Calibri"/>
        <family val="2"/>
        <scheme val="minor"/>
      </rPr>
      <t xml:space="preserve"> - Lesson
</t>
    </r>
    <r>
      <rPr>
        <b/>
        <sz val="11"/>
        <color theme="1"/>
        <rFont val="Calibri"/>
        <family val="2"/>
        <scheme val="minor"/>
      </rPr>
      <t>PrimarySource</t>
    </r>
    <r>
      <rPr>
        <sz val="11"/>
        <color theme="1"/>
        <rFont val="Calibri"/>
        <family val="2"/>
        <scheme val="minor"/>
      </rPr>
      <t xml:space="preserve"> - Primary Source
</t>
    </r>
    <r>
      <rPr>
        <b/>
        <sz val="11"/>
        <color theme="1"/>
        <rFont val="Calibri"/>
        <family val="2"/>
        <scheme val="minor"/>
      </rPr>
      <t>RubricScoringGuide</t>
    </r>
    <r>
      <rPr>
        <sz val="11"/>
        <color theme="1"/>
        <rFont val="Calibri"/>
        <family val="2"/>
        <scheme val="minor"/>
      </rPr>
      <t xml:space="preserve"> - Rubric/Scoring Guide
</t>
    </r>
    <r>
      <rPr>
        <b/>
        <sz val="11"/>
        <color theme="1"/>
        <rFont val="Calibri"/>
        <family val="2"/>
        <scheme val="minor"/>
      </rPr>
      <t>SelfAssessment</t>
    </r>
    <r>
      <rPr>
        <sz val="11"/>
        <color theme="1"/>
        <rFont val="Calibri"/>
        <family val="2"/>
        <scheme val="minor"/>
      </rPr>
      <t xml:space="preserve"> - Self Assessment
</t>
    </r>
    <r>
      <rPr>
        <b/>
        <sz val="11"/>
        <color theme="1"/>
        <rFont val="Calibri"/>
        <family val="2"/>
        <scheme val="minor"/>
      </rPr>
      <t>Text</t>
    </r>
    <r>
      <rPr>
        <sz val="11"/>
        <color theme="1"/>
        <rFont val="Calibri"/>
        <family val="2"/>
        <scheme val="minor"/>
      </rPr>
      <t xml:space="preserve"> - Text
</t>
    </r>
    <r>
      <rPr>
        <b/>
        <sz val="11"/>
        <color theme="1"/>
        <rFont val="Calibri"/>
        <family val="2"/>
        <scheme val="minor"/>
      </rPr>
      <t>Textbook</t>
    </r>
    <r>
      <rPr>
        <sz val="11"/>
        <color theme="1"/>
        <rFont val="Calibri"/>
        <family val="2"/>
        <scheme val="minor"/>
      </rPr>
      <t xml:space="preserve"> - Textbook
</t>
    </r>
    <r>
      <rPr>
        <b/>
        <sz val="11"/>
        <color theme="1"/>
        <rFont val="Calibri"/>
        <family val="2"/>
        <scheme val="minor"/>
      </rPr>
      <t>Unit</t>
    </r>
    <r>
      <rPr>
        <sz val="11"/>
        <color theme="1"/>
        <rFont val="Calibri"/>
        <family val="2"/>
        <scheme val="minor"/>
      </rPr>
      <t xml:space="preserve"> - Unit
</t>
    </r>
    <r>
      <rPr>
        <b/>
        <sz val="11"/>
        <color theme="1"/>
        <rFont val="Calibri"/>
        <family val="2"/>
        <scheme val="minor"/>
      </rPr>
      <t>Other</t>
    </r>
    <r>
      <rPr>
        <sz val="11"/>
        <color theme="1"/>
        <rFont val="Calibri"/>
        <family val="2"/>
        <scheme val="minor"/>
      </rPr>
      <t xml:space="preserve"> - Other
</t>
    </r>
  </si>
  <si>
    <r>
      <t>AndroidAccessibility</t>
    </r>
    <r>
      <rPr>
        <sz val="11"/>
        <color theme="1"/>
        <rFont val="Calibri"/>
        <family val="2"/>
        <scheme val="minor"/>
      </rPr>
      <t xml:space="preserve"> - Android Accessibility
</t>
    </r>
    <r>
      <rPr>
        <b/>
        <sz val="11"/>
        <color theme="1"/>
        <rFont val="Calibri"/>
        <family val="2"/>
        <scheme val="minor"/>
      </rPr>
      <t>ARIA</t>
    </r>
    <r>
      <rPr>
        <sz val="11"/>
        <color theme="1"/>
        <rFont val="Calibri"/>
        <family val="2"/>
        <scheme val="minor"/>
      </rPr>
      <t xml:space="preserve"> - ARIA
</t>
    </r>
    <r>
      <rPr>
        <b/>
        <sz val="11"/>
        <color theme="1"/>
        <rFont val="Calibri"/>
        <family val="2"/>
        <scheme val="minor"/>
      </rPr>
      <t>ATK</t>
    </r>
    <r>
      <rPr>
        <sz val="11"/>
        <color theme="1"/>
        <rFont val="Calibri"/>
        <family val="2"/>
        <scheme val="minor"/>
      </rPr>
      <t xml:space="preserve"> - ATK
</t>
    </r>
    <r>
      <rPr>
        <b/>
        <sz val="11"/>
        <color theme="1"/>
        <rFont val="Calibri"/>
        <family val="2"/>
        <scheme val="minor"/>
      </rPr>
      <t>AT-SPI</t>
    </r>
    <r>
      <rPr>
        <sz val="11"/>
        <color theme="1"/>
        <rFont val="Calibri"/>
        <family val="2"/>
        <scheme val="minor"/>
      </rPr>
      <t xml:space="preserve"> - AT-SPI
</t>
    </r>
    <r>
      <rPr>
        <b/>
        <sz val="11"/>
        <color theme="1"/>
        <rFont val="Calibri"/>
        <family val="2"/>
        <scheme val="minor"/>
      </rPr>
      <t>BlackberryAccessibility</t>
    </r>
    <r>
      <rPr>
        <sz val="11"/>
        <color theme="1"/>
        <rFont val="Calibri"/>
        <family val="2"/>
        <scheme val="minor"/>
      </rPr>
      <t xml:space="preserve"> - Blackberry Accessibility
</t>
    </r>
    <r>
      <rPr>
        <b/>
        <sz val="11"/>
        <color theme="1"/>
        <rFont val="Calibri"/>
        <family val="2"/>
        <scheme val="minor"/>
      </rPr>
      <t>iAccessible2</t>
    </r>
    <r>
      <rPr>
        <sz val="11"/>
        <color theme="1"/>
        <rFont val="Calibri"/>
        <family val="2"/>
        <scheme val="minor"/>
      </rPr>
      <t xml:space="preserve"> - I Accessible2
</t>
    </r>
    <r>
      <rPr>
        <b/>
        <sz val="11"/>
        <color theme="1"/>
        <rFont val="Calibri"/>
        <family val="2"/>
        <scheme val="minor"/>
      </rPr>
      <t>iOSAccessibility</t>
    </r>
    <r>
      <rPr>
        <sz val="11"/>
        <color theme="1"/>
        <rFont val="Calibri"/>
        <family val="2"/>
        <scheme val="minor"/>
      </rPr>
      <t xml:space="preserve"> - iOS Accessibility
</t>
    </r>
    <r>
      <rPr>
        <b/>
        <sz val="11"/>
        <color theme="1"/>
        <rFont val="Calibri"/>
        <family val="2"/>
        <scheme val="minor"/>
      </rPr>
      <t>JavaAccessibility</t>
    </r>
    <r>
      <rPr>
        <sz val="11"/>
        <color theme="1"/>
        <rFont val="Calibri"/>
        <family val="2"/>
        <scheme val="minor"/>
      </rPr>
      <t xml:space="preserve"> - Java Accessibility
</t>
    </r>
    <r>
      <rPr>
        <b/>
        <sz val="11"/>
        <color theme="1"/>
        <rFont val="Calibri"/>
        <family val="2"/>
        <scheme val="minor"/>
      </rPr>
      <t>MacOSXAccessibility</t>
    </r>
    <r>
      <rPr>
        <sz val="11"/>
        <color theme="1"/>
        <rFont val="Calibri"/>
        <family val="2"/>
        <scheme val="minor"/>
      </rPr>
      <t xml:space="preserve"> - Mac OSX Accessibility
</t>
    </r>
    <r>
      <rPr>
        <b/>
        <sz val="11"/>
        <color theme="1"/>
        <rFont val="Calibri"/>
        <family val="2"/>
        <scheme val="minor"/>
      </rPr>
      <t>MSAA</t>
    </r>
    <r>
      <rPr>
        <sz val="11"/>
        <color theme="1"/>
        <rFont val="Calibri"/>
        <family val="2"/>
        <scheme val="minor"/>
      </rPr>
      <t xml:space="preserve"> - MSAA
</t>
    </r>
    <r>
      <rPr>
        <b/>
        <sz val="11"/>
        <color theme="1"/>
        <rFont val="Calibri"/>
        <family val="2"/>
        <scheme val="minor"/>
      </rPr>
      <t>UIAutomation</t>
    </r>
    <r>
      <rPr>
        <sz val="11"/>
        <color theme="1"/>
        <rFont val="Calibri"/>
        <family val="2"/>
        <scheme val="minor"/>
      </rPr>
      <t xml:space="preserve"> - UI Automation
</t>
    </r>
  </si>
  <si>
    <r>
      <t>Flashing</t>
    </r>
    <r>
      <rPr>
        <sz val="11"/>
        <color theme="1"/>
        <rFont val="Calibri"/>
        <family val="2"/>
        <scheme val="minor"/>
      </rPr>
      <t xml:space="preserve"> - Flashing
</t>
    </r>
    <r>
      <rPr>
        <b/>
        <sz val="11"/>
        <color theme="1"/>
        <rFont val="Calibri"/>
        <family val="2"/>
        <scheme val="minor"/>
      </rPr>
      <t>MotionSimulation</t>
    </r>
    <r>
      <rPr>
        <sz val="11"/>
        <color theme="1"/>
        <rFont val="Calibri"/>
        <family val="2"/>
        <scheme val="minor"/>
      </rPr>
      <t xml:space="preserve"> - Motion simulation
</t>
    </r>
    <r>
      <rPr>
        <b/>
        <sz val="11"/>
        <color theme="1"/>
        <rFont val="Calibri"/>
        <family val="2"/>
        <scheme val="minor"/>
      </rPr>
      <t>Sound</t>
    </r>
    <r>
      <rPr>
        <sz val="11"/>
        <color theme="1"/>
        <rFont val="Calibri"/>
        <family val="2"/>
        <scheme val="minor"/>
      </rPr>
      <t xml:space="preserve"> - Sound
</t>
    </r>
  </si>
  <si>
    <r>
      <t>auditory</t>
    </r>
    <r>
      <rPr>
        <sz val="11"/>
        <color theme="1"/>
        <rFont val="Calibri"/>
        <family val="2"/>
        <scheme val="minor"/>
      </rPr>
      <t xml:space="preserve"> - Auditory
</t>
    </r>
    <r>
      <rPr>
        <b/>
        <sz val="11"/>
        <color theme="1"/>
        <rFont val="Calibri"/>
        <family val="2"/>
        <scheme val="minor"/>
      </rPr>
      <t>colorDependent</t>
    </r>
    <r>
      <rPr>
        <sz val="11"/>
        <color theme="1"/>
        <rFont val="Calibri"/>
        <family val="2"/>
        <scheme val="minor"/>
      </rPr>
      <t xml:space="preserve"> - Color Dependent
</t>
    </r>
    <r>
      <rPr>
        <b/>
        <sz val="11"/>
        <color theme="1"/>
        <rFont val="Calibri"/>
        <family val="2"/>
        <scheme val="minor"/>
      </rPr>
      <t>tactile</t>
    </r>
    <r>
      <rPr>
        <sz val="11"/>
        <color theme="1"/>
        <rFont val="Calibri"/>
        <family val="2"/>
        <scheme val="minor"/>
      </rPr>
      <t xml:space="preserve"> - Tactile
</t>
    </r>
    <r>
      <rPr>
        <b/>
        <sz val="11"/>
        <color theme="1"/>
        <rFont val="Calibri"/>
        <family val="2"/>
        <scheme val="minor"/>
      </rPr>
      <t>textOnImage</t>
    </r>
    <r>
      <rPr>
        <sz val="11"/>
        <color theme="1"/>
        <rFont val="Calibri"/>
        <family val="2"/>
        <scheme val="minor"/>
      </rPr>
      <t xml:space="preserve"> - Text On Image
</t>
    </r>
    <r>
      <rPr>
        <b/>
        <sz val="11"/>
        <color theme="1"/>
        <rFont val="Calibri"/>
        <family val="2"/>
        <scheme val="minor"/>
      </rPr>
      <t>textual</t>
    </r>
    <r>
      <rPr>
        <sz val="11"/>
        <color theme="1"/>
        <rFont val="Calibri"/>
        <family val="2"/>
        <scheme val="minor"/>
      </rPr>
      <t xml:space="preserve"> - Textual
</t>
    </r>
    <r>
      <rPr>
        <b/>
        <sz val="11"/>
        <color theme="1"/>
        <rFont val="Calibri"/>
        <family val="2"/>
        <scheme val="minor"/>
      </rPr>
      <t>visual</t>
    </r>
    <r>
      <rPr>
        <sz val="11"/>
        <color theme="1"/>
        <rFont val="Calibri"/>
        <family val="2"/>
        <scheme val="minor"/>
      </rPr>
      <t xml:space="preserve"> - Visual
</t>
    </r>
  </si>
  <si>
    <r>
      <t>FreeAccess</t>
    </r>
    <r>
      <rPr>
        <sz val="11"/>
        <color theme="1"/>
        <rFont val="Calibri"/>
        <family val="2"/>
        <scheme val="minor"/>
      </rPr>
      <t xml:space="preserve"> - Free Access
</t>
    </r>
    <r>
      <rPr>
        <b/>
        <sz val="11"/>
        <color theme="1"/>
        <rFont val="Calibri"/>
        <family val="2"/>
        <scheme val="minor"/>
      </rPr>
      <t>FreeAccessWithRegistration</t>
    </r>
    <r>
      <rPr>
        <sz val="11"/>
        <color theme="1"/>
        <rFont val="Calibri"/>
        <family val="2"/>
        <scheme val="minor"/>
      </rPr>
      <t xml:space="preserve"> - Free Access with Registration
</t>
    </r>
    <r>
      <rPr>
        <b/>
        <sz val="11"/>
        <color theme="1"/>
        <rFont val="Calibri"/>
        <family val="2"/>
        <scheme val="minor"/>
      </rPr>
      <t>LimitedFreeAccess</t>
    </r>
    <r>
      <rPr>
        <sz val="11"/>
        <color theme="1"/>
        <rFont val="Calibri"/>
        <family val="2"/>
        <scheme val="minor"/>
      </rPr>
      <t xml:space="preserve"> - Limited Free Access
</t>
    </r>
    <r>
      <rPr>
        <b/>
        <sz val="11"/>
        <color theme="1"/>
        <rFont val="Calibri"/>
        <family val="2"/>
        <scheme val="minor"/>
      </rPr>
      <t>AvailableForPurchase</t>
    </r>
    <r>
      <rPr>
        <sz val="11"/>
        <color theme="1"/>
        <rFont val="Calibri"/>
        <family val="2"/>
        <scheme val="minor"/>
      </rPr>
      <t xml:space="preserve"> - Available for Purchase
</t>
    </r>
    <r>
      <rPr>
        <b/>
        <sz val="11"/>
        <color theme="1"/>
        <rFont val="Calibri"/>
        <family val="2"/>
        <scheme val="minor"/>
      </rPr>
      <t>AvailableBySubscription</t>
    </r>
    <r>
      <rPr>
        <sz val="11"/>
        <color theme="1"/>
        <rFont val="Calibri"/>
        <family val="2"/>
        <scheme val="minor"/>
      </rPr>
      <t xml:space="preserve"> - Available by Subscription
</t>
    </r>
    <r>
      <rPr>
        <b/>
        <sz val="11"/>
        <color theme="1"/>
        <rFont val="Calibri"/>
        <family val="2"/>
        <scheme val="minor"/>
      </rPr>
      <t>PublisherDefined</t>
    </r>
    <r>
      <rPr>
        <sz val="11"/>
        <color theme="1"/>
        <rFont val="Calibri"/>
        <family val="2"/>
        <scheme val="minor"/>
      </rPr>
      <t xml:space="preserve"> - Publisher Defined
</t>
    </r>
  </si>
  <si>
    <r>
      <t>Ebook</t>
    </r>
    <r>
      <rPr>
        <sz val="11"/>
        <color theme="1"/>
        <rFont val="Calibri"/>
        <family val="2"/>
        <scheme val="minor"/>
      </rPr>
      <t xml:space="preserve"> - Ebook
</t>
    </r>
    <r>
      <rPr>
        <b/>
        <sz val="11"/>
        <color theme="1"/>
        <rFont val="Calibri"/>
        <family val="2"/>
        <scheme val="minor"/>
      </rPr>
      <t>Hardcover</t>
    </r>
    <r>
      <rPr>
        <sz val="11"/>
        <color theme="1"/>
        <rFont val="Calibri"/>
        <family val="2"/>
        <scheme val="minor"/>
      </rPr>
      <t xml:space="preserve"> - Hardcover
</t>
    </r>
    <r>
      <rPr>
        <b/>
        <sz val="11"/>
        <color theme="1"/>
        <rFont val="Calibri"/>
        <family val="2"/>
        <scheme val="minor"/>
      </rPr>
      <t>Paperback</t>
    </r>
    <r>
      <rPr>
        <sz val="11"/>
        <color theme="1"/>
        <rFont val="Calibri"/>
        <family val="2"/>
        <scheme val="minor"/>
      </rPr>
      <t xml:space="preserve"> - Paperback
</t>
    </r>
    <r>
      <rPr>
        <b/>
        <sz val="11"/>
        <color theme="1"/>
        <rFont val="Calibri"/>
        <family val="2"/>
        <scheme val="minor"/>
      </rPr>
      <t>DAISY202</t>
    </r>
    <r>
      <rPr>
        <sz val="11"/>
        <color theme="1"/>
        <rFont val="Calibri"/>
        <family val="2"/>
        <scheme val="minor"/>
      </rPr>
      <t xml:space="preserve"> - DAISY202
</t>
    </r>
    <r>
      <rPr>
        <b/>
        <sz val="11"/>
        <color theme="1"/>
        <rFont val="Calibri"/>
        <family val="2"/>
        <scheme val="minor"/>
      </rPr>
      <t>DAISY3</t>
    </r>
    <r>
      <rPr>
        <sz val="11"/>
        <color theme="1"/>
        <rFont val="Calibri"/>
        <family val="2"/>
        <scheme val="minor"/>
      </rPr>
      <t xml:space="preserve"> - DAISY3
</t>
    </r>
    <r>
      <rPr>
        <b/>
        <sz val="11"/>
        <color theme="1"/>
        <rFont val="Calibri"/>
        <family val="2"/>
        <scheme val="minor"/>
      </rPr>
      <t>EPUB2</t>
    </r>
    <r>
      <rPr>
        <sz val="11"/>
        <color theme="1"/>
        <rFont val="Calibri"/>
        <family val="2"/>
        <scheme val="minor"/>
      </rPr>
      <t xml:space="preserve"> - EPUB2
</t>
    </r>
    <r>
      <rPr>
        <b/>
        <sz val="11"/>
        <color theme="1"/>
        <rFont val="Calibri"/>
        <family val="2"/>
        <scheme val="minor"/>
      </rPr>
      <t>EPUB3</t>
    </r>
    <r>
      <rPr>
        <sz val="11"/>
        <color theme="1"/>
        <rFont val="Calibri"/>
        <family val="2"/>
        <scheme val="minor"/>
      </rPr>
      <t xml:space="preserve"> - EPUB3
</t>
    </r>
    <r>
      <rPr>
        <b/>
        <sz val="11"/>
        <color theme="1"/>
        <rFont val="Calibri"/>
        <family val="2"/>
        <scheme val="minor"/>
      </rPr>
      <t>Other</t>
    </r>
    <r>
      <rPr>
        <sz val="11"/>
        <color theme="1"/>
        <rFont val="Calibri"/>
        <family val="2"/>
        <scheme val="minor"/>
      </rPr>
      <t xml:space="preserve"> - Other
</t>
    </r>
  </si>
  <si>
    <r>
      <t>Assesses</t>
    </r>
    <r>
      <rPr>
        <sz val="11"/>
        <color theme="1"/>
        <rFont val="Calibri"/>
        <family val="2"/>
        <scheme val="minor"/>
      </rPr>
      <t xml:space="preserve"> - Assesses
</t>
    </r>
    <r>
      <rPr>
        <b/>
        <sz val="11"/>
        <color theme="1"/>
        <rFont val="Calibri"/>
        <family val="2"/>
        <scheme val="minor"/>
      </rPr>
      <t>Teaches</t>
    </r>
    <r>
      <rPr>
        <sz val="11"/>
        <color theme="1"/>
        <rFont val="Calibri"/>
        <family val="2"/>
        <scheme val="minor"/>
      </rPr>
      <t xml:space="preserve"> - Teaches
</t>
    </r>
    <r>
      <rPr>
        <b/>
        <sz val="11"/>
        <color theme="1"/>
        <rFont val="Calibri"/>
        <family val="2"/>
        <scheme val="minor"/>
      </rPr>
      <t>Requires</t>
    </r>
    <r>
      <rPr>
        <sz val="11"/>
        <color theme="1"/>
        <rFont val="Calibri"/>
        <family val="2"/>
        <scheme val="minor"/>
      </rPr>
      <t xml:space="preserve"> - Requires
</t>
    </r>
    <r>
      <rPr>
        <b/>
        <sz val="11"/>
        <color theme="1"/>
        <rFont val="Calibri"/>
        <family val="2"/>
        <scheme val="minor"/>
      </rPr>
      <t>TextComplexity</t>
    </r>
    <r>
      <rPr>
        <sz val="11"/>
        <color theme="1"/>
        <rFont val="Calibri"/>
        <family val="2"/>
        <scheme val="minor"/>
      </rPr>
      <t xml:space="preserve"> - Text Complexity
</t>
    </r>
    <r>
      <rPr>
        <b/>
        <sz val="11"/>
        <color theme="1"/>
        <rFont val="Calibri"/>
        <family val="2"/>
        <scheme val="minor"/>
      </rPr>
      <t>ReadingLevel</t>
    </r>
    <r>
      <rPr>
        <sz val="11"/>
        <color theme="1"/>
        <rFont val="Calibri"/>
        <family val="2"/>
        <scheme val="minor"/>
      </rPr>
      <t xml:space="preserve"> - Reading Level
</t>
    </r>
    <r>
      <rPr>
        <b/>
        <sz val="11"/>
        <color theme="1"/>
        <rFont val="Calibri"/>
        <family val="2"/>
        <scheme val="minor"/>
      </rPr>
      <t>EducationalSubject</t>
    </r>
    <r>
      <rPr>
        <sz val="11"/>
        <color theme="1"/>
        <rFont val="Calibri"/>
        <family val="2"/>
        <scheme val="minor"/>
      </rPr>
      <t xml:space="preserve"> - Educational Subject
</t>
    </r>
    <r>
      <rPr>
        <b/>
        <sz val="11"/>
        <color theme="1"/>
        <rFont val="Calibri"/>
        <family val="2"/>
        <scheme val="minor"/>
      </rPr>
      <t>EducationLevel</t>
    </r>
    <r>
      <rPr>
        <sz val="11"/>
        <color theme="1"/>
        <rFont val="Calibri"/>
        <family val="2"/>
        <scheme val="minor"/>
      </rPr>
      <t xml:space="preserve"> - Education Level
</t>
    </r>
  </si>
  <si>
    <r>
      <t>fullAudioControl</t>
    </r>
    <r>
      <rPr>
        <sz val="11"/>
        <color theme="1"/>
        <rFont val="Calibri"/>
        <family val="2"/>
        <scheme val="minor"/>
      </rPr>
      <t xml:space="preserve"> - Full Audio Control
</t>
    </r>
    <r>
      <rPr>
        <b/>
        <sz val="11"/>
        <color theme="1"/>
        <rFont val="Calibri"/>
        <family val="2"/>
        <scheme val="minor"/>
      </rPr>
      <t>fullKeyboardControl</t>
    </r>
    <r>
      <rPr>
        <sz val="11"/>
        <color theme="1"/>
        <rFont val="Calibri"/>
        <family val="2"/>
        <scheme val="minor"/>
      </rPr>
      <t xml:space="preserve"> - Full Keyboard Control
</t>
    </r>
    <r>
      <rPr>
        <b/>
        <sz val="11"/>
        <color theme="1"/>
        <rFont val="Calibri"/>
        <family val="2"/>
        <scheme val="minor"/>
      </rPr>
      <t>fullMouseControl</t>
    </r>
    <r>
      <rPr>
        <sz val="11"/>
        <color theme="1"/>
        <rFont val="Calibri"/>
        <family val="2"/>
        <scheme val="minor"/>
      </rPr>
      <t xml:space="preserve"> - Full Mouse Control
</t>
    </r>
    <r>
      <rPr>
        <b/>
        <sz val="11"/>
        <color theme="1"/>
        <rFont val="Calibri"/>
        <family val="2"/>
        <scheme val="minor"/>
      </rPr>
      <t>fullTouchControl</t>
    </r>
    <r>
      <rPr>
        <sz val="11"/>
        <color theme="1"/>
        <rFont val="Calibri"/>
        <family val="2"/>
        <scheme val="minor"/>
      </rPr>
      <t xml:space="preserve"> - Full Touch Control
</t>
    </r>
    <r>
      <rPr>
        <b/>
        <sz val="11"/>
        <color theme="1"/>
        <rFont val="Calibri"/>
        <family val="2"/>
        <scheme val="minor"/>
      </rPr>
      <t>fullVideoControl</t>
    </r>
    <r>
      <rPr>
        <sz val="11"/>
        <color theme="1"/>
        <rFont val="Calibri"/>
        <family val="2"/>
        <scheme val="minor"/>
      </rPr>
      <t xml:space="preserve"> - Full Video Control
</t>
    </r>
  </si>
  <si>
    <r>
      <t>application</t>
    </r>
    <r>
      <rPr>
        <sz val="11"/>
        <color theme="1"/>
        <rFont val="Calibri"/>
        <family val="2"/>
        <scheme val="minor"/>
      </rPr>
      <t xml:space="preserve"> - Application
</t>
    </r>
    <r>
      <rPr>
        <b/>
        <sz val="11"/>
        <color theme="1"/>
        <rFont val="Calibri"/>
        <family val="2"/>
        <scheme val="minor"/>
      </rPr>
      <t>audio</t>
    </r>
    <r>
      <rPr>
        <sz val="11"/>
        <color theme="1"/>
        <rFont val="Calibri"/>
        <family val="2"/>
        <scheme val="minor"/>
      </rPr>
      <t xml:space="preserve"> - Audio
</t>
    </r>
    <r>
      <rPr>
        <b/>
        <sz val="11"/>
        <color theme="1"/>
        <rFont val="Calibri"/>
        <family val="2"/>
        <scheme val="minor"/>
      </rPr>
      <t>example</t>
    </r>
    <r>
      <rPr>
        <sz val="11"/>
        <color theme="1"/>
        <rFont val="Calibri"/>
        <family val="2"/>
        <scheme val="minor"/>
      </rPr>
      <t xml:space="preserve"> - Example
</t>
    </r>
    <r>
      <rPr>
        <b/>
        <sz val="11"/>
        <color theme="1"/>
        <rFont val="Calibri"/>
        <family val="2"/>
        <scheme val="minor"/>
      </rPr>
      <t>image</t>
    </r>
    <r>
      <rPr>
        <sz val="11"/>
        <color theme="1"/>
        <rFont val="Calibri"/>
        <family val="2"/>
        <scheme val="minor"/>
      </rPr>
      <t xml:space="preserve"> - Image
</t>
    </r>
    <r>
      <rPr>
        <b/>
        <sz val="11"/>
        <color theme="1"/>
        <rFont val="Calibri"/>
        <family val="2"/>
        <scheme val="minor"/>
      </rPr>
      <t>message</t>
    </r>
    <r>
      <rPr>
        <sz val="11"/>
        <color theme="1"/>
        <rFont val="Calibri"/>
        <family val="2"/>
        <scheme val="minor"/>
      </rPr>
      <t xml:space="preserve"> - Message
</t>
    </r>
    <r>
      <rPr>
        <b/>
        <sz val="11"/>
        <color theme="1"/>
        <rFont val="Calibri"/>
        <family val="2"/>
        <scheme val="minor"/>
      </rPr>
      <t>model</t>
    </r>
    <r>
      <rPr>
        <sz val="11"/>
        <color theme="1"/>
        <rFont val="Calibri"/>
        <family val="2"/>
        <scheme val="minor"/>
      </rPr>
      <t xml:space="preserve"> - Model
</t>
    </r>
    <r>
      <rPr>
        <b/>
        <sz val="11"/>
        <color theme="1"/>
        <rFont val="Calibri"/>
        <family val="2"/>
        <scheme val="minor"/>
      </rPr>
      <t>multipart</t>
    </r>
    <r>
      <rPr>
        <sz val="11"/>
        <color theme="1"/>
        <rFont val="Calibri"/>
        <family val="2"/>
        <scheme val="minor"/>
      </rPr>
      <t xml:space="preserve"> - Multipart
</t>
    </r>
    <r>
      <rPr>
        <b/>
        <sz val="11"/>
        <color theme="1"/>
        <rFont val="Calibri"/>
        <family val="2"/>
        <scheme val="minor"/>
      </rPr>
      <t>text</t>
    </r>
    <r>
      <rPr>
        <sz val="11"/>
        <color theme="1"/>
        <rFont val="Calibri"/>
        <family val="2"/>
        <scheme val="minor"/>
      </rPr>
      <t xml:space="preserve"> - Text
</t>
    </r>
    <r>
      <rPr>
        <b/>
        <sz val="11"/>
        <color theme="1"/>
        <rFont val="Calibri"/>
        <family val="2"/>
        <scheme val="minor"/>
      </rPr>
      <t>video</t>
    </r>
    <r>
      <rPr>
        <sz val="11"/>
        <color theme="1"/>
        <rFont val="Calibri"/>
        <family val="2"/>
        <scheme val="minor"/>
      </rPr>
      <t xml:space="preserve"> - Video
</t>
    </r>
  </si>
  <si>
    <r>
      <t>AudioCD</t>
    </r>
    <r>
      <rPr>
        <sz val="11"/>
        <color theme="1"/>
        <rFont val="Calibri"/>
        <family val="2"/>
        <scheme val="minor"/>
      </rPr>
      <t xml:space="preserve"> - Audio CD
</t>
    </r>
    <r>
      <rPr>
        <b/>
        <sz val="11"/>
        <color theme="1"/>
        <rFont val="Calibri"/>
        <family val="2"/>
        <scheme val="minor"/>
      </rPr>
      <t>Audiotape</t>
    </r>
    <r>
      <rPr>
        <sz val="11"/>
        <color theme="1"/>
        <rFont val="Calibri"/>
        <family val="2"/>
        <scheme val="minor"/>
      </rPr>
      <t xml:space="preserve"> - Audiotape
</t>
    </r>
    <r>
      <rPr>
        <b/>
        <sz val="11"/>
        <color theme="1"/>
        <rFont val="Calibri"/>
        <family val="2"/>
        <scheme val="minor"/>
      </rPr>
      <t>Calculator</t>
    </r>
    <r>
      <rPr>
        <sz val="11"/>
        <color theme="1"/>
        <rFont val="Calibri"/>
        <family val="2"/>
        <scheme val="minor"/>
      </rPr>
      <t xml:space="preserve"> - Calculator
</t>
    </r>
    <r>
      <rPr>
        <b/>
        <sz val="11"/>
        <color theme="1"/>
        <rFont val="Calibri"/>
        <family val="2"/>
        <scheme val="minor"/>
      </rPr>
      <t>CD-I</t>
    </r>
    <r>
      <rPr>
        <sz val="11"/>
        <color theme="1"/>
        <rFont val="Calibri"/>
        <family val="2"/>
        <scheme val="minor"/>
      </rPr>
      <t xml:space="preserve"> - CD-I
</t>
    </r>
    <r>
      <rPr>
        <b/>
        <sz val="11"/>
        <color theme="1"/>
        <rFont val="Calibri"/>
        <family val="2"/>
        <scheme val="minor"/>
      </rPr>
      <t>CD-ROM</t>
    </r>
    <r>
      <rPr>
        <sz val="11"/>
        <color theme="1"/>
        <rFont val="Calibri"/>
        <family val="2"/>
        <scheme val="minor"/>
      </rPr>
      <t xml:space="preserve"> - CD-ROM
</t>
    </r>
    <r>
      <rPr>
        <b/>
        <sz val="11"/>
        <color theme="1"/>
        <rFont val="Calibri"/>
        <family val="2"/>
        <scheme val="minor"/>
      </rPr>
      <t>Diskette</t>
    </r>
    <r>
      <rPr>
        <sz val="11"/>
        <color theme="1"/>
        <rFont val="Calibri"/>
        <family val="2"/>
        <scheme val="minor"/>
      </rPr>
      <t xml:space="preserve"> - Diskette
</t>
    </r>
    <r>
      <rPr>
        <b/>
        <sz val="11"/>
        <color theme="1"/>
        <rFont val="Calibri"/>
        <family val="2"/>
        <scheme val="minor"/>
      </rPr>
      <t>DuplicationMaster</t>
    </r>
    <r>
      <rPr>
        <sz val="11"/>
        <color theme="1"/>
        <rFont val="Calibri"/>
        <family val="2"/>
        <scheme val="minor"/>
      </rPr>
      <t xml:space="preserve"> - Duplication Master
</t>
    </r>
    <r>
      <rPr>
        <b/>
        <sz val="11"/>
        <color theme="1"/>
        <rFont val="Calibri"/>
        <family val="2"/>
        <scheme val="minor"/>
      </rPr>
      <t>DVD</t>
    </r>
    <r>
      <rPr>
        <sz val="11"/>
        <color theme="1"/>
        <rFont val="Calibri"/>
        <family val="2"/>
        <scheme val="minor"/>
      </rPr>
      <t xml:space="preserve"> - DVD/ Blu-ray
</t>
    </r>
    <r>
      <rPr>
        <b/>
        <sz val="11"/>
        <color theme="1"/>
        <rFont val="Calibri"/>
        <family val="2"/>
        <scheme val="minor"/>
      </rPr>
      <t>E-Mail</t>
    </r>
    <r>
      <rPr>
        <sz val="11"/>
        <color theme="1"/>
        <rFont val="Calibri"/>
        <family val="2"/>
        <scheme val="minor"/>
      </rPr>
      <t xml:space="preserve"> - E-Mail
</t>
    </r>
    <r>
      <rPr>
        <b/>
        <sz val="11"/>
        <color theme="1"/>
        <rFont val="Calibri"/>
        <family val="2"/>
        <scheme val="minor"/>
      </rPr>
      <t>ElectronicSlides</t>
    </r>
    <r>
      <rPr>
        <sz val="11"/>
        <color theme="1"/>
        <rFont val="Calibri"/>
        <family val="2"/>
        <scheme val="minor"/>
      </rPr>
      <t xml:space="preserve"> - Electronic Slides
</t>
    </r>
    <r>
      <rPr>
        <b/>
        <sz val="11"/>
        <color theme="1"/>
        <rFont val="Calibri"/>
        <family val="2"/>
        <scheme val="minor"/>
      </rPr>
      <t>FieldTrip</t>
    </r>
    <r>
      <rPr>
        <sz val="11"/>
        <color theme="1"/>
        <rFont val="Calibri"/>
        <family val="2"/>
        <scheme val="minor"/>
      </rPr>
      <t xml:space="preserve"> - Field Trip
</t>
    </r>
    <r>
      <rPr>
        <b/>
        <sz val="11"/>
        <color theme="1"/>
        <rFont val="Calibri"/>
        <family val="2"/>
        <scheme val="minor"/>
      </rPr>
      <t>Filmstrip</t>
    </r>
    <r>
      <rPr>
        <sz val="11"/>
        <color theme="1"/>
        <rFont val="Calibri"/>
        <family val="2"/>
        <scheme val="minor"/>
      </rPr>
      <t xml:space="preserve"> - Filmstrip
</t>
    </r>
    <r>
      <rPr>
        <b/>
        <sz val="11"/>
        <color theme="1"/>
        <rFont val="Calibri"/>
        <family val="2"/>
        <scheme val="minor"/>
      </rPr>
      <t>Flash</t>
    </r>
    <r>
      <rPr>
        <sz val="11"/>
        <color theme="1"/>
        <rFont val="Calibri"/>
        <family val="2"/>
        <scheme val="minor"/>
      </rPr>
      <t xml:space="preserve"> - Flash
</t>
    </r>
    <r>
      <rPr>
        <b/>
        <sz val="11"/>
        <color theme="1"/>
        <rFont val="Calibri"/>
        <family val="2"/>
        <scheme val="minor"/>
      </rPr>
      <t>Image</t>
    </r>
    <r>
      <rPr>
        <sz val="11"/>
        <color theme="1"/>
        <rFont val="Calibri"/>
        <family val="2"/>
        <scheme val="minor"/>
      </rPr>
      <t xml:space="preserve"> - Image
</t>
    </r>
    <r>
      <rPr>
        <b/>
        <sz val="11"/>
        <color theme="1"/>
        <rFont val="Calibri"/>
        <family val="2"/>
        <scheme val="minor"/>
      </rPr>
      <t>In-Person</t>
    </r>
    <r>
      <rPr>
        <sz val="11"/>
        <color theme="1"/>
        <rFont val="Calibri"/>
        <family val="2"/>
        <scheme val="minor"/>
      </rPr>
      <t xml:space="preserve"> - In-Person/Speaker
</t>
    </r>
    <r>
      <rPr>
        <b/>
        <sz val="11"/>
        <color theme="1"/>
        <rFont val="Calibri"/>
        <family val="2"/>
        <scheme val="minor"/>
      </rPr>
      <t>InteractiveWhiteboard</t>
    </r>
    <r>
      <rPr>
        <sz val="11"/>
        <color theme="1"/>
        <rFont val="Calibri"/>
        <family val="2"/>
        <scheme val="minor"/>
      </rPr>
      <t xml:space="preserve"> - Interactive Whiteboard
</t>
    </r>
    <r>
      <rPr>
        <b/>
        <sz val="11"/>
        <color theme="1"/>
        <rFont val="Calibri"/>
        <family val="2"/>
        <scheme val="minor"/>
      </rPr>
      <t>Manipulative</t>
    </r>
    <r>
      <rPr>
        <sz val="11"/>
        <color theme="1"/>
        <rFont val="Calibri"/>
        <family val="2"/>
        <scheme val="minor"/>
      </rPr>
      <t xml:space="preserve"> - Manipulative
</t>
    </r>
    <r>
      <rPr>
        <b/>
        <sz val="11"/>
        <color theme="1"/>
        <rFont val="Calibri"/>
        <family val="2"/>
        <scheme val="minor"/>
      </rPr>
      <t>MBL</t>
    </r>
    <r>
      <rPr>
        <sz val="11"/>
        <color theme="1"/>
        <rFont val="Calibri"/>
        <family val="2"/>
        <scheme val="minor"/>
      </rPr>
      <t xml:space="preserve"> - MBL (Microcomputer Based)
</t>
    </r>
    <r>
      <rPr>
        <b/>
        <sz val="11"/>
        <color theme="1"/>
        <rFont val="Calibri"/>
        <family val="2"/>
        <scheme val="minor"/>
      </rPr>
      <t>Microfiche</t>
    </r>
    <r>
      <rPr>
        <sz val="11"/>
        <color theme="1"/>
        <rFont val="Calibri"/>
        <family val="2"/>
        <scheme val="minor"/>
      </rPr>
      <t xml:space="preserve"> - Microfiche
</t>
    </r>
    <r>
      <rPr>
        <b/>
        <sz val="11"/>
        <color theme="1"/>
        <rFont val="Calibri"/>
        <family val="2"/>
        <scheme val="minor"/>
      </rPr>
      <t>Overhead</t>
    </r>
    <r>
      <rPr>
        <sz val="11"/>
        <color theme="1"/>
        <rFont val="Calibri"/>
        <family val="2"/>
        <scheme val="minor"/>
      </rPr>
      <t xml:space="preserve"> - Overhead
</t>
    </r>
    <r>
      <rPr>
        <b/>
        <sz val="11"/>
        <color theme="1"/>
        <rFont val="Calibri"/>
        <family val="2"/>
        <scheme val="minor"/>
      </rPr>
      <t>Pamphlet</t>
    </r>
    <r>
      <rPr>
        <sz val="11"/>
        <color theme="1"/>
        <rFont val="Calibri"/>
        <family val="2"/>
        <scheme val="minor"/>
      </rPr>
      <t xml:space="preserve"> - Pamphlet
</t>
    </r>
    <r>
      <rPr>
        <b/>
        <sz val="11"/>
        <color theme="1"/>
        <rFont val="Calibri"/>
        <family val="2"/>
        <scheme val="minor"/>
      </rPr>
      <t>PDF</t>
    </r>
    <r>
      <rPr>
        <sz val="11"/>
        <color theme="1"/>
        <rFont val="Calibri"/>
        <family val="2"/>
        <scheme val="minor"/>
      </rPr>
      <t xml:space="preserve"> - PDF
</t>
    </r>
    <r>
      <rPr>
        <b/>
        <sz val="11"/>
        <color theme="1"/>
        <rFont val="Calibri"/>
        <family val="2"/>
        <scheme val="minor"/>
      </rPr>
      <t>Person-to-Person</t>
    </r>
    <r>
      <rPr>
        <sz val="11"/>
        <color theme="1"/>
        <rFont val="Calibri"/>
        <family val="2"/>
        <scheme val="minor"/>
      </rPr>
      <t xml:space="preserve"> - Person-to-Person
</t>
    </r>
    <r>
      <rPr>
        <b/>
        <sz val="11"/>
        <color theme="1"/>
        <rFont val="Calibri"/>
        <family val="2"/>
        <scheme val="minor"/>
      </rPr>
      <t>PhonographRecord</t>
    </r>
    <r>
      <rPr>
        <sz val="11"/>
        <color theme="1"/>
        <rFont val="Calibri"/>
        <family val="2"/>
        <scheme val="minor"/>
      </rPr>
      <t xml:space="preserve"> - Phonograph Record
</t>
    </r>
    <r>
      <rPr>
        <b/>
        <sz val="11"/>
        <color theme="1"/>
        <rFont val="Calibri"/>
        <family val="2"/>
        <scheme val="minor"/>
      </rPr>
      <t>Photo</t>
    </r>
    <r>
      <rPr>
        <sz val="11"/>
        <color theme="1"/>
        <rFont val="Calibri"/>
        <family val="2"/>
        <scheme val="minor"/>
      </rPr>
      <t xml:space="preserve"> - Photo
</t>
    </r>
    <r>
      <rPr>
        <b/>
        <sz val="11"/>
        <color theme="1"/>
        <rFont val="Calibri"/>
        <family val="2"/>
        <scheme val="minor"/>
      </rPr>
      <t>Podcast</t>
    </r>
    <r>
      <rPr>
        <sz val="11"/>
        <color theme="1"/>
        <rFont val="Calibri"/>
        <family val="2"/>
        <scheme val="minor"/>
      </rPr>
      <t xml:space="preserve"> - Podcast
</t>
    </r>
    <r>
      <rPr>
        <b/>
        <sz val="11"/>
        <color theme="1"/>
        <rFont val="Calibri"/>
        <family val="2"/>
        <scheme val="minor"/>
      </rPr>
      <t>Printed</t>
    </r>
    <r>
      <rPr>
        <sz val="11"/>
        <color theme="1"/>
        <rFont val="Calibri"/>
        <family val="2"/>
        <scheme val="minor"/>
      </rPr>
      <t xml:space="preserve"> - Printed
</t>
    </r>
    <r>
      <rPr>
        <b/>
        <sz val="11"/>
        <color theme="1"/>
        <rFont val="Calibri"/>
        <family val="2"/>
        <scheme val="minor"/>
      </rPr>
      <t>Radio</t>
    </r>
    <r>
      <rPr>
        <sz val="11"/>
        <color theme="1"/>
        <rFont val="Calibri"/>
        <family val="2"/>
        <scheme val="minor"/>
      </rPr>
      <t xml:space="preserve"> - Radio
</t>
    </r>
    <r>
      <rPr>
        <b/>
        <sz val="11"/>
        <color theme="1"/>
        <rFont val="Calibri"/>
        <family val="2"/>
        <scheme val="minor"/>
      </rPr>
      <t>Robotics</t>
    </r>
    <r>
      <rPr>
        <sz val="11"/>
        <color theme="1"/>
        <rFont val="Calibri"/>
        <family val="2"/>
        <scheme val="minor"/>
      </rPr>
      <t xml:space="preserve"> - Robotics
</t>
    </r>
    <r>
      <rPr>
        <b/>
        <sz val="11"/>
        <color theme="1"/>
        <rFont val="Calibri"/>
        <family val="2"/>
        <scheme val="minor"/>
      </rPr>
      <t>Satellite</t>
    </r>
    <r>
      <rPr>
        <sz val="11"/>
        <color theme="1"/>
        <rFont val="Calibri"/>
        <family val="2"/>
        <scheme val="minor"/>
      </rPr>
      <t xml:space="preserve"> - Satellite
</t>
    </r>
    <r>
      <rPr>
        <b/>
        <sz val="11"/>
        <color theme="1"/>
        <rFont val="Calibri"/>
        <family val="2"/>
        <scheme val="minor"/>
      </rPr>
      <t>Slides</t>
    </r>
    <r>
      <rPr>
        <sz val="11"/>
        <color theme="1"/>
        <rFont val="Calibri"/>
        <family val="2"/>
        <scheme val="minor"/>
      </rPr>
      <t xml:space="preserve"> - Slides
</t>
    </r>
    <r>
      <rPr>
        <b/>
        <sz val="11"/>
        <color theme="1"/>
        <rFont val="Calibri"/>
        <family val="2"/>
        <scheme val="minor"/>
      </rPr>
      <t>Television</t>
    </r>
    <r>
      <rPr>
        <sz val="11"/>
        <color theme="1"/>
        <rFont val="Calibri"/>
        <family val="2"/>
        <scheme val="minor"/>
      </rPr>
      <t xml:space="preserve"> - Television
</t>
    </r>
    <r>
      <rPr>
        <b/>
        <sz val="11"/>
        <color theme="1"/>
        <rFont val="Calibri"/>
        <family val="2"/>
        <scheme val="minor"/>
      </rPr>
      <t>Transparency</t>
    </r>
    <r>
      <rPr>
        <sz val="11"/>
        <color theme="1"/>
        <rFont val="Calibri"/>
        <family val="2"/>
        <scheme val="minor"/>
      </rPr>
      <t xml:space="preserve"> - Transparency
</t>
    </r>
    <r>
      <rPr>
        <b/>
        <sz val="11"/>
        <color theme="1"/>
        <rFont val="Calibri"/>
        <family val="2"/>
        <scheme val="minor"/>
      </rPr>
      <t>VideoConference</t>
    </r>
    <r>
      <rPr>
        <sz val="11"/>
        <color theme="1"/>
        <rFont val="Calibri"/>
        <family val="2"/>
        <scheme val="minor"/>
      </rPr>
      <t xml:space="preserve"> - Video Conference
</t>
    </r>
    <r>
      <rPr>
        <b/>
        <sz val="11"/>
        <color theme="1"/>
        <rFont val="Calibri"/>
        <family val="2"/>
        <scheme val="minor"/>
      </rPr>
      <t>Videodisc</t>
    </r>
    <r>
      <rPr>
        <sz val="11"/>
        <color theme="1"/>
        <rFont val="Calibri"/>
        <family val="2"/>
        <scheme val="minor"/>
      </rPr>
      <t xml:space="preserve"> - Videodisc
</t>
    </r>
  </si>
  <si>
    <r>
      <t>alternativeText</t>
    </r>
    <r>
      <rPr>
        <sz val="11"/>
        <color theme="1"/>
        <rFont val="Calibri"/>
        <family val="2"/>
        <scheme val="minor"/>
      </rPr>
      <t xml:space="preserve"> - Alternative Text
</t>
    </r>
    <r>
      <rPr>
        <b/>
        <sz val="11"/>
        <color theme="1"/>
        <rFont val="Calibri"/>
        <family val="2"/>
        <scheme val="minor"/>
      </rPr>
      <t>audioDescription</t>
    </r>
    <r>
      <rPr>
        <sz val="11"/>
        <color theme="1"/>
        <rFont val="Calibri"/>
        <family val="2"/>
        <scheme val="minor"/>
      </rPr>
      <t xml:space="preserve"> - Audio Description
</t>
    </r>
    <r>
      <rPr>
        <b/>
        <sz val="11"/>
        <color theme="1"/>
        <rFont val="Calibri"/>
        <family val="2"/>
        <scheme val="minor"/>
      </rPr>
      <t>braille</t>
    </r>
    <r>
      <rPr>
        <sz val="11"/>
        <color theme="1"/>
        <rFont val="Calibri"/>
        <family val="2"/>
        <scheme val="minor"/>
      </rPr>
      <t xml:space="preserve"> - Braille
</t>
    </r>
    <r>
      <rPr>
        <b/>
        <sz val="11"/>
        <color theme="1"/>
        <rFont val="Calibri"/>
        <family val="2"/>
        <scheme val="minor"/>
      </rPr>
      <t>captions</t>
    </r>
    <r>
      <rPr>
        <sz val="11"/>
        <color theme="1"/>
        <rFont val="Calibri"/>
        <family val="2"/>
        <scheme val="minor"/>
      </rPr>
      <t xml:space="preserve"> - Captions
</t>
    </r>
    <r>
      <rPr>
        <b/>
        <sz val="11"/>
        <color theme="1"/>
        <rFont val="Calibri"/>
        <family val="2"/>
        <scheme val="minor"/>
      </rPr>
      <t>ChemML</t>
    </r>
    <r>
      <rPr>
        <sz val="11"/>
        <color theme="1"/>
        <rFont val="Calibri"/>
        <family val="2"/>
        <scheme val="minor"/>
      </rPr>
      <t xml:space="preserve"> - Chem M L
</t>
    </r>
    <r>
      <rPr>
        <b/>
        <sz val="11"/>
        <color theme="1"/>
        <rFont val="Calibri"/>
        <family val="2"/>
        <scheme val="minor"/>
      </rPr>
      <t>describedMath</t>
    </r>
    <r>
      <rPr>
        <sz val="11"/>
        <color theme="1"/>
        <rFont val="Calibri"/>
        <family val="2"/>
        <scheme val="minor"/>
      </rPr>
      <t xml:space="preserve"> - Described Math
</t>
    </r>
    <r>
      <rPr>
        <b/>
        <sz val="11"/>
        <color theme="1"/>
        <rFont val="Calibri"/>
        <family val="2"/>
        <scheme val="minor"/>
      </rPr>
      <t>displayTransformability</t>
    </r>
    <r>
      <rPr>
        <sz val="11"/>
        <color theme="1"/>
        <rFont val="Calibri"/>
        <family val="2"/>
        <scheme val="minor"/>
      </rPr>
      <t xml:space="preserve"> - Display Transformability
</t>
    </r>
    <r>
      <rPr>
        <b/>
        <sz val="11"/>
        <color theme="1"/>
        <rFont val="Calibri"/>
        <family val="2"/>
        <scheme val="minor"/>
      </rPr>
      <t>haptic</t>
    </r>
    <r>
      <rPr>
        <sz val="11"/>
        <color theme="1"/>
        <rFont val="Calibri"/>
        <family val="2"/>
        <scheme val="minor"/>
      </rPr>
      <t xml:space="preserve"> - Haptic
</t>
    </r>
    <r>
      <rPr>
        <b/>
        <sz val="11"/>
        <color theme="1"/>
        <rFont val="Calibri"/>
        <family val="2"/>
        <scheme val="minor"/>
      </rPr>
      <t>highContrast</t>
    </r>
    <r>
      <rPr>
        <sz val="11"/>
        <color theme="1"/>
        <rFont val="Calibri"/>
        <family val="2"/>
        <scheme val="minor"/>
      </rPr>
      <t xml:space="preserve"> - High Contrast
</t>
    </r>
    <r>
      <rPr>
        <b/>
        <sz val="11"/>
        <color theme="1"/>
        <rFont val="Calibri"/>
        <family val="2"/>
        <scheme val="minor"/>
      </rPr>
      <t>largePrint</t>
    </r>
    <r>
      <rPr>
        <sz val="11"/>
        <color theme="1"/>
        <rFont val="Calibri"/>
        <family val="2"/>
        <scheme val="minor"/>
      </rPr>
      <t xml:space="preserve"> - Large Print
</t>
    </r>
    <r>
      <rPr>
        <b/>
        <sz val="11"/>
        <color theme="1"/>
        <rFont val="Calibri"/>
        <family val="2"/>
        <scheme val="minor"/>
      </rPr>
      <t>latex</t>
    </r>
    <r>
      <rPr>
        <sz val="11"/>
        <color theme="1"/>
        <rFont val="Calibri"/>
        <family val="2"/>
        <scheme val="minor"/>
      </rPr>
      <t xml:space="preserve"> - Latex
</t>
    </r>
    <r>
      <rPr>
        <b/>
        <sz val="11"/>
        <color theme="1"/>
        <rFont val="Calibri"/>
        <family val="2"/>
        <scheme val="minor"/>
      </rPr>
      <t>longDescription</t>
    </r>
    <r>
      <rPr>
        <sz val="11"/>
        <color theme="1"/>
        <rFont val="Calibri"/>
        <family val="2"/>
        <scheme val="minor"/>
      </rPr>
      <t xml:space="preserve"> - Long Description
</t>
    </r>
    <r>
      <rPr>
        <b/>
        <sz val="11"/>
        <color theme="1"/>
        <rFont val="Calibri"/>
        <family val="2"/>
        <scheme val="minor"/>
      </rPr>
      <t>MathML</t>
    </r>
    <r>
      <rPr>
        <sz val="11"/>
        <color theme="1"/>
        <rFont val="Calibri"/>
        <family val="2"/>
        <scheme val="minor"/>
      </rPr>
      <t xml:space="preserve"> - Math M L
</t>
    </r>
    <r>
      <rPr>
        <b/>
        <sz val="11"/>
        <color theme="1"/>
        <rFont val="Calibri"/>
        <family val="2"/>
        <scheme val="minor"/>
      </rPr>
      <t>musicBraille</t>
    </r>
    <r>
      <rPr>
        <sz val="11"/>
        <color theme="1"/>
        <rFont val="Calibri"/>
        <family val="2"/>
        <scheme val="minor"/>
      </rPr>
      <t xml:space="preserve"> - Music Braille
</t>
    </r>
    <r>
      <rPr>
        <b/>
        <sz val="11"/>
        <color theme="1"/>
        <rFont val="Calibri"/>
        <family val="2"/>
        <scheme val="minor"/>
      </rPr>
      <t>nemethBraille</t>
    </r>
    <r>
      <rPr>
        <sz val="11"/>
        <color theme="1"/>
        <rFont val="Calibri"/>
        <family val="2"/>
        <scheme val="minor"/>
      </rPr>
      <t xml:space="preserve"> - Nemeth Braille
</t>
    </r>
    <r>
      <rPr>
        <b/>
        <sz val="11"/>
        <color theme="1"/>
        <rFont val="Calibri"/>
        <family val="2"/>
        <scheme val="minor"/>
      </rPr>
      <t>signLanguage</t>
    </r>
    <r>
      <rPr>
        <sz val="11"/>
        <color theme="1"/>
        <rFont val="Calibri"/>
        <family val="2"/>
        <scheme val="minor"/>
      </rPr>
      <t xml:space="preserve"> - Sign Language
</t>
    </r>
    <r>
      <rPr>
        <b/>
        <sz val="11"/>
        <color theme="1"/>
        <rFont val="Calibri"/>
        <family val="2"/>
        <scheme val="minor"/>
      </rPr>
      <t>structuralNavigation</t>
    </r>
    <r>
      <rPr>
        <sz val="11"/>
        <color theme="1"/>
        <rFont val="Calibri"/>
        <family val="2"/>
        <scheme val="minor"/>
      </rPr>
      <t xml:space="preserve"> - Structural Navigation
</t>
    </r>
    <r>
      <rPr>
        <b/>
        <sz val="11"/>
        <color theme="1"/>
        <rFont val="Calibri"/>
        <family val="2"/>
        <scheme val="minor"/>
      </rPr>
      <t>tactileGraphics</t>
    </r>
    <r>
      <rPr>
        <sz val="11"/>
        <color theme="1"/>
        <rFont val="Calibri"/>
        <family val="2"/>
        <scheme val="minor"/>
      </rPr>
      <t xml:space="preserve"> - Tactile Graphics
</t>
    </r>
    <r>
      <rPr>
        <b/>
        <sz val="11"/>
        <color theme="1"/>
        <rFont val="Calibri"/>
        <family val="2"/>
        <scheme val="minor"/>
      </rPr>
      <t>tactileObject</t>
    </r>
    <r>
      <rPr>
        <sz val="11"/>
        <color theme="1"/>
        <rFont val="Calibri"/>
        <family val="2"/>
        <scheme val="minor"/>
      </rPr>
      <t xml:space="preserve"> - Tactile Object
</t>
    </r>
    <r>
      <rPr>
        <b/>
        <sz val="11"/>
        <color theme="1"/>
        <rFont val="Calibri"/>
        <family val="2"/>
        <scheme val="minor"/>
      </rPr>
      <t>transcript</t>
    </r>
    <r>
      <rPr>
        <sz val="11"/>
        <color theme="1"/>
        <rFont val="Calibri"/>
        <family val="2"/>
        <scheme val="minor"/>
      </rPr>
      <t xml:space="preserve"> - Transcript
</t>
    </r>
  </si>
  <si>
    <r>
      <t>Administrator</t>
    </r>
    <r>
      <rPr>
        <sz val="11"/>
        <color theme="1"/>
        <rFont val="Calibri"/>
        <family val="2"/>
        <scheme val="minor"/>
      </rPr>
      <t xml:space="preserve"> - Administrator
</t>
    </r>
    <r>
      <rPr>
        <b/>
        <sz val="11"/>
        <color theme="1"/>
        <rFont val="Calibri"/>
        <family val="2"/>
        <scheme val="minor"/>
      </rPr>
      <t>Mentor</t>
    </r>
    <r>
      <rPr>
        <sz val="11"/>
        <color theme="1"/>
        <rFont val="Calibri"/>
        <family val="2"/>
        <scheme val="minor"/>
      </rPr>
      <t xml:space="preserve"> - Mentor
</t>
    </r>
    <r>
      <rPr>
        <b/>
        <sz val="11"/>
        <color theme="1"/>
        <rFont val="Calibri"/>
        <family val="2"/>
        <scheme val="minor"/>
      </rPr>
      <t>Parent</t>
    </r>
    <r>
      <rPr>
        <sz val="11"/>
        <color theme="1"/>
        <rFont val="Calibri"/>
        <family val="2"/>
        <scheme val="minor"/>
      </rPr>
      <t xml:space="preserve"> - Parent
</t>
    </r>
    <r>
      <rPr>
        <b/>
        <sz val="11"/>
        <color theme="1"/>
        <rFont val="Calibri"/>
        <family val="2"/>
        <scheme val="minor"/>
      </rPr>
      <t>Peer-Tutor</t>
    </r>
    <r>
      <rPr>
        <sz val="11"/>
        <color theme="1"/>
        <rFont val="Calibri"/>
        <family val="2"/>
        <scheme val="minor"/>
      </rPr>
      <t xml:space="preserve"> - Peer- Tutor
</t>
    </r>
    <r>
      <rPr>
        <b/>
        <sz val="11"/>
        <color theme="1"/>
        <rFont val="Calibri"/>
        <family val="2"/>
        <scheme val="minor"/>
      </rPr>
      <t>Specialist</t>
    </r>
    <r>
      <rPr>
        <sz val="11"/>
        <color theme="1"/>
        <rFont val="Calibri"/>
        <family val="2"/>
        <scheme val="minor"/>
      </rPr>
      <t xml:space="preserve"> - Specialist
</t>
    </r>
    <r>
      <rPr>
        <b/>
        <sz val="11"/>
        <color theme="1"/>
        <rFont val="Calibri"/>
        <family val="2"/>
        <scheme val="minor"/>
      </rPr>
      <t>Student</t>
    </r>
    <r>
      <rPr>
        <sz val="11"/>
        <color theme="1"/>
        <rFont val="Calibri"/>
        <family val="2"/>
        <scheme val="minor"/>
      </rPr>
      <t xml:space="preserve"> - Student
</t>
    </r>
    <r>
      <rPr>
        <b/>
        <sz val="11"/>
        <color theme="1"/>
        <rFont val="Calibri"/>
        <family val="2"/>
        <scheme val="minor"/>
      </rPr>
      <t>Teacher</t>
    </r>
    <r>
      <rPr>
        <sz val="11"/>
        <color theme="1"/>
        <rFont val="Calibri"/>
        <family val="2"/>
        <scheme val="minor"/>
      </rPr>
      <t xml:space="preserve"> - Teacher
</t>
    </r>
    <r>
      <rPr>
        <b/>
        <sz val="11"/>
        <color theme="1"/>
        <rFont val="Calibri"/>
        <family val="2"/>
        <scheme val="minor"/>
      </rPr>
      <t>Team</t>
    </r>
    <r>
      <rPr>
        <sz val="11"/>
        <color theme="1"/>
        <rFont val="Calibri"/>
        <family val="2"/>
        <scheme val="minor"/>
      </rPr>
      <t xml:space="preserve"> - Team
</t>
    </r>
    <r>
      <rPr>
        <b/>
        <sz val="11"/>
        <color theme="1"/>
        <rFont val="Calibri"/>
        <family val="2"/>
        <scheme val="minor"/>
      </rPr>
      <t>Other</t>
    </r>
    <r>
      <rPr>
        <sz val="11"/>
        <color theme="1"/>
        <rFont val="Calibri"/>
        <family val="2"/>
        <scheme val="minor"/>
      </rPr>
      <t xml:space="preserve"> - Other
</t>
    </r>
  </si>
  <si>
    <r>
      <t>CurriculumInstruction</t>
    </r>
    <r>
      <rPr>
        <sz val="11"/>
        <color theme="1"/>
        <rFont val="Calibri"/>
        <family val="2"/>
        <scheme val="minor"/>
      </rPr>
      <t xml:space="preserve"> - Curriculum/Instruction
</t>
    </r>
    <r>
      <rPr>
        <b/>
        <sz val="11"/>
        <color theme="1"/>
        <rFont val="Calibri"/>
        <family val="2"/>
        <scheme val="minor"/>
      </rPr>
      <t>Assessment</t>
    </r>
    <r>
      <rPr>
        <sz val="11"/>
        <color theme="1"/>
        <rFont val="Calibri"/>
        <family val="2"/>
        <scheme val="minor"/>
      </rPr>
      <t xml:space="preserve"> - Assessment
</t>
    </r>
    <r>
      <rPr>
        <b/>
        <sz val="11"/>
        <color theme="1"/>
        <rFont val="Calibri"/>
        <family val="2"/>
        <scheme val="minor"/>
      </rPr>
      <t>ProfessionalDevelopment</t>
    </r>
    <r>
      <rPr>
        <sz val="11"/>
        <color theme="1"/>
        <rFont val="Calibri"/>
        <family val="2"/>
        <scheme val="minor"/>
      </rPr>
      <t xml:space="preserve"> - Professional Development
</t>
    </r>
    <r>
      <rPr>
        <b/>
        <sz val="11"/>
        <color theme="1"/>
        <rFont val="Calibri"/>
        <family val="2"/>
        <scheme val="minor"/>
      </rPr>
      <t>Other</t>
    </r>
    <r>
      <rPr>
        <sz val="11"/>
        <color theme="1"/>
        <rFont val="Calibri"/>
        <family val="2"/>
        <scheme val="minor"/>
      </rPr>
      <t xml:space="preserve"> - Other
</t>
    </r>
  </si>
  <si>
    <r>
      <t>Asynchronous</t>
    </r>
    <r>
      <rPr>
        <sz val="11"/>
        <color theme="1"/>
        <rFont val="Calibri"/>
        <family val="2"/>
        <scheme val="minor"/>
      </rPr>
      <t xml:space="preserve"> - Student-oriented teaching and learning which is not organized around participants interacting at the same time and in the same space.
</t>
    </r>
    <r>
      <rPr>
        <b/>
        <sz val="11"/>
        <color theme="1"/>
        <rFont val="Calibri"/>
        <family val="2"/>
        <scheme val="minor"/>
      </rPr>
      <t>Synchronous</t>
    </r>
    <r>
      <rPr>
        <sz val="11"/>
        <color theme="1"/>
        <rFont val="Calibri"/>
        <family val="2"/>
        <scheme val="minor"/>
      </rPr>
      <t xml:space="preserve"> - Group-oriented teaching and learning organized around participants interacting at the same time and in the same space.
</t>
    </r>
  </si>
  <si>
    <r>
      <t>Active</t>
    </r>
    <r>
      <rPr>
        <sz val="11"/>
        <color theme="1"/>
        <rFont val="Calibri"/>
        <family val="2"/>
        <scheme val="minor"/>
      </rPr>
      <t xml:space="preserve"> - Active
</t>
    </r>
    <r>
      <rPr>
        <b/>
        <sz val="11"/>
        <color theme="1"/>
        <rFont val="Calibri"/>
        <family val="2"/>
        <scheme val="minor"/>
      </rPr>
      <t>Expositive</t>
    </r>
    <r>
      <rPr>
        <sz val="11"/>
        <color theme="1"/>
        <rFont val="Calibri"/>
        <family val="2"/>
        <scheme val="minor"/>
      </rPr>
      <t xml:space="preserve"> - Expositive
</t>
    </r>
    <r>
      <rPr>
        <b/>
        <sz val="11"/>
        <color theme="1"/>
        <rFont val="Calibri"/>
        <family val="2"/>
        <scheme val="minor"/>
      </rPr>
      <t>Mixed</t>
    </r>
    <r>
      <rPr>
        <sz val="11"/>
        <color theme="1"/>
        <rFont val="Calibri"/>
        <family val="2"/>
        <scheme val="minor"/>
      </rPr>
      <t xml:space="preserve"> - Mixed
</t>
    </r>
  </si>
  <si>
    <r>
      <t>Organization</t>
    </r>
    <r>
      <rPr>
        <sz val="11"/>
        <color theme="1"/>
        <rFont val="Calibri"/>
        <family val="2"/>
        <scheme val="minor"/>
      </rPr>
      <t xml:space="preserve"> - Organization
</t>
    </r>
    <r>
      <rPr>
        <b/>
        <sz val="11"/>
        <color theme="1"/>
        <rFont val="Calibri"/>
        <family val="2"/>
        <scheme val="minor"/>
      </rPr>
      <t>Person</t>
    </r>
    <r>
      <rPr>
        <sz val="11"/>
        <color theme="1"/>
        <rFont val="Calibri"/>
        <family val="2"/>
        <scheme val="minor"/>
      </rPr>
      <t xml:space="preserve"> - Person
</t>
    </r>
  </si>
  <si>
    <t>Peer Rating</t>
  </si>
  <si>
    <t>Peer Rating System</t>
  </si>
  <si>
    <t>Facilities</t>
  </si>
  <si>
    <r>
      <t>02415</t>
    </r>
    <r>
      <rPr>
        <sz val="11"/>
        <color theme="1"/>
        <rFont val="Calibri"/>
        <family val="2"/>
        <scheme val="minor"/>
      </rPr>
      <t xml:space="preserve"> - Ineligible
</t>
    </r>
    <r>
      <rPr>
        <b/>
        <sz val="11"/>
        <color theme="1"/>
        <rFont val="Calibri"/>
        <family val="2"/>
        <scheme val="minor"/>
      </rPr>
      <t>02417</t>
    </r>
    <r>
      <rPr>
        <sz val="11"/>
        <color theme="1"/>
        <rFont val="Calibri"/>
        <family val="2"/>
        <scheme val="minor"/>
      </rPr>
      <t xml:space="preserve"> - Locally designated
</t>
    </r>
    <r>
      <rPr>
        <b/>
        <sz val="11"/>
        <color theme="1"/>
        <rFont val="Calibri"/>
        <family val="2"/>
        <scheme val="minor"/>
      </rPr>
      <t>02412</t>
    </r>
    <r>
      <rPr>
        <sz val="11"/>
        <color theme="1"/>
        <rFont val="Calibri"/>
        <family val="2"/>
        <scheme val="minor"/>
      </rPr>
      <t xml:space="preserve"> - Locally eligible, not yet designated
</t>
    </r>
    <r>
      <rPr>
        <b/>
        <sz val="11"/>
        <color theme="1"/>
        <rFont val="Calibri"/>
        <family val="2"/>
        <scheme val="minor"/>
      </rPr>
      <t>75020</t>
    </r>
    <r>
      <rPr>
        <sz val="11"/>
        <color theme="1"/>
        <rFont val="Calibri"/>
        <family val="2"/>
        <scheme val="minor"/>
      </rPr>
      <t xml:space="preserve"> - Located in historic district
</t>
    </r>
    <r>
      <rPr>
        <b/>
        <sz val="11"/>
        <color theme="1"/>
        <rFont val="Calibri"/>
        <family val="2"/>
        <scheme val="minor"/>
      </rPr>
      <t>02419</t>
    </r>
    <r>
      <rPr>
        <sz val="11"/>
        <color theme="1"/>
        <rFont val="Calibri"/>
        <family val="2"/>
        <scheme val="minor"/>
      </rPr>
      <t xml:space="preserve"> - Nationally designated
</t>
    </r>
    <r>
      <rPr>
        <b/>
        <sz val="11"/>
        <color theme="1"/>
        <rFont val="Calibri"/>
        <family val="2"/>
        <scheme val="minor"/>
      </rPr>
      <t>02414</t>
    </r>
    <r>
      <rPr>
        <sz val="11"/>
        <color theme="1"/>
        <rFont val="Calibri"/>
        <family val="2"/>
        <scheme val="minor"/>
      </rPr>
      <t xml:space="preserve"> - Nationally eligible, not yet designated
</t>
    </r>
    <r>
      <rPr>
        <b/>
        <sz val="11"/>
        <color theme="1"/>
        <rFont val="Calibri"/>
        <family val="2"/>
        <scheme val="minor"/>
      </rPr>
      <t>02416</t>
    </r>
    <r>
      <rPr>
        <sz val="11"/>
        <color theme="1"/>
        <rFont val="Calibri"/>
        <family val="2"/>
        <scheme val="minor"/>
      </rPr>
      <t xml:space="preserve"> - Not evaluated
</t>
    </r>
    <r>
      <rPr>
        <b/>
        <sz val="11"/>
        <color theme="1"/>
        <rFont val="Calibri"/>
        <family val="2"/>
        <scheme val="minor"/>
      </rPr>
      <t>02418</t>
    </r>
    <r>
      <rPr>
        <sz val="11"/>
        <color theme="1"/>
        <rFont val="Calibri"/>
        <family val="2"/>
        <scheme val="minor"/>
      </rPr>
      <t xml:space="preserve"> - State designated
</t>
    </r>
    <r>
      <rPr>
        <b/>
        <sz val="11"/>
        <color theme="1"/>
        <rFont val="Calibri"/>
        <family val="2"/>
        <scheme val="minor"/>
      </rPr>
      <t>02413</t>
    </r>
    <r>
      <rPr>
        <sz val="11"/>
        <color theme="1"/>
        <rFont val="Calibri"/>
        <family val="2"/>
        <scheme val="minor"/>
      </rPr>
      <t xml:space="preserve"> - State eligible, not yet designated
</t>
    </r>
  </si>
  <si>
    <r>
      <t>13561</t>
    </r>
    <r>
      <rPr>
        <sz val="11"/>
        <color theme="1"/>
        <rFont val="Calibri"/>
        <family val="2"/>
        <scheme val="minor"/>
      </rPr>
      <t xml:space="preserve"> - Church
</t>
    </r>
    <r>
      <rPr>
        <b/>
        <sz val="11"/>
        <color theme="1"/>
        <rFont val="Calibri"/>
        <family val="2"/>
        <scheme val="minor"/>
      </rPr>
      <t>13562</t>
    </r>
    <r>
      <rPr>
        <sz val="11"/>
        <color theme="1"/>
        <rFont val="Calibri"/>
        <family val="2"/>
        <scheme val="minor"/>
      </rPr>
      <t xml:space="preserve"> - Commercial office building
</t>
    </r>
    <r>
      <rPr>
        <b/>
        <sz val="11"/>
        <color theme="1"/>
        <rFont val="Calibri"/>
        <family val="2"/>
        <scheme val="minor"/>
      </rPr>
      <t>13563</t>
    </r>
    <r>
      <rPr>
        <sz val="11"/>
        <color theme="1"/>
        <rFont val="Calibri"/>
        <family val="2"/>
        <scheme val="minor"/>
      </rPr>
      <t xml:space="preserve"> - Commercial warehouse
</t>
    </r>
    <r>
      <rPr>
        <b/>
        <sz val="11"/>
        <color theme="1"/>
        <rFont val="Calibri"/>
        <family val="2"/>
        <scheme val="minor"/>
      </rPr>
      <t>13564</t>
    </r>
    <r>
      <rPr>
        <sz val="11"/>
        <color theme="1"/>
        <rFont val="Calibri"/>
        <family val="2"/>
        <scheme val="minor"/>
      </rPr>
      <t xml:space="preserve"> - Community center
</t>
    </r>
    <r>
      <rPr>
        <b/>
        <sz val="11"/>
        <color theme="1"/>
        <rFont val="Calibri"/>
        <family val="2"/>
        <scheme val="minor"/>
      </rPr>
      <t>13565</t>
    </r>
    <r>
      <rPr>
        <sz val="11"/>
        <color theme="1"/>
        <rFont val="Calibri"/>
        <family val="2"/>
        <scheme val="minor"/>
      </rPr>
      <t xml:space="preserve"> - Public school building
</t>
    </r>
  </si>
  <si>
    <r>
      <t>75021</t>
    </r>
    <r>
      <rPr>
        <sz val="11"/>
        <color theme="1"/>
        <rFont val="Calibri"/>
        <family val="2"/>
        <scheme val="minor"/>
      </rPr>
      <t xml:space="preserve"> - In district use
</t>
    </r>
    <r>
      <rPr>
        <b/>
        <sz val="11"/>
        <color theme="1"/>
        <rFont val="Calibri"/>
        <family val="2"/>
        <scheme val="minor"/>
      </rPr>
      <t>75022</t>
    </r>
    <r>
      <rPr>
        <sz val="11"/>
        <color theme="1"/>
        <rFont val="Calibri"/>
        <family val="2"/>
        <scheme val="minor"/>
      </rPr>
      <t xml:space="preserve"> - Leased
</t>
    </r>
    <r>
      <rPr>
        <b/>
        <sz val="11"/>
        <color theme="1"/>
        <rFont val="Calibri"/>
        <family val="2"/>
        <scheme val="minor"/>
      </rPr>
      <t>75023</t>
    </r>
    <r>
      <rPr>
        <sz val="11"/>
        <color theme="1"/>
        <rFont val="Calibri"/>
        <family val="2"/>
        <scheme val="minor"/>
      </rPr>
      <t xml:space="preserve"> - Inactive
</t>
    </r>
    <r>
      <rPr>
        <b/>
        <sz val="11"/>
        <color theme="1"/>
        <rFont val="Calibri"/>
        <family val="2"/>
        <scheme val="minor"/>
      </rPr>
      <t>75024</t>
    </r>
    <r>
      <rPr>
        <sz val="11"/>
        <color theme="1"/>
        <rFont val="Calibri"/>
        <family val="2"/>
        <scheme val="minor"/>
      </rPr>
      <t xml:space="preserve"> - Decommissioned
</t>
    </r>
    <r>
      <rPr>
        <b/>
        <sz val="11"/>
        <color theme="1"/>
        <rFont val="Calibri"/>
        <family val="2"/>
        <scheme val="minor"/>
      </rPr>
      <t>75025</t>
    </r>
    <r>
      <rPr>
        <sz val="11"/>
        <color theme="1"/>
        <rFont val="Calibri"/>
        <family val="2"/>
        <scheme val="minor"/>
      </rPr>
      <t xml:space="preserve"> - Sold
</t>
    </r>
  </si>
  <si>
    <r>
      <t>Administration</t>
    </r>
    <r>
      <rPr>
        <sz val="11"/>
        <color theme="1"/>
        <rFont val="Calibri"/>
        <family val="2"/>
        <scheme val="minor"/>
      </rPr>
      <t xml:space="preserve"> - Administration
</t>
    </r>
    <r>
      <rPr>
        <b/>
        <sz val="11"/>
        <color theme="1"/>
        <rFont val="Calibri"/>
        <family val="2"/>
        <scheme val="minor"/>
      </rPr>
      <t>Education</t>
    </r>
    <r>
      <rPr>
        <sz val="11"/>
        <color theme="1"/>
        <rFont val="Calibri"/>
        <family val="2"/>
        <scheme val="minor"/>
      </rPr>
      <t xml:space="preserve"> - Education
</t>
    </r>
    <r>
      <rPr>
        <b/>
        <sz val="11"/>
        <color theme="1"/>
        <rFont val="Calibri"/>
        <family val="2"/>
        <scheme val="minor"/>
      </rPr>
      <t>Operations</t>
    </r>
    <r>
      <rPr>
        <sz val="11"/>
        <color theme="1"/>
        <rFont val="Calibri"/>
        <family val="2"/>
        <scheme val="minor"/>
      </rPr>
      <t xml:space="preserve"> - Operations
</t>
    </r>
    <r>
      <rPr>
        <b/>
        <sz val="11"/>
        <color theme="1"/>
        <rFont val="Calibri"/>
        <family val="2"/>
        <scheme val="minor"/>
      </rPr>
      <t>Residential</t>
    </r>
    <r>
      <rPr>
        <sz val="11"/>
        <color theme="1"/>
        <rFont val="Calibri"/>
        <family val="2"/>
        <scheme val="minor"/>
      </rPr>
      <t xml:space="preserve"> - Residential
</t>
    </r>
    <r>
      <rPr>
        <b/>
        <sz val="11"/>
        <color theme="1"/>
        <rFont val="Calibri"/>
        <family val="2"/>
        <scheme val="minor"/>
      </rPr>
      <t>Other</t>
    </r>
    <r>
      <rPr>
        <sz val="11"/>
        <color theme="1"/>
        <rFont val="Calibri"/>
        <family val="2"/>
        <scheme val="minor"/>
      </rPr>
      <t xml:space="preserve"> - Other
</t>
    </r>
  </si>
  <si>
    <r>
      <t>02432</t>
    </r>
    <r>
      <rPr>
        <sz val="11"/>
        <color theme="1"/>
        <rFont val="Calibri"/>
        <family val="2"/>
        <scheme val="minor"/>
      </rPr>
      <t xml:space="preserve"> - Nonpermanent building
</t>
    </r>
    <r>
      <rPr>
        <b/>
        <sz val="11"/>
        <color theme="1"/>
        <rFont val="Calibri"/>
        <family val="2"/>
        <scheme val="minor"/>
      </rPr>
      <t>02431</t>
    </r>
    <r>
      <rPr>
        <sz val="11"/>
        <color theme="1"/>
        <rFont val="Calibri"/>
        <family val="2"/>
        <scheme val="minor"/>
      </rPr>
      <t xml:space="preserve"> - Permanent building
</t>
    </r>
  </si>
  <si>
    <r>
      <t>02420</t>
    </r>
    <r>
      <rPr>
        <sz val="11"/>
        <color theme="1"/>
        <rFont val="Calibri"/>
        <family val="2"/>
        <scheme val="minor"/>
      </rPr>
      <t xml:space="preserve"> - Actual
</t>
    </r>
    <r>
      <rPr>
        <b/>
        <sz val="11"/>
        <color theme="1"/>
        <rFont val="Calibri"/>
        <family val="2"/>
        <scheme val="minor"/>
      </rPr>
      <t>02421</t>
    </r>
    <r>
      <rPr>
        <sz val="11"/>
        <color theme="1"/>
        <rFont val="Calibri"/>
        <family val="2"/>
        <scheme val="minor"/>
      </rPr>
      <t xml:space="preserve"> - Estimated
</t>
    </r>
  </si>
  <si>
    <r>
      <t>02430</t>
    </r>
    <r>
      <rPr>
        <sz val="11"/>
        <color theme="1"/>
        <rFont val="Calibri"/>
        <family val="2"/>
        <scheme val="minor"/>
      </rPr>
      <t xml:space="preserve"> - Adobe
</t>
    </r>
    <r>
      <rPr>
        <b/>
        <sz val="11"/>
        <color theme="1"/>
        <rFont val="Calibri"/>
        <family val="2"/>
        <scheme val="minor"/>
      </rPr>
      <t>02428</t>
    </r>
    <r>
      <rPr>
        <sz val="11"/>
        <color theme="1"/>
        <rFont val="Calibri"/>
        <family val="2"/>
        <scheme val="minor"/>
      </rPr>
      <t xml:space="preserve"> - Aluminum
</t>
    </r>
    <r>
      <rPr>
        <b/>
        <sz val="11"/>
        <color theme="1"/>
        <rFont val="Calibri"/>
        <family val="2"/>
        <scheme val="minor"/>
      </rPr>
      <t>02424</t>
    </r>
    <r>
      <rPr>
        <sz val="11"/>
        <color theme="1"/>
        <rFont val="Calibri"/>
        <family val="2"/>
        <scheme val="minor"/>
      </rPr>
      <t xml:space="preserve"> - Block
</t>
    </r>
    <r>
      <rPr>
        <b/>
        <sz val="11"/>
        <color theme="1"/>
        <rFont val="Calibri"/>
        <family val="2"/>
        <scheme val="minor"/>
      </rPr>
      <t>02422</t>
    </r>
    <r>
      <rPr>
        <sz val="11"/>
        <color theme="1"/>
        <rFont val="Calibri"/>
        <family val="2"/>
        <scheme val="minor"/>
      </rPr>
      <t xml:space="preserve"> - Brick
</t>
    </r>
    <r>
      <rPr>
        <b/>
        <sz val="11"/>
        <color theme="1"/>
        <rFont val="Calibri"/>
        <family val="2"/>
        <scheme val="minor"/>
      </rPr>
      <t>02423</t>
    </r>
    <r>
      <rPr>
        <sz val="11"/>
        <color theme="1"/>
        <rFont val="Calibri"/>
        <family val="2"/>
        <scheme val="minor"/>
      </rPr>
      <t xml:space="preserve"> - Brick veneer
</t>
    </r>
    <r>
      <rPr>
        <b/>
        <sz val="11"/>
        <color theme="1"/>
        <rFont val="Calibri"/>
        <family val="2"/>
        <scheme val="minor"/>
      </rPr>
      <t>02426</t>
    </r>
    <r>
      <rPr>
        <sz val="11"/>
        <color theme="1"/>
        <rFont val="Calibri"/>
        <family val="2"/>
        <scheme val="minor"/>
      </rPr>
      <t xml:space="preserve"> - Concrete
</t>
    </r>
    <r>
      <rPr>
        <b/>
        <sz val="11"/>
        <color theme="1"/>
        <rFont val="Calibri"/>
        <family val="2"/>
        <scheme val="minor"/>
      </rPr>
      <t>02427</t>
    </r>
    <r>
      <rPr>
        <sz val="11"/>
        <color theme="1"/>
        <rFont val="Calibri"/>
        <family val="2"/>
        <scheme val="minor"/>
      </rPr>
      <t xml:space="preserve"> - Prefabricated
</t>
    </r>
    <r>
      <rPr>
        <b/>
        <sz val="11"/>
        <color theme="1"/>
        <rFont val="Calibri"/>
        <family val="2"/>
        <scheme val="minor"/>
      </rPr>
      <t>02429</t>
    </r>
    <r>
      <rPr>
        <sz val="11"/>
        <color theme="1"/>
        <rFont val="Calibri"/>
        <family val="2"/>
        <scheme val="minor"/>
      </rPr>
      <t xml:space="preserve"> - Steel
</t>
    </r>
    <r>
      <rPr>
        <b/>
        <sz val="11"/>
        <color theme="1"/>
        <rFont val="Calibri"/>
        <family val="2"/>
        <scheme val="minor"/>
      </rPr>
      <t>02425</t>
    </r>
    <r>
      <rPr>
        <sz val="11"/>
        <color theme="1"/>
        <rFont val="Calibri"/>
        <family val="2"/>
        <scheme val="minor"/>
      </rPr>
      <t xml:space="preserve"> - Wood frame
</t>
    </r>
    <r>
      <rPr>
        <b/>
        <sz val="11"/>
        <color theme="1"/>
        <rFont val="Calibri"/>
        <family val="2"/>
        <scheme val="minor"/>
      </rPr>
      <t>09999</t>
    </r>
    <r>
      <rPr>
        <sz val="11"/>
        <color theme="1"/>
        <rFont val="Calibri"/>
        <family val="2"/>
        <scheme val="minor"/>
      </rPr>
      <t xml:space="preserve"> - Other
</t>
    </r>
  </si>
  <si>
    <r>
      <t>02434</t>
    </r>
    <r>
      <rPr>
        <sz val="11"/>
        <color theme="1"/>
        <rFont val="Calibri"/>
        <family val="2"/>
        <scheme val="minor"/>
      </rPr>
      <t xml:space="preserve"> - Athletic field - Natural
</t>
    </r>
    <r>
      <rPr>
        <b/>
        <sz val="11"/>
        <color theme="1"/>
        <rFont val="Calibri"/>
        <family val="2"/>
        <scheme val="minor"/>
      </rPr>
      <t>02438</t>
    </r>
    <r>
      <rPr>
        <sz val="11"/>
        <color theme="1"/>
        <rFont val="Calibri"/>
        <family val="2"/>
        <scheme val="minor"/>
      </rPr>
      <t xml:space="preserve"> - Drop-off/driveway
</t>
    </r>
    <r>
      <rPr>
        <b/>
        <sz val="11"/>
        <color theme="1"/>
        <rFont val="Calibri"/>
        <family val="2"/>
        <scheme val="minor"/>
      </rPr>
      <t>02526</t>
    </r>
    <r>
      <rPr>
        <sz val="11"/>
        <color theme="1"/>
        <rFont val="Calibri"/>
        <family val="2"/>
        <scheme val="minor"/>
      </rPr>
      <t xml:space="preserve"> - Fencing enclosures
</t>
    </r>
    <r>
      <rPr>
        <b/>
        <sz val="11"/>
        <color theme="1"/>
        <rFont val="Calibri"/>
        <family val="2"/>
        <scheme val="minor"/>
      </rPr>
      <t>02437</t>
    </r>
    <r>
      <rPr>
        <sz val="11"/>
        <color theme="1"/>
        <rFont val="Calibri"/>
        <family val="2"/>
        <scheme val="minor"/>
      </rPr>
      <t xml:space="preserve"> - Hardscape game area
</t>
    </r>
    <r>
      <rPr>
        <b/>
        <sz val="11"/>
        <color theme="1"/>
        <rFont val="Calibri"/>
        <family val="2"/>
        <scheme val="minor"/>
      </rPr>
      <t>02436</t>
    </r>
    <r>
      <rPr>
        <sz val="11"/>
        <color theme="1"/>
        <rFont val="Calibri"/>
        <family val="2"/>
        <scheme val="minor"/>
      </rPr>
      <t xml:space="preserve"> - Hardscape play area
</t>
    </r>
    <r>
      <rPr>
        <b/>
        <sz val="11"/>
        <color theme="1"/>
        <rFont val="Calibri"/>
        <family val="2"/>
        <scheme val="minor"/>
      </rPr>
      <t>02443</t>
    </r>
    <r>
      <rPr>
        <sz val="11"/>
        <color theme="1"/>
        <rFont val="Calibri"/>
        <family val="2"/>
        <scheme val="minor"/>
      </rPr>
      <t xml:space="preserve"> - Landscaping
</t>
    </r>
    <r>
      <rPr>
        <b/>
        <sz val="11"/>
        <color theme="1"/>
        <rFont val="Calibri"/>
        <family val="2"/>
        <scheme val="minor"/>
      </rPr>
      <t>02435</t>
    </r>
    <r>
      <rPr>
        <sz val="11"/>
        <color theme="1"/>
        <rFont val="Calibri"/>
        <family val="2"/>
        <scheme val="minor"/>
      </rPr>
      <t xml:space="preserve"> - Outdoor classroom
</t>
    </r>
    <r>
      <rPr>
        <b/>
        <sz val="11"/>
        <color theme="1"/>
        <rFont val="Calibri"/>
        <family val="2"/>
        <scheme val="minor"/>
      </rPr>
      <t>02524</t>
    </r>
    <r>
      <rPr>
        <sz val="11"/>
        <color theme="1"/>
        <rFont val="Calibri"/>
        <family val="2"/>
        <scheme val="minor"/>
      </rPr>
      <t xml:space="preserve"> - Parking area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02440</t>
    </r>
    <r>
      <rPr>
        <sz val="11"/>
        <color theme="1"/>
        <rFont val="Calibri"/>
        <family val="2"/>
        <scheme val="minor"/>
      </rPr>
      <t xml:space="preserve"> - Retaining walls
</t>
    </r>
    <r>
      <rPr>
        <b/>
        <sz val="11"/>
        <color theme="1"/>
        <rFont val="Calibri"/>
        <family val="2"/>
        <scheme val="minor"/>
      </rPr>
      <t>02439</t>
    </r>
    <r>
      <rPr>
        <sz val="11"/>
        <color theme="1"/>
        <rFont val="Calibri"/>
        <family val="2"/>
        <scheme val="minor"/>
      </rPr>
      <t xml:space="preserve"> - Septic fields
</t>
    </r>
    <r>
      <rPr>
        <b/>
        <sz val="11"/>
        <color theme="1"/>
        <rFont val="Calibri"/>
        <family val="2"/>
        <scheme val="minor"/>
      </rPr>
      <t>02441</t>
    </r>
    <r>
      <rPr>
        <sz val="11"/>
        <color theme="1"/>
        <rFont val="Calibri"/>
        <family val="2"/>
        <scheme val="minor"/>
      </rPr>
      <t xml:space="preserve"> - Sidewalks
</t>
    </r>
    <r>
      <rPr>
        <b/>
        <sz val="11"/>
        <color theme="1"/>
        <rFont val="Calibri"/>
        <family val="2"/>
        <scheme val="minor"/>
      </rPr>
      <t>02442</t>
    </r>
    <r>
      <rPr>
        <sz val="11"/>
        <color theme="1"/>
        <rFont val="Calibri"/>
        <family val="2"/>
        <scheme val="minor"/>
      </rPr>
      <t xml:space="preserve"> - Stairs and ramps
</t>
    </r>
    <r>
      <rPr>
        <b/>
        <sz val="11"/>
        <color theme="1"/>
        <rFont val="Calibri"/>
        <family val="2"/>
        <scheme val="minor"/>
      </rPr>
      <t>02444</t>
    </r>
    <r>
      <rPr>
        <sz val="11"/>
        <color theme="1"/>
        <rFont val="Calibri"/>
        <family val="2"/>
        <scheme val="minor"/>
      </rPr>
      <t xml:space="preserve"> - Water filtration system
</t>
    </r>
    <r>
      <rPr>
        <b/>
        <sz val="11"/>
        <color theme="1"/>
        <rFont val="Calibri"/>
        <family val="2"/>
        <scheme val="minor"/>
      </rPr>
      <t>09999</t>
    </r>
    <r>
      <rPr>
        <sz val="11"/>
        <color theme="1"/>
        <rFont val="Calibri"/>
        <family val="2"/>
        <scheme val="minor"/>
      </rPr>
      <t xml:space="preserve"> - Other
</t>
    </r>
  </si>
  <si>
    <t>Condition</t>
  </si>
  <si>
    <r>
      <t>02497</t>
    </r>
    <r>
      <rPr>
        <sz val="11"/>
        <color theme="1"/>
        <rFont val="Calibri"/>
        <family val="2"/>
        <scheme val="minor"/>
      </rPr>
      <t xml:space="preserve"> - Air handler units
</t>
    </r>
    <r>
      <rPr>
        <b/>
        <sz val="11"/>
        <color theme="1"/>
        <rFont val="Calibri"/>
        <family val="2"/>
        <scheme val="minor"/>
      </rPr>
      <t>02496</t>
    </r>
    <r>
      <rPr>
        <sz val="11"/>
        <color theme="1"/>
        <rFont val="Calibri"/>
        <family val="2"/>
        <scheme val="minor"/>
      </rPr>
      <t xml:space="preserve"> - Both mechanical exhaust and supply units
</t>
    </r>
    <r>
      <rPr>
        <b/>
        <sz val="11"/>
        <color theme="1"/>
        <rFont val="Calibri"/>
        <family val="2"/>
        <scheme val="minor"/>
      </rPr>
      <t>02493</t>
    </r>
    <r>
      <rPr>
        <sz val="11"/>
        <color theme="1"/>
        <rFont val="Calibri"/>
        <family val="2"/>
        <scheme val="minor"/>
      </rPr>
      <t xml:space="preserve"> - Gravity ventilation units
</t>
    </r>
    <r>
      <rPr>
        <b/>
        <sz val="11"/>
        <color theme="1"/>
        <rFont val="Calibri"/>
        <family val="2"/>
        <scheme val="minor"/>
      </rPr>
      <t>02494</t>
    </r>
    <r>
      <rPr>
        <sz val="11"/>
        <color theme="1"/>
        <rFont val="Calibri"/>
        <family val="2"/>
        <scheme val="minor"/>
      </rPr>
      <t xml:space="preserve"> - Mechanical exhaust units
</t>
    </r>
    <r>
      <rPr>
        <b/>
        <sz val="11"/>
        <color theme="1"/>
        <rFont val="Calibri"/>
        <family val="2"/>
        <scheme val="minor"/>
      </rPr>
      <t>02495</t>
    </r>
    <r>
      <rPr>
        <sz val="11"/>
        <color theme="1"/>
        <rFont val="Calibri"/>
        <family val="2"/>
        <scheme val="minor"/>
      </rPr>
      <t xml:space="preserve"> - Mechanical supply units
</t>
    </r>
    <r>
      <rPr>
        <b/>
        <sz val="11"/>
        <color theme="1"/>
        <rFont val="Calibri"/>
        <family val="2"/>
        <scheme val="minor"/>
      </rPr>
      <t>09999</t>
    </r>
    <r>
      <rPr>
        <sz val="11"/>
        <color theme="1"/>
        <rFont val="Calibri"/>
        <family val="2"/>
        <scheme val="minor"/>
      </rPr>
      <t xml:space="preserve"> - Other units
</t>
    </r>
    <r>
      <rPr>
        <b/>
        <sz val="11"/>
        <color theme="1"/>
        <rFont val="Calibri"/>
        <family val="2"/>
        <scheme val="minor"/>
      </rPr>
      <t>02492</t>
    </r>
    <r>
      <rPr>
        <sz val="11"/>
        <color theme="1"/>
        <rFont val="Calibri"/>
        <family val="2"/>
        <scheme val="minor"/>
      </rPr>
      <t xml:space="preserve"> - Window ventilation units
</t>
    </r>
  </si>
  <si>
    <r>
      <t>02500</t>
    </r>
    <r>
      <rPr>
        <sz val="11"/>
        <color theme="1"/>
        <rFont val="Calibri"/>
        <family val="2"/>
        <scheme val="minor"/>
      </rPr>
      <t xml:space="preserve"> - Data
</t>
    </r>
    <r>
      <rPr>
        <b/>
        <sz val="11"/>
        <color theme="1"/>
        <rFont val="Calibri"/>
        <family val="2"/>
        <scheme val="minor"/>
      </rPr>
      <t>14905</t>
    </r>
    <r>
      <rPr>
        <sz val="11"/>
        <color theme="1"/>
        <rFont val="Calibri"/>
        <family val="2"/>
        <scheme val="minor"/>
      </rPr>
      <t xml:space="preserve"> - Integrated (voice, data, video, etc.)
</t>
    </r>
    <r>
      <rPr>
        <b/>
        <sz val="11"/>
        <color theme="1"/>
        <rFont val="Calibri"/>
        <family val="2"/>
        <scheme val="minor"/>
      </rPr>
      <t>02501</t>
    </r>
    <r>
      <rPr>
        <sz val="11"/>
        <color theme="1"/>
        <rFont val="Calibri"/>
        <family val="2"/>
        <scheme val="minor"/>
      </rPr>
      <t xml:space="preserve"> - Public address system
</t>
    </r>
    <r>
      <rPr>
        <b/>
        <sz val="11"/>
        <color theme="1"/>
        <rFont val="Calibri"/>
        <family val="2"/>
        <scheme val="minor"/>
      </rPr>
      <t>02499</t>
    </r>
    <r>
      <rPr>
        <sz val="11"/>
        <color theme="1"/>
        <rFont val="Calibri"/>
        <family val="2"/>
        <scheme val="minor"/>
      </rPr>
      <t xml:space="preserve"> - Video
</t>
    </r>
    <r>
      <rPr>
        <b/>
        <sz val="11"/>
        <color theme="1"/>
        <rFont val="Calibri"/>
        <family val="2"/>
        <scheme val="minor"/>
      </rPr>
      <t>02498</t>
    </r>
    <r>
      <rPr>
        <sz val="11"/>
        <color theme="1"/>
        <rFont val="Calibri"/>
        <family val="2"/>
        <scheme val="minor"/>
      </rPr>
      <t xml:space="preserve"> - Voice
</t>
    </r>
    <r>
      <rPr>
        <b/>
        <sz val="11"/>
        <color theme="1"/>
        <rFont val="Calibri"/>
        <family val="2"/>
        <scheme val="minor"/>
      </rPr>
      <t>09999</t>
    </r>
    <r>
      <rPr>
        <sz val="11"/>
        <color theme="1"/>
        <rFont val="Calibri"/>
        <family val="2"/>
        <scheme val="minor"/>
      </rPr>
      <t xml:space="preserve"> - Other
</t>
    </r>
  </si>
  <si>
    <r>
      <t>02490</t>
    </r>
    <r>
      <rPr>
        <sz val="11"/>
        <color theme="1"/>
        <rFont val="Calibri"/>
        <family val="2"/>
        <scheme val="minor"/>
      </rPr>
      <t xml:space="preserve"> - Ceiling fans or ventilation fans
</t>
    </r>
    <r>
      <rPr>
        <b/>
        <sz val="11"/>
        <color theme="1"/>
        <rFont val="Calibri"/>
        <family val="2"/>
        <scheme val="minor"/>
      </rPr>
      <t>02486</t>
    </r>
    <r>
      <rPr>
        <sz val="11"/>
        <color theme="1"/>
        <rFont val="Calibri"/>
        <family val="2"/>
        <scheme val="minor"/>
      </rPr>
      <t xml:space="preserve"> - Central cooling system
</t>
    </r>
    <r>
      <rPr>
        <b/>
        <sz val="11"/>
        <color theme="1"/>
        <rFont val="Calibri"/>
        <family val="2"/>
        <scheme val="minor"/>
      </rPr>
      <t>02489</t>
    </r>
    <r>
      <rPr>
        <sz val="11"/>
        <color theme="1"/>
        <rFont val="Calibri"/>
        <family val="2"/>
        <scheme val="minor"/>
      </rPr>
      <t xml:space="preserve"> - Combination cooling systems
</t>
    </r>
    <r>
      <rPr>
        <b/>
        <sz val="11"/>
        <color theme="1"/>
        <rFont val="Calibri"/>
        <family val="2"/>
        <scheme val="minor"/>
      </rPr>
      <t>02488</t>
    </r>
    <r>
      <rPr>
        <sz val="11"/>
        <color theme="1"/>
        <rFont val="Calibri"/>
        <family val="2"/>
        <scheme val="minor"/>
      </rPr>
      <t xml:space="preserve"> - Individual (room) unit cooling system
</t>
    </r>
    <r>
      <rPr>
        <b/>
        <sz val="11"/>
        <color theme="1"/>
        <rFont val="Calibri"/>
        <family val="2"/>
        <scheme val="minor"/>
      </rPr>
      <t>02487</t>
    </r>
    <r>
      <rPr>
        <sz val="11"/>
        <color theme="1"/>
        <rFont val="Calibri"/>
        <family val="2"/>
        <scheme val="minor"/>
      </rPr>
      <t xml:space="preserve"> - Local zone cooling system
</t>
    </r>
    <r>
      <rPr>
        <b/>
        <sz val="11"/>
        <color theme="1"/>
        <rFont val="Calibri"/>
        <family val="2"/>
        <scheme val="minor"/>
      </rPr>
      <t>02491</t>
    </r>
    <r>
      <rPr>
        <sz val="11"/>
        <color theme="1"/>
        <rFont val="Calibri"/>
        <family val="2"/>
        <scheme val="minor"/>
      </rPr>
      <t xml:space="preserve"> - Natural systems
</t>
    </r>
    <r>
      <rPr>
        <b/>
        <sz val="11"/>
        <color theme="1"/>
        <rFont val="Calibri"/>
        <family val="2"/>
        <scheme val="minor"/>
      </rPr>
      <t>09998</t>
    </r>
    <r>
      <rPr>
        <sz val="11"/>
        <color theme="1"/>
        <rFont val="Calibri"/>
        <family val="2"/>
        <scheme val="minor"/>
      </rPr>
      <t xml:space="preserve"> - None
</t>
    </r>
    <r>
      <rPr>
        <b/>
        <sz val="11"/>
        <color theme="1"/>
        <rFont val="Calibri"/>
        <family val="2"/>
        <scheme val="minor"/>
      </rPr>
      <t>09999</t>
    </r>
    <r>
      <rPr>
        <sz val="11"/>
        <color theme="1"/>
        <rFont val="Calibri"/>
        <family val="2"/>
        <scheme val="minor"/>
      </rPr>
      <t xml:space="preserve"> - Other
</t>
    </r>
  </si>
  <si>
    <r>
      <t>02476</t>
    </r>
    <r>
      <rPr>
        <sz val="11"/>
        <color theme="1"/>
        <rFont val="Calibri"/>
        <family val="2"/>
        <scheme val="minor"/>
      </rPr>
      <t xml:space="preserve"> - Circuit breakers
</t>
    </r>
    <r>
      <rPr>
        <b/>
        <sz val="11"/>
        <color theme="1"/>
        <rFont val="Calibri"/>
        <family val="2"/>
        <scheme val="minor"/>
      </rPr>
      <t>13570</t>
    </r>
    <r>
      <rPr>
        <sz val="11"/>
        <color theme="1"/>
        <rFont val="Calibri"/>
        <family val="2"/>
        <scheme val="minor"/>
      </rPr>
      <t xml:space="preserve"> - Communications and security
</t>
    </r>
    <r>
      <rPr>
        <b/>
        <sz val="11"/>
        <color theme="1"/>
        <rFont val="Calibri"/>
        <family val="2"/>
        <scheme val="minor"/>
      </rPr>
      <t>02473</t>
    </r>
    <r>
      <rPr>
        <sz val="11"/>
        <color theme="1"/>
        <rFont val="Calibri"/>
        <family val="2"/>
        <scheme val="minor"/>
      </rPr>
      <t xml:space="preserve"> - Electrical distribution
</t>
    </r>
    <r>
      <rPr>
        <b/>
        <sz val="11"/>
        <color theme="1"/>
        <rFont val="Calibri"/>
        <family val="2"/>
        <scheme val="minor"/>
      </rPr>
      <t>02475</t>
    </r>
    <r>
      <rPr>
        <sz val="11"/>
        <color theme="1"/>
        <rFont val="Calibri"/>
        <family val="2"/>
        <scheme val="minor"/>
      </rPr>
      <t xml:space="preserve"> - Electrical interface
</t>
    </r>
    <r>
      <rPr>
        <b/>
        <sz val="11"/>
        <color theme="1"/>
        <rFont val="Calibri"/>
        <family val="2"/>
        <scheme val="minor"/>
      </rPr>
      <t>13571</t>
    </r>
    <r>
      <rPr>
        <sz val="11"/>
        <color theme="1"/>
        <rFont val="Calibri"/>
        <family val="2"/>
        <scheme val="minor"/>
      </rPr>
      <t xml:space="preserve"> - Electrical service and distribution
</t>
    </r>
    <r>
      <rPr>
        <b/>
        <sz val="11"/>
        <color theme="1"/>
        <rFont val="Calibri"/>
        <family val="2"/>
        <scheme val="minor"/>
      </rPr>
      <t>02472</t>
    </r>
    <r>
      <rPr>
        <sz val="11"/>
        <color theme="1"/>
        <rFont val="Calibri"/>
        <family val="2"/>
        <scheme val="minor"/>
      </rPr>
      <t xml:space="preserve"> - Electrical supply
</t>
    </r>
    <r>
      <rPr>
        <b/>
        <sz val="11"/>
        <color theme="1"/>
        <rFont val="Calibri"/>
        <family val="2"/>
        <scheme val="minor"/>
      </rPr>
      <t>02474</t>
    </r>
    <r>
      <rPr>
        <sz val="11"/>
        <color theme="1"/>
        <rFont val="Calibri"/>
        <family val="2"/>
        <scheme val="minor"/>
      </rPr>
      <t xml:space="preserve"> - Emergency generator
</t>
    </r>
    <r>
      <rPr>
        <b/>
        <sz val="11"/>
        <color theme="1"/>
        <rFont val="Calibri"/>
        <family val="2"/>
        <scheme val="minor"/>
      </rPr>
      <t>13572</t>
    </r>
    <r>
      <rPr>
        <sz val="11"/>
        <color theme="1"/>
        <rFont val="Calibri"/>
        <family val="2"/>
        <scheme val="minor"/>
      </rPr>
      <t xml:space="preserve"> - Lighting and branch wiring
</t>
    </r>
    <r>
      <rPr>
        <b/>
        <sz val="11"/>
        <color theme="1"/>
        <rFont val="Calibri"/>
        <family val="2"/>
        <scheme val="minor"/>
      </rPr>
      <t>09999</t>
    </r>
    <r>
      <rPr>
        <sz val="11"/>
        <color theme="1"/>
        <rFont val="Calibri"/>
        <family val="2"/>
        <scheme val="minor"/>
      </rPr>
      <t xml:space="preserve"> - Other
</t>
    </r>
  </si>
  <si>
    <r>
      <t>02513</t>
    </r>
    <r>
      <rPr>
        <sz val="11"/>
        <color theme="1"/>
        <rFont val="Calibri"/>
        <family val="2"/>
        <scheme val="minor"/>
      </rPr>
      <t xml:space="preserve"> - Alarms
</t>
    </r>
    <r>
      <rPr>
        <b/>
        <sz val="11"/>
        <color theme="1"/>
        <rFont val="Calibri"/>
        <family val="2"/>
        <scheme val="minor"/>
      </rPr>
      <t>02511</t>
    </r>
    <r>
      <rPr>
        <sz val="11"/>
        <color theme="1"/>
        <rFont val="Calibri"/>
        <family val="2"/>
        <scheme val="minor"/>
      </rPr>
      <t xml:space="preserve"> - Automatic sprinkler
</t>
    </r>
    <r>
      <rPr>
        <b/>
        <sz val="11"/>
        <color theme="1"/>
        <rFont val="Calibri"/>
        <family val="2"/>
        <scheme val="minor"/>
      </rPr>
      <t>13579</t>
    </r>
    <r>
      <rPr>
        <sz val="11"/>
        <color theme="1"/>
        <rFont val="Calibri"/>
        <family val="2"/>
        <scheme val="minor"/>
      </rPr>
      <t xml:space="preserve"> - Fire protection specialists
</t>
    </r>
    <r>
      <rPr>
        <b/>
        <sz val="11"/>
        <color theme="1"/>
        <rFont val="Calibri"/>
        <family val="2"/>
        <scheme val="minor"/>
      </rPr>
      <t>02512</t>
    </r>
    <r>
      <rPr>
        <sz val="11"/>
        <color theme="1"/>
        <rFont val="Calibri"/>
        <family val="2"/>
        <scheme val="minor"/>
      </rPr>
      <t xml:space="preserve"> - Fire pump/extinguishers
</t>
    </r>
    <r>
      <rPr>
        <b/>
        <sz val="11"/>
        <color theme="1"/>
        <rFont val="Calibri"/>
        <family val="2"/>
        <scheme val="minor"/>
      </rPr>
      <t>02514</t>
    </r>
    <r>
      <rPr>
        <sz val="11"/>
        <color theme="1"/>
        <rFont val="Calibri"/>
        <family val="2"/>
        <scheme val="minor"/>
      </rPr>
      <t xml:space="preserve"> - Kitchen fire suppressor system
</t>
    </r>
    <r>
      <rPr>
        <b/>
        <sz val="11"/>
        <color theme="1"/>
        <rFont val="Calibri"/>
        <family val="2"/>
        <scheme val="minor"/>
      </rPr>
      <t>13580</t>
    </r>
    <r>
      <rPr>
        <sz val="11"/>
        <color theme="1"/>
        <rFont val="Calibri"/>
        <family val="2"/>
        <scheme val="minor"/>
      </rPr>
      <t xml:space="preserve"> - Other fire protection systems
</t>
    </r>
    <r>
      <rPr>
        <b/>
        <sz val="11"/>
        <color theme="1"/>
        <rFont val="Calibri"/>
        <family val="2"/>
        <scheme val="minor"/>
      </rPr>
      <t>13581</t>
    </r>
    <r>
      <rPr>
        <sz val="11"/>
        <color theme="1"/>
        <rFont val="Calibri"/>
        <family val="2"/>
        <scheme val="minor"/>
      </rPr>
      <t xml:space="preserve"> - Standpipes
</t>
    </r>
    <r>
      <rPr>
        <b/>
        <sz val="11"/>
        <color theme="1"/>
        <rFont val="Calibri"/>
        <family val="2"/>
        <scheme val="minor"/>
      </rPr>
      <t>09999</t>
    </r>
    <r>
      <rPr>
        <sz val="11"/>
        <color theme="1"/>
        <rFont val="Calibri"/>
        <family val="2"/>
        <scheme val="minor"/>
      </rPr>
      <t xml:space="preserve"> - Other
</t>
    </r>
  </si>
  <si>
    <r>
      <t>02482</t>
    </r>
    <r>
      <rPr>
        <sz val="11"/>
        <color theme="1"/>
        <rFont val="Calibri"/>
        <family val="2"/>
        <scheme val="minor"/>
      </rPr>
      <t xml:space="preserve"> - Central duct system
</t>
    </r>
    <r>
      <rPr>
        <b/>
        <sz val="11"/>
        <color theme="1"/>
        <rFont val="Calibri"/>
        <family val="2"/>
        <scheme val="minor"/>
      </rPr>
      <t>02485</t>
    </r>
    <r>
      <rPr>
        <sz val="11"/>
        <color theme="1"/>
        <rFont val="Calibri"/>
        <family val="2"/>
        <scheme val="minor"/>
      </rPr>
      <t xml:space="preserve"> - Displacement ventilation
</t>
    </r>
    <r>
      <rPr>
        <b/>
        <sz val="11"/>
        <color theme="1"/>
        <rFont val="Calibri"/>
        <family val="2"/>
        <scheme val="minor"/>
      </rPr>
      <t>02484</t>
    </r>
    <r>
      <rPr>
        <sz val="11"/>
        <color theme="1"/>
        <rFont val="Calibri"/>
        <family val="2"/>
        <scheme val="minor"/>
      </rPr>
      <t xml:space="preserve"> - Forced air
</t>
    </r>
    <r>
      <rPr>
        <b/>
        <sz val="11"/>
        <color theme="1"/>
        <rFont val="Calibri"/>
        <family val="2"/>
        <scheme val="minor"/>
      </rPr>
      <t>02479</t>
    </r>
    <r>
      <rPr>
        <sz val="11"/>
        <color theme="1"/>
        <rFont val="Calibri"/>
        <family val="2"/>
        <scheme val="minor"/>
      </rPr>
      <t xml:space="preserve"> - Heat pump
</t>
    </r>
    <r>
      <rPr>
        <b/>
        <sz val="11"/>
        <color theme="1"/>
        <rFont val="Calibri"/>
        <family val="2"/>
        <scheme val="minor"/>
      </rPr>
      <t>02478</t>
    </r>
    <r>
      <rPr>
        <sz val="11"/>
        <color theme="1"/>
        <rFont val="Calibri"/>
        <family val="2"/>
        <scheme val="minor"/>
      </rPr>
      <t xml:space="preserve"> - Hot water radiator
</t>
    </r>
    <r>
      <rPr>
        <b/>
        <sz val="11"/>
        <color theme="1"/>
        <rFont val="Calibri"/>
        <family val="2"/>
        <scheme val="minor"/>
      </rPr>
      <t>02483</t>
    </r>
    <r>
      <rPr>
        <sz val="11"/>
        <color theme="1"/>
        <rFont val="Calibri"/>
        <family val="2"/>
        <scheme val="minor"/>
      </rPr>
      <t xml:space="preserve"> - Open plenum system
</t>
    </r>
    <r>
      <rPr>
        <b/>
        <sz val="11"/>
        <color theme="1"/>
        <rFont val="Calibri"/>
        <family val="2"/>
        <scheme val="minor"/>
      </rPr>
      <t>02477</t>
    </r>
    <r>
      <rPr>
        <sz val="11"/>
        <color theme="1"/>
        <rFont val="Calibri"/>
        <family val="2"/>
        <scheme val="minor"/>
      </rPr>
      <t xml:space="preserve"> - Steam radiator
</t>
    </r>
    <r>
      <rPr>
        <b/>
        <sz val="11"/>
        <color theme="1"/>
        <rFont val="Calibri"/>
        <family val="2"/>
        <scheme val="minor"/>
      </rPr>
      <t>02481</t>
    </r>
    <r>
      <rPr>
        <sz val="11"/>
        <color theme="1"/>
        <rFont val="Calibri"/>
        <family val="2"/>
        <scheme val="minor"/>
      </rPr>
      <t xml:space="preserve"> - Unit heaters/baseboard heaters
</t>
    </r>
    <r>
      <rPr>
        <b/>
        <sz val="11"/>
        <color theme="1"/>
        <rFont val="Calibri"/>
        <family val="2"/>
        <scheme val="minor"/>
      </rPr>
      <t>02480</t>
    </r>
    <r>
      <rPr>
        <sz val="11"/>
        <color theme="1"/>
        <rFont val="Calibri"/>
        <family val="2"/>
        <scheme val="minor"/>
      </rPr>
      <t xml:space="preserve"> - Unit ventilators
</t>
    </r>
    <r>
      <rPr>
        <b/>
        <sz val="11"/>
        <color theme="1"/>
        <rFont val="Calibri"/>
        <family val="2"/>
        <scheme val="minor"/>
      </rPr>
      <t>09999</t>
    </r>
    <r>
      <rPr>
        <sz val="11"/>
        <color theme="1"/>
        <rFont val="Calibri"/>
        <family val="2"/>
        <scheme val="minor"/>
      </rPr>
      <t xml:space="preserve"> - Other
</t>
    </r>
  </si>
  <si>
    <r>
      <t>13585</t>
    </r>
    <r>
      <rPr>
        <sz val="11"/>
        <color theme="1"/>
        <rFont val="Calibri"/>
        <family val="2"/>
        <scheme val="minor"/>
      </rPr>
      <t xml:space="preserve"> - Air distribution system
</t>
    </r>
    <r>
      <rPr>
        <b/>
        <sz val="11"/>
        <color theme="1"/>
        <rFont val="Calibri"/>
        <family val="2"/>
        <scheme val="minor"/>
      </rPr>
      <t>13586</t>
    </r>
    <r>
      <rPr>
        <sz val="11"/>
        <color theme="1"/>
        <rFont val="Calibri"/>
        <family val="2"/>
        <scheme val="minor"/>
      </rPr>
      <t xml:space="preserve"> - Controls and instrumentation
</t>
    </r>
    <r>
      <rPr>
        <b/>
        <sz val="11"/>
        <color theme="1"/>
        <rFont val="Calibri"/>
        <family val="2"/>
        <scheme val="minor"/>
      </rPr>
      <t>13587</t>
    </r>
    <r>
      <rPr>
        <sz val="11"/>
        <color theme="1"/>
        <rFont val="Calibri"/>
        <family val="2"/>
        <scheme val="minor"/>
      </rPr>
      <t xml:space="preserve"> - Cooling generation systems
</t>
    </r>
    <r>
      <rPr>
        <b/>
        <sz val="11"/>
        <color theme="1"/>
        <rFont val="Calibri"/>
        <family val="2"/>
        <scheme val="minor"/>
      </rPr>
      <t>13588</t>
    </r>
    <r>
      <rPr>
        <sz val="11"/>
        <color theme="1"/>
        <rFont val="Calibri"/>
        <family val="2"/>
        <scheme val="minor"/>
      </rPr>
      <t xml:space="preserve"> - Energy supply
</t>
    </r>
    <r>
      <rPr>
        <b/>
        <sz val="11"/>
        <color theme="1"/>
        <rFont val="Calibri"/>
        <family val="2"/>
        <scheme val="minor"/>
      </rPr>
      <t>13589</t>
    </r>
    <r>
      <rPr>
        <sz val="11"/>
        <color theme="1"/>
        <rFont val="Calibri"/>
        <family val="2"/>
        <scheme val="minor"/>
      </rPr>
      <t xml:space="preserve"> - Heat generating system
</t>
    </r>
    <r>
      <rPr>
        <b/>
        <sz val="11"/>
        <color theme="1"/>
        <rFont val="Calibri"/>
        <family val="2"/>
        <scheme val="minor"/>
      </rPr>
      <t>13590</t>
    </r>
    <r>
      <rPr>
        <sz val="11"/>
        <color theme="1"/>
        <rFont val="Calibri"/>
        <family val="2"/>
        <scheme val="minor"/>
      </rPr>
      <t xml:space="preserve"> - Other HVAC systems and equipment
</t>
    </r>
    <r>
      <rPr>
        <b/>
        <sz val="11"/>
        <color theme="1"/>
        <rFont val="Calibri"/>
        <family val="2"/>
        <scheme val="minor"/>
      </rPr>
      <t>13591</t>
    </r>
    <r>
      <rPr>
        <sz val="11"/>
        <color theme="1"/>
        <rFont val="Calibri"/>
        <family val="2"/>
        <scheme val="minor"/>
      </rPr>
      <t xml:space="preserve"> - Systems testing and balancing
</t>
    </r>
    <r>
      <rPr>
        <b/>
        <sz val="11"/>
        <color theme="1"/>
        <rFont val="Calibri"/>
        <family val="2"/>
        <scheme val="minor"/>
      </rPr>
      <t>13592</t>
    </r>
    <r>
      <rPr>
        <sz val="11"/>
        <color theme="1"/>
        <rFont val="Calibri"/>
        <family val="2"/>
        <scheme val="minor"/>
      </rPr>
      <t xml:space="preserve"> - Terminal and package units
</t>
    </r>
  </si>
  <si>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13593</t>
    </r>
    <r>
      <rPr>
        <sz val="11"/>
        <color theme="1"/>
        <rFont val="Calibri"/>
        <family val="2"/>
        <scheme val="minor"/>
      </rPr>
      <t xml:space="preserve"> - Lift
</t>
    </r>
    <r>
      <rPr>
        <b/>
        <sz val="11"/>
        <color theme="1"/>
        <rFont val="Calibri"/>
        <family val="2"/>
        <scheme val="minor"/>
      </rPr>
      <t>13594</t>
    </r>
    <r>
      <rPr>
        <sz val="11"/>
        <color theme="1"/>
        <rFont val="Calibri"/>
        <family val="2"/>
        <scheme val="minor"/>
      </rPr>
      <t xml:space="preserve"> - Moving Walk
</t>
    </r>
    <r>
      <rPr>
        <b/>
        <sz val="11"/>
        <color theme="1"/>
        <rFont val="Calibri"/>
        <family val="2"/>
        <scheme val="minor"/>
      </rPr>
      <t>13595</t>
    </r>
    <r>
      <rPr>
        <sz val="11"/>
        <color theme="1"/>
        <rFont val="Calibri"/>
        <family val="2"/>
        <scheme val="minor"/>
      </rPr>
      <t xml:space="preserve"> - Other conveying system
</t>
    </r>
  </si>
  <si>
    <r>
      <t>02455</t>
    </r>
    <r>
      <rPr>
        <sz val="11"/>
        <color theme="1"/>
        <rFont val="Calibri"/>
        <family val="2"/>
        <scheme val="minor"/>
      </rPr>
      <t xml:space="preserve"> - Air distribution system
</t>
    </r>
    <r>
      <rPr>
        <b/>
        <sz val="11"/>
        <color theme="1"/>
        <rFont val="Calibri"/>
        <family val="2"/>
        <scheme val="minor"/>
      </rPr>
      <t>02454</t>
    </r>
    <r>
      <rPr>
        <sz val="11"/>
        <color theme="1"/>
        <rFont val="Calibri"/>
        <family val="2"/>
        <scheme val="minor"/>
      </rPr>
      <t xml:space="preserve"> - Cooling generation system
</t>
    </r>
    <r>
      <rPr>
        <b/>
        <sz val="11"/>
        <color theme="1"/>
        <rFont val="Calibri"/>
        <family val="2"/>
        <scheme val="minor"/>
      </rPr>
      <t>02453</t>
    </r>
    <r>
      <rPr>
        <sz val="11"/>
        <color theme="1"/>
        <rFont val="Calibri"/>
        <family val="2"/>
        <scheme val="minor"/>
      </rPr>
      <t xml:space="preserve"> - Heating generation system
</t>
    </r>
    <r>
      <rPr>
        <b/>
        <sz val="11"/>
        <color theme="1"/>
        <rFont val="Calibri"/>
        <family val="2"/>
        <scheme val="minor"/>
      </rPr>
      <t>09999</t>
    </r>
    <r>
      <rPr>
        <sz val="11"/>
        <color theme="1"/>
        <rFont val="Calibri"/>
        <family val="2"/>
        <scheme val="minor"/>
      </rPr>
      <t xml:space="preserve"> - Other
</t>
    </r>
  </si>
  <si>
    <r>
      <t>02470</t>
    </r>
    <r>
      <rPr>
        <sz val="11"/>
        <color theme="1"/>
        <rFont val="Calibri"/>
        <family val="2"/>
        <scheme val="minor"/>
      </rPr>
      <t xml:space="preserve"> - Detention ponds
</t>
    </r>
    <r>
      <rPr>
        <b/>
        <sz val="11"/>
        <color theme="1"/>
        <rFont val="Calibri"/>
        <family val="2"/>
        <scheme val="minor"/>
      </rPr>
      <t>13596</t>
    </r>
    <r>
      <rPr>
        <sz val="11"/>
        <color theme="1"/>
        <rFont val="Calibri"/>
        <family val="2"/>
        <scheme val="minor"/>
      </rPr>
      <t xml:space="preserve"> - Domestic water distribution
</t>
    </r>
    <r>
      <rPr>
        <b/>
        <sz val="11"/>
        <color theme="1"/>
        <rFont val="Calibri"/>
        <family val="2"/>
        <scheme val="minor"/>
      </rPr>
      <t>02463</t>
    </r>
    <r>
      <rPr>
        <sz val="11"/>
        <color theme="1"/>
        <rFont val="Calibri"/>
        <family val="2"/>
        <scheme val="minor"/>
      </rPr>
      <t xml:space="preserve"> - Drains
</t>
    </r>
    <r>
      <rPr>
        <b/>
        <sz val="11"/>
        <color theme="1"/>
        <rFont val="Calibri"/>
        <family val="2"/>
        <scheme val="minor"/>
      </rPr>
      <t>02471</t>
    </r>
    <r>
      <rPr>
        <sz val="11"/>
        <color theme="1"/>
        <rFont val="Calibri"/>
        <family val="2"/>
        <scheme val="minor"/>
      </rPr>
      <t xml:space="preserve"> - Filtration system
</t>
    </r>
    <r>
      <rPr>
        <b/>
        <sz val="11"/>
        <color theme="1"/>
        <rFont val="Calibri"/>
        <family val="2"/>
        <scheme val="minor"/>
      </rPr>
      <t>02467</t>
    </r>
    <r>
      <rPr>
        <sz val="11"/>
        <color theme="1"/>
        <rFont val="Calibri"/>
        <family val="2"/>
        <scheme val="minor"/>
      </rPr>
      <t xml:space="preserve"> - Parcel drainage
</t>
    </r>
    <r>
      <rPr>
        <b/>
        <sz val="11"/>
        <color theme="1"/>
        <rFont val="Calibri"/>
        <family val="2"/>
        <scheme val="minor"/>
      </rPr>
      <t>02468</t>
    </r>
    <r>
      <rPr>
        <sz val="11"/>
        <color theme="1"/>
        <rFont val="Calibri"/>
        <family val="2"/>
        <scheme val="minor"/>
      </rPr>
      <t xml:space="preserve"> - Piping
</t>
    </r>
    <r>
      <rPr>
        <b/>
        <sz val="11"/>
        <color theme="1"/>
        <rFont val="Calibri"/>
        <family val="2"/>
        <scheme val="minor"/>
      </rPr>
      <t>13597</t>
    </r>
    <r>
      <rPr>
        <sz val="11"/>
        <color theme="1"/>
        <rFont val="Calibri"/>
        <family val="2"/>
        <scheme val="minor"/>
      </rPr>
      <t xml:space="preserve"> - Plumbing fixtures
</t>
    </r>
    <r>
      <rPr>
        <b/>
        <sz val="11"/>
        <color theme="1"/>
        <rFont val="Calibri"/>
        <family val="2"/>
        <scheme val="minor"/>
      </rPr>
      <t>13598</t>
    </r>
    <r>
      <rPr>
        <sz val="11"/>
        <color theme="1"/>
        <rFont val="Calibri"/>
        <family val="2"/>
        <scheme val="minor"/>
      </rPr>
      <t xml:space="preserve"> - Rain water drainage
</t>
    </r>
    <r>
      <rPr>
        <b/>
        <sz val="11"/>
        <color theme="1"/>
        <rFont val="Calibri"/>
        <family val="2"/>
        <scheme val="minor"/>
      </rPr>
      <t>13599</t>
    </r>
    <r>
      <rPr>
        <sz val="11"/>
        <color theme="1"/>
        <rFont val="Calibri"/>
        <family val="2"/>
        <scheme val="minor"/>
      </rPr>
      <t xml:space="preserve"> - Sanitary waste
</t>
    </r>
    <r>
      <rPr>
        <b/>
        <sz val="11"/>
        <color theme="1"/>
        <rFont val="Calibri"/>
        <family val="2"/>
        <scheme val="minor"/>
      </rPr>
      <t>02465</t>
    </r>
    <r>
      <rPr>
        <sz val="11"/>
        <color theme="1"/>
        <rFont val="Calibri"/>
        <family val="2"/>
        <scheme val="minor"/>
      </rPr>
      <t xml:space="preserve"> - Sewage treatment
</t>
    </r>
    <r>
      <rPr>
        <b/>
        <sz val="11"/>
        <color theme="1"/>
        <rFont val="Calibri"/>
        <family val="2"/>
        <scheme val="minor"/>
      </rPr>
      <t>02464</t>
    </r>
    <r>
      <rPr>
        <sz val="11"/>
        <color theme="1"/>
        <rFont val="Calibri"/>
        <family val="2"/>
        <scheme val="minor"/>
      </rPr>
      <t xml:space="preserve"> - Vents
</t>
    </r>
    <r>
      <rPr>
        <b/>
        <sz val="11"/>
        <color theme="1"/>
        <rFont val="Calibri"/>
        <family val="2"/>
        <scheme val="minor"/>
      </rPr>
      <t>02469</t>
    </r>
    <r>
      <rPr>
        <sz val="11"/>
        <color theme="1"/>
        <rFont val="Calibri"/>
        <family val="2"/>
        <scheme val="minor"/>
      </rPr>
      <t xml:space="preserve"> - Water softeners
</t>
    </r>
    <r>
      <rPr>
        <b/>
        <sz val="11"/>
        <color theme="1"/>
        <rFont val="Calibri"/>
        <family val="2"/>
        <scheme val="minor"/>
      </rPr>
      <t>02466</t>
    </r>
    <r>
      <rPr>
        <sz val="11"/>
        <color theme="1"/>
        <rFont val="Calibri"/>
        <family val="2"/>
        <scheme val="minor"/>
      </rPr>
      <t xml:space="preserve"> - Water source
</t>
    </r>
    <r>
      <rPr>
        <b/>
        <sz val="11"/>
        <color theme="1"/>
        <rFont val="Calibri"/>
        <family val="2"/>
        <scheme val="minor"/>
      </rPr>
      <t>02462</t>
    </r>
    <r>
      <rPr>
        <sz val="11"/>
        <color theme="1"/>
        <rFont val="Calibri"/>
        <family val="2"/>
        <scheme val="minor"/>
      </rPr>
      <t xml:space="preserve"> - Water supply
</t>
    </r>
    <r>
      <rPr>
        <b/>
        <sz val="11"/>
        <color theme="1"/>
        <rFont val="Calibri"/>
        <family val="2"/>
        <scheme val="minor"/>
      </rPr>
      <t>09999</t>
    </r>
    <r>
      <rPr>
        <sz val="11"/>
        <color theme="1"/>
        <rFont val="Calibri"/>
        <family val="2"/>
        <scheme val="minor"/>
      </rPr>
      <t xml:space="preserve"> - Other
</t>
    </r>
  </si>
  <si>
    <r>
      <t>02508</t>
    </r>
    <r>
      <rPr>
        <sz val="11"/>
        <color theme="1"/>
        <rFont val="Calibri"/>
        <family val="2"/>
        <scheme val="minor"/>
      </rPr>
      <t xml:space="preserve"> - Card access control system
</t>
    </r>
    <r>
      <rPr>
        <b/>
        <sz val="11"/>
        <color theme="1"/>
        <rFont val="Calibri"/>
        <family val="2"/>
        <scheme val="minor"/>
      </rPr>
      <t>02507</t>
    </r>
    <r>
      <rPr>
        <sz val="11"/>
        <color theme="1"/>
        <rFont val="Calibri"/>
        <family val="2"/>
        <scheme val="minor"/>
      </rPr>
      <t xml:space="preserve"> - Intrusion detection system
</t>
    </r>
    <r>
      <rPr>
        <b/>
        <sz val="11"/>
        <color theme="1"/>
        <rFont val="Calibri"/>
        <family val="2"/>
        <scheme val="minor"/>
      </rPr>
      <t>02509</t>
    </r>
    <r>
      <rPr>
        <sz val="11"/>
        <color theme="1"/>
        <rFont val="Calibri"/>
        <family val="2"/>
        <scheme val="minor"/>
      </rPr>
      <t xml:space="preserve"> - Keypad access control system
</t>
    </r>
    <r>
      <rPr>
        <b/>
        <sz val="11"/>
        <color theme="1"/>
        <rFont val="Calibri"/>
        <family val="2"/>
        <scheme val="minor"/>
      </rPr>
      <t>02510</t>
    </r>
    <r>
      <rPr>
        <sz val="11"/>
        <color theme="1"/>
        <rFont val="Calibri"/>
        <family val="2"/>
        <scheme val="minor"/>
      </rPr>
      <t xml:space="preserve"> - Metal detector
</t>
    </r>
    <r>
      <rPr>
        <b/>
        <sz val="11"/>
        <color theme="1"/>
        <rFont val="Calibri"/>
        <family val="2"/>
        <scheme val="minor"/>
      </rPr>
      <t>02499</t>
    </r>
    <r>
      <rPr>
        <sz val="11"/>
        <color theme="1"/>
        <rFont val="Calibri"/>
        <family val="2"/>
        <scheme val="minor"/>
      </rPr>
      <t xml:space="preserve"> - Video
</t>
    </r>
    <r>
      <rPr>
        <b/>
        <sz val="11"/>
        <color theme="1"/>
        <rFont val="Calibri"/>
        <family val="2"/>
        <scheme val="minor"/>
      </rPr>
      <t>09999</t>
    </r>
    <r>
      <rPr>
        <sz val="11"/>
        <color theme="1"/>
        <rFont val="Calibri"/>
        <family val="2"/>
        <scheme val="minor"/>
      </rPr>
      <t xml:space="preserve"> - Other
</t>
    </r>
  </si>
  <si>
    <r>
      <t>02455</t>
    </r>
    <r>
      <rPr>
        <sz val="11"/>
        <color theme="1"/>
        <rFont val="Calibri"/>
        <family val="2"/>
        <scheme val="minor"/>
      </rPr>
      <t xml:space="preserve"> - Air distribution system
</t>
    </r>
    <r>
      <rPr>
        <b/>
        <sz val="11"/>
        <color theme="1"/>
        <rFont val="Calibri"/>
        <family val="2"/>
        <scheme val="minor"/>
      </rPr>
      <t>02456</t>
    </r>
    <r>
      <rPr>
        <sz val="11"/>
        <color theme="1"/>
        <rFont val="Calibri"/>
        <family val="2"/>
        <scheme val="minor"/>
      </rPr>
      <t xml:space="preserve"> - Communications system
</t>
    </r>
    <r>
      <rPr>
        <b/>
        <sz val="11"/>
        <color theme="1"/>
        <rFont val="Calibri"/>
        <family val="2"/>
        <scheme val="minor"/>
      </rPr>
      <t>02454</t>
    </r>
    <r>
      <rPr>
        <sz val="11"/>
        <color theme="1"/>
        <rFont val="Calibri"/>
        <family val="2"/>
        <scheme val="minor"/>
      </rPr>
      <t xml:space="preserve"> - Cooling generation system
</t>
    </r>
    <r>
      <rPr>
        <b/>
        <sz val="11"/>
        <color theme="1"/>
        <rFont val="Calibri"/>
        <family val="2"/>
        <scheme val="minor"/>
      </rPr>
      <t>02452</t>
    </r>
    <r>
      <rPr>
        <sz val="11"/>
        <color theme="1"/>
        <rFont val="Calibri"/>
        <family val="2"/>
        <scheme val="minor"/>
      </rPr>
      <t xml:space="preserve"> - Electrical system
</t>
    </r>
    <r>
      <rPr>
        <b/>
        <sz val="11"/>
        <color theme="1"/>
        <rFont val="Calibri"/>
        <family val="2"/>
        <scheme val="minor"/>
      </rPr>
      <t>02459</t>
    </r>
    <r>
      <rPr>
        <sz val="11"/>
        <color theme="1"/>
        <rFont val="Calibri"/>
        <family val="2"/>
        <scheme val="minor"/>
      </rPr>
      <t xml:space="preserve"> - Fire protection system
</t>
    </r>
    <r>
      <rPr>
        <b/>
        <sz val="11"/>
        <color theme="1"/>
        <rFont val="Calibri"/>
        <family val="2"/>
        <scheme val="minor"/>
      </rPr>
      <t>02453</t>
    </r>
    <r>
      <rPr>
        <sz val="11"/>
        <color theme="1"/>
        <rFont val="Calibri"/>
        <family val="2"/>
        <scheme val="minor"/>
      </rPr>
      <t xml:space="preserve"> - Heating generation system
</t>
    </r>
    <r>
      <rPr>
        <b/>
        <sz val="11"/>
        <color theme="1"/>
        <rFont val="Calibri"/>
        <family val="2"/>
        <scheme val="minor"/>
      </rPr>
      <t>02460</t>
    </r>
    <r>
      <rPr>
        <sz val="11"/>
        <color theme="1"/>
        <rFont val="Calibri"/>
        <family val="2"/>
        <scheme val="minor"/>
      </rPr>
      <t xml:space="preserve"> - Mechanical system
</t>
    </r>
    <r>
      <rPr>
        <b/>
        <sz val="11"/>
        <color theme="1"/>
        <rFont val="Calibri"/>
        <family val="2"/>
        <scheme val="minor"/>
      </rPr>
      <t>02451</t>
    </r>
    <r>
      <rPr>
        <sz val="11"/>
        <color theme="1"/>
        <rFont val="Calibri"/>
        <family val="2"/>
        <scheme val="minor"/>
      </rPr>
      <t xml:space="preserve"> - Plumbing system
</t>
    </r>
    <r>
      <rPr>
        <b/>
        <sz val="11"/>
        <color theme="1"/>
        <rFont val="Calibri"/>
        <family val="2"/>
        <scheme val="minor"/>
      </rPr>
      <t>02458</t>
    </r>
    <r>
      <rPr>
        <sz val="11"/>
        <color theme="1"/>
        <rFont val="Calibri"/>
        <family val="2"/>
        <scheme val="minor"/>
      </rPr>
      <t xml:space="preserve"> - Security system
</t>
    </r>
    <r>
      <rPr>
        <b/>
        <sz val="11"/>
        <color theme="1"/>
        <rFont val="Calibri"/>
        <family val="2"/>
        <scheme val="minor"/>
      </rPr>
      <t>02457</t>
    </r>
    <r>
      <rPr>
        <sz val="11"/>
        <color theme="1"/>
        <rFont val="Calibri"/>
        <family val="2"/>
        <scheme val="minor"/>
      </rPr>
      <t xml:space="preserve"> - Technology wiring
</t>
    </r>
    <r>
      <rPr>
        <b/>
        <sz val="11"/>
        <color theme="1"/>
        <rFont val="Calibri"/>
        <family val="2"/>
        <scheme val="minor"/>
      </rPr>
      <t>02461</t>
    </r>
    <r>
      <rPr>
        <sz val="11"/>
        <color theme="1"/>
        <rFont val="Calibri"/>
        <family val="2"/>
        <scheme val="minor"/>
      </rPr>
      <t xml:space="preserve"> - Vertical transportation
</t>
    </r>
  </si>
  <si>
    <r>
      <t>02504</t>
    </r>
    <r>
      <rPr>
        <sz val="11"/>
        <color theme="1"/>
        <rFont val="Calibri"/>
        <family val="2"/>
        <scheme val="minor"/>
      </rPr>
      <t xml:space="preserve"> - Coaxial cable
</t>
    </r>
    <r>
      <rPr>
        <b/>
        <sz val="11"/>
        <color theme="1"/>
        <rFont val="Calibri"/>
        <family val="2"/>
        <scheme val="minor"/>
      </rPr>
      <t>02503</t>
    </r>
    <r>
      <rPr>
        <sz val="11"/>
        <color theme="1"/>
        <rFont val="Calibri"/>
        <family val="2"/>
        <scheme val="minor"/>
      </rPr>
      <t xml:space="preserve"> - Fiber optic cable
</t>
    </r>
    <r>
      <rPr>
        <b/>
        <sz val="11"/>
        <color theme="1"/>
        <rFont val="Calibri"/>
        <family val="2"/>
        <scheme val="minor"/>
      </rPr>
      <t>02506</t>
    </r>
    <r>
      <rPr>
        <sz val="11"/>
        <color theme="1"/>
        <rFont val="Calibri"/>
        <family val="2"/>
        <scheme val="minor"/>
      </rPr>
      <t xml:space="preserve"> - Twisted pair
</t>
    </r>
    <r>
      <rPr>
        <b/>
        <sz val="11"/>
        <color theme="1"/>
        <rFont val="Calibri"/>
        <family val="2"/>
        <scheme val="minor"/>
      </rPr>
      <t>02502</t>
    </r>
    <r>
      <rPr>
        <sz val="11"/>
        <color theme="1"/>
        <rFont val="Calibri"/>
        <family val="2"/>
        <scheme val="minor"/>
      </rPr>
      <t xml:space="preserve"> - Wire cable
</t>
    </r>
    <r>
      <rPr>
        <b/>
        <sz val="11"/>
        <color theme="1"/>
        <rFont val="Calibri"/>
        <family val="2"/>
        <scheme val="minor"/>
      </rPr>
      <t>02505</t>
    </r>
    <r>
      <rPr>
        <sz val="11"/>
        <color theme="1"/>
        <rFont val="Calibri"/>
        <family val="2"/>
        <scheme val="minor"/>
      </rPr>
      <t xml:space="preserve"> - Wireless
</t>
    </r>
    <r>
      <rPr>
        <b/>
        <sz val="11"/>
        <color theme="1"/>
        <rFont val="Calibri"/>
        <family val="2"/>
        <scheme val="minor"/>
      </rPr>
      <t>09999</t>
    </r>
    <r>
      <rPr>
        <sz val="11"/>
        <color theme="1"/>
        <rFont val="Calibri"/>
        <family val="2"/>
        <scheme val="minor"/>
      </rPr>
      <t xml:space="preserve"> - Other
</t>
    </r>
  </si>
  <si>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02515</t>
    </r>
    <r>
      <rPr>
        <sz val="11"/>
        <color theme="1"/>
        <rFont val="Calibri"/>
        <family val="2"/>
        <scheme val="minor"/>
      </rPr>
      <t xml:space="preserve"> - Stairs
</t>
    </r>
    <r>
      <rPr>
        <b/>
        <sz val="11"/>
        <color theme="1"/>
        <rFont val="Calibri"/>
        <family val="2"/>
        <scheme val="minor"/>
      </rPr>
      <t>09999</t>
    </r>
    <r>
      <rPr>
        <sz val="11"/>
        <color theme="1"/>
        <rFont val="Calibri"/>
        <family val="2"/>
        <scheme val="minor"/>
      </rPr>
      <t xml:space="preserve"> - Other
</t>
    </r>
  </si>
  <si>
    <r>
      <t>02584</t>
    </r>
    <r>
      <rPr>
        <sz val="11"/>
        <color theme="1"/>
        <rFont val="Calibri"/>
        <family val="2"/>
        <scheme val="minor"/>
      </rPr>
      <t xml:space="preserve"> - Americans with Disabilities Act (ADA)
</t>
    </r>
    <r>
      <rPr>
        <b/>
        <sz val="11"/>
        <color theme="1"/>
        <rFont val="Calibri"/>
        <family val="2"/>
        <scheme val="minor"/>
      </rPr>
      <t>02588</t>
    </r>
    <r>
      <rPr>
        <sz val="11"/>
        <color theme="1"/>
        <rFont val="Calibri"/>
        <family val="2"/>
        <scheme val="minor"/>
      </rPr>
      <t xml:space="preserve"> - Asbestos Hazardous Emergency Response Act (AHERA)
</t>
    </r>
    <r>
      <rPr>
        <b/>
        <sz val="11"/>
        <color theme="1"/>
        <rFont val="Calibri"/>
        <family val="2"/>
        <scheme val="minor"/>
      </rPr>
      <t>02585</t>
    </r>
    <r>
      <rPr>
        <sz val="11"/>
        <color theme="1"/>
        <rFont val="Calibri"/>
        <family val="2"/>
        <scheme val="minor"/>
      </rPr>
      <t xml:space="preserve"> - Individuals with Disabilities Education Act (IDEA)
</t>
    </r>
    <r>
      <rPr>
        <b/>
        <sz val="11"/>
        <color theme="1"/>
        <rFont val="Calibri"/>
        <family val="2"/>
        <scheme val="minor"/>
      </rPr>
      <t>02587</t>
    </r>
    <r>
      <rPr>
        <sz val="11"/>
        <color theme="1"/>
        <rFont val="Calibri"/>
        <family val="2"/>
        <scheme val="minor"/>
      </rPr>
      <t xml:space="preserve"> - Lead Contamination Control Act
</t>
    </r>
    <r>
      <rPr>
        <b/>
        <sz val="11"/>
        <color theme="1"/>
        <rFont val="Calibri"/>
        <family val="2"/>
        <scheme val="minor"/>
      </rPr>
      <t>02586</t>
    </r>
    <r>
      <rPr>
        <sz val="11"/>
        <color theme="1"/>
        <rFont val="Calibri"/>
        <family val="2"/>
        <scheme val="minor"/>
      </rPr>
      <t xml:space="preserve"> - Safe Drinking Water Act
</t>
    </r>
    <r>
      <rPr>
        <b/>
        <sz val="11"/>
        <color theme="1"/>
        <rFont val="Calibri"/>
        <family val="2"/>
        <scheme val="minor"/>
      </rPr>
      <t>09999</t>
    </r>
    <r>
      <rPr>
        <sz val="11"/>
        <color theme="1"/>
        <rFont val="Calibri"/>
        <family val="2"/>
        <scheme val="minor"/>
      </rPr>
      <t xml:space="preserve"> - Other
</t>
    </r>
  </si>
  <si>
    <r>
      <t>02570</t>
    </r>
    <r>
      <rPr>
        <sz val="11"/>
        <color theme="1"/>
        <rFont val="Calibri"/>
        <family val="2"/>
        <scheme val="minor"/>
      </rPr>
      <t xml:space="preserve"> - In compliance
</t>
    </r>
    <r>
      <rPr>
        <b/>
        <sz val="11"/>
        <color theme="1"/>
        <rFont val="Calibri"/>
        <family val="2"/>
        <scheme val="minor"/>
      </rPr>
      <t>02571</t>
    </r>
    <r>
      <rPr>
        <sz val="11"/>
        <color theme="1"/>
        <rFont val="Calibri"/>
        <family val="2"/>
        <scheme val="minor"/>
      </rPr>
      <t xml:space="preserve"> - Not in compliance
</t>
    </r>
    <r>
      <rPr>
        <b/>
        <sz val="11"/>
        <color theme="1"/>
        <rFont val="Calibri"/>
        <family val="2"/>
        <scheme val="minor"/>
      </rPr>
      <t>02572</t>
    </r>
    <r>
      <rPr>
        <sz val="11"/>
        <color theme="1"/>
        <rFont val="Calibri"/>
        <family val="2"/>
        <scheme val="minor"/>
      </rPr>
      <t xml:space="preserve"> - Planned compliance
</t>
    </r>
    <r>
      <rPr>
        <b/>
        <sz val="11"/>
        <color theme="1"/>
        <rFont val="Calibri"/>
        <family val="2"/>
        <scheme val="minor"/>
      </rPr>
      <t>02573</t>
    </r>
    <r>
      <rPr>
        <sz val="11"/>
        <color theme="1"/>
        <rFont val="Calibri"/>
        <family val="2"/>
        <scheme val="minor"/>
      </rPr>
      <t xml:space="preserve"> - Waived compliance
</t>
    </r>
  </si>
  <si>
    <r>
      <t>02579</t>
    </r>
    <r>
      <rPr>
        <sz val="11"/>
        <color theme="1"/>
        <rFont val="Calibri"/>
        <family val="2"/>
        <scheme val="minor"/>
      </rPr>
      <t xml:space="preserve"> - Asbestos contamination
</t>
    </r>
    <r>
      <rPr>
        <b/>
        <sz val="11"/>
        <color theme="1"/>
        <rFont val="Calibri"/>
        <family val="2"/>
        <scheme val="minor"/>
      </rPr>
      <t>75026</t>
    </r>
    <r>
      <rPr>
        <sz val="11"/>
        <color theme="1"/>
        <rFont val="Calibri"/>
        <family val="2"/>
        <scheme val="minor"/>
      </rPr>
      <t xml:space="preserve"> - Child nutrition
</t>
    </r>
    <r>
      <rPr>
        <b/>
        <sz val="11"/>
        <color theme="1"/>
        <rFont val="Calibri"/>
        <family val="2"/>
        <scheme val="minor"/>
      </rPr>
      <t>02577</t>
    </r>
    <r>
      <rPr>
        <sz val="11"/>
        <color theme="1"/>
        <rFont val="Calibri"/>
        <family val="2"/>
        <scheme val="minor"/>
      </rPr>
      <t xml:space="preserve"> - Drinking water safety
</t>
    </r>
    <r>
      <rPr>
        <b/>
        <sz val="11"/>
        <color theme="1"/>
        <rFont val="Calibri"/>
        <family val="2"/>
        <scheme val="minor"/>
      </rPr>
      <t>02574</t>
    </r>
    <r>
      <rPr>
        <sz val="11"/>
        <color theme="1"/>
        <rFont val="Calibri"/>
        <family val="2"/>
        <scheme val="minor"/>
      </rPr>
      <t xml:space="preserve"> - Facility accessibility and usability for individuals with disabilities
</t>
    </r>
    <r>
      <rPr>
        <b/>
        <sz val="11"/>
        <color theme="1"/>
        <rFont val="Calibri"/>
        <family val="2"/>
        <scheme val="minor"/>
      </rPr>
      <t>02580</t>
    </r>
    <r>
      <rPr>
        <sz val="11"/>
        <color theme="1"/>
        <rFont val="Calibri"/>
        <family val="2"/>
        <scheme val="minor"/>
      </rPr>
      <t xml:space="preserve"> - Hazardous materials
</t>
    </r>
    <r>
      <rPr>
        <b/>
        <sz val="11"/>
        <color theme="1"/>
        <rFont val="Calibri"/>
        <family val="2"/>
        <scheme val="minor"/>
      </rPr>
      <t>02575</t>
    </r>
    <r>
      <rPr>
        <sz val="11"/>
        <color theme="1"/>
        <rFont val="Calibri"/>
        <family val="2"/>
        <scheme val="minor"/>
      </rPr>
      <t xml:space="preserve"> - Indoor air quality
</t>
    </r>
    <r>
      <rPr>
        <b/>
        <sz val="11"/>
        <color theme="1"/>
        <rFont val="Calibri"/>
        <family val="2"/>
        <scheme val="minor"/>
      </rPr>
      <t>02583</t>
    </r>
    <r>
      <rPr>
        <sz val="11"/>
        <color theme="1"/>
        <rFont val="Calibri"/>
        <family val="2"/>
        <scheme val="minor"/>
      </rPr>
      <t xml:space="preserve"> - Integrated pest control
</t>
    </r>
    <r>
      <rPr>
        <b/>
        <sz val="11"/>
        <color theme="1"/>
        <rFont val="Calibri"/>
        <family val="2"/>
        <scheme val="minor"/>
      </rPr>
      <t>02578</t>
    </r>
    <r>
      <rPr>
        <sz val="11"/>
        <color theme="1"/>
        <rFont val="Calibri"/>
        <family val="2"/>
        <scheme val="minor"/>
      </rPr>
      <t xml:space="preserve"> - Lead contamination
</t>
    </r>
    <r>
      <rPr>
        <b/>
        <sz val="11"/>
        <color theme="1"/>
        <rFont val="Calibri"/>
        <family val="2"/>
        <scheme val="minor"/>
      </rPr>
      <t>02582</t>
    </r>
    <r>
      <rPr>
        <sz val="11"/>
        <color theme="1"/>
        <rFont val="Calibri"/>
        <family val="2"/>
        <scheme val="minor"/>
      </rPr>
      <t xml:space="preserve"> - Material Safety Data Sheet (MSDS)
</t>
    </r>
    <r>
      <rPr>
        <b/>
        <sz val="11"/>
        <color theme="1"/>
        <rFont val="Calibri"/>
        <family val="2"/>
        <scheme val="minor"/>
      </rPr>
      <t>03264</t>
    </r>
    <r>
      <rPr>
        <sz val="11"/>
        <color theme="1"/>
        <rFont val="Calibri"/>
        <family val="2"/>
        <scheme val="minor"/>
      </rPr>
      <t xml:space="preserve"> - National School Lunch Act
</t>
    </r>
    <r>
      <rPr>
        <b/>
        <sz val="11"/>
        <color theme="1"/>
        <rFont val="Calibri"/>
        <family val="2"/>
        <scheme val="minor"/>
      </rPr>
      <t>02576</t>
    </r>
    <r>
      <rPr>
        <sz val="11"/>
        <color theme="1"/>
        <rFont val="Calibri"/>
        <family val="2"/>
        <scheme val="minor"/>
      </rPr>
      <t xml:space="preserve"> - Radon contamination
</t>
    </r>
    <r>
      <rPr>
        <b/>
        <sz val="11"/>
        <color theme="1"/>
        <rFont val="Calibri"/>
        <family val="2"/>
        <scheme val="minor"/>
      </rPr>
      <t>02581</t>
    </r>
    <r>
      <rPr>
        <sz val="11"/>
        <color theme="1"/>
        <rFont val="Calibri"/>
        <family val="2"/>
        <scheme val="minor"/>
      </rPr>
      <t xml:space="preserve"> - Underground storage tank
</t>
    </r>
    <r>
      <rPr>
        <b/>
        <sz val="11"/>
        <color theme="1"/>
        <rFont val="Calibri"/>
        <family val="2"/>
        <scheme val="minor"/>
      </rPr>
      <t>09999</t>
    </r>
    <r>
      <rPr>
        <sz val="11"/>
        <color theme="1"/>
        <rFont val="Calibri"/>
        <family val="2"/>
        <scheme val="minor"/>
      </rPr>
      <t xml:space="preserve"> - Other
</t>
    </r>
  </si>
  <si>
    <r>
      <t>02594</t>
    </r>
    <r>
      <rPr>
        <sz val="11"/>
        <color theme="1"/>
        <rFont val="Calibri"/>
        <family val="2"/>
        <scheme val="minor"/>
      </rPr>
      <t xml:space="preserve"> - Acreage standards
</t>
    </r>
    <r>
      <rPr>
        <b/>
        <sz val="11"/>
        <color theme="1"/>
        <rFont val="Calibri"/>
        <family val="2"/>
        <scheme val="minor"/>
      </rPr>
      <t>02589</t>
    </r>
    <r>
      <rPr>
        <sz val="11"/>
        <color theme="1"/>
        <rFont val="Calibri"/>
        <family val="2"/>
        <scheme val="minor"/>
      </rPr>
      <t xml:space="preserve"> - Building code
</t>
    </r>
    <r>
      <rPr>
        <b/>
        <sz val="11"/>
        <color theme="1"/>
        <rFont val="Calibri"/>
        <family val="2"/>
        <scheme val="minor"/>
      </rPr>
      <t>02593</t>
    </r>
    <r>
      <rPr>
        <sz val="11"/>
        <color theme="1"/>
        <rFont val="Calibri"/>
        <family val="2"/>
        <scheme val="minor"/>
      </rPr>
      <t xml:space="preserve"> - Design standards
</t>
    </r>
    <r>
      <rPr>
        <b/>
        <sz val="11"/>
        <color theme="1"/>
        <rFont val="Calibri"/>
        <family val="2"/>
        <scheme val="minor"/>
      </rPr>
      <t>02598</t>
    </r>
    <r>
      <rPr>
        <sz val="11"/>
        <color theme="1"/>
        <rFont val="Calibri"/>
        <family val="2"/>
        <scheme val="minor"/>
      </rPr>
      <t xml:space="preserve"> - Earthquake standards
</t>
    </r>
    <r>
      <rPr>
        <b/>
        <sz val="11"/>
        <color theme="1"/>
        <rFont val="Calibri"/>
        <family val="2"/>
        <scheme val="minor"/>
      </rPr>
      <t>02590</t>
    </r>
    <r>
      <rPr>
        <sz val="11"/>
        <color theme="1"/>
        <rFont val="Calibri"/>
        <family val="2"/>
        <scheme val="minor"/>
      </rPr>
      <t xml:space="preserve"> - Fire code
</t>
    </r>
    <r>
      <rPr>
        <b/>
        <sz val="11"/>
        <color theme="1"/>
        <rFont val="Calibri"/>
        <family val="2"/>
        <scheme val="minor"/>
      </rPr>
      <t>02592</t>
    </r>
    <r>
      <rPr>
        <sz val="11"/>
        <color theme="1"/>
        <rFont val="Calibri"/>
        <family val="2"/>
        <scheme val="minor"/>
      </rPr>
      <t xml:space="preserve"> - Flood control
</t>
    </r>
    <r>
      <rPr>
        <b/>
        <sz val="11"/>
        <color theme="1"/>
        <rFont val="Calibri"/>
        <family val="2"/>
        <scheme val="minor"/>
      </rPr>
      <t>03265</t>
    </r>
    <r>
      <rPr>
        <sz val="11"/>
        <color theme="1"/>
        <rFont val="Calibri"/>
        <family val="2"/>
        <scheme val="minor"/>
      </rPr>
      <t xml:space="preserve"> - Food safety standards
</t>
    </r>
    <r>
      <rPr>
        <b/>
        <sz val="11"/>
        <color theme="1"/>
        <rFont val="Calibri"/>
        <family val="2"/>
        <scheme val="minor"/>
      </rPr>
      <t>02591</t>
    </r>
    <r>
      <rPr>
        <sz val="11"/>
        <color theme="1"/>
        <rFont val="Calibri"/>
        <family val="2"/>
        <scheme val="minor"/>
      </rPr>
      <t xml:space="preserve"> - Health code
</t>
    </r>
    <r>
      <rPr>
        <b/>
        <sz val="11"/>
        <color theme="1"/>
        <rFont val="Calibri"/>
        <family val="2"/>
        <scheme val="minor"/>
      </rPr>
      <t>02596</t>
    </r>
    <r>
      <rPr>
        <sz val="11"/>
        <color theme="1"/>
        <rFont val="Calibri"/>
        <family val="2"/>
        <scheme val="minor"/>
      </rPr>
      <t xml:space="preserve"> - Historic preservation requirements
</t>
    </r>
    <r>
      <rPr>
        <b/>
        <sz val="11"/>
        <color theme="1"/>
        <rFont val="Calibri"/>
        <family val="2"/>
        <scheme val="minor"/>
      </rPr>
      <t>02597</t>
    </r>
    <r>
      <rPr>
        <sz val="11"/>
        <color theme="1"/>
        <rFont val="Calibri"/>
        <family val="2"/>
        <scheme val="minor"/>
      </rPr>
      <t xml:space="preserve"> - Occupational health and safety code
</t>
    </r>
    <r>
      <rPr>
        <b/>
        <sz val="11"/>
        <color theme="1"/>
        <rFont val="Calibri"/>
        <family val="2"/>
        <scheme val="minor"/>
      </rPr>
      <t>02595</t>
    </r>
    <r>
      <rPr>
        <sz val="11"/>
        <color theme="1"/>
        <rFont val="Calibri"/>
        <family val="2"/>
        <scheme val="minor"/>
      </rPr>
      <t xml:space="preserve"> - Standard educational specifications
</t>
    </r>
    <r>
      <rPr>
        <b/>
        <sz val="11"/>
        <color theme="1"/>
        <rFont val="Calibri"/>
        <family val="2"/>
        <scheme val="minor"/>
      </rPr>
      <t>09999</t>
    </r>
    <r>
      <rPr>
        <sz val="11"/>
        <color theme="1"/>
        <rFont val="Calibri"/>
        <family val="2"/>
        <scheme val="minor"/>
      </rPr>
      <t xml:space="preserve"> - Other
</t>
    </r>
  </si>
  <si>
    <r>
      <t>02563</t>
    </r>
    <r>
      <rPr>
        <sz val="11"/>
        <color theme="1"/>
        <rFont val="Calibri"/>
        <family val="2"/>
        <scheme val="minor"/>
      </rPr>
      <t xml:space="preserve"> - Adequate system or component condition
</t>
    </r>
    <r>
      <rPr>
        <b/>
        <sz val="11"/>
        <color theme="1"/>
        <rFont val="Calibri"/>
        <family val="2"/>
        <scheme val="minor"/>
      </rPr>
      <t>02567</t>
    </r>
    <r>
      <rPr>
        <sz val="11"/>
        <color theme="1"/>
        <rFont val="Calibri"/>
        <family val="2"/>
        <scheme val="minor"/>
      </rPr>
      <t xml:space="preserve"> - Emergency system or component condition
</t>
    </r>
    <r>
      <rPr>
        <b/>
        <sz val="11"/>
        <color theme="1"/>
        <rFont val="Calibri"/>
        <family val="2"/>
        <scheme val="minor"/>
      </rPr>
      <t>02561</t>
    </r>
    <r>
      <rPr>
        <sz val="11"/>
        <color theme="1"/>
        <rFont val="Calibri"/>
        <family val="2"/>
        <scheme val="minor"/>
      </rPr>
      <t xml:space="preserve"> - Excellent System or Component Condition
</t>
    </r>
    <r>
      <rPr>
        <b/>
        <sz val="11"/>
        <color theme="1"/>
        <rFont val="Calibri"/>
        <family val="2"/>
        <scheme val="minor"/>
      </rPr>
      <t>02564</t>
    </r>
    <r>
      <rPr>
        <sz val="11"/>
        <color theme="1"/>
        <rFont val="Calibri"/>
        <family val="2"/>
        <scheme val="minor"/>
      </rPr>
      <t xml:space="preserve"> - Fair System or Component Condition
</t>
    </r>
    <r>
      <rPr>
        <b/>
        <sz val="11"/>
        <color theme="1"/>
        <rFont val="Calibri"/>
        <family val="2"/>
        <scheme val="minor"/>
      </rPr>
      <t>02562</t>
    </r>
    <r>
      <rPr>
        <sz val="11"/>
        <color theme="1"/>
        <rFont val="Calibri"/>
        <family val="2"/>
        <scheme val="minor"/>
      </rPr>
      <t xml:space="preserve"> - Good System or Component Condition
</t>
    </r>
    <r>
      <rPr>
        <b/>
        <sz val="11"/>
        <color theme="1"/>
        <rFont val="Calibri"/>
        <family val="2"/>
        <scheme val="minor"/>
      </rPr>
      <t>02983</t>
    </r>
    <r>
      <rPr>
        <sz val="11"/>
        <color theme="1"/>
        <rFont val="Calibri"/>
        <family val="2"/>
        <scheme val="minor"/>
      </rPr>
      <t xml:space="preserve"> - Nonoperable system or component condition
</t>
    </r>
    <r>
      <rPr>
        <b/>
        <sz val="11"/>
        <color theme="1"/>
        <rFont val="Calibri"/>
        <family val="2"/>
        <scheme val="minor"/>
      </rPr>
      <t>02565</t>
    </r>
    <r>
      <rPr>
        <sz val="11"/>
        <color theme="1"/>
        <rFont val="Calibri"/>
        <family val="2"/>
        <scheme val="minor"/>
      </rPr>
      <t xml:space="preserve"> - Poor System or Component Condition
</t>
    </r>
    <r>
      <rPr>
        <b/>
        <sz val="11"/>
        <color theme="1"/>
        <rFont val="Calibri"/>
        <family val="2"/>
        <scheme val="minor"/>
      </rPr>
      <t>02566</t>
    </r>
    <r>
      <rPr>
        <sz val="11"/>
        <color theme="1"/>
        <rFont val="Calibri"/>
        <family val="2"/>
        <scheme val="minor"/>
      </rPr>
      <t xml:space="preserve"> - Urgent building system or component condition
</t>
    </r>
  </si>
  <si>
    <t>Condition-&gt;Component Or Fixture</t>
  </si>
  <si>
    <t>Design</t>
  </si>
  <si>
    <r>
      <t>02986</t>
    </r>
    <r>
      <rPr>
        <sz val="11"/>
        <color theme="1"/>
        <rFont val="Calibri"/>
        <family val="2"/>
        <scheme val="minor"/>
      </rPr>
      <t xml:space="preserve"> - Administrative office/room
</t>
    </r>
    <r>
      <rPr>
        <b/>
        <sz val="11"/>
        <color theme="1"/>
        <rFont val="Calibri"/>
        <family val="2"/>
        <scheme val="minor"/>
      </rPr>
      <t>02747</t>
    </r>
    <r>
      <rPr>
        <sz val="11"/>
        <color theme="1"/>
        <rFont val="Calibri"/>
        <family val="2"/>
        <scheme val="minor"/>
      </rPr>
      <t xml:space="preserve"> - Attendance reception
</t>
    </r>
    <r>
      <rPr>
        <b/>
        <sz val="11"/>
        <color theme="1"/>
        <rFont val="Calibri"/>
        <family val="2"/>
        <scheme val="minor"/>
      </rPr>
      <t>02744</t>
    </r>
    <r>
      <rPr>
        <sz val="11"/>
        <color theme="1"/>
        <rFont val="Calibri"/>
        <family val="2"/>
        <scheme val="minor"/>
      </rPr>
      <t xml:space="preserve"> - Clerical areas
</t>
    </r>
    <r>
      <rPr>
        <b/>
        <sz val="11"/>
        <color theme="1"/>
        <rFont val="Calibri"/>
        <family val="2"/>
        <scheme val="minor"/>
      </rPr>
      <t>02746</t>
    </r>
    <r>
      <rPr>
        <sz val="11"/>
        <color theme="1"/>
        <rFont val="Calibri"/>
        <family val="2"/>
        <scheme val="minor"/>
      </rPr>
      <t xml:space="preserve"> - Conference room
</t>
    </r>
    <r>
      <rPr>
        <b/>
        <sz val="11"/>
        <color theme="1"/>
        <rFont val="Calibri"/>
        <family val="2"/>
        <scheme val="minor"/>
      </rPr>
      <t>02748</t>
    </r>
    <r>
      <rPr>
        <sz val="11"/>
        <color theme="1"/>
        <rFont val="Calibri"/>
        <family val="2"/>
        <scheme val="minor"/>
      </rPr>
      <t xml:space="preserve"> - General reception
</t>
    </r>
    <r>
      <rPr>
        <b/>
        <sz val="11"/>
        <color theme="1"/>
        <rFont val="Calibri"/>
        <family val="2"/>
        <scheme val="minor"/>
      </rPr>
      <t>75032</t>
    </r>
    <r>
      <rPr>
        <sz val="11"/>
        <color theme="1"/>
        <rFont val="Calibri"/>
        <family val="2"/>
        <scheme val="minor"/>
      </rPr>
      <t xml:space="preserve"> - IT center
</t>
    </r>
    <r>
      <rPr>
        <b/>
        <sz val="11"/>
        <color theme="1"/>
        <rFont val="Calibri"/>
        <family val="2"/>
        <scheme val="minor"/>
      </rPr>
      <t>02745</t>
    </r>
    <r>
      <rPr>
        <sz val="11"/>
        <color theme="1"/>
        <rFont val="Calibri"/>
        <family val="2"/>
        <scheme val="minor"/>
      </rPr>
      <t xml:space="preserve"> - Mail room
</t>
    </r>
    <r>
      <rPr>
        <b/>
        <sz val="11"/>
        <color theme="1"/>
        <rFont val="Calibri"/>
        <family val="2"/>
        <scheme val="minor"/>
      </rPr>
      <t>02742</t>
    </r>
    <r>
      <rPr>
        <sz val="11"/>
        <color theme="1"/>
        <rFont val="Calibri"/>
        <family val="2"/>
        <scheme val="minor"/>
      </rPr>
      <t xml:space="preserve"> - Principal's office
</t>
    </r>
    <r>
      <rPr>
        <b/>
        <sz val="11"/>
        <color theme="1"/>
        <rFont val="Calibri"/>
        <family val="2"/>
        <scheme val="minor"/>
      </rPr>
      <t>02754</t>
    </r>
    <r>
      <rPr>
        <sz val="11"/>
        <color theme="1"/>
        <rFont val="Calibri"/>
        <family val="2"/>
        <scheme val="minor"/>
      </rPr>
      <t xml:space="preserve"> - PTO/PTA spaces
</t>
    </r>
    <r>
      <rPr>
        <b/>
        <sz val="11"/>
        <color theme="1"/>
        <rFont val="Calibri"/>
        <family val="2"/>
        <scheme val="minor"/>
      </rPr>
      <t>02756</t>
    </r>
    <r>
      <rPr>
        <sz val="11"/>
        <color theme="1"/>
        <rFont val="Calibri"/>
        <family val="2"/>
        <scheme val="minor"/>
      </rPr>
      <t xml:space="preserve"> - Records room/vault
</t>
    </r>
    <r>
      <rPr>
        <b/>
        <sz val="11"/>
        <color theme="1"/>
        <rFont val="Calibri"/>
        <family val="2"/>
        <scheme val="minor"/>
      </rPr>
      <t>02753</t>
    </r>
    <r>
      <rPr>
        <sz val="11"/>
        <color theme="1"/>
        <rFont val="Calibri"/>
        <family val="2"/>
        <scheme val="minor"/>
      </rPr>
      <t xml:space="preserve"> - School bank
</t>
    </r>
    <r>
      <rPr>
        <b/>
        <sz val="11"/>
        <color theme="1"/>
        <rFont val="Calibri"/>
        <family val="2"/>
        <scheme val="minor"/>
      </rPr>
      <t>02752</t>
    </r>
    <r>
      <rPr>
        <sz val="11"/>
        <color theme="1"/>
        <rFont val="Calibri"/>
        <family val="2"/>
        <scheme val="minor"/>
      </rPr>
      <t xml:space="preserve"> - School store
</t>
    </r>
    <r>
      <rPr>
        <b/>
        <sz val="11"/>
        <color theme="1"/>
        <rFont val="Calibri"/>
        <family val="2"/>
        <scheme val="minor"/>
      </rPr>
      <t>02749</t>
    </r>
    <r>
      <rPr>
        <sz val="11"/>
        <color theme="1"/>
        <rFont val="Calibri"/>
        <family val="2"/>
        <scheme val="minor"/>
      </rPr>
      <t xml:space="preserve"> - Security/police/probation office
</t>
    </r>
    <r>
      <rPr>
        <b/>
        <sz val="11"/>
        <color theme="1"/>
        <rFont val="Calibri"/>
        <family val="2"/>
        <scheme val="minor"/>
      </rPr>
      <t>02755</t>
    </r>
    <r>
      <rPr>
        <sz val="11"/>
        <color theme="1"/>
        <rFont val="Calibri"/>
        <family val="2"/>
        <scheme val="minor"/>
      </rPr>
      <t xml:space="preserve"> - Site-based council office
</t>
    </r>
    <r>
      <rPr>
        <b/>
        <sz val="11"/>
        <color theme="1"/>
        <rFont val="Calibri"/>
        <family val="2"/>
        <scheme val="minor"/>
      </rPr>
      <t>02750</t>
    </r>
    <r>
      <rPr>
        <sz val="11"/>
        <color theme="1"/>
        <rFont val="Calibri"/>
        <family val="2"/>
        <scheme val="minor"/>
      </rPr>
      <t xml:space="preserve"> - Staff lounge
</t>
    </r>
    <r>
      <rPr>
        <b/>
        <sz val="11"/>
        <color theme="1"/>
        <rFont val="Calibri"/>
        <family val="2"/>
        <scheme val="minor"/>
      </rPr>
      <t>02751</t>
    </r>
    <r>
      <rPr>
        <sz val="11"/>
        <color theme="1"/>
        <rFont val="Calibri"/>
        <family val="2"/>
        <scheme val="minor"/>
      </rPr>
      <t xml:space="preserve"> - Staff work room
</t>
    </r>
    <r>
      <rPr>
        <b/>
        <sz val="11"/>
        <color theme="1"/>
        <rFont val="Calibri"/>
        <family val="2"/>
        <scheme val="minor"/>
      </rPr>
      <t>02759</t>
    </r>
    <r>
      <rPr>
        <sz val="11"/>
        <color theme="1"/>
        <rFont val="Calibri"/>
        <family val="2"/>
        <scheme val="minor"/>
      </rPr>
      <t xml:space="preserve"> - Storage - instructional equipment
</t>
    </r>
    <r>
      <rPr>
        <b/>
        <sz val="11"/>
        <color theme="1"/>
        <rFont val="Calibri"/>
        <family val="2"/>
        <scheme val="minor"/>
      </rPr>
      <t>02758</t>
    </r>
    <r>
      <rPr>
        <sz val="11"/>
        <color theme="1"/>
        <rFont val="Calibri"/>
        <family val="2"/>
        <scheme val="minor"/>
      </rPr>
      <t xml:space="preserve"> - Storage - resource materials
</t>
    </r>
    <r>
      <rPr>
        <b/>
        <sz val="11"/>
        <color theme="1"/>
        <rFont val="Calibri"/>
        <family val="2"/>
        <scheme val="minor"/>
      </rPr>
      <t>02757</t>
    </r>
    <r>
      <rPr>
        <sz val="11"/>
        <color theme="1"/>
        <rFont val="Calibri"/>
        <family val="2"/>
        <scheme val="minor"/>
      </rPr>
      <t xml:space="preserve"> - Storage - textbook
</t>
    </r>
    <r>
      <rPr>
        <b/>
        <sz val="11"/>
        <color theme="1"/>
        <rFont val="Calibri"/>
        <family val="2"/>
        <scheme val="minor"/>
      </rPr>
      <t>02743</t>
    </r>
    <r>
      <rPr>
        <sz val="11"/>
        <color theme="1"/>
        <rFont val="Calibri"/>
        <family val="2"/>
        <scheme val="minor"/>
      </rPr>
      <t xml:space="preserve"> - Vice-principal/assistant principal's office
</t>
    </r>
    <r>
      <rPr>
        <b/>
        <sz val="11"/>
        <color theme="1"/>
        <rFont val="Calibri"/>
        <family val="2"/>
        <scheme val="minor"/>
      </rPr>
      <t>09999</t>
    </r>
    <r>
      <rPr>
        <sz val="11"/>
        <color theme="1"/>
        <rFont val="Calibri"/>
        <family val="2"/>
        <scheme val="minor"/>
      </rPr>
      <t xml:space="preserve"> - Other
</t>
    </r>
  </si>
  <si>
    <r>
      <t>02644</t>
    </r>
    <r>
      <rPr>
        <sz val="11"/>
        <color theme="1"/>
        <rFont val="Calibri"/>
        <family val="2"/>
        <scheme val="minor"/>
      </rPr>
      <t xml:space="preserve"> - 2-dimensional art classroom
</t>
    </r>
    <r>
      <rPr>
        <b/>
        <sz val="11"/>
        <color theme="1"/>
        <rFont val="Calibri"/>
        <family val="2"/>
        <scheme val="minor"/>
      </rPr>
      <t>02645</t>
    </r>
    <r>
      <rPr>
        <sz val="11"/>
        <color theme="1"/>
        <rFont val="Calibri"/>
        <family val="2"/>
        <scheme val="minor"/>
      </rPr>
      <t xml:space="preserve"> - 3-dimensional art classroom
</t>
    </r>
    <r>
      <rPr>
        <b/>
        <sz val="11"/>
        <color theme="1"/>
        <rFont val="Calibri"/>
        <family val="2"/>
        <scheme val="minor"/>
      </rPr>
      <t>02647</t>
    </r>
    <r>
      <rPr>
        <sz val="11"/>
        <color theme="1"/>
        <rFont val="Calibri"/>
        <family val="2"/>
        <scheme val="minor"/>
      </rPr>
      <t xml:space="preserve"> - Ceramic studio
</t>
    </r>
    <r>
      <rPr>
        <b/>
        <sz val="11"/>
        <color theme="1"/>
        <rFont val="Calibri"/>
        <family val="2"/>
        <scheme val="minor"/>
      </rPr>
      <t>02646</t>
    </r>
    <r>
      <rPr>
        <sz val="11"/>
        <color theme="1"/>
        <rFont val="Calibri"/>
        <family val="2"/>
        <scheme val="minor"/>
      </rPr>
      <t xml:space="preserve"> - Darkroom
</t>
    </r>
    <r>
      <rPr>
        <b/>
        <sz val="11"/>
        <color theme="1"/>
        <rFont val="Calibri"/>
        <family val="2"/>
        <scheme val="minor"/>
      </rPr>
      <t>02649</t>
    </r>
    <r>
      <rPr>
        <sz val="11"/>
        <color theme="1"/>
        <rFont val="Calibri"/>
        <family val="2"/>
        <scheme val="minor"/>
      </rPr>
      <t xml:space="preserve"> - Kiln room
</t>
    </r>
    <r>
      <rPr>
        <b/>
        <sz val="11"/>
        <color theme="1"/>
        <rFont val="Calibri"/>
        <family val="2"/>
        <scheme val="minor"/>
      </rPr>
      <t>02648</t>
    </r>
    <r>
      <rPr>
        <sz val="11"/>
        <color theme="1"/>
        <rFont val="Calibri"/>
        <family val="2"/>
        <scheme val="minor"/>
      </rPr>
      <t xml:space="preserve"> - Photography studio/graphic arts
</t>
    </r>
    <r>
      <rPr>
        <b/>
        <sz val="11"/>
        <color theme="1"/>
        <rFont val="Calibri"/>
        <family val="2"/>
        <scheme val="minor"/>
      </rPr>
      <t>09999</t>
    </r>
    <r>
      <rPr>
        <sz val="11"/>
        <color theme="1"/>
        <rFont val="Calibri"/>
        <family val="2"/>
        <scheme val="minor"/>
      </rPr>
      <t xml:space="preserve"> - Other
</t>
    </r>
  </si>
  <si>
    <r>
      <t>02768</t>
    </r>
    <r>
      <rPr>
        <sz val="11"/>
        <color theme="1"/>
        <rFont val="Calibri"/>
        <family val="2"/>
        <scheme val="minor"/>
      </rPr>
      <t xml:space="preserve"> - Auditorium (fixed seats)
</t>
    </r>
    <r>
      <rPr>
        <b/>
        <sz val="11"/>
        <color theme="1"/>
        <rFont val="Calibri"/>
        <family val="2"/>
        <scheme val="minor"/>
      </rPr>
      <t>02772</t>
    </r>
    <r>
      <rPr>
        <sz val="11"/>
        <color theme="1"/>
        <rFont val="Calibri"/>
        <family val="2"/>
        <scheme val="minor"/>
      </rPr>
      <t xml:space="preserve"> - Backstage room/green room
</t>
    </r>
    <r>
      <rPr>
        <b/>
        <sz val="11"/>
        <color theme="1"/>
        <rFont val="Calibri"/>
        <family val="2"/>
        <scheme val="minor"/>
      </rPr>
      <t>02769</t>
    </r>
    <r>
      <rPr>
        <sz val="11"/>
        <color theme="1"/>
        <rFont val="Calibri"/>
        <family val="2"/>
        <scheme val="minor"/>
      </rPr>
      <t xml:space="preserve"> - Control room
</t>
    </r>
    <r>
      <rPr>
        <b/>
        <sz val="11"/>
        <color theme="1"/>
        <rFont val="Calibri"/>
        <family val="2"/>
        <scheme val="minor"/>
      </rPr>
      <t>02770</t>
    </r>
    <r>
      <rPr>
        <sz val="11"/>
        <color theme="1"/>
        <rFont val="Calibri"/>
        <family val="2"/>
        <scheme val="minor"/>
      </rPr>
      <t xml:space="preserve"> - Costume storage area
</t>
    </r>
    <r>
      <rPr>
        <b/>
        <sz val="11"/>
        <color theme="1"/>
        <rFont val="Calibri"/>
        <family val="2"/>
        <scheme val="minor"/>
      </rPr>
      <t>03108</t>
    </r>
    <r>
      <rPr>
        <sz val="11"/>
        <color theme="1"/>
        <rFont val="Calibri"/>
        <family val="2"/>
        <scheme val="minor"/>
      </rPr>
      <t xml:space="preserve"> - Disaster shelter area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02771</t>
    </r>
    <r>
      <rPr>
        <sz val="11"/>
        <color theme="1"/>
        <rFont val="Calibri"/>
        <family val="2"/>
        <scheme val="minor"/>
      </rPr>
      <t xml:space="preserve"> - Set storage area
</t>
    </r>
    <r>
      <rPr>
        <b/>
        <sz val="11"/>
        <color theme="1"/>
        <rFont val="Calibri"/>
        <family val="2"/>
        <scheme val="minor"/>
      </rPr>
      <t>09999</t>
    </r>
    <r>
      <rPr>
        <sz val="11"/>
        <color theme="1"/>
        <rFont val="Calibri"/>
        <family val="2"/>
        <scheme val="minor"/>
      </rPr>
      <t xml:space="preserve"> - Other
</t>
    </r>
  </si>
  <si>
    <r>
      <t>01304</t>
    </r>
    <r>
      <rPr>
        <sz val="11"/>
        <color theme="1"/>
        <rFont val="Calibri"/>
        <family val="2"/>
        <scheme val="minor"/>
      </rPr>
      <t xml:space="preserve"> - Elementary
</t>
    </r>
    <r>
      <rPr>
        <b/>
        <sz val="11"/>
        <color theme="1"/>
        <rFont val="Calibri"/>
        <family val="2"/>
        <scheme val="minor"/>
      </rPr>
      <t>01981</t>
    </r>
    <r>
      <rPr>
        <sz val="11"/>
        <color theme="1"/>
        <rFont val="Calibri"/>
        <family val="2"/>
        <scheme val="minor"/>
      </rPr>
      <t xml:space="preserve"> - Preschool/early childhood
</t>
    </r>
    <r>
      <rPr>
        <b/>
        <sz val="11"/>
        <color theme="1"/>
        <rFont val="Calibri"/>
        <family val="2"/>
        <scheme val="minor"/>
      </rPr>
      <t>03495</t>
    </r>
    <r>
      <rPr>
        <sz val="11"/>
        <color theme="1"/>
        <rFont val="Calibri"/>
        <family val="2"/>
        <scheme val="minor"/>
      </rPr>
      <t xml:space="preserve"> - Resource
</t>
    </r>
    <r>
      <rPr>
        <b/>
        <sz val="11"/>
        <color theme="1"/>
        <rFont val="Calibri"/>
        <family val="2"/>
        <scheme val="minor"/>
      </rPr>
      <t>02403</t>
    </r>
    <r>
      <rPr>
        <sz val="11"/>
        <color theme="1"/>
        <rFont val="Calibri"/>
        <family val="2"/>
        <scheme val="minor"/>
      </rPr>
      <t xml:space="preserve"> - Secondary
</t>
    </r>
    <r>
      <rPr>
        <b/>
        <sz val="11"/>
        <color theme="1"/>
        <rFont val="Calibri"/>
        <family val="2"/>
        <scheme val="minor"/>
      </rPr>
      <t>14906</t>
    </r>
    <r>
      <rPr>
        <sz val="11"/>
        <color theme="1"/>
        <rFont val="Calibri"/>
        <family val="2"/>
        <scheme val="minor"/>
      </rPr>
      <t xml:space="preserve"> - Skills center
</t>
    </r>
    <r>
      <rPr>
        <b/>
        <sz val="11"/>
        <color theme="1"/>
        <rFont val="Calibri"/>
        <family val="2"/>
        <scheme val="minor"/>
      </rPr>
      <t>09999</t>
    </r>
    <r>
      <rPr>
        <sz val="11"/>
        <color theme="1"/>
        <rFont val="Calibri"/>
        <family val="2"/>
        <scheme val="minor"/>
      </rPr>
      <t xml:space="preserve"> - Other
</t>
    </r>
  </si>
  <si>
    <r>
      <t>02691</t>
    </r>
    <r>
      <rPr>
        <sz val="11"/>
        <color theme="1"/>
        <rFont val="Calibri"/>
        <family val="2"/>
        <scheme val="minor"/>
      </rPr>
      <t xml:space="preserve"> - Aeronautical technology classroom
</t>
    </r>
    <r>
      <rPr>
        <b/>
        <sz val="11"/>
        <color theme="1"/>
        <rFont val="Calibri"/>
        <family val="2"/>
        <scheme val="minor"/>
      </rPr>
      <t>02685</t>
    </r>
    <r>
      <rPr>
        <sz val="11"/>
        <color theme="1"/>
        <rFont val="Calibri"/>
        <family val="2"/>
        <scheme val="minor"/>
      </rPr>
      <t xml:space="preserve"> - Agricultural/natural resources shop
</t>
    </r>
    <r>
      <rPr>
        <b/>
        <sz val="11"/>
        <color theme="1"/>
        <rFont val="Calibri"/>
        <family val="2"/>
        <scheme val="minor"/>
      </rPr>
      <t>02682</t>
    </r>
    <r>
      <rPr>
        <sz val="11"/>
        <color theme="1"/>
        <rFont val="Calibri"/>
        <family val="2"/>
        <scheme val="minor"/>
      </rPr>
      <t xml:space="preserve"> - Automotive/avionics technology shop
</t>
    </r>
    <r>
      <rPr>
        <b/>
        <sz val="11"/>
        <color theme="1"/>
        <rFont val="Calibri"/>
        <family val="2"/>
        <scheme val="minor"/>
      </rPr>
      <t>02687</t>
    </r>
    <r>
      <rPr>
        <sz val="11"/>
        <color theme="1"/>
        <rFont val="Calibri"/>
        <family val="2"/>
        <scheme val="minor"/>
      </rPr>
      <t xml:space="preserve"> - Barbering and cosmetology shop
</t>
    </r>
    <r>
      <rPr>
        <b/>
        <sz val="11"/>
        <color theme="1"/>
        <rFont val="Calibri"/>
        <family val="2"/>
        <scheme val="minor"/>
      </rPr>
      <t>02702</t>
    </r>
    <r>
      <rPr>
        <sz val="11"/>
        <color theme="1"/>
        <rFont val="Calibri"/>
        <family val="2"/>
        <scheme val="minor"/>
      </rPr>
      <t xml:space="preserve"> - Biotechnology laboratory
</t>
    </r>
    <r>
      <rPr>
        <b/>
        <sz val="11"/>
        <color theme="1"/>
        <rFont val="Calibri"/>
        <family val="2"/>
        <scheme val="minor"/>
      </rPr>
      <t>02692</t>
    </r>
    <r>
      <rPr>
        <sz val="11"/>
        <color theme="1"/>
        <rFont val="Calibri"/>
        <family val="2"/>
        <scheme val="minor"/>
      </rPr>
      <t xml:space="preserve"> - Building construction technology shop
</t>
    </r>
    <r>
      <rPr>
        <b/>
        <sz val="11"/>
        <color theme="1"/>
        <rFont val="Calibri"/>
        <family val="2"/>
        <scheme val="minor"/>
      </rPr>
      <t>02697</t>
    </r>
    <r>
      <rPr>
        <sz val="11"/>
        <color theme="1"/>
        <rFont val="Calibri"/>
        <family val="2"/>
        <scheme val="minor"/>
      </rPr>
      <t xml:space="preserve"> - Business and administrative services/office management laboratory
</t>
    </r>
    <r>
      <rPr>
        <b/>
        <sz val="11"/>
        <color theme="1"/>
        <rFont val="Calibri"/>
        <family val="2"/>
        <scheme val="minor"/>
      </rPr>
      <t>02678</t>
    </r>
    <r>
      <rPr>
        <sz val="11"/>
        <color theme="1"/>
        <rFont val="Calibri"/>
        <family val="2"/>
        <scheme val="minor"/>
      </rPr>
      <t xml:space="preserve"> - Computer/information technology laboratory
</t>
    </r>
    <r>
      <rPr>
        <b/>
        <sz val="11"/>
        <color theme="1"/>
        <rFont val="Calibri"/>
        <family val="2"/>
        <scheme val="minor"/>
      </rPr>
      <t>02680</t>
    </r>
    <r>
      <rPr>
        <sz val="11"/>
        <color theme="1"/>
        <rFont val="Calibri"/>
        <family val="2"/>
        <scheme val="minor"/>
      </rPr>
      <t xml:space="preserve"> - Consumer science - clothing classroom
</t>
    </r>
    <r>
      <rPr>
        <b/>
        <sz val="11"/>
        <color theme="1"/>
        <rFont val="Calibri"/>
        <family val="2"/>
        <scheme val="minor"/>
      </rPr>
      <t>02679</t>
    </r>
    <r>
      <rPr>
        <sz val="11"/>
        <color theme="1"/>
        <rFont val="Calibri"/>
        <family val="2"/>
        <scheme val="minor"/>
      </rPr>
      <t xml:space="preserve"> - Consumer science - food classroom
</t>
    </r>
    <r>
      <rPr>
        <b/>
        <sz val="11"/>
        <color theme="1"/>
        <rFont val="Calibri"/>
        <family val="2"/>
        <scheme val="minor"/>
      </rPr>
      <t>02690</t>
    </r>
    <r>
      <rPr>
        <sz val="11"/>
        <color theme="1"/>
        <rFont val="Calibri"/>
        <family val="2"/>
        <scheme val="minor"/>
      </rPr>
      <t xml:space="preserve"> - Dental science classroom
</t>
    </r>
    <r>
      <rPr>
        <b/>
        <sz val="11"/>
        <color theme="1"/>
        <rFont val="Calibri"/>
        <family val="2"/>
        <scheme val="minor"/>
      </rPr>
      <t>02684</t>
    </r>
    <r>
      <rPr>
        <sz val="11"/>
        <color theme="1"/>
        <rFont val="Calibri"/>
        <family val="2"/>
        <scheme val="minor"/>
      </rPr>
      <t xml:space="preserve"> - Drafting room/CAD/CAM
</t>
    </r>
    <r>
      <rPr>
        <b/>
        <sz val="11"/>
        <color theme="1"/>
        <rFont val="Calibri"/>
        <family val="2"/>
        <scheme val="minor"/>
      </rPr>
      <t>02699</t>
    </r>
    <r>
      <rPr>
        <sz val="11"/>
        <color theme="1"/>
        <rFont val="Calibri"/>
        <family val="2"/>
        <scheme val="minor"/>
      </rPr>
      <t xml:space="preserve"> - Early childhood laboratory/child care center
</t>
    </r>
    <r>
      <rPr>
        <b/>
        <sz val="11"/>
        <color theme="1"/>
        <rFont val="Calibri"/>
        <family val="2"/>
        <scheme val="minor"/>
      </rPr>
      <t>02683</t>
    </r>
    <r>
      <rPr>
        <sz val="11"/>
        <color theme="1"/>
        <rFont val="Calibri"/>
        <family val="2"/>
        <scheme val="minor"/>
      </rPr>
      <t xml:space="preserve"> - Electronics/engineering technology laboratory
</t>
    </r>
    <r>
      <rPr>
        <b/>
        <sz val="11"/>
        <color theme="1"/>
        <rFont val="Calibri"/>
        <family val="2"/>
        <scheme val="minor"/>
      </rPr>
      <t>02681</t>
    </r>
    <r>
      <rPr>
        <sz val="11"/>
        <color theme="1"/>
        <rFont val="Calibri"/>
        <family val="2"/>
        <scheme val="minor"/>
      </rPr>
      <t xml:space="preserve"> - Family and consumer science
</t>
    </r>
    <r>
      <rPr>
        <b/>
        <sz val="11"/>
        <color theme="1"/>
        <rFont val="Calibri"/>
        <family val="2"/>
        <scheme val="minor"/>
      </rPr>
      <t>02695</t>
    </r>
    <r>
      <rPr>
        <sz val="11"/>
        <color theme="1"/>
        <rFont val="Calibri"/>
        <family val="2"/>
        <scheme val="minor"/>
      </rPr>
      <t xml:space="preserve"> - Financial services center/bank
</t>
    </r>
    <r>
      <rPr>
        <b/>
        <sz val="11"/>
        <color theme="1"/>
        <rFont val="Calibri"/>
        <family val="2"/>
        <scheme val="minor"/>
      </rPr>
      <t>02696</t>
    </r>
    <r>
      <rPr>
        <sz val="11"/>
        <color theme="1"/>
        <rFont val="Calibri"/>
        <family val="2"/>
        <scheme val="minor"/>
      </rPr>
      <t xml:space="preserve"> - Food services/hospitality laboratory
</t>
    </r>
    <r>
      <rPr>
        <b/>
        <sz val="11"/>
        <color theme="1"/>
        <rFont val="Calibri"/>
        <family val="2"/>
        <scheme val="minor"/>
      </rPr>
      <t>02700</t>
    </r>
    <r>
      <rPr>
        <sz val="11"/>
        <color theme="1"/>
        <rFont val="Calibri"/>
        <family val="2"/>
        <scheme val="minor"/>
      </rPr>
      <t xml:space="preserve"> - Graphic/digital arts and design studio
</t>
    </r>
    <r>
      <rPr>
        <b/>
        <sz val="11"/>
        <color theme="1"/>
        <rFont val="Calibri"/>
        <family val="2"/>
        <scheme val="minor"/>
      </rPr>
      <t>02686</t>
    </r>
    <r>
      <rPr>
        <sz val="11"/>
        <color theme="1"/>
        <rFont val="Calibri"/>
        <family val="2"/>
        <scheme val="minor"/>
      </rPr>
      <t xml:space="preserve"> - Greenhouse
</t>
    </r>
    <r>
      <rPr>
        <b/>
        <sz val="11"/>
        <color theme="1"/>
        <rFont val="Calibri"/>
        <family val="2"/>
        <scheme val="minor"/>
      </rPr>
      <t>02698</t>
    </r>
    <r>
      <rPr>
        <sz val="11"/>
        <color theme="1"/>
        <rFont val="Calibri"/>
        <family val="2"/>
        <scheme val="minor"/>
      </rPr>
      <t xml:space="preserve"> - Health occupations laboratory
</t>
    </r>
    <r>
      <rPr>
        <b/>
        <sz val="11"/>
        <color theme="1"/>
        <rFont val="Calibri"/>
        <family val="2"/>
        <scheme val="minor"/>
      </rPr>
      <t>02701</t>
    </r>
    <r>
      <rPr>
        <sz val="11"/>
        <color theme="1"/>
        <rFont val="Calibri"/>
        <family val="2"/>
        <scheme val="minor"/>
      </rPr>
      <t xml:space="preserve"> - Law enforcement/fire technology/protective services laboratory
</t>
    </r>
    <r>
      <rPr>
        <b/>
        <sz val="11"/>
        <color theme="1"/>
        <rFont val="Calibri"/>
        <family val="2"/>
        <scheme val="minor"/>
      </rPr>
      <t>02688</t>
    </r>
    <r>
      <rPr>
        <sz val="11"/>
        <color theme="1"/>
        <rFont val="Calibri"/>
        <family val="2"/>
        <scheme val="minor"/>
      </rPr>
      <t xml:space="preserve"> - Multimedia production studio/communications
</t>
    </r>
    <r>
      <rPr>
        <b/>
        <sz val="11"/>
        <color theme="1"/>
        <rFont val="Calibri"/>
        <family val="2"/>
        <scheme val="minor"/>
      </rPr>
      <t>02693</t>
    </r>
    <r>
      <rPr>
        <sz val="11"/>
        <color theme="1"/>
        <rFont val="Calibri"/>
        <family val="2"/>
        <scheme val="minor"/>
      </rPr>
      <t xml:space="preserve"> - Precision manufacturing laboratory/metalworking shop
</t>
    </r>
    <r>
      <rPr>
        <b/>
        <sz val="11"/>
        <color theme="1"/>
        <rFont val="Calibri"/>
        <family val="2"/>
        <scheme val="minor"/>
      </rPr>
      <t>02694</t>
    </r>
    <r>
      <rPr>
        <sz val="11"/>
        <color theme="1"/>
        <rFont val="Calibri"/>
        <family val="2"/>
        <scheme val="minor"/>
      </rPr>
      <t xml:space="preserve"> - Retail store/entrepreneurship laboratory
</t>
    </r>
    <r>
      <rPr>
        <b/>
        <sz val="11"/>
        <color theme="1"/>
        <rFont val="Calibri"/>
        <family val="2"/>
        <scheme val="minor"/>
      </rPr>
      <t>02689</t>
    </r>
    <r>
      <rPr>
        <sz val="11"/>
        <color theme="1"/>
        <rFont val="Calibri"/>
        <family val="2"/>
        <scheme val="minor"/>
      </rPr>
      <t xml:space="preserve"> - Wood shop
</t>
    </r>
    <r>
      <rPr>
        <b/>
        <sz val="11"/>
        <color theme="1"/>
        <rFont val="Calibri"/>
        <family val="2"/>
        <scheme val="minor"/>
      </rPr>
      <t>09999</t>
    </r>
    <r>
      <rPr>
        <sz val="11"/>
        <color theme="1"/>
        <rFont val="Calibri"/>
        <family val="2"/>
        <scheme val="minor"/>
      </rPr>
      <t xml:space="preserve"> - Other
</t>
    </r>
  </si>
  <si>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02774</t>
    </r>
    <r>
      <rPr>
        <sz val="11"/>
        <color theme="1"/>
        <rFont val="Calibri"/>
        <family val="2"/>
        <scheme val="minor"/>
      </rPr>
      <t xml:space="preserve"> - Hallway
</t>
    </r>
    <r>
      <rPr>
        <b/>
        <sz val="11"/>
        <color theme="1"/>
        <rFont val="Calibri"/>
        <family val="2"/>
        <scheme val="minor"/>
      </rPr>
      <t>13619</t>
    </r>
    <r>
      <rPr>
        <sz val="11"/>
        <color theme="1"/>
        <rFont val="Calibri"/>
        <family val="2"/>
        <scheme val="minor"/>
      </rPr>
      <t xml:space="preserve"> - Handicap Access Ramp
</t>
    </r>
    <r>
      <rPr>
        <b/>
        <sz val="11"/>
        <color theme="1"/>
        <rFont val="Calibri"/>
        <family val="2"/>
        <scheme val="minor"/>
      </rPr>
      <t>13593</t>
    </r>
    <r>
      <rPr>
        <sz val="11"/>
        <color theme="1"/>
        <rFont val="Calibri"/>
        <family val="2"/>
        <scheme val="minor"/>
      </rPr>
      <t xml:space="preserve"> - Lift
</t>
    </r>
    <r>
      <rPr>
        <b/>
        <sz val="11"/>
        <color theme="1"/>
        <rFont val="Calibri"/>
        <family val="2"/>
        <scheme val="minor"/>
      </rPr>
      <t>02776</t>
    </r>
    <r>
      <rPr>
        <sz val="11"/>
        <color theme="1"/>
        <rFont val="Calibri"/>
        <family val="2"/>
        <scheme val="minor"/>
      </rPr>
      <t xml:space="preserve"> - Lobby
</t>
    </r>
    <r>
      <rPr>
        <b/>
        <sz val="11"/>
        <color theme="1"/>
        <rFont val="Calibri"/>
        <family val="2"/>
        <scheme val="minor"/>
      </rPr>
      <t>13594</t>
    </r>
    <r>
      <rPr>
        <sz val="11"/>
        <color theme="1"/>
        <rFont val="Calibri"/>
        <family val="2"/>
        <scheme val="minor"/>
      </rPr>
      <t xml:space="preserve"> - Moving Walk
</t>
    </r>
    <r>
      <rPr>
        <b/>
        <sz val="11"/>
        <color theme="1"/>
        <rFont val="Calibri"/>
        <family val="2"/>
        <scheme val="minor"/>
      </rPr>
      <t>02775</t>
    </r>
    <r>
      <rPr>
        <sz val="11"/>
        <color theme="1"/>
        <rFont val="Calibri"/>
        <family val="2"/>
        <scheme val="minor"/>
      </rPr>
      <t xml:space="preserve"> - Stairway
</t>
    </r>
    <r>
      <rPr>
        <b/>
        <sz val="11"/>
        <color theme="1"/>
        <rFont val="Calibri"/>
        <family val="2"/>
        <scheme val="minor"/>
      </rPr>
      <t>09999</t>
    </r>
    <r>
      <rPr>
        <sz val="11"/>
        <color theme="1"/>
        <rFont val="Calibri"/>
        <family val="2"/>
        <scheme val="minor"/>
      </rPr>
      <t xml:space="preserve"> - Other
</t>
    </r>
  </si>
  <si>
    <r>
      <t>02621</t>
    </r>
    <r>
      <rPr>
        <sz val="11"/>
        <color theme="1"/>
        <rFont val="Calibri"/>
        <family val="2"/>
        <scheme val="minor"/>
      </rPr>
      <t xml:space="preserve"> - Assembly building
</t>
    </r>
    <r>
      <rPr>
        <b/>
        <sz val="11"/>
        <color theme="1"/>
        <rFont val="Calibri"/>
        <family val="2"/>
        <scheme val="minor"/>
      </rPr>
      <t>02614</t>
    </r>
    <r>
      <rPr>
        <sz val="11"/>
        <color theme="1"/>
        <rFont val="Calibri"/>
        <family val="2"/>
        <scheme val="minor"/>
      </rPr>
      <t xml:space="preserve"> - Central kitchen building
</t>
    </r>
    <r>
      <rPr>
        <b/>
        <sz val="11"/>
        <color theme="1"/>
        <rFont val="Calibri"/>
        <family val="2"/>
        <scheme val="minor"/>
      </rPr>
      <t>02619</t>
    </r>
    <r>
      <rPr>
        <sz val="11"/>
        <color theme="1"/>
        <rFont val="Calibri"/>
        <family val="2"/>
        <scheme val="minor"/>
      </rPr>
      <t xml:space="preserve"> - Dormitory building
</t>
    </r>
    <r>
      <rPr>
        <b/>
        <sz val="11"/>
        <color theme="1"/>
        <rFont val="Calibri"/>
        <family val="2"/>
        <scheme val="minor"/>
      </rPr>
      <t>02616</t>
    </r>
    <r>
      <rPr>
        <sz val="11"/>
        <color theme="1"/>
        <rFont val="Calibri"/>
        <family val="2"/>
        <scheme val="minor"/>
      </rPr>
      <t xml:space="preserve"> - Field house building
</t>
    </r>
    <r>
      <rPr>
        <b/>
        <sz val="11"/>
        <color theme="1"/>
        <rFont val="Calibri"/>
        <family val="2"/>
        <scheme val="minor"/>
      </rPr>
      <t>02613</t>
    </r>
    <r>
      <rPr>
        <sz val="11"/>
        <color theme="1"/>
        <rFont val="Calibri"/>
        <family val="2"/>
        <scheme val="minor"/>
      </rPr>
      <t xml:space="preserve"> - Garage building
</t>
    </r>
    <r>
      <rPr>
        <b/>
        <sz val="11"/>
        <color theme="1"/>
        <rFont val="Calibri"/>
        <family val="2"/>
        <scheme val="minor"/>
      </rPr>
      <t>02620</t>
    </r>
    <r>
      <rPr>
        <sz val="11"/>
        <color theme="1"/>
        <rFont val="Calibri"/>
        <family val="2"/>
        <scheme val="minor"/>
      </rPr>
      <t xml:space="preserve"> - Gymnasium building
</t>
    </r>
    <r>
      <rPr>
        <b/>
        <sz val="11"/>
        <color theme="1"/>
        <rFont val="Calibri"/>
        <family val="2"/>
        <scheme val="minor"/>
      </rPr>
      <t>02617</t>
    </r>
    <r>
      <rPr>
        <sz val="11"/>
        <color theme="1"/>
        <rFont val="Calibri"/>
        <family val="2"/>
        <scheme val="minor"/>
      </rPr>
      <t xml:space="preserve"> - Media production center building
</t>
    </r>
    <r>
      <rPr>
        <b/>
        <sz val="11"/>
        <color theme="1"/>
        <rFont val="Calibri"/>
        <family val="2"/>
        <scheme val="minor"/>
      </rPr>
      <t>02618</t>
    </r>
    <r>
      <rPr>
        <sz val="11"/>
        <color theme="1"/>
        <rFont val="Calibri"/>
        <family val="2"/>
        <scheme val="minor"/>
      </rPr>
      <t xml:space="preserve"> - Natatorium
</t>
    </r>
    <r>
      <rPr>
        <b/>
        <sz val="11"/>
        <color theme="1"/>
        <rFont val="Calibri"/>
        <family val="2"/>
        <scheme val="minor"/>
      </rPr>
      <t>02611</t>
    </r>
    <r>
      <rPr>
        <sz val="11"/>
        <color theme="1"/>
        <rFont val="Calibri"/>
        <family val="2"/>
        <scheme val="minor"/>
      </rPr>
      <t xml:space="preserve"> - Office building
</t>
    </r>
    <r>
      <rPr>
        <b/>
        <sz val="11"/>
        <color theme="1"/>
        <rFont val="Calibri"/>
        <family val="2"/>
        <scheme val="minor"/>
      </rPr>
      <t>03106</t>
    </r>
    <r>
      <rPr>
        <sz val="11"/>
        <color theme="1"/>
        <rFont val="Calibri"/>
        <family val="2"/>
        <scheme val="minor"/>
      </rPr>
      <t xml:space="preserve"> - School building
</t>
    </r>
    <r>
      <rPr>
        <b/>
        <sz val="11"/>
        <color theme="1"/>
        <rFont val="Calibri"/>
        <family val="2"/>
        <scheme val="minor"/>
      </rPr>
      <t>02610</t>
    </r>
    <r>
      <rPr>
        <sz val="11"/>
        <color theme="1"/>
        <rFont val="Calibri"/>
        <family val="2"/>
        <scheme val="minor"/>
      </rPr>
      <t xml:space="preserve"> - Service center building
</t>
    </r>
    <r>
      <rPr>
        <b/>
        <sz val="11"/>
        <color theme="1"/>
        <rFont val="Calibri"/>
        <family val="2"/>
        <scheme val="minor"/>
      </rPr>
      <t>02615</t>
    </r>
    <r>
      <rPr>
        <sz val="11"/>
        <color theme="1"/>
        <rFont val="Calibri"/>
        <family val="2"/>
        <scheme val="minor"/>
      </rPr>
      <t xml:space="preserve"> - Stadium building
</t>
    </r>
    <r>
      <rPr>
        <b/>
        <sz val="11"/>
        <color theme="1"/>
        <rFont val="Calibri"/>
        <family val="2"/>
        <scheme val="minor"/>
      </rPr>
      <t>02612</t>
    </r>
    <r>
      <rPr>
        <sz val="11"/>
        <color theme="1"/>
        <rFont val="Calibri"/>
        <family val="2"/>
        <scheme val="minor"/>
      </rPr>
      <t xml:space="preserve"> - Warehouse building
</t>
    </r>
    <r>
      <rPr>
        <b/>
        <sz val="11"/>
        <color theme="1"/>
        <rFont val="Calibri"/>
        <family val="2"/>
        <scheme val="minor"/>
      </rPr>
      <t>09999</t>
    </r>
    <r>
      <rPr>
        <sz val="11"/>
        <color theme="1"/>
        <rFont val="Calibri"/>
        <family val="2"/>
        <scheme val="minor"/>
      </rPr>
      <t xml:space="preserve"> - Other
</t>
    </r>
  </si>
  <si>
    <r>
      <t>13620</t>
    </r>
    <r>
      <rPr>
        <sz val="11"/>
        <color theme="1"/>
        <rFont val="Calibri"/>
        <family val="2"/>
        <scheme val="minor"/>
      </rPr>
      <t xml:space="preserve"> - Climate/Emissions
</t>
    </r>
    <r>
      <rPr>
        <b/>
        <sz val="11"/>
        <color theme="1"/>
        <rFont val="Calibri"/>
        <family val="2"/>
        <scheme val="minor"/>
      </rPr>
      <t>13621</t>
    </r>
    <r>
      <rPr>
        <sz val="11"/>
        <color theme="1"/>
        <rFont val="Calibri"/>
        <family val="2"/>
        <scheme val="minor"/>
      </rPr>
      <t xml:space="preserve"> - Energy
</t>
    </r>
    <r>
      <rPr>
        <b/>
        <sz val="11"/>
        <color theme="1"/>
        <rFont val="Calibri"/>
        <family val="2"/>
        <scheme val="minor"/>
      </rPr>
      <t>13622</t>
    </r>
    <r>
      <rPr>
        <sz val="11"/>
        <color theme="1"/>
        <rFont val="Calibri"/>
        <family val="2"/>
        <scheme val="minor"/>
      </rPr>
      <t xml:space="preserve"> - Indoor Environmental Quality
</t>
    </r>
    <r>
      <rPr>
        <b/>
        <sz val="11"/>
        <color theme="1"/>
        <rFont val="Calibri"/>
        <family val="2"/>
        <scheme val="minor"/>
      </rPr>
      <t>13623</t>
    </r>
    <r>
      <rPr>
        <sz val="11"/>
        <color theme="1"/>
        <rFont val="Calibri"/>
        <family val="2"/>
        <scheme val="minor"/>
      </rPr>
      <t xml:space="preserve"> - Innovations in Operations/ Project/ Environmental Management
</t>
    </r>
    <r>
      <rPr>
        <b/>
        <sz val="11"/>
        <color theme="1"/>
        <rFont val="Calibri"/>
        <family val="2"/>
        <scheme val="minor"/>
      </rPr>
      <t>13624</t>
    </r>
    <r>
      <rPr>
        <sz val="11"/>
        <color theme="1"/>
        <rFont val="Calibri"/>
        <family val="2"/>
        <scheme val="minor"/>
      </rPr>
      <t xml:space="preserve"> - Leadership, Education and Innovation
</t>
    </r>
    <r>
      <rPr>
        <b/>
        <sz val="11"/>
        <color theme="1"/>
        <rFont val="Calibri"/>
        <family val="2"/>
        <scheme val="minor"/>
      </rPr>
      <t>13625</t>
    </r>
    <r>
      <rPr>
        <sz val="11"/>
        <color theme="1"/>
        <rFont val="Calibri"/>
        <family val="2"/>
        <scheme val="minor"/>
      </rPr>
      <t xml:space="preserve"> - Materials and Resources
</t>
    </r>
    <r>
      <rPr>
        <b/>
        <sz val="11"/>
        <color theme="1"/>
        <rFont val="Calibri"/>
        <family val="2"/>
        <scheme val="minor"/>
      </rPr>
      <t>13626</t>
    </r>
    <r>
      <rPr>
        <sz val="11"/>
        <color theme="1"/>
        <rFont val="Calibri"/>
        <family val="2"/>
        <scheme val="minor"/>
      </rPr>
      <t xml:space="preserve"> - Regional Priority
</t>
    </r>
    <r>
      <rPr>
        <b/>
        <sz val="11"/>
        <color theme="1"/>
        <rFont val="Calibri"/>
        <family val="2"/>
        <scheme val="minor"/>
      </rPr>
      <t>13627</t>
    </r>
    <r>
      <rPr>
        <sz val="11"/>
        <color theme="1"/>
        <rFont val="Calibri"/>
        <family val="2"/>
        <scheme val="minor"/>
      </rPr>
      <t xml:space="preserve"> - Sustainable Sites
</t>
    </r>
  </si>
  <si>
    <r>
      <t>02792</t>
    </r>
    <r>
      <rPr>
        <sz val="11"/>
        <color theme="1"/>
        <rFont val="Calibri"/>
        <family val="2"/>
        <scheme val="minor"/>
      </rPr>
      <t xml:space="preserve"> - Cafeteria
</t>
    </r>
    <r>
      <rPr>
        <b/>
        <sz val="11"/>
        <color theme="1"/>
        <rFont val="Calibri"/>
        <family val="2"/>
        <scheme val="minor"/>
      </rPr>
      <t>02793</t>
    </r>
    <r>
      <rPr>
        <sz val="11"/>
        <color theme="1"/>
        <rFont val="Calibri"/>
        <family val="2"/>
        <scheme val="minor"/>
      </rPr>
      <t xml:space="preserve"> - Cafetorium
</t>
    </r>
    <r>
      <rPr>
        <b/>
        <sz val="11"/>
        <color theme="1"/>
        <rFont val="Calibri"/>
        <family val="2"/>
        <scheme val="minor"/>
      </rPr>
      <t>02797</t>
    </r>
    <r>
      <rPr>
        <sz val="11"/>
        <color theme="1"/>
        <rFont val="Calibri"/>
        <family val="2"/>
        <scheme val="minor"/>
      </rPr>
      <t xml:space="preserve"> - Convenience kitchen
</t>
    </r>
    <r>
      <rPr>
        <b/>
        <sz val="11"/>
        <color theme="1"/>
        <rFont val="Calibri"/>
        <family val="2"/>
        <scheme val="minor"/>
      </rPr>
      <t>03251</t>
    </r>
    <r>
      <rPr>
        <sz val="11"/>
        <color theme="1"/>
        <rFont val="Calibri"/>
        <family val="2"/>
        <scheme val="minor"/>
      </rPr>
      <t xml:space="preserve"> - Dish return area
</t>
    </r>
    <r>
      <rPr>
        <b/>
        <sz val="11"/>
        <color theme="1"/>
        <rFont val="Calibri"/>
        <family val="2"/>
        <scheme val="minor"/>
      </rPr>
      <t>02799</t>
    </r>
    <r>
      <rPr>
        <sz val="11"/>
        <color theme="1"/>
        <rFont val="Calibri"/>
        <family val="2"/>
        <scheme val="minor"/>
      </rPr>
      <t xml:space="preserve"> - Dry food/non-hazardous supplies storage area
</t>
    </r>
    <r>
      <rPr>
        <b/>
        <sz val="11"/>
        <color theme="1"/>
        <rFont val="Calibri"/>
        <family val="2"/>
        <scheme val="minor"/>
      </rPr>
      <t>02794</t>
    </r>
    <r>
      <rPr>
        <sz val="11"/>
        <color theme="1"/>
        <rFont val="Calibri"/>
        <family val="2"/>
        <scheme val="minor"/>
      </rPr>
      <t xml:space="preserve"> - Faculty dining room
</t>
    </r>
    <r>
      <rPr>
        <b/>
        <sz val="11"/>
        <color theme="1"/>
        <rFont val="Calibri"/>
        <family val="2"/>
        <scheme val="minor"/>
      </rPr>
      <t>02798</t>
    </r>
    <r>
      <rPr>
        <sz val="11"/>
        <color theme="1"/>
        <rFont val="Calibri"/>
        <family val="2"/>
        <scheme val="minor"/>
      </rPr>
      <t xml:space="preserve"> - Finishing/satellite kitchen
</t>
    </r>
    <r>
      <rPr>
        <b/>
        <sz val="11"/>
        <color theme="1"/>
        <rFont val="Calibri"/>
        <family val="2"/>
        <scheme val="minor"/>
      </rPr>
      <t>03254</t>
    </r>
    <r>
      <rPr>
        <sz val="11"/>
        <color theme="1"/>
        <rFont val="Calibri"/>
        <family val="2"/>
        <scheme val="minor"/>
      </rPr>
      <t xml:space="preserve"> - Food receiving area
</t>
    </r>
    <r>
      <rPr>
        <b/>
        <sz val="11"/>
        <color theme="1"/>
        <rFont val="Calibri"/>
        <family val="2"/>
        <scheme val="minor"/>
      </rPr>
      <t>02800</t>
    </r>
    <r>
      <rPr>
        <sz val="11"/>
        <color theme="1"/>
        <rFont val="Calibri"/>
        <family val="2"/>
        <scheme val="minor"/>
      </rPr>
      <t xml:space="preserve"> - Food serving area
</t>
    </r>
    <r>
      <rPr>
        <b/>
        <sz val="11"/>
        <color theme="1"/>
        <rFont val="Calibri"/>
        <family val="2"/>
        <scheme val="minor"/>
      </rPr>
      <t>02796</t>
    </r>
    <r>
      <rPr>
        <sz val="11"/>
        <color theme="1"/>
        <rFont val="Calibri"/>
        <family val="2"/>
        <scheme val="minor"/>
      </rPr>
      <t xml:space="preserve"> - Full-service kitchen
</t>
    </r>
    <r>
      <rPr>
        <b/>
        <sz val="11"/>
        <color theme="1"/>
        <rFont val="Calibri"/>
        <family val="2"/>
        <scheme val="minor"/>
      </rPr>
      <t>13629</t>
    </r>
    <r>
      <rPr>
        <sz val="11"/>
        <color theme="1"/>
        <rFont val="Calibri"/>
        <family val="2"/>
        <scheme val="minor"/>
      </rPr>
      <t xml:space="preserve"> - Kitchen garden
</t>
    </r>
    <r>
      <rPr>
        <b/>
        <sz val="11"/>
        <color theme="1"/>
        <rFont val="Calibri"/>
        <family val="2"/>
        <scheme val="minor"/>
      </rPr>
      <t>02988</t>
    </r>
    <r>
      <rPr>
        <sz val="11"/>
        <color theme="1"/>
        <rFont val="Calibri"/>
        <family val="2"/>
        <scheme val="minor"/>
      </rPr>
      <t xml:space="preserve"> - Multipurpose room
</t>
    </r>
    <r>
      <rPr>
        <b/>
        <sz val="11"/>
        <color theme="1"/>
        <rFont val="Calibri"/>
        <family val="2"/>
        <scheme val="minor"/>
      </rPr>
      <t>03253</t>
    </r>
    <r>
      <rPr>
        <sz val="11"/>
        <color theme="1"/>
        <rFont val="Calibri"/>
        <family val="2"/>
        <scheme val="minor"/>
      </rPr>
      <t xml:space="preserve"> - Recyclable materials area
</t>
    </r>
    <r>
      <rPr>
        <b/>
        <sz val="11"/>
        <color theme="1"/>
        <rFont val="Calibri"/>
        <family val="2"/>
        <scheme val="minor"/>
      </rPr>
      <t>03109</t>
    </r>
    <r>
      <rPr>
        <sz val="11"/>
        <color theme="1"/>
        <rFont val="Calibri"/>
        <family val="2"/>
        <scheme val="minor"/>
      </rPr>
      <t xml:space="preserve"> - Refrigerated/freezer storage area
</t>
    </r>
    <r>
      <rPr>
        <b/>
        <sz val="11"/>
        <color theme="1"/>
        <rFont val="Calibri"/>
        <family val="2"/>
        <scheme val="minor"/>
      </rPr>
      <t>02801</t>
    </r>
    <r>
      <rPr>
        <sz val="11"/>
        <color theme="1"/>
        <rFont val="Calibri"/>
        <family val="2"/>
        <scheme val="minor"/>
      </rPr>
      <t xml:space="preserve"> - Storage of tables and chairs
</t>
    </r>
    <r>
      <rPr>
        <b/>
        <sz val="11"/>
        <color theme="1"/>
        <rFont val="Calibri"/>
        <family val="2"/>
        <scheme val="minor"/>
      </rPr>
      <t>02795</t>
    </r>
    <r>
      <rPr>
        <sz val="11"/>
        <color theme="1"/>
        <rFont val="Calibri"/>
        <family val="2"/>
        <scheme val="minor"/>
      </rPr>
      <t xml:space="preserve"> - Student dining room
</t>
    </r>
    <r>
      <rPr>
        <b/>
        <sz val="11"/>
        <color theme="1"/>
        <rFont val="Calibri"/>
        <family val="2"/>
        <scheme val="minor"/>
      </rPr>
      <t>03252</t>
    </r>
    <r>
      <rPr>
        <sz val="11"/>
        <color theme="1"/>
        <rFont val="Calibri"/>
        <family val="2"/>
        <scheme val="minor"/>
      </rPr>
      <t xml:space="preserve"> - Trash disposal area
</t>
    </r>
    <r>
      <rPr>
        <b/>
        <sz val="11"/>
        <color theme="1"/>
        <rFont val="Calibri"/>
        <family val="2"/>
        <scheme val="minor"/>
      </rPr>
      <t>09999</t>
    </r>
    <r>
      <rPr>
        <sz val="11"/>
        <color theme="1"/>
        <rFont val="Calibri"/>
        <family val="2"/>
        <scheme val="minor"/>
      </rPr>
      <t xml:space="preserve"> - Other
</t>
    </r>
  </si>
  <si>
    <r>
      <t>03247</t>
    </r>
    <r>
      <rPr>
        <sz val="11"/>
        <color theme="1"/>
        <rFont val="Calibri"/>
        <family val="2"/>
        <scheme val="minor"/>
      </rPr>
      <t xml:space="preserve"> - Central kitchen
</t>
    </r>
    <r>
      <rPr>
        <b/>
        <sz val="11"/>
        <color theme="1"/>
        <rFont val="Calibri"/>
        <family val="2"/>
        <scheme val="minor"/>
      </rPr>
      <t>03250</t>
    </r>
    <r>
      <rPr>
        <sz val="11"/>
        <color theme="1"/>
        <rFont val="Calibri"/>
        <family val="2"/>
        <scheme val="minor"/>
      </rPr>
      <t xml:space="preserve"> - Non-production kitchen
</t>
    </r>
    <r>
      <rPr>
        <b/>
        <sz val="11"/>
        <color theme="1"/>
        <rFont val="Calibri"/>
        <family val="2"/>
        <scheme val="minor"/>
      </rPr>
      <t>03248</t>
    </r>
    <r>
      <rPr>
        <sz val="11"/>
        <color theme="1"/>
        <rFont val="Calibri"/>
        <family val="2"/>
        <scheme val="minor"/>
      </rPr>
      <t xml:space="preserve"> - Production kitchen
</t>
    </r>
    <r>
      <rPr>
        <b/>
        <sz val="11"/>
        <color theme="1"/>
        <rFont val="Calibri"/>
        <family val="2"/>
        <scheme val="minor"/>
      </rPr>
      <t>03249</t>
    </r>
    <r>
      <rPr>
        <sz val="11"/>
        <color theme="1"/>
        <rFont val="Calibri"/>
        <family val="2"/>
        <scheme val="minor"/>
      </rPr>
      <t xml:space="preserve"> - Self-contained kitchen
</t>
    </r>
  </si>
  <si>
    <r>
      <t>02709</t>
    </r>
    <r>
      <rPr>
        <sz val="11"/>
        <color theme="1"/>
        <rFont val="Calibri"/>
        <family val="2"/>
        <scheme val="minor"/>
      </rPr>
      <t xml:space="preserve"> - Auxiliary gymnasium
</t>
    </r>
    <r>
      <rPr>
        <b/>
        <sz val="11"/>
        <color theme="1"/>
        <rFont val="Calibri"/>
        <family val="2"/>
        <scheme val="minor"/>
      </rPr>
      <t>02712</t>
    </r>
    <r>
      <rPr>
        <sz val="11"/>
        <color theme="1"/>
        <rFont val="Calibri"/>
        <family val="2"/>
        <scheme val="minor"/>
      </rPr>
      <t xml:space="preserve"> - Dance studio
</t>
    </r>
    <r>
      <rPr>
        <b/>
        <sz val="11"/>
        <color theme="1"/>
        <rFont val="Calibri"/>
        <family val="2"/>
        <scheme val="minor"/>
      </rPr>
      <t>02716</t>
    </r>
    <r>
      <rPr>
        <sz val="11"/>
        <color theme="1"/>
        <rFont val="Calibri"/>
        <family val="2"/>
        <scheme val="minor"/>
      </rPr>
      <t xml:space="preserve"> - Equipment storage
</t>
    </r>
    <r>
      <rPr>
        <b/>
        <sz val="11"/>
        <color theme="1"/>
        <rFont val="Calibri"/>
        <family val="2"/>
        <scheme val="minor"/>
      </rPr>
      <t>02984</t>
    </r>
    <r>
      <rPr>
        <sz val="11"/>
        <color theme="1"/>
        <rFont val="Calibri"/>
        <family val="2"/>
        <scheme val="minor"/>
      </rPr>
      <t xml:space="preserve"> - Gymnasium
</t>
    </r>
    <r>
      <rPr>
        <b/>
        <sz val="11"/>
        <color theme="1"/>
        <rFont val="Calibri"/>
        <family val="2"/>
        <scheme val="minor"/>
      </rPr>
      <t>02719</t>
    </r>
    <r>
      <rPr>
        <sz val="11"/>
        <color theme="1"/>
        <rFont val="Calibri"/>
        <family val="2"/>
        <scheme val="minor"/>
      </rPr>
      <t xml:space="preserve"> - Health classroom
</t>
    </r>
    <r>
      <rPr>
        <b/>
        <sz val="11"/>
        <color theme="1"/>
        <rFont val="Calibri"/>
        <family val="2"/>
        <scheme val="minor"/>
      </rPr>
      <t>02715</t>
    </r>
    <r>
      <rPr>
        <sz val="11"/>
        <color theme="1"/>
        <rFont val="Calibri"/>
        <family val="2"/>
        <scheme val="minor"/>
      </rPr>
      <t xml:space="preserve"> - Locker room
</t>
    </r>
    <r>
      <rPr>
        <b/>
        <sz val="11"/>
        <color theme="1"/>
        <rFont val="Calibri"/>
        <family val="2"/>
        <scheme val="minor"/>
      </rPr>
      <t>02718</t>
    </r>
    <r>
      <rPr>
        <sz val="11"/>
        <color theme="1"/>
        <rFont val="Calibri"/>
        <family val="2"/>
        <scheme val="minor"/>
      </rPr>
      <t xml:space="preserve"> - Multipurpose space
</t>
    </r>
    <r>
      <rPr>
        <b/>
        <sz val="11"/>
        <color theme="1"/>
        <rFont val="Calibri"/>
        <family val="2"/>
        <scheme val="minor"/>
      </rPr>
      <t>02720</t>
    </r>
    <r>
      <rPr>
        <sz val="11"/>
        <color theme="1"/>
        <rFont val="Calibri"/>
        <family val="2"/>
        <scheme val="minor"/>
      </rPr>
      <t xml:space="preserve"> - Playtorium (auditorium/gymnasium)
</t>
    </r>
    <r>
      <rPr>
        <b/>
        <sz val="11"/>
        <color theme="1"/>
        <rFont val="Calibri"/>
        <family val="2"/>
        <scheme val="minor"/>
      </rPr>
      <t>02714</t>
    </r>
    <r>
      <rPr>
        <sz val="11"/>
        <color theme="1"/>
        <rFont val="Calibri"/>
        <family val="2"/>
        <scheme val="minor"/>
      </rPr>
      <t xml:space="preserve"> - Pool/natatorium
</t>
    </r>
    <r>
      <rPr>
        <b/>
        <sz val="11"/>
        <color theme="1"/>
        <rFont val="Calibri"/>
        <family val="2"/>
        <scheme val="minor"/>
      </rPr>
      <t>02717</t>
    </r>
    <r>
      <rPr>
        <sz val="11"/>
        <color theme="1"/>
        <rFont val="Calibri"/>
        <family val="2"/>
        <scheme val="minor"/>
      </rPr>
      <t xml:space="preserve"> - Press box
</t>
    </r>
    <r>
      <rPr>
        <b/>
        <sz val="11"/>
        <color theme="1"/>
        <rFont val="Calibri"/>
        <family val="2"/>
        <scheme val="minor"/>
      </rPr>
      <t>02713</t>
    </r>
    <r>
      <rPr>
        <sz val="11"/>
        <color theme="1"/>
        <rFont val="Calibri"/>
        <family val="2"/>
        <scheme val="minor"/>
      </rPr>
      <t xml:space="preserve"> - Team room
</t>
    </r>
    <r>
      <rPr>
        <b/>
        <sz val="11"/>
        <color theme="1"/>
        <rFont val="Calibri"/>
        <family val="2"/>
        <scheme val="minor"/>
      </rPr>
      <t>02710</t>
    </r>
    <r>
      <rPr>
        <sz val="11"/>
        <color theme="1"/>
        <rFont val="Calibri"/>
        <family val="2"/>
        <scheme val="minor"/>
      </rPr>
      <t xml:space="preserve"> - Weight training room
</t>
    </r>
    <r>
      <rPr>
        <b/>
        <sz val="11"/>
        <color theme="1"/>
        <rFont val="Calibri"/>
        <family val="2"/>
        <scheme val="minor"/>
      </rPr>
      <t>02711</t>
    </r>
    <r>
      <rPr>
        <sz val="11"/>
        <color theme="1"/>
        <rFont val="Calibri"/>
        <family val="2"/>
        <scheme val="minor"/>
      </rPr>
      <t xml:space="preserve"> - Wrestling room
</t>
    </r>
    <r>
      <rPr>
        <b/>
        <sz val="11"/>
        <color theme="1"/>
        <rFont val="Calibri"/>
        <family val="2"/>
        <scheme val="minor"/>
      </rPr>
      <t>09999</t>
    </r>
    <r>
      <rPr>
        <sz val="11"/>
        <color theme="1"/>
        <rFont val="Calibri"/>
        <family val="2"/>
        <scheme val="minor"/>
      </rPr>
      <t xml:space="preserve"> - Other
</t>
    </r>
  </si>
  <si>
    <r>
      <t>02703</t>
    </r>
    <r>
      <rPr>
        <sz val="11"/>
        <color theme="1"/>
        <rFont val="Calibri"/>
        <family val="2"/>
        <scheme val="minor"/>
      </rPr>
      <t xml:space="preserve"> - Collections room
</t>
    </r>
    <r>
      <rPr>
        <b/>
        <sz val="11"/>
        <color theme="1"/>
        <rFont val="Calibri"/>
        <family val="2"/>
        <scheme val="minor"/>
      </rPr>
      <t>02706</t>
    </r>
    <r>
      <rPr>
        <sz val="11"/>
        <color theme="1"/>
        <rFont val="Calibri"/>
        <family val="2"/>
        <scheme val="minor"/>
      </rPr>
      <t xml:space="preserve"> - Copy center
</t>
    </r>
    <r>
      <rPr>
        <b/>
        <sz val="11"/>
        <color theme="1"/>
        <rFont val="Calibri"/>
        <family val="2"/>
        <scheme val="minor"/>
      </rPr>
      <t>02705</t>
    </r>
    <r>
      <rPr>
        <sz val="11"/>
        <color theme="1"/>
        <rFont val="Calibri"/>
        <family val="2"/>
        <scheme val="minor"/>
      </rPr>
      <t xml:space="preserve"> - Distance learning lab
</t>
    </r>
    <r>
      <rPr>
        <b/>
        <sz val="11"/>
        <color theme="1"/>
        <rFont val="Calibri"/>
        <family val="2"/>
        <scheme val="minor"/>
      </rPr>
      <t>02704</t>
    </r>
    <r>
      <rPr>
        <sz val="11"/>
        <color theme="1"/>
        <rFont val="Calibri"/>
        <family val="2"/>
        <scheme val="minor"/>
      </rPr>
      <t xml:space="preserve"> - Reading room
</t>
    </r>
    <r>
      <rPr>
        <b/>
        <sz val="11"/>
        <color theme="1"/>
        <rFont val="Calibri"/>
        <family val="2"/>
        <scheme val="minor"/>
      </rPr>
      <t>13632</t>
    </r>
    <r>
      <rPr>
        <sz val="11"/>
        <color theme="1"/>
        <rFont val="Calibri"/>
        <family val="2"/>
        <scheme val="minor"/>
      </rPr>
      <t xml:space="preserve"> - Reception/checkout desk
</t>
    </r>
    <r>
      <rPr>
        <b/>
        <sz val="11"/>
        <color theme="1"/>
        <rFont val="Calibri"/>
        <family val="2"/>
        <scheme val="minor"/>
      </rPr>
      <t>02707</t>
    </r>
    <r>
      <rPr>
        <sz val="11"/>
        <color theme="1"/>
        <rFont val="Calibri"/>
        <family val="2"/>
        <scheme val="minor"/>
      </rPr>
      <t xml:space="preserve"> - Study room
</t>
    </r>
    <r>
      <rPr>
        <b/>
        <sz val="11"/>
        <color theme="1"/>
        <rFont val="Calibri"/>
        <family val="2"/>
        <scheme val="minor"/>
      </rPr>
      <t>02708</t>
    </r>
    <r>
      <rPr>
        <sz val="11"/>
        <color theme="1"/>
        <rFont val="Calibri"/>
        <family val="2"/>
        <scheme val="minor"/>
      </rPr>
      <t xml:space="preserve"> - Workroom
</t>
    </r>
    <r>
      <rPr>
        <b/>
        <sz val="11"/>
        <color theme="1"/>
        <rFont val="Calibri"/>
        <family val="2"/>
        <scheme val="minor"/>
      </rPr>
      <t>09999</t>
    </r>
    <r>
      <rPr>
        <sz val="11"/>
        <color theme="1"/>
        <rFont val="Calibri"/>
        <family val="2"/>
        <scheme val="minor"/>
      </rPr>
      <t xml:space="preserve"> - Other
</t>
    </r>
  </si>
  <si>
    <r>
      <t>02780</t>
    </r>
    <r>
      <rPr>
        <sz val="11"/>
        <color theme="1"/>
        <rFont val="Calibri"/>
        <family val="2"/>
        <scheme val="minor"/>
      </rPr>
      <t xml:space="preserve"> - Boiler room
</t>
    </r>
    <r>
      <rPr>
        <b/>
        <sz val="11"/>
        <color theme="1"/>
        <rFont val="Calibri"/>
        <family val="2"/>
        <scheme val="minor"/>
      </rPr>
      <t>02784</t>
    </r>
    <r>
      <rPr>
        <sz val="11"/>
        <color theme="1"/>
        <rFont val="Calibri"/>
        <family val="2"/>
        <scheme val="minor"/>
      </rPr>
      <t xml:space="preserve"> - Communications closet
</t>
    </r>
    <r>
      <rPr>
        <b/>
        <sz val="11"/>
        <color theme="1"/>
        <rFont val="Calibri"/>
        <family val="2"/>
        <scheme val="minor"/>
      </rPr>
      <t>02778</t>
    </r>
    <r>
      <rPr>
        <sz val="11"/>
        <color theme="1"/>
        <rFont val="Calibri"/>
        <family val="2"/>
        <scheme val="minor"/>
      </rPr>
      <t xml:space="preserve"> - Custodial closet
</t>
    </r>
    <r>
      <rPr>
        <b/>
        <sz val="11"/>
        <color theme="1"/>
        <rFont val="Calibri"/>
        <family val="2"/>
        <scheme val="minor"/>
      </rPr>
      <t>02777</t>
    </r>
    <r>
      <rPr>
        <sz val="11"/>
        <color theme="1"/>
        <rFont val="Calibri"/>
        <family val="2"/>
        <scheme val="minor"/>
      </rPr>
      <t xml:space="preserve"> - Custodian office
</t>
    </r>
    <r>
      <rPr>
        <b/>
        <sz val="11"/>
        <color theme="1"/>
        <rFont val="Calibri"/>
        <family val="2"/>
        <scheme val="minor"/>
      </rPr>
      <t>02783</t>
    </r>
    <r>
      <rPr>
        <sz val="11"/>
        <color theme="1"/>
        <rFont val="Calibri"/>
        <family val="2"/>
        <scheme val="minor"/>
      </rPr>
      <t xml:space="preserve"> - Electrical closet
</t>
    </r>
    <r>
      <rPr>
        <b/>
        <sz val="11"/>
        <color theme="1"/>
        <rFont val="Calibri"/>
        <family val="2"/>
        <scheme val="minor"/>
      </rPr>
      <t>02781</t>
    </r>
    <r>
      <rPr>
        <sz val="11"/>
        <color theme="1"/>
        <rFont val="Calibri"/>
        <family val="2"/>
        <scheme val="minor"/>
      </rPr>
      <t xml:space="preserve"> - Fan room
</t>
    </r>
    <r>
      <rPr>
        <b/>
        <sz val="11"/>
        <color theme="1"/>
        <rFont val="Calibri"/>
        <family val="2"/>
        <scheme val="minor"/>
      </rPr>
      <t>02779</t>
    </r>
    <r>
      <rPr>
        <sz val="11"/>
        <color theme="1"/>
        <rFont val="Calibri"/>
        <family val="2"/>
        <scheme val="minor"/>
      </rPr>
      <t xml:space="preserve"> - Mechanical room
</t>
    </r>
    <r>
      <rPr>
        <b/>
        <sz val="11"/>
        <color theme="1"/>
        <rFont val="Calibri"/>
        <family val="2"/>
        <scheme val="minor"/>
      </rPr>
      <t>02790</t>
    </r>
    <r>
      <rPr>
        <sz val="11"/>
        <color theme="1"/>
        <rFont val="Calibri"/>
        <family val="2"/>
        <scheme val="minor"/>
      </rPr>
      <t xml:space="preserve"> - Public toilet
</t>
    </r>
    <r>
      <rPr>
        <b/>
        <sz val="11"/>
        <color theme="1"/>
        <rFont val="Calibri"/>
        <family val="2"/>
        <scheme val="minor"/>
      </rPr>
      <t>02785</t>
    </r>
    <r>
      <rPr>
        <sz val="11"/>
        <color theme="1"/>
        <rFont val="Calibri"/>
        <family val="2"/>
        <scheme val="minor"/>
      </rPr>
      <t xml:space="preserve"> - Server room
</t>
    </r>
    <r>
      <rPr>
        <b/>
        <sz val="11"/>
        <color theme="1"/>
        <rFont val="Calibri"/>
        <family val="2"/>
        <scheme val="minor"/>
      </rPr>
      <t>02791</t>
    </r>
    <r>
      <rPr>
        <sz val="11"/>
        <color theme="1"/>
        <rFont val="Calibri"/>
        <family val="2"/>
        <scheme val="minor"/>
      </rPr>
      <t xml:space="preserve"> - Staff toilet
</t>
    </r>
    <r>
      <rPr>
        <b/>
        <sz val="11"/>
        <color theme="1"/>
        <rFont val="Calibri"/>
        <family val="2"/>
        <scheme val="minor"/>
      </rPr>
      <t>02786</t>
    </r>
    <r>
      <rPr>
        <sz val="11"/>
        <color theme="1"/>
        <rFont val="Calibri"/>
        <family val="2"/>
        <scheme val="minor"/>
      </rPr>
      <t xml:space="preserve"> - Storage - flammable materials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02787</t>
    </r>
    <r>
      <rPr>
        <sz val="11"/>
        <color theme="1"/>
        <rFont val="Calibri"/>
        <family val="2"/>
        <scheme val="minor"/>
      </rPr>
      <t xml:space="preserve"> - Storage - maintenance equipment
</t>
    </r>
    <r>
      <rPr>
        <b/>
        <sz val="11"/>
        <color theme="1"/>
        <rFont val="Calibri"/>
        <family val="2"/>
        <scheme val="minor"/>
      </rPr>
      <t>02789</t>
    </r>
    <r>
      <rPr>
        <sz val="11"/>
        <color theme="1"/>
        <rFont val="Calibri"/>
        <family val="2"/>
        <scheme val="minor"/>
      </rPr>
      <t xml:space="preserve"> - Student toilet
</t>
    </r>
    <r>
      <rPr>
        <b/>
        <sz val="11"/>
        <color theme="1"/>
        <rFont val="Calibri"/>
        <family val="2"/>
        <scheme val="minor"/>
      </rPr>
      <t>02782</t>
    </r>
    <r>
      <rPr>
        <sz val="11"/>
        <color theme="1"/>
        <rFont val="Calibri"/>
        <family val="2"/>
        <scheme val="minor"/>
      </rPr>
      <t xml:space="preserve"> - Systems control room
</t>
    </r>
    <r>
      <rPr>
        <b/>
        <sz val="11"/>
        <color theme="1"/>
        <rFont val="Calibri"/>
        <family val="2"/>
        <scheme val="minor"/>
      </rPr>
      <t>09999</t>
    </r>
    <r>
      <rPr>
        <sz val="11"/>
        <color theme="1"/>
        <rFont val="Calibri"/>
        <family val="2"/>
        <scheme val="minor"/>
      </rPr>
      <t xml:space="preserve"> - Other
</t>
    </r>
  </si>
  <si>
    <r>
      <t>02728</t>
    </r>
    <r>
      <rPr>
        <sz val="11"/>
        <color theme="1"/>
        <rFont val="Calibri"/>
        <family val="2"/>
        <scheme val="minor"/>
      </rPr>
      <t xml:space="preserve"> - Baseball field
</t>
    </r>
    <r>
      <rPr>
        <b/>
        <sz val="11"/>
        <color theme="1"/>
        <rFont val="Calibri"/>
        <family val="2"/>
        <scheme val="minor"/>
      </rPr>
      <t>02724</t>
    </r>
    <r>
      <rPr>
        <sz val="11"/>
        <color theme="1"/>
        <rFont val="Calibri"/>
        <family val="2"/>
        <scheme val="minor"/>
      </rPr>
      <t xml:space="preserve"> - Bleacher seating
</t>
    </r>
    <r>
      <rPr>
        <b/>
        <sz val="11"/>
        <color theme="1"/>
        <rFont val="Calibri"/>
        <family val="2"/>
        <scheme val="minor"/>
      </rPr>
      <t>02722</t>
    </r>
    <r>
      <rPr>
        <sz val="11"/>
        <color theme="1"/>
        <rFont val="Calibri"/>
        <family val="2"/>
        <scheme val="minor"/>
      </rPr>
      <t xml:space="preserve"> - Concessions/restrooms
</t>
    </r>
    <r>
      <rPr>
        <b/>
        <sz val="11"/>
        <color theme="1"/>
        <rFont val="Calibri"/>
        <family val="2"/>
        <scheme val="minor"/>
      </rPr>
      <t>02985</t>
    </r>
    <r>
      <rPr>
        <sz val="11"/>
        <color theme="1"/>
        <rFont val="Calibri"/>
        <family val="2"/>
        <scheme val="minor"/>
      </rPr>
      <t xml:space="preserve"> - Field house
</t>
    </r>
    <r>
      <rPr>
        <b/>
        <sz val="11"/>
        <color theme="1"/>
        <rFont val="Calibri"/>
        <family val="2"/>
        <scheme val="minor"/>
      </rPr>
      <t>02727</t>
    </r>
    <r>
      <rPr>
        <sz val="11"/>
        <color theme="1"/>
        <rFont val="Calibri"/>
        <family val="2"/>
        <scheme val="minor"/>
      </rPr>
      <t xml:space="preserve"> - Fitness trail
</t>
    </r>
    <r>
      <rPr>
        <b/>
        <sz val="11"/>
        <color theme="1"/>
        <rFont val="Calibri"/>
        <family val="2"/>
        <scheme val="minor"/>
      </rPr>
      <t>02730</t>
    </r>
    <r>
      <rPr>
        <sz val="11"/>
        <color theme="1"/>
        <rFont val="Calibri"/>
        <family val="2"/>
        <scheme val="minor"/>
      </rPr>
      <t xml:space="preserve"> - Football field
</t>
    </r>
    <r>
      <rPr>
        <b/>
        <sz val="11"/>
        <color theme="1"/>
        <rFont val="Calibri"/>
        <family val="2"/>
        <scheme val="minor"/>
      </rPr>
      <t>02721</t>
    </r>
    <r>
      <rPr>
        <sz val="11"/>
        <color theme="1"/>
        <rFont val="Calibri"/>
        <family val="2"/>
        <scheme val="minor"/>
      </rPr>
      <t xml:space="preserve"> - Multipurpose grassy play field
</t>
    </r>
    <r>
      <rPr>
        <b/>
        <sz val="11"/>
        <color theme="1"/>
        <rFont val="Calibri"/>
        <family val="2"/>
        <scheme val="minor"/>
      </rPr>
      <t>02732</t>
    </r>
    <r>
      <rPr>
        <sz val="11"/>
        <color theme="1"/>
        <rFont val="Calibri"/>
        <family val="2"/>
        <scheme val="minor"/>
      </rPr>
      <t xml:space="preserve"> - Other sports field
</t>
    </r>
    <r>
      <rPr>
        <b/>
        <sz val="11"/>
        <color theme="1"/>
        <rFont val="Calibri"/>
        <family val="2"/>
        <scheme val="minor"/>
      </rPr>
      <t>02726</t>
    </r>
    <r>
      <rPr>
        <sz val="11"/>
        <color theme="1"/>
        <rFont val="Calibri"/>
        <family val="2"/>
        <scheme val="minor"/>
      </rPr>
      <t xml:space="preserve"> - Paved outdoor basketball courts
</t>
    </r>
    <r>
      <rPr>
        <b/>
        <sz val="11"/>
        <color theme="1"/>
        <rFont val="Calibri"/>
        <family val="2"/>
        <scheme val="minor"/>
      </rPr>
      <t>02731</t>
    </r>
    <r>
      <rPr>
        <sz val="11"/>
        <color theme="1"/>
        <rFont val="Calibri"/>
        <family val="2"/>
        <scheme val="minor"/>
      </rPr>
      <t xml:space="preserve"> - Soccer field
</t>
    </r>
    <r>
      <rPr>
        <b/>
        <sz val="11"/>
        <color theme="1"/>
        <rFont val="Calibri"/>
        <family val="2"/>
        <scheme val="minor"/>
      </rPr>
      <t>02729</t>
    </r>
    <r>
      <rPr>
        <sz val="11"/>
        <color theme="1"/>
        <rFont val="Calibri"/>
        <family val="2"/>
        <scheme val="minor"/>
      </rPr>
      <t xml:space="preserve"> - Softball field
</t>
    </r>
    <r>
      <rPr>
        <b/>
        <sz val="11"/>
        <color theme="1"/>
        <rFont val="Calibri"/>
        <family val="2"/>
        <scheme val="minor"/>
      </rPr>
      <t>02725</t>
    </r>
    <r>
      <rPr>
        <sz val="11"/>
        <color theme="1"/>
        <rFont val="Calibri"/>
        <family val="2"/>
        <scheme val="minor"/>
      </rPr>
      <t xml:space="preserve"> - Tennis courts
</t>
    </r>
    <r>
      <rPr>
        <b/>
        <sz val="11"/>
        <color theme="1"/>
        <rFont val="Calibri"/>
        <family val="2"/>
        <scheme val="minor"/>
      </rPr>
      <t>02723</t>
    </r>
    <r>
      <rPr>
        <sz val="11"/>
        <color theme="1"/>
        <rFont val="Calibri"/>
        <family val="2"/>
        <scheme val="minor"/>
      </rPr>
      <t xml:space="preserve"> - Track/fields
</t>
    </r>
    <r>
      <rPr>
        <b/>
        <sz val="11"/>
        <color theme="1"/>
        <rFont val="Calibri"/>
        <family val="2"/>
        <scheme val="minor"/>
      </rPr>
      <t>09999</t>
    </r>
    <r>
      <rPr>
        <sz val="11"/>
        <color theme="1"/>
        <rFont val="Calibri"/>
        <family val="2"/>
        <scheme val="minor"/>
      </rPr>
      <t xml:space="preserve"> - Other
</t>
    </r>
  </si>
  <si>
    <r>
      <t>13629</t>
    </r>
    <r>
      <rPr>
        <sz val="11"/>
        <color theme="1"/>
        <rFont val="Calibri"/>
        <family val="2"/>
        <scheme val="minor"/>
      </rPr>
      <t xml:space="preserve"> - Kitchen garden
</t>
    </r>
    <r>
      <rPr>
        <b/>
        <sz val="11"/>
        <color theme="1"/>
        <rFont val="Calibri"/>
        <family val="2"/>
        <scheme val="minor"/>
      </rPr>
      <t>13635</t>
    </r>
    <r>
      <rPr>
        <sz val="11"/>
        <color theme="1"/>
        <rFont val="Calibri"/>
        <family val="2"/>
        <scheme val="minor"/>
      </rPr>
      <t xml:space="preserve"> - Natural habitat area
</t>
    </r>
    <r>
      <rPr>
        <b/>
        <sz val="11"/>
        <color theme="1"/>
        <rFont val="Calibri"/>
        <family val="2"/>
        <scheme val="minor"/>
      </rPr>
      <t>13633</t>
    </r>
    <r>
      <rPr>
        <sz val="11"/>
        <color theme="1"/>
        <rFont val="Calibri"/>
        <family val="2"/>
        <scheme val="minor"/>
      </rPr>
      <t xml:space="preserve"> - Outdoor classroom
</t>
    </r>
    <r>
      <rPr>
        <b/>
        <sz val="11"/>
        <color theme="1"/>
        <rFont val="Calibri"/>
        <family val="2"/>
        <scheme val="minor"/>
      </rPr>
      <t>13634</t>
    </r>
    <r>
      <rPr>
        <sz val="11"/>
        <color theme="1"/>
        <rFont val="Calibri"/>
        <family val="2"/>
        <scheme val="minor"/>
      </rPr>
      <t xml:space="preserve"> - Outdoor seating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03409</t>
    </r>
    <r>
      <rPr>
        <sz val="11"/>
        <color theme="1"/>
        <rFont val="Calibri"/>
        <family val="2"/>
        <scheme val="minor"/>
      </rPr>
      <t xml:space="preserve"> - Sandbox
</t>
    </r>
    <r>
      <rPr>
        <b/>
        <sz val="11"/>
        <color theme="1"/>
        <rFont val="Calibri"/>
        <family val="2"/>
        <scheme val="minor"/>
      </rPr>
      <t>03407</t>
    </r>
    <r>
      <rPr>
        <sz val="11"/>
        <color theme="1"/>
        <rFont val="Calibri"/>
        <family val="2"/>
        <scheme val="minor"/>
      </rPr>
      <t xml:space="preserve"> - Schoolyard Garden
</t>
    </r>
    <r>
      <rPr>
        <b/>
        <sz val="11"/>
        <color theme="1"/>
        <rFont val="Calibri"/>
        <family val="2"/>
        <scheme val="minor"/>
      </rPr>
      <t>13636</t>
    </r>
    <r>
      <rPr>
        <sz val="11"/>
        <color theme="1"/>
        <rFont val="Calibri"/>
        <family val="2"/>
        <scheme val="minor"/>
      </rPr>
      <t xml:space="preserve"> - Splash play area
</t>
    </r>
  </si>
  <si>
    <r>
      <t>02768</t>
    </r>
    <r>
      <rPr>
        <sz val="11"/>
        <color theme="1"/>
        <rFont val="Calibri"/>
        <family val="2"/>
        <scheme val="minor"/>
      </rPr>
      <t xml:space="preserve"> - Auditorium (fixed seats)
</t>
    </r>
    <r>
      <rPr>
        <b/>
        <sz val="11"/>
        <color theme="1"/>
        <rFont val="Calibri"/>
        <family val="2"/>
        <scheme val="minor"/>
      </rPr>
      <t>02772</t>
    </r>
    <r>
      <rPr>
        <sz val="11"/>
        <color theme="1"/>
        <rFont val="Calibri"/>
        <family val="2"/>
        <scheme val="minor"/>
      </rPr>
      <t xml:space="preserve"> - Backstage room/green room
</t>
    </r>
    <r>
      <rPr>
        <b/>
        <sz val="11"/>
        <color theme="1"/>
        <rFont val="Calibri"/>
        <family val="2"/>
        <scheme val="minor"/>
      </rPr>
      <t>13637</t>
    </r>
    <r>
      <rPr>
        <sz val="11"/>
        <color theme="1"/>
        <rFont val="Calibri"/>
        <family val="2"/>
        <scheme val="minor"/>
      </rPr>
      <t xml:space="preserve"> - Balcony
</t>
    </r>
    <r>
      <rPr>
        <b/>
        <sz val="11"/>
        <color theme="1"/>
        <rFont val="Calibri"/>
        <family val="2"/>
        <scheme val="minor"/>
      </rPr>
      <t>02650</t>
    </r>
    <r>
      <rPr>
        <sz val="11"/>
        <color theme="1"/>
        <rFont val="Calibri"/>
        <family val="2"/>
        <scheme val="minor"/>
      </rPr>
      <t xml:space="preserve"> - Band room
</t>
    </r>
    <r>
      <rPr>
        <b/>
        <sz val="11"/>
        <color theme="1"/>
        <rFont val="Calibri"/>
        <family val="2"/>
        <scheme val="minor"/>
      </rPr>
      <t>02654</t>
    </r>
    <r>
      <rPr>
        <sz val="11"/>
        <color theme="1"/>
        <rFont val="Calibri"/>
        <family val="2"/>
        <scheme val="minor"/>
      </rPr>
      <t xml:space="preserve"> - Blackbox theater
</t>
    </r>
    <r>
      <rPr>
        <b/>
        <sz val="11"/>
        <color theme="1"/>
        <rFont val="Calibri"/>
        <family val="2"/>
        <scheme val="minor"/>
      </rPr>
      <t>02652</t>
    </r>
    <r>
      <rPr>
        <sz val="11"/>
        <color theme="1"/>
        <rFont val="Calibri"/>
        <family val="2"/>
        <scheme val="minor"/>
      </rPr>
      <t xml:space="preserve"> - Choral room
</t>
    </r>
    <r>
      <rPr>
        <b/>
        <sz val="11"/>
        <color theme="1"/>
        <rFont val="Calibri"/>
        <family val="2"/>
        <scheme val="minor"/>
      </rPr>
      <t>02769</t>
    </r>
    <r>
      <rPr>
        <sz val="11"/>
        <color theme="1"/>
        <rFont val="Calibri"/>
        <family val="2"/>
        <scheme val="minor"/>
      </rPr>
      <t xml:space="preserve"> - Control room
</t>
    </r>
    <r>
      <rPr>
        <b/>
        <sz val="11"/>
        <color theme="1"/>
        <rFont val="Calibri"/>
        <family val="2"/>
        <scheme val="minor"/>
      </rPr>
      <t>02770</t>
    </r>
    <r>
      <rPr>
        <sz val="11"/>
        <color theme="1"/>
        <rFont val="Calibri"/>
        <family val="2"/>
        <scheme val="minor"/>
      </rPr>
      <t xml:space="preserve"> - Costume storage area
</t>
    </r>
    <r>
      <rPr>
        <b/>
        <sz val="11"/>
        <color theme="1"/>
        <rFont val="Calibri"/>
        <family val="2"/>
        <scheme val="minor"/>
      </rPr>
      <t>02653</t>
    </r>
    <r>
      <rPr>
        <sz val="11"/>
        <color theme="1"/>
        <rFont val="Calibri"/>
        <family val="2"/>
        <scheme val="minor"/>
      </rPr>
      <t xml:space="preserve"> - Drama classroom
</t>
    </r>
    <r>
      <rPr>
        <b/>
        <sz val="11"/>
        <color theme="1"/>
        <rFont val="Calibri"/>
        <family val="2"/>
        <scheme val="minor"/>
      </rPr>
      <t>02655</t>
    </r>
    <r>
      <rPr>
        <sz val="11"/>
        <color theme="1"/>
        <rFont val="Calibri"/>
        <family val="2"/>
        <scheme val="minor"/>
      </rPr>
      <t xml:space="preserve"> - Instrument storage
</t>
    </r>
    <r>
      <rPr>
        <b/>
        <sz val="11"/>
        <color theme="1"/>
        <rFont val="Calibri"/>
        <family val="2"/>
        <scheme val="minor"/>
      </rPr>
      <t>02656</t>
    </r>
    <r>
      <rPr>
        <sz val="11"/>
        <color theme="1"/>
        <rFont val="Calibri"/>
        <family val="2"/>
        <scheme val="minor"/>
      </rPr>
      <t xml:space="preserve"> - Keyboard laboratory
</t>
    </r>
    <r>
      <rPr>
        <b/>
        <sz val="11"/>
        <color theme="1"/>
        <rFont val="Calibri"/>
        <family val="2"/>
        <scheme val="minor"/>
      </rPr>
      <t>02659</t>
    </r>
    <r>
      <rPr>
        <sz val="11"/>
        <color theme="1"/>
        <rFont val="Calibri"/>
        <family val="2"/>
        <scheme val="minor"/>
      </rPr>
      <t xml:space="preserve"> - Multimedia production center
</t>
    </r>
    <r>
      <rPr>
        <b/>
        <sz val="11"/>
        <color theme="1"/>
        <rFont val="Calibri"/>
        <family val="2"/>
        <scheme val="minor"/>
      </rPr>
      <t>02658</t>
    </r>
    <r>
      <rPr>
        <sz val="11"/>
        <color theme="1"/>
        <rFont val="Calibri"/>
        <family val="2"/>
        <scheme val="minor"/>
      </rPr>
      <t xml:space="preserve"> - Multipurpose music room
</t>
    </r>
    <r>
      <rPr>
        <b/>
        <sz val="11"/>
        <color theme="1"/>
        <rFont val="Calibri"/>
        <family val="2"/>
        <scheme val="minor"/>
      </rPr>
      <t>02651</t>
    </r>
    <r>
      <rPr>
        <sz val="11"/>
        <color theme="1"/>
        <rFont val="Calibri"/>
        <family val="2"/>
        <scheme val="minor"/>
      </rPr>
      <t xml:space="preserve"> - Practice room
</t>
    </r>
    <r>
      <rPr>
        <b/>
        <sz val="11"/>
        <color theme="1"/>
        <rFont val="Calibri"/>
        <family val="2"/>
        <scheme val="minor"/>
      </rPr>
      <t>02660</t>
    </r>
    <r>
      <rPr>
        <sz val="11"/>
        <color theme="1"/>
        <rFont val="Calibri"/>
        <family val="2"/>
        <scheme val="minor"/>
      </rPr>
      <t xml:space="preserve"> - Radio/television broadcast studios
</t>
    </r>
    <r>
      <rPr>
        <b/>
        <sz val="11"/>
        <color theme="1"/>
        <rFont val="Calibri"/>
        <family val="2"/>
        <scheme val="minor"/>
      </rPr>
      <t>02771</t>
    </r>
    <r>
      <rPr>
        <sz val="11"/>
        <color theme="1"/>
        <rFont val="Calibri"/>
        <family val="2"/>
        <scheme val="minor"/>
      </rPr>
      <t xml:space="preserve"> - Set storage area
</t>
    </r>
    <r>
      <rPr>
        <b/>
        <sz val="11"/>
        <color theme="1"/>
        <rFont val="Calibri"/>
        <family val="2"/>
        <scheme val="minor"/>
      </rPr>
      <t>02657</t>
    </r>
    <r>
      <rPr>
        <sz val="11"/>
        <color theme="1"/>
        <rFont val="Calibri"/>
        <family val="2"/>
        <scheme val="minor"/>
      </rPr>
      <t xml:space="preserve"> - Television studio
</t>
    </r>
    <r>
      <rPr>
        <b/>
        <sz val="11"/>
        <color theme="1"/>
        <rFont val="Calibri"/>
        <family val="2"/>
        <scheme val="minor"/>
      </rPr>
      <t>09999</t>
    </r>
    <r>
      <rPr>
        <sz val="11"/>
        <color theme="1"/>
        <rFont val="Calibri"/>
        <family val="2"/>
        <scheme val="minor"/>
      </rPr>
      <t xml:space="preserve"> - Other
</t>
    </r>
  </si>
  <si>
    <r>
      <t>02608</t>
    </r>
    <r>
      <rPr>
        <sz val="11"/>
        <color theme="1"/>
        <rFont val="Calibri"/>
        <family val="2"/>
        <scheme val="minor"/>
      </rPr>
      <t xml:space="preserve"> - 6-12 school
</t>
    </r>
    <r>
      <rPr>
        <b/>
        <sz val="11"/>
        <color theme="1"/>
        <rFont val="Calibri"/>
        <family val="2"/>
        <scheme val="minor"/>
      </rPr>
      <t>02605</t>
    </r>
    <r>
      <rPr>
        <sz val="11"/>
        <color theme="1"/>
        <rFont val="Calibri"/>
        <family val="2"/>
        <scheme val="minor"/>
      </rPr>
      <t xml:space="preserve"> - Adult education school
</t>
    </r>
    <r>
      <rPr>
        <b/>
        <sz val="11"/>
        <color theme="1"/>
        <rFont val="Calibri"/>
        <family val="2"/>
        <scheme val="minor"/>
      </rPr>
      <t>02609</t>
    </r>
    <r>
      <rPr>
        <sz val="11"/>
        <color theme="1"/>
        <rFont val="Calibri"/>
        <family val="2"/>
        <scheme val="minor"/>
      </rPr>
      <t xml:space="preserve"> - Alternative school
</t>
    </r>
    <r>
      <rPr>
        <b/>
        <sz val="11"/>
        <color theme="1"/>
        <rFont val="Calibri"/>
        <family val="2"/>
        <scheme val="minor"/>
      </rPr>
      <t>02604</t>
    </r>
    <r>
      <rPr>
        <sz val="11"/>
        <color theme="1"/>
        <rFont val="Calibri"/>
        <family val="2"/>
        <scheme val="minor"/>
      </rPr>
      <t xml:space="preserve"> - Career-technology education center
</t>
    </r>
    <r>
      <rPr>
        <b/>
        <sz val="11"/>
        <color theme="1"/>
        <rFont val="Calibri"/>
        <family val="2"/>
        <scheme val="minor"/>
      </rPr>
      <t>02599</t>
    </r>
    <r>
      <rPr>
        <sz val="11"/>
        <color theme="1"/>
        <rFont val="Calibri"/>
        <family val="2"/>
        <scheme val="minor"/>
      </rPr>
      <t xml:space="preserve"> - Early childhood center
</t>
    </r>
    <r>
      <rPr>
        <b/>
        <sz val="11"/>
        <color theme="1"/>
        <rFont val="Calibri"/>
        <family val="2"/>
        <scheme val="minor"/>
      </rPr>
      <t>02600</t>
    </r>
    <r>
      <rPr>
        <sz val="11"/>
        <color theme="1"/>
        <rFont val="Calibri"/>
        <family val="2"/>
        <scheme val="minor"/>
      </rPr>
      <t xml:space="preserve"> - Elementary school
</t>
    </r>
    <r>
      <rPr>
        <b/>
        <sz val="11"/>
        <color theme="1"/>
        <rFont val="Calibri"/>
        <family val="2"/>
        <scheme val="minor"/>
      </rPr>
      <t>02602</t>
    </r>
    <r>
      <rPr>
        <sz val="11"/>
        <color theme="1"/>
        <rFont val="Calibri"/>
        <family val="2"/>
        <scheme val="minor"/>
      </rPr>
      <t xml:space="preserve"> - Junior high school
</t>
    </r>
    <r>
      <rPr>
        <b/>
        <sz val="11"/>
        <color theme="1"/>
        <rFont val="Calibri"/>
        <family val="2"/>
        <scheme val="minor"/>
      </rPr>
      <t>02607</t>
    </r>
    <r>
      <rPr>
        <sz val="11"/>
        <color theme="1"/>
        <rFont val="Calibri"/>
        <family val="2"/>
        <scheme val="minor"/>
      </rPr>
      <t xml:space="preserve"> - K-8 school
</t>
    </r>
    <r>
      <rPr>
        <b/>
        <sz val="11"/>
        <color theme="1"/>
        <rFont val="Calibri"/>
        <family val="2"/>
        <scheme val="minor"/>
      </rPr>
      <t>02601</t>
    </r>
    <r>
      <rPr>
        <sz val="11"/>
        <color theme="1"/>
        <rFont val="Calibri"/>
        <family val="2"/>
        <scheme val="minor"/>
      </rPr>
      <t xml:space="preserve"> - Middle school
</t>
    </r>
    <r>
      <rPr>
        <b/>
        <sz val="11"/>
        <color theme="1"/>
        <rFont val="Calibri"/>
        <family val="2"/>
        <scheme val="minor"/>
      </rPr>
      <t>13638</t>
    </r>
    <r>
      <rPr>
        <sz val="11"/>
        <color theme="1"/>
        <rFont val="Calibri"/>
        <family val="2"/>
        <scheme val="minor"/>
      </rPr>
      <t xml:space="preserve"> - Performing arts school
</t>
    </r>
    <r>
      <rPr>
        <b/>
        <sz val="11"/>
        <color theme="1"/>
        <rFont val="Calibri"/>
        <family val="2"/>
        <scheme val="minor"/>
      </rPr>
      <t>13639</t>
    </r>
    <r>
      <rPr>
        <sz val="11"/>
        <color theme="1"/>
        <rFont val="Calibri"/>
        <family val="2"/>
        <scheme val="minor"/>
      </rPr>
      <t xml:space="preserve"> - Science, technology, engineering and math (STEM) school
</t>
    </r>
    <r>
      <rPr>
        <b/>
        <sz val="11"/>
        <color theme="1"/>
        <rFont val="Calibri"/>
        <family val="2"/>
        <scheme val="minor"/>
      </rPr>
      <t>02603</t>
    </r>
    <r>
      <rPr>
        <sz val="11"/>
        <color theme="1"/>
        <rFont val="Calibri"/>
        <family val="2"/>
        <scheme val="minor"/>
      </rPr>
      <t xml:space="preserve"> - Senior high school
</t>
    </r>
    <r>
      <rPr>
        <b/>
        <sz val="11"/>
        <color theme="1"/>
        <rFont val="Calibri"/>
        <family val="2"/>
        <scheme val="minor"/>
      </rPr>
      <t>02606</t>
    </r>
    <r>
      <rPr>
        <sz val="11"/>
        <color theme="1"/>
        <rFont val="Calibri"/>
        <family val="2"/>
        <scheme val="minor"/>
      </rPr>
      <t xml:space="preserve"> - Special education school
</t>
    </r>
    <r>
      <rPr>
        <b/>
        <sz val="11"/>
        <color theme="1"/>
        <rFont val="Calibri"/>
        <family val="2"/>
        <scheme val="minor"/>
      </rPr>
      <t>09999</t>
    </r>
    <r>
      <rPr>
        <sz val="11"/>
        <color theme="1"/>
        <rFont val="Calibri"/>
        <family val="2"/>
        <scheme val="minor"/>
      </rPr>
      <t xml:space="preserve"> - Other
</t>
    </r>
  </si>
  <si>
    <r>
      <t>02661</t>
    </r>
    <r>
      <rPr>
        <sz val="11"/>
        <color theme="1"/>
        <rFont val="Calibri"/>
        <family val="2"/>
        <scheme val="minor"/>
      </rPr>
      <t xml:space="preserve"> - Biology laboratory
</t>
    </r>
    <r>
      <rPr>
        <b/>
        <sz val="11"/>
        <color theme="1"/>
        <rFont val="Calibri"/>
        <family val="2"/>
        <scheme val="minor"/>
      </rPr>
      <t>02668</t>
    </r>
    <r>
      <rPr>
        <sz val="11"/>
        <color theme="1"/>
        <rFont val="Calibri"/>
        <family val="2"/>
        <scheme val="minor"/>
      </rPr>
      <t xml:space="preserve"> - Chemical storage room
</t>
    </r>
    <r>
      <rPr>
        <b/>
        <sz val="11"/>
        <color theme="1"/>
        <rFont val="Calibri"/>
        <family val="2"/>
        <scheme val="minor"/>
      </rPr>
      <t>02662</t>
    </r>
    <r>
      <rPr>
        <sz val="11"/>
        <color theme="1"/>
        <rFont val="Calibri"/>
        <family val="2"/>
        <scheme val="minor"/>
      </rPr>
      <t xml:space="preserve"> - Chemistry laboratory
</t>
    </r>
    <r>
      <rPr>
        <b/>
        <sz val="11"/>
        <color theme="1"/>
        <rFont val="Calibri"/>
        <family val="2"/>
        <scheme val="minor"/>
      </rPr>
      <t>02663</t>
    </r>
    <r>
      <rPr>
        <sz val="11"/>
        <color theme="1"/>
        <rFont val="Calibri"/>
        <family val="2"/>
        <scheme val="minor"/>
      </rPr>
      <t xml:space="preserve"> - Environmental science laboratory
</t>
    </r>
    <r>
      <rPr>
        <b/>
        <sz val="11"/>
        <color theme="1"/>
        <rFont val="Calibri"/>
        <family val="2"/>
        <scheme val="minor"/>
      </rPr>
      <t>02670</t>
    </r>
    <r>
      <rPr>
        <sz val="11"/>
        <color theme="1"/>
        <rFont val="Calibri"/>
        <family val="2"/>
        <scheme val="minor"/>
      </rPr>
      <t xml:space="preserve"> - General science laboratory
</t>
    </r>
    <r>
      <rPr>
        <b/>
        <sz val="11"/>
        <color theme="1"/>
        <rFont val="Calibri"/>
        <family val="2"/>
        <scheme val="minor"/>
      </rPr>
      <t>02669</t>
    </r>
    <r>
      <rPr>
        <sz val="11"/>
        <color theme="1"/>
        <rFont val="Calibri"/>
        <family val="2"/>
        <scheme val="minor"/>
      </rPr>
      <t xml:space="preserve"> - Miscellaneous storage room
</t>
    </r>
    <r>
      <rPr>
        <b/>
        <sz val="11"/>
        <color theme="1"/>
        <rFont val="Calibri"/>
        <family val="2"/>
        <scheme val="minor"/>
      </rPr>
      <t>02435</t>
    </r>
    <r>
      <rPr>
        <sz val="11"/>
        <color theme="1"/>
        <rFont val="Calibri"/>
        <family val="2"/>
        <scheme val="minor"/>
      </rPr>
      <t xml:space="preserve"> - Outdoor classroom
</t>
    </r>
    <r>
      <rPr>
        <b/>
        <sz val="11"/>
        <color theme="1"/>
        <rFont val="Calibri"/>
        <family val="2"/>
        <scheme val="minor"/>
      </rPr>
      <t>02664</t>
    </r>
    <r>
      <rPr>
        <sz val="11"/>
        <color theme="1"/>
        <rFont val="Calibri"/>
        <family val="2"/>
        <scheme val="minor"/>
      </rPr>
      <t xml:space="preserve"> - Physics laboratory
</t>
    </r>
    <r>
      <rPr>
        <b/>
        <sz val="11"/>
        <color theme="1"/>
        <rFont val="Calibri"/>
        <family val="2"/>
        <scheme val="minor"/>
      </rPr>
      <t>02665</t>
    </r>
    <r>
      <rPr>
        <sz val="11"/>
        <color theme="1"/>
        <rFont val="Calibri"/>
        <family val="2"/>
        <scheme val="minor"/>
      </rPr>
      <t xml:space="preserve"> - Planetarium
</t>
    </r>
    <r>
      <rPr>
        <b/>
        <sz val="11"/>
        <color theme="1"/>
        <rFont val="Calibri"/>
        <family val="2"/>
        <scheme val="minor"/>
      </rPr>
      <t>02666</t>
    </r>
    <r>
      <rPr>
        <sz val="11"/>
        <color theme="1"/>
        <rFont val="Calibri"/>
        <family val="2"/>
        <scheme val="minor"/>
      </rPr>
      <t xml:space="preserve"> - Prep room
</t>
    </r>
    <r>
      <rPr>
        <b/>
        <sz val="11"/>
        <color theme="1"/>
        <rFont val="Calibri"/>
        <family val="2"/>
        <scheme val="minor"/>
      </rPr>
      <t>02667</t>
    </r>
    <r>
      <rPr>
        <sz val="11"/>
        <color theme="1"/>
        <rFont val="Calibri"/>
        <family val="2"/>
        <scheme val="minor"/>
      </rPr>
      <t xml:space="preserve"> - Science lecture room
</t>
    </r>
    <r>
      <rPr>
        <b/>
        <sz val="11"/>
        <color theme="1"/>
        <rFont val="Calibri"/>
        <family val="2"/>
        <scheme val="minor"/>
      </rPr>
      <t>09999</t>
    </r>
    <r>
      <rPr>
        <sz val="11"/>
        <color theme="1"/>
        <rFont val="Calibri"/>
        <family val="2"/>
        <scheme val="minor"/>
      </rPr>
      <t xml:space="preserve"> - Other
</t>
    </r>
  </si>
  <si>
    <r>
      <t>02633</t>
    </r>
    <r>
      <rPr>
        <sz val="11"/>
        <color theme="1"/>
        <rFont val="Calibri"/>
        <family val="2"/>
        <scheme val="minor"/>
      </rPr>
      <t xml:space="preserve"> - Administration
</t>
    </r>
    <r>
      <rPr>
        <b/>
        <sz val="11"/>
        <color theme="1"/>
        <rFont val="Calibri"/>
        <family val="2"/>
        <scheme val="minor"/>
      </rPr>
      <t>02634</t>
    </r>
    <r>
      <rPr>
        <sz val="11"/>
        <color theme="1"/>
        <rFont val="Calibri"/>
        <family val="2"/>
        <scheme val="minor"/>
      </rPr>
      <t xml:space="preserve"> - Assembly
</t>
    </r>
    <r>
      <rPr>
        <b/>
        <sz val="11"/>
        <color theme="1"/>
        <rFont val="Calibri"/>
        <family val="2"/>
        <scheme val="minor"/>
      </rPr>
      <t>02631</t>
    </r>
    <r>
      <rPr>
        <sz val="11"/>
        <color theme="1"/>
        <rFont val="Calibri"/>
        <family val="2"/>
        <scheme val="minor"/>
      </rPr>
      <t xml:space="preserve"> - Athletic
</t>
    </r>
    <r>
      <rPr>
        <b/>
        <sz val="11"/>
        <color theme="1"/>
        <rFont val="Calibri"/>
        <family val="2"/>
        <scheme val="minor"/>
      </rPr>
      <t>02628</t>
    </r>
    <r>
      <rPr>
        <sz val="11"/>
        <color theme="1"/>
        <rFont val="Calibri"/>
        <family val="2"/>
        <scheme val="minor"/>
      </rPr>
      <t xml:space="preserve"> - Basic classroom
</t>
    </r>
    <r>
      <rPr>
        <b/>
        <sz val="11"/>
        <color theme="1"/>
        <rFont val="Calibri"/>
        <family val="2"/>
        <scheme val="minor"/>
      </rPr>
      <t>02635</t>
    </r>
    <r>
      <rPr>
        <sz val="11"/>
        <color theme="1"/>
        <rFont val="Calibri"/>
        <family val="2"/>
        <scheme val="minor"/>
      </rPr>
      <t xml:space="preserve"> - Corridors
</t>
    </r>
    <r>
      <rPr>
        <b/>
        <sz val="11"/>
        <color theme="1"/>
        <rFont val="Calibri"/>
        <family val="2"/>
        <scheme val="minor"/>
      </rPr>
      <t>02639</t>
    </r>
    <r>
      <rPr>
        <sz val="11"/>
        <color theme="1"/>
        <rFont val="Calibri"/>
        <family val="2"/>
        <scheme val="minor"/>
      </rPr>
      <t xml:space="preserve"> - Dormitory room
</t>
    </r>
    <r>
      <rPr>
        <b/>
        <sz val="11"/>
        <color theme="1"/>
        <rFont val="Calibri"/>
        <family val="2"/>
        <scheme val="minor"/>
      </rPr>
      <t>02638</t>
    </r>
    <r>
      <rPr>
        <sz val="11"/>
        <color theme="1"/>
        <rFont val="Calibri"/>
        <family val="2"/>
        <scheme val="minor"/>
      </rPr>
      <t xml:space="preserve"> - Food service
</t>
    </r>
    <r>
      <rPr>
        <b/>
        <sz val="11"/>
        <color theme="1"/>
        <rFont val="Calibri"/>
        <family val="2"/>
        <scheme val="minor"/>
      </rPr>
      <t>02630</t>
    </r>
    <r>
      <rPr>
        <sz val="11"/>
        <color theme="1"/>
        <rFont val="Calibri"/>
        <family val="2"/>
        <scheme val="minor"/>
      </rPr>
      <t xml:space="preserve"> - Library/media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02636</t>
    </r>
    <r>
      <rPr>
        <sz val="11"/>
        <color theme="1"/>
        <rFont val="Calibri"/>
        <family val="2"/>
        <scheme val="minor"/>
      </rPr>
      <t xml:space="preserve"> - Operational support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02629</t>
    </r>
    <r>
      <rPr>
        <sz val="11"/>
        <color theme="1"/>
        <rFont val="Calibri"/>
        <family val="2"/>
        <scheme val="minor"/>
      </rPr>
      <t xml:space="preserve"> - Specialty classroom
</t>
    </r>
    <r>
      <rPr>
        <b/>
        <sz val="11"/>
        <color theme="1"/>
        <rFont val="Calibri"/>
        <family val="2"/>
        <scheme val="minor"/>
      </rPr>
      <t>02637</t>
    </r>
    <r>
      <rPr>
        <sz val="11"/>
        <color theme="1"/>
        <rFont val="Calibri"/>
        <family val="2"/>
        <scheme val="minor"/>
      </rPr>
      <t xml:space="preserve"> - Storage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02632</t>
    </r>
    <r>
      <rPr>
        <sz val="11"/>
        <color theme="1"/>
        <rFont val="Calibri"/>
        <family val="2"/>
        <scheme val="minor"/>
      </rPr>
      <t xml:space="preserve"> - Student support
</t>
    </r>
    <r>
      <rPr>
        <b/>
        <sz val="11"/>
        <color theme="1"/>
        <rFont val="Calibri"/>
        <family val="2"/>
        <scheme val="minor"/>
      </rPr>
      <t>09999</t>
    </r>
    <r>
      <rPr>
        <sz val="11"/>
        <color theme="1"/>
        <rFont val="Calibri"/>
        <family val="2"/>
        <scheme val="minor"/>
      </rPr>
      <t xml:space="preserve"> - Other
</t>
    </r>
  </si>
  <si>
    <r>
      <t>02674</t>
    </r>
    <r>
      <rPr>
        <sz val="11"/>
        <color theme="1"/>
        <rFont val="Calibri"/>
        <family val="2"/>
        <scheme val="minor"/>
      </rPr>
      <t xml:space="preserve"> - IEP conference room
</t>
    </r>
    <r>
      <rPr>
        <b/>
        <sz val="11"/>
        <color theme="1"/>
        <rFont val="Calibri"/>
        <family val="2"/>
        <scheme val="minor"/>
      </rPr>
      <t>02675</t>
    </r>
    <r>
      <rPr>
        <sz val="11"/>
        <color theme="1"/>
        <rFont val="Calibri"/>
        <family val="2"/>
        <scheme val="minor"/>
      </rPr>
      <t xml:space="preserve"> - Itinerant staff room
</t>
    </r>
    <r>
      <rPr>
        <b/>
        <sz val="11"/>
        <color theme="1"/>
        <rFont val="Calibri"/>
        <family val="2"/>
        <scheme val="minor"/>
      </rPr>
      <t>02671</t>
    </r>
    <r>
      <rPr>
        <sz val="11"/>
        <color theme="1"/>
        <rFont val="Calibri"/>
        <family val="2"/>
        <scheme val="minor"/>
      </rPr>
      <t xml:space="preserve"> - Occupational therapy room
</t>
    </r>
    <r>
      <rPr>
        <b/>
        <sz val="11"/>
        <color theme="1"/>
        <rFont val="Calibri"/>
        <family val="2"/>
        <scheme val="minor"/>
      </rPr>
      <t>02673</t>
    </r>
    <r>
      <rPr>
        <sz val="11"/>
        <color theme="1"/>
        <rFont val="Calibri"/>
        <family val="2"/>
        <scheme val="minor"/>
      </rPr>
      <t xml:space="preserve"> - Physical therapy room
</t>
    </r>
    <r>
      <rPr>
        <b/>
        <sz val="11"/>
        <color theme="1"/>
        <rFont val="Calibri"/>
        <family val="2"/>
        <scheme val="minor"/>
      </rPr>
      <t>03107</t>
    </r>
    <r>
      <rPr>
        <sz val="11"/>
        <color theme="1"/>
        <rFont val="Calibri"/>
        <family val="2"/>
        <scheme val="minor"/>
      </rPr>
      <t xml:space="preserve"> - Resource room
</t>
    </r>
    <r>
      <rPr>
        <b/>
        <sz val="11"/>
        <color theme="1"/>
        <rFont val="Calibri"/>
        <family val="2"/>
        <scheme val="minor"/>
      </rPr>
      <t>02676</t>
    </r>
    <r>
      <rPr>
        <sz val="11"/>
        <color theme="1"/>
        <rFont val="Calibri"/>
        <family val="2"/>
        <scheme val="minor"/>
      </rPr>
      <t xml:space="preserve"> - Self-contained classroom
</t>
    </r>
    <r>
      <rPr>
        <b/>
        <sz val="11"/>
        <color theme="1"/>
        <rFont val="Calibri"/>
        <family val="2"/>
        <scheme val="minor"/>
      </rPr>
      <t>02672</t>
    </r>
    <r>
      <rPr>
        <sz val="11"/>
        <color theme="1"/>
        <rFont val="Calibri"/>
        <family val="2"/>
        <scheme val="minor"/>
      </rPr>
      <t xml:space="preserve"> - Speech and hearing room
</t>
    </r>
    <r>
      <rPr>
        <b/>
        <sz val="11"/>
        <color theme="1"/>
        <rFont val="Calibri"/>
        <family val="2"/>
        <scheme val="minor"/>
      </rPr>
      <t>09999</t>
    </r>
    <r>
      <rPr>
        <sz val="11"/>
        <color theme="1"/>
        <rFont val="Calibri"/>
        <family val="2"/>
        <scheme val="minor"/>
      </rPr>
      <t xml:space="preserve"> - Other
</t>
    </r>
  </si>
  <si>
    <r>
      <t>02738</t>
    </r>
    <r>
      <rPr>
        <sz val="11"/>
        <color theme="1"/>
        <rFont val="Calibri"/>
        <family val="2"/>
        <scheme val="minor"/>
      </rPr>
      <t xml:space="preserve"> - Career center
</t>
    </r>
    <r>
      <rPr>
        <b/>
        <sz val="11"/>
        <color theme="1"/>
        <rFont val="Calibri"/>
        <family val="2"/>
        <scheme val="minor"/>
      </rPr>
      <t>02739</t>
    </r>
    <r>
      <rPr>
        <sz val="11"/>
        <color theme="1"/>
        <rFont val="Calibri"/>
        <family val="2"/>
        <scheme val="minor"/>
      </rPr>
      <t xml:space="preserve"> - College center
</t>
    </r>
    <r>
      <rPr>
        <b/>
        <sz val="11"/>
        <color theme="1"/>
        <rFont val="Calibri"/>
        <family val="2"/>
        <scheme val="minor"/>
      </rPr>
      <t>02737</t>
    </r>
    <r>
      <rPr>
        <sz val="11"/>
        <color theme="1"/>
        <rFont val="Calibri"/>
        <family val="2"/>
        <scheme val="minor"/>
      </rPr>
      <t xml:space="preserve"> - Guidance/counseling room
</t>
    </r>
    <r>
      <rPr>
        <b/>
        <sz val="11"/>
        <color theme="1"/>
        <rFont val="Calibri"/>
        <family val="2"/>
        <scheme val="minor"/>
      </rPr>
      <t>02736</t>
    </r>
    <r>
      <rPr>
        <sz val="11"/>
        <color theme="1"/>
        <rFont val="Calibri"/>
        <family val="2"/>
        <scheme val="minor"/>
      </rPr>
      <t xml:space="preserve"> - Health room lavatory
</t>
    </r>
    <r>
      <rPr>
        <b/>
        <sz val="11"/>
        <color theme="1"/>
        <rFont val="Calibri"/>
        <family val="2"/>
        <scheme val="minor"/>
      </rPr>
      <t>02735</t>
    </r>
    <r>
      <rPr>
        <sz val="11"/>
        <color theme="1"/>
        <rFont val="Calibri"/>
        <family val="2"/>
        <scheme val="minor"/>
      </rPr>
      <t xml:space="preserve"> - Health suite
</t>
    </r>
    <r>
      <rPr>
        <b/>
        <sz val="11"/>
        <color theme="1"/>
        <rFont val="Calibri"/>
        <family val="2"/>
        <scheme val="minor"/>
      </rPr>
      <t>02733</t>
    </r>
    <r>
      <rPr>
        <sz val="11"/>
        <color theme="1"/>
        <rFont val="Calibri"/>
        <family val="2"/>
        <scheme val="minor"/>
      </rPr>
      <t xml:space="preserve"> - In-school suspension room
</t>
    </r>
    <r>
      <rPr>
        <b/>
        <sz val="11"/>
        <color theme="1"/>
        <rFont val="Calibri"/>
        <family val="2"/>
        <scheme val="minor"/>
      </rPr>
      <t>02740</t>
    </r>
    <r>
      <rPr>
        <sz val="11"/>
        <color theme="1"/>
        <rFont val="Calibri"/>
        <family val="2"/>
        <scheme val="minor"/>
      </rPr>
      <t xml:space="preserve"> - Internship center
</t>
    </r>
    <r>
      <rPr>
        <b/>
        <sz val="11"/>
        <color theme="1"/>
        <rFont val="Calibri"/>
        <family val="2"/>
        <scheme val="minor"/>
      </rPr>
      <t>02734</t>
    </r>
    <r>
      <rPr>
        <sz val="11"/>
        <color theme="1"/>
        <rFont val="Calibri"/>
        <family val="2"/>
        <scheme val="minor"/>
      </rPr>
      <t xml:space="preserve"> - Nurse's station
</t>
    </r>
    <r>
      <rPr>
        <b/>
        <sz val="11"/>
        <color theme="1"/>
        <rFont val="Calibri"/>
        <family val="2"/>
        <scheme val="minor"/>
      </rPr>
      <t>02741</t>
    </r>
    <r>
      <rPr>
        <sz val="11"/>
        <color theme="1"/>
        <rFont val="Calibri"/>
        <family val="2"/>
        <scheme val="minor"/>
      </rPr>
      <t xml:space="preserve"> - Student club space
</t>
    </r>
    <r>
      <rPr>
        <b/>
        <sz val="11"/>
        <color theme="1"/>
        <rFont val="Calibri"/>
        <family val="2"/>
        <scheme val="minor"/>
      </rPr>
      <t>09999</t>
    </r>
    <r>
      <rPr>
        <sz val="11"/>
        <color theme="1"/>
        <rFont val="Calibri"/>
        <family val="2"/>
        <scheme val="minor"/>
      </rPr>
      <t xml:space="preserve"> - Other
</t>
    </r>
  </si>
  <si>
    <r>
      <t>00103</t>
    </r>
    <r>
      <rPr>
        <sz val="11"/>
        <color theme="1"/>
        <rFont val="Calibri"/>
        <family val="2"/>
        <scheme val="minor"/>
      </rPr>
      <t xml:space="preserve"> - Administrative office
</t>
    </r>
    <r>
      <rPr>
        <b/>
        <sz val="11"/>
        <color theme="1"/>
        <rFont val="Calibri"/>
        <family val="2"/>
        <scheme val="minor"/>
      </rPr>
      <t>02792</t>
    </r>
    <r>
      <rPr>
        <sz val="11"/>
        <color theme="1"/>
        <rFont val="Calibri"/>
        <family val="2"/>
        <scheme val="minor"/>
      </rPr>
      <t xml:space="preserve"> - Cafeteria
</t>
    </r>
    <r>
      <rPr>
        <b/>
        <sz val="11"/>
        <color theme="1"/>
        <rFont val="Calibri"/>
        <family val="2"/>
        <scheme val="minor"/>
      </rPr>
      <t>03014</t>
    </r>
    <r>
      <rPr>
        <sz val="11"/>
        <color theme="1"/>
        <rFont val="Calibri"/>
        <family val="2"/>
        <scheme val="minor"/>
      </rPr>
      <t xml:space="preserve"> - Classroom
</t>
    </r>
    <r>
      <rPr>
        <b/>
        <sz val="11"/>
        <color theme="1"/>
        <rFont val="Calibri"/>
        <family val="2"/>
        <scheme val="minor"/>
      </rPr>
      <t>00309</t>
    </r>
    <r>
      <rPr>
        <sz val="11"/>
        <color theme="1"/>
        <rFont val="Calibri"/>
        <family val="2"/>
        <scheme val="minor"/>
      </rPr>
      <t xml:space="preserve"> - Occupational therapy
</t>
    </r>
    <r>
      <rPr>
        <b/>
        <sz val="11"/>
        <color theme="1"/>
        <rFont val="Calibri"/>
        <family val="2"/>
        <scheme val="minor"/>
      </rPr>
      <t>00559</t>
    </r>
    <r>
      <rPr>
        <sz val="11"/>
        <color theme="1"/>
        <rFont val="Calibri"/>
        <family val="2"/>
        <scheme val="minor"/>
      </rPr>
      <t xml:space="preserve"> - Physical education
</t>
    </r>
    <r>
      <rPr>
        <b/>
        <sz val="11"/>
        <color theme="1"/>
        <rFont val="Calibri"/>
        <family val="2"/>
        <scheme val="minor"/>
      </rPr>
      <t>00313</t>
    </r>
    <r>
      <rPr>
        <sz val="11"/>
        <color theme="1"/>
        <rFont val="Calibri"/>
        <family val="2"/>
        <scheme val="minor"/>
      </rPr>
      <t xml:space="preserve"> - Physical therapy
</t>
    </r>
  </si>
  <si>
    <r>
      <t>13566</t>
    </r>
    <r>
      <rPr>
        <sz val="11"/>
        <color theme="1"/>
        <rFont val="Calibri"/>
        <family val="2"/>
        <scheme val="minor"/>
      </rPr>
      <t xml:space="preserve"> - Athletic field - Artificial
</t>
    </r>
    <r>
      <rPr>
        <b/>
        <sz val="11"/>
        <color theme="1"/>
        <rFont val="Calibri"/>
        <family val="2"/>
        <scheme val="minor"/>
      </rPr>
      <t>02434</t>
    </r>
    <r>
      <rPr>
        <sz val="11"/>
        <color theme="1"/>
        <rFont val="Calibri"/>
        <family val="2"/>
        <scheme val="minor"/>
      </rPr>
      <t xml:space="preserve"> - Athletic field - Natural
</t>
    </r>
    <r>
      <rPr>
        <b/>
        <sz val="11"/>
        <color theme="1"/>
        <rFont val="Calibri"/>
        <family val="2"/>
        <scheme val="minor"/>
      </rPr>
      <t>02438</t>
    </r>
    <r>
      <rPr>
        <sz val="11"/>
        <color theme="1"/>
        <rFont val="Calibri"/>
        <family val="2"/>
        <scheme val="minor"/>
      </rPr>
      <t xml:space="preserve"> - Drop-off/driveway
</t>
    </r>
    <r>
      <rPr>
        <b/>
        <sz val="11"/>
        <color theme="1"/>
        <rFont val="Calibri"/>
        <family val="2"/>
        <scheme val="minor"/>
      </rPr>
      <t>02526</t>
    </r>
    <r>
      <rPr>
        <sz val="11"/>
        <color theme="1"/>
        <rFont val="Calibri"/>
        <family val="2"/>
        <scheme val="minor"/>
      </rPr>
      <t xml:space="preserve"> - Fencing enclosures
</t>
    </r>
    <r>
      <rPr>
        <b/>
        <sz val="11"/>
        <color theme="1"/>
        <rFont val="Calibri"/>
        <family val="2"/>
        <scheme val="minor"/>
      </rPr>
      <t>02437</t>
    </r>
    <r>
      <rPr>
        <sz val="11"/>
        <color theme="1"/>
        <rFont val="Calibri"/>
        <family val="2"/>
        <scheme val="minor"/>
      </rPr>
      <t xml:space="preserve"> - Hardscape game area
</t>
    </r>
    <r>
      <rPr>
        <b/>
        <sz val="11"/>
        <color theme="1"/>
        <rFont val="Calibri"/>
        <family val="2"/>
        <scheme val="minor"/>
      </rPr>
      <t>02436</t>
    </r>
    <r>
      <rPr>
        <sz val="11"/>
        <color theme="1"/>
        <rFont val="Calibri"/>
        <family val="2"/>
        <scheme val="minor"/>
      </rPr>
      <t xml:space="preserve"> - Hardscape play area
</t>
    </r>
    <r>
      <rPr>
        <b/>
        <sz val="11"/>
        <color theme="1"/>
        <rFont val="Calibri"/>
        <family val="2"/>
        <scheme val="minor"/>
      </rPr>
      <t>02443</t>
    </r>
    <r>
      <rPr>
        <sz val="11"/>
        <color theme="1"/>
        <rFont val="Calibri"/>
        <family val="2"/>
        <scheme val="minor"/>
      </rPr>
      <t xml:space="preserve"> - Landscaping
</t>
    </r>
    <r>
      <rPr>
        <b/>
        <sz val="11"/>
        <color theme="1"/>
        <rFont val="Calibri"/>
        <family val="2"/>
        <scheme val="minor"/>
      </rPr>
      <t>02524</t>
    </r>
    <r>
      <rPr>
        <sz val="11"/>
        <color theme="1"/>
        <rFont val="Calibri"/>
        <family val="2"/>
        <scheme val="minor"/>
      </rPr>
      <t xml:space="preserve"> - Parking area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02440</t>
    </r>
    <r>
      <rPr>
        <sz val="11"/>
        <color theme="1"/>
        <rFont val="Calibri"/>
        <family val="2"/>
        <scheme val="minor"/>
      </rPr>
      <t xml:space="preserve"> - Retaining walls
</t>
    </r>
    <r>
      <rPr>
        <b/>
        <sz val="11"/>
        <color theme="1"/>
        <rFont val="Calibri"/>
        <family val="2"/>
        <scheme val="minor"/>
      </rPr>
      <t>13567</t>
    </r>
    <r>
      <rPr>
        <sz val="11"/>
        <color theme="1"/>
        <rFont val="Calibri"/>
        <family val="2"/>
        <scheme val="minor"/>
      </rPr>
      <t xml:space="preserve"> - Semi-permeable game area
</t>
    </r>
    <r>
      <rPr>
        <b/>
        <sz val="11"/>
        <color theme="1"/>
        <rFont val="Calibri"/>
        <family val="2"/>
        <scheme val="minor"/>
      </rPr>
      <t>02439</t>
    </r>
    <r>
      <rPr>
        <sz val="11"/>
        <color theme="1"/>
        <rFont val="Calibri"/>
        <family val="2"/>
        <scheme val="minor"/>
      </rPr>
      <t xml:space="preserve"> - Septic fields
</t>
    </r>
    <r>
      <rPr>
        <b/>
        <sz val="11"/>
        <color theme="1"/>
        <rFont val="Calibri"/>
        <family val="2"/>
        <scheme val="minor"/>
      </rPr>
      <t>02441</t>
    </r>
    <r>
      <rPr>
        <sz val="11"/>
        <color theme="1"/>
        <rFont val="Calibri"/>
        <family val="2"/>
        <scheme val="minor"/>
      </rPr>
      <t xml:space="preserve"> - Sidewalks
</t>
    </r>
    <r>
      <rPr>
        <b/>
        <sz val="11"/>
        <color theme="1"/>
        <rFont val="Calibri"/>
        <family val="2"/>
        <scheme val="minor"/>
      </rPr>
      <t>13568</t>
    </r>
    <r>
      <rPr>
        <sz val="11"/>
        <color theme="1"/>
        <rFont val="Calibri"/>
        <family val="2"/>
        <scheme val="minor"/>
      </rPr>
      <t xml:space="preserve"> - Softscape game area
</t>
    </r>
    <r>
      <rPr>
        <b/>
        <sz val="11"/>
        <color theme="1"/>
        <rFont val="Calibri"/>
        <family val="2"/>
        <scheme val="minor"/>
      </rPr>
      <t>13569</t>
    </r>
    <r>
      <rPr>
        <sz val="11"/>
        <color theme="1"/>
        <rFont val="Calibri"/>
        <family val="2"/>
        <scheme val="minor"/>
      </rPr>
      <t xml:space="preserve"> - Softscape play area
</t>
    </r>
    <r>
      <rPr>
        <b/>
        <sz val="11"/>
        <color theme="1"/>
        <rFont val="Calibri"/>
        <family val="2"/>
        <scheme val="minor"/>
      </rPr>
      <t>02442</t>
    </r>
    <r>
      <rPr>
        <sz val="11"/>
        <color theme="1"/>
        <rFont val="Calibri"/>
        <family val="2"/>
        <scheme val="minor"/>
      </rPr>
      <t xml:space="preserve"> - Stairs and ramps
</t>
    </r>
    <r>
      <rPr>
        <b/>
        <sz val="11"/>
        <color theme="1"/>
        <rFont val="Calibri"/>
        <family val="2"/>
        <scheme val="minor"/>
      </rPr>
      <t>02444</t>
    </r>
    <r>
      <rPr>
        <sz val="11"/>
        <color theme="1"/>
        <rFont val="Calibri"/>
        <family val="2"/>
        <scheme val="minor"/>
      </rPr>
      <t xml:space="preserve"> - Water filtration system
</t>
    </r>
  </si>
  <si>
    <t>Utilization</t>
  </si>
  <si>
    <r>
      <t>13700</t>
    </r>
    <r>
      <rPr>
        <sz val="11"/>
        <color theme="1"/>
        <rFont val="Calibri"/>
        <family val="2"/>
        <scheme val="minor"/>
      </rPr>
      <t xml:space="preserve"> - Administration building
</t>
    </r>
    <r>
      <rPr>
        <b/>
        <sz val="11"/>
        <color theme="1"/>
        <rFont val="Calibri"/>
        <family val="2"/>
        <scheme val="minor"/>
      </rPr>
      <t>13699</t>
    </r>
    <r>
      <rPr>
        <sz val="11"/>
        <color theme="1"/>
        <rFont val="Calibri"/>
        <family val="2"/>
        <scheme val="minor"/>
      </rPr>
      <t xml:space="preserve"> - Alternative school
</t>
    </r>
    <r>
      <rPr>
        <b/>
        <sz val="11"/>
        <color theme="1"/>
        <rFont val="Calibri"/>
        <family val="2"/>
        <scheme val="minor"/>
      </rPr>
      <t>02621</t>
    </r>
    <r>
      <rPr>
        <sz val="11"/>
        <color theme="1"/>
        <rFont val="Calibri"/>
        <family val="2"/>
        <scheme val="minor"/>
      </rPr>
      <t xml:space="preserve"> - Assembly building
</t>
    </r>
    <r>
      <rPr>
        <b/>
        <sz val="11"/>
        <color theme="1"/>
        <rFont val="Calibri"/>
        <family val="2"/>
        <scheme val="minor"/>
      </rPr>
      <t>02614</t>
    </r>
    <r>
      <rPr>
        <sz val="11"/>
        <color theme="1"/>
        <rFont val="Calibri"/>
        <family val="2"/>
        <scheme val="minor"/>
      </rPr>
      <t xml:space="preserve"> - Central kitchen building
</t>
    </r>
    <r>
      <rPr>
        <b/>
        <sz val="11"/>
        <color theme="1"/>
        <rFont val="Calibri"/>
        <family val="2"/>
        <scheme val="minor"/>
      </rPr>
      <t>02803</t>
    </r>
    <r>
      <rPr>
        <sz val="11"/>
        <color theme="1"/>
        <rFont val="Calibri"/>
        <family val="2"/>
        <scheme val="minor"/>
      </rPr>
      <t xml:space="preserve"> - Chapel building
</t>
    </r>
    <r>
      <rPr>
        <b/>
        <sz val="11"/>
        <color theme="1"/>
        <rFont val="Calibri"/>
        <family val="2"/>
        <scheme val="minor"/>
      </rPr>
      <t>02619</t>
    </r>
    <r>
      <rPr>
        <sz val="11"/>
        <color theme="1"/>
        <rFont val="Calibri"/>
        <family val="2"/>
        <scheme val="minor"/>
      </rPr>
      <t xml:space="preserve"> - Dormitory building
</t>
    </r>
    <r>
      <rPr>
        <b/>
        <sz val="11"/>
        <color theme="1"/>
        <rFont val="Calibri"/>
        <family val="2"/>
        <scheme val="minor"/>
      </rPr>
      <t>02616</t>
    </r>
    <r>
      <rPr>
        <sz val="11"/>
        <color theme="1"/>
        <rFont val="Calibri"/>
        <family val="2"/>
        <scheme val="minor"/>
      </rPr>
      <t xml:space="preserve"> - Field house building
</t>
    </r>
    <r>
      <rPr>
        <b/>
        <sz val="11"/>
        <color theme="1"/>
        <rFont val="Calibri"/>
        <family val="2"/>
        <scheme val="minor"/>
      </rPr>
      <t>02613</t>
    </r>
    <r>
      <rPr>
        <sz val="11"/>
        <color theme="1"/>
        <rFont val="Calibri"/>
        <family val="2"/>
        <scheme val="minor"/>
      </rPr>
      <t xml:space="preserve"> - Garage building
</t>
    </r>
    <r>
      <rPr>
        <b/>
        <sz val="11"/>
        <color theme="1"/>
        <rFont val="Calibri"/>
        <family val="2"/>
        <scheme val="minor"/>
      </rPr>
      <t>13698</t>
    </r>
    <r>
      <rPr>
        <sz val="11"/>
        <color theme="1"/>
        <rFont val="Calibri"/>
        <family val="2"/>
        <scheme val="minor"/>
      </rPr>
      <t xml:space="preserve"> - Grade level school
</t>
    </r>
    <r>
      <rPr>
        <b/>
        <sz val="11"/>
        <color theme="1"/>
        <rFont val="Calibri"/>
        <family val="2"/>
        <scheme val="minor"/>
      </rPr>
      <t>02620</t>
    </r>
    <r>
      <rPr>
        <sz val="11"/>
        <color theme="1"/>
        <rFont val="Calibri"/>
        <family val="2"/>
        <scheme val="minor"/>
      </rPr>
      <t xml:space="preserve"> - Gymnasium building
</t>
    </r>
    <r>
      <rPr>
        <b/>
        <sz val="11"/>
        <color theme="1"/>
        <rFont val="Calibri"/>
        <family val="2"/>
        <scheme val="minor"/>
      </rPr>
      <t>02806</t>
    </r>
    <r>
      <rPr>
        <sz val="11"/>
        <color theme="1"/>
        <rFont val="Calibri"/>
        <family val="2"/>
        <scheme val="minor"/>
      </rPr>
      <t xml:space="preserve"> - Holding school
</t>
    </r>
    <r>
      <rPr>
        <b/>
        <sz val="11"/>
        <color theme="1"/>
        <rFont val="Calibri"/>
        <family val="2"/>
        <scheme val="minor"/>
      </rPr>
      <t>02804</t>
    </r>
    <r>
      <rPr>
        <sz val="11"/>
        <color theme="1"/>
        <rFont val="Calibri"/>
        <family val="2"/>
        <scheme val="minor"/>
      </rPr>
      <t xml:space="preserve"> - Investment
</t>
    </r>
    <r>
      <rPr>
        <b/>
        <sz val="11"/>
        <color theme="1"/>
        <rFont val="Calibri"/>
        <family val="2"/>
        <scheme val="minor"/>
      </rPr>
      <t>02617</t>
    </r>
    <r>
      <rPr>
        <sz val="11"/>
        <color theme="1"/>
        <rFont val="Calibri"/>
        <family val="2"/>
        <scheme val="minor"/>
      </rPr>
      <t xml:space="preserve"> - Media production center building
</t>
    </r>
    <r>
      <rPr>
        <b/>
        <sz val="11"/>
        <color theme="1"/>
        <rFont val="Calibri"/>
        <family val="2"/>
        <scheme val="minor"/>
      </rPr>
      <t>02618</t>
    </r>
    <r>
      <rPr>
        <sz val="11"/>
        <color theme="1"/>
        <rFont val="Calibri"/>
        <family val="2"/>
        <scheme val="minor"/>
      </rPr>
      <t xml:space="preserve"> - Natatorium
</t>
    </r>
    <r>
      <rPr>
        <b/>
        <sz val="11"/>
        <color theme="1"/>
        <rFont val="Calibri"/>
        <family val="2"/>
        <scheme val="minor"/>
      </rPr>
      <t>02805</t>
    </r>
    <r>
      <rPr>
        <sz val="11"/>
        <color theme="1"/>
        <rFont val="Calibri"/>
        <family val="2"/>
        <scheme val="minor"/>
      </rPr>
      <t xml:space="preserve"> - Not in use
</t>
    </r>
    <r>
      <rPr>
        <b/>
        <sz val="11"/>
        <color theme="1"/>
        <rFont val="Calibri"/>
        <family val="2"/>
        <scheme val="minor"/>
      </rPr>
      <t>02611</t>
    </r>
    <r>
      <rPr>
        <sz val="11"/>
        <color theme="1"/>
        <rFont val="Calibri"/>
        <family val="2"/>
        <scheme val="minor"/>
      </rPr>
      <t xml:space="preserve"> - Office building
</t>
    </r>
    <r>
      <rPr>
        <b/>
        <sz val="11"/>
        <color theme="1"/>
        <rFont val="Calibri"/>
        <family val="2"/>
        <scheme val="minor"/>
      </rPr>
      <t>02802</t>
    </r>
    <r>
      <rPr>
        <sz val="11"/>
        <color theme="1"/>
        <rFont val="Calibri"/>
        <family val="2"/>
        <scheme val="minor"/>
      </rPr>
      <t xml:space="preserve"> - Operations building
</t>
    </r>
    <r>
      <rPr>
        <b/>
        <sz val="11"/>
        <color theme="1"/>
        <rFont val="Calibri"/>
        <family val="2"/>
        <scheme val="minor"/>
      </rPr>
      <t>03106</t>
    </r>
    <r>
      <rPr>
        <sz val="11"/>
        <color theme="1"/>
        <rFont val="Calibri"/>
        <family val="2"/>
        <scheme val="minor"/>
      </rPr>
      <t xml:space="preserve"> - School building
</t>
    </r>
    <r>
      <rPr>
        <b/>
        <sz val="11"/>
        <color theme="1"/>
        <rFont val="Calibri"/>
        <family val="2"/>
        <scheme val="minor"/>
      </rPr>
      <t>02610</t>
    </r>
    <r>
      <rPr>
        <sz val="11"/>
        <color theme="1"/>
        <rFont val="Calibri"/>
        <family val="2"/>
        <scheme val="minor"/>
      </rPr>
      <t xml:space="preserve"> - Service center building
</t>
    </r>
    <r>
      <rPr>
        <b/>
        <sz val="11"/>
        <color theme="1"/>
        <rFont val="Calibri"/>
        <family val="2"/>
        <scheme val="minor"/>
      </rPr>
      <t>02615</t>
    </r>
    <r>
      <rPr>
        <sz val="11"/>
        <color theme="1"/>
        <rFont val="Calibri"/>
        <family val="2"/>
        <scheme val="minor"/>
      </rPr>
      <t xml:space="preserve"> - Stadium building
</t>
    </r>
    <r>
      <rPr>
        <b/>
        <sz val="11"/>
        <color theme="1"/>
        <rFont val="Calibri"/>
        <family val="2"/>
        <scheme val="minor"/>
      </rPr>
      <t>02612</t>
    </r>
    <r>
      <rPr>
        <sz val="11"/>
        <color theme="1"/>
        <rFont val="Calibri"/>
        <family val="2"/>
        <scheme val="minor"/>
      </rPr>
      <t xml:space="preserve"> - Warehouse building
</t>
    </r>
    <r>
      <rPr>
        <b/>
        <sz val="11"/>
        <color theme="1"/>
        <rFont val="Calibri"/>
        <family val="2"/>
        <scheme val="minor"/>
      </rPr>
      <t>09999</t>
    </r>
    <r>
      <rPr>
        <sz val="11"/>
        <color theme="1"/>
        <rFont val="Calibri"/>
        <family val="2"/>
        <scheme val="minor"/>
      </rPr>
      <t xml:space="preserve"> - Other
</t>
    </r>
  </si>
  <si>
    <r>
      <t>02633</t>
    </r>
    <r>
      <rPr>
        <sz val="11"/>
        <color theme="1"/>
        <rFont val="Calibri"/>
        <family val="2"/>
        <scheme val="minor"/>
      </rPr>
      <t xml:space="preserve"> - Administration
</t>
    </r>
    <r>
      <rPr>
        <b/>
        <sz val="11"/>
        <color theme="1"/>
        <rFont val="Calibri"/>
        <family val="2"/>
        <scheme val="minor"/>
      </rPr>
      <t>02634</t>
    </r>
    <r>
      <rPr>
        <sz val="11"/>
        <color theme="1"/>
        <rFont val="Calibri"/>
        <family val="2"/>
        <scheme val="minor"/>
      </rPr>
      <t xml:space="preserve"> - Assembly
</t>
    </r>
    <r>
      <rPr>
        <b/>
        <sz val="11"/>
        <color theme="1"/>
        <rFont val="Calibri"/>
        <family val="2"/>
        <scheme val="minor"/>
      </rPr>
      <t>02631</t>
    </r>
    <r>
      <rPr>
        <sz val="11"/>
        <color theme="1"/>
        <rFont val="Calibri"/>
        <family val="2"/>
        <scheme val="minor"/>
      </rPr>
      <t xml:space="preserve"> - Athletic
</t>
    </r>
    <r>
      <rPr>
        <b/>
        <sz val="11"/>
        <color theme="1"/>
        <rFont val="Calibri"/>
        <family val="2"/>
        <scheme val="minor"/>
      </rPr>
      <t>02628</t>
    </r>
    <r>
      <rPr>
        <sz val="11"/>
        <color theme="1"/>
        <rFont val="Calibri"/>
        <family val="2"/>
        <scheme val="minor"/>
      </rPr>
      <t xml:space="preserve"> - Basic classroom
</t>
    </r>
    <r>
      <rPr>
        <b/>
        <sz val="11"/>
        <color theme="1"/>
        <rFont val="Calibri"/>
        <family val="2"/>
        <scheme val="minor"/>
      </rPr>
      <t>02635</t>
    </r>
    <r>
      <rPr>
        <sz val="11"/>
        <color theme="1"/>
        <rFont val="Calibri"/>
        <family val="2"/>
        <scheme val="minor"/>
      </rPr>
      <t xml:space="preserve"> - Corridors
</t>
    </r>
    <r>
      <rPr>
        <b/>
        <sz val="11"/>
        <color theme="1"/>
        <rFont val="Calibri"/>
        <family val="2"/>
        <scheme val="minor"/>
      </rPr>
      <t>02639</t>
    </r>
    <r>
      <rPr>
        <sz val="11"/>
        <color theme="1"/>
        <rFont val="Calibri"/>
        <family val="2"/>
        <scheme val="minor"/>
      </rPr>
      <t xml:space="preserve"> - Dormitory room
</t>
    </r>
    <r>
      <rPr>
        <b/>
        <sz val="11"/>
        <color theme="1"/>
        <rFont val="Calibri"/>
        <family val="2"/>
        <scheme val="minor"/>
      </rPr>
      <t>02638</t>
    </r>
    <r>
      <rPr>
        <sz val="11"/>
        <color theme="1"/>
        <rFont val="Calibri"/>
        <family val="2"/>
        <scheme val="minor"/>
      </rPr>
      <t xml:space="preserve"> - Food service
</t>
    </r>
    <r>
      <rPr>
        <b/>
        <sz val="11"/>
        <color theme="1"/>
        <rFont val="Calibri"/>
        <family val="2"/>
        <scheme val="minor"/>
      </rPr>
      <t>02630</t>
    </r>
    <r>
      <rPr>
        <sz val="11"/>
        <color theme="1"/>
        <rFont val="Calibri"/>
        <family val="2"/>
        <scheme val="minor"/>
      </rPr>
      <t xml:space="preserve"> - Library/media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02636</t>
    </r>
    <r>
      <rPr>
        <sz val="11"/>
        <color theme="1"/>
        <rFont val="Calibri"/>
        <family val="2"/>
        <scheme val="minor"/>
      </rPr>
      <t xml:space="preserve"> - Operational support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02629</t>
    </r>
    <r>
      <rPr>
        <sz val="11"/>
        <color theme="1"/>
        <rFont val="Calibri"/>
        <family val="2"/>
        <scheme val="minor"/>
      </rPr>
      <t xml:space="preserve"> - Specialty classroom
</t>
    </r>
    <r>
      <rPr>
        <b/>
        <sz val="11"/>
        <color theme="1"/>
        <rFont val="Calibri"/>
        <family val="2"/>
        <scheme val="minor"/>
      </rPr>
      <t>02637</t>
    </r>
    <r>
      <rPr>
        <sz val="11"/>
        <color theme="1"/>
        <rFont val="Calibri"/>
        <family val="2"/>
        <scheme val="minor"/>
      </rPr>
      <t xml:space="preserve"> - Storage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02632</t>
    </r>
    <r>
      <rPr>
        <sz val="11"/>
        <color theme="1"/>
        <rFont val="Calibri"/>
        <family val="2"/>
        <scheme val="minor"/>
      </rPr>
      <t xml:space="preserve"> - Student support
</t>
    </r>
    <r>
      <rPr>
        <b/>
        <sz val="11"/>
        <color theme="1"/>
        <rFont val="Calibri"/>
        <family val="2"/>
        <scheme val="minor"/>
      </rPr>
      <t>09999</t>
    </r>
    <r>
      <rPr>
        <sz val="11"/>
        <color theme="1"/>
        <rFont val="Calibri"/>
        <family val="2"/>
        <scheme val="minor"/>
      </rPr>
      <t xml:space="preserve"> - Other
</t>
    </r>
  </si>
  <si>
    <r>
      <t>02764</t>
    </r>
    <r>
      <rPr>
        <sz val="11"/>
        <color theme="1"/>
        <rFont val="Calibri"/>
        <family val="2"/>
        <scheme val="minor"/>
      </rPr>
      <t xml:space="preserve"> - Before- and after-school care
</t>
    </r>
    <r>
      <rPr>
        <b/>
        <sz val="11"/>
        <color theme="1"/>
        <rFont val="Calibri"/>
        <family val="2"/>
        <scheme val="minor"/>
      </rPr>
      <t>02760</t>
    </r>
    <r>
      <rPr>
        <sz val="11"/>
        <color theme="1"/>
        <rFont val="Calibri"/>
        <family val="2"/>
        <scheme val="minor"/>
      </rPr>
      <t xml:space="preserve"> - Before- and after-school office
</t>
    </r>
    <r>
      <rPr>
        <b/>
        <sz val="11"/>
        <color theme="1"/>
        <rFont val="Calibri"/>
        <family val="2"/>
        <scheme val="minor"/>
      </rPr>
      <t>02761</t>
    </r>
    <r>
      <rPr>
        <sz val="11"/>
        <color theme="1"/>
        <rFont val="Calibri"/>
        <family val="2"/>
        <scheme val="minor"/>
      </rPr>
      <t xml:space="preserve"> - Child care and development space
</t>
    </r>
    <r>
      <rPr>
        <b/>
        <sz val="11"/>
        <color theme="1"/>
        <rFont val="Calibri"/>
        <family val="2"/>
        <scheme val="minor"/>
      </rPr>
      <t>02765</t>
    </r>
    <r>
      <rPr>
        <sz val="11"/>
        <color theme="1"/>
        <rFont val="Calibri"/>
        <family val="2"/>
        <scheme val="minor"/>
      </rPr>
      <t xml:space="preserve"> - Community room
</t>
    </r>
    <r>
      <rPr>
        <b/>
        <sz val="11"/>
        <color theme="1"/>
        <rFont val="Calibri"/>
        <family val="2"/>
        <scheme val="minor"/>
      </rPr>
      <t>02767</t>
    </r>
    <r>
      <rPr>
        <sz val="11"/>
        <color theme="1"/>
        <rFont val="Calibri"/>
        <family val="2"/>
        <scheme val="minor"/>
      </rPr>
      <t xml:space="preserve"> - Family resource center
</t>
    </r>
    <r>
      <rPr>
        <b/>
        <sz val="11"/>
        <color theme="1"/>
        <rFont val="Calibri"/>
        <family val="2"/>
        <scheme val="minor"/>
      </rPr>
      <t>02766</t>
    </r>
    <r>
      <rPr>
        <sz val="11"/>
        <color theme="1"/>
        <rFont val="Calibri"/>
        <family val="2"/>
        <scheme val="minor"/>
      </rPr>
      <t xml:space="preserve"> - Full-service health clinic
</t>
    </r>
    <r>
      <rPr>
        <b/>
        <sz val="11"/>
        <color theme="1"/>
        <rFont val="Calibri"/>
        <family val="2"/>
        <scheme val="minor"/>
      </rPr>
      <t>02987</t>
    </r>
    <r>
      <rPr>
        <sz val="11"/>
        <color theme="1"/>
        <rFont val="Calibri"/>
        <family val="2"/>
        <scheme val="minor"/>
      </rPr>
      <t xml:space="preserve"> - Head Start space
</t>
    </r>
    <r>
      <rPr>
        <b/>
        <sz val="11"/>
        <color theme="1"/>
        <rFont val="Calibri"/>
        <family val="2"/>
        <scheme val="minor"/>
      </rPr>
      <t>02762</t>
    </r>
    <r>
      <rPr>
        <sz val="11"/>
        <color theme="1"/>
        <rFont val="Calibri"/>
        <family val="2"/>
        <scheme val="minor"/>
      </rPr>
      <t xml:space="preserve"> - Health clinic
</t>
    </r>
    <r>
      <rPr>
        <b/>
        <sz val="11"/>
        <color theme="1"/>
        <rFont val="Calibri"/>
        <family val="2"/>
        <scheme val="minor"/>
      </rPr>
      <t>02763</t>
    </r>
    <r>
      <rPr>
        <sz val="11"/>
        <color theme="1"/>
        <rFont val="Calibri"/>
        <family val="2"/>
        <scheme val="minor"/>
      </rPr>
      <t xml:space="preserve"> - Parent room
</t>
    </r>
    <r>
      <rPr>
        <b/>
        <sz val="11"/>
        <color theme="1"/>
        <rFont val="Calibri"/>
        <family val="2"/>
        <scheme val="minor"/>
      </rPr>
      <t>09999</t>
    </r>
    <r>
      <rPr>
        <sz val="11"/>
        <color theme="1"/>
        <rFont val="Calibri"/>
        <family val="2"/>
        <scheme val="minor"/>
      </rPr>
      <t xml:space="preserve"> - Other
</t>
    </r>
  </si>
  <si>
    <r>
      <t>02811</t>
    </r>
    <r>
      <rPr>
        <sz val="11"/>
        <color theme="1"/>
        <rFont val="Calibri"/>
        <family val="2"/>
        <scheme val="minor"/>
      </rPr>
      <t xml:space="preserve"> - Instructional space
</t>
    </r>
    <r>
      <rPr>
        <b/>
        <sz val="11"/>
        <color theme="1"/>
        <rFont val="Calibri"/>
        <family val="2"/>
        <scheme val="minor"/>
      </rPr>
      <t>02812</t>
    </r>
    <r>
      <rPr>
        <sz val="11"/>
        <color theme="1"/>
        <rFont val="Calibri"/>
        <family val="2"/>
        <scheme val="minor"/>
      </rPr>
      <t xml:space="preserve"> - Noninstructional space
</t>
    </r>
  </si>
  <si>
    <r>
      <t>13710</t>
    </r>
    <r>
      <rPr>
        <sz val="11"/>
        <color theme="1"/>
        <rFont val="Calibri"/>
        <family val="2"/>
        <scheme val="minor"/>
      </rPr>
      <t xml:space="preserve"> - Increase programs and services for students
</t>
    </r>
    <r>
      <rPr>
        <b/>
        <sz val="11"/>
        <color theme="1"/>
        <rFont val="Calibri"/>
        <family val="2"/>
        <scheme val="minor"/>
      </rPr>
      <t>13711</t>
    </r>
    <r>
      <rPr>
        <sz val="11"/>
        <color theme="1"/>
        <rFont val="Calibri"/>
        <family val="2"/>
        <scheme val="minor"/>
      </rPr>
      <t xml:space="preserve"> - Increase programs and services for the community
</t>
    </r>
    <r>
      <rPr>
        <b/>
        <sz val="11"/>
        <color theme="1"/>
        <rFont val="Calibri"/>
        <family val="2"/>
        <scheme val="minor"/>
      </rPr>
      <t>13712</t>
    </r>
    <r>
      <rPr>
        <sz val="11"/>
        <color theme="1"/>
        <rFont val="Calibri"/>
        <family val="2"/>
        <scheme val="minor"/>
      </rPr>
      <t xml:space="preserve"> - Increase utilization of under used space
</t>
    </r>
    <r>
      <rPr>
        <b/>
        <sz val="11"/>
        <color theme="1"/>
        <rFont val="Calibri"/>
        <family val="2"/>
        <scheme val="minor"/>
      </rPr>
      <t>13709</t>
    </r>
    <r>
      <rPr>
        <sz val="11"/>
        <color theme="1"/>
        <rFont val="Calibri"/>
        <family val="2"/>
        <scheme val="minor"/>
      </rPr>
      <t xml:space="preserve"> - Raise revenue
</t>
    </r>
  </si>
  <si>
    <r>
      <t>13694</t>
    </r>
    <r>
      <rPr>
        <sz val="11"/>
        <color theme="1"/>
        <rFont val="Calibri"/>
        <family val="2"/>
        <scheme val="minor"/>
      </rPr>
      <t xml:space="preserve"> - Drop-in use
</t>
    </r>
    <r>
      <rPr>
        <b/>
        <sz val="11"/>
        <color theme="1"/>
        <rFont val="Calibri"/>
        <family val="2"/>
        <scheme val="minor"/>
      </rPr>
      <t>13697</t>
    </r>
    <r>
      <rPr>
        <sz val="11"/>
        <color theme="1"/>
        <rFont val="Calibri"/>
        <family val="2"/>
        <scheme val="minor"/>
      </rPr>
      <t xml:space="preserve"> - Long term lease
</t>
    </r>
    <r>
      <rPr>
        <b/>
        <sz val="11"/>
        <color theme="1"/>
        <rFont val="Calibri"/>
        <family val="2"/>
        <scheme val="minor"/>
      </rPr>
      <t>13695</t>
    </r>
    <r>
      <rPr>
        <sz val="11"/>
        <color theme="1"/>
        <rFont val="Calibri"/>
        <family val="2"/>
        <scheme val="minor"/>
      </rPr>
      <t xml:space="preserve"> - One-time event use
</t>
    </r>
    <r>
      <rPr>
        <b/>
        <sz val="11"/>
        <color theme="1"/>
        <rFont val="Calibri"/>
        <family val="2"/>
        <scheme val="minor"/>
      </rPr>
      <t>13696</t>
    </r>
    <r>
      <rPr>
        <sz val="11"/>
        <color theme="1"/>
        <rFont val="Calibri"/>
        <family val="2"/>
        <scheme val="minor"/>
      </rPr>
      <t xml:space="preserve"> - Short-term lease
</t>
    </r>
  </si>
  <si>
    <r>
      <t>13705</t>
    </r>
    <r>
      <rPr>
        <sz val="11"/>
        <color theme="1"/>
        <rFont val="Calibri"/>
        <family val="2"/>
        <scheme val="minor"/>
      </rPr>
      <t xml:space="preserve"> - Civic groups
</t>
    </r>
    <r>
      <rPr>
        <b/>
        <sz val="11"/>
        <color theme="1"/>
        <rFont val="Calibri"/>
        <family val="2"/>
        <scheme val="minor"/>
      </rPr>
      <t>13704</t>
    </r>
    <r>
      <rPr>
        <sz val="11"/>
        <color theme="1"/>
        <rFont val="Calibri"/>
        <family val="2"/>
        <scheme val="minor"/>
      </rPr>
      <t xml:space="preserve"> - Individuals
</t>
    </r>
    <r>
      <rPr>
        <b/>
        <sz val="11"/>
        <color theme="1"/>
        <rFont val="Calibri"/>
        <family val="2"/>
        <scheme val="minor"/>
      </rPr>
      <t>13706</t>
    </r>
    <r>
      <rPr>
        <sz val="11"/>
        <color theme="1"/>
        <rFont val="Calibri"/>
        <family val="2"/>
        <scheme val="minor"/>
      </rPr>
      <t xml:space="preserve"> - Other public agencies
</t>
    </r>
    <r>
      <rPr>
        <b/>
        <sz val="11"/>
        <color theme="1"/>
        <rFont val="Calibri"/>
        <family val="2"/>
        <scheme val="minor"/>
      </rPr>
      <t>13708</t>
    </r>
    <r>
      <rPr>
        <sz val="11"/>
        <color theme="1"/>
        <rFont val="Calibri"/>
        <family val="2"/>
        <scheme val="minor"/>
      </rPr>
      <t xml:space="preserve"> - Private for-profit corporations
</t>
    </r>
    <r>
      <rPr>
        <b/>
        <sz val="11"/>
        <color theme="1"/>
        <rFont val="Calibri"/>
        <family val="2"/>
        <scheme val="minor"/>
      </rPr>
      <t>13707</t>
    </r>
    <r>
      <rPr>
        <sz val="11"/>
        <color theme="1"/>
        <rFont val="Calibri"/>
        <family val="2"/>
        <scheme val="minor"/>
      </rPr>
      <t xml:space="preserve"> - Private non-profit organizations
</t>
    </r>
  </si>
  <si>
    <r>
      <t>02446</t>
    </r>
    <r>
      <rPr>
        <sz val="11"/>
        <color theme="1"/>
        <rFont val="Calibri"/>
        <family val="2"/>
        <scheme val="minor"/>
      </rPr>
      <t xml:space="preserve"> - Enterprise zone
</t>
    </r>
    <r>
      <rPr>
        <b/>
        <sz val="11"/>
        <color theme="1"/>
        <rFont val="Calibri"/>
        <family val="2"/>
        <scheme val="minor"/>
      </rPr>
      <t>02449</t>
    </r>
    <r>
      <rPr>
        <sz val="11"/>
        <color theme="1"/>
        <rFont val="Calibri"/>
        <family val="2"/>
        <scheme val="minor"/>
      </rPr>
      <t xml:space="preserve"> - Environmental contamination
</t>
    </r>
    <r>
      <rPr>
        <b/>
        <sz val="11"/>
        <color theme="1"/>
        <rFont val="Calibri"/>
        <family val="2"/>
        <scheme val="minor"/>
      </rPr>
      <t>02448</t>
    </r>
    <r>
      <rPr>
        <sz val="11"/>
        <color theme="1"/>
        <rFont val="Calibri"/>
        <family val="2"/>
        <scheme val="minor"/>
      </rPr>
      <t xml:space="preserve"> - Environmental protection
</t>
    </r>
    <r>
      <rPr>
        <b/>
        <sz val="11"/>
        <color theme="1"/>
        <rFont val="Calibri"/>
        <family val="2"/>
        <scheme val="minor"/>
      </rPr>
      <t>02447</t>
    </r>
    <r>
      <rPr>
        <sz val="11"/>
        <color theme="1"/>
        <rFont val="Calibri"/>
        <family val="2"/>
        <scheme val="minor"/>
      </rPr>
      <t xml:space="preserve"> - Historic district
</t>
    </r>
    <r>
      <rPr>
        <b/>
        <sz val="11"/>
        <color theme="1"/>
        <rFont val="Calibri"/>
        <family val="2"/>
        <scheme val="minor"/>
      </rPr>
      <t>02445</t>
    </r>
    <r>
      <rPr>
        <sz val="11"/>
        <color theme="1"/>
        <rFont val="Calibri"/>
        <family val="2"/>
        <scheme val="minor"/>
      </rPr>
      <t xml:space="preserve"> - Land use
</t>
    </r>
    <r>
      <rPr>
        <b/>
        <sz val="11"/>
        <color theme="1"/>
        <rFont val="Calibri"/>
        <family val="2"/>
        <scheme val="minor"/>
      </rPr>
      <t>02450</t>
    </r>
    <r>
      <rPr>
        <sz val="11"/>
        <color theme="1"/>
        <rFont val="Calibri"/>
        <family val="2"/>
        <scheme val="minor"/>
      </rPr>
      <t xml:space="preserve"> - Site easements
</t>
    </r>
    <r>
      <rPr>
        <b/>
        <sz val="11"/>
        <color theme="1"/>
        <rFont val="Calibri"/>
        <family val="2"/>
        <scheme val="minor"/>
      </rPr>
      <t>09999</t>
    </r>
    <r>
      <rPr>
        <sz val="11"/>
        <color theme="1"/>
        <rFont val="Calibri"/>
        <family val="2"/>
        <scheme val="minor"/>
      </rPr>
      <t xml:space="preserve"> - Other
</t>
    </r>
  </si>
  <si>
    <t>Management</t>
  </si>
  <si>
    <r>
      <t>13691</t>
    </r>
    <r>
      <rPr>
        <sz val="11"/>
        <color theme="1"/>
        <rFont val="Calibri"/>
        <family val="2"/>
        <scheme val="minor"/>
      </rPr>
      <t xml:space="preserve"> - Leasehold
</t>
    </r>
    <r>
      <rPr>
        <b/>
        <sz val="11"/>
        <color theme="1"/>
        <rFont val="Calibri"/>
        <family val="2"/>
        <scheme val="minor"/>
      </rPr>
      <t>13692</t>
    </r>
    <r>
      <rPr>
        <sz val="11"/>
        <color theme="1"/>
        <rFont val="Calibri"/>
        <family val="2"/>
        <scheme val="minor"/>
      </rPr>
      <t xml:space="preserve"> - Ownership by Charter Non-Profit Corporation
</t>
    </r>
    <r>
      <rPr>
        <b/>
        <sz val="11"/>
        <color theme="1"/>
        <rFont val="Calibri"/>
        <family val="2"/>
        <scheme val="minor"/>
      </rPr>
      <t>13693</t>
    </r>
    <r>
      <rPr>
        <sz val="11"/>
        <color theme="1"/>
        <rFont val="Calibri"/>
        <family val="2"/>
        <scheme val="minor"/>
      </rPr>
      <t xml:space="preserve"> - Third Party Non-Profit Ownership
</t>
    </r>
    <r>
      <rPr>
        <b/>
        <sz val="11"/>
        <color theme="1"/>
        <rFont val="Calibri"/>
        <family val="2"/>
        <scheme val="minor"/>
      </rPr>
      <t>14907</t>
    </r>
    <r>
      <rPr>
        <sz val="11"/>
        <color theme="1"/>
        <rFont val="Calibri"/>
        <family val="2"/>
        <scheme val="minor"/>
      </rPr>
      <t xml:space="preserve"> - Third-party public sector ownership
</t>
    </r>
  </si>
  <si>
    <r>
      <t>02831</t>
    </r>
    <r>
      <rPr>
        <sz val="11"/>
        <color theme="1"/>
        <rFont val="Calibri"/>
        <family val="2"/>
        <scheme val="minor"/>
      </rPr>
      <t xml:space="preserve"> - Level 1 cleaning
</t>
    </r>
    <r>
      <rPr>
        <b/>
        <sz val="11"/>
        <color theme="1"/>
        <rFont val="Calibri"/>
        <family val="2"/>
        <scheme val="minor"/>
      </rPr>
      <t>02832</t>
    </r>
    <r>
      <rPr>
        <sz val="11"/>
        <color theme="1"/>
        <rFont val="Calibri"/>
        <family val="2"/>
        <scheme val="minor"/>
      </rPr>
      <t xml:space="preserve"> - Level 2 cleaning
</t>
    </r>
    <r>
      <rPr>
        <b/>
        <sz val="11"/>
        <color theme="1"/>
        <rFont val="Calibri"/>
        <family val="2"/>
        <scheme val="minor"/>
      </rPr>
      <t>02833</t>
    </r>
    <r>
      <rPr>
        <sz val="11"/>
        <color theme="1"/>
        <rFont val="Calibri"/>
        <family val="2"/>
        <scheme val="minor"/>
      </rPr>
      <t xml:space="preserve"> - Level 3 cleaning
</t>
    </r>
    <r>
      <rPr>
        <b/>
        <sz val="11"/>
        <color theme="1"/>
        <rFont val="Calibri"/>
        <family val="2"/>
        <scheme val="minor"/>
      </rPr>
      <t>02834</t>
    </r>
    <r>
      <rPr>
        <sz val="11"/>
        <color theme="1"/>
        <rFont val="Calibri"/>
        <family val="2"/>
        <scheme val="minor"/>
      </rPr>
      <t xml:space="preserve"> - Level 4 cleaning
</t>
    </r>
    <r>
      <rPr>
        <b/>
        <sz val="11"/>
        <color theme="1"/>
        <rFont val="Calibri"/>
        <family val="2"/>
        <scheme val="minor"/>
      </rPr>
      <t>02835</t>
    </r>
    <r>
      <rPr>
        <sz val="11"/>
        <color theme="1"/>
        <rFont val="Calibri"/>
        <family val="2"/>
        <scheme val="minor"/>
      </rPr>
      <t xml:space="preserve"> - Level 5 cleaning
</t>
    </r>
  </si>
  <si>
    <r>
      <t>13653</t>
    </r>
    <r>
      <rPr>
        <sz val="11"/>
        <color theme="1"/>
        <rFont val="Calibri"/>
        <family val="2"/>
        <scheme val="minor"/>
      </rPr>
      <t xml:space="preserve"> - Daylighting
</t>
    </r>
    <r>
      <rPr>
        <b/>
        <sz val="11"/>
        <color theme="1"/>
        <rFont val="Calibri"/>
        <family val="2"/>
        <scheme val="minor"/>
      </rPr>
      <t>13654</t>
    </r>
    <r>
      <rPr>
        <sz val="11"/>
        <color theme="1"/>
        <rFont val="Calibri"/>
        <family val="2"/>
        <scheme val="minor"/>
      </rPr>
      <t xml:space="preserve"> - Delamping
</t>
    </r>
    <r>
      <rPr>
        <b/>
        <sz val="11"/>
        <color theme="1"/>
        <rFont val="Calibri"/>
        <family val="2"/>
        <scheme val="minor"/>
      </rPr>
      <t>02848</t>
    </r>
    <r>
      <rPr>
        <sz val="11"/>
        <color theme="1"/>
        <rFont val="Calibri"/>
        <family val="2"/>
        <scheme val="minor"/>
      </rPr>
      <t xml:space="preserve"> - HVAC replacement
</t>
    </r>
    <r>
      <rPr>
        <b/>
        <sz val="11"/>
        <color theme="1"/>
        <rFont val="Calibri"/>
        <family val="2"/>
        <scheme val="minor"/>
      </rPr>
      <t>02847</t>
    </r>
    <r>
      <rPr>
        <sz val="11"/>
        <color theme="1"/>
        <rFont val="Calibri"/>
        <family val="2"/>
        <scheme val="minor"/>
      </rPr>
      <t xml:space="preserve"> - Installation of energy controls
</t>
    </r>
    <r>
      <rPr>
        <b/>
        <sz val="11"/>
        <color theme="1"/>
        <rFont val="Calibri"/>
        <family val="2"/>
        <scheme val="minor"/>
      </rPr>
      <t>14904</t>
    </r>
    <r>
      <rPr>
        <sz val="11"/>
        <color theme="1"/>
        <rFont val="Calibri"/>
        <family val="2"/>
        <scheme val="minor"/>
      </rPr>
      <t xml:space="preserve"> - Installation of solar equipment
</t>
    </r>
    <r>
      <rPr>
        <b/>
        <sz val="11"/>
        <color theme="1"/>
        <rFont val="Calibri"/>
        <family val="2"/>
        <scheme val="minor"/>
      </rPr>
      <t>02850</t>
    </r>
    <r>
      <rPr>
        <sz val="11"/>
        <color theme="1"/>
        <rFont val="Calibri"/>
        <family val="2"/>
        <scheme val="minor"/>
      </rPr>
      <t xml:space="preserve"> - Insulation improvements
</t>
    </r>
    <r>
      <rPr>
        <b/>
        <sz val="11"/>
        <color theme="1"/>
        <rFont val="Calibri"/>
        <family val="2"/>
        <scheme val="minor"/>
      </rPr>
      <t>02849</t>
    </r>
    <r>
      <rPr>
        <sz val="11"/>
        <color theme="1"/>
        <rFont val="Calibri"/>
        <family val="2"/>
        <scheme val="minor"/>
      </rPr>
      <t xml:space="preserve"> - Lighting replacement
</t>
    </r>
    <r>
      <rPr>
        <b/>
        <sz val="11"/>
        <color theme="1"/>
        <rFont val="Calibri"/>
        <family val="2"/>
        <scheme val="minor"/>
      </rPr>
      <t>14903</t>
    </r>
    <r>
      <rPr>
        <sz val="11"/>
        <color theme="1"/>
        <rFont val="Calibri"/>
        <family val="2"/>
        <scheme val="minor"/>
      </rPr>
      <t xml:space="preserve"> - Relamping
</t>
    </r>
    <r>
      <rPr>
        <b/>
        <sz val="11"/>
        <color theme="1"/>
        <rFont val="Calibri"/>
        <family val="2"/>
        <scheme val="minor"/>
      </rPr>
      <t>02846</t>
    </r>
    <r>
      <rPr>
        <sz val="11"/>
        <color theme="1"/>
        <rFont val="Calibri"/>
        <family val="2"/>
        <scheme val="minor"/>
      </rPr>
      <t xml:space="preserve"> - Window replacement
</t>
    </r>
    <r>
      <rPr>
        <b/>
        <sz val="11"/>
        <color theme="1"/>
        <rFont val="Calibri"/>
        <family val="2"/>
        <scheme val="minor"/>
      </rPr>
      <t>09999</t>
    </r>
    <r>
      <rPr>
        <sz val="11"/>
        <color theme="1"/>
        <rFont val="Calibri"/>
        <family val="2"/>
        <scheme val="minor"/>
      </rPr>
      <t xml:space="preserve"> - Other
</t>
    </r>
  </si>
  <si>
    <r>
      <t>13655</t>
    </r>
    <r>
      <rPr>
        <sz val="11"/>
        <color theme="1"/>
        <rFont val="Calibri"/>
        <family val="2"/>
        <scheme val="minor"/>
      </rPr>
      <t xml:space="preserve"> - Biomass
</t>
    </r>
    <r>
      <rPr>
        <b/>
        <sz val="11"/>
        <color theme="1"/>
        <rFont val="Calibri"/>
        <family val="2"/>
        <scheme val="minor"/>
      </rPr>
      <t>02858</t>
    </r>
    <r>
      <rPr>
        <sz val="11"/>
        <color theme="1"/>
        <rFont val="Calibri"/>
        <family val="2"/>
        <scheme val="minor"/>
      </rPr>
      <t xml:space="preserve"> - Coal
</t>
    </r>
    <r>
      <rPr>
        <b/>
        <sz val="11"/>
        <color theme="1"/>
        <rFont val="Calibri"/>
        <family val="2"/>
        <scheme val="minor"/>
      </rPr>
      <t>02854</t>
    </r>
    <r>
      <rPr>
        <sz val="11"/>
        <color theme="1"/>
        <rFont val="Calibri"/>
        <family val="2"/>
        <scheme val="minor"/>
      </rPr>
      <t xml:space="preserve"> - Electric
</t>
    </r>
    <r>
      <rPr>
        <b/>
        <sz val="11"/>
        <color theme="1"/>
        <rFont val="Calibri"/>
        <family val="2"/>
        <scheme val="minor"/>
      </rPr>
      <t>02853</t>
    </r>
    <r>
      <rPr>
        <sz val="11"/>
        <color theme="1"/>
        <rFont val="Calibri"/>
        <family val="2"/>
        <scheme val="minor"/>
      </rPr>
      <t xml:space="preserve"> - Gas
</t>
    </r>
    <r>
      <rPr>
        <b/>
        <sz val="11"/>
        <color theme="1"/>
        <rFont val="Calibri"/>
        <family val="2"/>
        <scheme val="minor"/>
      </rPr>
      <t>02857</t>
    </r>
    <r>
      <rPr>
        <sz val="11"/>
        <color theme="1"/>
        <rFont val="Calibri"/>
        <family val="2"/>
        <scheme val="minor"/>
      </rPr>
      <t xml:space="preserve"> - Geothermal
</t>
    </r>
    <r>
      <rPr>
        <b/>
        <sz val="11"/>
        <color theme="1"/>
        <rFont val="Calibri"/>
        <family val="2"/>
        <scheme val="minor"/>
      </rPr>
      <t>02859</t>
    </r>
    <r>
      <rPr>
        <sz val="11"/>
        <color theme="1"/>
        <rFont val="Calibri"/>
        <family val="2"/>
        <scheme val="minor"/>
      </rPr>
      <t xml:space="preserve"> - Nuclear
</t>
    </r>
    <r>
      <rPr>
        <b/>
        <sz val="11"/>
        <color theme="1"/>
        <rFont val="Calibri"/>
        <family val="2"/>
        <scheme val="minor"/>
      </rPr>
      <t>02842</t>
    </r>
    <r>
      <rPr>
        <sz val="11"/>
        <color theme="1"/>
        <rFont val="Calibri"/>
        <family val="2"/>
        <scheme val="minor"/>
      </rPr>
      <t xml:space="preserve"> - Oil
</t>
    </r>
    <r>
      <rPr>
        <b/>
        <sz val="11"/>
        <color theme="1"/>
        <rFont val="Calibri"/>
        <family val="2"/>
        <scheme val="minor"/>
      </rPr>
      <t>02855</t>
    </r>
    <r>
      <rPr>
        <sz val="11"/>
        <color theme="1"/>
        <rFont val="Calibri"/>
        <family val="2"/>
        <scheme val="minor"/>
      </rPr>
      <t xml:space="preserve"> - Solar
</t>
    </r>
    <r>
      <rPr>
        <b/>
        <sz val="11"/>
        <color theme="1"/>
        <rFont val="Calibri"/>
        <family val="2"/>
        <scheme val="minor"/>
      </rPr>
      <t>02843</t>
    </r>
    <r>
      <rPr>
        <sz val="11"/>
        <color theme="1"/>
        <rFont val="Calibri"/>
        <family val="2"/>
        <scheme val="minor"/>
      </rPr>
      <t xml:space="preserve"> - Water
</t>
    </r>
    <r>
      <rPr>
        <b/>
        <sz val="11"/>
        <color theme="1"/>
        <rFont val="Calibri"/>
        <family val="2"/>
        <scheme val="minor"/>
      </rPr>
      <t>02856</t>
    </r>
    <r>
      <rPr>
        <sz val="11"/>
        <color theme="1"/>
        <rFont val="Calibri"/>
        <family val="2"/>
        <scheme val="minor"/>
      </rPr>
      <t xml:space="preserve"> - Wind
</t>
    </r>
    <r>
      <rPr>
        <b/>
        <sz val="11"/>
        <color theme="1"/>
        <rFont val="Calibri"/>
        <family val="2"/>
        <scheme val="minor"/>
      </rPr>
      <t>09999</t>
    </r>
    <r>
      <rPr>
        <sz val="11"/>
        <color theme="1"/>
        <rFont val="Calibri"/>
        <family val="2"/>
        <scheme val="minor"/>
      </rPr>
      <t xml:space="preserve"> - Other
</t>
    </r>
  </si>
  <si>
    <r>
      <t>02882</t>
    </r>
    <r>
      <rPr>
        <sz val="11"/>
        <color theme="1"/>
        <rFont val="Calibri"/>
        <family val="2"/>
        <scheme val="minor"/>
      </rPr>
      <t xml:space="preserve"> - Act of violence
</t>
    </r>
    <r>
      <rPr>
        <b/>
        <sz val="11"/>
        <color theme="1"/>
        <rFont val="Calibri"/>
        <family val="2"/>
        <scheme val="minor"/>
      </rPr>
      <t>02880</t>
    </r>
    <r>
      <rPr>
        <sz val="11"/>
        <color theme="1"/>
        <rFont val="Calibri"/>
        <family val="2"/>
        <scheme val="minor"/>
      </rPr>
      <t xml:space="preserve"> - Bomb threat
</t>
    </r>
    <r>
      <rPr>
        <b/>
        <sz val="11"/>
        <color theme="1"/>
        <rFont val="Calibri"/>
        <family val="2"/>
        <scheme val="minor"/>
      </rPr>
      <t>02888</t>
    </r>
    <r>
      <rPr>
        <sz val="11"/>
        <color theme="1"/>
        <rFont val="Calibri"/>
        <family val="2"/>
        <scheme val="minor"/>
      </rPr>
      <t xml:space="preserve"> - Debris flows or mudslide
</t>
    </r>
    <r>
      <rPr>
        <b/>
        <sz val="11"/>
        <color theme="1"/>
        <rFont val="Calibri"/>
        <family val="2"/>
        <scheme val="minor"/>
      </rPr>
      <t>02886</t>
    </r>
    <r>
      <rPr>
        <sz val="11"/>
        <color theme="1"/>
        <rFont val="Calibri"/>
        <family val="2"/>
        <scheme val="minor"/>
      </rPr>
      <t xml:space="preserve"> - Earthquake
</t>
    </r>
    <r>
      <rPr>
        <b/>
        <sz val="11"/>
        <color theme="1"/>
        <rFont val="Calibri"/>
        <family val="2"/>
        <scheme val="minor"/>
      </rPr>
      <t>02895</t>
    </r>
    <r>
      <rPr>
        <sz val="11"/>
        <color theme="1"/>
        <rFont val="Calibri"/>
        <family val="2"/>
        <scheme val="minor"/>
      </rPr>
      <t xml:space="preserve"> - Emergency shelter need
</t>
    </r>
    <r>
      <rPr>
        <b/>
        <sz val="11"/>
        <color theme="1"/>
        <rFont val="Calibri"/>
        <family val="2"/>
        <scheme val="minor"/>
      </rPr>
      <t>02892</t>
    </r>
    <r>
      <rPr>
        <sz val="11"/>
        <color theme="1"/>
        <rFont val="Calibri"/>
        <family val="2"/>
        <scheme val="minor"/>
      </rPr>
      <t xml:space="preserve"> - Extreme heat
</t>
    </r>
    <r>
      <rPr>
        <b/>
        <sz val="11"/>
        <color theme="1"/>
        <rFont val="Calibri"/>
        <family val="2"/>
        <scheme val="minor"/>
      </rPr>
      <t>02878</t>
    </r>
    <r>
      <rPr>
        <sz val="11"/>
        <color theme="1"/>
        <rFont val="Calibri"/>
        <family val="2"/>
        <scheme val="minor"/>
      </rPr>
      <t xml:space="preserve"> - Fire
</t>
    </r>
    <r>
      <rPr>
        <b/>
        <sz val="11"/>
        <color theme="1"/>
        <rFont val="Calibri"/>
        <family val="2"/>
        <scheme val="minor"/>
      </rPr>
      <t>02897</t>
    </r>
    <r>
      <rPr>
        <sz val="11"/>
        <color theme="1"/>
        <rFont val="Calibri"/>
        <family val="2"/>
        <scheme val="minor"/>
      </rPr>
      <t xml:space="preserve"> - Flood
</t>
    </r>
    <r>
      <rPr>
        <b/>
        <sz val="11"/>
        <color theme="1"/>
        <rFont val="Calibri"/>
        <family val="2"/>
        <scheme val="minor"/>
      </rPr>
      <t>02894</t>
    </r>
    <r>
      <rPr>
        <sz val="11"/>
        <color theme="1"/>
        <rFont val="Calibri"/>
        <family val="2"/>
        <scheme val="minor"/>
      </rPr>
      <t xml:space="preserve"> - Gas leak
</t>
    </r>
    <r>
      <rPr>
        <b/>
        <sz val="11"/>
        <color theme="1"/>
        <rFont val="Calibri"/>
        <family val="2"/>
        <scheme val="minor"/>
      </rPr>
      <t>02883</t>
    </r>
    <r>
      <rPr>
        <sz val="11"/>
        <color theme="1"/>
        <rFont val="Calibri"/>
        <family val="2"/>
        <scheme val="minor"/>
      </rPr>
      <t xml:space="preserve"> - Hostage
</t>
    </r>
    <r>
      <rPr>
        <b/>
        <sz val="11"/>
        <color theme="1"/>
        <rFont val="Calibri"/>
        <family val="2"/>
        <scheme val="minor"/>
      </rPr>
      <t>02884</t>
    </r>
    <r>
      <rPr>
        <sz val="11"/>
        <color theme="1"/>
        <rFont val="Calibri"/>
        <family val="2"/>
        <scheme val="minor"/>
      </rPr>
      <t xml:space="preserve"> - Hurricane and tropical storm
</t>
    </r>
    <r>
      <rPr>
        <b/>
        <sz val="11"/>
        <color theme="1"/>
        <rFont val="Calibri"/>
        <family val="2"/>
        <scheme val="minor"/>
      </rPr>
      <t>02893</t>
    </r>
    <r>
      <rPr>
        <sz val="11"/>
        <color theme="1"/>
        <rFont val="Calibri"/>
        <family val="2"/>
        <scheme val="minor"/>
      </rPr>
      <t xml:space="preserve"> - Major chemical emergency
</t>
    </r>
    <r>
      <rPr>
        <b/>
        <sz val="11"/>
        <color theme="1"/>
        <rFont val="Calibri"/>
        <family val="2"/>
        <scheme val="minor"/>
      </rPr>
      <t>02881</t>
    </r>
    <r>
      <rPr>
        <sz val="11"/>
        <color theme="1"/>
        <rFont val="Calibri"/>
        <family val="2"/>
        <scheme val="minor"/>
      </rPr>
      <t xml:space="preserve"> - Terrorism
</t>
    </r>
    <r>
      <rPr>
        <b/>
        <sz val="11"/>
        <color theme="1"/>
        <rFont val="Calibri"/>
        <family val="2"/>
        <scheme val="minor"/>
      </rPr>
      <t>02879</t>
    </r>
    <r>
      <rPr>
        <sz val="11"/>
        <color theme="1"/>
        <rFont val="Calibri"/>
        <family val="2"/>
        <scheme val="minor"/>
      </rPr>
      <t xml:space="preserve"> - Theft
</t>
    </r>
    <r>
      <rPr>
        <b/>
        <sz val="11"/>
        <color theme="1"/>
        <rFont val="Calibri"/>
        <family val="2"/>
        <scheme val="minor"/>
      </rPr>
      <t>02885</t>
    </r>
    <r>
      <rPr>
        <sz val="11"/>
        <color theme="1"/>
        <rFont val="Calibri"/>
        <family val="2"/>
        <scheme val="minor"/>
      </rPr>
      <t xml:space="preserve"> - Thunderstorm - severe
</t>
    </r>
    <r>
      <rPr>
        <b/>
        <sz val="11"/>
        <color theme="1"/>
        <rFont val="Calibri"/>
        <family val="2"/>
        <scheme val="minor"/>
      </rPr>
      <t>02896</t>
    </r>
    <r>
      <rPr>
        <sz val="11"/>
        <color theme="1"/>
        <rFont val="Calibri"/>
        <family val="2"/>
        <scheme val="minor"/>
      </rPr>
      <t xml:space="preserve"> - Tornado
</t>
    </r>
    <r>
      <rPr>
        <b/>
        <sz val="11"/>
        <color theme="1"/>
        <rFont val="Calibri"/>
        <family val="2"/>
        <scheme val="minor"/>
      </rPr>
      <t>02889</t>
    </r>
    <r>
      <rPr>
        <sz val="11"/>
        <color theme="1"/>
        <rFont val="Calibri"/>
        <family val="2"/>
        <scheme val="minor"/>
      </rPr>
      <t xml:space="preserve"> - Tsunami
</t>
    </r>
    <r>
      <rPr>
        <b/>
        <sz val="11"/>
        <color theme="1"/>
        <rFont val="Calibri"/>
        <family val="2"/>
        <scheme val="minor"/>
      </rPr>
      <t>02890</t>
    </r>
    <r>
      <rPr>
        <sz val="11"/>
        <color theme="1"/>
        <rFont val="Calibri"/>
        <family val="2"/>
        <scheme val="minor"/>
      </rPr>
      <t xml:space="preserve"> - Volcano
</t>
    </r>
    <r>
      <rPr>
        <b/>
        <sz val="11"/>
        <color theme="1"/>
        <rFont val="Calibri"/>
        <family val="2"/>
        <scheme val="minor"/>
      </rPr>
      <t>02891</t>
    </r>
    <r>
      <rPr>
        <sz val="11"/>
        <color theme="1"/>
        <rFont val="Calibri"/>
        <family val="2"/>
        <scheme val="minor"/>
      </rPr>
      <t xml:space="preserve"> - Wildfire - surface, ground, or crown fire
</t>
    </r>
    <r>
      <rPr>
        <b/>
        <sz val="11"/>
        <color theme="1"/>
        <rFont val="Calibri"/>
        <family val="2"/>
        <scheme val="minor"/>
      </rPr>
      <t>02887</t>
    </r>
    <r>
      <rPr>
        <sz val="11"/>
        <color theme="1"/>
        <rFont val="Calibri"/>
        <family val="2"/>
        <scheme val="minor"/>
      </rPr>
      <t xml:space="preserve"> - Winter storm
</t>
    </r>
    <r>
      <rPr>
        <b/>
        <sz val="11"/>
        <color theme="1"/>
        <rFont val="Calibri"/>
        <family val="2"/>
        <scheme val="minor"/>
      </rPr>
      <t>09999</t>
    </r>
    <r>
      <rPr>
        <sz val="11"/>
        <color theme="1"/>
        <rFont val="Calibri"/>
        <family val="2"/>
        <scheme val="minor"/>
      </rPr>
      <t xml:space="preserve"> - Other
</t>
    </r>
  </si>
  <si>
    <r>
      <t>13390</t>
    </r>
    <r>
      <rPr>
        <sz val="11"/>
        <color theme="1"/>
        <rFont val="Calibri"/>
        <family val="2"/>
        <scheme val="minor"/>
      </rPr>
      <t xml:space="preserve"> - District/Local
</t>
    </r>
    <r>
      <rPr>
        <b/>
        <sz val="11"/>
        <color theme="1"/>
        <rFont val="Calibri"/>
        <family val="2"/>
        <scheme val="minor"/>
      </rPr>
      <t>00859</t>
    </r>
    <r>
      <rPr>
        <sz val="11"/>
        <color theme="1"/>
        <rFont val="Calibri"/>
        <family val="2"/>
        <scheme val="minor"/>
      </rPr>
      <t xml:space="preserve"> - Federal
</t>
    </r>
    <r>
      <rPr>
        <b/>
        <sz val="11"/>
        <color theme="1"/>
        <rFont val="Calibri"/>
        <family val="2"/>
        <scheme val="minor"/>
      </rPr>
      <t>00391</t>
    </r>
    <r>
      <rPr>
        <sz val="11"/>
        <color theme="1"/>
        <rFont val="Calibri"/>
        <family val="2"/>
        <scheme val="minor"/>
      </rPr>
      <t xml:space="preserve"> - State
</t>
    </r>
  </si>
  <si>
    <r>
      <t>02828</t>
    </r>
    <r>
      <rPr>
        <sz val="11"/>
        <color theme="1"/>
        <rFont val="Calibri"/>
        <family val="2"/>
        <scheme val="minor"/>
      </rPr>
      <t xml:space="preserve"> - Capital improvement plan
</t>
    </r>
    <r>
      <rPr>
        <b/>
        <sz val="11"/>
        <color theme="1"/>
        <rFont val="Calibri"/>
        <family val="2"/>
        <scheme val="minor"/>
      </rPr>
      <t>02827</t>
    </r>
    <r>
      <rPr>
        <sz val="11"/>
        <color theme="1"/>
        <rFont val="Calibri"/>
        <family val="2"/>
        <scheme val="minor"/>
      </rPr>
      <t xml:space="preserve"> - Educational facilities master plan
</t>
    </r>
    <r>
      <rPr>
        <b/>
        <sz val="11"/>
        <color theme="1"/>
        <rFont val="Calibri"/>
        <family val="2"/>
        <scheme val="minor"/>
      </rPr>
      <t>02825</t>
    </r>
    <r>
      <rPr>
        <sz val="11"/>
        <color theme="1"/>
        <rFont val="Calibri"/>
        <family val="2"/>
        <scheme val="minor"/>
      </rPr>
      <t xml:space="preserve"> - Emergency response plan
</t>
    </r>
    <r>
      <rPr>
        <b/>
        <sz val="11"/>
        <color theme="1"/>
        <rFont val="Calibri"/>
        <family val="2"/>
        <scheme val="minor"/>
      </rPr>
      <t>02829</t>
    </r>
    <r>
      <rPr>
        <sz val="11"/>
        <color theme="1"/>
        <rFont val="Calibri"/>
        <family val="2"/>
        <scheme val="minor"/>
      </rPr>
      <t xml:space="preserve"> - Energy management plan
</t>
    </r>
    <r>
      <rPr>
        <b/>
        <sz val="11"/>
        <color theme="1"/>
        <rFont val="Calibri"/>
        <family val="2"/>
        <scheme val="minor"/>
      </rPr>
      <t>02830</t>
    </r>
    <r>
      <rPr>
        <sz val="11"/>
        <color theme="1"/>
        <rFont val="Calibri"/>
        <family val="2"/>
        <scheme val="minor"/>
      </rPr>
      <t xml:space="preserve"> - Hazardous materials management plan
</t>
    </r>
    <r>
      <rPr>
        <b/>
        <sz val="11"/>
        <color theme="1"/>
        <rFont val="Calibri"/>
        <family val="2"/>
        <scheme val="minor"/>
      </rPr>
      <t>02826</t>
    </r>
    <r>
      <rPr>
        <sz val="11"/>
        <color theme="1"/>
        <rFont val="Calibri"/>
        <family val="2"/>
        <scheme val="minor"/>
      </rPr>
      <t xml:space="preserve"> - Maintenance plan
</t>
    </r>
    <r>
      <rPr>
        <b/>
        <sz val="11"/>
        <color theme="1"/>
        <rFont val="Calibri"/>
        <family val="2"/>
        <scheme val="minor"/>
      </rPr>
      <t>09999</t>
    </r>
    <r>
      <rPr>
        <sz val="11"/>
        <color theme="1"/>
        <rFont val="Calibri"/>
        <family val="2"/>
        <scheme val="minor"/>
      </rPr>
      <t xml:space="preserve"> - Other
</t>
    </r>
  </si>
  <si>
    <r>
      <t>02979</t>
    </r>
    <r>
      <rPr>
        <sz val="11"/>
        <color theme="1"/>
        <rFont val="Calibri"/>
        <family val="2"/>
        <scheme val="minor"/>
      </rPr>
      <t xml:space="preserve"> - Building commissioning
</t>
    </r>
    <r>
      <rPr>
        <b/>
        <sz val="11"/>
        <color theme="1"/>
        <rFont val="Calibri"/>
        <family val="2"/>
        <scheme val="minor"/>
      </rPr>
      <t>02977</t>
    </r>
    <r>
      <rPr>
        <sz val="11"/>
        <color theme="1"/>
        <rFont val="Calibri"/>
        <family val="2"/>
        <scheme val="minor"/>
      </rPr>
      <t xml:space="preserve"> - Financial audit
</t>
    </r>
    <r>
      <rPr>
        <b/>
        <sz val="11"/>
        <color theme="1"/>
        <rFont val="Calibri"/>
        <family val="2"/>
        <scheme val="minor"/>
      </rPr>
      <t>02980</t>
    </r>
    <r>
      <rPr>
        <sz val="11"/>
        <color theme="1"/>
        <rFont val="Calibri"/>
        <family val="2"/>
        <scheme val="minor"/>
      </rPr>
      <t xml:space="preserve"> - Fiscal audit
</t>
    </r>
    <r>
      <rPr>
        <b/>
        <sz val="11"/>
        <color theme="1"/>
        <rFont val="Calibri"/>
        <family val="2"/>
        <scheme val="minor"/>
      </rPr>
      <t>02976</t>
    </r>
    <r>
      <rPr>
        <sz val="11"/>
        <color theme="1"/>
        <rFont val="Calibri"/>
        <family val="2"/>
        <scheme val="minor"/>
      </rPr>
      <t xml:space="preserve"> - Management audit
</t>
    </r>
    <r>
      <rPr>
        <b/>
        <sz val="11"/>
        <color theme="1"/>
        <rFont val="Calibri"/>
        <family val="2"/>
        <scheme val="minor"/>
      </rPr>
      <t>02978</t>
    </r>
    <r>
      <rPr>
        <sz val="11"/>
        <color theme="1"/>
        <rFont val="Calibri"/>
        <family val="2"/>
        <scheme val="minor"/>
      </rPr>
      <t xml:space="preserve"> - Performance audit
</t>
    </r>
    <r>
      <rPr>
        <b/>
        <sz val="11"/>
        <color theme="1"/>
        <rFont val="Calibri"/>
        <family val="2"/>
        <scheme val="minor"/>
      </rPr>
      <t>13688</t>
    </r>
    <r>
      <rPr>
        <sz val="11"/>
        <color theme="1"/>
        <rFont val="Calibri"/>
        <family val="2"/>
        <scheme val="minor"/>
      </rPr>
      <t xml:space="preserve"> - Post Occupancy Evaluation
</t>
    </r>
    <r>
      <rPr>
        <b/>
        <sz val="11"/>
        <color theme="1"/>
        <rFont val="Calibri"/>
        <family val="2"/>
        <scheme val="minor"/>
      </rPr>
      <t>02981</t>
    </r>
    <r>
      <rPr>
        <sz val="11"/>
        <color theme="1"/>
        <rFont val="Calibri"/>
        <family val="2"/>
        <scheme val="minor"/>
      </rPr>
      <t xml:space="preserve"> - Process audit
</t>
    </r>
    <r>
      <rPr>
        <b/>
        <sz val="11"/>
        <color theme="1"/>
        <rFont val="Calibri"/>
        <family val="2"/>
        <scheme val="minor"/>
      </rPr>
      <t>13687</t>
    </r>
    <r>
      <rPr>
        <sz val="11"/>
        <color theme="1"/>
        <rFont val="Calibri"/>
        <family val="2"/>
        <scheme val="minor"/>
      </rPr>
      <t xml:space="preserve"> - Retro-commissioning
</t>
    </r>
    <r>
      <rPr>
        <b/>
        <sz val="11"/>
        <color theme="1"/>
        <rFont val="Calibri"/>
        <family val="2"/>
        <scheme val="minor"/>
      </rPr>
      <t>09999</t>
    </r>
    <r>
      <rPr>
        <sz val="11"/>
        <color theme="1"/>
        <rFont val="Calibri"/>
        <family val="2"/>
        <scheme val="minor"/>
      </rPr>
      <t xml:space="preserve"> - Other
</t>
    </r>
  </si>
  <si>
    <r>
      <t>02913</t>
    </r>
    <r>
      <rPr>
        <sz val="11"/>
        <color theme="1"/>
        <rFont val="Calibri"/>
        <family val="2"/>
        <scheme val="minor"/>
      </rPr>
      <t xml:space="preserve"> - District management
</t>
    </r>
    <r>
      <rPr>
        <b/>
        <sz val="11"/>
        <color theme="1"/>
        <rFont val="Calibri"/>
        <family val="2"/>
        <scheme val="minor"/>
      </rPr>
      <t>02824</t>
    </r>
    <r>
      <rPr>
        <sz val="11"/>
        <color theme="1"/>
        <rFont val="Calibri"/>
        <family val="2"/>
        <scheme val="minor"/>
      </rPr>
      <t xml:space="preserve"> - Nonschool public agency management
</t>
    </r>
    <r>
      <rPr>
        <b/>
        <sz val="11"/>
        <color theme="1"/>
        <rFont val="Calibri"/>
        <family val="2"/>
        <scheme val="minor"/>
      </rPr>
      <t>02823</t>
    </r>
    <r>
      <rPr>
        <sz val="11"/>
        <color theme="1"/>
        <rFont val="Calibri"/>
        <family val="2"/>
        <scheme val="minor"/>
      </rPr>
      <t xml:space="preserve"> - Private management
</t>
    </r>
    <r>
      <rPr>
        <b/>
        <sz val="11"/>
        <color theme="1"/>
        <rFont val="Calibri"/>
        <family val="2"/>
        <scheme val="minor"/>
      </rPr>
      <t>09999</t>
    </r>
    <r>
      <rPr>
        <sz val="11"/>
        <color theme="1"/>
        <rFont val="Calibri"/>
        <family val="2"/>
        <scheme val="minor"/>
      </rPr>
      <t xml:space="preserve"> - Other
</t>
    </r>
  </si>
  <si>
    <r>
      <t>00865</t>
    </r>
    <r>
      <rPr>
        <sz val="11"/>
        <color theme="1"/>
        <rFont val="Calibri"/>
        <family val="2"/>
        <scheme val="minor"/>
      </rPr>
      <t xml:space="preserve"> - Charter board
</t>
    </r>
    <r>
      <rPr>
        <b/>
        <sz val="11"/>
        <color theme="1"/>
        <rFont val="Calibri"/>
        <family val="2"/>
        <scheme val="minor"/>
      </rPr>
      <t>13652</t>
    </r>
    <r>
      <rPr>
        <sz val="11"/>
        <color theme="1"/>
        <rFont val="Calibri"/>
        <family val="2"/>
        <scheme val="minor"/>
      </rPr>
      <t xml:space="preserve"> - Federal Agency
</t>
    </r>
    <r>
      <rPr>
        <b/>
        <sz val="11"/>
        <color theme="1"/>
        <rFont val="Calibri"/>
        <family val="2"/>
        <scheme val="minor"/>
      </rPr>
      <t>00862</t>
    </r>
    <r>
      <rPr>
        <sz val="11"/>
        <color theme="1"/>
        <rFont val="Calibri"/>
        <family val="2"/>
        <scheme val="minor"/>
      </rPr>
      <t xml:space="preserve"> - Local (e.g., school board, city council, municipal board)
</t>
    </r>
    <r>
      <rPr>
        <b/>
        <sz val="11"/>
        <color theme="1"/>
        <rFont val="Calibri"/>
        <family val="2"/>
        <scheme val="minor"/>
      </rPr>
      <t>00864</t>
    </r>
    <r>
      <rPr>
        <sz val="11"/>
        <color theme="1"/>
        <rFont val="Calibri"/>
        <family val="2"/>
        <scheme val="minor"/>
      </rPr>
      <t xml:space="preserve"> - Private/Religious
</t>
    </r>
    <r>
      <rPr>
        <b/>
        <sz val="11"/>
        <color theme="1"/>
        <rFont val="Calibri"/>
        <family val="2"/>
        <scheme val="minor"/>
      </rPr>
      <t>00214</t>
    </r>
    <r>
      <rPr>
        <sz val="11"/>
        <color theme="1"/>
        <rFont val="Calibri"/>
        <family val="2"/>
        <scheme val="minor"/>
      </rPr>
      <t xml:space="preserve"> - Regional or intermediate educational agency
</t>
    </r>
    <r>
      <rPr>
        <b/>
        <sz val="11"/>
        <color theme="1"/>
        <rFont val="Calibri"/>
        <family val="2"/>
        <scheme val="minor"/>
      </rPr>
      <t>00860</t>
    </r>
    <r>
      <rPr>
        <sz val="11"/>
        <color theme="1"/>
        <rFont val="Calibri"/>
        <family val="2"/>
        <scheme val="minor"/>
      </rPr>
      <t xml:space="preserve"> - State agency
</t>
    </r>
  </si>
  <si>
    <r>
      <t>02898</t>
    </r>
    <r>
      <rPr>
        <sz val="11"/>
        <color theme="1"/>
        <rFont val="Calibri"/>
        <family val="2"/>
        <scheme val="minor"/>
      </rPr>
      <t xml:space="preserve"> - Asbestos
</t>
    </r>
    <r>
      <rPr>
        <b/>
        <sz val="11"/>
        <color theme="1"/>
        <rFont val="Calibri"/>
        <family val="2"/>
        <scheme val="minor"/>
      </rPr>
      <t>13656</t>
    </r>
    <r>
      <rPr>
        <sz val="11"/>
        <color theme="1"/>
        <rFont val="Calibri"/>
        <family val="2"/>
        <scheme val="minor"/>
      </rPr>
      <t xml:space="preserve"> - Carbon Monoxide
</t>
    </r>
    <r>
      <rPr>
        <b/>
        <sz val="11"/>
        <color theme="1"/>
        <rFont val="Calibri"/>
        <family val="2"/>
        <scheme val="minor"/>
      </rPr>
      <t>13657</t>
    </r>
    <r>
      <rPr>
        <sz val="11"/>
        <color theme="1"/>
        <rFont val="Calibri"/>
        <family val="2"/>
        <scheme val="minor"/>
      </rPr>
      <t xml:space="preserve"> - Chlorofluorocarbons
</t>
    </r>
    <r>
      <rPr>
        <b/>
        <sz val="11"/>
        <color theme="1"/>
        <rFont val="Calibri"/>
        <family val="2"/>
        <scheme val="minor"/>
      </rPr>
      <t>13658</t>
    </r>
    <r>
      <rPr>
        <sz val="11"/>
        <color theme="1"/>
        <rFont val="Calibri"/>
        <family val="2"/>
        <scheme val="minor"/>
      </rPr>
      <t xml:space="preserve"> - Concentrated animal feeding operations (CAFOs)
</t>
    </r>
    <r>
      <rPr>
        <b/>
        <sz val="11"/>
        <color theme="1"/>
        <rFont val="Calibri"/>
        <family val="2"/>
        <scheme val="minor"/>
      </rPr>
      <t>13659</t>
    </r>
    <r>
      <rPr>
        <sz val="11"/>
        <color theme="1"/>
        <rFont val="Calibri"/>
        <family val="2"/>
        <scheme val="minor"/>
      </rPr>
      <t xml:space="preserve"> - Criteria Air Pollutants
</t>
    </r>
    <r>
      <rPr>
        <b/>
        <sz val="11"/>
        <color theme="1"/>
        <rFont val="Calibri"/>
        <family val="2"/>
        <scheme val="minor"/>
      </rPr>
      <t>13660</t>
    </r>
    <r>
      <rPr>
        <sz val="11"/>
        <color theme="1"/>
        <rFont val="Calibri"/>
        <family val="2"/>
        <scheme val="minor"/>
      </rPr>
      <t xml:space="preserve"> - Drip Lines
</t>
    </r>
    <r>
      <rPr>
        <b/>
        <sz val="11"/>
        <color theme="1"/>
        <rFont val="Calibri"/>
        <family val="2"/>
        <scheme val="minor"/>
      </rPr>
      <t>13661</t>
    </r>
    <r>
      <rPr>
        <sz val="11"/>
        <color theme="1"/>
        <rFont val="Calibri"/>
        <family val="2"/>
        <scheme val="minor"/>
      </rPr>
      <t xml:space="preserve"> - Ground Level Ozone
</t>
    </r>
    <r>
      <rPr>
        <b/>
        <sz val="11"/>
        <color theme="1"/>
        <rFont val="Calibri"/>
        <family val="2"/>
        <scheme val="minor"/>
      </rPr>
      <t>13662</t>
    </r>
    <r>
      <rPr>
        <sz val="11"/>
        <color theme="1"/>
        <rFont val="Calibri"/>
        <family val="2"/>
        <scheme val="minor"/>
      </rPr>
      <t xml:space="preserve"> - Hazardous Air Pollutants
</t>
    </r>
    <r>
      <rPr>
        <b/>
        <sz val="11"/>
        <color theme="1"/>
        <rFont val="Calibri"/>
        <family val="2"/>
        <scheme val="minor"/>
      </rPr>
      <t>13663</t>
    </r>
    <r>
      <rPr>
        <sz val="11"/>
        <color theme="1"/>
        <rFont val="Calibri"/>
        <family val="2"/>
        <scheme val="minor"/>
      </rPr>
      <t xml:space="preserve"> - Hazardous, industrial, or municipal waste sites
</t>
    </r>
    <r>
      <rPr>
        <b/>
        <sz val="11"/>
        <color theme="1"/>
        <rFont val="Calibri"/>
        <family val="2"/>
        <scheme val="minor"/>
      </rPr>
      <t>13664</t>
    </r>
    <r>
      <rPr>
        <sz val="11"/>
        <color theme="1"/>
        <rFont val="Calibri"/>
        <family val="2"/>
        <scheme val="minor"/>
      </rPr>
      <t xml:space="preserve"> - Hydrochlorofluorocarbons
</t>
    </r>
    <r>
      <rPr>
        <b/>
        <sz val="11"/>
        <color theme="1"/>
        <rFont val="Calibri"/>
        <family val="2"/>
        <scheme val="minor"/>
      </rPr>
      <t>02899</t>
    </r>
    <r>
      <rPr>
        <sz val="11"/>
        <color theme="1"/>
        <rFont val="Calibri"/>
        <family val="2"/>
        <scheme val="minor"/>
      </rPr>
      <t xml:space="preserve"> - Lead
</t>
    </r>
    <r>
      <rPr>
        <b/>
        <sz val="11"/>
        <color theme="1"/>
        <rFont val="Calibri"/>
        <family val="2"/>
        <scheme val="minor"/>
      </rPr>
      <t>13665</t>
    </r>
    <r>
      <rPr>
        <sz val="11"/>
        <color theme="1"/>
        <rFont val="Calibri"/>
        <family val="2"/>
        <scheme val="minor"/>
      </rPr>
      <t xml:space="preserve"> - Mercury
</t>
    </r>
    <r>
      <rPr>
        <b/>
        <sz val="11"/>
        <color theme="1"/>
        <rFont val="Calibri"/>
        <family val="2"/>
        <scheme val="minor"/>
      </rPr>
      <t>13666</t>
    </r>
    <r>
      <rPr>
        <sz val="11"/>
        <color theme="1"/>
        <rFont val="Calibri"/>
        <family val="2"/>
        <scheme val="minor"/>
      </rPr>
      <t xml:space="preserve"> - Methane
</t>
    </r>
    <r>
      <rPr>
        <b/>
        <sz val="11"/>
        <color theme="1"/>
        <rFont val="Calibri"/>
        <family val="2"/>
        <scheme val="minor"/>
      </rPr>
      <t>02900</t>
    </r>
    <r>
      <rPr>
        <sz val="11"/>
        <color theme="1"/>
        <rFont val="Calibri"/>
        <family val="2"/>
        <scheme val="minor"/>
      </rPr>
      <t xml:space="preserve"> - Mold
</t>
    </r>
    <r>
      <rPr>
        <b/>
        <sz val="11"/>
        <color theme="1"/>
        <rFont val="Calibri"/>
        <family val="2"/>
        <scheme val="minor"/>
      </rPr>
      <t>13667</t>
    </r>
    <r>
      <rPr>
        <sz val="11"/>
        <color theme="1"/>
        <rFont val="Calibri"/>
        <family val="2"/>
        <scheme val="minor"/>
      </rPr>
      <t xml:space="preserve"> - Nitrogen Oxides
</t>
    </r>
    <r>
      <rPr>
        <b/>
        <sz val="11"/>
        <color theme="1"/>
        <rFont val="Calibri"/>
        <family val="2"/>
        <scheme val="minor"/>
      </rPr>
      <t>13668</t>
    </r>
    <r>
      <rPr>
        <sz val="11"/>
        <color theme="1"/>
        <rFont val="Calibri"/>
        <family val="2"/>
        <scheme val="minor"/>
      </rPr>
      <t xml:space="preserve"> - Particulate Matter
</t>
    </r>
    <r>
      <rPr>
        <b/>
        <sz val="11"/>
        <color theme="1"/>
        <rFont val="Calibri"/>
        <family val="2"/>
        <scheme val="minor"/>
      </rPr>
      <t>02903</t>
    </r>
    <r>
      <rPr>
        <sz val="11"/>
        <color theme="1"/>
        <rFont val="Calibri"/>
        <family val="2"/>
        <scheme val="minor"/>
      </rPr>
      <t xml:space="preserve"> - Pesticides
</t>
    </r>
    <r>
      <rPr>
        <b/>
        <sz val="11"/>
        <color theme="1"/>
        <rFont val="Calibri"/>
        <family val="2"/>
        <scheme val="minor"/>
      </rPr>
      <t>13669</t>
    </r>
    <r>
      <rPr>
        <sz val="11"/>
        <color theme="1"/>
        <rFont val="Calibri"/>
        <family val="2"/>
        <scheme val="minor"/>
      </rPr>
      <t xml:space="preserve"> - Polychlorinated biphenyls (PCBs)
</t>
    </r>
    <r>
      <rPr>
        <b/>
        <sz val="11"/>
        <color theme="1"/>
        <rFont val="Calibri"/>
        <family val="2"/>
        <scheme val="minor"/>
      </rPr>
      <t>13670</t>
    </r>
    <r>
      <rPr>
        <sz val="11"/>
        <color theme="1"/>
        <rFont val="Calibri"/>
        <family val="2"/>
        <scheme val="minor"/>
      </rPr>
      <t xml:space="preserve"> - Propellants
</t>
    </r>
    <r>
      <rPr>
        <b/>
        <sz val="11"/>
        <color theme="1"/>
        <rFont val="Calibri"/>
        <family val="2"/>
        <scheme val="minor"/>
      </rPr>
      <t>02902</t>
    </r>
    <r>
      <rPr>
        <sz val="11"/>
        <color theme="1"/>
        <rFont val="Calibri"/>
        <family val="2"/>
        <scheme val="minor"/>
      </rPr>
      <t xml:space="preserve"> - Radon
</t>
    </r>
    <r>
      <rPr>
        <b/>
        <sz val="11"/>
        <color theme="1"/>
        <rFont val="Calibri"/>
        <family val="2"/>
        <scheme val="minor"/>
      </rPr>
      <t>13671</t>
    </r>
    <r>
      <rPr>
        <sz val="11"/>
        <color theme="1"/>
        <rFont val="Calibri"/>
        <family val="2"/>
        <scheme val="minor"/>
      </rPr>
      <t xml:space="preserve"> - Refrigerants
</t>
    </r>
    <r>
      <rPr>
        <b/>
        <sz val="11"/>
        <color theme="1"/>
        <rFont val="Calibri"/>
        <family val="2"/>
        <scheme val="minor"/>
      </rPr>
      <t>13672</t>
    </r>
    <r>
      <rPr>
        <sz val="11"/>
        <color theme="1"/>
        <rFont val="Calibri"/>
        <family val="2"/>
        <scheme val="minor"/>
      </rPr>
      <t xml:space="preserve"> - Sediment, sludge, reuse material
</t>
    </r>
    <r>
      <rPr>
        <b/>
        <sz val="11"/>
        <color theme="1"/>
        <rFont val="Calibri"/>
        <family val="2"/>
        <scheme val="minor"/>
      </rPr>
      <t>13673</t>
    </r>
    <r>
      <rPr>
        <sz val="11"/>
        <color theme="1"/>
        <rFont val="Calibri"/>
        <family val="2"/>
        <scheme val="minor"/>
      </rPr>
      <t xml:space="preserve"> - Sulfur dioxide
</t>
    </r>
    <r>
      <rPr>
        <b/>
        <sz val="11"/>
        <color theme="1"/>
        <rFont val="Calibri"/>
        <family val="2"/>
        <scheme val="minor"/>
      </rPr>
      <t>02901</t>
    </r>
    <r>
      <rPr>
        <sz val="11"/>
        <color theme="1"/>
        <rFont val="Calibri"/>
        <family val="2"/>
        <scheme val="minor"/>
      </rPr>
      <t xml:space="preserve"> - Underground storage tanks (USTs)
</t>
    </r>
    <r>
      <rPr>
        <b/>
        <sz val="11"/>
        <color theme="1"/>
        <rFont val="Calibri"/>
        <family val="2"/>
        <scheme val="minor"/>
      </rPr>
      <t>13674</t>
    </r>
    <r>
      <rPr>
        <sz val="11"/>
        <color theme="1"/>
        <rFont val="Calibri"/>
        <family val="2"/>
        <scheme val="minor"/>
      </rPr>
      <t xml:space="preserve"> - Vapor intrusion
</t>
    </r>
    <r>
      <rPr>
        <b/>
        <sz val="11"/>
        <color theme="1"/>
        <rFont val="Calibri"/>
        <family val="2"/>
        <scheme val="minor"/>
      </rPr>
      <t>13675</t>
    </r>
    <r>
      <rPr>
        <sz val="11"/>
        <color theme="1"/>
        <rFont val="Calibri"/>
        <family val="2"/>
        <scheme val="minor"/>
      </rPr>
      <t xml:space="preserve"> - Volatile organic compounds
</t>
    </r>
    <r>
      <rPr>
        <b/>
        <sz val="11"/>
        <color theme="1"/>
        <rFont val="Calibri"/>
        <family val="2"/>
        <scheme val="minor"/>
      </rPr>
      <t>09999</t>
    </r>
    <r>
      <rPr>
        <sz val="11"/>
        <color theme="1"/>
        <rFont val="Calibri"/>
        <family val="2"/>
        <scheme val="minor"/>
      </rPr>
      <t xml:space="preserve"> - Other
</t>
    </r>
  </si>
  <si>
    <r>
      <t>13690</t>
    </r>
    <r>
      <rPr>
        <sz val="11"/>
        <color theme="1"/>
        <rFont val="Calibri"/>
        <family val="2"/>
        <scheme val="minor"/>
      </rPr>
      <t xml:space="preserve"> - Dedicated
</t>
    </r>
    <r>
      <rPr>
        <b/>
        <sz val="11"/>
        <color theme="1"/>
        <rFont val="Calibri"/>
        <family val="2"/>
        <scheme val="minor"/>
      </rPr>
      <t>13689</t>
    </r>
    <r>
      <rPr>
        <sz val="11"/>
        <color theme="1"/>
        <rFont val="Calibri"/>
        <family val="2"/>
        <scheme val="minor"/>
      </rPr>
      <t xml:space="preserve"> - Shared
</t>
    </r>
  </si>
  <si>
    <r>
      <t>02989</t>
    </r>
    <r>
      <rPr>
        <sz val="11"/>
        <color theme="1"/>
        <rFont val="Calibri"/>
        <family val="2"/>
        <scheme val="minor"/>
      </rPr>
      <t xml:space="preserve"> - Emergency maintenance repair
</t>
    </r>
    <r>
      <rPr>
        <b/>
        <sz val="11"/>
        <color theme="1"/>
        <rFont val="Calibri"/>
        <family val="2"/>
        <scheme val="minor"/>
      </rPr>
      <t>02839</t>
    </r>
    <r>
      <rPr>
        <sz val="11"/>
        <color theme="1"/>
        <rFont val="Calibri"/>
        <family val="2"/>
        <scheme val="minor"/>
      </rPr>
      <t xml:space="preserve"> - Predictive
</t>
    </r>
    <r>
      <rPr>
        <b/>
        <sz val="11"/>
        <color theme="1"/>
        <rFont val="Calibri"/>
        <family val="2"/>
        <scheme val="minor"/>
      </rPr>
      <t>02838</t>
    </r>
    <r>
      <rPr>
        <sz val="11"/>
        <color theme="1"/>
        <rFont val="Calibri"/>
        <family val="2"/>
        <scheme val="minor"/>
      </rPr>
      <t xml:space="preserve"> - Preventive
</t>
    </r>
    <r>
      <rPr>
        <b/>
        <sz val="11"/>
        <color theme="1"/>
        <rFont val="Calibri"/>
        <family val="2"/>
        <scheme val="minor"/>
      </rPr>
      <t>02837</t>
    </r>
    <r>
      <rPr>
        <sz val="11"/>
        <color theme="1"/>
        <rFont val="Calibri"/>
        <family val="2"/>
        <scheme val="minor"/>
      </rPr>
      <t xml:space="preserve"> - Routine
</t>
    </r>
    <r>
      <rPr>
        <b/>
        <sz val="11"/>
        <color theme="1"/>
        <rFont val="Calibri"/>
        <family val="2"/>
        <scheme val="minor"/>
      </rPr>
      <t>02836</t>
    </r>
    <r>
      <rPr>
        <sz val="11"/>
        <color theme="1"/>
        <rFont val="Calibri"/>
        <family val="2"/>
        <scheme val="minor"/>
      </rPr>
      <t xml:space="preserve"> - Run to fail
</t>
    </r>
  </si>
  <si>
    <r>
      <t>13678</t>
    </r>
    <r>
      <rPr>
        <sz val="11"/>
        <color theme="1"/>
        <rFont val="Calibri"/>
        <family val="2"/>
        <scheme val="minor"/>
      </rPr>
      <t xml:space="preserve"> - Arsenic
</t>
    </r>
    <r>
      <rPr>
        <b/>
        <sz val="11"/>
        <color theme="1"/>
        <rFont val="Calibri"/>
        <family val="2"/>
        <scheme val="minor"/>
      </rPr>
      <t>13679</t>
    </r>
    <r>
      <rPr>
        <sz val="11"/>
        <color theme="1"/>
        <rFont val="Calibri"/>
        <family val="2"/>
        <scheme val="minor"/>
      </rPr>
      <t xml:space="preserve"> - Earthquake prone area
</t>
    </r>
    <r>
      <rPr>
        <b/>
        <sz val="11"/>
        <color theme="1"/>
        <rFont val="Calibri"/>
        <family val="2"/>
        <scheme val="minor"/>
      </rPr>
      <t>13680</t>
    </r>
    <r>
      <rPr>
        <sz val="11"/>
        <color theme="1"/>
        <rFont val="Calibri"/>
        <family val="2"/>
        <scheme val="minor"/>
      </rPr>
      <t xml:space="preserve"> - Floodplain
</t>
    </r>
    <r>
      <rPr>
        <b/>
        <sz val="11"/>
        <color theme="1"/>
        <rFont val="Calibri"/>
        <family val="2"/>
        <scheme val="minor"/>
      </rPr>
      <t>13681</t>
    </r>
    <r>
      <rPr>
        <sz val="11"/>
        <color theme="1"/>
        <rFont val="Calibri"/>
        <family val="2"/>
        <scheme val="minor"/>
      </rPr>
      <t xml:space="preserve"> - Liquefaction, landslide areas
</t>
    </r>
    <r>
      <rPr>
        <b/>
        <sz val="11"/>
        <color theme="1"/>
        <rFont val="Calibri"/>
        <family val="2"/>
        <scheme val="minor"/>
      </rPr>
      <t>13682</t>
    </r>
    <r>
      <rPr>
        <sz val="11"/>
        <color theme="1"/>
        <rFont val="Calibri"/>
        <family val="2"/>
        <scheme val="minor"/>
      </rPr>
      <t xml:space="preserve"> - Naturally Occurring Asbestos (NOA)
</t>
    </r>
    <r>
      <rPr>
        <b/>
        <sz val="11"/>
        <color theme="1"/>
        <rFont val="Calibri"/>
        <family val="2"/>
        <scheme val="minor"/>
      </rPr>
      <t>13683</t>
    </r>
    <r>
      <rPr>
        <sz val="11"/>
        <color theme="1"/>
        <rFont val="Calibri"/>
        <family val="2"/>
        <scheme val="minor"/>
      </rPr>
      <t xml:space="preserve"> - Sinkholes, Karst terrain
</t>
    </r>
  </si>
  <si>
    <r>
      <t>02821</t>
    </r>
    <r>
      <rPr>
        <sz val="11"/>
        <color theme="1"/>
        <rFont val="Calibri"/>
        <family val="2"/>
        <scheme val="minor"/>
      </rPr>
      <t xml:space="preserve"> - District and private sector management
</t>
    </r>
    <r>
      <rPr>
        <b/>
        <sz val="11"/>
        <color theme="1"/>
        <rFont val="Calibri"/>
        <family val="2"/>
        <scheme val="minor"/>
      </rPr>
      <t>02822</t>
    </r>
    <r>
      <rPr>
        <sz val="11"/>
        <color theme="1"/>
        <rFont val="Calibri"/>
        <family val="2"/>
        <scheme val="minor"/>
      </rPr>
      <t xml:space="preserve"> - Nonschool public sector management
</t>
    </r>
    <r>
      <rPr>
        <b/>
        <sz val="11"/>
        <color theme="1"/>
        <rFont val="Calibri"/>
        <family val="2"/>
        <scheme val="minor"/>
      </rPr>
      <t>02820</t>
    </r>
    <r>
      <rPr>
        <sz val="11"/>
        <color theme="1"/>
        <rFont val="Calibri"/>
        <family val="2"/>
        <scheme val="minor"/>
      </rPr>
      <t xml:space="preserve"> - Private sector management
</t>
    </r>
    <r>
      <rPr>
        <b/>
        <sz val="11"/>
        <color theme="1"/>
        <rFont val="Calibri"/>
        <family val="2"/>
        <scheme val="minor"/>
      </rPr>
      <t>02819</t>
    </r>
    <r>
      <rPr>
        <sz val="11"/>
        <color theme="1"/>
        <rFont val="Calibri"/>
        <family val="2"/>
        <scheme val="minor"/>
      </rPr>
      <t xml:space="preserve"> - School district management
</t>
    </r>
    <r>
      <rPr>
        <b/>
        <sz val="11"/>
        <color theme="1"/>
        <rFont val="Calibri"/>
        <family val="2"/>
        <scheme val="minor"/>
      </rPr>
      <t>09999</t>
    </r>
    <r>
      <rPr>
        <sz val="11"/>
        <color theme="1"/>
        <rFont val="Calibri"/>
        <family val="2"/>
        <scheme val="minor"/>
      </rPr>
      <t xml:space="preserve"> - Other
</t>
    </r>
  </si>
  <si>
    <r>
      <t>02622</t>
    </r>
    <r>
      <rPr>
        <sz val="11"/>
        <color theme="1"/>
        <rFont val="Calibri"/>
        <family val="2"/>
        <scheme val="minor"/>
      </rPr>
      <t xml:space="preserve"> - Design guidelines
</t>
    </r>
    <r>
      <rPr>
        <b/>
        <sz val="11"/>
        <color theme="1"/>
        <rFont val="Calibri"/>
        <family val="2"/>
        <scheme val="minor"/>
      </rPr>
      <t>02626</t>
    </r>
    <r>
      <rPr>
        <sz val="11"/>
        <color theme="1"/>
        <rFont val="Calibri"/>
        <family val="2"/>
        <scheme val="minor"/>
      </rPr>
      <t xml:space="preserve"> - Energy performance standards
</t>
    </r>
    <r>
      <rPr>
        <b/>
        <sz val="11"/>
        <color theme="1"/>
        <rFont val="Calibri"/>
        <family val="2"/>
        <scheme val="minor"/>
      </rPr>
      <t>13628</t>
    </r>
    <r>
      <rPr>
        <sz val="11"/>
        <color theme="1"/>
        <rFont val="Calibri"/>
        <family val="2"/>
        <scheme val="minor"/>
      </rPr>
      <t xml:space="preserve"> - Environmental Standards
</t>
    </r>
    <r>
      <rPr>
        <b/>
        <sz val="11"/>
        <color theme="1"/>
        <rFont val="Calibri"/>
        <family val="2"/>
        <scheme val="minor"/>
      </rPr>
      <t>02625</t>
    </r>
    <r>
      <rPr>
        <sz val="11"/>
        <color theme="1"/>
        <rFont val="Calibri"/>
        <family val="2"/>
        <scheme val="minor"/>
      </rPr>
      <t xml:space="preserve"> - Health and safety standards
</t>
    </r>
    <r>
      <rPr>
        <b/>
        <sz val="11"/>
        <color theme="1"/>
        <rFont val="Calibri"/>
        <family val="2"/>
        <scheme val="minor"/>
      </rPr>
      <t>02624</t>
    </r>
    <r>
      <rPr>
        <sz val="11"/>
        <color theme="1"/>
        <rFont val="Calibri"/>
        <family val="2"/>
        <scheme val="minor"/>
      </rPr>
      <t xml:space="preserve"> - Master construction specifications
</t>
    </r>
    <r>
      <rPr>
        <b/>
        <sz val="11"/>
        <color theme="1"/>
        <rFont val="Calibri"/>
        <family val="2"/>
        <scheme val="minor"/>
      </rPr>
      <t>02627</t>
    </r>
    <r>
      <rPr>
        <sz val="11"/>
        <color theme="1"/>
        <rFont val="Calibri"/>
        <family val="2"/>
        <scheme val="minor"/>
      </rPr>
      <t xml:space="preserve"> - Site selection guidelines
</t>
    </r>
    <r>
      <rPr>
        <b/>
        <sz val="11"/>
        <color theme="1"/>
        <rFont val="Calibri"/>
        <family val="2"/>
        <scheme val="minor"/>
      </rPr>
      <t>02623</t>
    </r>
    <r>
      <rPr>
        <sz val="11"/>
        <color theme="1"/>
        <rFont val="Calibri"/>
        <family val="2"/>
        <scheme val="minor"/>
      </rPr>
      <t xml:space="preserve"> - Space standards
</t>
    </r>
    <r>
      <rPr>
        <b/>
        <sz val="11"/>
        <color theme="1"/>
        <rFont val="Calibri"/>
        <family val="2"/>
        <scheme val="minor"/>
      </rPr>
      <t>09999</t>
    </r>
    <r>
      <rPr>
        <sz val="11"/>
        <color theme="1"/>
        <rFont val="Calibri"/>
        <family val="2"/>
        <scheme val="minor"/>
      </rPr>
      <t xml:space="preserve"> - Other
</t>
    </r>
  </si>
  <si>
    <r>
      <t>02852</t>
    </r>
    <r>
      <rPr>
        <sz val="11"/>
        <color theme="1"/>
        <rFont val="Calibri"/>
        <family val="2"/>
        <scheme val="minor"/>
      </rPr>
      <t xml:space="preserve"> - Purchased
</t>
    </r>
    <r>
      <rPr>
        <b/>
        <sz val="11"/>
        <color theme="1"/>
        <rFont val="Calibri"/>
        <family val="2"/>
        <scheme val="minor"/>
      </rPr>
      <t>02851</t>
    </r>
    <r>
      <rPr>
        <sz val="11"/>
        <color theme="1"/>
        <rFont val="Calibri"/>
        <family val="2"/>
        <scheme val="minor"/>
      </rPr>
      <t xml:space="preserve"> - Self-generated
</t>
    </r>
  </si>
  <si>
    <r>
      <t>02840</t>
    </r>
    <r>
      <rPr>
        <sz val="11"/>
        <color theme="1"/>
        <rFont val="Calibri"/>
        <family val="2"/>
        <scheme val="minor"/>
      </rPr>
      <t xml:space="preserve"> - Electricity
</t>
    </r>
    <r>
      <rPr>
        <b/>
        <sz val="11"/>
        <color theme="1"/>
        <rFont val="Calibri"/>
        <family val="2"/>
        <scheme val="minor"/>
      </rPr>
      <t>02990</t>
    </r>
    <r>
      <rPr>
        <sz val="11"/>
        <color theme="1"/>
        <rFont val="Calibri"/>
        <family val="2"/>
        <scheme val="minor"/>
      </rPr>
      <t xml:space="preserve"> - Internet service
</t>
    </r>
    <r>
      <rPr>
        <b/>
        <sz val="11"/>
        <color theme="1"/>
        <rFont val="Calibri"/>
        <family val="2"/>
        <scheme val="minor"/>
      </rPr>
      <t>02841</t>
    </r>
    <r>
      <rPr>
        <sz val="11"/>
        <color theme="1"/>
        <rFont val="Calibri"/>
        <family val="2"/>
        <scheme val="minor"/>
      </rPr>
      <t xml:space="preserve"> - Natural gas
</t>
    </r>
    <r>
      <rPr>
        <b/>
        <sz val="11"/>
        <color theme="1"/>
        <rFont val="Calibri"/>
        <family val="2"/>
        <scheme val="minor"/>
      </rPr>
      <t>02842</t>
    </r>
    <r>
      <rPr>
        <sz val="11"/>
        <color theme="1"/>
        <rFont val="Calibri"/>
        <family val="2"/>
        <scheme val="minor"/>
      </rPr>
      <t xml:space="preserve"> - Oil
</t>
    </r>
    <r>
      <rPr>
        <b/>
        <sz val="11"/>
        <color theme="1"/>
        <rFont val="Calibri"/>
        <family val="2"/>
        <scheme val="minor"/>
      </rPr>
      <t>13685</t>
    </r>
    <r>
      <rPr>
        <sz val="11"/>
        <color theme="1"/>
        <rFont val="Calibri"/>
        <family val="2"/>
        <scheme val="minor"/>
      </rPr>
      <t xml:space="preserve"> - Recycling
</t>
    </r>
    <r>
      <rPr>
        <b/>
        <sz val="11"/>
        <color theme="1"/>
        <rFont val="Calibri"/>
        <family val="2"/>
        <scheme val="minor"/>
      </rPr>
      <t>02844</t>
    </r>
    <r>
      <rPr>
        <sz val="11"/>
        <color theme="1"/>
        <rFont val="Calibri"/>
        <family val="2"/>
        <scheme val="minor"/>
      </rPr>
      <t xml:space="preserve"> - Sewer
</t>
    </r>
    <r>
      <rPr>
        <b/>
        <sz val="11"/>
        <color theme="1"/>
        <rFont val="Calibri"/>
        <family val="2"/>
        <scheme val="minor"/>
      </rPr>
      <t>02845</t>
    </r>
    <r>
      <rPr>
        <sz val="11"/>
        <color theme="1"/>
        <rFont val="Calibri"/>
        <family val="2"/>
        <scheme val="minor"/>
      </rPr>
      <t xml:space="preserve"> - Telephone
</t>
    </r>
    <r>
      <rPr>
        <b/>
        <sz val="11"/>
        <color theme="1"/>
        <rFont val="Calibri"/>
        <family val="2"/>
        <scheme val="minor"/>
      </rPr>
      <t>13686</t>
    </r>
    <r>
      <rPr>
        <sz val="11"/>
        <color theme="1"/>
        <rFont val="Calibri"/>
        <family val="2"/>
        <scheme val="minor"/>
      </rPr>
      <t xml:space="preserve"> - Waste
</t>
    </r>
    <r>
      <rPr>
        <b/>
        <sz val="11"/>
        <color theme="1"/>
        <rFont val="Calibri"/>
        <family val="2"/>
        <scheme val="minor"/>
      </rPr>
      <t>02843</t>
    </r>
    <r>
      <rPr>
        <sz val="11"/>
        <color theme="1"/>
        <rFont val="Calibri"/>
        <family val="2"/>
        <scheme val="minor"/>
      </rPr>
      <t xml:space="preserve"> - Water
</t>
    </r>
    <r>
      <rPr>
        <b/>
        <sz val="11"/>
        <color theme="1"/>
        <rFont val="Calibri"/>
        <family val="2"/>
        <scheme val="minor"/>
      </rPr>
      <t>09999</t>
    </r>
    <r>
      <rPr>
        <sz val="11"/>
        <color theme="1"/>
        <rFont val="Calibri"/>
        <family val="2"/>
        <scheme val="minor"/>
      </rPr>
      <t xml:space="preserve"> - Other
</t>
    </r>
  </si>
  <si>
    <t>Budget and Finance</t>
  </si>
  <si>
    <r>
      <t>13717</t>
    </r>
    <r>
      <rPr>
        <sz val="11"/>
        <color theme="1"/>
        <rFont val="Calibri"/>
        <family val="2"/>
        <scheme val="minor"/>
      </rPr>
      <t xml:space="preserve"> - Application fee
</t>
    </r>
    <r>
      <rPr>
        <b/>
        <sz val="11"/>
        <color theme="1"/>
        <rFont val="Calibri"/>
        <family val="2"/>
        <scheme val="minor"/>
      </rPr>
      <t>13718</t>
    </r>
    <r>
      <rPr>
        <sz val="11"/>
        <color theme="1"/>
        <rFont val="Calibri"/>
        <family val="2"/>
        <scheme val="minor"/>
      </rPr>
      <t xml:space="preserve"> - Legal fee
</t>
    </r>
    <r>
      <rPr>
        <b/>
        <sz val="11"/>
        <color theme="1"/>
        <rFont val="Calibri"/>
        <family val="2"/>
        <scheme val="minor"/>
      </rPr>
      <t>13719</t>
    </r>
    <r>
      <rPr>
        <sz val="11"/>
        <color theme="1"/>
        <rFont val="Calibri"/>
        <family val="2"/>
        <scheme val="minor"/>
      </rPr>
      <t xml:space="preserve"> - Origination fee
</t>
    </r>
  </si>
  <si>
    <r>
      <t>13720</t>
    </r>
    <r>
      <rPr>
        <sz val="11"/>
        <color theme="1"/>
        <rFont val="Calibri"/>
        <family val="2"/>
        <scheme val="minor"/>
      </rPr>
      <t xml:space="preserve"> - Base rent
</t>
    </r>
    <r>
      <rPr>
        <b/>
        <sz val="11"/>
        <color theme="1"/>
        <rFont val="Calibri"/>
        <family val="2"/>
        <scheme val="minor"/>
      </rPr>
      <t>13721</t>
    </r>
    <r>
      <rPr>
        <sz val="11"/>
        <color theme="1"/>
        <rFont val="Calibri"/>
        <family val="2"/>
        <scheme val="minor"/>
      </rPr>
      <t xml:space="preserve"> - Credit
</t>
    </r>
    <r>
      <rPr>
        <b/>
        <sz val="11"/>
        <color theme="1"/>
        <rFont val="Calibri"/>
        <family val="2"/>
        <scheme val="minor"/>
      </rPr>
      <t>13722</t>
    </r>
    <r>
      <rPr>
        <sz val="11"/>
        <color theme="1"/>
        <rFont val="Calibri"/>
        <family val="2"/>
        <scheme val="minor"/>
      </rPr>
      <t xml:space="preserve"> - Escalator
</t>
    </r>
  </si>
  <si>
    <r>
      <t>13723</t>
    </r>
    <r>
      <rPr>
        <sz val="11"/>
        <color theme="1"/>
        <rFont val="Calibri"/>
        <family val="2"/>
        <scheme val="minor"/>
      </rPr>
      <t xml:space="preserve"> - Building lease
</t>
    </r>
    <r>
      <rPr>
        <b/>
        <sz val="11"/>
        <color theme="1"/>
        <rFont val="Calibri"/>
        <family val="2"/>
        <scheme val="minor"/>
      </rPr>
      <t>13724</t>
    </r>
    <r>
      <rPr>
        <sz val="11"/>
        <color theme="1"/>
        <rFont val="Calibri"/>
        <family val="2"/>
        <scheme val="minor"/>
      </rPr>
      <t xml:space="preserve"> - Ground lease
</t>
    </r>
    <r>
      <rPr>
        <b/>
        <sz val="11"/>
        <color theme="1"/>
        <rFont val="Calibri"/>
        <family val="2"/>
        <scheme val="minor"/>
      </rPr>
      <t>13725</t>
    </r>
    <r>
      <rPr>
        <sz val="11"/>
        <color theme="1"/>
        <rFont val="Calibri"/>
        <family val="2"/>
        <scheme val="minor"/>
      </rPr>
      <t xml:space="preserve"> - Lease build to suit
</t>
    </r>
    <r>
      <rPr>
        <b/>
        <sz val="11"/>
        <color theme="1"/>
        <rFont val="Calibri"/>
        <family val="2"/>
        <scheme val="minor"/>
      </rPr>
      <t>13726</t>
    </r>
    <r>
      <rPr>
        <sz val="11"/>
        <color theme="1"/>
        <rFont val="Calibri"/>
        <family val="2"/>
        <scheme val="minor"/>
      </rPr>
      <t xml:space="preserve"> - Lease shell with significant leasehold improvements
</t>
    </r>
    <r>
      <rPr>
        <b/>
        <sz val="11"/>
        <color theme="1"/>
        <rFont val="Calibri"/>
        <family val="2"/>
        <scheme val="minor"/>
      </rPr>
      <t>13727</t>
    </r>
    <r>
      <rPr>
        <sz val="11"/>
        <color theme="1"/>
        <rFont val="Calibri"/>
        <family val="2"/>
        <scheme val="minor"/>
      </rPr>
      <t xml:space="preserve"> - Triple-net lease
</t>
    </r>
  </si>
  <si>
    <r>
      <t>13730</t>
    </r>
    <r>
      <rPr>
        <sz val="11"/>
        <color theme="1"/>
        <rFont val="Calibri"/>
        <family val="2"/>
        <scheme val="minor"/>
      </rPr>
      <t xml:space="preserve"> - Add-on interest
</t>
    </r>
    <r>
      <rPr>
        <b/>
        <sz val="11"/>
        <color theme="1"/>
        <rFont val="Calibri"/>
        <family val="2"/>
        <scheme val="minor"/>
      </rPr>
      <t>13731</t>
    </r>
    <r>
      <rPr>
        <sz val="11"/>
        <color theme="1"/>
        <rFont val="Calibri"/>
        <family val="2"/>
        <scheme val="minor"/>
      </rPr>
      <t xml:space="preserve"> - Adjustable-Rate Mortgage (ARM)
</t>
    </r>
    <r>
      <rPr>
        <b/>
        <sz val="11"/>
        <color theme="1"/>
        <rFont val="Calibri"/>
        <family val="2"/>
        <scheme val="minor"/>
      </rPr>
      <t>13732</t>
    </r>
    <r>
      <rPr>
        <sz val="11"/>
        <color theme="1"/>
        <rFont val="Calibri"/>
        <family val="2"/>
        <scheme val="minor"/>
      </rPr>
      <t xml:space="preserve"> - Balloon Mortgage
</t>
    </r>
    <r>
      <rPr>
        <b/>
        <sz val="11"/>
        <color theme="1"/>
        <rFont val="Calibri"/>
        <family val="2"/>
        <scheme val="minor"/>
      </rPr>
      <t>13733</t>
    </r>
    <r>
      <rPr>
        <sz val="11"/>
        <color theme="1"/>
        <rFont val="Calibri"/>
        <family val="2"/>
        <scheme val="minor"/>
      </rPr>
      <t xml:space="preserve"> - Deferred Interest
</t>
    </r>
    <r>
      <rPr>
        <b/>
        <sz val="11"/>
        <color theme="1"/>
        <rFont val="Calibri"/>
        <family val="2"/>
        <scheme val="minor"/>
      </rPr>
      <t>13734</t>
    </r>
    <r>
      <rPr>
        <sz val="11"/>
        <color theme="1"/>
        <rFont val="Calibri"/>
        <family val="2"/>
        <scheme val="minor"/>
      </rPr>
      <t xml:space="preserve"> - Fixed Payment Mortgage
</t>
    </r>
    <r>
      <rPr>
        <b/>
        <sz val="11"/>
        <color theme="1"/>
        <rFont val="Calibri"/>
        <family val="2"/>
        <scheme val="minor"/>
      </rPr>
      <t>13735</t>
    </r>
    <r>
      <rPr>
        <sz val="11"/>
        <color theme="1"/>
        <rFont val="Calibri"/>
        <family val="2"/>
        <scheme val="minor"/>
      </rPr>
      <t xml:space="preserve"> - Fixed-rate Mortgage
</t>
    </r>
    <r>
      <rPr>
        <b/>
        <sz val="11"/>
        <color theme="1"/>
        <rFont val="Calibri"/>
        <family val="2"/>
        <scheme val="minor"/>
      </rPr>
      <t>13736</t>
    </r>
    <r>
      <rPr>
        <sz val="11"/>
        <color theme="1"/>
        <rFont val="Calibri"/>
        <family val="2"/>
        <scheme val="minor"/>
      </rPr>
      <t xml:space="preserve"> - Floating Rate
</t>
    </r>
    <r>
      <rPr>
        <b/>
        <sz val="11"/>
        <color theme="1"/>
        <rFont val="Calibri"/>
        <family val="2"/>
        <scheme val="minor"/>
      </rPr>
      <t>13737</t>
    </r>
    <r>
      <rPr>
        <sz val="11"/>
        <color theme="1"/>
        <rFont val="Calibri"/>
        <family val="2"/>
        <scheme val="minor"/>
      </rPr>
      <t xml:space="preserve"> - Fully Amortizing Mortgage
</t>
    </r>
    <r>
      <rPr>
        <b/>
        <sz val="11"/>
        <color theme="1"/>
        <rFont val="Calibri"/>
        <family val="2"/>
        <scheme val="minor"/>
      </rPr>
      <t>13738</t>
    </r>
    <r>
      <rPr>
        <sz val="11"/>
        <color theme="1"/>
        <rFont val="Calibri"/>
        <family val="2"/>
        <scheme val="minor"/>
      </rPr>
      <t xml:space="preserve"> - Graduated-payment Mortgage (GPM)
</t>
    </r>
    <r>
      <rPr>
        <b/>
        <sz val="11"/>
        <color theme="1"/>
        <rFont val="Calibri"/>
        <family val="2"/>
        <scheme val="minor"/>
      </rPr>
      <t>13739</t>
    </r>
    <r>
      <rPr>
        <sz val="11"/>
        <color theme="1"/>
        <rFont val="Calibri"/>
        <family val="2"/>
        <scheme val="minor"/>
      </rPr>
      <t xml:space="preserve"> - Interest-only loan
</t>
    </r>
    <r>
      <rPr>
        <b/>
        <sz val="11"/>
        <color theme="1"/>
        <rFont val="Calibri"/>
        <family val="2"/>
        <scheme val="minor"/>
      </rPr>
      <t>13740</t>
    </r>
    <r>
      <rPr>
        <sz val="11"/>
        <color theme="1"/>
        <rFont val="Calibri"/>
        <family val="2"/>
        <scheme val="minor"/>
      </rPr>
      <t xml:space="preserve"> - Open-end Mortgage
</t>
    </r>
  </si>
  <si>
    <r>
      <t>13741</t>
    </r>
    <r>
      <rPr>
        <sz val="11"/>
        <color theme="1"/>
        <rFont val="Calibri"/>
        <family val="2"/>
        <scheme val="minor"/>
      </rPr>
      <t xml:space="preserve"> - Junior Mortgage
</t>
    </r>
    <r>
      <rPr>
        <b/>
        <sz val="11"/>
        <color theme="1"/>
        <rFont val="Calibri"/>
        <family val="2"/>
        <scheme val="minor"/>
      </rPr>
      <t>13742</t>
    </r>
    <r>
      <rPr>
        <sz val="11"/>
        <color theme="1"/>
        <rFont val="Calibri"/>
        <family val="2"/>
        <scheme val="minor"/>
      </rPr>
      <t xml:space="preserve"> - Multiple
</t>
    </r>
    <r>
      <rPr>
        <b/>
        <sz val="11"/>
        <color theme="1"/>
        <rFont val="Calibri"/>
        <family val="2"/>
        <scheme val="minor"/>
      </rPr>
      <t>13743</t>
    </r>
    <r>
      <rPr>
        <sz val="11"/>
        <color theme="1"/>
        <rFont val="Calibri"/>
        <family val="2"/>
        <scheme val="minor"/>
      </rPr>
      <t xml:space="preserve"> - Senior or first mortgage
</t>
    </r>
  </si>
  <si>
    <t>Implementation Variables</t>
  </si>
  <si>
    <t>Report</t>
  </si>
  <si>
    <t>Authentication and Authorization</t>
  </si>
  <si>
    <t>Authentication Identity Provider</t>
  </si>
  <si>
    <t>Authorization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</si>
</sst>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16" fillId="33" borderId="10" xfId="0" applyFont="1" applyFill="1" applyBorder="1" applyAlignment="1">
      <alignment horizontal="left" wrapText="1"/>
    </xf>
    <xf numFmtId="164" fontId="16" fillId="33" borderId="10" xfId="0" applyNumberFormat="1" applyFont="1" applyFill="1" applyBorder="1" applyAlignment="1">
      <alignment horizontal="left" wrapText="1"/>
    </xf>
    <xf numFmtId="0" fontId="16" fillId="33" borderId="0" xfId="0" applyFont="1" applyFill="1" applyBorder="1" applyAlignment="1">
      <alignment horizontal="left" wrapText="1"/>
    </xf>
    <xf numFmtId="0" fontId="16" fillId="33" borderId="11" xfId="0" applyFont="1" applyFill="1" applyBorder="1" applyAlignment="1">
      <alignment horizontal="left" wrapText="1"/>
    </xf>
    <xf numFmtId="164" fontId="16" fillId="33" borderId="11" xfId="0" applyNumberFormat="1" applyFont="1" applyFill="1" applyBorder="1" applyAlignment="1">
      <alignment horizontal="left" wrapText="1"/>
    </xf>
    <xf numFmtId="0" fontId="18" fillId="0" borderId="10" xfId="42" applyBorder="1" applyAlignment="1">
      <alignment vertical="top" wrapText="1"/>
    </xf>
    <xf numFmtId="0" fontId="16" fillId="33" borderId="0" xfId="0" applyFont="1" applyFill="1" applyAlignment="1">
      <alignment horizontal="left" wrapText="1"/>
    </xf>
    <xf numFmtId="0" fontId="16" fillId="0" borderId="10" xfId="0" applyFont="1" applyBorder="1" applyAlignment="1">
      <alignment vertical="top" wrapText="1"/>
    </xf>
    <xf numFmtId="0" fontId="16" fillId="33" borderId="10" xfId="0" applyFont="1" applyFill="1" applyBorder="1" applyAlignment="1">
      <alignment horizontal="left" vertical="top" wrapText="1"/>
    </xf>
    <xf numFmtId="164" fontId="16" fillId="33" borderId="10" xfId="0" applyNumberFormat="1" applyFont="1" applyFill="1" applyBorder="1" applyAlignment="1">
      <alignment horizontal="left" vertical="top" wrapText="1"/>
    </xf>
    <xf numFmtId="0" fontId="0" fillId="0" borderId="10" xfId="0" applyBorder="1" applyAlignment="1">
      <alignment vertical="top" wrapText="1"/>
    </xf>
    <xf numFmtId="0" fontId="19" fillId="0" borderId="10" xfId="0" applyFont="1" applyBorder="1" applyAlignment="1">
      <alignment vertical="top" wrapText="1"/>
    </xf>
    <xf numFmtId="0" fontId="20" fillId="0" borderId="10" xfId="0" applyFont="1" applyBorder="1" applyAlignment="1">
      <alignment vertical="top" wrapText="1"/>
    </xf>
    <xf numFmtId="0" fontId="0" fillId="0" borderId="10" xfId="0" applyBorder="1" applyAlignment="1">
      <alignment vertical="top" wrapText="1"/>
    </xf>
    <xf numFmtId="0" fontId="19" fillId="0" borderId="10" xfId="0" applyFont="1" applyBorder="1" applyAlignment="1">
      <alignment vertical="top" wrapText="1"/>
    </xf>
    <xf numFmtId="0" fontId="0" fillId="0" borderId="10" xfId="0" applyBorder="1" applyAlignment="1">
      <alignment vertical="top" wrapText="1"/>
    </xf>
    <xf numFmtId="0" fontId="20" fillId="0" borderId="10" xfId="0" applyFont="1" applyBorder="1" applyAlignment="1">
      <alignment vertical="top" wrapText="1"/>
    </xf>
    <xf numFmtId="0" fontId="16" fillId="0" borderId="10" xfId="0" applyFont="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16" fillId="0" borderId="11" xfId="0" applyFont="1" applyBorder="1" applyAlignment="1">
      <alignment vertical="top" wrapText="1"/>
    </xf>
    <xf numFmtId="0" fontId="16" fillId="0" borderId="12" xfId="0" applyFont="1" applyBorder="1" applyAlignment="1">
      <alignment vertical="top" wrapText="1"/>
    </xf>
    <xf numFmtId="0" fontId="16" fillId="0" borderId="13" xfId="0" applyFon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iso.org/iso/country_codes.htm" TargetMode="External"/><Relationship Id="rId13" Type="http://schemas.openxmlformats.org/officeDocument/2006/relationships/hyperlink" Target="https://w3id.org/xapi/adl" TargetMode="External"/><Relationship Id="rId18" Type="http://schemas.openxmlformats.org/officeDocument/2006/relationships/printerSettings" Target="../printerSettings/printerSettings2.bin"/><Relationship Id="rId3" Type="http://schemas.openxmlformats.org/officeDocument/2006/relationships/hyperlink" Target="http://www.loc.gov/standards/iso639-2/langhome.html" TargetMode="External"/><Relationship Id="rId7" Type="http://schemas.openxmlformats.org/officeDocument/2006/relationships/hyperlink" Target="http://www.loc.gov/standards/iso639-2/langhome.html" TargetMode="External"/><Relationship Id="rId12" Type="http://schemas.openxmlformats.org/officeDocument/2006/relationships/hyperlink" Target="http://www.loc.gov/standards/iso639-5/index.html" TargetMode="External"/><Relationship Id="rId17" Type="http://schemas.openxmlformats.org/officeDocument/2006/relationships/hyperlink" Target="https://nces.ed.gov/forum/SCED.asp" TargetMode="External"/><Relationship Id="rId2" Type="http://schemas.openxmlformats.org/officeDocument/2006/relationships/hyperlink" Target="http://www.loc.gov/standards/iso639-2/langhome.html" TargetMode="External"/><Relationship Id="rId16" Type="http://schemas.openxmlformats.org/officeDocument/2006/relationships/hyperlink" Target="http://www.loc.gov/standards/iso639-2/langhome.html" TargetMode="External"/><Relationship Id="rId1" Type="http://schemas.openxmlformats.org/officeDocument/2006/relationships/hyperlink" Target="http://www.loc.gov/standards/iso639-2/langhome.html" TargetMode="External"/><Relationship Id="rId6" Type="http://schemas.openxmlformats.org/officeDocument/2006/relationships/hyperlink" Target="http://www.loc.gov/standards/iso639-2/langhome.html" TargetMode="External"/><Relationship Id="rId11" Type="http://schemas.openxmlformats.org/officeDocument/2006/relationships/hyperlink" Target="http://www-01.sil.org/iso639-3/default.asp" TargetMode="External"/><Relationship Id="rId5" Type="http://schemas.openxmlformats.org/officeDocument/2006/relationships/hyperlink" Target="http://www.loc.gov/standards/iso639-2/langhome.html" TargetMode="External"/><Relationship Id="rId15" Type="http://schemas.openxmlformats.org/officeDocument/2006/relationships/hyperlink" Target="http://www.loc.gov/standards/iso639-2/langhome.html" TargetMode="External"/><Relationship Id="rId10" Type="http://schemas.openxmlformats.org/officeDocument/2006/relationships/hyperlink" Target="http://www.loc.gov/standards/iso639-2/langhome.html" TargetMode="External"/><Relationship Id="rId4" Type="http://schemas.openxmlformats.org/officeDocument/2006/relationships/hyperlink" Target="http://www.loc.gov/standards/iso639-2/langhome.html" TargetMode="External"/><Relationship Id="rId9" Type="http://schemas.openxmlformats.org/officeDocument/2006/relationships/hyperlink" Target="http://www.loc.gov/standards/iso639-2/langhome.html" TargetMode="External"/><Relationship Id="rId14" Type="http://schemas.openxmlformats.org/officeDocument/2006/relationships/hyperlink" Target="http://www.loc.gov/standards/iso639-2/langhom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nces.ed.gov/pubs2015/fin_acct/chapter6_1.asp" TargetMode="External"/><Relationship Id="rId18" Type="http://schemas.openxmlformats.org/officeDocument/2006/relationships/hyperlink" Target="http://nces.ed.gov/pubs2015/fin_acct/chapter6_6.asp" TargetMode="External"/><Relationship Id="rId26" Type="http://schemas.openxmlformats.org/officeDocument/2006/relationships/hyperlink" Target="http://www.loc.gov/standards/iso639-2/langhome.html" TargetMode="External"/><Relationship Id="rId39" Type="http://schemas.openxmlformats.org/officeDocument/2006/relationships/hyperlink" Target="http://www.loc.gov/standards/iso639-2/langhome.html" TargetMode="External"/><Relationship Id="rId21" Type="http://schemas.openxmlformats.org/officeDocument/2006/relationships/hyperlink" Target="http://www.loc.gov/standards/iso639-2/langhome.html" TargetMode="External"/><Relationship Id="rId34" Type="http://schemas.openxmlformats.org/officeDocument/2006/relationships/hyperlink" Target="https://ceds.ed.gov/pdf/ceds-addresses-professional-development-data-elements.pdf" TargetMode="External"/><Relationship Id="rId7" Type="http://schemas.openxmlformats.org/officeDocument/2006/relationships/hyperlink" Target="http://geojson.org/geojson-spec.html" TargetMode="External"/><Relationship Id="rId2" Type="http://schemas.openxmlformats.org/officeDocument/2006/relationships/hyperlink" Target="http://www.loc.gov/standards/iso639-2/langhome.html" TargetMode="External"/><Relationship Id="rId16" Type="http://schemas.openxmlformats.org/officeDocument/2006/relationships/hyperlink" Target="http://nces.ed.gov/pubs2015/fin_acct/chapter6_5.asp" TargetMode="External"/><Relationship Id="rId20" Type="http://schemas.openxmlformats.org/officeDocument/2006/relationships/hyperlink" Target="http://idea.ed.gov/part-c/statutes" TargetMode="External"/><Relationship Id="rId29" Type="http://schemas.openxmlformats.org/officeDocument/2006/relationships/hyperlink" Target="http://www.loc.gov/standards/iso639-2/langhome.html" TargetMode="External"/><Relationship Id="rId41" Type="http://schemas.openxmlformats.org/officeDocument/2006/relationships/printerSettings" Target="../printerSettings/printerSettings4.bin"/><Relationship Id="rId1" Type="http://schemas.openxmlformats.org/officeDocument/2006/relationships/hyperlink" Target="http://www.loc.gov/standards/iso639-2/langhome.html" TargetMode="External"/><Relationship Id="rId6" Type="http://schemas.openxmlformats.org/officeDocument/2006/relationships/hyperlink" Target="http://www.iso.org/iso/country_codes.htm" TargetMode="External"/><Relationship Id="rId11" Type="http://schemas.openxmlformats.org/officeDocument/2006/relationships/hyperlink" Target="http://degreeprofile.org/" TargetMode="External"/><Relationship Id="rId24" Type="http://schemas.openxmlformats.org/officeDocument/2006/relationships/hyperlink" Target="http://www.loc.gov/standards/iso639-5/index.html" TargetMode="External"/><Relationship Id="rId32" Type="http://schemas.openxmlformats.org/officeDocument/2006/relationships/hyperlink" Target="https://ceds.ed.gov/pdf/ceds-addresses-professional-development-data-elements.pdf" TargetMode="External"/><Relationship Id="rId37" Type="http://schemas.openxmlformats.org/officeDocument/2006/relationships/hyperlink" Target="https://ceds.ed.gov/element/000202" TargetMode="External"/><Relationship Id="rId40" Type="http://schemas.openxmlformats.org/officeDocument/2006/relationships/hyperlink" Target="http://www.loc.gov/standards/iso639-2/langhome.html" TargetMode="External"/><Relationship Id="rId5" Type="http://schemas.openxmlformats.org/officeDocument/2006/relationships/hyperlink" Target="http://www.iso.org/iso/country_codes.htm" TargetMode="External"/><Relationship Id="rId15" Type="http://schemas.openxmlformats.org/officeDocument/2006/relationships/hyperlink" Target="http://nces.ed.gov/pubs2015/fin_acct/chapter6_4.asp" TargetMode="External"/><Relationship Id="rId23" Type="http://schemas.openxmlformats.org/officeDocument/2006/relationships/hyperlink" Target="http://www-01.sil.org/iso639-3/default.asp" TargetMode="External"/><Relationship Id="rId28" Type="http://schemas.openxmlformats.org/officeDocument/2006/relationships/hyperlink" Target="https://www.onetcenter.org/taxonomy/2010/data_coll.html" TargetMode="External"/><Relationship Id="rId36" Type="http://schemas.openxmlformats.org/officeDocument/2006/relationships/hyperlink" Target="https://ceds.ed.gov/pdf/ceds-addresses-professional-development-data-elements.pdf" TargetMode="External"/><Relationship Id="rId10" Type="http://schemas.openxmlformats.org/officeDocument/2006/relationships/hyperlink" Target="https://credreg.net/ctdl/terms/Credential" TargetMode="External"/><Relationship Id="rId19" Type="http://schemas.openxmlformats.org/officeDocument/2006/relationships/hyperlink" Target="http://nces.ed.gov/pubs2015/fin_acct/chapter6_7.asp" TargetMode="External"/><Relationship Id="rId31" Type="http://schemas.openxmlformats.org/officeDocument/2006/relationships/hyperlink" Target="https://nces.ed.gov/forum/SCED.asp" TargetMode="External"/><Relationship Id="rId4" Type="http://schemas.openxmlformats.org/officeDocument/2006/relationships/hyperlink" Target="http://www.loc.gov/standards/iso639-2/langhome.html" TargetMode="External"/><Relationship Id="rId9" Type="http://schemas.openxmlformats.org/officeDocument/2006/relationships/hyperlink" Target="http://openbadges.github.io/openbadges-specification/" TargetMode="External"/><Relationship Id="rId14" Type="http://schemas.openxmlformats.org/officeDocument/2006/relationships/hyperlink" Target="http://nces.ed.gov/pubs2015/fin_acct/chapter6_2.asp" TargetMode="External"/><Relationship Id="rId22" Type="http://schemas.openxmlformats.org/officeDocument/2006/relationships/hyperlink" Target="http://www.loc.gov/standards/iso639-2/langhome.html" TargetMode="External"/><Relationship Id="rId27" Type="http://schemas.openxmlformats.org/officeDocument/2006/relationships/hyperlink" Target="http://www.loc.gov/standards/iso639-2/langhome.html" TargetMode="External"/><Relationship Id="rId30" Type="http://schemas.openxmlformats.org/officeDocument/2006/relationships/hyperlink" Target="http://www.iso.org/iso/country_codes.htm" TargetMode="External"/><Relationship Id="rId35" Type="http://schemas.openxmlformats.org/officeDocument/2006/relationships/hyperlink" Target="https://ceds.ed.gov/pdf/ceds-addresses-professional-development-data-elements.pdf" TargetMode="External"/><Relationship Id="rId8" Type="http://schemas.openxmlformats.org/officeDocument/2006/relationships/hyperlink" Target="http://geojson.org/geojson-spec.html" TargetMode="External"/><Relationship Id="rId3" Type="http://schemas.openxmlformats.org/officeDocument/2006/relationships/hyperlink" Target="http://www.loc.gov/standards/iso639-2/langhome.html" TargetMode="External"/><Relationship Id="rId12" Type="http://schemas.openxmlformats.org/officeDocument/2006/relationships/hyperlink" Target="http://nces.ed.gov/pubs2015/fin_acct/chapter6_3.asp" TargetMode="External"/><Relationship Id="rId17" Type="http://schemas.openxmlformats.org/officeDocument/2006/relationships/hyperlink" Target="http://nces.ed.gov/pubs2015/fin_acct/chapter6_8.asp" TargetMode="External"/><Relationship Id="rId25" Type="http://schemas.openxmlformats.org/officeDocument/2006/relationships/hyperlink" Target="https://w3id.org/xapi/adl" TargetMode="External"/><Relationship Id="rId33" Type="http://schemas.openxmlformats.org/officeDocument/2006/relationships/hyperlink" Target="https://ceds.ed.gov/pdf/ceds-addresses-professional-development-data-elements.pdf" TargetMode="External"/><Relationship Id="rId38" Type="http://schemas.openxmlformats.org/officeDocument/2006/relationships/hyperlink" Target="http://www.loc.gov/standards/iso639-2/langhome.html"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www.iso.org/iso/country_codes.htm" TargetMode="External"/><Relationship Id="rId21" Type="http://schemas.openxmlformats.org/officeDocument/2006/relationships/hyperlink" Target="https://ceds.ed.gov/pdf/ceds-addresses-professional-development-data-elements.pdf" TargetMode="External"/><Relationship Id="rId42" Type="http://schemas.openxmlformats.org/officeDocument/2006/relationships/hyperlink" Target="http://nces.ed.gov/pubs2015/fin_acct/chapter6_7.asp" TargetMode="External"/><Relationship Id="rId63" Type="http://schemas.openxmlformats.org/officeDocument/2006/relationships/hyperlink" Target="http://www.loc.gov/standards/iso639-5/index.html" TargetMode="External"/><Relationship Id="rId84" Type="http://schemas.openxmlformats.org/officeDocument/2006/relationships/hyperlink" Target="http://www.loc.gov/standards/iso639-2/langhome.html" TargetMode="External"/><Relationship Id="rId138" Type="http://schemas.openxmlformats.org/officeDocument/2006/relationships/hyperlink" Target="http://degreeprofile.org/" TargetMode="External"/><Relationship Id="rId159" Type="http://schemas.openxmlformats.org/officeDocument/2006/relationships/hyperlink" Target="https://credreg.net/ctdl/terms/Credential" TargetMode="External"/><Relationship Id="rId107" Type="http://schemas.openxmlformats.org/officeDocument/2006/relationships/hyperlink" Target="http://www.iso.org/iso/country_codes.htm" TargetMode="External"/><Relationship Id="rId11" Type="http://schemas.openxmlformats.org/officeDocument/2006/relationships/hyperlink" Target="http://www.iso.org/iso/country_codes.htm" TargetMode="External"/><Relationship Id="rId32" Type="http://schemas.openxmlformats.org/officeDocument/2006/relationships/hyperlink" Target="http://nces.ed.gov/pubs2015/fin_acct/chapter6_3.asp" TargetMode="External"/><Relationship Id="rId53" Type="http://schemas.openxmlformats.org/officeDocument/2006/relationships/hyperlink" Target="http://nces.ed.gov/pubs2015/fin_acct/chapter6_8.asp" TargetMode="External"/><Relationship Id="rId74" Type="http://schemas.openxmlformats.org/officeDocument/2006/relationships/hyperlink" Target="https://ceds.ed.gov/pdf/ceds-addresses-professional-development-data-elements.pdf" TargetMode="External"/><Relationship Id="rId128" Type="http://schemas.openxmlformats.org/officeDocument/2006/relationships/hyperlink" Target="http://www.loc.gov/standards/iso639-2/langhome.html" TargetMode="External"/><Relationship Id="rId149" Type="http://schemas.openxmlformats.org/officeDocument/2006/relationships/hyperlink" Target="http://www-01.sil.org/iso639-3/default.asp" TargetMode="External"/><Relationship Id="rId5" Type="http://schemas.openxmlformats.org/officeDocument/2006/relationships/hyperlink" Target="http://www.iso.org/iso/country_codes.htm" TargetMode="External"/><Relationship Id="rId95" Type="http://schemas.openxmlformats.org/officeDocument/2006/relationships/hyperlink" Target="http://www.iso.org/iso/country_codes.htm" TargetMode="External"/><Relationship Id="rId160" Type="http://schemas.openxmlformats.org/officeDocument/2006/relationships/hyperlink" Target="http://www.loc.gov/standards/iso639-2/langhome.html" TargetMode="External"/><Relationship Id="rId22" Type="http://schemas.openxmlformats.org/officeDocument/2006/relationships/hyperlink" Target="https://ceds.ed.gov/pdf/ceds-addresses-professional-development-data-elements.pdf" TargetMode="External"/><Relationship Id="rId43" Type="http://schemas.openxmlformats.org/officeDocument/2006/relationships/hyperlink" Target="http://nces.ed.gov/pubs2015/fin_acct/chapter6_3.asp" TargetMode="External"/><Relationship Id="rId64" Type="http://schemas.openxmlformats.org/officeDocument/2006/relationships/hyperlink" Target="https://nces.ed.gov/forum/SCED.asp" TargetMode="External"/><Relationship Id="rId118" Type="http://schemas.openxmlformats.org/officeDocument/2006/relationships/hyperlink" Target="http://www.iso.org/iso/country_codes.htm" TargetMode="External"/><Relationship Id="rId139" Type="http://schemas.openxmlformats.org/officeDocument/2006/relationships/hyperlink" Target="http://www.loc.gov/standards/iso639-2/langhome.html" TargetMode="External"/><Relationship Id="rId85" Type="http://schemas.openxmlformats.org/officeDocument/2006/relationships/hyperlink" Target="http://nces.ed.gov/pubs2015/fin_acct/chapter6_3.asp" TargetMode="External"/><Relationship Id="rId150" Type="http://schemas.openxmlformats.org/officeDocument/2006/relationships/hyperlink" Target="http://www.loc.gov/standards/iso639-5/index.html" TargetMode="External"/><Relationship Id="rId12" Type="http://schemas.openxmlformats.org/officeDocument/2006/relationships/hyperlink" Target="http://www.iso.org/iso/country_codes.htm" TargetMode="External"/><Relationship Id="rId17" Type="http://schemas.openxmlformats.org/officeDocument/2006/relationships/hyperlink" Target="http://www.iso.org/iso/country_codes.htm" TargetMode="External"/><Relationship Id="rId33" Type="http://schemas.openxmlformats.org/officeDocument/2006/relationships/hyperlink" Target="http://nces.ed.gov/pubs2015/fin_acct/chapter6_1.asp" TargetMode="External"/><Relationship Id="rId38" Type="http://schemas.openxmlformats.org/officeDocument/2006/relationships/hyperlink" Target="http://nces.ed.gov/pubs2015/fin_acct/chapter6_4.asp" TargetMode="External"/><Relationship Id="rId59" Type="http://schemas.openxmlformats.org/officeDocument/2006/relationships/hyperlink" Target="http://www.iso.org/iso/country_codes.htm" TargetMode="External"/><Relationship Id="rId103" Type="http://schemas.openxmlformats.org/officeDocument/2006/relationships/hyperlink" Target="http://www.loc.gov/standards/iso639-2/langhome.html" TargetMode="External"/><Relationship Id="rId108" Type="http://schemas.openxmlformats.org/officeDocument/2006/relationships/hyperlink" Target="http://www.loc.gov/standards/iso639-2/langhome.html" TargetMode="External"/><Relationship Id="rId124" Type="http://schemas.openxmlformats.org/officeDocument/2006/relationships/hyperlink" Target="http://www.loc.gov/standards/iso639-2/langhome.html" TargetMode="External"/><Relationship Id="rId129" Type="http://schemas.openxmlformats.org/officeDocument/2006/relationships/hyperlink" Target="http://www-01.sil.org/iso639-3/default.asp" TargetMode="External"/><Relationship Id="rId54" Type="http://schemas.openxmlformats.org/officeDocument/2006/relationships/hyperlink" Target="http://nces.ed.gov/pubs2015/fin_acct/chapter6_7.asp" TargetMode="External"/><Relationship Id="rId70" Type="http://schemas.openxmlformats.org/officeDocument/2006/relationships/hyperlink" Target="http://www-01.sil.org/iso639-3/default.asp" TargetMode="External"/><Relationship Id="rId75" Type="http://schemas.openxmlformats.org/officeDocument/2006/relationships/hyperlink" Target="http://www.loc.gov/standards/iso639-2/langhome.html" TargetMode="External"/><Relationship Id="rId91" Type="http://schemas.openxmlformats.org/officeDocument/2006/relationships/hyperlink" Target="http://nces.ed.gov/pubs2015/fin_acct/chapter6_8.asp" TargetMode="External"/><Relationship Id="rId96" Type="http://schemas.openxmlformats.org/officeDocument/2006/relationships/hyperlink" Target="http://degreeprofile.org/" TargetMode="External"/><Relationship Id="rId140" Type="http://schemas.openxmlformats.org/officeDocument/2006/relationships/hyperlink" Target="http://www-01.sil.org/iso639-3/default.asp" TargetMode="External"/><Relationship Id="rId145" Type="http://schemas.openxmlformats.org/officeDocument/2006/relationships/hyperlink" Target="http://www-01.sil.org/iso639-3/default.asp" TargetMode="External"/><Relationship Id="rId161" Type="http://schemas.openxmlformats.org/officeDocument/2006/relationships/hyperlink" Target="http://www.loc.gov/standards/iso639-2/langhome.html" TargetMode="External"/><Relationship Id="rId1" Type="http://schemas.openxmlformats.org/officeDocument/2006/relationships/hyperlink" Target="http://www.iso.org/iso/country_codes.htm" TargetMode="External"/><Relationship Id="rId6" Type="http://schemas.openxmlformats.org/officeDocument/2006/relationships/hyperlink" Target="http://www.iso.org/iso/country_codes.htm" TargetMode="External"/><Relationship Id="rId23" Type="http://schemas.openxmlformats.org/officeDocument/2006/relationships/hyperlink" Target="http://www.loc.gov/standards/iso639-2/langhome.html" TargetMode="External"/><Relationship Id="rId28" Type="http://schemas.openxmlformats.org/officeDocument/2006/relationships/hyperlink" Target="http://nces.ed.gov/pubs2015/fin_acct/chapter6_5.asp" TargetMode="External"/><Relationship Id="rId49" Type="http://schemas.openxmlformats.org/officeDocument/2006/relationships/hyperlink" Target="http://www.iso.org/iso/country_codes.htm" TargetMode="External"/><Relationship Id="rId114" Type="http://schemas.openxmlformats.org/officeDocument/2006/relationships/hyperlink" Target="http://www.loc.gov/standards/iso639-2/langhome.html" TargetMode="External"/><Relationship Id="rId119" Type="http://schemas.openxmlformats.org/officeDocument/2006/relationships/hyperlink" Target="http://www.loc.gov/standards/iso639-2/langhome.html" TargetMode="External"/><Relationship Id="rId44" Type="http://schemas.openxmlformats.org/officeDocument/2006/relationships/hyperlink" Target="http://nces.ed.gov/pubs2015/fin_acct/chapter6_1.asp" TargetMode="External"/><Relationship Id="rId60" Type="http://schemas.openxmlformats.org/officeDocument/2006/relationships/hyperlink" Target="https://ceds.ed.gov/element/000202" TargetMode="External"/><Relationship Id="rId65" Type="http://schemas.openxmlformats.org/officeDocument/2006/relationships/hyperlink" Target="http://www.iso.org/iso/country_codes.htm" TargetMode="External"/><Relationship Id="rId81" Type="http://schemas.openxmlformats.org/officeDocument/2006/relationships/hyperlink" Target="http://www.loc.gov/standards/iso639-5/index.html" TargetMode="External"/><Relationship Id="rId86" Type="http://schemas.openxmlformats.org/officeDocument/2006/relationships/hyperlink" Target="http://nces.ed.gov/pubs2015/fin_acct/chapter6_1.asp" TargetMode="External"/><Relationship Id="rId130" Type="http://schemas.openxmlformats.org/officeDocument/2006/relationships/hyperlink" Target="http://www.loc.gov/standards/iso639-5/index.html" TargetMode="External"/><Relationship Id="rId135" Type="http://schemas.openxmlformats.org/officeDocument/2006/relationships/hyperlink" Target="http://www.loc.gov/standards/iso639-5/index.html" TargetMode="External"/><Relationship Id="rId151" Type="http://schemas.openxmlformats.org/officeDocument/2006/relationships/hyperlink" Target="http://www.loc.gov/standards/iso639-2/langhome.html" TargetMode="External"/><Relationship Id="rId156" Type="http://schemas.openxmlformats.org/officeDocument/2006/relationships/hyperlink" Target="http://geojson.org/geojson-spec.html" TargetMode="External"/><Relationship Id="rId13" Type="http://schemas.openxmlformats.org/officeDocument/2006/relationships/hyperlink" Target="http://www.loc.gov/standards/iso639-2/langhome.html" TargetMode="External"/><Relationship Id="rId18" Type="http://schemas.openxmlformats.org/officeDocument/2006/relationships/hyperlink" Target="http://www.loc.gov/standards/iso639-2/langhome.html" TargetMode="External"/><Relationship Id="rId39" Type="http://schemas.openxmlformats.org/officeDocument/2006/relationships/hyperlink" Target="http://nces.ed.gov/pubs2015/fin_acct/chapter6_5.asp" TargetMode="External"/><Relationship Id="rId109" Type="http://schemas.openxmlformats.org/officeDocument/2006/relationships/hyperlink" Target="http://www-01.sil.org/iso639-3/default.asp" TargetMode="External"/><Relationship Id="rId34" Type="http://schemas.openxmlformats.org/officeDocument/2006/relationships/hyperlink" Target="http://nces.ed.gov/pubs2015/fin_acct/chapter6_2.asp" TargetMode="External"/><Relationship Id="rId50" Type="http://schemas.openxmlformats.org/officeDocument/2006/relationships/hyperlink" Target="http://nces.ed.gov/pubs2015/fin_acct/chapter6_4.asp" TargetMode="External"/><Relationship Id="rId55" Type="http://schemas.openxmlformats.org/officeDocument/2006/relationships/hyperlink" Target="http://nces.ed.gov/pubs2015/fin_acct/chapter6_3.asp" TargetMode="External"/><Relationship Id="rId76" Type="http://schemas.openxmlformats.org/officeDocument/2006/relationships/hyperlink" Target="https://ceds.ed.gov/pdf/ceds-addresses-professional-development-data-elements.pdf" TargetMode="External"/><Relationship Id="rId97" Type="http://schemas.openxmlformats.org/officeDocument/2006/relationships/hyperlink" Target="http://degreeprofile.org/" TargetMode="External"/><Relationship Id="rId104" Type="http://schemas.openxmlformats.org/officeDocument/2006/relationships/hyperlink" Target="http://www-01.sil.org/iso639-3/default.asp" TargetMode="External"/><Relationship Id="rId120" Type="http://schemas.openxmlformats.org/officeDocument/2006/relationships/hyperlink" Target="http://www-01.sil.org/iso639-3/default.asp" TargetMode="External"/><Relationship Id="rId125" Type="http://schemas.openxmlformats.org/officeDocument/2006/relationships/hyperlink" Target="http://www.iso.org/iso/country_codes.htm" TargetMode="External"/><Relationship Id="rId141" Type="http://schemas.openxmlformats.org/officeDocument/2006/relationships/hyperlink" Target="http://www.loc.gov/standards/iso639-5/index.html" TargetMode="External"/><Relationship Id="rId146" Type="http://schemas.openxmlformats.org/officeDocument/2006/relationships/hyperlink" Target="http://www.loc.gov/standards/iso639-5/index.html" TargetMode="External"/><Relationship Id="rId7" Type="http://schemas.openxmlformats.org/officeDocument/2006/relationships/hyperlink" Target="http://www.loc.gov/standards/iso639-2/langhome.html" TargetMode="External"/><Relationship Id="rId71" Type="http://schemas.openxmlformats.org/officeDocument/2006/relationships/hyperlink" Target="http://www.loc.gov/standards/iso639-5/index.html" TargetMode="External"/><Relationship Id="rId92" Type="http://schemas.openxmlformats.org/officeDocument/2006/relationships/hyperlink" Target="http://nces.ed.gov/pubs2015/fin_acct/chapter6_7.asp" TargetMode="External"/><Relationship Id="rId162" Type="http://schemas.openxmlformats.org/officeDocument/2006/relationships/hyperlink" Target="http://www.loc.gov/standards/iso639-2/langhome.html" TargetMode="External"/><Relationship Id="rId2" Type="http://schemas.openxmlformats.org/officeDocument/2006/relationships/hyperlink" Target="https://ceds.ed.gov/pdf/ceds-addresses-professional-development-data-elements.pdf" TargetMode="External"/><Relationship Id="rId29" Type="http://schemas.openxmlformats.org/officeDocument/2006/relationships/hyperlink" Target="http://nces.ed.gov/pubs2015/fin_acct/chapter6_6.asp" TargetMode="External"/><Relationship Id="rId24" Type="http://schemas.openxmlformats.org/officeDocument/2006/relationships/hyperlink" Target="https://ceds.ed.gov/pdf/ceds-addresses-professional-development-data-elements.pdf" TargetMode="External"/><Relationship Id="rId40" Type="http://schemas.openxmlformats.org/officeDocument/2006/relationships/hyperlink" Target="http://nces.ed.gov/pubs2015/fin_acct/chapter6_6.asp" TargetMode="External"/><Relationship Id="rId45" Type="http://schemas.openxmlformats.org/officeDocument/2006/relationships/hyperlink" Target="http://nces.ed.gov/pubs2015/fin_acct/chapter6_2.asp" TargetMode="External"/><Relationship Id="rId66" Type="http://schemas.openxmlformats.org/officeDocument/2006/relationships/hyperlink" Target="https://w3id.org/xapi/adl" TargetMode="External"/><Relationship Id="rId87" Type="http://schemas.openxmlformats.org/officeDocument/2006/relationships/hyperlink" Target="http://nces.ed.gov/pubs2015/fin_acct/chapter6_2.asp" TargetMode="External"/><Relationship Id="rId110" Type="http://schemas.openxmlformats.org/officeDocument/2006/relationships/hyperlink" Target="http://www.loc.gov/standards/iso639-5/index.html" TargetMode="External"/><Relationship Id="rId115" Type="http://schemas.openxmlformats.org/officeDocument/2006/relationships/hyperlink" Target="http://www-01.sil.org/iso639-3/default.asp" TargetMode="External"/><Relationship Id="rId131" Type="http://schemas.openxmlformats.org/officeDocument/2006/relationships/hyperlink" Target="http://www.iso.org/iso/country_codes.htm" TargetMode="External"/><Relationship Id="rId136" Type="http://schemas.openxmlformats.org/officeDocument/2006/relationships/hyperlink" Target="http://www.loc.gov/standards/iso639-2/langhome.html" TargetMode="External"/><Relationship Id="rId157" Type="http://schemas.openxmlformats.org/officeDocument/2006/relationships/hyperlink" Target="http://geojson.org/geojson-spec.html" TargetMode="External"/><Relationship Id="rId61" Type="http://schemas.openxmlformats.org/officeDocument/2006/relationships/hyperlink" Target="http://www.loc.gov/standards/iso639-2/langhome.html" TargetMode="External"/><Relationship Id="rId82" Type="http://schemas.openxmlformats.org/officeDocument/2006/relationships/hyperlink" Target="http://www.loc.gov/standards/iso639-2/langhome.html" TargetMode="External"/><Relationship Id="rId152" Type="http://schemas.openxmlformats.org/officeDocument/2006/relationships/hyperlink" Target="http://www.loc.gov/standards/iso639-2/langhome.html" TargetMode="External"/><Relationship Id="rId19" Type="http://schemas.openxmlformats.org/officeDocument/2006/relationships/hyperlink" Target="http://www-01.sil.org/iso639-3/default.asp" TargetMode="External"/><Relationship Id="rId14" Type="http://schemas.openxmlformats.org/officeDocument/2006/relationships/hyperlink" Target="http://www-01.sil.org/iso639-3/default.asp" TargetMode="External"/><Relationship Id="rId30" Type="http://schemas.openxmlformats.org/officeDocument/2006/relationships/hyperlink" Target="http://nces.ed.gov/pubs2015/fin_acct/chapter6_8.asp" TargetMode="External"/><Relationship Id="rId35" Type="http://schemas.openxmlformats.org/officeDocument/2006/relationships/hyperlink" Target="https://ceds.ed.gov/pdf/ceds-addresses-professional-development-data-elements.pdf" TargetMode="External"/><Relationship Id="rId56" Type="http://schemas.openxmlformats.org/officeDocument/2006/relationships/hyperlink" Target="http://nces.ed.gov/pubs2015/fin_acct/chapter6_1.asp" TargetMode="External"/><Relationship Id="rId77" Type="http://schemas.openxmlformats.org/officeDocument/2006/relationships/hyperlink" Target="https://ceds.ed.gov/pdf/ceds-addresses-professional-development-data-elements.pdf" TargetMode="External"/><Relationship Id="rId100" Type="http://schemas.openxmlformats.org/officeDocument/2006/relationships/hyperlink" Target="http://www.loc.gov/standards/iso639-5/index.html" TargetMode="External"/><Relationship Id="rId105" Type="http://schemas.openxmlformats.org/officeDocument/2006/relationships/hyperlink" Target="http://www.loc.gov/standards/iso639-5/index.html" TargetMode="External"/><Relationship Id="rId126" Type="http://schemas.openxmlformats.org/officeDocument/2006/relationships/hyperlink" Target="http://www.iso.org/iso/country_codes.htm" TargetMode="External"/><Relationship Id="rId147" Type="http://schemas.openxmlformats.org/officeDocument/2006/relationships/hyperlink" Target="http://www.loc.gov/standards/iso639-2/langhome.html" TargetMode="External"/><Relationship Id="rId8" Type="http://schemas.openxmlformats.org/officeDocument/2006/relationships/hyperlink" Target="http://www-01.sil.org/iso639-3/default.asp" TargetMode="External"/><Relationship Id="rId51" Type="http://schemas.openxmlformats.org/officeDocument/2006/relationships/hyperlink" Target="http://nces.ed.gov/pubs2015/fin_acct/chapter6_5.asp" TargetMode="External"/><Relationship Id="rId72" Type="http://schemas.openxmlformats.org/officeDocument/2006/relationships/hyperlink" Target="http://www.iso.org/iso/country_codes.htm" TargetMode="External"/><Relationship Id="rId93" Type="http://schemas.openxmlformats.org/officeDocument/2006/relationships/hyperlink" Target="http://www.iso.org/iso/country_codes.htm" TargetMode="External"/><Relationship Id="rId98" Type="http://schemas.openxmlformats.org/officeDocument/2006/relationships/hyperlink" Target="http://www.loc.gov/standards/iso639-2/langhome.html" TargetMode="External"/><Relationship Id="rId121" Type="http://schemas.openxmlformats.org/officeDocument/2006/relationships/hyperlink" Target="http://www.loc.gov/standards/iso639-5/index.html" TargetMode="External"/><Relationship Id="rId142" Type="http://schemas.openxmlformats.org/officeDocument/2006/relationships/hyperlink" Target="https://w3id.org/xapi/adl" TargetMode="External"/><Relationship Id="rId163" Type="http://schemas.openxmlformats.org/officeDocument/2006/relationships/printerSettings" Target="../printerSettings/printerSettings5.bin"/><Relationship Id="rId3" Type="http://schemas.openxmlformats.org/officeDocument/2006/relationships/hyperlink" Target="https://ceds.ed.gov/pdf/ceds-addresses-professional-development-data-elements.pdf" TargetMode="External"/><Relationship Id="rId25" Type="http://schemas.openxmlformats.org/officeDocument/2006/relationships/hyperlink" Target="http://nces.ed.gov/pubs2015/fin_acct/chapter6_4.asp" TargetMode="External"/><Relationship Id="rId46" Type="http://schemas.openxmlformats.org/officeDocument/2006/relationships/hyperlink" Target="https://ceds.ed.gov/pdf/ceds-addresses-professional-development-data-elements.pdf" TargetMode="External"/><Relationship Id="rId67" Type="http://schemas.openxmlformats.org/officeDocument/2006/relationships/hyperlink" Target="http://www.iso.org/iso/country_codes.htm" TargetMode="External"/><Relationship Id="rId116" Type="http://schemas.openxmlformats.org/officeDocument/2006/relationships/hyperlink" Target="http://www.loc.gov/standards/iso639-5/index.html" TargetMode="External"/><Relationship Id="rId137" Type="http://schemas.openxmlformats.org/officeDocument/2006/relationships/hyperlink" Target="http://www.iso.org/iso/country_codes.htm" TargetMode="External"/><Relationship Id="rId158" Type="http://schemas.openxmlformats.org/officeDocument/2006/relationships/hyperlink" Target="https://www.onetcenter.org/taxonomy/2010/data_coll.html" TargetMode="External"/><Relationship Id="rId20" Type="http://schemas.openxmlformats.org/officeDocument/2006/relationships/hyperlink" Target="http://www.loc.gov/standards/iso639-5/index.html" TargetMode="External"/><Relationship Id="rId41" Type="http://schemas.openxmlformats.org/officeDocument/2006/relationships/hyperlink" Target="http://nces.ed.gov/pubs2015/fin_acct/chapter6_8.asp" TargetMode="External"/><Relationship Id="rId62" Type="http://schemas.openxmlformats.org/officeDocument/2006/relationships/hyperlink" Target="http://www-01.sil.org/iso639-3/default.asp" TargetMode="External"/><Relationship Id="rId83" Type="http://schemas.openxmlformats.org/officeDocument/2006/relationships/hyperlink" Target="https://nces.ed.gov/forum/SCED.asp" TargetMode="External"/><Relationship Id="rId88" Type="http://schemas.openxmlformats.org/officeDocument/2006/relationships/hyperlink" Target="http://nces.ed.gov/pubs2015/fin_acct/chapter6_4.asp" TargetMode="External"/><Relationship Id="rId111" Type="http://schemas.openxmlformats.org/officeDocument/2006/relationships/hyperlink" Target="http://www.iso.org/iso/country_codes.htm" TargetMode="External"/><Relationship Id="rId132" Type="http://schemas.openxmlformats.org/officeDocument/2006/relationships/hyperlink" Target="http://www.iso.org/iso/country_codes.htm" TargetMode="External"/><Relationship Id="rId153" Type="http://schemas.openxmlformats.org/officeDocument/2006/relationships/hyperlink" Target="http://www.loc.gov/standards/iso639-2/langhome.html" TargetMode="External"/><Relationship Id="rId15" Type="http://schemas.openxmlformats.org/officeDocument/2006/relationships/hyperlink" Target="http://www.loc.gov/standards/iso639-5/index.html" TargetMode="External"/><Relationship Id="rId36" Type="http://schemas.openxmlformats.org/officeDocument/2006/relationships/hyperlink" Target="https://ceds.ed.gov/pdf/ceds-addresses-professional-development-data-elements.pdf" TargetMode="External"/><Relationship Id="rId57" Type="http://schemas.openxmlformats.org/officeDocument/2006/relationships/hyperlink" Target="http://nces.ed.gov/pubs2015/fin_acct/chapter6_2.asp" TargetMode="External"/><Relationship Id="rId106" Type="http://schemas.openxmlformats.org/officeDocument/2006/relationships/hyperlink" Target="http://www.iso.org/iso/country_codes.htm" TargetMode="External"/><Relationship Id="rId127" Type="http://schemas.openxmlformats.org/officeDocument/2006/relationships/hyperlink" Target="http://degreeprofile.org/" TargetMode="External"/><Relationship Id="rId10" Type="http://schemas.openxmlformats.org/officeDocument/2006/relationships/hyperlink" Target="http://idea.ed.gov/part-c/statutes" TargetMode="External"/><Relationship Id="rId31" Type="http://schemas.openxmlformats.org/officeDocument/2006/relationships/hyperlink" Target="http://nces.ed.gov/pubs2015/fin_acct/chapter6_7.asp" TargetMode="External"/><Relationship Id="rId52" Type="http://schemas.openxmlformats.org/officeDocument/2006/relationships/hyperlink" Target="http://nces.ed.gov/pubs2015/fin_acct/chapter6_6.asp" TargetMode="External"/><Relationship Id="rId73" Type="http://schemas.openxmlformats.org/officeDocument/2006/relationships/hyperlink" Target="http://www.iso.org/iso/country_codes.htm" TargetMode="External"/><Relationship Id="rId78" Type="http://schemas.openxmlformats.org/officeDocument/2006/relationships/hyperlink" Target="https://ceds.ed.gov/pdf/ceds-addresses-professional-development-data-elements.pdf" TargetMode="External"/><Relationship Id="rId94" Type="http://schemas.openxmlformats.org/officeDocument/2006/relationships/hyperlink" Target="http://www.iso.org/iso/country_codes.htm" TargetMode="External"/><Relationship Id="rId99" Type="http://schemas.openxmlformats.org/officeDocument/2006/relationships/hyperlink" Target="http://www-01.sil.org/iso639-3/default.asp" TargetMode="External"/><Relationship Id="rId101" Type="http://schemas.openxmlformats.org/officeDocument/2006/relationships/hyperlink" Target="http://www.iso.org/iso/country_codes.htm" TargetMode="External"/><Relationship Id="rId122" Type="http://schemas.openxmlformats.org/officeDocument/2006/relationships/hyperlink" Target="http://www.loc.gov/standards/iso639-2/langhome.html" TargetMode="External"/><Relationship Id="rId143" Type="http://schemas.openxmlformats.org/officeDocument/2006/relationships/hyperlink" Target="http://www.loc.gov/standards/iso639-2/langhome.html" TargetMode="External"/><Relationship Id="rId148" Type="http://schemas.openxmlformats.org/officeDocument/2006/relationships/hyperlink" Target="http://www.loc.gov/standards/iso639-2/langhome.html" TargetMode="External"/><Relationship Id="rId4" Type="http://schemas.openxmlformats.org/officeDocument/2006/relationships/hyperlink" Target="https://ceds.ed.gov/pdf/ceds-addresses-professional-development-data-elements.pdf" TargetMode="External"/><Relationship Id="rId9" Type="http://schemas.openxmlformats.org/officeDocument/2006/relationships/hyperlink" Target="http://www.loc.gov/standards/iso639-5/index.html" TargetMode="External"/><Relationship Id="rId26" Type="http://schemas.openxmlformats.org/officeDocument/2006/relationships/hyperlink" Target="http://www.iso.org/iso/country_codes.htm" TargetMode="External"/><Relationship Id="rId47" Type="http://schemas.openxmlformats.org/officeDocument/2006/relationships/hyperlink" Target="https://ceds.ed.gov/pdf/ceds-addresses-professional-development-data-elements.pdf" TargetMode="External"/><Relationship Id="rId68" Type="http://schemas.openxmlformats.org/officeDocument/2006/relationships/hyperlink" Target="http://www.iso.org/iso/country_codes.htm" TargetMode="External"/><Relationship Id="rId89" Type="http://schemas.openxmlformats.org/officeDocument/2006/relationships/hyperlink" Target="http://nces.ed.gov/pubs2015/fin_acct/chapter6_5.asp" TargetMode="External"/><Relationship Id="rId112" Type="http://schemas.openxmlformats.org/officeDocument/2006/relationships/hyperlink" Target="http://www.iso.org/iso/country_codes.htm" TargetMode="External"/><Relationship Id="rId133" Type="http://schemas.openxmlformats.org/officeDocument/2006/relationships/hyperlink" Target="http://www.loc.gov/standards/iso639-2/langhome.html" TargetMode="External"/><Relationship Id="rId154" Type="http://schemas.openxmlformats.org/officeDocument/2006/relationships/hyperlink" Target="http://www.loc.gov/standards/iso639-2/langhome.html" TargetMode="External"/><Relationship Id="rId16" Type="http://schemas.openxmlformats.org/officeDocument/2006/relationships/hyperlink" Target="http://www.iso.org/iso/country_codes.htm" TargetMode="External"/><Relationship Id="rId37" Type="http://schemas.openxmlformats.org/officeDocument/2006/relationships/hyperlink" Target="https://ceds.ed.gov/pdf/ceds-addresses-professional-development-data-elements.pdf" TargetMode="External"/><Relationship Id="rId58" Type="http://schemas.openxmlformats.org/officeDocument/2006/relationships/hyperlink" Target="http://www.iso.org/iso/country_codes.htm" TargetMode="External"/><Relationship Id="rId79" Type="http://schemas.openxmlformats.org/officeDocument/2006/relationships/hyperlink" Target="http://www.loc.gov/standards/iso639-2/langhome.html" TargetMode="External"/><Relationship Id="rId102" Type="http://schemas.openxmlformats.org/officeDocument/2006/relationships/hyperlink" Target="http://www.iso.org/iso/country_codes.htm" TargetMode="External"/><Relationship Id="rId123" Type="http://schemas.openxmlformats.org/officeDocument/2006/relationships/hyperlink" Target="https://nces.ed.gov/forum/SCED.asp" TargetMode="External"/><Relationship Id="rId144" Type="http://schemas.openxmlformats.org/officeDocument/2006/relationships/hyperlink" Target="http://www.loc.gov/standards/iso639-2/langhome.html" TargetMode="External"/><Relationship Id="rId90" Type="http://schemas.openxmlformats.org/officeDocument/2006/relationships/hyperlink" Target="http://nces.ed.gov/pubs2015/fin_acct/chapter6_6.asp" TargetMode="External"/><Relationship Id="rId27" Type="http://schemas.openxmlformats.org/officeDocument/2006/relationships/hyperlink" Target="http://nces.ed.gov/pubs2015/fin_acct/chapter6_4.asp" TargetMode="External"/><Relationship Id="rId48" Type="http://schemas.openxmlformats.org/officeDocument/2006/relationships/hyperlink" Target="https://ceds.ed.gov/pdf/ceds-addresses-professional-development-data-elements.pdf" TargetMode="External"/><Relationship Id="rId69" Type="http://schemas.openxmlformats.org/officeDocument/2006/relationships/hyperlink" Target="http://www.loc.gov/standards/iso639-2/langhome.html" TargetMode="External"/><Relationship Id="rId113" Type="http://schemas.openxmlformats.org/officeDocument/2006/relationships/hyperlink" Target="http://degreeprofile.org/" TargetMode="External"/><Relationship Id="rId134" Type="http://schemas.openxmlformats.org/officeDocument/2006/relationships/hyperlink" Target="http://www-01.sil.org/iso639-3/default.asp" TargetMode="External"/><Relationship Id="rId80" Type="http://schemas.openxmlformats.org/officeDocument/2006/relationships/hyperlink" Target="http://www-01.sil.org/iso639-3/default.asp" TargetMode="External"/><Relationship Id="rId155" Type="http://schemas.openxmlformats.org/officeDocument/2006/relationships/hyperlink" Target="http://openbadges.github.io/openbadges-spec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N11"/>
  <sheetViews>
    <sheetView showGridLines="0"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63.75" x14ac:dyDescent="0.25">
      <c r="A2" s="12" t="s">
        <v>184</v>
      </c>
      <c r="B2" s="12" t="s">
        <v>185</v>
      </c>
      <c r="C2" s="13" t="s">
        <v>186</v>
      </c>
      <c r="D2" s="12" t="s">
        <v>187</v>
      </c>
      <c r="E2" s="12" t="s">
        <v>188</v>
      </c>
      <c r="F2" s="11"/>
      <c r="G2" s="12" t="s">
        <v>189</v>
      </c>
      <c r="H2" s="11"/>
      <c r="I2" s="12" t="s">
        <v>190</v>
      </c>
      <c r="J2" s="11"/>
      <c r="K2" s="12" t="s">
        <v>191</v>
      </c>
      <c r="L2" s="11"/>
      <c r="M2" s="12" t="str">
        <f>HYPERLINK("https://ceds.ed.gov/cedselementdetails.aspx?termid=18902")</f>
        <v>https://ceds.ed.gov/cedselementdetails.aspx?termid=18902</v>
      </c>
      <c r="N2" s="12" t="str">
        <f>HYPERLINK("https://ceds.ed.gov/elementComment.aspx?elementName=Additional Targeted Support and Improvement Status &amp;elementID=18902", "Click here to submit comment")</f>
        <v>Click here to submit comment</v>
      </c>
    </row>
    <row r="3" spans="1:14" ht="114.75" x14ac:dyDescent="0.25">
      <c r="A3" s="12" t="s">
        <v>1719</v>
      </c>
      <c r="B3" s="12" t="s">
        <v>1720</v>
      </c>
      <c r="C3" s="12" t="s">
        <v>24</v>
      </c>
      <c r="D3" s="12" t="s">
        <v>8528</v>
      </c>
      <c r="E3" s="12" t="s">
        <v>188</v>
      </c>
      <c r="F3" s="11"/>
      <c r="G3" s="12" t="s">
        <v>1721</v>
      </c>
      <c r="H3" s="11"/>
      <c r="I3" s="12" t="s">
        <v>1722</v>
      </c>
      <c r="J3" s="11"/>
      <c r="K3" s="12" t="s">
        <v>1723</v>
      </c>
      <c r="L3" s="11"/>
      <c r="M3" s="12" t="str">
        <f>HYPERLINK("https://ceds.ed.gov/cedselementdetails.aspx?termid=18903")</f>
        <v>https://ceds.ed.gov/cedselementdetails.aspx?termid=18903</v>
      </c>
      <c r="N3" s="12" t="str">
        <f>HYPERLINK("https://ceds.ed.gov/elementComment.aspx?elementName=Awaiting Foster Care Status &amp;elementID=18903", "Click here to submit comment")</f>
        <v>Click here to submit comment</v>
      </c>
    </row>
    <row r="4" spans="1:14" ht="89.25" x14ac:dyDescent="0.25">
      <c r="A4" s="12" t="s">
        <v>2770</v>
      </c>
      <c r="B4" s="12" t="s">
        <v>2771</v>
      </c>
      <c r="C4" s="13" t="s">
        <v>2772</v>
      </c>
      <c r="D4" s="12" t="s">
        <v>187</v>
      </c>
      <c r="E4" s="12" t="s">
        <v>188</v>
      </c>
      <c r="F4" s="11"/>
      <c r="G4" s="12" t="s">
        <v>189</v>
      </c>
      <c r="H4" s="11"/>
      <c r="I4" s="12" t="s">
        <v>2773</v>
      </c>
      <c r="J4" s="11"/>
      <c r="K4" s="12" t="s">
        <v>2774</v>
      </c>
      <c r="L4" s="11"/>
      <c r="M4" s="12" t="str">
        <f>HYPERLINK("https://ceds.ed.gov/cedselementdetails.aspx?termid=18904")</f>
        <v>https://ceds.ed.gov/cedselementdetails.aspx?termid=18904</v>
      </c>
      <c r="N4" s="12" t="str">
        <f>HYPERLINK("https://ceds.ed.gov/elementComment.aspx?elementName=Comprehensive Support and Improvement Status &amp;elementID=18904", "Click here to submit comment")</f>
        <v>Click here to submit comment</v>
      </c>
    </row>
    <row r="5" spans="1:14" ht="409.5" x14ac:dyDescent="0.25">
      <c r="A5" s="12" t="s">
        <v>3651</v>
      </c>
      <c r="B5" s="12" t="s">
        <v>3652</v>
      </c>
      <c r="C5" s="12" t="s">
        <v>3430</v>
      </c>
      <c r="D5" s="12" t="s">
        <v>3653</v>
      </c>
      <c r="E5" s="12" t="s">
        <v>188</v>
      </c>
      <c r="F5" s="11"/>
      <c r="G5" s="12" t="s">
        <v>1721</v>
      </c>
      <c r="H5" s="11"/>
      <c r="I5" s="12" t="s">
        <v>3654</v>
      </c>
      <c r="J5" s="11"/>
      <c r="K5" s="12" t="s">
        <v>3655</v>
      </c>
      <c r="L5" s="11"/>
      <c r="M5" s="12" t="str">
        <f>HYPERLINK("https://ceds.ed.gov/cedselementdetails.aspx?termid=18905")</f>
        <v>https://ceds.ed.gov/cedselementdetails.aspx?termid=18905</v>
      </c>
      <c r="N5" s="12" t="str">
        <f>HYPERLINK("https://ceds.ed.gov/elementComment.aspx?elementName=Do Not Publish Indicator &amp;elementID=18905", "Click here to submit comment")</f>
        <v>Click here to submit comment</v>
      </c>
    </row>
    <row r="6" spans="1:14" ht="63.75" x14ac:dyDescent="0.25">
      <c r="A6" s="12" t="s">
        <v>4712</v>
      </c>
      <c r="B6" s="12" t="s">
        <v>4713</v>
      </c>
      <c r="C6" s="12" t="s">
        <v>37</v>
      </c>
      <c r="D6" s="12" t="s">
        <v>4714</v>
      </c>
      <c r="E6" s="12" t="s">
        <v>188</v>
      </c>
      <c r="F6" s="12" t="s">
        <v>4715</v>
      </c>
      <c r="G6" s="12" t="s">
        <v>1721</v>
      </c>
      <c r="H6" s="11"/>
      <c r="I6" s="12" t="s">
        <v>4716</v>
      </c>
      <c r="J6" s="11"/>
      <c r="K6" s="12" t="s">
        <v>4717</v>
      </c>
      <c r="L6" s="11"/>
      <c r="M6" s="12" t="str">
        <f>HYPERLINK("https://ceds.ed.gov/cedselementdetails.aspx?termid=18906")</f>
        <v>https://ceds.ed.gov/cedselementdetails.aspx?termid=18906</v>
      </c>
      <c r="N6" s="12" t="str">
        <f>HYPERLINK("https://ceds.ed.gov/elementComment.aspx?elementName=Full Time Equivalency &amp;elementID=18906", "Click here to submit comment")</f>
        <v>Click here to submit comment</v>
      </c>
    </row>
    <row r="7" spans="1:14" ht="331.5" x14ac:dyDescent="0.25">
      <c r="A7" s="12" t="s">
        <v>4835</v>
      </c>
      <c r="B7" s="12" t="s">
        <v>4836</v>
      </c>
      <c r="C7" s="13" t="s">
        <v>4837</v>
      </c>
      <c r="D7" s="12" t="s">
        <v>4838</v>
      </c>
      <c r="E7" s="12" t="s">
        <v>188</v>
      </c>
      <c r="F7" s="11"/>
      <c r="G7" s="12" t="s">
        <v>1721</v>
      </c>
      <c r="H7" s="11"/>
      <c r="I7" s="12" t="s">
        <v>4839</v>
      </c>
      <c r="J7" s="11"/>
      <c r="K7" s="12" t="s">
        <v>4840</v>
      </c>
      <c r="L7" s="11"/>
      <c r="M7" s="12" t="str">
        <f>HYPERLINK("https://ceds.ed.gov/cedselementdetails.aspx?termid=18907")</f>
        <v>https://ceds.ed.gov/cedselementdetails.aspx?termid=18907</v>
      </c>
      <c r="N7" s="12" t="str">
        <f>HYPERLINK("https://ceds.ed.gov/elementComment.aspx?elementName=Grade Levels Approved &amp;elementID=18907", "Click here to submit comment")</f>
        <v>Click here to submit comment</v>
      </c>
    </row>
    <row r="8" spans="1:14" ht="204" x14ac:dyDescent="0.25">
      <c r="A8" s="12" t="s">
        <v>6623</v>
      </c>
      <c r="B8" s="12" t="s">
        <v>6624</v>
      </c>
      <c r="C8" s="12" t="s">
        <v>3430</v>
      </c>
      <c r="D8" s="12" t="s">
        <v>6625</v>
      </c>
      <c r="E8" s="12" t="s">
        <v>188</v>
      </c>
      <c r="F8" s="11"/>
      <c r="G8" s="12" t="s">
        <v>189</v>
      </c>
      <c r="H8" s="11"/>
      <c r="I8" s="12" t="s">
        <v>6626</v>
      </c>
      <c r="J8" s="11"/>
      <c r="K8" s="12" t="s">
        <v>6627</v>
      </c>
      <c r="L8" s="11"/>
      <c r="M8" s="12" t="str">
        <f>HYPERLINK("https://ceds.ed.gov/cedselementdetails.aspx?termid=18908")</f>
        <v>https://ceds.ed.gov/cedselementdetails.aspx?termid=18908</v>
      </c>
      <c r="N8" s="12" t="str">
        <f>HYPERLINK("https://ceds.ed.gov/elementComment.aspx?elementName=Out of Workforce Indicator &amp;elementID=18908", "Click here to submit comment")</f>
        <v>Click here to submit comment</v>
      </c>
    </row>
    <row r="9" spans="1:14" ht="165.75" x14ac:dyDescent="0.25">
      <c r="A9" s="12" t="s">
        <v>7077</v>
      </c>
      <c r="B9" s="12" t="s">
        <v>7078</v>
      </c>
      <c r="C9" s="12" t="s">
        <v>37</v>
      </c>
      <c r="D9" s="12" t="s">
        <v>7079</v>
      </c>
      <c r="E9" s="12" t="s">
        <v>188</v>
      </c>
      <c r="F9" s="12" t="s">
        <v>129</v>
      </c>
      <c r="G9" s="12" t="s">
        <v>1721</v>
      </c>
      <c r="H9" s="11"/>
      <c r="I9" s="12" t="s">
        <v>7080</v>
      </c>
      <c r="J9" s="11"/>
      <c r="K9" s="12" t="s">
        <v>7081</v>
      </c>
      <c r="L9" s="11"/>
      <c r="M9" s="12" t="str">
        <f>HYPERLINK("https://ceds.ed.gov/cedselementdetails.aspx?termid=18909")</f>
        <v>https://ceds.ed.gov/cedselementdetails.aspx?termid=18909</v>
      </c>
      <c r="N9" s="12" t="str">
        <f>HYPERLINK("https://ceds.ed.gov/elementComment.aspx?elementName=Program Entry Reason &amp;elementID=18909", "Click here to submit comment")</f>
        <v>Click here to submit comment</v>
      </c>
    </row>
    <row r="10" spans="1:14" ht="76.5" x14ac:dyDescent="0.25">
      <c r="A10" s="12" t="s">
        <v>8116</v>
      </c>
      <c r="B10" s="12" t="s">
        <v>8117</v>
      </c>
      <c r="C10" s="13" t="s">
        <v>8118</v>
      </c>
      <c r="D10" s="12" t="s">
        <v>187</v>
      </c>
      <c r="E10" s="12" t="s">
        <v>188</v>
      </c>
      <c r="F10" s="11"/>
      <c r="G10" s="12" t="s">
        <v>189</v>
      </c>
      <c r="H10" s="11"/>
      <c r="I10" s="12" t="s">
        <v>8119</v>
      </c>
      <c r="J10" s="11"/>
      <c r="K10" s="12" t="s">
        <v>8120</v>
      </c>
      <c r="L10" s="11"/>
      <c r="M10" s="12" t="str">
        <f>HYPERLINK("https://ceds.ed.gov/cedselementdetails.aspx?termid=18910")</f>
        <v>https://ceds.ed.gov/cedselementdetails.aspx?termid=18910</v>
      </c>
      <c r="N10" s="12" t="str">
        <f>HYPERLINK("https://ceds.ed.gov/elementComment.aspx?elementName=Targeted Support and Improvement Status &amp;elementID=18910", "Click here to submit comment")</f>
        <v>Click here to submit comment</v>
      </c>
    </row>
    <row r="11" spans="1:14" ht="409.5" x14ac:dyDescent="0.25">
      <c r="A11" s="12" t="s">
        <v>8223</v>
      </c>
      <c r="B11" s="12" t="s">
        <v>8224</v>
      </c>
      <c r="C11" s="13" t="s">
        <v>8225</v>
      </c>
      <c r="D11" s="12" t="s">
        <v>8226</v>
      </c>
      <c r="E11" s="12" t="s">
        <v>188</v>
      </c>
      <c r="F11" s="11"/>
      <c r="G11" s="12" t="s">
        <v>1721</v>
      </c>
      <c r="H11" s="11"/>
      <c r="I11" s="12" t="s">
        <v>8227</v>
      </c>
      <c r="J11" s="11"/>
      <c r="K11" s="12" t="s">
        <v>8228</v>
      </c>
      <c r="L11" s="11"/>
      <c r="M11" s="12" t="str">
        <f>HYPERLINK("https://ceds.ed.gov/cedselementdetails.aspx?termid=18911")</f>
        <v>https://ceds.ed.gov/cedselementdetails.aspx?termid=18911</v>
      </c>
      <c r="N11" s="12" t="str">
        <f>HYPERLINK("https://ceds.ed.gov/elementComment.aspx?elementName=Telephone Number Listed Status &amp;elementID=18911", "Click here to submit comment")</f>
        <v>Click here to submit comment</v>
      </c>
    </row>
  </sheetData>
  <autoFilter ref="A1:N1" xr:uid="{A13338AC-93B9-48A8-834A-4585B49C0C1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N58"/>
  <sheetViews>
    <sheetView showGridLines="0"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409.5" x14ac:dyDescent="0.25">
      <c r="A2" s="12" t="s">
        <v>192</v>
      </c>
      <c r="B2" s="12" t="s">
        <v>193</v>
      </c>
      <c r="C2" s="12" t="s">
        <v>37</v>
      </c>
      <c r="D2" s="12" t="s">
        <v>194</v>
      </c>
      <c r="E2" s="12" t="s">
        <v>195</v>
      </c>
      <c r="F2" s="12" t="s">
        <v>175</v>
      </c>
      <c r="G2" s="12" t="s">
        <v>196</v>
      </c>
      <c r="H2" s="11"/>
      <c r="I2" s="12" t="s">
        <v>197</v>
      </c>
      <c r="J2" s="11"/>
      <c r="K2" s="12" t="s">
        <v>198</v>
      </c>
      <c r="L2" s="12" t="s">
        <v>199</v>
      </c>
      <c r="M2" s="12" t="str">
        <f>HYPERLINK("https://ceds.ed.gov/cedselementdetails.aspx?termid=17019")</f>
        <v>https://ceds.ed.gov/cedselementdetails.aspx?termid=17019</v>
      </c>
      <c r="N2" s="12" t="str">
        <f>HYPERLINK("https://ceds.ed.gov/elementComment.aspx?elementName=Address Apartment Room or Suite Number &amp;elementID=17019", "Click here to submit comment")</f>
        <v>Click here to submit comment</v>
      </c>
    </row>
    <row r="3" spans="1:14" ht="409.5" x14ac:dyDescent="0.25">
      <c r="A3" s="12" t="s">
        <v>214</v>
      </c>
      <c r="B3" s="12" t="s">
        <v>215</v>
      </c>
      <c r="C3" s="12" t="s">
        <v>37</v>
      </c>
      <c r="D3" s="12" t="s">
        <v>194</v>
      </c>
      <c r="E3" s="12" t="s">
        <v>195</v>
      </c>
      <c r="F3" s="12" t="s">
        <v>216</v>
      </c>
      <c r="G3" s="12" t="s">
        <v>196</v>
      </c>
      <c r="H3" s="11"/>
      <c r="I3" s="12" t="s">
        <v>217</v>
      </c>
      <c r="J3" s="11"/>
      <c r="K3" s="12" t="s">
        <v>218</v>
      </c>
      <c r="L3" s="12" t="s">
        <v>199</v>
      </c>
      <c r="M3" s="12" t="str">
        <f>HYPERLINK("https://ceds.ed.gov/cedselementdetails.aspx?termid=17269")</f>
        <v>https://ceds.ed.gov/cedselementdetails.aspx?termid=17269</v>
      </c>
      <c r="N3" s="12" t="str">
        <f>HYPERLINK("https://ceds.ed.gov/elementComment.aspx?elementName=Address Street Number and Name &amp;elementID=17269", "Click here to submit comment")</f>
        <v>Click here to submit comment</v>
      </c>
    </row>
    <row r="4" spans="1:14" ht="90" x14ac:dyDescent="0.25">
      <c r="A4" s="12" t="s">
        <v>1084</v>
      </c>
      <c r="B4" s="12" t="s">
        <v>1085</v>
      </c>
      <c r="C4" s="12" t="s">
        <v>8527</v>
      </c>
      <c r="D4" s="12" t="s">
        <v>600</v>
      </c>
      <c r="E4" s="12" t="s">
        <v>195</v>
      </c>
      <c r="F4" s="11"/>
      <c r="G4" s="12" t="s">
        <v>1086</v>
      </c>
      <c r="H4" s="6" t="s">
        <v>1087</v>
      </c>
      <c r="I4" s="12" t="s">
        <v>1088</v>
      </c>
      <c r="J4" s="11"/>
      <c r="K4" s="12" t="s">
        <v>1089</v>
      </c>
      <c r="L4" s="11"/>
      <c r="M4" s="12" t="str">
        <f>HYPERLINK("https://ceds.ed.gov/cedselementdetails.aspx?termid=18073")</f>
        <v>https://ceds.ed.gov/cedselementdetails.aspx?termid=18073</v>
      </c>
      <c r="N4" s="12" t="str">
        <f>HYPERLINK("https://ceds.ed.gov/elementComment.aspx?elementName=Assessment Language &amp;elementID=18073", "Click here to submit comment")</f>
        <v>Click here to submit comment</v>
      </c>
    </row>
    <row r="5" spans="1:14" ht="90" x14ac:dyDescent="0.25">
      <c r="A5" s="12" t="s">
        <v>1152</v>
      </c>
      <c r="B5" s="12" t="s">
        <v>1153</v>
      </c>
      <c r="C5" s="12" t="s">
        <v>8527</v>
      </c>
      <c r="D5" s="12" t="s">
        <v>1100</v>
      </c>
      <c r="E5" s="12" t="s">
        <v>195</v>
      </c>
      <c r="F5" s="11"/>
      <c r="G5" s="12" t="s">
        <v>1086</v>
      </c>
      <c r="H5" s="6" t="s">
        <v>1087</v>
      </c>
      <c r="I5" s="12" t="s">
        <v>1154</v>
      </c>
      <c r="J5" s="11"/>
      <c r="K5" s="12" t="s">
        <v>1155</v>
      </c>
      <c r="L5" s="11"/>
      <c r="M5" s="12" t="str">
        <f>HYPERLINK("https://ceds.ed.gov/cedselementdetails.aspx?termid=18042")</f>
        <v>https://ceds.ed.gov/cedselementdetails.aspx?termid=18042</v>
      </c>
      <c r="N5" s="12" t="str">
        <f>HYPERLINK("https://ceds.ed.gov/elementComment.aspx?elementName=Assessment Need Item Translation Display Language Type &amp;elementID=18042", "Click here to submit comment")</f>
        <v>Click here to submit comment</v>
      </c>
    </row>
    <row r="6" spans="1:14" ht="90" x14ac:dyDescent="0.25">
      <c r="A6" s="12" t="s">
        <v>1156</v>
      </c>
      <c r="B6" s="12" t="s">
        <v>1157</v>
      </c>
      <c r="C6" s="12" t="s">
        <v>8527</v>
      </c>
      <c r="D6" s="12" t="s">
        <v>1100</v>
      </c>
      <c r="E6" s="12" t="s">
        <v>195</v>
      </c>
      <c r="F6" s="11"/>
      <c r="G6" s="12" t="s">
        <v>1086</v>
      </c>
      <c r="H6" s="6" t="s">
        <v>1087</v>
      </c>
      <c r="I6" s="12" t="s">
        <v>1158</v>
      </c>
      <c r="J6" s="11"/>
      <c r="K6" s="12" t="s">
        <v>1159</v>
      </c>
      <c r="L6" s="11"/>
      <c r="M6" s="12" t="str">
        <f>HYPERLINK("https://ceds.ed.gov/cedselementdetails.aspx?termid=18043")</f>
        <v>https://ceds.ed.gov/cedselementdetails.aspx?termid=18043</v>
      </c>
      <c r="N6" s="12" t="str">
        <f>HYPERLINK("https://ceds.ed.gov/elementComment.aspx?elementName=Assessment Need Keyword Translation Language Type &amp;elementID=18043", "Click here to submit comment")</f>
        <v>Click here to submit comment</v>
      </c>
    </row>
    <row r="7" spans="1:14" ht="90" x14ac:dyDescent="0.25">
      <c r="A7" s="12" t="s">
        <v>1160</v>
      </c>
      <c r="B7" s="12" t="s">
        <v>1161</v>
      </c>
      <c r="C7" s="12" t="s">
        <v>8527</v>
      </c>
      <c r="D7" s="12" t="s">
        <v>1162</v>
      </c>
      <c r="E7" s="12" t="s">
        <v>195</v>
      </c>
      <c r="F7" s="11"/>
      <c r="G7" s="12" t="s">
        <v>1086</v>
      </c>
      <c r="H7" s="6" t="s">
        <v>1087</v>
      </c>
      <c r="I7" s="12" t="s">
        <v>1163</v>
      </c>
      <c r="J7" s="11"/>
      <c r="K7" s="12" t="s">
        <v>1164</v>
      </c>
      <c r="L7" s="11"/>
      <c r="M7" s="12" t="str">
        <f>HYPERLINK("https://ceds.ed.gov/cedselementdetails.aspx?termid=18025")</f>
        <v>https://ceds.ed.gov/cedselementdetails.aspx?termid=18025</v>
      </c>
      <c r="N7" s="12" t="str">
        <f>HYPERLINK("https://ceds.ed.gov/elementComment.aspx?elementName=Assessment Need Language Type &amp;elementID=18025", "Click here to submit comment")</f>
        <v>Click here to submit comment</v>
      </c>
    </row>
    <row r="8" spans="1:14" ht="90" x14ac:dyDescent="0.25">
      <c r="A8" s="12" t="s">
        <v>1273</v>
      </c>
      <c r="B8" s="12" t="s">
        <v>1274</v>
      </c>
      <c r="C8" s="12" t="s">
        <v>8527</v>
      </c>
      <c r="D8" s="12" t="s">
        <v>1261</v>
      </c>
      <c r="E8" s="12" t="s">
        <v>195</v>
      </c>
      <c r="F8" s="11"/>
      <c r="G8" s="12" t="s">
        <v>1086</v>
      </c>
      <c r="H8" s="6" t="s">
        <v>1087</v>
      </c>
      <c r="I8" s="12" t="s">
        <v>1275</v>
      </c>
      <c r="J8" s="11"/>
      <c r="K8" s="12" t="s">
        <v>1276</v>
      </c>
      <c r="L8" s="12" t="s">
        <v>106</v>
      </c>
      <c r="M8" s="12" t="str">
        <f>HYPERLINK("https://ceds.ed.gov/cedselementdetails.aspx?termid=17370")</f>
        <v>https://ceds.ed.gov/cedselementdetails.aspx?termid=17370</v>
      </c>
      <c r="N8" s="12" t="str">
        <f>HYPERLINK("https://ceds.ed.gov/elementComment.aspx?elementName=Assessment Participant Session Language &amp;elementID=17370", "Click here to submit comment")</f>
        <v>Click here to submit comment</v>
      </c>
    </row>
    <row r="9" spans="1:14" ht="409.5" x14ac:dyDescent="0.25">
      <c r="A9" s="12" t="s">
        <v>1367</v>
      </c>
      <c r="B9" s="12" t="s">
        <v>1368</v>
      </c>
      <c r="C9" s="13" t="s">
        <v>1369</v>
      </c>
      <c r="D9" s="12" t="s">
        <v>1346</v>
      </c>
      <c r="E9" s="12" t="s">
        <v>195</v>
      </c>
      <c r="F9" s="11"/>
      <c r="G9" s="12" t="s">
        <v>1370</v>
      </c>
      <c r="H9" s="12" t="s">
        <v>1371</v>
      </c>
      <c r="I9" s="12" t="s">
        <v>1372</v>
      </c>
      <c r="J9" s="11"/>
      <c r="K9" s="12" t="s">
        <v>1373</v>
      </c>
      <c r="L9" s="11"/>
      <c r="M9" s="12" t="str">
        <f>HYPERLINK("https://ceds.ed.gov/cedselementdetails.aspx?termid=18063")</f>
        <v>https://ceds.ed.gov/cedselementdetails.aspx?termid=18063</v>
      </c>
      <c r="N9" s="12" t="str">
        <f>HYPERLINK("https://ceds.ed.gov/elementComment.aspx?elementName=Assessment Registration Grade Level to Be Assessed &amp;elementID=18063", "Click here to submit comment")</f>
        <v>Click here to submit comment</v>
      </c>
    </row>
    <row r="10" spans="1:14" ht="127.5" x14ac:dyDescent="0.25">
      <c r="A10" s="12" t="s">
        <v>1757</v>
      </c>
      <c r="B10" s="12" t="s">
        <v>1758</v>
      </c>
      <c r="C10" s="13" t="s">
        <v>1759</v>
      </c>
      <c r="D10" s="12" t="s">
        <v>1760</v>
      </c>
      <c r="E10" s="12" t="s">
        <v>195</v>
      </c>
      <c r="F10" s="11"/>
      <c r="G10" s="12" t="s">
        <v>1761</v>
      </c>
      <c r="H10" s="12" t="s">
        <v>1762</v>
      </c>
      <c r="I10" s="12" t="s">
        <v>1763</v>
      </c>
      <c r="J10" s="11"/>
      <c r="K10" s="12" t="s">
        <v>1764</v>
      </c>
      <c r="L10" s="11"/>
      <c r="M10" s="12" t="str">
        <f>HYPERLINK("https://ceds.ed.gov/cedselementdetails.aspx?termid=18253")</f>
        <v>https://ceds.ed.gov/cedselementdetails.aspx?termid=18253</v>
      </c>
      <c r="N10" s="12" t="str">
        <f>HYPERLINK("https://ceds.ed.gov/elementComment.aspx?elementName=Blended Learning Model Type &amp;elementID=18253", "Click here to submit comment")</f>
        <v>Click here to submit comment</v>
      </c>
    </row>
    <row r="11" spans="1:14" ht="165.75" x14ac:dyDescent="0.25">
      <c r="A11" s="12" t="s">
        <v>2039</v>
      </c>
      <c r="B11" s="12" t="s">
        <v>2040</v>
      </c>
      <c r="C11" s="12" t="s">
        <v>37</v>
      </c>
      <c r="D11" s="12" t="s">
        <v>2041</v>
      </c>
      <c r="E11" s="12" t="s">
        <v>195</v>
      </c>
      <c r="F11" s="12" t="s">
        <v>175</v>
      </c>
      <c r="G11" s="12" t="s">
        <v>196</v>
      </c>
      <c r="H11" s="11"/>
      <c r="I11" s="12" t="s">
        <v>2042</v>
      </c>
      <c r="J11" s="11"/>
      <c r="K11" s="12" t="s">
        <v>2043</v>
      </c>
      <c r="L11" s="11"/>
      <c r="M11" s="12" t="str">
        <f>HYPERLINK("https://ceds.ed.gov/cedselementdetails.aspx?termid=17595")</f>
        <v>https://ceds.ed.gov/cedselementdetails.aspx?termid=17595</v>
      </c>
      <c r="N11" s="12" t="str">
        <f>HYPERLINK("https://ceds.ed.gov/elementComment.aspx?elementName=Building Site Number &amp;elementID=17595", "Click here to submit comment")</f>
        <v>Click here to submit comment</v>
      </c>
    </row>
    <row r="12" spans="1:14" ht="204" x14ac:dyDescent="0.25">
      <c r="A12" s="12" t="s">
        <v>2194</v>
      </c>
      <c r="B12" s="12" t="s">
        <v>2195</v>
      </c>
      <c r="C12" s="13" t="s">
        <v>2196</v>
      </c>
      <c r="D12" s="12" t="s">
        <v>2191</v>
      </c>
      <c r="E12" s="12" t="s">
        <v>195</v>
      </c>
      <c r="F12" s="11"/>
      <c r="G12" s="12" t="s">
        <v>2197</v>
      </c>
      <c r="H12" s="11"/>
      <c r="I12" s="12" t="s">
        <v>2198</v>
      </c>
      <c r="J12" s="11"/>
      <c r="K12" s="12" t="s">
        <v>2199</v>
      </c>
      <c r="L12" s="11"/>
      <c r="M12" s="12" t="str">
        <f>HYPERLINK("https://ceds.ed.gov/cedselementdetails.aspx?termid=18256")</f>
        <v>https://ceds.ed.gov/cedselementdetails.aspx?termid=18256</v>
      </c>
      <c r="N12" s="12" t="str">
        <f>HYPERLINK("https://ceds.ed.gov/elementComment.aspx?elementName=Career Education Plan Type &amp;elementID=18256", "Click here to submit comment")</f>
        <v>Click here to submit comment</v>
      </c>
    </row>
    <row r="13" spans="1:14" ht="140.25" x14ac:dyDescent="0.25">
      <c r="A13" s="12" t="s">
        <v>2237</v>
      </c>
      <c r="B13" s="12" t="s">
        <v>2238</v>
      </c>
      <c r="C13" s="13" t="s">
        <v>2239</v>
      </c>
      <c r="D13" s="12" t="s">
        <v>2240</v>
      </c>
      <c r="E13" s="12" t="s">
        <v>195</v>
      </c>
      <c r="F13" s="11"/>
      <c r="G13" s="12" t="s">
        <v>2241</v>
      </c>
      <c r="H13" s="11"/>
      <c r="I13" s="12" t="s">
        <v>2242</v>
      </c>
      <c r="J13" s="11"/>
      <c r="K13" s="12" t="s">
        <v>2243</v>
      </c>
      <c r="L13" s="11"/>
      <c r="M13" s="12" t="str">
        <f>HYPERLINK("https://ceds.ed.gov/cedselementdetails.aspx?termid=18258")</f>
        <v>https://ceds.ed.gov/cedselementdetails.aspx?termid=18258</v>
      </c>
      <c r="N13" s="12" t="str">
        <f>HYPERLINK("https://ceds.ed.gov/elementComment.aspx?elementName=Charter School Authorizer Type &amp;elementID=18258", "Click here to submit comment")</f>
        <v>Click here to submit comment</v>
      </c>
    </row>
    <row r="14" spans="1:14" ht="76.5" x14ac:dyDescent="0.25">
      <c r="A14" s="12" t="s">
        <v>2262</v>
      </c>
      <c r="B14" s="12" t="s">
        <v>2263</v>
      </c>
      <c r="C14" s="13" t="s">
        <v>2264</v>
      </c>
      <c r="D14" s="12" t="s">
        <v>2265</v>
      </c>
      <c r="E14" s="12" t="s">
        <v>195</v>
      </c>
      <c r="F14" s="11"/>
      <c r="G14" s="12" t="s">
        <v>2266</v>
      </c>
      <c r="H14" s="11"/>
      <c r="I14" s="12" t="s">
        <v>2267</v>
      </c>
      <c r="J14" s="11"/>
      <c r="K14" s="12" t="s">
        <v>2268</v>
      </c>
      <c r="L14" s="12" t="s">
        <v>258</v>
      </c>
      <c r="M14" s="12" t="str">
        <f>HYPERLINK("https://ceds.ed.gov/cedselementdetails.aspx?termid=18631")</f>
        <v>https://ceds.ed.gov/cedselementdetails.aspx?termid=18631</v>
      </c>
      <c r="N14" s="12" t="str">
        <f>HYPERLINK("https://ceds.ed.gov/elementComment.aspx?elementName=Charter School Management Organization Type &amp;elementID=18631", "Click here to submit comment")</f>
        <v>Click here to submit comment</v>
      </c>
    </row>
    <row r="15" spans="1:14" ht="90" x14ac:dyDescent="0.25">
      <c r="A15" s="12" t="s">
        <v>2511</v>
      </c>
      <c r="B15" s="12" t="s">
        <v>2512</v>
      </c>
      <c r="C15" s="12" t="s">
        <v>8527</v>
      </c>
      <c r="D15" s="12" t="s">
        <v>2472</v>
      </c>
      <c r="E15" s="12" t="s">
        <v>195</v>
      </c>
      <c r="F15" s="11"/>
      <c r="G15" s="12" t="s">
        <v>1086</v>
      </c>
      <c r="H15" s="6" t="s">
        <v>1087</v>
      </c>
      <c r="I15" s="12" t="s">
        <v>2513</v>
      </c>
      <c r="J15" s="12" t="s">
        <v>2514</v>
      </c>
      <c r="K15" s="12" t="s">
        <v>2515</v>
      </c>
      <c r="L15" s="11"/>
      <c r="M15" s="12" t="str">
        <f>HYPERLINK("https://ceds.ed.gov/cedselementdetails.aspx?termid=17881")</f>
        <v>https://ceds.ed.gov/cedselementdetails.aspx?termid=17881</v>
      </c>
      <c r="N15" s="12" t="str">
        <f>HYPERLINK("https://ceds.ed.gov/elementComment.aspx?elementName=Competency Definition Language &amp;elementID=17881", "Click here to submit comment")</f>
        <v>Click here to submit comment</v>
      </c>
    </row>
    <row r="16" spans="1:14" ht="38.25" x14ac:dyDescent="0.25">
      <c r="A16" s="12" t="s">
        <v>2570</v>
      </c>
      <c r="B16" s="12" t="s">
        <v>2571</v>
      </c>
      <c r="C16" s="12" t="s">
        <v>37</v>
      </c>
      <c r="D16" s="12" t="s">
        <v>2472</v>
      </c>
      <c r="E16" s="12" t="s">
        <v>195</v>
      </c>
      <c r="F16" s="12" t="s">
        <v>97</v>
      </c>
      <c r="G16" s="12" t="s">
        <v>2572</v>
      </c>
      <c r="H16" s="11"/>
      <c r="I16" s="12" t="s">
        <v>2573</v>
      </c>
      <c r="J16" s="12" t="s">
        <v>2574</v>
      </c>
      <c r="K16" s="12" t="s">
        <v>2575</v>
      </c>
      <c r="L16" s="11"/>
      <c r="M16" s="12" t="str">
        <f>HYPERLINK("https://ceds.ed.gov/cedselementdetails.aspx?termid=18378")</f>
        <v>https://ceds.ed.gov/cedselementdetails.aspx?termid=18378</v>
      </c>
      <c r="N16" s="12" t="str">
        <f>HYPERLINK("https://ceds.ed.gov/elementComment.aspx?elementName=Competency Definition Short Name &amp;elementID=18378", "Click here to submit comment")</f>
        <v>Click here to submit comment</v>
      </c>
    </row>
    <row r="17" spans="1:14" ht="90" x14ac:dyDescent="0.25">
      <c r="A17" s="12" t="s">
        <v>2670</v>
      </c>
      <c r="B17" s="12" t="s">
        <v>2671</v>
      </c>
      <c r="C17" s="12" t="s">
        <v>8527</v>
      </c>
      <c r="D17" s="12" t="s">
        <v>2649</v>
      </c>
      <c r="E17" s="12" t="s">
        <v>195</v>
      </c>
      <c r="F17" s="11"/>
      <c r="G17" s="12" t="s">
        <v>1086</v>
      </c>
      <c r="H17" s="6" t="s">
        <v>1087</v>
      </c>
      <c r="I17" s="12" t="s">
        <v>2672</v>
      </c>
      <c r="J17" s="12" t="s">
        <v>2673</v>
      </c>
      <c r="K17" s="12" t="s">
        <v>2674</v>
      </c>
      <c r="L17" s="11"/>
      <c r="M17" s="12" t="str">
        <f>HYPERLINK("https://ceds.ed.gov/cedselementdetails.aspx?termid=17880")</f>
        <v>https://ceds.ed.gov/cedselementdetails.aspx?termid=17880</v>
      </c>
      <c r="N17" s="12" t="str">
        <f>HYPERLINK("https://ceds.ed.gov/elementComment.aspx?elementName=Competency Framework Language &amp;elementID=17880", "Click here to submit comment")</f>
        <v>Click here to submit comment</v>
      </c>
    </row>
    <row r="18" spans="1:14" ht="409.5" x14ac:dyDescent="0.25">
      <c r="A18" s="12" t="s">
        <v>2853</v>
      </c>
      <c r="B18" s="12" t="s">
        <v>2854</v>
      </c>
      <c r="C18" s="13" t="s">
        <v>2847</v>
      </c>
      <c r="D18" s="12" t="s">
        <v>2855</v>
      </c>
      <c r="E18" s="12" t="s">
        <v>195</v>
      </c>
      <c r="F18" s="11"/>
      <c r="G18" s="12" t="s">
        <v>2856</v>
      </c>
      <c r="H18" s="6" t="s">
        <v>2849</v>
      </c>
      <c r="I18" s="12" t="s">
        <v>2857</v>
      </c>
      <c r="J18" s="11"/>
      <c r="K18" s="12" t="s">
        <v>2858</v>
      </c>
      <c r="L18" s="12" t="s">
        <v>2859</v>
      </c>
      <c r="M18" s="12" t="str">
        <f>HYPERLINK("https://ceds.ed.gov/cedselementdetails.aspx?termid=17051")</f>
        <v>https://ceds.ed.gov/cedselementdetails.aspx?termid=17051</v>
      </c>
      <c r="N18" s="12" t="str">
        <f>HYPERLINK("https://ceds.ed.gov/elementComment.aspx?elementName=Country of Birth Code &amp;elementID=17051", "Click here to submit comment")</f>
        <v>Click here to submit comment</v>
      </c>
    </row>
    <row r="19" spans="1:14" ht="409.5" x14ac:dyDescent="0.25">
      <c r="A19" s="12" t="s">
        <v>2860</v>
      </c>
      <c r="B19" s="12" t="s">
        <v>2861</v>
      </c>
      <c r="C19" s="12" t="s">
        <v>37</v>
      </c>
      <c r="D19" s="12" t="s">
        <v>2862</v>
      </c>
      <c r="E19" s="12" t="s">
        <v>195</v>
      </c>
      <c r="F19" s="12" t="s">
        <v>2863</v>
      </c>
      <c r="G19" s="12" t="s">
        <v>2864</v>
      </c>
      <c r="H19" s="11"/>
      <c r="I19" s="12" t="s">
        <v>2865</v>
      </c>
      <c r="J19" s="11"/>
      <c r="K19" s="12" t="s">
        <v>2866</v>
      </c>
      <c r="L19" s="11"/>
      <c r="M19" s="12" t="str">
        <f>HYPERLINK("https://ceds.ed.gov/cedselementdetails.aspx?termid=18176")</f>
        <v>https://ceds.ed.gov/cedselementdetails.aspx?termid=18176</v>
      </c>
      <c r="N19" s="12" t="str">
        <f>HYPERLINK("https://ceds.ed.gov/elementComment.aspx?elementName=County ANSI Code &amp;elementID=18176", "Click here to submit comment")</f>
        <v>Click here to submit comment</v>
      </c>
    </row>
    <row r="20" spans="1:14" ht="140.25" x14ac:dyDescent="0.25">
      <c r="A20" s="12" t="s">
        <v>3428</v>
      </c>
      <c r="B20" s="12" t="s">
        <v>3429</v>
      </c>
      <c r="C20" s="12" t="s">
        <v>3430</v>
      </c>
      <c r="D20" s="12" t="s">
        <v>3431</v>
      </c>
      <c r="E20" s="12" t="s">
        <v>195</v>
      </c>
      <c r="F20" s="11"/>
      <c r="G20" s="12" t="s">
        <v>3432</v>
      </c>
      <c r="H20" s="11"/>
      <c r="I20" s="12" t="s">
        <v>3433</v>
      </c>
      <c r="J20" s="11"/>
      <c r="K20" s="12" t="s">
        <v>3434</v>
      </c>
      <c r="L20" s="12" t="s">
        <v>467</v>
      </c>
      <c r="M20" s="12" t="str">
        <f>HYPERLINK("https://ceds.ed.gov/cedselementdetails.aspx?termid=17328")</f>
        <v>https://ceds.ed.gov/cedselementdetails.aspx?termid=17328</v>
      </c>
      <c r="N20" s="12" t="str">
        <f>HYPERLINK("https://ceds.ed.gov/elementComment.aspx?elementName=Custodial Parent or Guardian Indicator &amp;elementID=17328", "Click here to submit comment")</f>
        <v>Click here to submit comment</v>
      </c>
    </row>
    <row r="21" spans="1:14" ht="318.75" x14ac:dyDescent="0.25">
      <c r="A21" s="12" t="s">
        <v>4027</v>
      </c>
      <c r="B21" s="12" t="s">
        <v>3763</v>
      </c>
      <c r="C21" s="13" t="s">
        <v>3764</v>
      </c>
      <c r="D21" s="12" t="s">
        <v>4028</v>
      </c>
      <c r="E21" s="12" t="s">
        <v>195</v>
      </c>
      <c r="F21" s="11"/>
      <c r="G21" s="12" t="s">
        <v>2856</v>
      </c>
      <c r="H21" s="11"/>
      <c r="I21" s="12" t="s">
        <v>4029</v>
      </c>
      <c r="J21" s="11"/>
      <c r="K21" s="12" t="s">
        <v>4030</v>
      </c>
      <c r="L21" s="11"/>
      <c r="M21" s="12" t="str">
        <f>HYPERLINK("https://ceds.ed.gov/cedselementdetails.aspx?termid=17613")</f>
        <v>https://ceds.ed.gov/cedselementdetails.aspx?termid=17613</v>
      </c>
      <c r="N21" s="12" t="str">
        <f>HYPERLINK("https://ceds.ed.gov/elementComment.aspx?elementName=Employment Separation Reason &amp;elementID=17613", "Click here to submit comment")</f>
        <v>Click here to submit comment</v>
      </c>
    </row>
    <row r="22" spans="1:14" ht="293.25" x14ac:dyDescent="0.25">
      <c r="A22" s="12" t="s">
        <v>4107</v>
      </c>
      <c r="B22" s="12" t="s">
        <v>4108</v>
      </c>
      <c r="C22" s="13" t="s">
        <v>4109</v>
      </c>
      <c r="D22" s="12" t="s">
        <v>4110</v>
      </c>
      <c r="E22" s="12" t="s">
        <v>195</v>
      </c>
      <c r="F22" s="11"/>
      <c r="G22" s="12" t="s">
        <v>2266</v>
      </c>
      <c r="H22" s="11"/>
      <c r="I22" s="12" t="s">
        <v>4111</v>
      </c>
      <c r="J22" s="11"/>
      <c r="K22" s="12" t="s">
        <v>4112</v>
      </c>
      <c r="L22" s="12" t="s">
        <v>2157</v>
      </c>
      <c r="M22" s="12" t="str">
        <f>HYPERLINK("https://ceds.ed.gov/cedselementdetails.aspx?termid=17100")</f>
        <v>https://ceds.ed.gov/cedselementdetails.aspx?termid=17100</v>
      </c>
      <c r="N22" s="12" t="str">
        <f>HYPERLINK("https://ceds.ed.gov/elementComment.aspx?elementName=Entry Grade Level &amp;elementID=17100", "Click here to submit comment")</f>
        <v>Click here to submit comment</v>
      </c>
    </row>
    <row r="23" spans="1:14" ht="409.6" customHeight="1" x14ac:dyDescent="0.25">
      <c r="A23" s="15" t="s">
        <v>4129</v>
      </c>
      <c r="B23" s="15" t="s">
        <v>4130</v>
      </c>
      <c r="C23" s="17" t="s">
        <v>4131</v>
      </c>
      <c r="D23" s="15" t="s">
        <v>3635</v>
      </c>
      <c r="E23" s="15" t="s">
        <v>195</v>
      </c>
      <c r="F23" s="16"/>
      <c r="G23" s="15" t="s">
        <v>4132</v>
      </c>
      <c r="H23" s="12" t="s">
        <v>4133</v>
      </c>
      <c r="I23" s="15" t="s">
        <v>4134</v>
      </c>
      <c r="J23" s="16"/>
      <c r="K23" s="15" t="s">
        <v>4135</v>
      </c>
      <c r="L23" s="15" t="s">
        <v>4136</v>
      </c>
      <c r="M23" s="15" t="str">
        <f>HYPERLINK("https://ceds.ed.gov/cedselementdetails.aspx?termid=17110")</f>
        <v>https://ceds.ed.gov/cedselementdetails.aspx?termid=17110</v>
      </c>
      <c r="N23" s="15" t="str">
        <f>HYPERLINK("https://ceds.ed.gov/elementComment.aspx?elementName=Exit or Withdrawal Type &amp;elementID=17110", "Click here to submit comment")</f>
        <v>Click here to submit comment</v>
      </c>
    </row>
    <row r="24" spans="1:14" ht="38.25" x14ac:dyDescent="0.25">
      <c r="A24" s="15"/>
      <c r="B24" s="15"/>
      <c r="C24" s="15"/>
      <c r="D24" s="15"/>
      <c r="E24" s="15"/>
      <c r="F24" s="16"/>
      <c r="G24" s="15"/>
      <c r="H24" s="12" t="s">
        <v>4137</v>
      </c>
      <c r="I24" s="15"/>
      <c r="J24" s="16"/>
      <c r="K24" s="15"/>
      <c r="L24" s="15"/>
      <c r="M24" s="15"/>
      <c r="N24" s="15"/>
    </row>
    <row r="25" spans="1:14" ht="51" x14ac:dyDescent="0.25">
      <c r="A25" s="15"/>
      <c r="B25" s="15"/>
      <c r="C25" s="15"/>
      <c r="D25" s="15"/>
      <c r="E25" s="15"/>
      <c r="F25" s="16"/>
      <c r="G25" s="15"/>
      <c r="H25" s="12" t="s">
        <v>4138</v>
      </c>
      <c r="I25" s="15"/>
      <c r="J25" s="16"/>
      <c r="K25" s="15"/>
      <c r="L25" s="15"/>
      <c r="M25" s="15"/>
      <c r="N25" s="15"/>
    </row>
    <row r="26" spans="1:14" ht="89.25" x14ac:dyDescent="0.25">
      <c r="A26" s="15"/>
      <c r="B26" s="15"/>
      <c r="C26" s="15"/>
      <c r="D26" s="15"/>
      <c r="E26" s="15"/>
      <c r="F26" s="16"/>
      <c r="G26" s="15"/>
      <c r="H26" s="12" t="s">
        <v>4139</v>
      </c>
      <c r="I26" s="15"/>
      <c r="J26" s="16"/>
      <c r="K26" s="15"/>
      <c r="L26" s="15"/>
      <c r="M26" s="15"/>
      <c r="N26" s="15"/>
    </row>
    <row r="27" spans="1:14" ht="102" x14ac:dyDescent="0.25">
      <c r="A27" s="15"/>
      <c r="B27" s="15"/>
      <c r="C27" s="15"/>
      <c r="D27" s="15"/>
      <c r="E27" s="15"/>
      <c r="F27" s="16"/>
      <c r="G27" s="15"/>
      <c r="H27" s="12" t="s">
        <v>4140</v>
      </c>
      <c r="I27" s="15"/>
      <c r="J27" s="16"/>
      <c r="K27" s="15"/>
      <c r="L27" s="15"/>
      <c r="M27" s="15"/>
      <c r="N27" s="15"/>
    </row>
    <row r="28" spans="1:14" ht="369.75" x14ac:dyDescent="0.25">
      <c r="A28" s="12" t="s">
        <v>4722</v>
      </c>
      <c r="B28" s="12" t="s">
        <v>4723</v>
      </c>
      <c r="C28" s="13" t="s">
        <v>4724</v>
      </c>
      <c r="D28" s="12" t="s">
        <v>4725</v>
      </c>
      <c r="E28" s="12" t="s">
        <v>195</v>
      </c>
      <c r="F28" s="11"/>
      <c r="G28" s="12" t="s">
        <v>2856</v>
      </c>
      <c r="H28" s="11"/>
      <c r="I28" s="12" t="s">
        <v>4726</v>
      </c>
      <c r="J28" s="11"/>
      <c r="K28" s="12" t="s">
        <v>4727</v>
      </c>
      <c r="L28" s="12" t="s">
        <v>3920</v>
      </c>
      <c r="M28" s="12" t="str">
        <f>HYPERLINK("https://ceds.ed.gov/cedselementdetails.aspx?termid=17866")</f>
        <v>https://ceds.ed.gov/cedselementdetails.aspx?termid=17866</v>
      </c>
      <c r="N28" s="12" t="str">
        <f>HYPERLINK("https://ceds.ed.gov/elementComment.aspx?elementName=Full-Time Employee Benefits &amp;elementID=17866", "Click here to submit comment")</f>
        <v>Click here to submit comment</v>
      </c>
    </row>
    <row r="29" spans="1:14" ht="89.25" x14ac:dyDescent="0.25">
      <c r="A29" s="12" t="s">
        <v>4865</v>
      </c>
      <c r="B29" s="12" t="s">
        <v>4866</v>
      </c>
      <c r="C29" s="13" t="s">
        <v>4867</v>
      </c>
      <c r="D29" s="12" t="s">
        <v>4868</v>
      </c>
      <c r="E29" s="12" t="s">
        <v>195</v>
      </c>
      <c r="F29" s="11"/>
      <c r="G29" s="12" t="s">
        <v>4869</v>
      </c>
      <c r="H29" s="11"/>
      <c r="I29" s="12" t="s">
        <v>4870</v>
      </c>
      <c r="J29" s="12" t="s">
        <v>4871</v>
      </c>
      <c r="K29" s="12" t="s">
        <v>4872</v>
      </c>
      <c r="L29" s="12" t="s">
        <v>4873</v>
      </c>
      <c r="M29" s="12" t="str">
        <f>HYPERLINK("https://ceds.ed.gov/cedselementdetails.aspx?termid=17123")</f>
        <v>https://ceds.ed.gov/cedselementdetails.aspx?termid=17123</v>
      </c>
      <c r="N29" s="12" t="str">
        <f>HYPERLINK("https://ceds.ed.gov/elementComment.aspx?elementName=Grade Point Average Weighted Indicator &amp;elementID=17123", "Click here to submit comment")</f>
        <v>Click here to submit comment</v>
      </c>
    </row>
    <row r="30" spans="1:14" ht="331.5" x14ac:dyDescent="0.25">
      <c r="A30" s="12" t="s">
        <v>4884</v>
      </c>
      <c r="B30" s="12" t="s">
        <v>4885</v>
      </c>
      <c r="C30" s="13" t="s">
        <v>4837</v>
      </c>
      <c r="D30" s="12" t="s">
        <v>4886</v>
      </c>
      <c r="E30" s="12" t="s">
        <v>195</v>
      </c>
      <c r="F30" s="11"/>
      <c r="G30" s="12" t="s">
        <v>4887</v>
      </c>
      <c r="H30" s="11"/>
      <c r="I30" s="12" t="s">
        <v>4888</v>
      </c>
      <c r="J30" s="11"/>
      <c r="K30" s="12" t="s">
        <v>4889</v>
      </c>
      <c r="L30" s="12" t="s">
        <v>72</v>
      </c>
      <c r="M30" s="12" t="str">
        <f>HYPERLINK("https://ceds.ed.gov/cedselementdetails.aspx?termid=17131")</f>
        <v>https://ceds.ed.gov/cedselementdetails.aspx?termid=17131</v>
      </c>
      <c r="N30" s="12" t="str">
        <f>HYPERLINK("https://ceds.ed.gov/elementComment.aspx?elementName=Grades Offered &amp;elementID=17131", "Click here to submit comment")</f>
        <v>Click here to submit comment</v>
      </c>
    </row>
    <row r="31" spans="1:14" ht="102" x14ac:dyDescent="0.25">
      <c r="A31" s="12" t="s">
        <v>5012</v>
      </c>
      <c r="B31" s="12" t="s">
        <v>5013</v>
      </c>
      <c r="C31" s="13" t="s">
        <v>5014</v>
      </c>
      <c r="D31" s="12" t="s">
        <v>5015</v>
      </c>
      <c r="E31" s="12" t="s">
        <v>195</v>
      </c>
      <c r="F31" s="11"/>
      <c r="G31" s="12" t="s">
        <v>5016</v>
      </c>
      <c r="H31" s="11"/>
      <c r="I31" s="12" t="s">
        <v>5017</v>
      </c>
      <c r="J31" s="11"/>
      <c r="K31" s="12" t="s">
        <v>5018</v>
      </c>
      <c r="L31" s="12" t="s">
        <v>258</v>
      </c>
      <c r="M31" s="12" t="str">
        <f>HYPERLINK("https://ceds.ed.gov/cedselementdetails.aspx?termid=17146")</f>
        <v>https://ceds.ed.gov/cedselementdetails.aspx?termid=17146</v>
      </c>
      <c r="N31" s="12" t="str">
        <f>HYPERLINK("https://ceds.ed.gov/elementComment.aspx?elementName=Homeless Primary Nighttime Residence &amp;elementID=17146", "Click here to submit comment")</f>
        <v>Click here to submit comment</v>
      </c>
    </row>
    <row r="32" spans="1:14" ht="114.75" x14ac:dyDescent="0.25">
      <c r="A32" s="12" t="s">
        <v>5501</v>
      </c>
      <c r="B32" s="12" t="s">
        <v>5502</v>
      </c>
      <c r="C32" s="12" t="s">
        <v>8527</v>
      </c>
      <c r="D32" s="12" t="s">
        <v>181</v>
      </c>
      <c r="E32" s="12" t="s">
        <v>195</v>
      </c>
      <c r="F32" s="11"/>
      <c r="G32" s="12" t="s">
        <v>1086</v>
      </c>
      <c r="H32" s="6" t="s">
        <v>1087</v>
      </c>
      <c r="I32" s="12" t="s">
        <v>5503</v>
      </c>
      <c r="J32" s="11"/>
      <c r="K32" s="12" t="s">
        <v>5504</v>
      </c>
      <c r="L32" s="12" t="s">
        <v>245</v>
      </c>
      <c r="M32" s="12" t="str">
        <f>HYPERLINK("https://ceds.ed.gov/cedselementdetails.aspx?termid=17438")</f>
        <v>https://ceds.ed.gov/cedselementdetails.aspx?termid=17438</v>
      </c>
      <c r="N32" s="12" t="str">
        <f>HYPERLINK("https://ceds.ed.gov/elementComment.aspx?elementName=Instruction Language &amp;elementID=17438", "Click here to submit comment")</f>
        <v>Click here to submit comment</v>
      </c>
    </row>
    <row r="33" spans="1:14" ht="409.5" x14ac:dyDescent="0.25">
      <c r="A33" s="12" t="s">
        <v>5662</v>
      </c>
      <c r="B33" s="12" t="s">
        <v>5663</v>
      </c>
      <c r="C33" s="12" t="s">
        <v>8527</v>
      </c>
      <c r="D33" s="12" t="s">
        <v>5664</v>
      </c>
      <c r="E33" s="12" t="s">
        <v>195</v>
      </c>
      <c r="F33" s="11"/>
      <c r="G33" s="12" t="s">
        <v>5665</v>
      </c>
      <c r="H33" s="6" t="s">
        <v>1087</v>
      </c>
      <c r="I33" s="12" t="s">
        <v>5666</v>
      </c>
      <c r="J33" s="11"/>
      <c r="K33" s="12" t="s">
        <v>5667</v>
      </c>
      <c r="L33" s="12" t="s">
        <v>5668</v>
      </c>
      <c r="M33" s="12" t="str">
        <f>HYPERLINK("https://ceds.ed.gov/cedselementdetails.aspx?termid=17317")</f>
        <v>https://ceds.ed.gov/cedselementdetails.aspx?termid=17317</v>
      </c>
      <c r="N33" s="12" t="str">
        <f>HYPERLINK("https://ceds.ed.gov/elementComment.aspx?elementName=ISO 639-2 Language Code &amp;elementID=17317", "Click here to submit comment")</f>
        <v>Click here to submit comment</v>
      </c>
    </row>
    <row r="34" spans="1:14" ht="409.5" x14ac:dyDescent="0.25">
      <c r="A34" s="12" t="s">
        <v>5669</v>
      </c>
      <c r="B34" s="12" t="s">
        <v>5663</v>
      </c>
      <c r="C34" s="12" t="s">
        <v>8527</v>
      </c>
      <c r="D34" s="12" t="s">
        <v>5664</v>
      </c>
      <c r="E34" s="12" t="s">
        <v>195</v>
      </c>
      <c r="F34" s="11"/>
      <c r="G34" s="12" t="s">
        <v>5670</v>
      </c>
      <c r="H34" s="6" t="s">
        <v>5671</v>
      </c>
      <c r="I34" s="12" t="s">
        <v>5672</v>
      </c>
      <c r="J34" s="11"/>
      <c r="K34" s="12" t="s">
        <v>5673</v>
      </c>
      <c r="L34" s="11"/>
      <c r="M34" s="12" t="str">
        <f>HYPERLINK("https://ceds.ed.gov/cedselementdetails.aspx?termid=18618")</f>
        <v>https://ceds.ed.gov/cedselementdetails.aspx?termid=18618</v>
      </c>
      <c r="N34" s="12" t="str">
        <f>HYPERLINK("https://ceds.ed.gov/elementComment.aspx?elementName=ISO 639-3 Language Code &amp;elementID=18618", "Click here to submit comment")</f>
        <v>Click here to submit comment</v>
      </c>
    </row>
    <row r="35" spans="1:14" ht="409.5" x14ac:dyDescent="0.25">
      <c r="A35" s="12" t="s">
        <v>5674</v>
      </c>
      <c r="B35" s="12" t="s">
        <v>5675</v>
      </c>
      <c r="C35" s="13" t="s">
        <v>5676</v>
      </c>
      <c r="D35" s="12" t="s">
        <v>5664</v>
      </c>
      <c r="E35" s="12" t="s">
        <v>195</v>
      </c>
      <c r="F35" s="11"/>
      <c r="G35" s="12" t="s">
        <v>2856</v>
      </c>
      <c r="H35" s="6" t="s">
        <v>5677</v>
      </c>
      <c r="I35" s="12" t="s">
        <v>5678</v>
      </c>
      <c r="J35" s="11"/>
      <c r="K35" s="12" t="s">
        <v>5679</v>
      </c>
      <c r="L35" s="11"/>
      <c r="M35" s="12" t="str">
        <f>HYPERLINK("https://ceds.ed.gov/cedselementdetails.aspx?termid=18619")</f>
        <v>https://ceds.ed.gov/cedselementdetails.aspx?termid=18619</v>
      </c>
      <c r="N35" s="12" t="str">
        <f>HYPERLINK("https://ceds.ed.gov/elementComment.aspx?elementName=ISO 639-5 Language Family &amp;elementID=18619", "Click here to submit comment")</f>
        <v>Click here to submit comment</v>
      </c>
    </row>
    <row r="36" spans="1:14" ht="409.5" x14ac:dyDescent="0.25">
      <c r="A36" s="12" t="s">
        <v>5695</v>
      </c>
      <c r="B36" s="12" t="s">
        <v>5696</v>
      </c>
      <c r="C36" s="13" t="s">
        <v>5697</v>
      </c>
      <c r="D36" s="12" t="s">
        <v>5686</v>
      </c>
      <c r="E36" s="12" t="s">
        <v>195</v>
      </c>
      <c r="F36" s="11"/>
      <c r="G36" s="12" t="s">
        <v>2266</v>
      </c>
      <c r="H36" s="11"/>
      <c r="I36" s="12" t="s">
        <v>5698</v>
      </c>
      <c r="J36" s="11"/>
      <c r="K36" s="12" t="s">
        <v>5699</v>
      </c>
      <c r="L36" s="12" t="s">
        <v>5700</v>
      </c>
      <c r="M36" s="12" t="str">
        <f>HYPERLINK("https://ceds.ed.gov/cedselementdetails.aspx?termid=17087")</f>
        <v>https://ceds.ed.gov/cedselementdetails.aspx?termid=17087</v>
      </c>
      <c r="N36" s="12" t="str">
        <f>HYPERLINK("https://ceds.ed.gov/elementComment.aspx?elementName=K12 Staff Classification &amp;elementID=17087", "Click here to submit comment")</f>
        <v>Click here to submit comment</v>
      </c>
    </row>
    <row r="37" spans="1:14" ht="409.5" x14ac:dyDescent="0.25">
      <c r="A37" s="12" t="s">
        <v>5717</v>
      </c>
      <c r="B37" s="12" t="s">
        <v>5718</v>
      </c>
      <c r="C37" s="13" t="s">
        <v>5719</v>
      </c>
      <c r="D37" s="12" t="s">
        <v>5720</v>
      </c>
      <c r="E37" s="12" t="s">
        <v>195</v>
      </c>
      <c r="F37" s="11"/>
      <c r="G37" s="12" t="s">
        <v>2856</v>
      </c>
      <c r="H37" s="11"/>
      <c r="I37" s="12" t="s">
        <v>5721</v>
      </c>
      <c r="J37" s="11"/>
      <c r="K37" s="12" t="s">
        <v>5722</v>
      </c>
      <c r="L37" s="12" t="s">
        <v>5668</v>
      </c>
      <c r="M37" s="12" t="str">
        <f>HYPERLINK("https://ceds.ed.gov/cedselementdetails.aspx?termid=17316")</f>
        <v>https://ceds.ed.gov/cedselementdetails.aspx?termid=17316</v>
      </c>
      <c r="N37" s="12" t="str">
        <f>HYPERLINK("https://ceds.ed.gov/elementComment.aspx?elementName=Language Type &amp;elementID=17316", "Click here to submit comment")</f>
        <v>Click here to submit comment</v>
      </c>
    </row>
    <row r="38" spans="1:14" ht="395.25" x14ac:dyDescent="0.25">
      <c r="A38" s="12" t="s">
        <v>5765</v>
      </c>
      <c r="B38" s="12" t="s">
        <v>5766</v>
      </c>
      <c r="C38" s="13" t="s">
        <v>5767</v>
      </c>
      <c r="D38" s="12" t="s">
        <v>5746</v>
      </c>
      <c r="E38" s="12" t="s">
        <v>195</v>
      </c>
      <c r="F38" s="11"/>
      <c r="G38" s="12" t="s">
        <v>5768</v>
      </c>
      <c r="H38" s="6" t="s">
        <v>5769</v>
      </c>
      <c r="I38" s="12" t="s">
        <v>5770</v>
      </c>
      <c r="J38" s="11"/>
      <c r="K38" s="12" t="s">
        <v>5771</v>
      </c>
      <c r="L38" s="11"/>
      <c r="M38" s="12" t="str">
        <f>HYPERLINK("https://ceds.ed.gov/cedselementdetails.aspx?termid=17935")</f>
        <v>https://ceds.ed.gov/cedselementdetails.aspx?termid=17935</v>
      </c>
      <c r="N38" s="12" t="str">
        <f>HYPERLINK("https://ceds.ed.gov/elementComment.aspx?elementName=Learner Action Type &amp;elementID=17935", "Click here to submit comment")</f>
        <v>Click here to submit comment</v>
      </c>
    </row>
    <row r="39" spans="1:14" ht="90" x14ac:dyDescent="0.25">
      <c r="A39" s="12" t="s">
        <v>5797</v>
      </c>
      <c r="B39" s="12" t="s">
        <v>5798</v>
      </c>
      <c r="C39" s="12" t="s">
        <v>8527</v>
      </c>
      <c r="D39" s="12" t="s">
        <v>5778</v>
      </c>
      <c r="E39" s="12" t="s">
        <v>195</v>
      </c>
      <c r="F39" s="11"/>
      <c r="G39" s="12" t="s">
        <v>1086</v>
      </c>
      <c r="H39" s="6" t="s">
        <v>1087</v>
      </c>
      <c r="I39" s="12" t="s">
        <v>5799</v>
      </c>
      <c r="J39" s="11"/>
      <c r="K39" s="12" t="s">
        <v>5800</v>
      </c>
      <c r="L39" s="11"/>
      <c r="M39" s="12" t="str">
        <f>HYPERLINK("https://ceds.ed.gov/cedselementdetails.aspx?termid=17939")</f>
        <v>https://ceds.ed.gov/cedselementdetails.aspx?termid=17939</v>
      </c>
      <c r="N39" s="12" t="str">
        <f>HYPERLINK("https://ceds.ed.gov/elementComment.aspx?elementName=Learner Activity Language &amp;elementID=17939", "Click here to submit comment")</f>
        <v>Click here to submit comment</v>
      </c>
    </row>
    <row r="40" spans="1:14" ht="90" x14ac:dyDescent="0.25">
      <c r="A40" s="15" t="s">
        <v>5977</v>
      </c>
      <c r="B40" s="15" t="s">
        <v>5978</v>
      </c>
      <c r="C40" s="15" t="s">
        <v>8527</v>
      </c>
      <c r="D40" s="15" t="s">
        <v>5848</v>
      </c>
      <c r="E40" s="15" t="s">
        <v>195</v>
      </c>
      <c r="F40" s="16"/>
      <c r="G40" s="15" t="s">
        <v>1086</v>
      </c>
      <c r="H40" s="6" t="s">
        <v>1087</v>
      </c>
      <c r="I40" s="15" t="s">
        <v>5979</v>
      </c>
      <c r="J40" s="16"/>
      <c r="K40" s="15" t="s">
        <v>5980</v>
      </c>
      <c r="L40" s="16"/>
      <c r="M40" s="15" t="str">
        <f>HYPERLINK("https://ceds.ed.gov/cedselementdetails.aspx?termid=17920")</f>
        <v>https://ceds.ed.gov/cedselementdetails.aspx?termid=17920</v>
      </c>
      <c r="N40" s="15" t="str">
        <f>HYPERLINK("https://ceds.ed.gov/elementComment.aspx?elementName=Learning Resource Language &amp;elementID=17920", "Click here to submit comment")</f>
        <v>Click here to submit comment</v>
      </c>
    </row>
    <row r="41" spans="1:14" ht="63.75" x14ac:dyDescent="0.25">
      <c r="A41" s="15"/>
      <c r="B41" s="15"/>
      <c r="C41" s="15"/>
      <c r="D41" s="15"/>
      <c r="E41" s="15"/>
      <c r="F41" s="16"/>
      <c r="G41" s="15"/>
      <c r="H41" s="12" t="s">
        <v>5981</v>
      </c>
      <c r="I41" s="15"/>
      <c r="J41" s="16"/>
      <c r="K41" s="15"/>
      <c r="L41" s="16"/>
      <c r="M41" s="15"/>
      <c r="N41" s="15"/>
    </row>
    <row r="42" spans="1:14" ht="369.75" x14ac:dyDescent="0.25">
      <c r="A42" s="12" t="s">
        <v>6304</v>
      </c>
      <c r="B42" s="12" t="s">
        <v>6305</v>
      </c>
      <c r="C42" s="13" t="s">
        <v>6306</v>
      </c>
      <c r="D42" s="12" t="s">
        <v>6307</v>
      </c>
      <c r="E42" s="12" t="s">
        <v>195</v>
      </c>
      <c r="F42" s="11"/>
      <c r="G42" s="12" t="s">
        <v>6308</v>
      </c>
      <c r="H42" s="11"/>
      <c r="I42" s="12" t="s">
        <v>6309</v>
      </c>
      <c r="J42" s="11"/>
      <c r="K42" s="12" t="s">
        <v>6310</v>
      </c>
      <c r="L42" s="11"/>
      <c r="M42" s="12" t="str">
        <f>HYPERLINK("https://ceds.ed.gov/cedselementdetails.aspx?termid=18621")</f>
        <v>https://ceds.ed.gov/cedselementdetails.aspx?termid=18621</v>
      </c>
      <c r="N42" s="12" t="str">
        <f>HYPERLINK("https://ceds.ed.gov/elementComment.aspx?elementName=Military Branch &amp;elementID=18621", "Click here to submit comment")</f>
        <v>Click here to submit comment</v>
      </c>
    </row>
    <row r="43" spans="1:14" ht="63.75" x14ac:dyDescent="0.25">
      <c r="A43" s="15" t="s">
        <v>6388</v>
      </c>
      <c r="B43" s="15" t="s">
        <v>6389</v>
      </c>
      <c r="C43" s="15" t="s">
        <v>24</v>
      </c>
      <c r="D43" s="15" t="s">
        <v>6390</v>
      </c>
      <c r="E43" s="15" t="s">
        <v>195</v>
      </c>
      <c r="F43" s="16"/>
      <c r="G43" s="15" t="s">
        <v>6391</v>
      </c>
      <c r="H43" s="12" t="s">
        <v>6392</v>
      </c>
      <c r="I43" s="15" t="s">
        <v>6393</v>
      </c>
      <c r="J43" s="16"/>
      <c r="K43" s="15" t="s">
        <v>6394</v>
      </c>
      <c r="L43" s="15" t="s">
        <v>258</v>
      </c>
      <c r="M43" s="15" t="str">
        <f>HYPERLINK("https://ceds.ed.gov/cedselementdetails.aspx?termid=17636")</f>
        <v>https://ceds.ed.gov/cedselementdetails.aspx?termid=17636</v>
      </c>
      <c r="N43" s="15" t="str">
        <f>HYPERLINK("https://ceds.ed.gov/elementComment.aspx?elementName=Neglected or Delinquent Academic Achievement Indicator &amp;elementID=17636", "Click here to submit comment")</f>
        <v>Click here to submit comment</v>
      </c>
    </row>
    <row r="44" spans="1:14" ht="63.75" x14ac:dyDescent="0.25">
      <c r="A44" s="15"/>
      <c r="B44" s="15"/>
      <c r="C44" s="15"/>
      <c r="D44" s="15"/>
      <c r="E44" s="15"/>
      <c r="F44" s="16"/>
      <c r="G44" s="15"/>
      <c r="H44" s="12" t="s">
        <v>6395</v>
      </c>
      <c r="I44" s="15"/>
      <c r="J44" s="16"/>
      <c r="K44" s="15"/>
      <c r="L44" s="15"/>
      <c r="M44" s="15"/>
      <c r="N44" s="15"/>
    </row>
    <row r="45" spans="1:14" ht="63.75" x14ac:dyDescent="0.25">
      <c r="A45" s="15" t="s">
        <v>6396</v>
      </c>
      <c r="B45" s="15" t="s">
        <v>6397</v>
      </c>
      <c r="C45" s="15" t="s">
        <v>24</v>
      </c>
      <c r="D45" s="15" t="s">
        <v>6390</v>
      </c>
      <c r="E45" s="15" t="s">
        <v>195</v>
      </c>
      <c r="F45" s="16"/>
      <c r="G45" s="15" t="s">
        <v>6391</v>
      </c>
      <c r="H45" s="12" t="s">
        <v>6392</v>
      </c>
      <c r="I45" s="15" t="s">
        <v>6398</v>
      </c>
      <c r="J45" s="16"/>
      <c r="K45" s="15" t="s">
        <v>6399</v>
      </c>
      <c r="L45" s="15" t="s">
        <v>258</v>
      </c>
      <c r="M45" s="15" t="str">
        <f>HYPERLINK("https://ceds.ed.gov/cedselementdetails.aspx?termid=17638")</f>
        <v>https://ceds.ed.gov/cedselementdetails.aspx?termid=17638</v>
      </c>
      <c r="N45" s="15" t="str">
        <f>HYPERLINK("https://ceds.ed.gov/elementComment.aspx?elementName=Neglected or Delinquent Academic Outcome Indicator &amp;elementID=17638", "Click here to submit comment")</f>
        <v>Click here to submit comment</v>
      </c>
    </row>
    <row r="46" spans="1:14" ht="63.75" x14ac:dyDescent="0.25">
      <c r="A46" s="15"/>
      <c r="B46" s="15"/>
      <c r="C46" s="15"/>
      <c r="D46" s="15"/>
      <c r="E46" s="15"/>
      <c r="F46" s="16"/>
      <c r="G46" s="15"/>
      <c r="H46" s="12" t="s">
        <v>6395</v>
      </c>
      <c r="I46" s="15"/>
      <c r="J46" s="16"/>
      <c r="K46" s="15"/>
      <c r="L46" s="15"/>
      <c r="M46" s="15"/>
      <c r="N46" s="15"/>
    </row>
    <row r="47" spans="1:14" ht="191.25" x14ac:dyDescent="0.25">
      <c r="A47" s="12" t="s">
        <v>6561</v>
      </c>
      <c r="B47" s="12" t="s">
        <v>6562</v>
      </c>
      <c r="C47" s="13" t="s">
        <v>6563</v>
      </c>
      <c r="D47" s="12" t="s">
        <v>6564</v>
      </c>
      <c r="E47" s="12" t="s">
        <v>195</v>
      </c>
      <c r="F47" s="11"/>
      <c r="G47" s="12" t="s">
        <v>2266</v>
      </c>
      <c r="H47" s="11"/>
      <c r="I47" s="12" t="s">
        <v>6565</v>
      </c>
      <c r="J47" s="11"/>
      <c r="K47" s="12" t="s">
        <v>6566</v>
      </c>
      <c r="L47" s="11"/>
      <c r="M47" s="12" t="str">
        <f>HYPERLINK("https://ceds.ed.gov/cedselementdetails.aspx?termid=18886")</f>
        <v>https://ceds.ed.gov/cedselementdetails.aspx?termid=18886</v>
      </c>
      <c r="N47" s="12" t="str">
        <f>HYPERLINK("https://ceds.ed.gov/elementComment.aspx?elementName=Organization Relationship Type &amp;elementID=18886", "Click here to submit comment")</f>
        <v>Click here to submit comment</v>
      </c>
    </row>
    <row r="48" spans="1:14" ht="409.5" x14ac:dyDescent="0.25">
      <c r="A48" s="12" t="s">
        <v>6571</v>
      </c>
      <c r="B48" s="12" t="s">
        <v>6572</v>
      </c>
      <c r="C48" s="13" t="s">
        <v>6573</v>
      </c>
      <c r="D48" s="12" t="s">
        <v>6564</v>
      </c>
      <c r="E48" s="12" t="s">
        <v>195</v>
      </c>
      <c r="F48" s="11"/>
      <c r="G48" s="12" t="s">
        <v>6574</v>
      </c>
      <c r="H48" s="12" t="s">
        <v>6575</v>
      </c>
      <c r="I48" s="12" t="s">
        <v>6576</v>
      </c>
      <c r="J48" s="11"/>
      <c r="K48" s="12" t="s">
        <v>6577</v>
      </c>
      <c r="L48" s="11"/>
      <c r="M48" s="12" t="str">
        <f>HYPERLINK("https://ceds.ed.gov/cedselementdetails.aspx?termid=18165")</f>
        <v>https://ceds.ed.gov/cedselementdetails.aspx?termid=18165</v>
      </c>
      <c r="N48" s="12" t="str">
        <f>HYPERLINK("https://ceds.ed.gov/elementComment.aspx?elementName=Organization Type &amp;elementID=18165", "Click here to submit comment")</f>
        <v>Click here to submit comment</v>
      </c>
    </row>
    <row r="49" spans="1:14" ht="369.75" x14ac:dyDescent="0.25">
      <c r="A49" s="12" t="s">
        <v>6642</v>
      </c>
      <c r="B49" s="12" t="s">
        <v>6643</v>
      </c>
      <c r="C49" s="13" t="s">
        <v>4724</v>
      </c>
      <c r="D49" s="12" t="s">
        <v>4725</v>
      </c>
      <c r="E49" s="12" t="s">
        <v>195</v>
      </c>
      <c r="F49" s="11"/>
      <c r="G49" s="12" t="s">
        <v>2856</v>
      </c>
      <c r="H49" s="11"/>
      <c r="I49" s="12" t="s">
        <v>6644</v>
      </c>
      <c r="J49" s="11"/>
      <c r="K49" s="12" t="s">
        <v>6645</v>
      </c>
      <c r="L49" s="12" t="s">
        <v>3920</v>
      </c>
      <c r="M49" s="12" t="str">
        <f>HYPERLINK("https://ceds.ed.gov/cedselementdetails.aspx?termid=17867")</f>
        <v>https://ceds.ed.gov/cedselementdetails.aspx?termid=17867</v>
      </c>
      <c r="N49" s="12" t="str">
        <f>HYPERLINK("https://ceds.ed.gov/elementComment.aspx?elementName=Part-Time Employee Benefits &amp;elementID=17867", "Click here to submit comment")</f>
        <v>Click here to submit comment</v>
      </c>
    </row>
    <row r="50" spans="1:14" ht="409.5" x14ac:dyDescent="0.25">
      <c r="A50" s="12" t="s">
        <v>6727</v>
      </c>
      <c r="B50" s="12" t="s">
        <v>6728</v>
      </c>
      <c r="C50" s="13" t="s">
        <v>6729</v>
      </c>
      <c r="D50" s="12" t="s">
        <v>6730</v>
      </c>
      <c r="E50" s="12" t="s">
        <v>195</v>
      </c>
      <c r="F50" s="11"/>
      <c r="G50" s="12" t="s">
        <v>6731</v>
      </c>
      <c r="H50" s="12" t="s">
        <v>6732</v>
      </c>
      <c r="I50" s="12" t="s">
        <v>6733</v>
      </c>
      <c r="J50" s="11"/>
      <c r="K50" s="12" t="s">
        <v>6734</v>
      </c>
      <c r="L50" s="12" t="s">
        <v>1751</v>
      </c>
      <c r="M50" s="12" t="str">
        <f>HYPERLINK("https://ceds.ed.gov/cedselementdetails.aspx?termid=17415")</f>
        <v>https://ceds.ed.gov/cedselementdetails.aspx?termid=17415</v>
      </c>
      <c r="N50" s="12" t="str">
        <f>HYPERLINK("https://ceds.ed.gov/elementComment.aspx?elementName=Person Relationship Type &amp;elementID=17415", "Click here to submit comment")</f>
        <v>Click here to submit comment</v>
      </c>
    </row>
    <row r="51" spans="1:14" ht="409.5" x14ac:dyDescent="0.25">
      <c r="A51" s="12" t="s">
        <v>6753</v>
      </c>
      <c r="B51" s="12" t="s">
        <v>44</v>
      </c>
      <c r="C51" s="13" t="s">
        <v>6754</v>
      </c>
      <c r="D51" s="12" t="s">
        <v>52</v>
      </c>
      <c r="E51" s="12" t="s">
        <v>195</v>
      </c>
      <c r="F51" s="11"/>
      <c r="G51" s="12" t="s">
        <v>6755</v>
      </c>
      <c r="H51" s="11"/>
      <c r="I51" s="12" t="s">
        <v>6756</v>
      </c>
      <c r="J51" s="11"/>
      <c r="K51" s="12" t="s">
        <v>6757</v>
      </c>
      <c r="L51" s="11"/>
      <c r="M51" s="12" t="str">
        <f>HYPERLINK("https://ceds.ed.gov/cedselementdetails.aspx?termid=18649")</f>
        <v>https://ceds.ed.gov/cedselementdetails.aspx?termid=18649</v>
      </c>
      <c r="N51" s="12" t="str">
        <f>HYPERLINK("https://ceds.ed.gov/elementComment.aspx?elementName=PESC Award Level Type &amp;elementID=18649", "Click here to submit comment")</f>
        <v>Click here to submit comment</v>
      </c>
    </row>
    <row r="52" spans="1:14" ht="38.25" x14ac:dyDescent="0.25">
      <c r="A52" s="12" t="s">
        <v>6849</v>
      </c>
      <c r="B52" s="12" t="s">
        <v>8524</v>
      </c>
      <c r="C52" s="12" t="s">
        <v>24</v>
      </c>
      <c r="D52" s="12" t="s">
        <v>5686</v>
      </c>
      <c r="E52" s="12" t="s">
        <v>195</v>
      </c>
      <c r="F52" s="11"/>
      <c r="G52" s="12" t="s">
        <v>8525</v>
      </c>
      <c r="H52" s="11"/>
      <c r="I52" s="12" t="s">
        <v>6850</v>
      </c>
      <c r="J52" s="11"/>
      <c r="K52" s="12" t="s">
        <v>6851</v>
      </c>
      <c r="L52" s="11"/>
      <c r="M52" s="12" t="str">
        <f>HYPERLINK("https://ceds.ed.gov/cedselementdetails.aspx?termid=17516")</f>
        <v>https://ceds.ed.gov/cedselementdetails.aspx?termid=17516</v>
      </c>
      <c r="N52" s="12" t="str">
        <f>HYPERLINK("https://ceds.ed.gov/elementComment.aspx?elementName=Primary Assignment Indicator &amp;elementID=17516", "Click here to submit comment")</f>
        <v>Click here to submit comment</v>
      </c>
    </row>
    <row r="53" spans="1:14" ht="90" x14ac:dyDescent="0.25">
      <c r="A53" s="12" t="s">
        <v>7024</v>
      </c>
      <c r="B53" s="12" t="s">
        <v>7025</v>
      </c>
      <c r="C53" s="12" t="s">
        <v>8527</v>
      </c>
      <c r="D53" s="12" t="s">
        <v>6884</v>
      </c>
      <c r="E53" s="12" t="s">
        <v>195</v>
      </c>
      <c r="F53" s="11"/>
      <c r="G53" s="12" t="s">
        <v>1086</v>
      </c>
      <c r="H53" s="6" t="s">
        <v>1087</v>
      </c>
      <c r="I53" s="12" t="s">
        <v>7026</v>
      </c>
      <c r="J53" s="11"/>
      <c r="K53" s="12" t="s">
        <v>7027</v>
      </c>
      <c r="L53" s="11"/>
      <c r="M53" s="12" t="str">
        <f>HYPERLINK("https://ceds.ed.gov/cedselementdetails.aspx?termid=18357")</f>
        <v>https://ceds.ed.gov/cedselementdetails.aspx?termid=18357</v>
      </c>
      <c r="N53" s="12" t="str">
        <f>HYPERLINK("https://ceds.ed.gov/elementComment.aspx?elementName=Professional Development Session Language &amp;elementID=18357", "Click here to submit comment")</f>
        <v>Click here to submit comment</v>
      </c>
    </row>
    <row r="54" spans="1:14" ht="395.25" x14ac:dyDescent="0.25">
      <c r="A54" s="12" t="s">
        <v>7201</v>
      </c>
      <c r="B54" s="12" t="s">
        <v>7202</v>
      </c>
      <c r="C54" s="12" t="s">
        <v>24</v>
      </c>
      <c r="D54" s="12" t="s">
        <v>7203</v>
      </c>
      <c r="E54" s="12" t="s">
        <v>195</v>
      </c>
      <c r="F54" s="11"/>
      <c r="G54" s="12" t="s">
        <v>2856</v>
      </c>
      <c r="H54" s="11"/>
      <c r="I54" s="12" t="s">
        <v>7204</v>
      </c>
      <c r="J54" s="11"/>
      <c r="K54" s="12" t="s">
        <v>7205</v>
      </c>
      <c r="L54" s="11"/>
      <c r="M54" s="12" t="str">
        <f>HYPERLINK("https://ceds.ed.gov/cedselementdetails.aspx?termid=17760")</f>
        <v>https://ceds.ed.gov/cedselementdetails.aspx?termid=17760</v>
      </c>
      <c r="N54" s="12" t="str">
        <f>HYPERLINK("https://ceds.ed.gov/elementComment.aspx?elementName=Public Assistance Status &amp;elementID=17760", "Click here to submit comment")</f>
        <v>Click here to submit comment</v>
      </c>
    </row>
    <row r="55" spans="1:14" ht="102" x14ac:dyDescent="0.25">
      <c r="A55" s="12" t="s">
        <v>7559</v>
      </c>
      <c r="B55" s="12" t="s">
        <v>7560</v>
      </c>
      <c r="C55" s="12" t="s">
        <v>8527</v>
      </c>
      <c r="D55" s="12" t="s">
        <v>7561</v>
      </c>
      <c r="E55" s="12" t="s">
        <v>195</v>
      </c>
      <c r="F55" s="11"/>
      <c r="G55" s="12" t="s">
        <v>7562</v>
      </c>
      <c r="H55" s="6" t="s">
        <v>7563</v>
      </c>
      <c r="I55" s="12" t="s">
        <v>7564</v>
      </c>
      <c r="J55" s="12" t="s">
        <v>7565</v>
      </c>
      <c r="K55" s="12" t="s">
        <v>7566</v>
      </c>
      <c r="L55" s="11"/>
      <c r="M55" s="12" t="str">
        <f>HYPERLINK("https://ceds.ed.gov/cedselementdetails.aspx?termid=18490")</f>
        <v>https://ceds.ed.gov/cedselementdetails.aspx?termid=18490</v>
      </c>
      <c r="N55" s="12" t="str">
        <f>HYPERLINK("https://ceds.ed.gov/elementComment.aspx?elementName=School Courses for the Exchange of Data Course Code &amp;elementID=18490", "Click here to submit comment")</f>
        <v>Click here to submit comment</v>
      </c>
    </row>
    <row r="56" spans="1:14" ht="357" x14ac:dyDescent="0.25">
      <c r="A56" s="12" t="s">
        <v>7940</v>
      </c>
      <c r="B56" s="12" t="s">
        <v>7941</v>
      </c>
      <c r="C56" s="12" t="s">
        <v>37</v>
      </c>
      <c r="D56" s="12" t="s">
        <v>7942</v>
      </c>
      <c r="E56" s="12" t="s">
        <v>195</v>
      </c>
      <c r="F56" s="12" t="s">
        <v>7943</v>
      </c>
      <c r="G56" s="12" t="s">
        <v>2856</v>
      </c>
      <c r="H56" s="11"/>
      <c r="I56" s="12" t="s">
        <v>7944</v>
      </c>
      <c r="J56" s="11"/>
      <c r="K56" s="12" t="s">
        <v>7945</v>
      </c>
      <c r="L56" s="12" t="s">
        <v>80</v>
      </c>
      <c r="M56" s="12" t="str">
        <f>HYPERLINK("https://ceds.ed.gov/cedselementdetails.aspx?termid=17707")</f>
        <v>https://ceds.ed.gov/cedselementdetails.aspx?termid=17707</v>
      </c>
      <c r="N56" s="12" t="str">
        <f>HYPERLINK("https://ceds.ed.gov/elementComment.aspx?elementName=Standard Occupational Classification &amp;elementID=17707", "Click here to submit comment")</f>
        <v>Click here to submit comment</v>
      </c>
    </row>
    <row r="57" spans="1:14" ht="409.5" x14ac:dyDescent="0.25">
      <c r="A57" s="12" t="s">
        <v>8081</v>
      </c>
      <c r="B57" s="12" t="s">
        <v>8082</v>
      </c>
      <c r="C57" s="13" t="s">
        <v>8083</v>
      </c>
      <c r="D57" s="12" t="s">
        <v>8084</v>
      </c>
      <c r="E57" s="12" t="s">
        <v>195</v>
      </c>
      <c r="F57" s="11"/>
      <c r="G57" s="12" t="s">
        <v>8085</v>
      </c>
      <c r="H57" s="12" t="s">
        <v>8086</v>
      </c>
      <c r="I57" s="12" t="s">
        <v>8087</v>
      </c>
      <c r="J57" s="11"/>
      <c r="K57" s="12" t="s">
        <v>8088</v>
      </c>
      <c r="L57" s="11"/>
      <c r="M57" s="12" t="str">
        <f>HYPERLINK("https://ceds.ed.gov/cedselementdetails.aspx?termid=17273")</f>
        <v>https://ceds.ed.gov/cedselementdetails.aspx?termid=17273</v>
      </c>
      <c r="N57" s="12" t="str">
        <f>HYPERLINK("https://ceds.ed.gov/elementComment.aspx?elementName=Student Support Service Type &amp;elementID=17273", "Click here to submit comment")</f>
        <v>Click here to submit comment</v>
      </c>
    </row>
    <row r="58" spans="1:14" ht="409.5" x14ac:dyDescent="0.25">
      <c r="A58" s="12" t="s">
        <v>8363</v>
      </c>
      <c r="B58" s="12" t="s">
        <v>8364</v>
      </c>
      <c r="C58" s="12" t="s">
        <v>8527</v>
      </c>
      <c r="D58" s="12" t="s">
        <v>8365</v>
      </c>
      <c r="E58" s="12" t="s">
        <v>195</v>
      </c>
      <c r="F58" s="11"/>
      <c r="G58" s="12" t="s">
        <v>8366</v>
      </c>
      <c r="H58" s="11"/>
      <c r="I58" s="12" t="s">
        <v>8367</v>
      </c>
      <c r="J58" s="11"/>
      <c r="K58" s="12" t="s">
        <v>8368</v>
      </c>
      <c r="L58" s="11"/>
      <c r="M58" s="12" t="str">
        <f>HYPERLINK("https://ceds.ed.gov/cedselementdetails.aspx?termid=18638")</f>
        <v>https://ceds.ed.gov/cedselementdetails.aspx?termid=18638</v>
      </c>
      <c r="N58" s="12" t="str">
        <f>HYPERLINK("https://ceds.ed.gov/elementComment.aspx?elementName=Tribal Affiliation &amp;elementID=18638", "Click here to submit comment")</f>
        <v>Click here to submit comment</v>
      </c>
    </row>
  </sheetData>
  <autoFilter ref="A1:N1" xr:uid="{A13338AC-93B9-48A8-834A-4585B49C0C1C}"/>
  <mergeCells count="52">
    <mergeCell ref="F23:F27"/>
    <mergeCell ref="A23:A27"/>
    <mergeCell ref="B23:B27"/>
    <mergeCell ref="C23:C27"/>
    <mergeCell ref="D23:D27"/>
    <mergeCell ref="E23:E27"/>
    <mergeCell ref="N23:N27"/>
    <mergeCell ref="A40:A41"/>
    <mergeCell ref="B40:B41"/>
    <mergeCell ref="C40:C41"/>
    <mergeCell ref="D40:D41"/>
    <mergeCell ref="E40:E41"/>
    <mergeCell ref="F40:F41"/>
    <mergeCell ref="G40:G41"/>
    <mergeCell ref="I40:I41"/>
    <mergeCell ref="J40:J41"/>
    <mergeCell ref="G23:G27"/>
    <mergeCell ref="I23:I27"/>
    <mergeCell ref="J23:J27"/>
    <mergeCell ref="K23:K27"/>
    <mergeCell ref="L23:L27"/>
    <mergeCell ref="M23:M27"/>
    <mergeCell ref="K40:K41"/>
    <mergeCell ref="L40:L41"/>
    <mergeCell ref="M40:M41"/>
    <mergeCell ref="N40:N41"/>
    <mergeCell ref="A43:A44"/>
    <mergeCell ref="B43:B44"/>
    <mergeCell ref="C43:C44"/>
    <mergeCell ref="D43:D44"/>
    <mergeCell ref="E43:E44"/>
    <mergeCell ref="F43:F44"/>
    <mergeCell ref="F45:F46"/>
    <mergeCell ref="G45:G46"/>
    <mergeCell ref="I45:I46"/>
    <mergeCell ref="J45:J46"/>
    <mergeCell ref="G43:G44"/>
    <mergeCell ref="I43:I44"/>
    <mergeCell ref="J43:J44"/>
    <mergeCell ref="A45:A46"/>
    <mergeCell ref="B45:B46"/>
    <mergeCell ref="C45:C46"/>
    <mergeCell ref="D45:D46"/>
    <mergeCell ref="E45:E46"/>
    <mergeCell ref="K45:K46"/>
    <mergeCell ref="L45:L46"/>
    <mergeCell ref="M45:M46"/>
    <mergeCell ref="N45:N46"/>
    <mergeCell ref="N43:N44"/>
    <mergeCell ref="K43:K44"/>
    <mergeCell ref="L43:L44"/>
    <mergeCell ref="M43:M44"/>
  </mergeCells>
  <hyperlinks>
    <hyperlink ref="H4" r:id="rId1" display="http://www.loc.gov/standards/iso639-2/langhome.html" xr:uid="{C2B264B9-61F2-4563-9FB8-DF09755E72ED}"/>
    <hyperlink ref="H7" r:id="rId2" display="http://www.loc.gov/standards/iso639-2/langhome.html" xr:uid="{84A11AE5-7FA4-444C-AF06-0578B7A3EE32}"/>
    <hyperlink ref="H6" r:id="rId3" display="http://www.loc.gov/standards/iso639-2/langhome.html" xr:uid="{1843FC4F-A95F-4744-82CE-32DF1B1FE838}"/>
    <hyperlink ref="H5" r:id="rId4" display="http://www.loc.gov/standards/iso639-2/langhome.html" xr:uid="{57FCC151-A836-404E-AF8C-677963E3D355}"/>
    <hyperlink ref="H8" r:id="rId5" display="http://www.loc.gov/standards/iso639-2/langhome.html" xr:uid="{24C8C43B-18DA-481C-B108-78FDBF103D89}"/>
    <hyperlink ref="H15" r:id="rId6" display="http://www.loc.gov/standards/iso639-2/langhome.html" xr:uid="{CCC2DD28-5692-46DB-AD32-6891424A8453}"/>
    <hyperlink ref="H17" r:id="rId7" display="http://www.loc.gov/standards/iso639-2/langhome.html" xr:uid="{549296C7-28CB-499B-A275-69B597141C14}"/>
    <hyperlink ref="H18" r:id="rId8" display="http://www.iso.org/iso/country_codes.htm" xr:uid="{A5BC0230-C748-407C-A915-6EB2AB4FC7CF}"/>
    <hyperlink ref="H32" r:id="rId9" display="http://www.loc.gov/standards/iso639-2/langhome.html" xr:uid="{1CEFE54F-F103-463F-A256-BE8F5CA73B24}"/>
    <hyperlink ref="H33" r:id="rId10" display="http://www.loc.gov/standards/iso639-2/langhome.html" xr:uid="{A69CADB2-029B-4ED8-8E4C-D41435878446}"/>
    <hyperlink ref="H34" r:id="rId11" display="http://www-01.sil.org/iso639-3/default.asp" xr:uid="{C04A5B50-869B-4A13-AA74-309B4EB257ED}"/>
    <hyperlink ref="H35" r:id="rId12" display="http://www.loc.gov/standards/iso639-5/index.html" xr:uid="{88F01FFA-0620-4E6B-81B7-EB331AAFD215}"/>
    <hyperlink ref="H38" r:id="rId13" display="https://w3id.org/xapi/adl" xr:uid="{6211FBD8-8D47-4277-85C0-6F3E21A9E127}"/>
    <hyperlink ref="H39" r:id="rId14" display="http://www.loc.gov/standards/iso639-2/langhome.html" xr:uid="{07A8B779-1252-4EA0-BD9D-4DA5AF02EA25}"/>
    <hyperlink ref="H40" r:id="rId15" display="http://www.loc.gov/standards/iso639-2/langhome.html" xr:uid="{3669F1B8-21B6-46EA-B2D4-2112B924280D}"/>
    <hyperlink ref="H53" r:id="rId16" display="http://www.loc.gov/standards/iso639-2/langhome.html" xr:uid="{3D10F1A3-A619-46B4-8C8C-D188ADAAF727}"/>
    <hyperlink ref="H55" r:id="rId17" xr:uid="{AD655AAB-EA07-47E7-963F-1185F0CC84D8}"/>
  </hyperlinks>
  <pageMargins left="0.75" right="0.75" top="1" bottom="1" header="0.5" footer="0.5"/>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63E-D8A3-4731-9BBC-E7CBFAA9DECA}">
  <dimension ref="A1:N3"/>
  <sheetViews>
    <sheetView showGridLines="0"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63.75" x14ac:dyDescent="0.25">
      <c r="A2" s="12" t="s">
        <v>1437</v>
      </c>
      <c r="B2" s="12" t="s">
        <v>1438</v>
      </c>
      <c r="C2" s="12" t="s">
        <v>24</v>
      </c>
      <c r="D2" s="11"/>
      <c r="E2" s="12" t="s">
        <v>4064</v>
      </c>
      <c r="F2" s="11"/>
      <c r="G2" s="12" t="s">
        <v>8523</v>
      </c>
      <c r="H2" s="11"/>
      <c r="I2" s="12" t="s">
        <v>1439</v>
      </c>
      <c r="J2" s="12" t="s">
        <v>1440</v>
      </c>
      <c r="K2" s="12" t="s">
        <v>1441</v>
      </c>
      <c r="L2" s="12" t="s">
        <v>258</v>
      </c>
      <c r="M2" s="12" t="str">
        <f>HYPERLINK("https://ceds.ed.gov/cedselementdetails.aspx?termid=17568")</f>
        <v>https://ceds.ed.gov/cedselementdetails.aspx?termid=17568</v>
      </c>
      <c r="N2" s="12" t="str">
        <f>HYPERLINK("https://ceds.ed.gov/elementComment.aspx?elementName=Assessment Result Included in Adequate Yearly Progress Calculation &amp;elementID=17568", "Click here to submit comment")</f>
        <v>Click here to submit comment</v>
      </c>
    </row>
    <row r="3" spans="1:14" ht="51" x14ac:dyDescent="0.25">
      <c r="A3" s="12" t="s">
        <v>4062</v>
      </c>
      <c r="B3" s="12" t="s">
        <v>4063</v>
      </c>
      <c r="C3" s="12" t="s">
        <v>37</v>
      </c>
      <c r="D3" s="11"/>
      <c r="E3" s="12" t="s">
        <v>4064</v>
      </c>
      <c r="F3" s="12" t="s">
        <v>135</v>
      </c>
      <c r="G3" s="12" t="s">
        <v>4065</v>
      </c>
      <c r="H3" s="12" t="s">
        <v>160</v>
      </c>
      <c r="I3" s="12" t="s">
        <v>4066</v>
      </c>
      <c r="J3" s="12" t="s">
        <v>4067</v>
      </c>
      <c r="K3" s="12" t="s">
        <v>4068</v>
      </c>
      <c r="L3" s="12" t="s">
        <v>258</v>
      </c>
      <c r="M3" s="12" t="str">
        <f>HYPERLINK("https://ceds.ed.gov/cedselementdetails.aspx?termid=17562")</f>
        <v>https://ceds.ed.gov/cedselementdetails.aspx?termid=17562</v>
      </c>
      <c r="N3" s="12" t="str">
        <f>HYPERLINK("https://ceds.ed.gov/elementComment.aspx?elementName=English Learner Exit Date &amp;elementID=17562", "Click here to submit comment")</f>
        <v>Click here to submit comment</v>
      </c>
    </row>
  </sheetData>
  <autoFilter ref="A1:N1" xr:uid="{A13338AC-93B9-48A8-834A-4585B49C0C1C}"/>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E4F0-0092-4819-9098-DBE5E6583A52}">
  <dimension ref="A1:N1921"/>
  <sheetViews>
    <sheetView showGridLines="0" tabSelected="1"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7" customFormat="1" x14ac:dyDescent="0.25">
      <c r="A1" s="9" t="s">
        <v>0</v>
      </c>
      <c r="B1" s="9" t="s">
        <v>1</v>
      </c>
      <c r="C1" s="9" t="s">
        <v>2</v>
      </c>
      <c r="D1" s="9" t="s">
        <v>3</v>
      </c>
      <c r="E1" s="9" t="s">
        <v>4</v>
      </c>
      <c r="F1" s="9" t="s">
        <v>5</v>
      </c>
      <c r="G1" s="9" t="s">
        <v>6</v>
      </c>
      <c r="H1" s="9" t="s">
        <v>7</v>
      </c>
      <c r="I1" s="10" t="s">
        <v>8</v>
      </c>
      <c r="J1" s="9" t="s">
        <v>9</v>
      </c>
      <c r="K1" s="9" t="s">
        <v>10</v>
      </c>
      <c r="L1" s="9" t="s">
        <v>11</v>
      </c>
      <c r="M1" s="9" t="s">
        <v>12</v>
      </c>
      <c r="N1" s="9" t="s">
        <v>13</v>
      </c>
    </row>
    <row r="2" spans="1:14" ht="127.5" x14ac:dyDescent="0.25">
      <c r="A2" s="12" t="s">
        <v>22</v>
      </c>
      <c r="B2" s="12" t="s">
        <v>23</v>
      </c>
      <c r="C2" s="12" t="s">
        <v>24</v>
      </c>
      <c r="D2" s="12" t="s">
        <v>25</v>
      </c>
      <c r="E2" s="11"/>
      <c r="F2" s="11"/>
      <c r="G2" s="11"/>
      <c r="H2" s="11"/>
      <c r="I2" s="12" t="s">
        <v>26</v>
      </c>
      <c r="J2" s="11"/>
      <c r="K2" s="12" t="s">
        <v>27</v>
      </c>
      <c r="L2" s="12" t="s">
        <v>28</v>
      </c>
      <c r="M2" s="12" t="str">
        <f>HYPERLINK("https://ceds.ed.gov/cedselementdetails.aspx?termid=17000")</f>
        <v>https://ceds.ed.gov/cedselementdetails.aspx?termid=17000</v>
      </c>
      <c r="N2" s="12" t="str">
        <f>HYPERLINK("https://ceds.ed.gov/elementComment.aspx?elementName=Ability Grouping Status &amp;elementID=17000", "Click here to submit comment")</f>
        <v>Click here to submit comment</v>
      </c>
    </row>
    <row r="3" spans="1:14" ht="229.5" x14ac:dyDescent="0.25">
      <c r="A3" s="12" t="s">
        <v>29</v>
      </c>
      <c r="B3" s="12" t="s">
        <v>30</v>
      </c>
      <c r="C3" s="13" t="s">
        <v>31</v>
      </c>
      <c r="D3" s="12" t="s">
        <v>32</v>
      </c>
      <c r="E3" s="11"/>
      <c r="F3" s="11"/>
      <c r="G3" s="11"/>
      <c r="H3" s="11"/>
      <c r="I3" s="12" t="s">
        <v>33</v>
      </c>
      <c r="J3" s="11"/>
      <c r="K3" s="12" t="s">
        <v>34</v>
      </c>
      <c r="L3" s="11"/>
      <c r="M3" s="12" t="str">
        <f>HYPERLINK("https://ceds.ed.gov/cedselementdetails.aspx?termid=17592")</f>
        <v>https://ceds.ed.gov/cedselementdetails.aspx?termid=17592</v>
      </c>
      <c r="N3" s="12" t="str">
        <f>HYPERLINK("https://ceds.ed.gov/elementComment.aspx?elementName=Absent Attendance Category &amp;elementID=17592", "Click here to submit comment")</f>
        <v>Click here to submit comment</v>
      </c>
    </row>
    <row r="4" spans="1:14" ht="229.5" x14ac:dyDescent="0.25">
      <c r="A4" s="12" t="s">
        <v>35</v>
      </c>
      <c r="B4" s="12" t="s">
        <v>36</v>
      </c>
      <c r="C4" s="12" t="s">
        <v>37</v>
      </c>
      <c r="D4" s="12" t="s">
        <v>38</v>
      </c>
      <c r="E4" s="11"/>
      <c r="F4" s="12" t="s">
        <v>39</v>
      </c>
      <c r="G4" s="11"/>
      <c r="H4" s="11"/>
      <c r="I4" s="12" t="s">
        <v>40</v>
      </c>
      <c r="J4" s="11"/>
      <c r="K4" s="12" t="s">
        <v>41</v>
      </c>
      <c r="L4" s="12" t="s">
        <v>42</v>
      </c>
      <c r="M4" s="12" t="str">
        <f>HYPERLINK("https://ceds.ed.gov/cedselementdetails.aspx?termid=17001")</f>
        <v>https://ceds.ed.gov/cedselementdetails.aspx?termid=17001</v>
      </c>
      <c r="N4" s="12" t="str">
        <f>HYPERLINK("https://ceds.ed.gov/elementComment.aspx?elementName=Academic Award Date &amp;elementID=17001", "Click here to submit comment")</f>
        <v>Click here to submit comment</v>
      </c>
    </row>
    <row r="5" spans="1:14" ht="229.5" x14ac:dyDescent="0.25">
      <c r="A5" s="12" t="s">
        <v>43</v>
      </c>
      <c r="B5" s="12" t="s">
        <v>44</v>
      </c>
      <c r="C5" s="13" t="s">
        <v>45</v>
      </c>
      <c r="D5" s="12" t="s">
        <v>38</v>
      </c>
      <c r="E5" s="11"/>
      <c r="F5" s="11"/>
      <c r="G5" s="11"/>
      <c r="H5" s="11"/>
      <c r="I5" s="12" t="s">
        <v>46</v>
      </c>
      <c r="J5" s="11"/>
      <c r="K5" s="12" t="s">
        <v>47</v>
      </c>
      <c r="L5" s="12" t="s">
        <v>48</v>
      </c>
      <c r="M5" s="12" t="str">
        <f>HYPERLINK("https://ceds.ed.gov/cedselementdetails.aspx?termid=17002")</f>
        <v>https://ceds.ed.gov/cedselementdetails.aspx?termid=17002</v>
      </c>
      <c r="N5" s="12" t="str">
        <f>HYPERLINK("https://ceds.ed.gov/elementComment.aspx?elementName=Academic Award Level Conferred &amp;elementID=17002", "Click here to submit comment")</f>
        <v>Click here to submit comment</v>
      </c>
    </row>
    <row r="6" spans="1:14" ht="76.5" x14ac:dyDescent="0.25">
      <c r="A6" s="12" t="s">
        <v>49</v>
      </c>
      <c r="B6" s="12" t="s">
        <v>50</v>
      </c>
      <c r="C6" s="13" t="s">
        <v>51</v>
      </c>
      <c r="D6" s="12" t="s">
        <v>52</v>
      </c>
      <c r="E6" s="11"/>
      <c r="F6" s="11"/>
      <c r="G6" s="11"/>
      <c r="H6" s="11"/>
      <c r="I6" s="12" t="s">
        <v>53</v>
      </c>
      <c r="J6" s="11"/>
      <c r="K6" s="12" t="s">
        <v>54</v>
      </c>
      <c r="L6" s="11"/>
      <c r="M6" s="12" t="str">
        <f>HYPERLINK("https://ceds.ed.gov/cedselementdetails.aspx?termid=18647")</f>
        <v>https://ceds.ed.gov/cedselementdetails.aspx?termid=18647</v>
      </c>
      <c r="N6" s="12" t="str">
        <f>HYPERLINK("https://ceds.ed.gov/elementComment.aspx?elementName=Academic Award Prerequisite Type &amp;elementID=18647", "Click here to submit comment")</f>
        <v>Click here to submit comment</v>
      </c>
    </row>
    <row r="7" spans="1:14" ht="63.75" x14ac:dyDescent="0.25">
      <c r="A7" s="12" t="s">
        <v>55</v>
      </c>
      <c r="B7" s="12" t="s">
        <v>56</v>
      </c>
      <c r="C7" s="12" t="s">
        <v>37</v>
      </c>
      <c r="D7" s="12" t="s">
        <v>52</v>
      </c>
      <c r="E7" s="11"/>
      <c r="F7" s="12" t="s">
        <v>57</v>
      </c>
      <c r="G7" s="11"/>
      <c r="H7" s="11"/>
      <c r="I7" s="12" t="s">
        <v>58</v>
      </c>
      <c r="J7" s="11"/>
      <c r="K7" s="12" t="s">
        <v>59</v>
      </c>
      <c r="L7" s="11"/>
      <c r="M7" s="12" t="str">
        <f>HYPERLINK("https://ceds.ed.gov/cedselementdetails.aspx?termid=18646")</f>
        <v>https://ceds.ed.gov/cedselementdetails.aspx?termid=18646</v>
      </c>
      <c r="N7" s="12" t="str">
        <f>HYPERLINK("https://ceds.ed.gov/elementComment.aspx?elementName=Academic Award Requirements URL &amp;elementID=18646", "Click here to submit comment")</f>
        <v>Click here to submit comment</v>
      </c>
    </row>
    <row r="8" spans="1:14" ht="229.5" x14ac:dyDescent="0.25">
      <c r="A8" s="12" t="s">
        <v>60</v>
      </c>
      <c r="B8" s="12" t="s">
        <v>61</v>
      </c>
      <c r="C8" s="12" t="s">
        <v>37</v>
      </c>
      <c r="D8" s="12" t="s">
        <v>38</v>
      </c>
      <c r="E8" s="11"/>
      <c r="F8" s="12" t="s">
        <v>62</v>
      </c>
      <c r="G8" s="11"/>
      <c r="H8" s="11"/>
      <c r="I8" s="12" t="s">
        <v>63</v>
      </c>
      <c r="J8" s="11"/>
      <c r="K8" s="12" t="s">
        <v>64</v>
      </c>
      <c r="L8" s="12" t="s">
        <v>65</v>
      </c>
      <c r="M8" s="12" t="str">
        <f>HYPERLINK("https://ceds.ed.gov/cedselementdetails.aspx?termid=17003")</f>
        <v>https://ceds.ed.gov/cedselementdetails.aspx?termid=17003</v>
      </c>
      <c r="N8" s="12" t="str">
        <f>HYPERLINK("https://ceds.ed.gov/elementComment.aspx?elementName=Academic Award Title &amp;elementID=17003", "Click here to submit comment")</f>
        <v>Click here to submit comment</v>
      </c>
    </row>
    <row r="9" spans="1:14" ht="280.5" x14ac:dyDescent="0.25">
      <c r="A9" s="12" t="s">
        <v>66</v>
      </c>
      <c r="B9" s="12" t="s">
        <v>67</v>
      </c>
      <c r="C9" s="13" t="s">
        <v>68</v>
      </c>
      <c r="D9" s="12" t="s">
        <v>69</v>
      </c>
      <c r="E9" s="11"/>
      <c r="F9" s="11"/>
      <c r="G9" s="11"/>
      <c r="H9" s="11"/>
      <c r="I9" s="12" t="s">
        <v>70</v>
      </c>
      <c r="J9" s="11"/>
      <c r="K9" s="12" t="s">
        <v>71</v>
      </c>
      <c r="L9" s="12" t="s">
        <v>72</v>
      </c>
      <c r="M9" s="12" t="str">
        <f>HYPERLINK("https://ceds.ed.gov/cedselementdetails.aspx?termid=17004")</f>
        <v>https://ceds.ed.gov/cedselementdetails.aspx?termid=17004</v>
      </c>
      <c r="N9" s="12" t="str">
        <f>HYPERLINK("https://ceds.ed.gov/elementComment.aspx?elementName=Academic Honors Type &amp;elementID=17004", "Click here to submit comment")</f>
        <v>Click here to submit comment</v>
      </c>
    </row>
    <row r="10" spans="1:14" ht="89.25" x14ac:dyDescent="0.25">
      <c r="A10" s="12" t="s">
        <v>73</v>
      </c>
      <c r="B10" s="12" t="s">
        <v>74</v>
      </c>
      <c r="C10" s="13" t="s">
        <v>75</v>
      </c>
      <c r="D10" s="12" t="s">
        <v>76</v>
      </c>
      <c r="E10" s="11"/>
      <c r="F10" s="11"/>
      <c r="G10" s="11"/>
      <c r="H10" s="12" t="s">
        <v>77</v>
      </c>
      <c r="I10" s="12" t="s">
        <v>78</v>
      </c>
      <c r="J10" s="11"/>
      <c r="K10" s="12" t="s">
        <v>79</v>
      </c>
      <c r="L10" s="12" t="s">
        <v>80</v>
      </c>
      <c r="M10" s="12" t="str">
        <f>HYPERLINK("https://ceds.ed.gov/cedselementdetails.aspx?termid=17717")</f>
        <v>https://ceds.ed.gov/cedselementdetails.aspx?termid=17717</v>
      </c>
      <c r="N10" s="12" t="str">
        <f>HYPERLINK("https://ceds.ed.gov/elementComment.aspx?elementName=Academic Rank &amp;elementID=17717", "Click here to submit comment")</f>
        <v>Click here to submit comment</v>
      </c>
    </row>
    <row r="11" spans="1:14" ht="127.5" x14ac:dyDescent="0.25">
      <c r="A11" s="12" t="s">
        <v>81</v>
      </c>
      <c r="B11" s="12" t="s">
        <v>82</v>
      </c>
      <c r="C11" s="13" t="s">
        <v>83</v>
      </c>
      <c r="D11" s="12" t="s">
        <v>84</v>
      </c>
      <c r="E11" s="11"/>
      <c r="F11" s="11"/>
      <c r="G11" s="11"/>
      <c r="H11" s="12" t="s">
        <v>85</v>
      </c>
      <c r="I11" s="12" t="s">
        <v>86</v>
      </c>
      <c r="J11" s="11"/>
      <c r="K11" s="12" t="s">
        <v>87</v>
      </c>
      <c r="L11" s="12" t="s">
        <v>88</v>
      </c>
      <c r="M11" s="12" t="str">
        <f>HYPERLINK("https://ceds.ed.gov/cedselementdetails.aspx?termid=17703")</f>
        <v>https://ceds.ed.gov/cedselementdetails.aspx?termid=17703</v>
      </c>
      <c r="N11" s="12" t="str">
        <f>HYPERLINK("https://ceds.ed.gov/elementComment.aspx?elementName=Academic Term Designator &amp;elementID=17703", "Click here to submit comment")</f>
        <v>Click here to submit comment</v>
      </c>
    </row>
    <row r="12" spans="1:14" ht="63.75" x14ac:dyDescent="0.25">
      <c r="A12" s="12" t="s">
        <v>89</v>
      </c>
      <c r="B12" s="12" t="s">
        <v>90</v>
      </c>
      <c r="C12" s="12" t="s">
        <v>37</v>
      </c>
      <c r="D12" s="12" t="s">
        <v>84</v>
      </c>
      <c r="E12" s="11"/>
      <c r="F12" s="12" t="s">
        <v>91</v>
      </c>
      <c r="G12" s="11"/>
      <c r="H12" s="11"/>
      <c r="I12" s="12" t="s">
        <v>92</v>
      </c>
      <c r="J12" s="11"/>
      <c r="K12" s="12" t="s">
        <v>93</v>
      </c>
      <c r="L12" s="12" t="s">
        <v>88</v>
      </c>
      <c r="M12" s="12" t="str">
        <f>HYPERLINK("https://ceds.ed.gov/cedselementdetails.aspx?termid=17702")</f>
        <v>https://ceds.ed.gov/cedselementdetails.aspx?termid=17702</v>
      </c>
      <c r="N12" s="12" t="str">
        <f>HYPERLINK("https://ceds.ed.gov/elementComment.aspx?elementName=Academic Year Designator &amp;elementID=17702", "Click here to submit comment")</f>
        <v>Click here to submit comment</v>
      </c>
    </row>
    <row r="13" spans="1:14" ht="127.5" x14ac:dyDescent="0.25">
      <c r="A13" s="12" t="s">
        <v>94</v>
      </c>
      <c r="B13" s="12" t="s">
        <v>95</v>
      </c>
      <c r="C13" s="12" t="s">
        <v>37</v>
      </c>
      <c r="D13" s="12" t="s">
        <v>96</v>
      </c>
      <c r="E13" s="11"/>
      <c r="F13" s="12" t="s">
        <v>97</v>
      </c>
      <c r="G13" s="11"/>
      <c r="H13" s="11"/>
      <c r="I13" s="12" t="s">
        <v>98</v>
      </c>
      <c r="J13" s="11"/>
      <c r="K13" s="12" t="s">
        <v>99</v>
      </c>
      <c r="L13" s="11"/>
      <c r="M13" s="12" t="str">
        <f>HYPERLINK("https://ceds.ed.gov/cedselementdetails.aspx?termid=18116")</f>
        <v>https://ceds.ed.gov/cedselementdetails.aspx?termid=18116</v>
      </c>
      <c r="N13" s="12" t="str">
        <f>HYPERLINK("https://ceds.ed.gov/elementComment.aspx?elementName=Accommodation Other Description &amp;elementID=18116", "Click here to submit comment")</f>
        <v>Click here to submit comment</v>
      </c>
    </row>
    <row r="14" spans="1:14" ht="409.5" x14ac:dyDescent="0.25">
      <c r="A14" s="12" t="s">
        <v>100</v>
      </c>
      <c r="B14" s="12" t="s">
        <v>101</v>
      </c>
      <c r="C14" s="13" t="s">
        <v>102</v>
      </c>
      <c r="D14" s="12" t="s">
        <v>103</v>
      </c>
      <c r="E14" s="11"/>
      <c r="F14" s="11"/>
      <c r="G14" s="11"/>
      <c r="H14" s="11"/>
      <c r="I14" s="12" t="s">
        <v>104</v>
      </c>
      <c r="J14" s="11"/>
      <c r="K14" s="12" t="s">
        <v>105</v>
      </c>
      <c r="L14" s="12" t="s">
        <v>106</v>
      </c>
      <c r="M14" s="12" t="str">
        <f>HYPERLINK("https://ceds.ed.gov/cedselementdetails.aspx?termid=17376")</f>
        <v>https://ceds.ed.gov/cedselementdetails.aspx?termid=17376</v>
      </c>
      <c r="N14" s="12" t="str">
        <f>HYPERLINK("https://ceds.ed.gov/elementComment.aspx?elementName=Accommodation Type &amp;elementID=17376", "Click here to submit comment")</f>
        <v>Click here to submit comment</v>
      </c>
    </row>
    <row r="15" spans="1:14" ht="318.75" x14ac:dyDescent="0.25">
      <c r="A15" s="12" t="s">
        <v>107</v>
      </c>
      <c r="B15" s="12" t="s">
        <v>108</v>
      </c>
      <c r="C15" s="13" t="s">
        <v>109</v>
      </c>
      <c r="D15" s="12" t="s">
        <v>110</v>
      </c>
      <c r="E15" s="11"/>
      <c r="F15" s="11"/>
      <c r="G15" s="11"/>
      <c r="H15" s="11"/>
      <c r="I15" s="12" t="s">
        <v>111</v>
      </c>
      <c r="J15" s="11"/>
      <c r="K15" s="12" t="s">
        <v>112</v>
      </c>
      <c r="L15" s="11"/>
      <c r="M15" s="12" t="str">
        <f>HYPERLINK("https://ceds.ed.gov/cedselementdetails.aspx?termid=18243")</f>
        <v>https://ceds.ed.gov/cedselementdetails.aspx?termid=18243</v>
      </c>
      <c r="N15" s="12" t="str">
        <f>HYPERLINK("https://ceds.ed.gov/elementComment.aspx?elementName=Accommodations Needed Type &amp;elementID=18243", "Click here to submit comment")</f>
        <v>Click here to submit comment</v>
      </c>
    </row>
    <row r="16" spans="1:14" ht="25.5" x14ac:dyDescent="0.25">
      <c r="A16" s="12" t="s">
        <v>113</v>
      </c>
      <c r="B16" s="12" t="s">
        <v>114</v>
      </c>
      <c r="C16" s="12" t="s">
        <v>37</v>
      </c>
      <c r="D16" s="12" t="s">
        <v>115</v>
      </c>
      <c r="E16" s="11"/>
      <c r="F16" s="12" t="s">
        <v>62</v>
      </c>
      <c r="G16" s="11"/>
      <c r="H16" s="11"/>
      <c r="I16" s="12" t="s">
        <v>116</v>
      </c>
      <c r="J16" s="11"/>
      <c r="K16" s="12" t="s">
        <v>117</v>
      </c>
      <c r="L16" s="11"/>
      <c r="M16" s="12" t="str">
        <f>HYPERLINK("https://ceds.ed.gov/cedselementdetails.aspx?termid=17005")</f>
        <v>https://ceds.ed.gov/cedselementdetails.aspx?termid=17005</v>
      </c>
      <c r="N16" s="12" t="str">
        <f>HYPERLINK("https://ceds.ed.gov/elementComment.aspx?elementName=Accountability Report Title &amp;elementID=17005", "Click here to submit comment")</f>
        <v>Click here to submit comment</v>
      </c>
    </row>
    <row r="17" spans="1:14" ht="165.75" x14ac:dyDescent="0.25">
      <c r="A17" s="12" t="s">
        <v>118</v>
      </c>
      <c r="B17" s="12" t="s">
        <v>119</v>
      </c>
      <c r="C17" s="13" t="s">
        <v>120</v>
      </c>
      <c r="D17" s="12" t="s">
        <v>121</v>
      </c>
      <c r="E17" s="11"/>
      <c r="F17" s="11"/>
      <c r="G17" s="11"/>
      <c r="H17" s="12" t="s">
        <v>122</v>
      </c>
      <c r="I17" s="12" t="s">
        <v>123</v>
      </c>
      <c r="J17" s="11"/>
      <c r="K17" s="12" t="s">
        <v>124</v>
      </c>
      <c r="L17" s="12" t="s">
        <v>125</v>
      </c>
      <c r="M17" s="12" t="str">
        <f>HYPERLINK("https://ceds.ed.gov/cedselementdetails.aspx?termid=17983")</f>
        <v>https://ceds.ed.gov/cedselementdetails.aspx?termid=17983</v>
      </c>
      <c r="N17" s="12" t="str">
        <f>HYPERLINK("https://ceds.ed.gov/elementComment.aspx?elementName=Accreditation Agency &amp;elementID=17983", "Click here to submit comment")</f>
        <v>Click here to submit comment</v>
      </c>
    </row>
    <row r="18" spans="1:14" ht="25.5" x14ac:dyDescent="0.25">
      <c r="A18" s="12" t="s">
        <v>126</v>
      </c>
      <c r="B18" s="12" t="s">
        <v>127</v>
      </c>
      <c r="C18" s="12" t="s">
        <v>37</v>
      </c>
      <c r="D18" s="12" t="s">
        <v>128</v>
      </c>
      <c r="E18" s="11"/>
      <c r="F18" s="12" t="s">
        <v>129</v>
      </c>
      <c r="G18" s="11"/>
      <c r="H18" s="11"/>
      <c r="I18" s="12" t="s">
        <v>130</v>
      </c>
      <c r="J18" s="11"/>
      <c r="K18" s="12" t="s">
        <v>131</v>
      </c>
      <c r="L18" s="11"/>
      <c r="M18" s="12" t="str">
        <f>HYPERLINK("https://ceds.ed.gov/cedselementdetails.aspx?termid=18500")</f>
        <v>https://ceds.ed.gov/cedselementdetails.aspx?termid=18500</v>
      </c>
      <c r="N18" s="12" t="str">
        <f>HYPERLINK("https://ceds.ed.gov/elementComment.aspx?elementName=Accreditation Agency Name &amp;elementID=18500", "Click here to submit comment")</f>
        <v>Click here to submit comment</v>
      </c>
    </row>
    <row r="19" spans="1:14" ht="63.75" x14ac:dyDescent="0.25">
      <c r="A19" s="12" t="s">
        <v>132</v>
      </c>
      <c r="B19" s="12" t="s">
        <v>133</v>
      </c>
      <c r="C19" s="12" t="s">
        <v>37</v>
      </c>
      <c r="D19" s="12" t="s">
        <v>134</v>
      </c>
      <c r="E19" s="11"/>
      <c r="F19" s="12" t="s">
        <v>135</v>
      </c>
      <c r="G19" s="11"/>
      <c r="H19" s="11"/>
      <c r="I19" s="12" t="s">
        <v>136</v>
      </c>
      <c r="J19" s="11"/>
      <c r="K19" s="12" t="s">
        <v>137</v>
      </c>
      <c r="L19" s="12" t="s">
        <v>125</v>
      </c>
      <c r="M19" s="12" t="str">
        <f>HYPERLINK("https://ceds.ed.gov/cedselementdetails.aspx?termid=17840")</f>
        <v>https://ceds.ed.gov/cedselementdetails.aspx?termid=17840</v>
      </c>
      <c r="N19" s="12" t="str">
        <f>HYPERLINK("https://ceds.ed.gov/elementComment.aspx?elementName=Accreditation Award Date &amp;elementID=17840", "Click here to submit comment")</f>
        <v>Click here to submit comment</v>
      </c>
    </row>
    <row r="20" spans="1:14" ht="63.75" x14ac:dyDescent="0.25">
      <c r="A20" s="12" t="s">
        <v>138</v>
      </c>
      <c r="B20" s="12" t="s">
        <v>139</v>
      </c>
      <c r="C20" s="12" t="s">
        <v>37</v>
      </c>
      <c r="D20" s="12" t="s">
        <v>134</v>
      </c>
      <c r="E20" s="11"/>
      <c r="F20" s="12" t="s">
        <v>135</v>
      </c>
      <c r="G20" s="11"/>
      <c r="H20" s="11"/>
      <c r="I20" s="12" t="s">
        <v>140</v>
      </c>
      <c r="J20" s="11"/>
      <c r="K20" s="12" t="s">
        <v>141</v>
      </c>
      <c r="L20" s="12" t="s">
        <v>125</v>
      </c>
      <c r="M20" s="12" t="str">
        <f>HYPERLINK("https://ceds.ed.gov/cedselementdetails.aspx?termid=17841")</f>
        <v>https://ceds.ed.gov/cedselementdetails.aspx?termid=17841</v>
      </c>
      <c r="N20" s="12" t="str">
        <f>HYPERLINK("https://ceds.ed.gov/elementComment.aspx?elementName=Accreditation Expiration Date &amp;elementID=17841", "Click here to submit comment")</f>
        <v>Click here to submit comment</v>
      </c>
    </row>
    <row r="21" spans="1:14" ht="89.25" x14ac:dyDescent="0.25">
      <c r="A21" s="12" t="s">
        <v>142</v>
      </c>
      <c r="B21" s="12" t="s">
        <v>143</v>
      </c>
      <c r="C21" s="12" t="s">
        <v>37</v>
      </c>
      <c r="D21" s="12" t="s">
        <v>144</v>
      </c>
      <c r="E21" s="11"/>
      <c r="F21" s="12" t="s">
        <v>129</v>
      </c>
      <c r="G21" s="11"/>
      <c r="H21" s="11"/>
      <c r="I21" s="12" t="s">
        <v>145</v>
      </c>
      <c r="J21" s="11"/>
      <c r="K21" s="12" t="s">
        <v>146</v>
      </c>
      <c r="L21" s="11"/>
      <c r="M21" s="12" t="str">
        <f>HYPERLINK("https://ceds.ed.gov/cedselementdetails.aspx?termid=18505")</f>
        <v>https://ceds.ed.gov/cedselementdetails.aspx?termid=18505</v>
      </c>
      <c r="N21" s="12" t="str">
        <f>HYPERLINK("https://ceds.ed.gov/elementComment.aspx?elementName=Activity Description &amp;elementID=18505", "Click here to submit comment")</f>
        <v>Click here to submit comment</v>
      </c>
    </row>
    <row r="22" spans="1:14" ht="96" customHeight="1" x14ac:dyDescent="0.25">
      <c r="A22" s="15" t="s">
        <v>147</v>
      </c>
      <c r="B22" s="15" t="s">
        <v>148</v>
      </c>
      <c r="C22" s="15" t="s">
        <v>37</v>
      </c>
      <c r="D22" s="15" t="s">
        <v>144</v>
      </c>
      <c r="E22" s="16"/>
      <c r="F22" s="15" t="s">
        <v>149</v>
      </c>
      <c r="G22" s="16"/>
      <c r="H22" s="12" t="s">
        <v>150</v>
      </c>
      <c r="I22" s="15" t="s">
        <v>151</v>
      </c>
      <c r="J22" s="16"/>
      <c r="K22" s="15" t="s">
        <v>152</v>
      </c>
      <c r="L22" s="15" t="s">
        <v>72</v>
      </c>
      <c r="M22" s="15" t="str">
        <f>HYPERLINK("https://ceds.ed.gov/cedselementdetails.aspx?termid=17006")</f>
        <v>https://ceds.ed.gov/cedselementdetails.aspx?termid=17006</v>
      </c>
      <c r="N22" s="15" t="str">
        <f>HYPERLINK("https://ceds.ed.gov/elementComment.aspx?elementName=Activity Identifier &amp;elementID=17006", "Click here to submit comment")</f>
        <v>Click here to submit comment</v>
      </c>
    </row>
    <row r="23" spans="1:14" x14ac:dyDescent="0.25">
      <c r="A23" s="15"/>
      <c r="B23" s="15"/>
      <c r="C23" s="15"/>
      <c r="D23" s="15"/>
      <c r="E23" s="16"/>
      <c r="F23" s="15"/>
      <c r="G23" s="16"/>
      <c r="H23" s="12"/>
      <c r="I23" s="15"/>
      <c r="J23" s="16"/>
      <c r="K23" s="15"/>
      <c r="L23" s="15"/>
      <c r="M23" s="15"/>
      <c r="N23" s="15"/>
    </row>
    <row r="24" spans="1:14" ht="76.5" x14ac:dyDescent="0.25">
      <c r="A24" s="15"/>
      <c r="B24" s="15"/>
      <c r="C24" s="15"/>
      <c r="D24" s="15"/>
      <c r="E24" s="16"/>
      <c r="F24" s="15"/>
      <c r="G24" s="16"/>
      <c r="H24" s="12" t="s">
        <v>153</v>
      </c>
      <c r="I24" s="15"/>
      <c r="J24" s="16"/>
      <c r="K24" s="15"/>
      <c r="L24" s="15"/>
      <c r="M24" s="15"/>
      <c r="N24" s="15"/>
    </row>
    <row r="25" spans="1:14" ht="89.25" x14ac:dyDescent="0.25">
      <c r="A25" s="12" t="s">
        <v>154</v>
      </c>
      <c r="B25" s="12" t="s">
        <v>155</v>
      </c>
      <c r="C25" s="12" t="s">
        <v>37</v>
      </c>
      <c r="D25" s="12" t="s">
        <v>144</v>
      </c>
      <c r="E25" s="11"/>
      <c r="F25" s="12" t="s">
        <v>135</v>
      </c>
      <c r="G25" s="11"/>
      <c r="H25" s="11"/>
      <c r="I25" s="12" t="s">
        <v>156</v>
      </c>
      <c r="J25" s="11"/>
      <c r="K25" s="12" t="s">
        <v>157</v>
      </c>
      <c r="L25" s="12" t="s">
        <v>72</v>
      </c>
      <c r="M25" s="12" t="str">
        <f>HYPERLINK("https://ceds.ed.gov/cedselementdetails.aspx?termid=17007")</f>
        <v>https://ceds.ed.gov/cedselementdetails.aspx?termid=17007</v>
      </c>
      <c r="N25" s="12" t="str">
        <f>HYPERLINK("https://ceds.ed.gov/elementComment.aspx?elementName=Activity Involvement Begin Date &amp;elementID=17007", "Click here to submit comment")</f>
        <v>Click here to submit comment</v>
      </c>
    </row>
    <row r="26" spans="1:14" ht="89.25" x14ac:dyDescent="0.25">
      <c r="A26" s="12" t="s">
        <v>158</v>
      </c>
      <c r="B26" s="12" t="s">
        <v>159</v>
      </c>
      <c r="C26" s="12" t="s">
        <v>37</v>
      </c>
      <c r="D26" s="12" t="s">
        <v>144</v>
      </c>
      <c r="E26" s="11"/>
      <c r="F26" s="12" t="s">
        <v>135</v>
      </c>
      <c r="G26" s="11"/>
      <c r="H26" s="12" t="s">
        <v>160</v>
      </c>
      <c r="I26" s="12" t="s">
        <v>161</v>
      </c>
      <c r="J26" s="11"/>
      <c r="K26" s="12" t="s">
        <v>162</v>
      </c>
      <c r="L26" s="12" t="s">
        <v>72</v>
      </c>
      <c r="M26" s="12" t="str">
        <f>HYPERLINK("https://ceds.ed.gov/cedselementdetails.aspx?termid=17008")</f>
        <v>https://ceds.ed.gov/cedselementdetails.aspx?termid=17008</v>
      </c>
      <c r="N26" s="12" t="str">
        <f>HYPERLINK("https://ceds.ed.gov/elementComment.aspx?elementName=Activity Involvement End Date &amp;elementID=17008", "Click here to submit comment")</f>
        <v>Click here to submit comment</v>
      </c>
    </row>
    <row r="27" spans="1:14" ht="89.25" x14ac:dyDescent="0.25">
      <c r="A27" s="12" t="s">
        <v>163</v>
      </c>
      <c r="B27" s="12" t="s">
        <v>164</v>
      </c>
      <c r="C27" s="12" t="s">
        <v>37</v>
      </c>
      <c r="D27" s="12" t="s">
        <v>144</v>
      </c>
      <c r="E27" s="11"/>
      <c r="F27" s="12" t="s">
        <v>165</v>
      </c>
      <c r="G27" s="11"/>
      <c r="H27" s="11"/>
      <c r="I27" s="12" t="s">
        <v>166</v>
      </c>
      <c r="J27" s="11"/>
      <c r="K27" s="12" t="s">
        <v>167</v>
      </c>
      <c r="L27" s="11"/>
      <c r="M27" s="12" t="str">
        <f>HYPERLINK("https://ceds.ed.gov/cedselementdetails.aspx?termid=18502")</f>
        <v>https://ceds.ed.gov/cedselementdetails.aspx?termid=18502</v>
      </c>
      <c r="N27" s="12" t="str">
        <f>HYPERLINK("https://ceds.ed.gov/elementComment.aspx?elementName=Activity Time Involved &amp;elementID=18502", "Click here to submit comment")</f>
        <v>Click here to submit comment</v>
      </c>
    </row>
    <row r="28" spans="1:14" ht="89.25" x14ac:dyDescent="0.25">
      <c r="A28" s="12" t="s">
        <v>168</v>
      </c>
      <c r="B28" s="12" t="s">
        <v>169</v>
      </c>
      <c r="C28" s="13" t="s">
        <v>170</v>
      </c>
      <c r="D28" s="12" t="s">
        <v>144</v>
      </c>
      <c r="E28" s="11"/>
      <c r="F28" s="11"/>
      <c r="G28" s="11"/>
      <c r="H28" s="11"/>
      <c r="I28" s="12" t="s">
        <v>171</v>
      </c>
      <c r="J28" s="11"/>
      <c r="K28" s="12" t="s">
        <v>172</v>
      </c>
      <c r="L28" s="11"/>
      <c r="M28" s="12" t="str">
        <f>HYPERLINK("https://ceds.ed.gov/cedselementdetails.aspx?termid=18503")</f>
        <v>https://ceds.ed.gov/cedselementdetails.aspx?termid=18503</v>
      </c>
      <c r="N28" s="12" t="str">
        <f>HYPERLINK("https://ceds.ed.gov/elementComment.aspx?elementName=Activity Time Measurement Type &amp;elementID=18503", "Click here to submit comment")</f>
        <v>Click here to submit comment</v>
      </c>
    </row>
    <row r="29" spans="1:14" ht="89.25" x14ac:dyDescent="0.25">
      <c r="A29" s="12" t="s">
        <v>173</v>
      </c>
      <c r="B29" s="12" t="s">
        <v>174</v>
      </c>
      <c r="C29" s="12" t="s">
        <v>37</v>
      </c>
      <c r="D29" s="12" t="s">
        <v>144</v>
      </c>
      <c r="E29" s="11"/>
      <c r="F29" s="12" t="s">
        <v>175</v>
      </c>
      <c r="G29" s="11"/>
      <c r="H29" s="11"/>
      <c r="I29" s="12" t="s">
        <v>176</v>
      </c>
      <c r="J29" s="11"/>
      <c r="K29" s="12" t="s">
        <v>177</v>
      </c>
      <c r="L29" s="12" t="s">
        <v>72</v>
      </c>
      <c r="M29" s="12" t="str">
        <f>HYPERLINK("https://ceds.ed.gov/cedselementdetails.aspx?termid=17009")</f>
        <v>https://ceds.ed.gov/cedselementdetails.aspx?termid=17009</v>
      </c>
      <c r="N29" s="12" t="str">
        <f>HYPERLINK("https://ceds.ed.gov/elementComment.aspx?elementName=Activity Title &amp;elementID=17009", "Click here to submit comment")</f>
        <v>Click here to submit comment</v>
      </c>
    </row>
    <row r="30" spans="1:14" ht="191.25" x14ac:dyDescent="0.25">
      <c r="A30" s="12" t="s">
        <v>178</v>
      </c>
      <c r="B30" s="12" t="s">
        <v>179</v>
      </c>
      <c r="C30" s="13" t="s">
        <v>180</v>
      </c>
      <c r="D30" s="12" t="s">
        <v>181</v>
      </c>
      <c r="E30" s="11"/>
      <c r="F30" s="11"/>
      <c r="G30" s="11"/>
      <c r="H30" s="11"/>
      <c r="I30" s="12" t="s">
        <v>182</v>
      </c>
      <c r="J30" s="11"/>
      <c r="K30" s="12" t="s">
        <v>183</v>
      </c>
      <c r="L30" s="11"/>
      <c r="M30" s="12" t="str">
        <f>HYPERLINK("https://ceds.ed.gov/cedselementdetails.aspx?termid=17589")</f>
        <v>https://ceds.ed.gov/cedselementdetails.aspx?termid=17589</v>
      </c>
      <c r="N30" s="12" t="str">
        <f>HYPERLINK("https://ceds.ed.gov/elementComment.aspx?elementName=Additional Credit Type &amp;elementID=17589", "Click here to submit comment")</f>
        <v>Click here to submit comment</v>
      </c>
    </row>
    <row r="31" spans="1:14" ht="63.75" x14ac:dyDescent="0.25">
      <c r="A31" s="12" t="s">
        <v>184</v>
      </c>
      <c r="B31" s="12" t="s">
        <v>185</v>
      </c>
      <c r="C31" s="13" t="s">
        <v>186</v>
      </c>
      <c r="D31" s="12" t="s">
        <v>187</v>
      </c>
      <c r="E31" s="12" t="s">
        <v>188</v>
      </c>
      <c r="F31" s="11"/>
      <c r="G31" s="12" t="s">
        <v>189</v>
      </c>
      <c r="H31" s="11"/>
      <c r="I31" s="12" t="s">
        <v>190</v>
      </c>
      <c r="J31" s="11"/>
      <c r="K31" s="12" t="s">
        <v>191</v>
      </c>
      <c r="L31" s="11"/>
      <c r="M31" s="12" t="str">
        <f>HYPERLINK("https://ceds.ed.gov/cedselementdetails.aspx?termid=18902")</f>
        <v>https://ceds.ed.gov/cedselementdetails.aspx?termid=18902</v>
      </c>
      <c r="N31" s="12" t="str">
        <f>HYPERLINK("https://ceds.ed.gov/elementComment.aspx?elementName=Additional Targeted Support and Improvement Status &amp;elementID=18902", "Click here to submit comment")</f>
        <v>Click here to submit comment</v>
      </c>
    </row>
    <row r="32" spans="1:14" ht="409.5" x14ac:dyDescent="0.25">
      <c r="A32" s="12" t="s">
        <v>192</v>
      </c>
      <c r="B32" s="12" t="s">
        <v>193</v>
      </c>
      <c r="C32" s="12" t="s">
        <v>37</v>
      </c>
      <c r="D32" s="12" t="s">
        <v>194</v>
      </c>
      <c r="E32" s="12" t="s">
        <v>195</v>
      </c>
      <c r="F32" s="12" t="s">
        <v>175</v>
      </c>
      <c r="G32" s="12" t="s">
        <v>196</v>
      </c>
      <c r="H32" s="11"/>
      <c r="I32" s="12" t="s">
        <v>197</v>
      </c>
      <c r="J32" s="11"/>
      <c r="K32" s="12" t="s">
        <v>198</v>
      </c>
      <c r="L32" s="12" t="s">
        <v>199</v>
      </c>
      <c r="M32" s="12" t="str">
        <f>HYPERLINK("https://ceds.ed.gov/cedselementdetails.aspx?termid=17019")</f>
        <v>https://ceds.ed.gov/cedselementdetails.aspx?termid=17019</v>
      </c>
      <c r="N32" s="12" t="str">
        <f>HYPERLINK("https://ceds.ed.gov/elementComment.aspx?elementName=Address Apartment Room or Suite Number &amp;elementID=17019", "Click here to submit comment")</f>
        <v>Click here to submit comment</v>
      </c>
    </row>
    <row r="33" spans="1:14" ht="409.5" x14ac:dyDescent="0.25">
      <c r="A33" s="12" t="s">
        <v>200</v>
      </c>
      <c r="B33" s="12" t="s">
        <v>201</v>
      </c>
      <c r="C33" s="12" t="s">
        <v>37</v>
      </c>
      <c r="D33" s="12" t="s">
        <v>194</v>
      </c>
      <c r="E33" s="11"/>
      <c r="F33" s="12" t="s">
        <v>97</v>
      </c>
      <c r="G33" s="11"/>
      <c r="H33" s="11"/>
      <c r="I33" s="12" t="s">
        <v>202</v>
      </c>
      <c r="J33" s="11"/>
      <c r="K33" s="12" t="s">
        <v>203</v>
      </c>
      <c r="L33" s="12" t="s">
        <v>199</v>
      </c>
      <c r="M33" s="12" t="str">
        <f>HYPERLINK("https://ceds.ed.gov/cedselementdetails.aspx?termid=17040")</f>
        <v>https://ceds.ed.gov/cedselementdetails.aspx?termid=17040</v>
      </c>
      <c r="N33" s="12" t="str">
        <f>HYPERLINK("https://ceds.ed.gov/elementComment.aspx?elementName=Address City &amp;elementID=17040", "Click here to submit comment")</f>
        <v>Click here to submit comment</v>
      </c>
    </row>
    <row r="34" spans="1:14" ht="409.5" x14ac:dyDescent="0.25">
      <c r="A34" s="12" t="s">
        <v>204</v>
      </c>
      <c r="B34" s="12" t="s">
        <v>205</v>
      </c>
      <c r="C34" s="12" t="s">
        <v>37</v>
      </c>
      <c r="D34" s="12" t="s">
        <v>206</v>
      </c>
      <c r="E34" s="11"/>
      <c r="F34" s="12" t="s">
        <v>97</v>
      </c>
      <c r="G34" s="11"/>
      <c r="H34" s="11"/>
      <c r="I34" s="12" t="s">
        <v>207</v>
      </c>
      <c r="J34" s="11"/>
      <c r="K34" s="12" t="s">
        <v>208</v>
      </c>
      <c r="L34" s="12" t="s">
        <v>199</v>
      </c>
      <c r="M34" s="12" t="str">
        <f>HYPERLINK("https://ceds.ed.gov/cedselementdetails.aspx?termid=17190")</f>
        <v>https://ceds.ed.gov/cedselementdetails.aspx?termid=17190</v>
      </c>
      <c r="N34" s="12" t="str">
        <f>HYPERLINK("https://ceds.ed.gov/elementComment.aspx?elementName=Address County Name &amp;elementID=17190", "Click here to submit comment")</f>
        <v>Click here to submit comment</v>
      </c>
    </row>
    <row r="35" spans="1:14" ht="409.5" x14ac:dyDescent="0.25">
      <c r="A35" s="12" t="s">
        <v>209</v>
      </c>
      <c r="B35" s="12" t="s">
        <v>210</v>
      </c>
      <c r="C35" s="12" t="s">
        <v>37</v>
      </c>
      <c r="D35" s="12" t="s">
        <v>194</v>
      </c>
      <c r="E35" s="11"/>
      <c r="F35" s="12" t="s">
        <v>211</v>
      </c>
      <c r="G35" s="11"/>
      <c r="H35" s="11"/>
      <c r="I35" s="12" t="s">
        <v>212</v>
      </c>
      <c r="J35" s="11"/>
      <c r="K35" s="12" t="s">
        <v>213</v>
      </c>
      <c r="L35" s="12" t="s">
        <v>199</v>
      </c>
      <c r="M35" s="12" t="str">
        <f>HYPERLINK("https://ceds.ed.gov/cedselementdetails.aspx?termid=17214")</f>
        <v>https://ceds.ed.gov/cedselementdetails.aspx?termid=17214</v>
      </c>
      <c r="N35" s="12" t="str">
        <f>HYPERLINK("https://ceds.ed.gov/elementComment.aspx?elementName=Address Postal Code &amp;elementID=17214", "Click here to submit comment")</f>
        <v>Click here to submit comment</v>
      </c>
    </row>
    <row r="36" spans="1:14" ht="409.5" x14ac:dyDescent="0.25">
      <c r="A36" s="12" t="s">
        <v>214</v>
      </c>
      <c r="B36" s="12" t="s">
        <v>215</v>
      </c>
      <c r="C36" s="12" t="s">
        <v>37</v>
      </c>
      <c r="D36" s="12" t="s">
        <v>194</v>
      </c>
      <c r="E36" s="12" t="s">
        <v>195</v>
      </c>
      <c r="F36" s="12" t="s">
        <v>216</v>
      </c>
      <c r="G36" s="12" t="s">
        <v>196</v>
      </c>
      <c r="H36" s="11"/>
      <c r="I36" s="12" t="s">
        <v>217</v>
      </c>
      <c r="J36" s="11"/>
      <c r="K36" s="12" t="s">
        <v>218</v>
      </c>
      <c r="L36" s="12" t="s">
        <v>199</v>
      </c>
      <c r="M36" s="12" t="str">
        <f>HYPERLINK("https://ceds.ed.gov/cedselementdetails.aspx?termid=17269")</f>
        <v>https://ceds.ed.gov/cedselementdetails.aspx?termid=17269</v>
      </c>
      <c r="N36" s="12" t="str">
        <f>HYPERLINK("https://ceds.ed.gov/elementComment.aspx?elementName=Address Street Number and Name &amp;elementID=17269", "Click here to submit comment")</f>
        <v>Click here to submit comment</v>
      </c>
    </row>
    <row r="37" spans="1:14" ht="318.75" x14ac:dyDescent="0.25">
      <c r="A37" s="12" t="s">
        <v>219</v>
      </c>
      <c r="B37" s="12" t="s">
        <v>220</v>
      </c>
      <c r="C37" s="13" t="s">
        <v>221</v>
      </c>
      <c r="D37" s="12" t="s">
        <v>222</v>
      </c>
      <c r="E37" s="11"/>
      <c r="F37" s="12" t="s">
        <v>97</v>
      </c>
      <c r="G37" s="11"/>
      <c r="H37" s="11"/>
      <c r="I37" s="12" t="s">
        <v>223</v>
      </c>
      <c r="J37" s="11"/>
      <c r="K37" s="12" t="s">
        <v>224</v>
      </c>
      <c r="L37" s="12" t="s">
        <v>225</v>
      </c>
      <c r="M37" s="12" t="str">
        <f>HYPERLINK("https://ceds.ed.gov/cedselementdetails.aspx?termid=17358")</f>
        <v>https://ceds.ed.gov/cedselementdetails.aspx?termid=17358</v>
      </c>
      <c r="N37" s="12" t="str">
        <f>HYPERLINK("https://ceds.ed.gov/elementComment.aspx?elementName=Address Type for Learner or Family &amp;elementID=17358", "Click here to submit comment")</f>
        <v>Click here to submit comment</v>
      </c>
    </row>
    <row r="38" spans="1:14" ht="318.75" x14ac:dyDescent="0.25">
      <c r="A38" s="12" t="s">
        <v>226</v>
      </c>
      <c r="B38" s="12" t="s">
        <v>227</v>
      </c>
      <c r="C38" s="13" t="s">
        <v>228</v>
      </c>
      <c r="D38" s="12" t="s">
        <v>229</v>
      </c>
      <c r="E38" s="11"/>
      <c r="F38" s="12" t="s">
        <v>97</v>
      </c>
      <c r="G38" s="11"/>
      <c r="H38" s="11"/>
      <c r="I38" s="12" t="s">
        <v>230</v>
      </c>
      <c r="J38" s="11"/>
      <c r="K38" s="12" t="s">
        <v>231</v>
      </c>
      <c r="L38" s="12" t="s">
        <v>72</v>
      </c>
      <c r="M38" s="12" t="str">
        <f>HYPERLINK("https://ceds.ed.gov/cedselementdetails.aspx?termid=17644")</f>
        <v>https://ceds.ed.gov/cedselementdetails.aspx?termid=17644</v>
      </c>
      <c r="N38" s="12" t="str">
        <f>HYPERLINK("https://ceds.ed.gov/elementComment.aspx?elementName=Address Type for Organization &amp;elementID=17644", "Click here to submit comment")</f>
        <v>Click here to submit comment</v>
      </c>
    </row>
    <row r="39" spans="1:14" ht="267.75" x14ac:dyDescent="0.25">
      <c r="A39" s="12" t="s">
        <v>232</v>
      </c>
      <c r="B39" s="12" t="s">
        <v>233</v>
      </c>
      <c r="C39" s="13" t="s">
        <v>234</v>
      </c>
      <c r="D39" s="12" t="s">
        <v>235</v>
      </c>
      <c r="E39" s="11"/>
      <c r="F39" s="12" t="s">
        <v>97</v>
      </c>
      <c r="G39" s="11"/>
      <c r="H39" s="11"/>
      <c r="I39" s="12" t="s">
        <v>236</v>
      </c>
      <c r="J39" s="11"/>
      <c r="K39" s="12" t="s">
        <v>237</v>
      </c>
      <c r="L39" s="12" t="s">
        <v>238</v>
      </c>
      <c r="M39" s="12" t="str">
        <f>HYPERLINK("https://ceds.ed.gov/cedselementdetails.aspx?termid=17698")</f>
        <v>https://ceds.ed.gov/cedselementdetails.aspx?termid=17698</v>
      </c>
      <c r="N39" s="12" t="str">
        <f>HYPERLINK("https://ceds.ed.gov/elementComment.aspx?elementName=Address Type for Staff &amp;elementID=17698", "Click here to submit comment")</f>
        <v>Click here to submit comment</v>
      </c>
    </row>
    <row r="40" spans="1:14" ht="38.25" x14ac:dyDescent="0.25">
      <c r="A40" s="12" t="s">
        <v>239</v>
      </c>
      <c r="B40" s="12" t="s">
        <v>240</v>
      </c>
      <c r="C40" s="12" t="s">
        <v>24</v>
      </c>
      <c r="D40" s="12" t="s">
        <v>241</v>
      </c>
      <c r="E40" s="11"/>
      <c r="F40" s="11"/>
      <c r="G40" s="11"/>
      <c r="H40" s="11"/>
      <c r="I40" s="12" t="s">
        <v>242</v>
      </c>
      <c r="J40" s="12" t="s">
        <v>243</v>
      </c>
      <c r="K40" s="12" t="s">
        <v>244</v>
      </c>
      <c r="L40" s="12" t="s">
        <v>245</v>
      </c>
      <c r="M40" s="12" t="str">
        <f>HYPERLINK("https://ceds.ed.gov/cedselementdetails.aspx?termid=17433")</f>
        <v>https://ceds.ed.gov/cedselementdetails.aspx?termid=17433</v>
      </c>
      <c r="N40" s="12" t="str">
        <f>HYPERLINK("https://ceds.ed.gov/elementComment.aspx?elementName=Adequate Yearly Progress Appeal Changed Designation &amp;elementID=17433", "Click here to submit comment")</f>
        <v>Click here to submit comment</v>
      </c>
    </row>
    <row r="41" spans="1:14" ht="38.25" x14ac:dyDescent="0.25">
      <c r="A41" s="12" t="s">
        <v>246</v>
      </c>
      <c r="B41" s="12" t="s">
        <v>247</v>
      </c>
      <c r="C41" s="12" t="s">
        <v>37</v>
      </c>
      <c r="D41" s="12" t="s">
        <v>241</v>
      </c>
      <c r="E41" s="11"/>
      <c r="F41" s="12" t="s">
        <v>135</v>
      </c>
      <c r="G41" s="11"/>
      <c r="H41" s="11"/>
      <c r="I41" s="12" t="s">
        <v>248</v>
      </c>
      <c r="J41" s="12" t="s">
        <v>249</v>
      </c>
      <c r="K41" s="12" t="s">
        <v>250</v>
      </c>
      <c r="L41" s="12" t="s">
        <v>245</v>
      </c>
      <c r="M41" s="12" t="str">
        <f>HYPERLINK("https://ceds.ed.gov/cedselementdetails.aspx?termid=17434")</f>
        <v>https://ceds.ed.gov/cedselementdetails.aspx?termid=17434</v>
      </c>
      <c r="N41" s="12" t="str">
        <f>HYPERLINK("https://ceds.ed.gov/elementComment.aspx?elementName=Adequate Yearly Progress Appeal Process Date &amp;elementID=17434", "Click here to submit comment")</f>
        <v>Click here to submit comment</v>
      </c>
    </row>
    <row r="42" spans="1:14" ht="63.75" x14ac:dyDescent="0.25">
      <c r="A42" s="12" t="s">
        <v>251</v>
      </c>
      <c r="B42" s="12" t="s">
        <v>252</v>
      </c>
      <c r="C42" s="13" t="s">
        <v>253</v>
      </c>
      <c r="D42" s="12" t="s">
        <v>254</v>
      </c>
      <c r="E42" s="11"/>
      <c r="F42" s="11"/>
      <c r="G42" s="11"/>
      <c r="H42" s="11"/>
      <c r="I42" s="12" t="s">
        <v>255</v>
      </c>
      <c r="J42" s="12" t="s">
        <v>256</v>
      </c>
      <c r="K42" s="12" t="s">
        <v>257</v>
      </c>
      <c r="L42" s="12" t="s">
        <v>258</v>
      </c>
      <c r="M42" s="12" t="str">
        <f>HYPERLINK("https://ceds.ed.gov/cedselementdetails.aspx?termid=17011")</f>
        <v>https://ceds.ed.gov/cedselementdetails.aspx?termid=17011</v>
      </c>
      <c r="N42" s="12" t="str">
        <f>HYPERLINK("https://ceds.ed.gov/elementComment.aspx?elementName=Adequate Yearly Progress Status &amp;elementID=17011", "Click here to submit comment")</f>
        <v>Click here to submit comment</v>
      </c>
    </row>
    <row r="43" spans="1:14" ht="51" x14ac:dyDescent="0.25">
      <c r="A43" s="12" t="s">
        <v>259</v>
      </c>
      <c r="B43" s="12" t="s">
        <v>260</v>
      </c>
      <c r="C43" s="13" t="s">
        <v>261</v>
      </c>
      <c r="D43" s="12" t="s">
        <v>262</v>
      </c>
      <c r="E43" s="11"/>
      <c r="F43" s="11"/>
      <c r="G43" s="11"/>
      <c r="H43" s="11"/>
      <c r="I43" s="12" t="s">
        <v>263</v>
      </c>
      <c r="J43" s="11"/>
      <c r="K43" s="12" t="s">
        <v>264</v>
      </c>
      <c r="L43" s="11"/>
      <c r="M43" s="12" t="str">
        <f>HYPERLINK("https://ceds.ed.gov/cedselementdetails.aspx?termid=17012")</f>
        <v>https://ceds.ed.gov/cedselementdetails.aspx?termid=17012</v>
      </c>
      <c r="N43" s="12" t="str">
        <f>HYPERLINK("https://ceds.ed.gov/elementComment.aspx?elementName=Administrative Funding Control &amp;elementID=17012", "Click here to submit comment")</f>
        <v>Click here to submit comment</v>
      </c>
    </row>
    <row r="44" spans="1:14" ht="102" x14ac:dyDescent="0.25">
      <c r="A44" s="12" t="s">
        <v>265</v>
      </c>
      <c r="B44" s="12" t="s">
        <v>266</v>
      </c>
      <c r="C44" s="13" t="s">
        <v>267</v>
      </c>
      <c r="D44" s="12" t="s">
        <v>268</v>
      </c>
      <c r="E44" s="11"/>
      <c r="F44" s="11"/>
      <c r="G44" s="11"/>
      <c r="H44" s="12" t="s">
        <v>269</v>
      </c>
      <c r="I44" s="12" t="s">
        <v>270</v>
      </c>
      <c r="J44" s="11"/>
      <c r="K44" s="12" t="s">
        <v>271</v>
      </c>
      <c r="L44" s="12" t="s">
        <v>125</v>
      </c>
      <c r="M44" s="12" t="str">
        <f>HYPERLINK("https://ceds.ed.gov/cedselementdetails.aspx?termid=17984")</f>
        <v>https://ceds.ed.gov/cedselementdetails.aspx?termid=17984</v>
      </c>
      <c r="N44" s="12" t="str">
        <f>HYPERLINK("https://ceds.ed.gov/elementComment.aspx?elementName=Administrative Policy Type &amp;elementID=17984", "Click here to submit comment")</f>
        <v>Click here to submit comment</v>
      </c>
    </row>
    <row r="45" spans="1:14" ht="76.5" x14ac:dyDescent="0.25">
      <c r="A45" s="12" t="s">
        <v>272</v>
      </c>
      <c r="B45" s="12" t="s">
        <v>273</v>
      </c>
      <c r="C45" s="13" t="s">
        <v>274</v>
      </c>
      <c r="D45" s="12" t="s">
        <v>275</v>
      </c>
      <c r="E45" s="11"/>
      <c r="F45" s="11"/>
      <c r="G45" s="11"/>
      <c r="H45" s="11"/>
      <c r="I45" s="12" t="s">
        <v>276</v>
      </c>
      <c r="J45" s="11"/>
      <c r="K45" s="12" t="s">
        <v>277</v>
      </c>
      <c r="L45" s="12" t="s">
        <v>278</v>
      </c>
      <c r="M45" s="12" t="str">
        <f>HYPERLINK("https://ceds.ed.gov/cedselementdetails.aspx?termid=18558")</f>
        <v>https://ceds.ed.gov/cedselementdetails.aspx?termid=18558</v>
      </c>
      <c r="N45" s="12" t="str">
        <f>HYPERLINK("https://ceds.ed.gov/elementComment.aspx?elementName=Admission Consideration Level &amp;elementID=18558", "Click here to submit comment")</f>
        <v>Click here to submit comment</v>
      </c>
    </row>
    <row r="46" spans="1:14" ht="267.75" x14ac:dyDescent="0.25">
      <c r="A46" s="12" t="s">
        <v>279</v>
      </c>
      <c r="B46" s="12" t="s">
        <v>280</v>
      </c>
      <c r="C46" s="13" t="s">
        <v>281</v>
      </c>
      <c r="D46" s="12" t="s">
        <v>275</v>
      </c>
      <c r="E46" s="11"/>
      <c r="F46" s="11"/>
      <c r="G46" s="11"/>
      <c r="H46" s="11"/>
      <c r="I46" s="12" t="s">
        <v>282</v>
      </c>
      <c r="J46" s="11"/>
      <c r="K46" s="12" t="s">
        <v>283</v>
      </c>
      <c r="L46" s="12" t="s">
        <v>278</v>
      </c>
      <c r="M46" s="12" t="str">
        <f>HYPERLINK("https://ceds.ed.gov/cedselementdetails.aspx?termid=18559")</f>
        <v>https://ceds.ed.gov/cedselementdetails.aspx?termid=18559</v>
      </c>
      <c r="N46" s="12" t="str">
        <f>HYPERLINK("https://ceds.ed.gov/elementComment.aspx?elementName=Admission Consideration Type &amp;elementID=18559", "Click here to submit comment")</f>
        <v>Click here to submit comment</v>
      </c>
    </row>
    <row r="47" spans="1:14" ht="114.75" x14ac:dyDescent="0.25">
      <c r="A47" s="12" t="s">
        <v>284</v>
      </c>
      <c r="B47" s="12" t="s">
        <v>285</v>
      </c>
      <c r="C47" s="13" t="s">
        <v>286</v>
      </c>
      <c r="D47" s="12" t="s">
        <v>287</v>
      </c>
      <c r="E47" s="11"/>
      <c r="F47" s="11"/>
      <c r="G47" s="11"/>
      <c r="H47" s="12" t="s">
        <v>288</v>
      </c>
      <c r="I47" s="12" t="s">
        <v>289</v>
      </c>
      <c r="J47" s="11"/>
      <c r="K47" s="12" t="s">
        <v>290</v>
      </c>
      <c r="L47" s="12" t="s">
        <v>291</v>
      </c>
      <c r="M47" s="12" t="str">
        <f>HYPERLINK("https://ceds.ed.gov/cedselementdetails.aspx?termid=17736")</f>
        <v>https://ceds.ed.gov/cedselementdetails.aspx?termid=17736</v>
      </c>
      <c r="N47" s="12" t="str">
        <f>HYPERLINK("https://ceds.ed.gov/elementComment.aspx?elementName=Admitted Student &amp;elementID=17736", "Click here to submit comment")</f>
        <v>Click here to submit comment</v>
      </c>
    </row>
    <row r="48" spans="1:14" ht="127.5" x14ac:dyDescent="0.25">
      <c r="A48" s="12" t="s">
        <v>292</v>
      </c>
      <c r="B48" s="12" t="s">
        <v>293</v>
      </c>
      <c r="C48" s="13" t="s">
        <v>294</v>
      </c>
      <c r="D48" s="12" t="s">
        <v>295</v>
      </c>
      <c r="E48" s="11"/>
      <c r="F48" s="11"/>
      <c r="G48" s="11"/>
      <c r="H48" s="11"/>
      <c r="I48" s="12" t="s">
        <v>296</v>
      </c>
      <c r="J48" s="11"/>
      <c r="K48" s="12" t="s">
        <v>297</v>
      </c>
      <c r="L48" s="11"/>
      <c r="M48" s="12" t="str">
        <f>HYPERLINK("https://ceds.ed.gov/cedselementdetails.aspx?termid=17775")</f>
        <v>https://ceds.ed.gov/cedselementdetails.aspx?termid=17775</v>
      </c>
      <c r="N48" s="12" t="str">
        <f>HYPERLINK("https://ceds.ed.gov/elementComment.aspx?elementName=Adult Education Certification Type &amp;elementID=17775", "Click here to submit comment")</f>
        <v>Click here to submit comment</v>
      </c>
    </row>
    <row r="49" spans="1:14" ht="51" x14ac:dyDescent="0.25">
      <c r="A49" s="12" t="s">
        <v>298</v>
      </c>
      <c r="B49" s="12" t="s">
        <v>299</v>
      </c>
      <c r="C49" s="13" t="s">
        <v>300</v>
      </c>
      <c r="D49" s="12" t="s">
        <v>301</v>
      </c>
      <c r="E49" s="11"/>
      <c r="F49" s="11"/>
      <c r="G49" s="11"/>
      <c r="H49" s="11"/>
      <c r="I49" s="12" t="s">
        <v>302</v>
      </c>
      <c r="J49" s="11"/>
      <c r="K49" s="12" t="s">
        <v>303</v>
      </c>
      <c r="L49" s="11"/>
      <c r="M49" s="12" t="str">
        <f>HYPERLINK("https://ceds.ed.gov/cedselementdetails.aspx?termid=17765")</f>
        <v>https://ceds.ed.gov/cedselementdetails.aspx?termid=17765</v>
      </c>
      <c r="N49" s="12" t="str">
        <f>HYPERLINK("https://ceds.ed.gov/elementComment.aspx?elementName=Adult Education Instructional Program Type &amp;elementID=17765", "Click here to submit comment")</f>
        <v>Click here to submit comment</v>
      </c>
    </row>
    <row r="50" spans="1:14" ht="89.25" x14ac:dyDescent="0.25">
      <c r="A50" s="12" t="s">
        <v>304</v>
      </c>
      <c r="B50" s="12" t="s">
        <v>305</v>
      </c>
      <c r="C50" s="13" t="s">
        <v>306</v>
      </c>
      <c r="D50" s="12" t="s">
        <v>301</v>
      </c>
      <c r="E50" s="11"/>
      <c r="F50" s="11"/>
      <c r="G50" s="11"/>
      <c r="H50" s="11"/>
      <c r="I50" s="12" t="s">
        <v>307</v>
      </c>
      <c r="J50" s="11"/>
      <c r="K50" s="12" t="s">
        <v>308</v>
      </c>
      <c r="L50" s="11"/>
      <c r="M50" s="12" t="str">
        <f>HYPERLINK("https://ceds.ed.gov/cedselementdetails.aspx?termid=17768")</f>
        <v>https://ceds.ed.gov/cedselementdetails.aspx?termid=17768</v>
      </c>
      <c r="N50" s="12" t="str">
        <f>HYPERLINK("https://ceds.ed.gov/elementComment.aspx?elementName=Adult Education Postsecondary Transition Action &amp;elementID=17768", "Click here to submit comment")</f>
        <v>Click here to submit comment</v>
      </c>
    </row>
    <row r="51" spans="1:14" ht="63.75" x14ac:dyDescent="0.25">
      <c r="A51" s="12" t="s">
        <v>309</v>
      </c>
      <c r="B51" s="12" t="s">
        <v>310</v>
      </c>
      <c r="C51" s="12" t="s">
        <v>37</v>
      </c>
      <c r="D51" s="12" t="s">
        <v>301</v>
      </c>
      <c r="E51" s="11"/>
      <c r="F51" s="12" t="s">
        <v>135</v>
      </c>
      <c r="G51" s="11"/>
      <c r="H51" s="11"/>
      <c r="I51" s="12" t="s">
        <v>311</v>
      </c>
      <c r="J51" s="11"/>
      <c r="K51" s="12" t="s">
        <v>312</v>
      </c>
      <c r="L51" s="11"/>
      <c r="M51" s="12" t="str">
        <f>HYPERLINK("https://ceds.ed.gov/cedselementdetails.aspx?termid=17769")</f>
        <v>https://ceds.ed.gov/cedselementdetails.aspx?termid=17769</v>
      </c>
      <c r="N51" s="12" t="str">
        <f>HYPERLINK("https://ceds.ed.gov/elementComment.aspx?elementName=Adult Education Postsecondary Transition Date &amp;elementID=17769", "Click here to submit comment")</f>
        <v>Click here to submit comment</v>
      </c>
    </row>
    <row r="52" spans="1:14" ht="165.75" x14ac:dyDescent="0.25">
      <c r="A52" s="12" t="s">
        <v>313</v>
      </c>
      <c r="B52" s="12" t="s">
        <v>314</v>
      </c>
      <c r="C52" s="13" t="s">
        <v>315</v>
      </c>
      <c r="D52" s="12" t="s">
        <v>316</v>
      </c>
      <c r="E52" s="11"/>
      <c r="F52" s="11"/>
      <c r="G52" s="11"/>
      <c r="H52" s="11"/>
      <c r="I52" s="12" t="s">
        <v>317</v>
      </c>
      <c r="J52" s="11"/>
      <c r="K52" s="12" t="s">
        <v>318</v>
      </c>
      <c r="L52" s="11"/>
      <c r="M52" s="12" t="str">
        <f>HYPERLINK("https://ceds.ed.gov/cedselementdetails.aspx?termid=17779")</f>
        <v>https://ceds.ed.gov/cedselementdetails.aspx?termid=17779</v>
      </c>
      <c r="N52" s="12" t="str">
        <f>HYPERLINK("https://ceds.ed.gov/elementComment.aspx?elementName=Adult Education Provider Type &amp;elementID=17779", "Click here to submit comment")</f>
        <v>Click here to submit comment</v>
      </c>
    </row>
    <row r="53" spans="1:14" ht="191.25" x14ac:dyDescent="0.25">
      <c r="A53" s="12" t="s">
        <v>319</v>
      </c>
      <c r="B53" s="12" t="s">
        <v>320</v>
      </c>
      <c r="C53" s="13" t="s">
        <v>321</v>
      </c>
      <c r="D53" s="12" t="s">
        <v>322</v>
      </c>
      <c r="E53" s="11"/>
      <c r="F53" s="11"/>
      <c r="G53" s="11"/>
      <c r="H53" s="11"/>
      <c r="I53" s="12" t="s">
        <v>323</v>
      </c>
      <c r="J53" s="11"/>
      <c r="K53" s="12" t="s">
        <v>324</v>
      </c>
      <c r="L53" s="11"/>
      <c r="M53" s="12" t="str">
        <f>HYPERLINK("https://ceds.ed.gov/cedselementdetails.aspx?termid=17778")</f>
        <v>https://ceds.ed.gov/cedselementdetails.aspx?termid=17778</v>
      </c>
      <c r="N53" s="12" t="str">
        <f>HYPERLINK("https://ceds.ed.gov/elementComment.aspx?elementName=Adult Education Service Provider Identification System &amp;elementID=17778", "Click here to submit comment")</f>
        <v>Click here to submit comment</v>
      </c>
    </row>
    <row r="54" spans="1:14" ht="76.5" x14ac:dyDescent="0.25">
      <c r="A54" s="15" t="s">
        <v>325</v>
      </c>
      <c r="B54" s="15" t="s">
        <v>326</v>
      </c>
      <c r="C54" s="15" t="s">
        <v>37</v>
      </c>
      <c r="D54" s="15" t="s">
        <v>322</v>
      </c>
      <c r="E54" s="16"/>
      <c r="F54" s="15" t="s">
        <v>149</v>
      </c>
      <c r="G54" s="16"/>
      <c r="H54" s="12" t="s">
        <v>150</v>
      </c>
      <c r="I54" s="15" t="s">
        <v>327</v>
      </c>
      <c r="J54" s="16"/>
      <c r="K54" s="15" t="s">
        <v>328</v>
      </c>
      <c r="L54" s="16"/>
      <c r="M54" s="15" t="str">
        <f>HYPERLINK("https://ceds.ed.gov/cedselementdetails.aspx?termid=17777")</f>
        <v>https://ceds.ed.gov/cedselementdetails.aspx?termid=17777</v>
      </c>
      <c r="N54" s="15" t="str">
        <f>HYPERLINK("https://ceds.ed.gov/elementComment.aspx?elementName=Adult Education Service Provider Identifier &amp;elementID=17777", "Click here to submit comment")</f>
        <v>Click here to submit comment</v>
      </c>
    </row>
    <row r="55" spans="1:14" x14ac:dyDescent="0.25">
      <c r="A55" s="15"/>
      <c r="B55" s="15"/>
      <c r="C55" s="15"/>
      <c r="D55" s="15"/>
      <c r="E55" s="16"/>
      <c r="F55" s="15"/>
      <c r="G55" s="16"/>
      <c r="H55" s="12"/>
      <c r="I55" s="15"/>
      <c r="J55" s="16"/>
      <c r="K55" s="15"/>
      <c r="L55" s="16"/>
      <c r="M55" s="15"/>
      <c r="N55" s="15"/>
    </row>
    <row r="56" spans="1:14" ht="76.5" x14ac:dyDescent="0.25">
      <c r="A56" s="15"/>
      <c r="B56" s="15"/>
      <c r="C56" s="15"/>
      <c r="D56" s="15"/>
      <c r="E56" s="16"/>
      <c r="F56" s="15"/>
      <c r="G56" s="16"/>
      <c r="H56" s="12" t="s">
        <v>153</v>
      </c>
      <c r="I56" s="15"/>
      <c r="J56" s="16"/>
      <c r="K56" s="15"/>
      <c r="L56" s="16"/>
      <c r="M56" s="15"/>
      <c r="N56" s="15"/>
    </row>
    <row r="57" spans="1:14" ht="114.75" x14ac:dyDescent="0.25">
      <c r="A57" s="12" t="s">
        <v>329</v>
      </c>
      <c r="B57" s="12" t="s">
        <v>330</v>
      </c>
      <c r="C57" s="13" t="s">
        <v>331</v>
      </c>
      <c r="D57" s="12" t="s">
        <v>301</v>
      </c>
      <c r="E57" s="11"/>
      <c r="F57" s="11"/>
      <c r="G57" s="11"/>
      <c r="H57" s="12" t="s">
        <v>332</v>
      </c>
      <c r="I57" s="12" t="s">
        <v>333</v>
      </c>
      <c r="J57" s="11"/>
      <c r="K57" s="12" t="s">
        <v>334</v>
      </c>
      <c r="L57" s="11"/>
      <c r="M57" s="12" t="str">
        <f>HYPERLINK("https://ceds.ed.gov/cedselementdetails.aspx?termid=17766")</f>
        <v>https://ceds.ed.gov/cedselementdetails.aspx?termid=17766</v>
      </c>
      <c r="N57" s="12" t="str">
        <f>HYPERLINK("https://ceds.ed.gov/elementComment.aspx?elementName=Adult Education Special Program Type &amp;elementID=17766", "Click here to submit comment")</f>
        <v>Click here to submit comment</v>
      </c>
    </row>
    <row r="58" spans="1:14" ht="178.5" x14ac:dyDescent="0.25">
      <c r="A58" s="12" t="s">
        <v>335</v>
      </c>
      <c r="B58" s="12" t="s">
        <v>336</v>
      </c>
      <c r="C58" s="13" t="s">
        <v>337</v>
      </c>
      <c r="D58" s="12" t="s">
        <v>338</v>
      </c>
      <c r="E58" s="11"/>
      <c r="F58" s="11"/>
      <c r="G58" s="11"/>
      <c r="H58" s="11"/>
      <c r="I58" s="12" t="s">
        <v>339</v>
      </c>
      <c r="J58" s="11"/>
      <c r="K58" s="12" t="s">
        <v>340</v>
      </c>
      <c r="L58" s="11"/>
      <c r="M58" s="12" t="str">
        <f>HYPERLINK("https://ceds.ed.gov/cedselementdetails.aspx?termid=17770")</f>
        <v>https://ceds.ed.gov/cedselementdetails.aspx?termid=17770</v>
      </c>
      <c r="N58" s="12" t="str">
        <f>HYPERLINK("https://ceds.ed.gov/elementComment.aspx?elementName=Adult Education Staff Classification &amp;elementID=17770", "Click here to submit comment")</f>
        <v>Click here to submit comment</v>
      </c>
    </row>
    <row r="59" spans="1:14" ht="63.75" x14ac:dyDescent="0.25">
      <c r="A59" s="12" t="s">
        <v>341</v>
      </c>
      <c r="B59" s="12" t="s">
        <v>342</v>
      </c>
      <c r="C59" s="13" t="s">
        <v>343</v>
      </c>
      <c r="D59" s="12" t="s">
        <v>338</v>
      </c>
      <c r="E59" s="11"/>
      <c r="F59" s="11"/>
      <c r="G59" s="11"/>
      <c r="H59" s="11"/>
      <c r="I59" s="12" t="s">
        <v>344</v>
      </c>
      <c r="J59" s="11"/>
      <c r="K59" s="12" t="s">
        <v>345</v>
      </c>
      <c r="L59" s="11"/>
      <c r="M59" s="12" t="str">
        <f>HYPERLINK("https://ceds.ed.gov/cedselementdetails.aspx?termid=17771")</f>
        <v>https://ceds.ed.gov/cedselementdetails.aspx?termid=17771</v>
      </c>
      <c r="N59" s="12" t="str">
        <f>HYPERLINK("https://ceds.ed.gov/elementComment.aspx?elementName=Adult Education Staff Employment Status &amp;elementID=17771", "Click here to submit comment")</f>
        <v>Click here to submit comment</v>
      </c>
    </row>
    <row r="60" spans="1:14" ht="191.25" x14ac:dyDescent="0.25">
      <c r="A60" s="12" t="s">
        <v>346</v>
      </c>
      <c r="B60" s="12" t="s">
        <v>347</v>
      </c>
      <c r="C60" s="13" t="s">
        <v>348</v>
      </c>
      <c r="D60" s="12" t="s">
        <v>301</v>
      </c>
      <c r="E60" s="11"/>
      <c r="F60" s="11"/>
      <c r="G60" s="11"/>
      <c r="H60" s="11"/>
      <c r="I60" s="12" t="s">
        <v>349</v>
      </c>
      <c r="J60" s="11"/>
      <c r="K60" s="12" t="s">
        <v>350</v>
      </c>
      <c r="L60" s="11"/>
      <c r="M60" s="12" t="str">
        <f>HYPERLINK("https://ceds.ed.gov/cedselementdetails.aspx?termid=17763")</f>
        <v>https://ceds.ed.gov/cedselementdetails.aspx?termid=17763</v>
      </c>
      <c r="N60" s="12" t="str">
        <f>HYPERLINK("https://ceds.ed.gov/elementComment.aspx?elementName=Adult Educational Functioning Level at Intake &amp;elementID=17763", "Click here to submit comment")</f>
        <v>Click here to submit comment</v>
      </c>
    </row>
    <row r="61" spans="1:14" ht="191.25" x14ac:dyDescent="0.25">
      <c r="A61" s="12" t="s">
        <v>351</v>
      </c>
      <c r="B61" s="12" t="s">
        <v>352</v>
      </c>
      <c r="C61" s="13" t="s">
        <v>348</v>
      </c>
      <c r="D61" s="12" t="s">
        <v>301</v>
      </c>
      <c r="E61" s="11"/>
      <c r="F61" s="11"/>
      <c r="G61" s="11"/>
      <c r="H61" s="11"/>
      <c r="I61" s="12" t="s">
        <v>353</v>
      </c>
      <c r="J61" s="11"/>
      <c r="K61" s="12" t="s">
        <v>354</v>
      </c>
      <c r="L61" s="11"/>
      <c r="M61" s="12" t="str">
        <f>HYPERLINK("https://ceds.ed.gov/cedselementdetails.aspx?termid=17764")</f>
        <v>https://ceds.ed.gov/cedselementdetails.aspx?termid=17764</v>
      </c>
      <c r="N61" s="12" t="str">
        <f>HYPERLINK("https://ceds.ed.gov/elementComment.aspx?elementName=Adult Educational Functioning Level at Posttest &amp;elementID=17764", "Click here to submit comment")</f>
        <v>Click here to submit comment</v>
      </c>
    </row>
    <row r="62" spans="1:14" ht="409.5" x14ac:dyDescent="0.25">
      <c r="A62" s="12" t="s">
        <v>355</v>
      </c>
      <c r="B62" s="12" t="s">
        <v>356</v>
      </c>
      <c r="C62" s="13" t="s">
        <v>357</v>
      </c>
      <c r="D62" s="12" t="s">
        <v>358</v>
      </c>
      <c r="E62" s="11"/>
      <c r="F62" s="12" t="s">
        <v>175</v>
      </c>
      <c r="G62" s="11"/>
      <c r="H62" s="11"/>
      <c r="I62" s="12" t="s">
        <v>359</v>
      </c>
      <c r="J62" s="12" t="s">
        <v>360</v>
      </c>
      <c r="K62" s="12" t="s">
        <v>361</v>
      </c>
      <c r="L62" s="11"/>
      <c r="M62" s="12" t="str">
        <f>HYPERLINK("https://ceds.ed.gov/cedselementdetails.aspx?termid=18244")</f>
        <v>https://ceds.ed.gov/cedselementdetails.aspx?termid=18244</v>
      </c>
      <c r="N62" s="12" t="str">
        <f>HYPERLINK("https://ceds.ed.gov/elementComment.aspx?elementName=Advanced Placement Course Code &amp;elementID=18244", "Click here to submit comment")</f>
        <v>Click here to submit comment</v>
      </c>
    </row>
    <row r="63" spans="1:14" ht="38.25" x14ac:dyDescent="0.25">
      <c r="A63" s="12" t="s">
        <v>362</v>
      </c>
      <c r="B63" s="12" t="s">
        <v>363</v>
      </c>
      <c r="C63" s="12" t="s">
        <v>24</v>
      </c>
      <c r="D63" s="12" t="s">
        <v>262</v>
      </c>
      <c r="E63" s="11"/>
      <c r="F63" s="11"/>
      <c r="G63" s="11"/>
      <c r="H63" s="11"/>
      <c r="I63" s="12" t="s">
        <v>364</v>
      </c>
      <c r="J63" s="12" t="s">
        <v>365</v>
      </c>
      <c r="K63" s="12" t="s">
        <v>366</v>
      </c>
      <c r="L63" s="12" t="s">
        <v>28</v>
      </c>
      <c r="M63" s="12" t="str">
        <f>HYPERLINK("https://ceds.ed.gov/cedselementdetails.aspx?termid=17017")</f>
        <v>https://ceds.ed.gov/cedselementdetails.aspx?termid=17017</v>
      </c>
      <c r="N63" s="12" t="str">
        <f>HYPERLINK("https://ceds.ed.gov/elementComment.aspx?elementName=Advanced Placement Course Self Selection &amp;elementID=17017", "Click here to submit comment")</f>
        <v>Click here to submit comment</v>
      </c>
    </row>
    <row r="64" spans="1:14" ht="63.75" x14ac:dyDescent="0.25">
      <c r="A64" s="12" t="s">
        <v>367</v>
      </c>
      <c r="B64" s="12" t="s">
        <v>368</v>
      </c>
      <c r="C64" s="12" t="s">
        <v>37</v>
      </c>
      <c r="D64" s="12" t="s">
        <v>369</v>
      </c>
      <c r="E64" s="11"/>
      <c r="F64" s="12" t="s">
        <v>370</v>
      </c>
      <c r="G64" s="11"/>
      <c r="H64" s="11"/>
      <c r="I64" s="12" t="s">
        <v>371</v>
      </c>
      <c r="J64" s="12" t="s">
        <v>372</v>
      </c>
      <c r="K64" s="12" t="s">
        <v>373</v>
      </c>
      <c r="L64" s="12" t="s">
        <v>65</v>
      </c>
      <c r="M64" s="12" t="str">
        <f>HYPERLINK("https://ceds.ed.gov/cedselementdetails.aspx?termid=17018")</f>
        <v>https://ceds.ed.gov/cedselementdetails.aspx?termid=17018</v>
      </c>
      <c r="N64" s="12" t="str">
        <f>HYPERLINK("https://ceds.ed.gov/elementComment.aspx?elementName=Advanced Placement Credits Awarded &amp;elementID=17018", "Click here to submit comment")</f>
        <v>Click here to submit comment</v>
      </c>
    </row>
    <row r="65" spans="1:14" ht="76.5" x14ac:dyDescent="0.25">
      <c r="A65" s="15" t="s">
        <v>374</v>
      </c>
      <c r="B65" s="15" t="s">
        <v>375</v>
      </c>
      <c r="C65" s="15" t="s">
        <v>37</v>
      </c>
      <c r="D65" s="15" t="s">
        <v>376</v>
      </c>
      <c r="E65" s="16"/>
      <c r="F65" s="15" t="s">
        <v>149</v>
      </c>
      <c r="G65" s="16"/>
      <c r="H65" s="12" t="s">
        <v>150</v>
      </c>
      <c r="I65" s="15" t="s">
        <v>377</v>
      </c>
      <c r="J65" s="16"/>
      <c r="K65" s="15" t="s">
        <v>378</v>
      </c>
      <c r="L65" s="16"/>
      <c r="M65" s="15" t="str">
        <f>HYPERLINK("https://ceds.ed.gov/cedselementdetails.aspx?termid=18246")</f>
        <v>https://ceds.ed.gov/cedselementdetails.aspx?termid=18246</v>
      </c>
      <c r="N65" s="15" t="str">
        <f>HYPERLINK("https://ceds.ed.gov/elementComment.aspx?elementName=Agency Course Identifier &amp;elementID=18246", "Click here to submit comment")</f>
        <v>Click here to submit comment</v>
      </c>
    </row>
    <row r="66" spans="1:14" x14ac:dyDescent="0.25">
      <c r="A66" s="15"/>
      <c r="B66" s="15"/>
      <c r="C66" s="15"/>
      <c r="D66" s="15"/>
      <c r="E66" s="16"/>
      <c r="F66" s="15"/>
      <c r="G66" s="16"/>
      <c r="H66" s="12"/>
      <c r="I66" s="15"/>
      <c r="J66" s="16"/>
      <c r="K66" s="15"/>
      <c r="L66" s="16"/>
      <c r="M66" s="15"/>
      <c r="N66" s="15"/>
    </row>
    <row r="67" spans="1:14" ht="76.5" x14ac:dyDescent="0.25">
      <c r="A67" s="15"/>
      <c r="B67" s="15"/>
      <c r="C67" s="15"/>
      <c r="D67" s="15"/>
      <c r="E67" s="16"/>
      <c r="F67" s="15"/>
      <c r="G67" s="16"/>
      <c r="H67" s="12" t="s">
        <v>153</v>
      </c>
      <c r="I67" s="15"/>
      <c r="J67" s="16"/>
      <c r="K67" s="15"/>
      <c r="L67" s="16"/>
      <c r="M67" s="15"/>
      <c r="N67" s="15"/>
    </row>
    <row r="68" spans="1:14" ht="38.25" x14ac:dyDescent="0.25">
      <c r="A68" s="12" t="s">
        <v>379</v>
      </c>
      <c r="B68" s="12" t="s">
        <v>380</v>
      </c>
      <c r="C68" s="12" t="s">
        <v>37</v>
      </c>
      <c r="D68" s="12" t="s">
        <v>381</v>
      </c>
      <c r="E68" s="11"/>
      <c r="F68" s="12" t="s">
        <v>382</v>
      </c>
      <c r="G68" s="11"/>
      <c r="H68" s="11"/>
      <c r="I68" s="12" t="s">
        <v>383</v>
      </c>
      <c r="J68" s="11"/>
      <c r="K68" s="12" t="s">
        <v>384</v>
      </c>
      <c r="L68" s="11"/>
      <c r="M68" s="12" t="str">
        <f>HYPERLINK("https://ceds.ed.gov/cedselementdetails.aspx?termid=18247")</f>
        <v>https://ceds.ed.gov/cedselementdetails.aspx?termid=18247</v>
      </c>
      <c r="N68" s="12" t="str">
        <f>HYPERLINK("https://ceds.ed.gov/elementComment.aspx?elementName=Allergy Reaction Description &amp;elementID=18247", "Click here to submit comment")</f>
        <v>Click here to submit comment</v>
      </c>
    </row>
    <row r="69" spans="1:14" ht="38.25" x14ac:dyDescent="0.25">
      <c r="A69" s="12" t="s">
        <v>385</v>
      </c>
      <c r="B69" s="12" t="s">
        <v>386</v>
      </c>
      <c r="C69" s="13" t="s">
        <v>387</v>
      </c>
      <c r="D69" s="12" t="s">
        <v>381</v>
      </c>
      <c r="E69" s="11"/>
      <c r="F69" s="11"/>
      <c r="G69" s="11"/>
      <c r="H69" s="11"/>
      <c r="I69" s="12" t="s">
        <v>388</v>
      </c>
      <c r="J69" s="11"/>
      <c r="K69" s="12" t="s">
        <v>389</v>
      </c>
      <c r="L69" s="11"/>
      <c r="M69" s="12" t="str">
        <f>HYPERLINK("https://ceds.ed.gov/cedselementdetails.aspx?termid=18248")</f>
        <v>https://ceds.ed.gov/cedselementdetails.aspx?termid=18248</v>
      </c>
      <c r="N69" s="12" t="str">
        <f>HYPERLINK("https://ceds.ed.gov/elementComment.aspx?elementName=Allergy Severity &amp;elementID=18248", "Click here to submit comment")</f>
        <v>Click here to submit comment</v>
      </c>
    </row>
    <row r="70" spans="1:14" ht="409.5" x14ac:dyDescent="0.25">
      <c r="A70" s="12" t="s">
        <v>390</v>
      </c>
      <c r="B70" s="12" t="s">
        <v>391</v>
      </c>
      <c r="C70" s="13" t="s">
        <v>392</v>
      </c>
      <c r="D70" s="12" t="s">
        <v>381</v>
      </c>
      <c r="E70" s="11"/>
      <c r="F70" s="11"/>
      <c r="G70" s="11"/>
      <c r="H70" s="12" t="s">
        <v>393</v>
      </c>
      <c r="I70" s="12" t="s">
        <v>394</v>
      </c>
      <c r="J70" s="11"/>
      <c r="K70" s="12" t="s">
        <v>395</v>
      </c>
      <c r="L70" s="11"/>
      <c r="M70" s="12" t="str">
        <f>HYPERLINK("https://ceds.ed.gov/cedselementdetails.aspx?termid=18249")</f>
        <v>https://ceds.ed.gov/cedselementdetails.aspx?termid=18249</v>
      </c>
      <c r="N70" s="12" t="str">
        <f>HYPERLINK("https://ceds.ed.gov/elementComment.aspx?elementName=Allergy Type &amp;elementID=18249", "Click here to submit comment")</f>
        <v>Click here to submit comment</v>
      </c>
    </row>
    <row r="71" spans="1:14" ht="51" x14ac:dyDescent="0.25">
      <c r="A71" s="12" t="s">
        <v>396</v>
      </c>
      <c r="B71" s="12" t="s">
        <v>397</v>
      </c>
      <c r="C71" s="12" t="s">
        <v>24</v>
      </c>
      <c r="D71" s="12" t="s">
        <v>241</v>
      </c>
      <c r="E71" s="11"/>
      <c r="F71" s="11"/>
      <c r="G71" s="11"/>
      <c r="H71" s="11"/>
      <c r="I71" s="12" t="s">
        <v>398</v>
      </c>
      <c r="J71" s="12" t="s">
        <v>399</v>
      </c>
      <c r="K71" s="12" t="s">
        <v>400</v>
      </c>
      <c r="L71" s="12" t="s">
        <v>258</v>
      </c>
      <c r="M71" s="12" t="str">
        <f>HYPERLINK("https://ceds.ed.gov/cedselementdetails.aspx?termid=17014")</f>
        <v>https://ceds.ed.gov/cedselementdetails.aspx?termid=17014</v>
      </c>
      <c r="N71" s="12" t="str">
        <f>HYPERLINK("https://ceds.ed.gov/elementComment.aspx?elementName=Alternate Adequate Yearly Progress Approach Indicator &amp;elementID=17014", "Click here to submit comment")</f>
        <v>Click here to submit comment</v>
      </c>
    </row>
    <row r="72" spans="1:14" ht="38.25" x14ac:dyDescent="0.25">
      <c r="A72" s="12" t="s">
        <v>401</v>
      </c>
      <c r="B72" s="12" t="s">
        <v>402</v>
      </c>
      <c r="C72" s="12" t="s">
        <v>37</v>
      </c>
      <c r="D72" s="12" t="s">
        <v>403</v>
      </c>
      <c r="E72" s="11"/>
      <c r="F72" s="12" t="s">
        <v>97</v>
      </c>
      <c r="G72" s="11"/>
      <c r="H72" s="11"/>
      <c r="I72" s="12" t="s">
        <v>404</v>
      </c>
      <c r="J72" s="11"/>
      <c r="K72" s="12" t="s">
        <v>405</v>
      </c>
      <c r="L72" s="11"/>
      <c r="M72" s="12" t="str">
        <f>HYPERLINK("https://ceds.ed.gov/cedselementdetails.aspx?termid=17591")</f>
        <v>https://ceds.ed.gov/cedselementdetails.aspx?termid=17591</v>
      </c>
      <c r="N72" s="12" t="str">
        <f>HYPERLINK("https://ceds.ed.gov/elementComment.aspx?elementName=Alternate Day Name &amp;elementID=17591", "Click here to submit comment")</f>
        <v>Click here to submit comment</v>
      </c>
    </row>
    <row r="73" spans="1:14" ht="51" x14ac:dyDescent="0.25">
      <c r="A73" s="12" t="s">
        <v>406</v>
      </c>
      <c r="B73" s="12" t="s">
        <v>407</v>
      </c>
      <c r="C73" s="13" t="s">
        <v>408</v>
      </c>
      <c r="D73" s="12" t="s">
        <v>409</v>
      </c>
      <c r="E73" s="11"/>
      <c r="F73" s="11"/>
      <c r="G73" s="11"/>
      <c r="H73" s="11"/>
      <c r="I73" s="12" t="s">
        <v>410</v>
      </c>
      <c r="J73" s="11"/>
      <c r="K73" s="12" t="s">
        <v>411</v>
      </c>
      <c r="L73" s="12" t="s">
        <v>412</v>
      </c>
      <c r="M73" s="12" t="str">
        <f>HYPERLINK("https://ceds.ed.gov/cedselementdetails.aspx?termid=17751")</f>
        <v>https://ceds.ed.gov/cedselementdetails.aspx?termid=17751</v>
      </c>
      <c r="N73" s="12" t="str">
        <f>HYPERLINK("https://ceds.ed.gov/elementComment.aspx?elementName=Alternative Route to Certification or Licensure &amp;elementID=17751", "Click here to submit comment")</f>
        <v>Click here to submit comment</v>
      </c>
    </row>
    <row r="74" spans="1:14" ht="89.25" x14ac:dyDescent="0.25">
      <c r="A74" s="12" t="s">
        <v>413</v>
      </c>
      <c r="B74" s="12" t="s">
        <v>414</v>
      </c>
      <c r="C74" s="13" t="s">
        <v>415</v>
      </c>
      <c r="D74" s="12" t="s">
        <v>262</v>
      </c>
      <c r="E74" s="11"/>
      <c r="F74" s="11"/>
      <c r="G74" s="11"/>
      <c r="H74" s="11"/>
      <c r="I74" s="12" t="s">
        <v>416</v>
      </c>
      <c r="J74" s="11"/>
      <c r="K74" s="12" t="s">
        <v>417</v>
      </c>
      <c r="L74" s="12" t="s">
        <v>28</v>
      </c>
      <c r="M74" s="12" t="str">
        <f>HYPERLINK("https://ceds.ed.gov/cedselementdetails.aspx?termid=17015")</f>
        <v>https://ceds.ed.gov/cedselementdetails.aspx?termid=17015</v>
      </c>
      <c r="N74" s="12" t="str">
        <f>HYPERLINK("https://ceds.ed.gov/elementComment.aspx?elementName=Alternative School Focus Type &amp;elementID=17015", "Click here to submit comment")</f>
        <v>Click here to submit comment</v>
      </c>
    </row>
    <row r="75" spans="1:14" ht="145.5" customHeight="1" x14ac:dyDescent="0.25">
      <c r="A75" s="15" t="s">
        <v>418</v>
      </c>
      <c r="B75" s="15" t="s">
        <v>419</v>
      </c>
      <c r="C75" s="17" t="s">
        <v>420</v>
      </c>
      <c r="D75" s="15" t="s">
        <v>421</v>
      </c>
      <c r="E75" s="16"/>
      <c r="F75" s="16"/>
      <c r="G75" s="16"/>
      <c r="H75" s="12" t="s">
        <v>422</v>
      </c>
      <c r="I75" s="15" t="s">
        <v>423</v>
      </c>
      <c r="J75" s="15" t="s">
        <v>424</v>
      </c>
      <c r="K75" s="15" t="s">
        <v>425</v>
      </c>
      <c r="L75" s="15" t="s">
        <v>426</v>
      </c>
      <c r="M75" s="15" t="str">
        <f>HYPERLINK("https://ceds.ed.gov/cedselementdetails.aspx?termid=17655")</f>
        <v>https://ceds.ed.gov/cedselementdetails.aspx?termid=17655</v>
      </c>
      <c r="N75" s="15" t="str">
        <f>HYPERLINK("https://ceds.ed.gov/elementComment.aspx?elementName=American Indian or Alaska Native &amp;elementID=17655", "Click here to submit comment")</f>
        <v>Click here to submit comment</v>
      </c>
    </row>
    <row r="76" spans="1:14" x14ac:dyDescent="0.25">
      <c r="A76" s="15"/>
      <c r="B76" s="15"/>
      <c r="C76" s="15"/>
      <c r="D76" s="15"/>
      <c r="E76" s="16"/>
      <c r="F76" s="16"/>
      <c r="G76" s="16"/>
      <c r="H76" s="11"/>
      <c r="I76" s="15"/>
      <c r="J76" s="15"/>
      <c r="K76" s="15"/>
      <c r="L76" s="15"/>
      <c r="M76" s="15"/>
      <c r="N76" s="15"/>
    </row>
    <row r="77" spans="1:14" x14ac:dyDescent="0.25">
      <c r="A77" s="15"/>
      <c r="B77" s="15"/>
      <c r="C77" s="15"/>
      <c r="D77" s="15"/>
      <c r="E77" s="16"/>
      <c r="F77" s="16"/>
      <c r="G77" s="16"/>
      <c r="H77" s="12" t="s">
        <v>427</v>
      </c>
      <c r="I77" s="15"/>
      <c r="J77" s="15"/>
      <c r="K77" s="15"/>
      <c r="L77" s="15"/>
      <c r="M77" s="15"/>
      <c r="N77" s="15"/>
    </row>
    <row r="78" spans="1:14" ht="25.5" x14ac:dyDescent="0.25">
      <c r="A78" s="15"/>
      <c r="B78" s="15"/>
      <c r="C78" s="15"/>
      <c r="D78" s="15"/>
      <c r="E78" s="16"/>
      <c r="F78" s="16"/>
      <c r="G78" s="16"/>
      <c r="H78" s="12" t="s">
        <v>428</v>
      </c>
      <c r="I78" s="15"/>
      <c r="J78" s="15"/>
      <c r="K78" s="15"/>
      <c r="L78" s="15"/>
      <c r="M78" s="15"/>
      <c r="N78" s="15"/>
    </row>
    <row r="79" spans="1:14" x14ac:dyDescent="0.25">
      <c r="A79" s="15"/>
      <c r="B79" s="15"/>
      <c r="C79" s="15"/>
      <c r="D79" s="15"/>
      <c r="E79" s="16"/>
      <c r="F79" s="16"/>
      <c r="G79" s="16"/>
      <c r="H79" s="12" t="s">
        <v>429</v>
      </c>
      <c r="I79" s="15"/>
      <c r="J79" s="15"/>
      <c r="K79" s="15"/>
      <c r="L79" s="15"/>
      <c r="M79" s="15"/>
      <c r="N79" s="15"/>
    </row>
    <row r="80" spans="1:14" ht="25.5" x14ac:dyDescent="0.25">
      <c r="A80" s="12" t="s">
        <v>430</v>
      </c>
      <c r="B80" s="12" t="s">
        <v>431</v>
      </c>
      <c r="C80" s="12" t="s">
        <v>37</v>
      </c>
      <c r="D80" s="12" t="s">
        <v>76</v>
      </c>
      <c r="E80" s="11"/>
      <c r="F80" s="12" t="s">
        <v>370</v>
      </c>
      <c r="G80" s="11"/>
      <c r="H80" s="12" t="s">
        <v>432</v>
      </c>
      <c r="I80" s="12" t="s">
        <v>433</v>
      </c>
      <c r="J80" s="11"/>
      <c r="K80" s="12" t="s">
        <v>434</v>
      </c>
      <c r="L80" s="12" t="s">
        <v>80</v>
      </c>
      <c r="M80" s="12" t="str">
        <f>HYPERLINK("https://ceds.ed.gov/cedselementdetails.aspx?termid=17722")</f>
        <v>https://ceds.ed.gov/cedselementdetails.aspx?termid=17722</v>
      </c>
      <c r="N80" s="12" t="str">
        <f>HYPERLINK("https://ceds.ed.gov/elementComment.aspx?elementName=Annual Base Contractual Salary &amp;elementID=17722", "Click here to submit comment")</f>
        <v>Click here to submit comment</v>
      </c>
    </row>
    <row r="81" spans="1:14" ht="63.75" x14ac:dyDescent="0.25">
      <c r="A81" s="12" t="s">
        <v>435</v>
      </c>
      <c r="B81" s="12" t="s">
        <v>436</v>
      </c>
      <c r="C81" s="13" t="s">
        <v>437</v>
      </c>
      <c r="D81" s="12" t="s">
        <v>438</v>
      </c>
      <c r="E81" s="11"/>
      <c r="F81" s="11"/>
      <c r="G81" s="11"/>
      <c r="H81" s="11"/>
      <c r="I81" s="12" t="s">
        <v>439</v>
      </c>
      <c r="J81" s="12" t="s">
        <v>440</v>
      </c>
      <c r="K81" s="12" t="s">
        <v>441</v>
      </c>
      <c r="L81" s="12" t="s">
        <v>258</v>
      </c>
      <c r="M81" s="12" t="str">
        <f>HYPERLINK("https://ceds.ed.gov/cedselementdetails.aspx?termid=17572")</f>
        <v>https://ceds.ed.gov/cedselementdetails.aspx?termid=17572</v>
      </c>
      <c r="N81" s="12" t="str">
        <f>HYPERLINK("https://ceds.ed.gov/elementComment.aspx?elementName=Annual Measurable Achievement Objective AYP Progress Attainment Status for LEP Students &amp;elementID=17572", "Click here to submit comment")</f>
        <v>Click here to submit comment</v>
      </c>
    </row>
    <row r="82" spans="1:14" ht="76.5" x14ac:dyDescent="0.25">
      <c r="A82" s="12" t="s">
        <v>442</v>
      </c>
      <c r="B82" s="12" t="s">
        <v>443</v>
      </c>
      <c r="C82" s="13" t="s">
        <v>437</v>
      </c>
      <c r="D82" s="12" t="s">
        <v>254</v>
      </c>
      <c r="E82" s="11"/>
      <c r="F82" s="11"/>
      <c r="G82" s="11"/>
      <c r="H82" s="11"/>
      <c r="I82" s="12" t="s">
        <v>444</v>
      </c>
      <c r="J82" s="12" t="s">
        <v>445</v>
      </c>
      <c r="K82" s="12" t="s">
        <v>446</v>
      </c>
      <c r="L82" s="12" t="s">
        <v>258</v>
      </c>
      <c r="M82" s="12" t="str">
        <f>HYPERLINK("https://ceds.ed.gov/cedselementdetails.aspx?termid=17535")</f>
        <v>https://ceds.ed.gov/cedselementdetails.aspx?termid=17535</v>
      </c>
      <c r="N82" s="12" t="str">
        <f>HYPERLINK("https://ceds.ed.gov/elementComment.aspx?elementName=Annual Measurable Achievement Objective Proficiency Attainment Status for LEP Students &amp;elementID=17535", "Click here to submit comment")</f>
        <v>Click here to submit comment</v>
      </c>
    </row>
    <row r="83" spans="1:14" ht="76.5" x14ac:dyDescent="0.25">
      <c r="A83" s="12" t="s">
        <v>447</v>
      </c>
      <c r="B83" s="12" t="s">
        <v>448</v>
      </c>
      <c r="C83" s="13" t="s">
        <v>437</v>
      </c>
      <c r="D83" s="12" t="s">
        <v>254</v>
      </c>
      <c r="E83" s="11"/>
      <c r="F83" s="11"/>
      <c r="G83" s="11"/>
      <c r="H83" s="11"/>
      <c r="I83" s="12" t="s">
        <v>449</v>
      </c>
      <c r="J83" s="12" t="s">
        <v>450</v>
      </c>
      <c r="K83" s="12" t="s">
        <v>451</v>
      </c>
      <c r="L83" s="12" t="s">
        <v>258</v>
      </c>
      <c r="M83" s="12" t="str">
        <f>HYPERLINK("https://ceds.ed.gov/cedselementdetails.aspx?termid=17545")</f>
        <v>https://ceds.ed.gov/cedselementdetails.aspx?termid=17545</v>
      </c>
      <c r="N83" s="12" t="str">
        <f>HYPERLINK("https://ceds.ed.gov/elementComment.aspx?elementName=Annual Measurable Achievement Objective Progress Attainment Status for LEP Students &amp;elementID=17545", "Click here to submit comment")</f>
        <v>Click here to submit comment</v>
      </c>
    </row>
    <row r="84" spans="1:14" ht="25.5" x14ac:dyDescent="0.25">
      <c r="A84" s="12" t="s">
        <v>452</v>
      </c>
      <c r="B84" s="12" t="s">
        <v>453</v>
      </c>
      <c r="C84" s="12" t="s">
        <v>37</v>
      </c>
      <c r="D84" s="12" t="s">
        <v>454</v>
      </c>
      <c r="E84" s="11"/>
      <c r="F84" s="12" t="s">
        <v>165</v>
      </c>
      <c r="G84" s="11"/>
      <c r="H84" s="11"/>
      <c r="I84" s="12" t="s">
        <v>455</v>
      </c>
      <c r="J84" s="11"/>
      <c r="K84" s="12" t="s">
        <v>456</v>
      </c>
      <c r="L84" s="11"/>
      <c r="M84" s="12" t="str">
        <f>HYPERLINK("https://ceds.ed.gov/cedselementdetails.aspx?termid=18504")</f>
        <v>https://ceds.ed.gov/cedselementdetails.aspx?termid=18504</v>
      </c>
      <c r="N84" s="12" t="str">
        <f>HYPERLINK("https://ceds.ed.gov/elementComment.aspx?elementName=APIP Interaction Sequence Number &amp;elementID=18504", "Click here to submit comment")</f>
        <v>Click here to submit comment</v>
      </c>
    </row>
    <row r="85" spans="1:14" ht="38.25" x14ac:dyDescent="0.25">
      <c r="A85" s="12" t="s">
        <v>457</v>
      </c>
      <c r="B85" s="12" t="s">
        <v>458</v>
      </c>
      <c r="C85" s="12" t="s">
        <v>24</v>
      </c>
      <c r="D85" s="12" t="s">
        <v>241</v>
      </c>
      <c r="E85" s="11"/>
      <c r="F85" s="11"/>
      <c r="G85" s="11"/>
      <c r="H85" s="11"/>
      <c r="I85" s="12" t="s">
        <v>459</v>
      </c>
      <c r="J85" s="12" t="s">
        <v>460</v>
      </c>
      <c r="K85" s="12" t="s">
        <v>461</v>
      </c>
      <c r="L85" s="12" t="s">
        <v>245</v>
      </c>
      <c r="M85" s="12" t="str">
        <f>HYPERLINK("https://ceds.ed.gov/cedselementdetails.aspx?termid=17432")</f>
        <v>https://ceds.ed.gov/cedselementdetails.aspx?termid=17432</v>
      </c>
      <c r="N85" s="12" t="str">
        <f>HYPERLINK("https://ceds.ed.gov/elementComment.aspx?elementName=Appealed Adequate Yearly Progress Designation &amp;elementID=17432", "Click here to submit comment")</f>
        <v>Click here to submit comment</v>
      </c>
    </row>
    <row r="86" spans="1:14" ht="51" x14ac:dyDescent="0.25">
      <c r="A86" s="12" t="s">
        <v>462</v>
      </c>
      <c r="B86" s="12" t="s">
        <v>463</v>
      </c>
      <c r="C86" s="12" t="s">
        <v>37</v>
      </c>
      <c r="D86" s="12" t="s">
        <v>464</v>
      </c>
      <c r="E86" s="11"/>
      <c r="F86" s="12" t="s">
        <v>135</v>
      </c>
      <c r="G86" s="11"/>
      <c r="H86" s="11"/>
      <c r="I86" s="12" t="s">
        <v>465</v>
      </c>
      <c r="J86" s="11"/>
      <c r="K86" s="12" t="s">
        <v>466</v>
      </c>
      <c r="L86" s="12" t="s">
        <v>467</v>
      </c>
      <c r="M86" s="12" t="str">
        <f>HYPERLINK("https://ceds.ed.gov/cedselementdetails.aspx?termid=17323")</f>
        <v>https://ceds.ed.gov/cedselementdetails.aspx?termid=17323</v>
      </c>
      <c r="N86" s="12" t="str">
        <f>HYPERLINK("https://ceds.ed.gov/elementComment.aspx?elementName=Application Date &amp;elementID=17323", "Click here to submit comment")</f>
        <v>Click here to submit comment</v>
      </c>
    </row>
    <row r="87" spans="1:14" ht="145.5" customHeight="1" x14ac:dyDescent="0.25">
      <c r="A87" s="15" t="s">
        <v>468</v>
      </c>
      <c r="B87" s="15" t="s">
        <v>469</v>
      </c>
      <c r="C87" s="17" t="s">
        <v>420</v>
      </c>
      <c r="D87" s="15" t="s">
        <v>421</v>
      </c>
      <c r="E87" s="16"/>
      <c r="F87" s="16"/>
      <c r="G87" s="16"/>
      <c r="H87" s="12" t="s">
        <v>422</v>
      </c>
      <c r="I87" s="15" t="s">
        <v>470</v>
      </c>
      <c r="J87" s="15" t="s">
        <v>471</v>
      </c>
      <c r="K87" s="15" t="s">
        <v>468</v>
      </c>
      <c r="L87" s="15" t="s">
        <v>426</v>
      </c>
      <c r="M87" s="15" t="str">
        <f>HYPERLINK("https://ceds.ed.gov/cedselementdetails.aspx?termid=17656")</f>
        <v>https://ceds.ed.gov/cedselementdetails.aspx?termid=17656</v>
      </c>
      <c r="N87" s="15" t="str">
        <f>HYPERLINK("https://ceds.ed.gov/elementComment.aspx?elementName=Asian &amp;elementID=17656", "Click here to submit comment")</f>
        <v>Click here to submit comment</v>
      </c>
    </row>
    <row r="88" spans="1:14" x14ac:dyDescent="0.25">
      <c r="A88" s="15"/>
      <c r="B88" s="15"/>
      <c r="C88" s="15"/>
      <c r="D88" s="15"/>
      <c r="E88" s="16"/>
      <c r="F88" s="16"/>
      <c r="G88" s="16"/>
      <c r="H88" s="11"/>
      <c r="I88" s="15"/>
      <c r="J88" s="15"/>
      <c r="K88" s="15"/>
      <c r="L88" s="15"/>
      <c r="M88" s="15"/>
      <c r="N88" s="15"/>
    </row>
    <row r="89" spans="1:14" x14ac:dyDescent="0.25">
      <c r="A89" s="15"/>
      <c r="B89" s="15"/>
      <c r="C89" s="15"/>
      <c r="D89" s="15"/>
      <c r="E89" s="16"/>
      <c r="F89" s="16"/>
      <c r="G89" s="16"/>
      <c r="H89" s="12" t="s">
        <v>427</v>
      </c>
      <c r="I89" s="15"/>
      <c r="J89" s="15"/>
      <c r="K89" s="15"/>
      <c r="L89" s="15"/>
      <c r="M89" s="15"/>
      <c r="N89" s="15"/>
    </row>
    <row r="90" spans="1:14" ht="25.5" x14ac:dyDescent="0.25">
      <c r="A90" s="15"/>
      <c r="B90" s="15"/>
      <c r="C90" s="15"/>
      <c r="D90" s="15"/>
      <c r="E90" s="16"/>
      <c r="F90" s="16"/>
      <c r="G90" s="16"/>
      <c r="H90" s="12" t="s">
        <v>428</v>
      </c>
      <c r="I90" s="15"/>
      <c r="J90" s="15"/>
      <c r="K90" s="15"/>
      <c r="L90" s="15"/>
      <c r="M90" s="15"/>
      <c r="N90" s="15"/>
    </row>
    <row r="91" spans="1:14" x14ac:dyDescent="0.25">
      <c r="A91" s="15"/>
      <c r="B91" s="15"/>
      <c r="C91" s="15"/>
      <c r="D91" s="15"/>
      <c r="E91" s="16"/>
      <c r="F91" s="16"/>
      <c r="G91" s="16"/>
      <c r="H91" s="12" t="s">
        <v>429</v>
      </c>
      <c r="I91" s="15"/>
      <c r="J91" s="15"/>
      <c r="K91" s="15"/>
      <c r="L91" s="15"/>
      <c r="M91" s="15"/>
      <c r="N91" s="15"/>
    </row>
    <row r="92" spans="1:14" ht="267.75" x14ac:dyDescent="0.25">
      <c r="A92" s="12" t="s">
        <v>472</v>
      </c>
      <c r="B92" s="12" t="s">
        <v>473</v>
      </c>
      <c r="C92" s="13" t="s">
        <v>474</v>
      </c>
      <c r="D92" s="12" t="s">
        <v>475</v>
      </c>
      <c r="E92" s="11"/>
      <c r="F92" s="11"/>
      <c r="G92" s="11"/>
      <c r="H92" s="11"/>
      <c r="I92" s="12" t="s">
        <v>476</v>
      </c>
      <c r="J92" s="11"/>
      <c r="K92" s="12" t="s">
        <v>477</v>
      </c>
      <c r="L92" s="12" t="s">
        <v>478</v>
      </c>
      <c r="M92" s="12" t="str">
        <f>HYPERLINK("https://ceds.ed.gov/cedselementdetails.aspx?termid=17021")</f>
        <v>https://ceds.ed.gov/cedselementdetails.aspx?termid=17021</v>
      </c>
      <c r="N92" s="12" t="str">
        <f>HYPERLINK("https://ceds.ed.gov/elementComment.aspx?elementName=Assessment Academic Subject &amp;elementID=17021", "Click here to submit comment")</f>
        <v>Click here to submit comment</v>
      </c>
    </row>
    <row r="93" spans="1:14" ht="191.25" x14ac:dyDescent="0.25">
      <c r="A93" s="12" t="s">
        <v>479</v>
      </c>
      <c r="B93" s="12" t="s">
        <v>480</v>
      </c>
      <c r="C93" s="13" t="s">
        <v>481</v>
      </c>
      <c r="D93" s="12" t="s">
        <v>482</v>
      </c>
      <c r="E93" s="11"/>
      <c r="F93" s="11"/>
      <c r="G93" s="11"/>
      <c r="H93" s="11"/>
      <c r="I93" s="12" t="s">
        <v>483</v>
      </c>
      <c r="J93" s="11"/>
      <c r="K93" s="12" t="s">
        <v>484</v>
      </c>
      <c r="L93" s="12" t="s">
        <v>106</v>
      </c>
      <c r="M93" s="12" t="str">
        <f>HYPERLINK("https://ceds.ed.gov/cedselementdetails.aspx?termid=17374")</f>
        <v>https://ceds.ed.gov/cedselementdetails.aspx?termid=17374</v>
      </c>
      <c r="N93" s="12" t="str">
        <f>HYPERLINK("https://ceds.ed.gov/elementComment.aspx?elementName=Assessment Accommodation Category &amp;elementID=17374", "Click here to submit comment")</f>
        <v>Click here to submit comment</v>
      </c>
    </row>
    <row r="94" spans="1:14" ht="63.75" x14ac:dyDescent="0.25">
      <c r="A94" s="12" t="s">
        <v>485</v>
      </c>
      <c r="B94" s="12" t="s">
        <v>486</v>
      </c>
      <c r="C94" s="12" t="s">
        <v>37</v>
      </c>
      <c r="D94" s="12" t="s">
        <v>487</v>
      </c>
      <c r="E94" s="11"/>
      <c r="F94" s="12" t="s">
        <v>175</v>
      </c>
      <c r="G94" s="11"/>
      <c r="H94" s="12" t="s">
        <v>488</v>
      </c>
      <c r="I94" s="12" t="s">
        <v>489</v>
      </c>
      <c r="J94" s="11"/>
      <c r="K94" s="12" t="s">
        <v>490</v>
      </c>
      <c r="L94" s="11"/>
      <c r="M94" s="12" t="str">
        <f>HYPERLINK("https://ceds.ed.gov/cedselementdetails.aspx?termid=17968")</f>
        <v>https://ceds.ed.gov/cedselementdetails.aspx?termid=17968</v>
      </c>
      <c r="N94" s="12" t="str">
        <f>HYPERLINK("https://ceds.ed.gov/elementComment.aspx?elementName=Assessment Administration Assessment Family &amp;elementID=17968", "Click here to submit comment")</f>
        <v>Click here to submit comment</v>
      </c>
    </row>
    <row r="95" spans="1:14" ht="38.25" x14ac:dyDescent="0.25">
      <c r="A95" s="12" t="s">
        <v>491</v>
      </c>
      <c r="B95" s="12" t="s">
        <v>492</v>
      </c>
      <c r="C95" s="12" t="s">
        <v>37</v>
      </c>
      <c r="D95" s="12" t="s">
        <v>487</v>
      </c>
      <c r="E95" s="11"/>
      <c r="F95" s="12" t="s">
        <v>97</v>
      </c>
      <c r="G95" s="11"/>
      <c r="H95" s="11"/>
      <c r="I95" s="12" t="s">
        <v>493</v>
      </c>
      <c r="J95" s="11"/>
      <c r="K95" s="12" t="s">
        <v>494</v>
      </c>
      <c r="L95" s="11"/>
      <c r="M95" s="12" t="str">
        <f>HYPERLINK("https://ceds.ed.gov/cedselementdetails.aspx?termid=17962")</f>
        <v>https://ceds.ed.gov/cedselementdetails.aspx?termid=17962</v>
      </c>
      <c r="N95" s="12" t="str">
        <f>HYPERLINK("https://ceds.ed.gov/elementComment.aspx?elementName=Assessment Administration Code &amp;elementID=17962", "Click here to submit comment")</f>
        <v>Click here to submit comment</v>
      </c>
    </row>
    <row r="96" spans="1:14" ht="38.25" x14ac:dyDescent="0.25">
      <c r="A96" s="12" t="s">
        <v>495</v>
      </c>
      <c r="B96" s="12" t="s">
        <v>496</v>
      </c>
      <c r="C96" s="12" t="s">
        <v>37</v>
      </c>
      <c r="D96" s="12" t="s">
        <v>487</v>
      </c>
      <c r="E96" s="11"/>
      <c r="F96" s="12" t="s">
        <v>135</v>
      </c>
      <c r="G96" s="11"/>
      <c r="H96" s="11"/>
      <c r="I96" s="12" t="s">
        <v>497</v>
      </c>
      <c r="J96" s="11"/>
      <c r="K96" s="12" t="s">
        <v>498</v>
      </c>
      <c r="L96" s="11"/>
      <c r="M96" s="12" t="str">
        <f>HYPERLINK("https://ceds.ed.gov/cedselementdetails.aspx?termid=17965")</f>
        <v>https://ceds.ed.gov/cedselementdetails.aspx?termid=17965</v>
      </c>
      <c r="N96" s="12" t="str">
        <f>HYPERLINK("https://ceds.ed.gov/elementComment.aspx?elementName=Assessment Administration Finish Date &amp;elementID=17965", "Click here to submit comment")</f>
        <v>Click here to submit comment</v>
      </c>
    </row>
    <row r="97" spans="1:14" ht="38.25" x14ac:dyDescent="0.25">
      <c r="A97" s="12" t="s">
        <v>499</v>
      </c>
      <c r="B97" s="12" t="s">
        <v>500</v>
      </c>
      <c r="C97" s="12" t="s">
        <v>37</v>
      </c>
      <c r="D97" s="12" t="s">
        <v>487</v>
      </c>
      <c r="E97" s="11"/>
      <c r="F97" s="12" t="s">
        <v>501</v>
      </c>
      <c r="G97" s="11"/>
      <c r="H97" s="11"/>
      <c r="I97" s="12" t="s">
        <v>502</v>
      </c>
      <c r="J97" s="11"/>
      <c r="K97" s="12" t="s">
        <v>503</v>
      </c>
      <c r="L97" s="11"/>
      <c r="M97" s="12" t="str">
        <f>HYPERLINK("https://ceds.ed.gov/cedselementdetails.aspx?termid=17966")</f>
        <v>https://ceds.ed.gov/cedselementdetails.aspx?termid=17966</v>
      </c>
      <c r="N97" s="12" t="str">
        <f>HYPERLINK("https://ceds.ed.gov/elementComment.aspx?elementName=Assessment Administration Finish Time &amp;elementID=17966", "Click here to submit comment")</f>
        <v>Click here to submit comment</v>
      </c>
    </row>
    <row r="98" spans="1:14" ht="25.5" x14ac:dyDescent="0.25">
      <c r="A98" s="12" t="s">
        <v>504</v>
      </c>
      <c r="B98" s="12" t="s">
        <v>505</v>
      </c>
      <c r="C98" s="12" t="s">
        <v>37</v>
      </c>
      <c r="D98" s="12" t="s">
        <v>487</v>
      </c>
      <c r="E98" s="11"/>
      <c r="F98" s="12" t="s">
        <v>97</v>
      </c>
      <c r="G98" s="11"/>
      <c r="H98" s="11"/>
      <c r="I98" s="12" t="s">
        <v>506</v>
      </c>
      <c r="J98" s="11"/>
      <c r="K98" s="12" t="s">
        <v>507</v>
      </c>
      <c r="L98" s="11"/>
      <c r="M98" s="12" t="str">
        <f>HYPERLINK("https://ceds.ed.gov/cedselementdetails.aspx?termid=17978")</f>
        <v>https://ceds.ed.gov/cedselementdetails.aspx?termid=17978</v>
      </c>
      <c r="N98" s="12" t="str">
        <f>HYPERLINK("https://ceds.ed.gov/elementComment.aspx?elementName=Assessment Administration Name &amp;elementID=17978", "Click here to submit comment")</f>
        <v>Click here to submit comment</v>
      </c>
    </row>
    <row r="99" spans="1:14" ht="25.5" x14ac:dyDescent="0.25">
      <c r="A99" s="12" t="s">
        <v>508</v>
      </c>
      <c r="B99" s="12" t="s">
        <v>509</v>
      </c>
      <c r="C99" s="12" t="s">
        <v>37</v>
      </c>
      <c r="D99" s="12" t="s">
        <v>487</v>
      </c>
      <c r="E99" s="11"/>
      <c r="F99" s="12" t="s">
        <v>175</v>
      </c>
      <c r="G99" s="11"/>
      <c r="H99" s="11"/>
      <c r="I99" s="12" t="s">
        <v>510</v>
      </c>
      <c r="J99" s="11"/>
      <c r="K99" s="12" t="s">
        <v>511</v>
      </c>
      <c r="L99" s="11"/>
      <c r="M99" s="12" t="str">
        <f>HYPERLINK("https://ceds.ed.gov/cedselementdetails.aspx?termid=17967")</f>
        <v>https://ceds.ed.gov/cedselementdetails.aspx?termid=17967</v>
      </c>
      <c r="N99" s="12" t="str">
        <f>HYPERLINK("https://ceds.ed.gov/elementComment.aspx?elementName=Assessment Administration Organization Name &amp;elementID=17967", "Click here to submit comment")</f>
        <v>Click here to submit comment</v>
      </c>
    </row>
    <row r="100" spans="1:14" ht="25.5" x14ac:dyDescent="0.25">
      <c r="A100" s="12" t="s">
        <v>512</v>
      </c>
      <c r="B100" s="12" t="s">
        <v>513</v>
      </c>
      <c r="C100" s="12" t="s">
        <v>37</v>
      </c>
      <c r="D100" s="12" t="s">
        <v>487</v>
      </c>
      <c r="E100" s="11"/>
      <c r="F100" s="12" t="s">
        <v>129</v>
      </c>
      <c r="G100" s="11"/>
      <c r="H100" s="11"/>
      <c r="I100" s="12" t="s">
        <v>514</v>
      </c>
      <c r="J100" s="11"/>
      <c r="K100" s="12" t="s">
        <v>515</v>
      </c>
      <c r="L100" s="11"/>
      <c r="M100" s="12" t="str">
        <f>HYPERLINK("https://ceds.ed.gov/cedselementdetails.aspx?termid=18506")</f>
        <v>https://ceds.ed.gov/cedselementdetails.aspx?termid=18506</v>
      </c>
      <c r="N100" s="12" t="str">
        <f>HYPERLINK("https://ceds.ed.gov/elementComment.aspx?elementName=Assessment Administration Period Description &amp;elementID=18506", "Click here to submit comment")</f>
        <v>Click here to submit comment</v>
      </c>
    </row>
    <row r="101" spans="1:14" ht="25.5" x14ac:dyDescent="0.25">
      <c r="A101" s="12" t="s">
        <v>516</v>
      </c>
      <c r="B101" s="12" t="s">
        <v>517</v>
      </c>
      <c r="C101" s="12" t="s">
        <v>37</v>
      </c>
      <c r="D101" s="12" t="s">
        <v>487</v>
      </c>
      <c r="E101" s="11"/>
      <c r="F101" s="12" t="s">
        <v>135</v>
      </c>
      <c r="G101" s="11"/>
      <c r="H101" s="11"/>
      <c r="I101" s="12" t="s">
        <v>518</v>
      </c>
      <c r="J101" s="11"/>
      <c r="K101" s="12" t="s">
        <v>519</v>
      </c>
      <c r="L101" s="11"/>
      <c r="M101" s="12" t="str">
        <f>HYPERLINK("https://ceds.ed.gov/cedselementdetails.aspx?termid=17963")</f>
        <v>https://ceds.ed.gov/cedselementdetails.aspx?termid=17963</v>
      </c>
      <c r="N101" s="12" t="str">
        <f>HYPERLINK("https://ceds.ed.gov/elementComment.aspx?elementName=Assessment Administration Start Date &amp;elementID=17963", "Click here to submit comment")</f>
        <v>Click here to submit comment</v>
      </c>
    </row>
    <row r="102" spans="1:14" ht="25.5" x14ac:dyDescent="0.25">
      <c r="A102" s="12" t="s">
        <v>520</v>
      </c>
      <c r="B102" s="12" t="s">
        <v>521</v>
      </c>
      <c r="C102" s="12" t="s">
        <v>37</v>
      </c>
      <c r="D102" s="12" t="s">
        <v>487</v>
      </c>
      <c r="E102" s="11"/>
      <c r="F102" s="12" t="s">
        <v>501</v>
      </c>
      <c r="G102" s="11"/>
      <c r="H102" s="11"/>
      <c r="I102" s="12" t="s">
        <v>522</v>
      </c>
      <c r="J102" s="11"/>
      <c r="K102" s="12" t="s">
        <v>523</v>
      </c>
      <c r="L102" s="11"/>
      <c r="M102" s="12" t="str">
        <f>HYPERLINK("https://ceds.ed.gov/cedselementdetails.aspx?termid=17964")</f>
        <v>https://ceds.ed.gov/cedselementdetails.aspx?termid=17964</v>
      </c>
      <c r="N102" s="12" t="str">
        <f>HYPERLINK("https://ceds.ed.gov/elementComment.aspx?elementName=Assessment Administration Start Time &amp;elementID=17964", "Click here to submit comment")</f>
        <v>Click here to submit comment</v>
      </c>
    </row>
    <row r="103" spans="1:14" ht="25.5" x14ac:dyDescent="0.25">
      <c r="A103" s="12" t="s">
        <v>524</v>
      </c>
      <c r="B103" s="12" t="s">
        <v>525</v>
      </c>
      <c r="C103" s="12" t="s">
        <v>37</v>
      </c>
      <c r="D103" s="12" t="s">
        <v>526</v>
      </c>
      <c r="E103" s="11"/>
      <c r="F103" s="12" t="s">
        <v>382</v>
      </c>
      <c r="G103" s="11"/>
      <c r="H103" s="11"/>
      <c r="I103" s="12" t="s">
        <v>527</v>
      </c>
      <c r="J103" s="11"/>
      <c r="K103" s="12" t="s">
        <v>528</v>
      </c>
      <c r="L103" s="11"/>
      <c r="M103" s="12" t="str">
        <f>HYPERLINK("https://ceds.ed.gov/cedselementdetails.aspx?termid=18154")</f>
        <v>https://ceds.ed.gov/cedselementdetails.aspx?termid=18154</v>
      </c>
      <c r="N103" s="12" t="str">
        <f>HYPERLINK("https://ceds.ed.gov/elementComment.aspx?elementName=Assessment Asset Content Mime Type &amp;elementID=18154", "Click here to submit comment")</f>
        <v>Click here to submit comment</v>
      </c>
    </row>
    <row r="104" spans="1:14" ht="38.25" x14ac:dyDescent="0.25">
      <c r="A104" s="12" t="s">
        <v>529</v>
      </c>
      <c r="B104" s="12" t="s">
        <v>530</v>
      </c>
      <c r="C104" s="12" t="s">
        <v>37</v>
      </c>
      <c r="D104" s="12" t="s">
        <v>526</v>
      </c>
      <c r="E104" s="11"/>
      <c r="F104" s="12" t="s">
        <v>57</v>
      </c>
      <c r="G104" s="11"/>
      <c r="H104" s="11"/>
      <c r="I104" s="12" t="s">
        <v>531</v>
      </c>
      <c r="J104" s="11"/>
      <c r="K104" s="12" t="s">
        <v>532</v>
      </c>
      <c r="L104" s="11"/>
      <c r="M104" s="12" t="str">
        <f>HYPERLINK("https://ceds.ed.gov/cedselementdetails.aspx?termid=18155")</f>
        <v>https://ceds.ed.gov/cedselementdetails.aspx?termid=18155</v>
      </c>
      <c r="N104" s="12" t="str">
        <f>HYPERLINK("https://ceds.ed.gov/elementComment.aspx?elementName=Assessment Asset Content URL &amp;elementID=18155", "Click here to submit comment")</f>
        <v>Click here to submit comment</v>
      </c>
    </row>
    <row r="105" spans="1:14" ht="25.5" x14ac:dyDescent="0.25">
      <c r="A105" s="12" t="s">
        <v>533</v>
      </c>
      <c r="B105" s="12" t="s">
        <v>534</v>
      </c>
      <c r="C105" s="12" t="s">
        <v>37</v>
      </c>
      <c r="D105" s="12" t="s">
        <v>526</v>
      </c>
      <c r="E105" s="11"/>
      <c r="F105" s="12" t="s">
        <v>382</v>
      </c>
      <c r="G105" s="11"/>
      <c r="H105" s="11"/>
      <c r="I105" s="12" t="s">
        <v>535</v>
      </c>
      <c r="J105" s="11"/>
      <c r="K105" s="12" t="s">
        <v>536</v>
      </c>
      <c r="L105" s="11"/>
      <c r="M105" s="12" t="str">
        <f>HYPERLINK("https://ceds.ed.gov/cedselementdetails.aspx?termid=18153")</f>
        <v>https://ceds.ed.gov/cedselementdetails.aspx?termid=18153</v>
      </c>
      <c r="N105" s="12" t="str">
        <f>HYPERLINK("https://ceds.ed.gov/elementComment.aspx?elementName=Assessment Asset Content XML &amp;elementID=18153", "Click here to submit comment")</f>
        <v>Click here to submit comment</v>
      </c>
    </row>
    <row r="106" spans="1:14" ht="76.5" x14ac:dyDescent="0.25">
      <c r="A106" s="15" t="s">
        <v>537</v>
      </c>
      <c r="B106" s="15" t="s">
        <v>538</v>
      </c>
      <c r="C106" s="15" t="s">
        <v>37</v>
      </c>
      <c r="D106" s="15" t="s">
        <v>526</v>
      </c>
      <c r="E106" s="16"/>
      <c r="F106" s="15" t="s">
        <v>149</v>
      </c>
      <c r="G106" s="16"/>
      <c r="H106" s="12" t="s">
        <v>150</v>
      </c>
      <c r="I106" s="15" t="s">
        <v>539</v>
      </c>
      <c r="J106" s="16"/>
      <c r="K106" s="15" t="s">
        <v>540</v>
      </c>
      <c r="L106" s="16"/>
      <c r="M106" s="15" t="str">
        <f>HYPERLINK("https://ceds.ed.gov/cedselementdetails.aspx?termid=18149")</f>
        <v>https://ceds.ed.gov/cedselementdetails.aspx?termid=18149</v>
      </c>
      <c r="N106" s="15" t="str">
        <f>HYPERLINK("https://ceds.ed.gov/elementComment.aspx?elementName=Assessment Asset Identifier &amp;elementID=18149", "Click here to submit comment")</f>
        <v>Click here to submit comment</v>
      </c>
    </row>
    <row r="107" spans="1:14" x14ac:dyDescent="0.25">
      <c r="A107" s="15"/>
      <c r="B107" s="15"/>
      <c r="C107" s="15"/>
      <c r="D107" s="15"/>
      <c r="E107" s="16"/>
      <c r="F107" s="15"/>
      <c r="G107" s="16"/>
      <c r="H107" s="12"/>
      <c r="I107" s="15"/>
      <c r="J107" s="16"/>
      <c r="K107" s="15"/>
      <c r="L107" s="16"/>
      <c r="M107" s="15"/>
      <c r="N107" s="15"/>
    </row>
    <row r="108" spans="1:14" ht="76.5" x14ac:dyDescent="0.25">
      <c r="A108" s="15"/>
      <c r="B108" s="15"/>
      <c r="C108" s="15"/>
      <c r="D108" s="15"/>
      <c r="E108" s="16"/>
      <c r="F108" s="15"/>
      <c r="G108" s="16"/>
      <c r="H108" s="12" t="s">
        <v>153</v>
      </c>
      <c r="I108" s="15"/>
      <c r="J108" s="16"/>
      <c r="K108" s="15"/>
      <c r="L108" s="16"/>
      <c r="M108" s="15"/>
      <c r="N108" s="15"/>
    </row>
    <row r="109" spans="1:14" ht="76.5" x14ac:dyDescent="0.25">
      <c r="A109" s="12" t="s">
        <v>541</v>
      </c>
      <c r="B109" s="12" t="s">
        <v>542</v>
      </c>
      <c r="C109" s="13" t="s">
        <v>543</v>
      </c>
      <c r="D109" s="12" t="s">
        <v>526</v>
      </c>
      <c r="E109" s="11"/>
      <c r="F109" s="11"/>
      <c r="G109" s="11"/>
      <c r="H109" s="11"/>
      <c r="I109" s="12" t="s">
        <v>544</v>
      </c>
      <c r="J109" s="11"/>
      <c r="K109" s="12" t="s">
        <v>545</v>
      </c>
      <c r="L109" s="11"/>
      <c r="M109" s="12" t="str">
        <f>HYPERLINK("https://ceds.ed.gov/cedselementdetails.aspx?termid=18150")</f>
        <v>https://ceds.ed.gov/cedselementdetails.aspx?termid=18150</v>
      </c>
      <c r="N109" s="12" t="str">
        <f>HYPERLINK("https://ceds.ed.gov/elementComment.aspx?elementName=Assessment Asset Identifier Type &amp;elementID=18150", "Click here to submit comment")</f>
        <v>Click here to submit comment</v>
      </c>
    </row>
    <row r="110" spans="1:14" ht="25.5" x14ac:dyDescent="0.25">
      <c r="A110" s="12" t="s">
        <v>546</v>
      </c>
      <c r="B110" s="12" t="s">
        <v>547</v>
      </c>
      <c r="C110" s="12" t="s">
        <v>37</v>
      </c>
      <c r="D110" s="12" t="s">
        <v>526</v>
      </c>
      <c r="E110" s="11"/>
      <c r="F110" s="12" t="s">
        <v>175</v>
      </c>
      <c r="G110" s="11"/>
      <c r="H110" s="11"/>
      <c r="I110" s="12" t="s">
        <v>548</v>
      </c>
      <c r="J110" s="11"/>
      <c r="K110" s="12" t="s">
        <v>549</v>
      </c>
      <c r="L110" s="11"/>
      <c r="M110" s="12" t="str">
        <f>HYPERLINK("https://ceds.ed.gov/cedselementdetails.aspx?termid=18151")</f>
        <v>https://ceds.ed.gov/cedselementdetails.aspx?termid=18151</v>
      </c>
      <c r="N110" s="12" t="str">
        <f>HYPERLINK("https://ceds.ed.gov/elementComment.aspx?elementName=Assessment Asset Name &amp;elementID=18151", "Click here to submit comment")</f>
        <v>Click here to submit comment</v>
      </c>
    </row>
    <row r="111" spans="1:14" ht="25.5" x14ac:dyDescent="0.25">
      <c r="A111" s="12" t="s">
        <v>550</v>
      </c>
      <c r="B111" s="12" t="s">
        <v>551</v>
      </c>
      <c r="C111" s="12" t="s">
        <v>37</v>
      </c>
      <c r="D111" s="12" t="s">
        <v>526</v>
      </c>
      <c r="E111" s="11"/>
      <c r="F111" s="12" t="s">
        <v>175</v>
      </c>
      <c r="G111" s="11"/>
      <c r="H111" s="11"/>
      <c r="I111" s="12" t="s">
        <v>552</v>
      </c>
      <c r="J111" s="11"/>
      <c r="K111" s="12" t="s">
        <v>553</v>
      </c>
      <c r="L111" s="11"/>
      <c r="M111" s="12" t="str">
        <f>HYPERLINK("https://ceds.ed.gov/cedselementdetails.aspx?termid=18152")</f>
        <v>https://ceds.ed.gov/cedselementdetails.aspx?termid=18152</v>
      </c>
      <c r="N111" s="12" t="str">
        <f>HYPERLINK("https://ceds.ed.gov/elementComment.aspx?elementName=Assessment Asset Owner &amp;elementID=18152", "Click here to submit comment")</f>
        <v>Click here to submit comment</v>
      </c>
    </row>
    <row r="112" spans="1:14" ht="25.5" x14ac:dyDescent="0.25">
      <c r="A112" s="12" t="s">
        <v>554</v>
      </c>
      <c r="B112" s="12" t="s">
        <v>555</v>
      </c>
      <c r="C112" s="12" t="s">
        <v>37</v>
      </c>
      <c r="D112" s="12" t="s">
        <v>526</v>
      </c>
      <c r="E112" s="11"/>
      <c r="F112" s="12" t="s">
        <v>135</v>
      </c>
      <c r="G112" s="11"/>
      <c r="H112" s="11"/>
      <c r="I112" s="12" t="s">
        <v>556</v>
      </c>
      <c r="J112" s="11"/>
      <c r="K112" s="12" t="s">
        <v>557</v>
      </c>
      <c r="L112" s="11"/>
      <c r="M112" s="12" t="str">
        <f>HYPERLINK("https://ceds.ed.gov/cedselementdetails.aspx?termid=18148")</f>
        <v>https://ceds.ed.gov/cedselementdetails.aspx?termid=18148</v>
      </c>
      <c r="N112" s="12" t="str">
        <f>HYPERLINK("https://ceds.ed.gov/elementComment.aspx?elementName=Assessment Asset Published Date &amp;elementID=18148", "Click here to submit comment")</f>
        <v>Click here to submit comment</v>
      </c>
    </row>
    <row r="113" spans="1:14" ht="382.5" x14ac:dyDescent="0.25">
      <c r="A113" s="12" t="s">
        <v>558</v>
      </c>
      <c r="B113" s="12" t="s">
        <v>559</v>
      </c>
      <c r="C113" s="13" t="s">
        <v>560</v>
      </c>
      <c r="D113" s="12" t="s">
        <v>526</v>
      </c>
      <c r="E113" s="11"/>
      <c r="F113" s="11"/>
      <c r="G113" s="11"/>
      <c r="H113" s="12" t="s">
        <v>561</v>
      </c>
      <c r="I113" s="12" t="s">
        <v>562</v>
      </c>
      <c r="J113" s="11"/>
      <c r="K113" s="12" t="s">
        <v>563</v>
      </c>
      <c r="L113" s="11"/>
      <c r="M113" s="12" t="str">
        <f>HYPERLINK("https://ceds.ed.gov/cedselementdetails.aspx?termid=18147")</f>
        <v>https://ceds.ed.gov/cedselementdetails.aspx?termid=18147</v>
      </c>
      <c r="N113" s="12" t="str">
        <f>HYPERLINK("https://ceds.ed.gov/elementComment.aspx?elementName=Assessment Asset Type &amp;elementID=18147", "Click here to submit comment")</f>
        <v>Click here to submit comment</v>
      </c>
    </row>
    <row r="114" spans="1:14" ht="102" x14ac:dyDescent="0.25">
      <c r="A114" s="12" t="s">
        <v>564</v>
      </c>
      <c r="B114" s="12" t="s">
        <v>565</v>
      </c>
      <c r="C114" s="12" t="s">
        <v>37</v>
      </c>
      <c r="D114" s="12" t="s">
        <v>526</v>
      </c>
      <c r="E114" s="11"/>
      <c r="F114" s="12" t="s">
        <v>97</v>
      </c>
      <c r="G114" s="11"/>
      <c r="H114" s="12" t="s">
        <v>566</v>
      </c>
      <c r="I114" s="12" t="s">
        <v>567</v>
      </c>
      <c r="J114" s="11"/>
      <c r="K114" s="12" t="s">
        <v>568</v>
      </c>
      <c r="L114" s="11"/>
      <c r="M114" s="12" t="str">
        <f>HYPERLINK("https://ceds.ed.gov/cedselementdetails.aspx?termid=18146")</f>
        <v>https://ceds.ed.gov/cedselementdetails.aspx?termid=18146</v>
      </c>
      <c r="N114" s="12" t="str">
        <f>HYPERLINK("https://ceds.ed.gov/elementComment.aspx?elementName=Assessment Asset Version &amp;elementID=18146", "Click here to submit comment")</f>
        <v>Click here to submit comment</v>
      </c>
    </row>
    <row r="115" spans="1:14" ht="114.75" x14ac:dyDescent="0.25">
      <c r="A115" s="12" t="s">
        <v>569</v>
      </c>
      <c r="B115" s="12" t="s">
        <v>570</v>
      </c>
      <c r="C115" s="13" t="s">
        <v>571</v>
      </c>
      <c r="D115" s="12" t="s">
        <v>572</v>
      </c>
      <c r="E115" s="11"/>
      <c r="F115" s="11"/>
      <c r="G115" s="11"/>
      <c r="H115" s="11"/>
      <c r="I115" s="12" t="s">
        <v>573</v>
      </c>
      <c r="J115" s="11"/>
      <c r="K115" s="12" t="s">
        <v>574</v>
      </c>
      <c r="L115" s="12" t="s">
        <v>575</v>
      </c>
      <c r="M115" s="12" t="str">
        <f>HYPERLINK("https://ceds.ed.gov/cedselementdetails.aspx?termid=17598")</f>
        <v>https://ceds.ed.gov/cedselementdetails.aspx?termid=17598</v>
      </c>
      <c r="N115" s="12" t="str">
        <f>HYPERLINK("https://ceds.ed.gov/elementComment.aspx?elementName=Assessment Content Standard Type &amp;elementID=17598", "Click here to submit comment")</f>
        <v>Click here to submit comment</v>
      </c>
    </row>
    <row r="116" spans="1:14" ht="38.25" x14ac:dyDescent="0.25">
      <c r="A116" s="15" t="s">
        <v>576</v>
      </c>
      <c r="B116" s="15" t="s">
        <v>577</v>
      </c>
      <c r="C116" s="17" t="s">
        <v>578</v>
      </c>
      <c r="D116" s="15" t="s">
        <v>579</v>
      </c>
      <c r="E116" s="16"/>
      <c r="F116" s="16"/>
      <c r="G116" s="16"/>
      <c r="H116" s="12" t="s">
        <v>580</v>
      </c>
      <c r="I116" s="15" t="s">
        <v>581</v>
      </c>
      <c r="J116" s="16"/>
      <c r="K116" s="15" t="s">
        <v>582</v>
      </c>
      <c r="L116" s="15" t="s">
        <v>583</v>
      </c>
      <c r="M116" s="15" t="str">
        <f>HYPERLINK("https://ceds.ed.gov/cedselementdetails.aspx?termid=18003")</f>
        <v>https://ceds.ed.gov/cedselementdetails.aspx?termid=18003</v>
      </c>
      <c r="N116" s="15" t="str">
        <f>HYPERLINK("https://ceds.ed.gov/elementComment.aspx?elementName=Assessment Early Learning Developmental Domain &amp;elementID=18003", "Click here to submit comment")</f>
        <v>Click here to submit comment</v>
      </c>
    </row>
    <row r="117" spans="1:14" x14ac:dyDescent="0.25">
      <c r="A117" s="15"/>
      <c r="B117" s="15"/>
      <c r="C117" s="15"/>
      <c r="D117" s="15"/>
      <c r="E117" s="16"/>
      <c r="F117" s="16"/>
      <c r="G117" s="16"/>
      <c r="H117" s="11"/>
      <c r="I117" s="15"/>
      <c r="J117" s="16"/>
      <c r="K117" s="15"/>
      <c r="L117" s="15"/>
      <c r="M117" s="15"/>
      <c r="N117" s="15"/>
    </row>
    <row r="118" spans="1:14" ht="25.5" x14ac:dyDescent="0.25">
      <c r="A118" s="15"/>
      <c r="B118" s="15"/>
      <c r="C118" s="15"/>
      <c r="D118" s="15"/>
      <c r="E118" s="16"/>
      <c r="F118" s="16"/>
      <c r="G118" s="16"/>
      <c r="H118" s="12" t="s">
        <v>584</v>
      </c>
      <c r="I118" s="15"/>
      <c r="J118" s="16"/>
      <c r="K118" s="15"/>
      <c r="L118" s="15"/>
      <c r="M118" s="15"/>
      <c r="N118" s="15"/>
    </row>
    <row r="119" spans="1:14" ht="25.5" x14ac:dyDescent="0.25">
      <c r="A119" s="15"/>
      <c r="B119" s="15"/>
      <c r="C119" s="15"/>
      <c r="D119" s="15"/>
      <c r="E119" s="16"/>
      <c r="F119" s="16"/>
      <c r="G119" s="16"/>
      <c r="H119" s="12" t="s">
        <v>585</v>
      </c>
      <c r="I119" s="15"/>
      <c r="J119" s="16"/>
      <c r="K119" s="15"/>
      <c r="L119" s="15"/>
      <c r="M119" s="15"/>
      <c r="N119" s="15"/>
    </row>
    <row r="120" spans="1:14" ht="51" x14ac:dyDescent="0.25">
      <c r="A120" s="15"/>
      <c r="B120" s="15"/>
      <c r="C120" s="15"/>
      <c r="D120" s="15"/>
      <c r="E120" s="16"/>
      <c r="F120" s="16"/>
      <c r="G120" s="16"/>
      <c r="H120" s="12" t="s">
        <v>586</v>
      </c>
      <c r="I120" s="15"/>
      <c r="J120" s="16"/>
      <c r="K120" s="15"/>
      <c r="L120" s="15"/>
      <c r="M120" s="15"/>
      <c r="N120" s="15"/>
    </row>
    <row r="121" spans="1:14" x14ac:dyDescent="0.25">
      <c r="A121" s="15"/>
      <c r="B121" s="15"/>
      <c r="C121" s="15"/>
      <c r="D121" s="15"/>
      <c r="E121" s="16"/>
      <c r="F121" s="16"/>
      <c r="G121" s="16"/>
      <c r="H121" s="12"/>
      <c r="I121" s="15"/>
      <c r="J121" s="16"/>
      <c r="K121" s="15"/>
      <c r="L121" s="15"/>
      <c r="M121" s="15"/>
      <c r="N121" s="15"/>
    </row>
    <row r="122" spans="1:14" ht="89.25" x14ac:dyDescent="0.25">
      <c r="A122" s="15"/>
      <c r="B122" s="15"/>
      <c r="C122" s="15"/>
      <c r="D122" s="15"/>
      <c r="E122" s="16"/>
      <c r="F122" s="16"/>
      <c r="G122" s="16"/>
      <c r="H122" s="12" t="s">
        <v>587</v>
      </c>
      <c r="I122" s="15"/>
      <c r="J122" s="16"/>
      <c r="K122" s="15"/>
      <c r="L122" s="15"/>
      <c r="M122" s="15"/>
      <c r="N122" s="15"/>
    </row>
    <row r="123" spans="1:14" ht="51" x14ac:dyDescent="0.25">
      <c r="A123" s="12" t="s">
        <v>588</v>
      </c>
      <c r="B123" s="12" t="s">
        <v>589</v>
      </c>
      <c r="C123" s="12" t="s">
        <v>37</v>
      </c>
      <c r="D123" s="12" t="s">
        <v>590</v>
      </c>
      <c r="E123" s="11"/>
      <c r="F123" s="12" t="s">
        <v>97</v>
      </c>
      <c r="G123" s="11"/>
      <c r="H123" s="12" t="s">
        <v>591</v>
      </c>
      <c r="I123" s="12" t="s">
        <v>592</v>
      </c>
      <c r="J123" s="11"/>
      <c r="K123" s="12" t="s">
        <v>593</v>
      </c>
      <c r="L123" s="11"/>
      <c r="M123" s="12" t="str">
        <f>HYPERLINK("https://ceds.ed.gov/cedselementdetails.aspx?termid=17934")</f>
        <v>https://ceds.ed.gov/cedselementdetails.aspx?termid=17934</v>
      </c>
      <c r="N123" s="12" t="str">
        <f>HYPERLINK("https://ceds.ed.gov/elementComment.aspx?elementName=Assessment Family Short Name &amp;elementID=17934", "Click here to submit comment")</f>
        <v>Click here to submit comment</v>
      </c>
    </row>
    <row r="124" spans="1:14" ht="63.75" x14ac:dyDescent="0.25">
      <c r="A124" s="12" t="s">
        <v>594</v>
      </c>
      <c r="B124" s="12" t="s">
        <v>595</v>
      </c>
      <c r="C124" s="12" t="s">
        <v>37</v>
      </c>
      <c r="D124" s="12" t="s">
        <v>590</v>
      </c>
      <c r="E124" s="11"/>
      <c r="F124" s="12" t="s">
        <v>175</v>
      </c>
      <c r="G124" s="11"/>
      <c r="H124" s="11"/>
      <c r="I124" s="12" t="s">
        <v>596</v>
      </c>
      <c r="J124" s="11"/>
      <c r="K124" s="12" t="s">
        <v>597</v>
      </c>
      <c r="L124" s="11"/>
      <c r="M124" s="12" t="str">
        <f>HYPERLINK("https://ceds.ed.gov/cedselementdetails.aspx?termid=17933")</f>
        <v>https://ceds.ed.gov/cedselementdetails.aspx?termid=17933</v>
      </c>
      <c r="N124" s="12" t="str">
        <f>HYPERLINK("https://ceds.ed.gov/elementComment.aspx?elementName=Assessment Family Title &amp;elementID=17933", "Click here to submit comment")</f>
        <v>Click here to submit comment</v>
      </c>
    </row>
    <row r="125" spans="1:14" ht="51" x14ac:dyDescent="0.25">
      <c r="A125" s="12" t="s">
        <v>598</v>
      </c>
      <c r="B125" s="12" t="s">
        <v>599</v>
      </c>
      <c r="C125" s="12" t="s">
        <v>37</v>
      </c>
      <c r="D125" s="12" t="s">
        <v>600</v>
      </c>
      <c r="E125" s="11"/>
      <c r="F125" s="12" t="s">
        <v>382</v>
      </c>
      <c r="G125" s="11"/>
      <c r="H125" s="11"/>
      <c r="I125" s="12" t="s">
        <v>601</v>
      </c>
      <c r="J125" s="11"/>
      <c r="K125" s="12" t="s">
        <v>602</v>
      </c>
      <c r="L125" s="11"/>
      <c r="M125" s="12" t="str">
        <f>HYPERLINK("https://ceds.ed.gov/cedselementdetails.aspx?termid=18136")</f>
        <v>https://ceds.ed.gov/cedselementdetails.aspx?termid=18136</v>
      </c>
      <c r="N125" s="12" t="str">
        <f>HYPERLINK("https://ceds.ed.gov/elementComment.aspx?elementName=Assessment Form Accommodation List &amp;elementID=18136", "Click here to submit comment")</f>
        <v>Click here to submit comment</v>
      </c>
    </row>
    <row r="126" spans="1:14" ht="38.25" x14ac:dyDescent="0.25">
      <c r="A126" s="12" t="s">
        <v>603</v>
      </c>
      <c r="B126" s="12" t="s">
        <v>604</v>
      </c>
      <c r="C126" s="12" t="s">
        <v>24</v>
      </c>
      <c r="D126" s="12" t="s">
        <v>600</v>
      </c>
      <c r="E126" s="11"/>
      <c r="F126" s="11"/>
      <c r="G126" s="11"/>
      <c r="H126" s="11"/>
      <c r="I126" s="12" t="s">
        <v>605</v>
      </c>
      <c r="J126" s="11"/>
      <c r="K126" s="12" t="s">
        <v>606</v>
      </c>
      <c r="L126" s="11"/>
      <c r="M126" s="12" t="str">
        <f>HYPERLINK("https://ceds.ed.gov/cedselementdetails.aspx?termid=18507")</f>
        <v>https://ceds.ed.gov/cedselementdetails.aspx?termid=18507</v>
      </c>
      <c r="N126" s="12" t="str">
        <f>HYPERLINK("https://ceds.ed.gov/elementComment.aspx?elementName=Assessment Form Adaptive Indicator &amp;elementID=18507", "Click here to submit comment")</f>
        <v>Click here to submit comment</v>
      </c>
    </row>
    <row r="127" spans="1:14" ht="51" x14ac:dyDescent="0.25">
      <c r="A127" s="15" t="s">
        <v>607</v>
      </c>
      <c r="B127" s="15" t="s">
        <v>608</v>
      </c>
      <c r="C127" s="15" t="s">
        <v>37</v>
      </c>
      <c r="D127" s="15" t="s">
        <v>609</v>
      </c>
      <c r="E127" s="16"/>
      <c r="F127" s="15" t="s">
        <v>149</v>
      </c>
      <c r="G127" s="16"/>
      <c r="H127" s="12" t="s">
        <v>610</v>
      </c>
      <c r="I127" s="15" t="s">
        <v>611</v>
      </c>
      <c r="J127" s="16"/>
      <c r="K127" s="15" t="s">
        <v>612</v>
      </c>
      <c r="L127" s="16"/>
      <c r="M127" s="15" t="str">
        <f>HYPERLINK("https://ceds.ed.gov/cedselementdetails.aspx?termid=18508")</f>
        <v>https://ceds.ed.gov/cedselementdetails.aspx?termid=18508</v>
      </c>
      <c r="N127" s="15" t="str">
        <f>HYPERLINK("https://ceds.ed.gov/elementComment.aspx?elementName=Assessment Form Algorithm Identifier &amp;elementID=18508", "Click here to submit comment")</f>
        <v>Click here to submit comment</v>
      </c>
    </row>
    <row r="128" spans="1:14" x14ac:dyDescent="0.25">
      <c r="A128" s="15"/>
      <c r="B128" s="15"/>
      <c r="C128" s="15"/>
      <c r="D128" s="15"/>
      <c r="E128" s="16"/>
      <c r="F128" s="15"/>
      <c r="G128" s="16"/>
      <c r="H128" s="11"/>
      <c r="I128" s="15"/>
      <c r="J128" s="16"/>
      <c r="K128" s="15"/>
      <c r="L128" s="16"/>
      <c r="M128" s="15"/>
      <c r="N128" s="15"/>
    </row>
    <row r="129" spans="1:14" ht="76.5" x14ac:dyDescent="0.25">
      <c r="A129" s="15"/>
      <c r="B129" s="15"/>
      <c r="C129" s="15"/>
      <c r="D129" s="15"/>
      <c r="E129" s="16"/>
      <c r="F129" s="15"/>
      <c r="G129" s="16"/>
      <c r="H129" s="12" t="s">
        <v>150</v>
      </c>
      <c r="I129" s="15"/>
      <c r="J129" s="16"/>
      <c r="K129" s="15"/>
      <c r="L129" s="16"/>
      <c r="M129" s="15"/>
      <c r="N129" s="15"/>
    </row>
    <row r="130" spans="1:14" x14ac:dyDescent="0.25">
      <c r="A130" s="15"/>
      <c r="B130" s="15"/>
      <c r="C130" s="15"/>
      <c r="D130" s="15"/>
      <c r="E130" s="16"/>
      <c r="F130" s="15"/>
      <c r="G130" s="16"/>
      <c r="H130" s="12"/>
      <c r="I130" s="15"/>
      <c r="J130" s="16"/>
      <c r="K130" s="15"/>
      <c r="L130" s="16"/>
      <c r="M130" s="15"/>
      <c r="N130" s="15"/>
    </row>
    <row r="131" spans="1:14" ht="76.5" x14ac:dyDescent="0.25">
      <c r="A131" s="15"/>
      <c r="B131" s="15"/>
      <c r="C131" s="15"/>
      <c r="D131" s="15"/>
      <c r="E131" s="16"/>
      <c r="F131" s="15"/>
      <c r="G131" s="16"/>
      <c r="H131" s="12" t="s">
        <v>153</v>
      </c>
      <c r="I131" s="15"/>
      <c r="J131" s="16"/>
      <c r="K131" s="15"/>
      <c r="L131" s="16"/>
      <c r="M131" s="15"/>
      <c r="N131" s="15"/>
    </row>
    <row r="132" spans="1:14" ht="51" x14ac:dyDescent="0.25">
      <c r="A132" s="12" t="s">
        <v>613</v>
      </c>
      <c r="B132" s="12" t="s">
        <v>614</v>
      </c>
      <c r="C132" s="12" t="s">
        <v>37</v>
      </c>
      <c r="D132" s="12" t="s">
        <v>600</v>
      </c>
      <c r="E132" s="11"/>
      <c r="F132" s="12" t="s">
        <v>149</v>
      </c>
      <c r="G132" s="11"/>
      <c r="H132" s="12" t="s">
        <v>610</v>
      </c>
      <c r="I132" s="12" t="s">
        <v>615</v>
      </c>
      <c r="J132" s="11"/>
      <c r="K132" s="12" t="s">
        <v>616</v>
      </c>
      <c r="L132" s="11"/>
      <c r="M132" s="12" t="str">
        <f>HYPERLINK("https://ceds.ed.gov/cedselementdetails.aspx?termid=18509")</f>
        <v>https://ceds.ed.gov/cedselementdetails.aspx?termid=18509</v>
      </c>
      <c r="N132" s="12" t="str">
        <f>HYPERLINK("https://ceds.ed.gov/elementComment.aspx?elementName=Assessment Form Algorithm Version &amp;elementID=18509", "Click here to submit comment")</f>
        <v>Click here to submit comment</v>
      </c>
    </row>
    <row r="133" spans="1:14" ht="63.75" x14ac:dyDescent="0.25">
      <c r="A133" s="15" t="s">
        <v>617</v>
      </c>
      <c r="B133" s="15" t="s">
        <v>618</v>
      </c>
      <c r="C133" s="15" t="s">
        <v>37</v>
      </c>
      <c r="D133" s="15" t="s">
        <v>600</v>
      </c>
      <c r="E133" s="16"/>
      <c r="F133" s="15" t="s">
        <v>149</v>
      </c>
      <c r="G133" s="16"/>
      <c r="H133" s="12" t="s">
        <v>619</v>
      </c>
      <c r="I133" s="15" t="s">
        <v>620</v>
      </c>
      <c r="J133" s="16"/>
      <c r="K133" s="15" t="s">
        <v>621</v>
      </c>
      <c r="L133" s="16"/>
      <c r="M133" s="15" t="str">
        <f>HYPERLINK("https://ceds.ed.gov/cedselementdetails.aspx?termid=18510")</f>
        <v>https://ceds.ed.gov/cedselementdetails.aspx?termid=18510</v>
      </c>
      <c r="N133" s="15" t="str">
        <f>HYPERLINK("https://ceds.ed.gov/elementComment.aspx?elementName=Assessment Form GUID &amp;elementID=18510", "Click here to submit comment")</f>
        <v>Click here to submit comment</v>
      </c>
    </row>
    <row r="134" spans="1:14" x14ac:dyDescent="0.25">
      <c r="A134" s="15"/>
      <c r="B134" s="15"/>
      <c r="C134" s="15"/>
      <c r="D134" s="15"/>
      <c r="E134" s="16"/>
      <c r="F134" s="15"/>
      <c r="G134" s="16"/>
      <c r="H134" s="12"/>
      <c r="I134" s="15"/>
      <c r="J134" s="16"/>
      <c r="K134" s="15"/>
      <c r="L134" s="16"/>
      <c r="M134" s="15"/>
      <c r="N134" s="15"/>
    </row>
    <row r="135" spans="1:14" ht="38.25" x14ac:dyDescent="0.25">
      <c r="A135" s="15"/>
      <c r="B135" s="15"/>
      <c r="C135" s="15"/>
      <c r="D135" s="15"/>
      <c r="E135" s="16"/>
      <c r="F135" s="15"/>
      <c r="G135" s="16"/>
      <c r="H135" s="12" t="s">
        <v>622</v>
      </c>
      <c r="I135" s="15"/>
      <c r="J135" s="16"/>
      <c r="K135" s="15"/>
      <c r="L135" s="16"/>
      <c r="M135" s="15"/>
      <c r="N135" s="15"/>
    </row>
    <row r="136" spans="1:14" ht="51" x14ac:dyDescent="0.25">
      <c r="A136" s="12" t="s">
        <v>623</v>
      </c>
      <c r="B136" s="12" t="s">
        <v>624</v>
      </c>
      <c r="C136" s="12" t="s">
        <v>37</v>
      </c>
      <c r="D136" s="12" t="s">
        <v>600</v>
      </c>
      <c r="E136" s="11"/>
      <c r="F136" s="12" t="s">
        <v>135</v>
      </c>
      <c r="G136" s="11"/>
      <c r="H136" s="12" t="s">
        <v>160</v>
      </c>
      <c r="I136" s="12" t="s">
        <v>625</v>
      </c>
      <c r="J136" s="11"/>
      <c r="K136" s="12" t="s">
        <v>626</v>
      </c>
      <c r="L136" s="11"/>
      <c r="M136" s="12" t="str">
        <f>HYPERLINK("https://ceds.ed.gov/cedselementdetails.aspx?termid=18138")</f>
        <v>https://ceds.ed.gov/cedselementdetails.aspx?termid=18138</v>
      </c>
      <c r="N136" s="12" t="str">
        <f>HYPERLINK("https://ceds.ed.gov/elementComment.aspx?elementName=Assessment Form Intended Administration End Date &amp;elementID=18138", "Click here to submit comment")</f>
        <v>Click here to submit comment</v>
      </c>
    </row>
    <row r="137" spans="1:14" ht="89.25" x14ac:dyDescent="0.25">
      <c r="A137" s="12" t="s">
        <v>627</v>
      </c>
      <c r="B137" s="12" t="s">
        <v>628</v>
      </c>
      <c r="C137" s="12" t="s">
        <v>37</v>
      </c>
      <c r="D137" s="12" t="s">
        <v>600</v>
      </c>
      <c r="E137" s="11"/>
      <c r="F137" s="12" t="s">
        <v>149</v>
      </c>
      <c r="G137" s="11"/>
      <c r="H137" s="11"/>
      <c r="I137" s="12" t="s">
        <v>629</v>
      </c>
      <c r="J137" s="11"/>
      <c r="K137" s="12" t="s">
        <v>630</v>
      </c>
      <c r="L137" s="12" t="s">
        <v>631</v>
      </c>
      <c r="M137" s="12" t="str">
        <f>HYPERLINK("https://ceds.ed.gov/cedselementdetails.aspx?termid=17024")</f>
        <v>https://ceds.ed.gov/cedselementdetails.aspx?termid=17024</v>
      </c>
      <c r="N137" s="12" t="str">
        <f>HYPERLINK("https://ceds.ed.gov/elementComment.aspx?elementName=Assessment Form Name &amp;elementID=17024", "Click here to submit comment")</f>
        <v>Click here to submit comment</v>
      </c>
    </row>
    <row r="138" spans="1:14" ht="38.25" x14ac:dyDescent="0.25">
      <c r="A138" s="12" t="s">
        <v>632</v>
      </c>
      <c r="B138" s="12" t="s">
        <v>633</v>
      </c>
      <c r="C138" s="12" t="s">
        <v>37</v>
      </c>
      <c r="D138" s="12" t="s">
        <v>634</v>
      </c>
      <c r="E138" s="11"/>
      <c r="F138" s="12" t="s">
        <v>97</v>
      </c>
      <c r="G138" s="11"/>
      <c r="H138" s="11"/>
      <c r="I138" s="12" t="s">
        <v>635</v>
      </c>
      <c r="J138" s="11"/>
      <c r="K138" s="12" t="s">
        <v>636</v>
      </c>
      <c r="L138" s="12" t="s">
        <v>106</v>
      </c>
      <c r="M138" s="12" t="str">
        <f>HYPERLINK("https://ceds.ed.gov/cedselementdetails.aspx?termid=17365")</f>
        <v>https://ceds.ed.gov/cedselementdetails.aspx?termid=17365</v>
      </c>
      <c r="N138" s="12" t="str">
        <f>HYPERLINK("https://ceds.ed.gov/elementComment.aspx?elementName=Assessment Form Number &amp;elementID=17365", "Click here to submit comment")</f>
        <v>Click here to submit comment</v>
      </c>
    </row>
    <row r="139" spans="1:14" ht="25.5" x14ac:dyDescent="0.25">
      <c r="A139" s="12" t="s">
        <v>637</v>
      </c>
      <c r="B139" s="12" t="s">
        <v>638</v>
      </c>
      <c r="C139" s="12" t="s">
        <v>37</v>
      </c>
      <c r="D139" s="12" t="s">
        <v>600</v>
      </c>
      <c r="E139" s="11"/>
      <c r="F139" s="12" t="s">
        <v>382</v>
      </c>
      <c r="G139" s="11"/>
      <c r="H139" s="11"/>
      <c r="I139" s="12" t="s">
        <v>639</v>
      </c>
      <c r="J139" s="11"/>
      <c r="K139" s="12" t="s">
        <v>640</v>
      </c>
      <c r="L139" s="11"/>
      <c r="M139" s="12" t="str">
        <f>HYPERLINK("https://ceds.ed.gov/cedselementdetails.aspx?termid=18139")</f>
        <v>https://ceds.ed.gov/cedselementdetails.aspx?termid=18139</v>
      </c>
      <c r="N139" s="12" t="str">
        <f>HYPERLINK("https://ceds.ed.gov/elementComment.aspx?elementName=Assessment Form Platforms Supported &amp;elementID=18139", "Click here to submit comment")</f>
        <v>Click here to submit comment</v>
      </c>
    </row>
    <row r="140" spans="1:14" ht="63.75" x14ac:dyDescent="0.25">
      <c r="A140" s="15" t="s">
        <v>641</v>
      </c>
      <c r="B140" s="15" t="s">
        <v>642</v>
      </c>
      <c r="C140" s="15" t="s">
        <v>37</v>
      </c>
      <c r="D140" s="15" t="s">
        <v>643</v>
      </c>
      <c r="E140" s="16"/>
      <c r="F140" s="15" t="s">
        <v>149</v>
      </c>
      <c r="G140" s="16"/>
      <c r="H140" s="12" t="s">
        <v>619</v>
      </c>
      <c r="I140" s="15" t="s">
        <v>644</v>
      </c>
      <c r="J140" s="16"/>
      <c r="K140" s="15" t="s">
        <v>645</v>
      </c>
      <c r="L140" s="16"/>
      <c r="M140" s="15" t="str">
        <f>HYPERLINK("https://ceds.ed.gov/cedselementdetails.aspx?termid=17981")</f>
        <v>https://ceds.ed.gov/cedselementdetails.aspx?termid=17981</v>
      </c>
      <c r="N140" s="15" t="str">
        <f>HYPERLINK("https://ceds.ed.gov/elementComment.aspx?elementName=Assessment Form Section GUID &amp;elementID=17981", "Click here to submit comment")</f>
        <v>Click here to submit comment</v>
      </c>
    </row>
    <row r="141" spans="1:14" x14ac:dyDescent="0.25">
      <c r="A141" s="15"/>
      <c r="B141" s="15"/>
      <c r="C141" s="15"/>
      <c r="D141" s="15"/>
      <c r="E141" s="16"/>
      <c r="F141" s="15"/>
      <c r="G141" s="16"/>
      <c r="H141" s="12"/>
      <c r="I141" s="15"/>
      <c r="J141" s="16"/>
      <c r="K141" s="15"/>
      <c r="L141" s="16"/>
      <c r="M141" s="15"/>
      <c r="N141" s="15"/>
    </row>
    <row r="142" spans="1:14" ht="38.25" x14ac:dyDescent="0.25">
      <c r="A142" s="15"/>
      <c r="B142" s="15"/>
      <c r="C142" s="15"/>
      <c r="D142" s="15"/>
      <c r="E142" s="16"/>
      <c r="F142" s="15"/>
      <c r="G142" s="16"/>
      <c r="H142" s="12" t="s">
        <v>622</v>
      </c>
      <c r="I142" s="15"/>
      <c r="J142" s="16"/>
      <c r="K142" s="15"/>
      <c r="L142" s="16"/>
      <c r="M142" s="15"/>
      <c r="N142" s="15"/>
    </row>
    <row r="143" spans="1:14" ht="76.5" x14ac:dyDescent="0.25">
      <c r="A143" s="15" t="s">
        <v>646</v>
      </c>
      <c r="B143" s="15" t="s">
        <v>647</v>
      </c>
      <c r="C143" s="15" t="s">
        <v>37</v>
      </c>
      <c r="D143" s="15" t="s">
        <v>643</v>
      </c>
      <c r="E143" s="16"/>
      <c r="F143" s="15" t="s">
        <v>149</v>
      </c>
      <c r="G143" s="16"/>
      <c r="H143" s="12" t="s">
        <v>150</v>
      </c>
      <c r="I143" s="15" t="s">
        <v>648</v>
      </c>
      <c r="J143" s="16"/>
      <c r="K143" s="15" t="s">
        <v>649</v>
      </c>
      <c r="L143" s="16"/>
      <c r="M143" s="15" t="str">
        <f>HYPERLINK("https://ceds.ed.gov/cedselementdetails.aspx?termid=18142")</f>
        <v>https://ceds.ed.gov/cedselementdetails.aspx?termid=18142</v>
      </c>
      <c r="N143" s="15" t="str">
        <f>HYPERLINK("https://ceds.ed.gov/elementComment.aspx?elementName=Assessment Form Section Identifier &amp;elementID=18142", "Click here to submit comment")</f>
        <v>Click here to submit comment</v>
      </c>
    </row>
    <row r="144" spans="1:14" x14ac:dyDescent="0.25">
      <c r="A144" s="15"/>
      <c r="B144" s="15"/>
      <c r="C144" s="15"/>
      <c r="D144" s="15"/>
      <c r="E144" s="16"/>
      <c r="F144" s="15"/>
      <c r="G144" s="16"/>
      <c r="H144" s="12"/>
      <c r="I144" s="15"/>
      <c r="J144" s="16"/>
      <c r="K144" s="15"/>
      <c r="L144" s="16"/>
      <c r="M144" s="15"/>
      <c r="N144" s="15"/>
    </row>
    <row r="145" spans="1:14" ht="76.5" x14ac:dyDescent="0.25">
      <c r="A145" s="15"/>
      <c r="B145" s="15"/>
      <c r="C145" s="15"/>
      <c r="D145" s="15"/>
      <c r="E145" s="16"/>
      <c r="F145" s="15"/>
      <c r="G145" s="16"/>
      <c r="H145" s="12" t="s">
        <v>153</v>
      </c>
      <c r="I145" s="15"/>
      <c r="J145" s="16"/>
      <c r="K145" s="15"/>
      <c r="L145" s="16"/>
      <c r="M145" s="15"/>
      <c r="N145" s="15"/>
    </row>
    <row r="146" spans="1:14" ht="38.25" x14ac:dyDescent="0.25">
      <c r="A146" s="12" t="s">
        <v>650</v>
      </c>
      <c r="B146" s="12" t="s">
        <v>651</v>
      </c>
      <c r="C146" s="12" t="s">
        <v>24</v>
      </c>
      <c r="D146" s="12" t="s">
        <v>652</v>
      </c>
      <c r="E146" s="11"/>
      <c r="F146" s="11"/>
      <c r="G146" s="11"/>
      <c r="H146" s="11"/>
      <c r="I146" s="12" t="s">
        <v>653</v>
      </c>
      <c r="J146" s="11"/>
      <c r="K146" s="12" t="s">
        <v>654</v>
      </c>
      <c r="L146" s="11"/>
      <c r="M146" s="12" t="str">
        <f>HYPERLINK("https://ceds.ed.gov/cedselementdetails.aspx?termid=18511")</f>
        <v>https://ceds.ed.gov/cedselementdetails.aspx?termid=18511</v>
      </c>
      <c r="N146" s="12" t="str">
        <f>HYPERLINK("https://ceds.ed.gov/elementComment.aspx?elementName=Assessment Form Section Item Field Test Indicator &amp;elementID=18511", "Click here to submit comment")</f>
        <v>Click here to submit comment</v>
      </c>
    </row>
    <row r="147" spans="1:14" ht="114.75" x14ac:dyDescent="0.25">
      <c r="A147" s="12" t="s">
        <v>655</v>
      </c>
      <c r="B147" s="12" t="s">
        <v>656</v>
      </c>
      <c r="C147" s="12" t="s">
        <v>24</v>
      </c>
      <c r="D147" s="12" t="s">
        <v>643</v>
      </c>
      <c r="E147" s="11"/>
      <c r="F147" s="11"/>
      <c r="G147" s="11"/>
      <c r="H147" s="11"/>
      <c r="I147" s="12" t="s">
        <v>657</v>
      </c>
      <c r="J147" s="11"/>
      <c r="K147" s="12" t="s">
        <v>658</v>
      </c>
      <c r="L147" s="11"/>
      <c r="M147" s="12" t="str">
        <f>HYPERLINK("https://ceds.ed.gov/cedselementdetails.aspx?termid=18145")</f>
        <v>https://ceds.ed.gov/cedselementdetails.aspx?termid=18145</v>
      </c>
      <c r="N147" s="12" t="str">
        <f>HYPERLINK("https://ceds.ed.gov/elementComment.aspx?elementName=Assessment Form Section Reentry &amp;elementID=18145", "Click here to submit comment")</f>
        <v>Click here to submit comment</v>
      </c>
    </row>
    <row r="148" spans="1:14" ht="38.25" x14ac:dyDescent="0.25">
      <c r="A148" s="12" t="s">
        <v>659</v>
      </c>
      <c r="B148" s="12" t="s">
        <v>660</v>
      </c>
      <c r="C148" s="12" t="s">
        <v>24</v>
      </c>
      <c r="D148" s="12" t="s">
        <v>643</v>
      </c>
      <c r="E148" s="11"/>
      <c r="F148" s="11"/>
      <c r="G148" s="11"/>
      <c r="H148" s="11"/>
      <c r="I148" s="12" t="s">
        <v>661</v>
      </c>
      <c r="J148" s="11"/>
      <c r="K148" s="12" t="s">
        <v>662</v>
      </c>
      <c r="L148" s="11"/>
      <c r="M148" s="12" t="str">
        <f>HYPERLINK("https://ceds.ed.gov/cedselementdetails.aspx?termid=18144")</f>
        <v>https://ceds.ed.gov/cedselementdetails.aspx?termid=18144</v>
      </c>
      <c r="N148" s="12" t="str">
        <f>HYPERLINK("https://ceds.ed.gov/elementComment.aspx?elementName=Assessment Form Section Sealed &amp;elementID=18144", "Click here to submit comment")</f>
        <v>Click here to submit comment</v>
      </c>
    </row>
    <row r="149" spans="1:14" ht="38.25" x14ac:dyDescent="0.25">
      <c r="A149" s="12" t="s">
        <v>663</v>
      </c>
      <c r="B149" s="12" t="s">
        <v>664</v>
      </c>
      <c r="C149" s="12" t="s">
        <v>37</v>
      </c>
      <c r="D149" s="12" t="s">
        <v>643</v>
      </c>
      <c r="E149" s="11"/>
      <c r="F149" s="12" t="s">
        <v>165</v>
      </c>
      <c r="G149" s="11"/>
      <c r="H149" s="11"/>
      <c r="I149" s="12" t="s">
        <v>665</v>
      </c>
      <c r="J149" s="11"/>
      <c r="K149" s="12" t="s">
        <v>666</v>
      </c>
      <c r="L149" s="11"/>
      <c r="M149" s="12" t="str">
        <f>HYPERLINK("https://ceds.ed.gov/cedselementdetails.aspx?termid=17980")</f>
        <v>https://ceds.ed.gov/cedselementdetails.aspx?termid=17980</v>
      </c>
      <c r="N149" s="12" t="str">
        <f>HYPERLINK("https://ceds.ed.gov/elementComment.aspx?elementName=Assessment Form Section Sequence Number &amp;elementID=17980", "Click here to submit comment")</f>
        <v>Click here to submit comment</v>
      </c>
    </row>
    <row r="150" spans="1:14" ht="38.25" x14ac:dyDescent="0.25">
      <c r="A150" s="12" t="s">
        <v>667</v>
      </c>
      <c r="B150" s="12" t="s">
        <v>668</v>
      </c>
      <c r="C150" s="12" t="s">
        <v>37</v>
      </c>
      <c r="D150" s="12" t="s">
        <v>643</v>
      </c>
      <c r="E150" s="11"/>
      <c r="F150" s="12" t="s">
        <v>501</v>
      </c>
      <c r="G150" s="11"/>
      <c r="H150" s="11"/>
      <c r="I150" s="12" t="s">
        <v>669</v>
      </c>
      <c r="J150" s="11"/>
      <c r="K150" s="12" t="s">
        <v>670</v>
      </c>
      <c r="L150" s="11"/>
      <c r="M150" s="12" t="str">
        <f>HYPERLINK("https://ceds.ed.gov/cedselementdetails.aspx?termid=18143")</f>
        <v>https://ceds.ed.gov/cedselementdetails.aspx?termid=18143</v>
      </c>
      <c r="N150" s="12" t="str">
        <f>HYPERLINK("https://ceds.ed.gov/elementComment.aspx?elementName=Assessment Form Section Time Limit &amp;elementID=18143", "Click here to submit comment")</f>
        <v>Click here to submit comment</v>
      </c>
    </row>
    <row r="151" spans="1:14" ht="25.5" x14ac:dyDescent="0.25">
      <c r="A151" s="12" t="s">
        <v>671</v>
      </c>
      <c r="B151" s="12" t="s">
        <v>672</v>
      </c>
      <c r="C151" s="12" t="s">
        <v>37</v>
      </c>
      <c r="D151" s="12" t="s">
        <v>643</v>
      </c>
      <c r="E151" s="11"/>
      <c r="F151" s="12" t="s">
        <v>97</v>
      </c>
      <c r="G151" s="11"/>
      <c r="H151" s="11"/>
      <c r="I151" s="12" t="s">
        <v>673</v>
      </c>
      <c r="J151" s="11"/>
      <c r="K151" s="12" t="s">
        <v>674</v>
      </c>
      <c r="L151" s="11"/>
      <c r="M151" s="12" t="str">
        <f>HYPERLINK("https://ceds.ed.gov/cedselementdetails.aspx?termid=18140")</f>
        <v>https://ceds.ed.gov/cedselementdetails.aspx?termid=18140</v>
      </c>
      <c r="N151" s="12" t="str">
        <f>HYPERLINK("https://ceds.ed.gov/elementComment.aspx?elementName=Assessment Form Section Version &amp;elementID=18140", "Click here to submit comment")</f>
        <v>Click here to submit comment</v>
      </c>
    </row>
    <row r="152" spans="1:14" ht="51" x14ac:dyDescent="0.25">
      <c r="A152" s="12" t="s">
        <v>675</v>
      </c>
      <c r="B152" s="12" t="s">
        <v>676</v>
      </c>
      <c r="C152" s="12" t="s">
        <v>24</v>
      </c>
      <c r="D152" s="12" t="s">
        <v>572</v>
      </c>
      <c r="E152" s="11"/>
      <c r="F152" s="11"/>
      <c r="G152" s="11"/>
      <c r="H152" s="11"/>
      <c r="I152" s="12" t="s">
        <v>677</v>
      </c>
      <c r="J152" s="11"/>
      <c r="K152" s="12" t="s">
        <v>678</v>
      </c>
      <c r="L152" s="11"/>
      <c r="M152" s="12" t="str">
        <f>HYPERLINK("https://ceds.ed.gov/cedselementdetails.aspx?termid=18181")</f>
        <v>https://ceds.ed.gov/cedselementdetails.aspx?termid=18181</v>
      </c>
      <c r="N152" s="12" t="str">
        <f>HYPERLINK("https://ceds.ed.gov/elementComment.aspx?elementName=Assessment Form Subtest Container Only &amp;elementID=18181", "Click here to submit comment")</f>
        <v>Click here to submit comment</v>
      </c>
    </row>
    <row r="153" spans="1:14" ht="102" x14ac:dyDescent="0.25">
      <c r="A153" s="12" t="s">
        <v>679</v>
      </c>
      <c r="B153" s="12" t="s">
        <v>680</v>
      </c>
      <c r="C153" s="12" t="s">
        <v>37</v>
      </c>
      <c r="D153" s="12" t="s">
        <v>681</v>
      </c>
      <c r="E153" s="11"/>
      <c r="F153" s="12" t="s">
        <v>165</v>
      </c>
      <c r="G153" s="11"/>
      <c r="H153" s="11"/>
      <c r="I153" s="12" t="s">
        <v>682</v>
      </c>
      <c r="J153" s="11"/>
      <c r="K153" s="12" t="s">
        <v>683</v>
      </c>
      <c r="L153" s="11"/>
      <c r="M153" s="12" t="str">
        <f>HYPERLINK("https://ceds.ed.gov/cedselementdetails.aspx?termid=18013")</f>
        <v>https://ceds.ed.gov/cedselementdetails.aspx?termid=18013</v>
      </c>
      <c r="N153" s="12" t="str">
        <f>HYPERLINK("https://ceds.ed.gov/elementComment.aspx?elementName=Assessment Form Subtest Item Weight Correct &amp;elementID=18013", "Click here to submit comment")</f>
        <v>Click here to submit comment</v>
      </c>
    </row>
    <row r="154" spans="1:14" ht="63.75" x14ac:dyDescent="0.25">
      <c r="A154" s="12" t="s">
        <v>684</v>
      </c>
      <c r="B154" s="12" t="s">
        <v>685</v>
      </c>
      <c r="C154" s="12" t="s">
        <v>37</v>
      </c>
      <c r="D154" s="12" t="s">
        <v>681</v>
      </c>
      <c r="E154" s="11"/>
      <c r="F154" s="12" t="s">
        <v>165</v>
      </c>
      <c r="G154" s="11"/>
      <c r="H154" s="11"/>
      <c r="I154" s="12" t="s">
        <v>686</v>
      </c>
      <c r="J154" s="11"/>
      <c r="K154" s="12" t="s">
        <v>687</v>
      </c>
      <c r="L154" s="11"/>
      <c r="M154" s="12" t="str">
        <f>HYPERLINK("https://ceds.ed.gov/cedselementdetails.aspx?termid=18014")</f>
        <v>https://ceds.ed.gov/cedselementdetails.aspx?termid=18014</v>
      </c>
      <c r="N154" s="12" t="str">
        <f>HYPERLINK("https://ceds.ed.gov/elementComment.aspx?elementName=Assessment Form Subtest Item Weight Incorrect &amp;elementID=18014", "Click here to submit comment")</f>
        <v>Click here to submit comment</v>
      </c>
    </row>
    <row r="155" spans="1:14" ht="76.5" x14ac:dyDescent="0.25">
      <c r="A155" s="12" t="s">
        <v>688</v>
      </c>
      <c r="B155" s="12" t="s">
        <v>689</v>
      </c>
      <c r="C155" s="12" t="s">
        <v>37</v>
      </c>
      <c r="D155" s="12" t="s">
        <v>681</v>
      </c>
      <c r="E155" s="11"/>
      <c r="F155" s="12" t="s">
        <v>165</v>
      </c>
      <c r="G155" s="11"/>
      <c r="H155" s="11"/>
      <c r="I155" s="12" t="s">
        <v>690</v>
      </c>
      <c r="J155" s="11"/>
      <c r="K155" s="12" t="s">
        <v>691</v>
      </c>
      <c r="L155" s="11"/>
      <c r="M155" s="12" t="str">
        <f>HYPERLINK("https://ceds.ed.gov/cedselementdetails.aspx?termid=18015")</f>
        <v>https://ceds.ed.gov/cedselementdetails.aspx?termid=18015</v>
      </c>
      <c r="N155" s="12" t="str">
        <f>HYPERLINK("https://ceds.ed.gov/elementComment.aspx?elementName=Assessment Form Subtest Item Weight Not Attempted &amp;elementID=18015", "Click here to submit comment")</f>
        <v>Click here to submit comment</v>
      </c>
    </row>
    <row r="156" spans="1:14" ht="38.25" x14ac:dyDescent="0.25">
      <c r="A156" s="12" t="s">
        <v>692</v>
      </c>
      <c r="B156" s="12" t="s">
        <v>693</v>
      </c>
      <c r="C156" s="12" t="s">
        <v>37</v>
      </c>
      <c r="D156" s="12" t="s">
        <v>572</v>
      </c>
      <c r="E156" s="11"/>
      <c r="F156" s="12" t="s">
        <v>370</v>
      </c>
      <c r="G156" s="11"/>
      <c r="H156" s="11"/>
      <c r="I156" s="12" t="s">
        <v>694</v>
      </c>
      <c r="J156" s="11"/>
      <c r="K156" s="12" t="s">
        <v>695</v>
      </c>
      <c r="L156" s="11"/>
      <c r="M156" s="12" t="str">
        <f>HYPERLINK("https://ceds.ed.gov/cedselementdetails.aspx?termid=18180")</f>
        <v>https://ceds.ed.gov/cedselementdetails.aspx?termid=18180</v>
      </c>
      <c r="N156" s="12" t="str">
        <f>HYPERLINK("https://ceds.ed.gov/elementComment.aspx?elementName=Assessment Form Subtest Tier &amp;elementID=18180", "Click here to submit comment")</f>
        <v>Click here to submit comment</v>
      </c>
    </row>
    <row r="157" spans="1:14" ht="25.5" x14ac:dyDescent="0.25">
      <c r="A157" s="12" t="s">
        <v>696</v>
      </c>
      <c r="B157" s="12" t="s">
        <v>697</v>
      </c>
      <c r="C157" s="12" t="s">
        <v>37</v>
      </c>
      <c r="D157" s="12" t="s">
        <v>600</v>
      </c>
      <c r="E157" s="11"/>
      <c r="F157" s="12" t="s">
        <v>97</v>
      </c>
      <c r="G157" s="11"/>
      <c r="H157" s="11"/>
      <c r="I157" s="12" t="s">
        <v>698</v>
      </c>
      <c r="J157" s="11"/>
      <c r="K157" s="12" t="s">
        <v>699</v>
      </c>
      <c r="L157" s="11"/>
      <c r="M157" s="12" t="str">
        <f>HYPERLINK("https://ceds.ed.gov/cedselementdetails.aspx?termid=18134")</f>
        <v>https://ceds.ed.gov/cedselementdetails.aspx?termid=18134</v>
      </c>
      <c r="N157" s="12" t="str">
        <f>HYPERLINK("https://ceds.ed.gov/elementComment.aspx?elementName=Assessment Form Version &amp;elementID=18134", "Click here to submit comment")</f>
        <v>Click here to submit comment</v>
      </c>
    </row>
    <row r="158" spans="1:14" ht="63.75" x14ac:dyDescent="0.25">
      <c r="A158" s="15" t="s">
        <v>700</v>
      </c>
      <c r="B158" s="15" t="s">
        <v>701</v>
      </c>
      <c r="C158" s="15" t="s">
        <v>37</v>
      </c>
      <c r="D158" s="15" t="s">
        <v>590</v>
      </c>
      <c r="E158" s="16"/>
      <c r="F158" s="15" t="s">
        <v>149</v>
      </c>
      <c r="G158" s="16"/>
      <c r="H158" s="12" t="s">
        <v>619</v>
      </c>
      <c r="I158" s="15" t="s">
        <v>702</v>
      </c>
      <c r="J158" s="16"/>
      <c r="K158" s="15" t="s">
        <v>703</v>
      </c>
      <c r="L158" s="16"/>
      <c r="M158" s="15" t="str">
        <f>HYPERLINK("https://ceds.ed.gov/cedselementdetails.aspx?termid=17982")</f>
        <v>https://ceds.ed.gov/cedselementdetails.aspx?termid=17982</v>
      </c>
      <c r="N158" s="15" t="str">
        <f>HYPERLINK("https://ceds.ed.gov/elementComment.aspx?elementName=Assessment GUID &amp;elementID=17982", "Click here to submit comment")</f>
        <v>Click here to submit comment</v>
      </c>
    </row>
    <row r="159" spans="1:14" x14ac:dyDescent="0.25">
      <c r="A159" s="15"/>
      <c r="B159" s="15"/>
      <c r="C159" s="15"/>
      <c r="D159" s="15"/>
      <c r="E159" s="16"/>
      <c r="F159" s="15"/>
      <c r="G159" s="16"/>
      <c r="H159" s="12"/>
      <c r="I159" s="15"/>
      <c r="J159" s="16"/>
      <c r="K159" s="15"/>
      <c r="L159" s="16"/>
      <c r="M159" s="15"/>
      <c r="N159" s="15"/>
    </row>
    <row r="160" spans="1:14" ht="38.25" x14ac:dyDescent="0.25">
      <c r="A160" s="15"/>
      <c r="B160" s="15"/>
      <c r="C160" s="15"/>
      <c r="D160" s="15"/>
      <c r="E160" s="16"/>
      <c r="F160" s="15"/>
      <c r="G160" s="16"/>
      <c r="H160" s="12" t="s">
        <v>622</v>
      </c>
      <c r="I160" s="15"/>
      <c r="J160" s="16"/>
      <c r="K160" s="15"/>
      <c r="L160" s="16"/>
      <c r="M160" s="15"/>
      <c r="N160" s="15"/>
    </row>
    <row r="161" spans="1:14" ht="127.5" x14ac:dyDescent="0.25">
      <c r="A161" s="12" t="s">
        <v>704</v>
      </c>
      <c r="B161" s="12" t="s">
        <v>705</v>
      </c>
      <c r="C161" s="13" t="s">
        <v>706</v>
      </c>
      <c r="D161" s="12" t="s">
        <v>707</v>
      </c>
      <c r="E161" s="11"/>
      <c r="F161" s="11"/>
      <c r="G161" s="11"/>
      <c r="H161" s="11"/>
      <c r="I161" s="12" t="s">
        <v>708</v>
      </c>
      <c r="J161" s="11"/>
      <c r="K161" s="12" t="s">
        <v>709</v>
      </c>
      <c r="L161" s="12" t="s">
        <v>710</v>
      </c>
      <c r="M161" s="12" t="str">
        <f>HYPERLINK("https://ceds.ed.gov/cedselementdetails.aspx?termid=17158")</f>
        <v>https://ceds.ed.gov/cedselementdetails.aspx?termid=17158</v>
      </c>
      <c r="N161" s="12" t="str">
        <f>HYPERLINK("https://ceds.ed.gov/elementComment.aspx?elementName=Assessment Identification System &amp;elementID=17158", "Click here to submit comment")</f>
        <v>Click here to submit comment</v>
      </c>
    </row>
    <row r="162" spans="1:14" ht="76.5" x14ac:dyDescent="0.25">
      <c r="A162" s="15" t="s">
        <v>711</v>
      </c>
      <c r="B162" s="15" t="s">
        <v>712</v>
      </c>
      <c r="C162" s="15" t="s">
        <v>37</v>
      </c>
      <c r="D162" s="15" t="s">
        <v>713</v>
      </c>
      <c r="E162" s="16"/>
      <c r="F162" s="15" t="s">
        <v>149</v>
      </c>
      <c r="G162" s="16"/>
      <c r="H162" s="12" t="s">
        <v>150</v>
      </c>
      <c r="I162" s="15" t="s">
        <v>714</v>
      </c>
      <c r="J162" s="16"/>
      <c r="K162" s="15" t="s">
        <v>715</v>
      </c>
      <c r="L162" s="15" t="s">
        <v>716</v>
      </c>
      <c r="M162" s="15" t="str">
        <f>HYPERLINK("https://ceds.ed.gov/cedselementdetails.aspx?termid=17152")</f>
        <v>https://ceds.ed.gov/cedselementdetails.aspx?termid=17152</v>
      </c>
      <c r="N162" s="15" t="str">
        <f>HYPERLINK("https://ceds.ed.gov/elementComment.aspx?elementName=Assessment Identifier &amp;elementID=17152", "Click here to submit comment")</f>
        <v>Click here to submit comment</v>
      </c>
    </row>
    <row r="163" spans="1:14" x14ac:dyDescent="0.25">
      <c r="A163" s="15"/>
      <c r="B163" s="15"/>
      <c r="C163" s="15"/>
      <c r="D163" s="15"/>
      <c r="E163" s="16"/>
      <c r="F163" s="15"/>
      <c r="G163" s="16"/>
      <c r="H163" s="12"/>
      <c r="I163" s="15"/>
      <c r="J163" s="16"/>
      <c r="K163" s="15"/>
      <c r="L163" s="15"/>
      <c r="M163" s="15"/>
      <c r="N163" s="15"/>
    </row>
    <row r="164" spans="1:14" ht="76.5" x14ac:dyDescent="0.25">
      <c r="A164" s="15"/>
      <c r="B164" s="15"/>
      <c r="C164" s="15"/>
      <c r="D164" s="15"/>
      <c r="E164" s="16"/>
      <c r="F164" s="15"/>
      <c r="G164" s="16"/>
      <c r="H164" s="12" t="s">
        <v>153</v>
      </c>
      <c r="I164" s="15"/>
      <c r="J164" s="16"/>
      <c r="K164" s="15"/>
      <c r="L164" s="15"/>
      <c r="M164" s="15"/>
      <c r="N164" s="15"/>
    </row>
    <row r="165" spans="1:14" ht="38.25" x14ac:dyDescent="0.25">
      <c r="A165" s="12" t="s">
        <v>717</v>
      </c>
      <c r="B165" s="12" t="s">
        <v>718</v>
      </c>
      <c r="C165" s="12" t="s">
        <v>24</v>
      </c>
      <c r="D165" s="12" t="s">
        <v>719</v>
      </c>
      <c r="E165" s="11"/>
      <c r="F165" s="11"/>
      <c r="G165" s="11"/>
      <c r="H165" s="11"/>
      <c r="I165" s="12" t="s">
        <v>720</v>
      </c>
      <c r="J165" s="11"/>
      <c r="K165" s="12" t="s">
        <v>721</v>
      </c>
      <c r="L165" s="11"/>
      <c r="M165" s="12" t="str">
        <f>HYPERLINK("https://ceds.ed.gov/cedselementdetails.aspx?termid=18111")</f>
        <v>https://ceds.ed.gov/cedselementdetails.aspx?termid=18111</v>
      </c>
      <c r="N165" s="12" t="str">
        <f>HYPERLINK("https://ceds.ed.gov/elementComment.aspx?elementName=Assessment Item Adaptive Indicator &amp;elementID=18111", "Click here to submit comment")</f>
        <v>Click here to submit comment</v>
      </c>
    </row>
    <row r="166" spans="1:14" ht="25.5" x14ac:dyDescent="0.25">
      <c r="A166" s="12" t="s">
        <v>722</v>
      </c>
      <c r="B166" s="12" t="s">
        <v>723</v>
      </c>
      <c r="C166" s="12" t="s">
        <v>37</v>
      </c>
      <c r="D166" s="12" t="s">
        <v>724</v>
      </c>
      <c r="E166" s="11"/>
      <c r="F166" s="12" t="s">
        <v>501</v>
      </c>
      <c r="G166" s="11"/>
      <c r="H166" s="11"/>
      <c r="I166" s="12" t="s">
        <v>725</v>
      </c>
      <c r="J166" s="11"/>
      <c r="K166" s="12" t="s">
        <v>726</v>
      </c>
      <c r="L166" s="12" t="s">
        <v>727</v>
      </c>
      <c r="M166" s="12" t="str">
        <f>HYPERLINK("https://ceds.ed.gov/cedselementdetails.aspx?termid=17395")</f>
        <v>https://ceds.ed.gov/cedselementdetails.aspx?termid=17395</v>
      </c>
      <c r="N166" s="12" t="str">
        <f>HYPERLINK("https://ceds.ed.gov/elementComment.aspx?elementName=Assessment Item Allotted Time &amp;elementID=17395", "Click here to submit comment")</f>
        <v>Click here to submit comment</v>
      </c>
    </row>
    <row r="167" spans="1:14" ht="140.25" x14ac:dyDescent="0.25">
      <c r="A167" s="12" t="s">
        <v>728</v>
      </c>
      <c r="B167" s="12" t="s">
        <v>729</v>
      </c>
      <c r="C167" s="12" t="s">
        <v>37</v>
      </c>
      <c r="D167" s="12" t="s">
        <v>719</v>
      </c>
      <c r="E167" s="11"/>
      <c r="F167" s="12" t="s">
        <v>382</v>
      </c>
      <c r="G167" s="11"/>
      <c r="H167" s="11"/>
      <c r="I167" s="12" t="s">
        <v>730</v>
      </c>
      <c r="J167" s="11"/>
      <c r="K167" s="12" t="s">
        <v>731</v>
      </c>
      <c r="L167" s="11"/>
      <c r="M167" s="12" t="str">
        <f>HYPERLINK("https://ceds.ed.gov/cedselementdetails.aspx?termid=18110")</f>
        <v>https://ceds.ed.gov/cedselementdetails.aspx?termid=18110</v>
      </c>
      <c r="N167" s="12" t="str">
        <f>HYPERLINK("https://ceds.ed.gov/elementComment.aspx?elementName=Assessment Item APIP Item Body XML &amp;elementID=18110", "Click here to submit comment")</f>
        <v>Click here to submit comment</v>
      </c>
    </row>
    <row r="168" spans="1:14" ht="114.75" x14ac:dyDescent="0.25">
      <c r="A168" s="12" t="s">
        <v>732</v>
      </c>
      <c r="B168" s="12" t="s">
        <v>733</v>
      </c>
      <c r="C168" s="12" t="s">
        <v>37</v>
      </c>
      <c r="D168" s="12" t="s">
        <v>719</v>
      </c>
      <c r="E168" s="11"/>
      <c r="F168" s="12" t="s">
        <v>382</v>
      </c>
      <c r="G168" s="11"/>
      <c r="H168" s="11"/>
      <c r="I168" s="12" t="s">
        <v>734</v>
      </c>
      <c r="J168" s="11"/>
      <c r="K168" s="12" t="s">
        <v>735</v>
      </c>
      <c r="L168" s="11"/>
      <c r="M168" s="12" t="str">
        <f>HYPERLINK("https://ceds.ed.gov/cedselementdetails.aspx?termid=18109")</f>
        <v>https://ceds.ed.gov/cedselementdetails.aspx?termid=18109</v>
      </c>
      <c r="N168" s="12" t="str">
        <f>HYPERLINK("https://ceds.ed.gov/elementComment.aspx?elementName=Assessment Item APIP Modal Feedback XML &amp;elementID=18109", "Click here to submit comment")</f>
        <v>Click here to submit comment</v>
      </c>
    </row>
    <row r="169" spans="1:14" ht="76.5" x14ac:dyDescent="0.25">
      <c r="A169" s="12" t="s">
        <v>736</v>
      </c>
      <c r="B169" s="12" t="s">
        <v>737</v>
      </c>
      <c r="C169" s="12" t="s">
        <v>37</v>
      </c>
      <c r="D169" s="12" t="s">
        <v>719</v>
      </c>
      <c r="E169" s="11"/>
      <c r="F169" s="12" t="s">
        <v>382</v>
      </c>
      <c r="G169" s="11"/>
      <c r="H169" s="11"/>
      <c r="I169" s="12" t="s">
        <v>738</v>
      </c>
      <c r="J169" s="11"/>
      <c r="K169" s="12" t="s">
        <v>739</v>
      </c>
      <c r="L169" s="11"/>
      <c r="M169" s="12" t="str">
        <f>HYPERLINK("https://ceds.ed.gov/cedselementdetails.aspx?termid=18106")</f>
        <v>https://ceds.ed.gov/cedselementdetails.aspx?termid=18106</v>
      </c>
      <c r="N169" s="12" t="str">
        <f>HYPERLINK("https://ceds.ed.gov/elementComment.aspx?elementName=Assessment Item APIP Outcome Declaration XML &amp;elementID=18106", "Click here to submit comment")</f>
        <v>Click here to submit comment</v>
      </c>
    </row>
    <row r="170" spans="1:14" ht="63.75" x14ac:dyDescent="0.25">
      <c r="A170" s="12" t="s">
        <v>740</v>
      </c>
      <c r="B170" s="12" t="s">
        <v>741</v>
      </c>
      <c r="C170" s="12" t="s">
        <v>37</v>
      </c>
      <c r="D170" s="12" t="s">
        <v>719</v>
      </c>
      <c r="E170" s="11"/>
      <c r="F170" s="12" t="s">
        <v>382</v>
      </c>
      <c r="G170" s="11"/>
      <c r="H170" s="11"/>
      <c r="I170" s="12" t="s">
        <v>742</v>
      </c>
      <c r="J170" s="11"/>
      <c r="K170" s="12" t="s">
        <v>743</v>
      </c>
      <c r="L170" s="11"/>
      <c r="M170" s="12" t="str">
        <f>HYPERLINK("https://ceds.ed.gov/cedselementdetails.aspx?termid=18105")</f>
        <v>https://ceds.ed.gov/cedselementdetails.aspx?termid=18105</v>
      </c>
      <c r="N170" s="12" t="str">
        <f>HYPERLINK("https://ceds.ed.gov/elementComment.aspx?elementName=Assessment Item APIP Response Declaration XML &amp;elementID=18105", "Click here to submit comment")</f>
        <v>Click here to submit comment</v>
      </c>
    </row>
    <row r="171" spans="1:14" ht="140.25" x14ac:dyDescent="0.25">
      <c r="A171" s="12" t="s">
        <v>744</v>
      </c>
      <c r="B171" s="12" t="s">
        <v>745</v>
      </c>
      <c r="C171" s="12" t="s">
        <v>37</v>
      </c>
      <c r="D171" s="12" t="s">
        <v>719</v>
      </c>
      <c r="E171" s="11"/>
      <c r="F171" s="12" t="s">
        <v>57</v>
      </c>
      <c r="G171" s="11"/>
      <c r="H171" s="11"/>
      <c r="I171" s="12" t="s">
        <v>746</v>
      </c>
      <c r="J171" s="11"/>
      <c r="K171" s="12" t="s">
        <v>747</v>
      </c>
      <c r="L171" s="11"/>
      <c r="M171" s="12" t="str">
        <f>HYPERLINK("https://ceds.ed.gov/cedselementdetails.aspx?termid=18103")</f>
        <v>https://ceds.ed.gov/cedselementdetails.aspx?termid=18103</v>
      </c>
      <c r="N171" s="12" t="str">
        <f>HYPERLINK("https://ceds.ed.gov/elementComment.aspx?elementName=Assessment Item APIP Response Processing Template URL &amp;elementID=18103", "Click here to submit comment")</f>
        <v>Click here to submit comment</v>
      </c>
    </row>
    <row r="172" spans="1:14" ht="140.25" x14ac:dyDescent="0.25">
      <c r="A172" s="12" t="s">
        <v>748</v>
      </c>
      <c r="B172" s="12" t="s">
        <v>749</v>
      </c>
      <c r="C172" s="12" t="s">
        <v>37</v>
      </c>
      <c r="D172" s="12" t="s">
        <v>719</v>
      </c>
      <c r="E172" s="11"/>
      <c r="F172" s="12" t="s">
        <v>382</v>
      </c>
      <c r="G172" s="11"/>
      <c r="H172" s="11"/>
      <c r="I172" s="12" t="s">
        <v>750</v>
      </c>
      <c r="J172" s="11"/>
      <c r="K172" s="12" t="s">
        <v>751</v>
      </c>
      <c r="L172" s="11"/>
      <c r="M172" s="12" t="str">
        <f>HYPERLINK("https://ceds.ed.gov/cedselementdetails.aspx?termid=18104")</f>
        <v>https://ceds.ed.gov/cedselementdetails.aspx?termid=18104</v>
      </c>
      <c r="N172" s="12" t="str">
        <f>HYPERLINK("https://ceds.ed.gov/elementComment.aspx?elementName=Assessment Item APIP Response Processing XML &amp;elementID=18104", "Click here to submit comment")</f>
        <v>Click here to submit comment</v>
      </c>
    </row>
    <row r="173" spans="1:14" ht="140.25" x14ac:dyDescent="0.25">
      <c r="A173" s="12" t="s">
        <v>752</v>
      </c>
      <c r="B173" s="12" t="s">
        <v>753</v>
      </c>
      <c r="C173" s="12" t="s">
        <v>37</v>
      </c>
      <c r="D173" s="12" t="s">
        <v>719</v>
      </c>
      <c r="E173" s="11"/>
      <c r="F173" s="12" t="s">
        <v>382</v>
      </c>
      <c r="G173" s="11"/>
      <c r="H173" s="11"/>
      <c r="I173" s="12" t="s">
        <v>754</v>
      </c>
      <c r="J173" s="11"/>
      <c r="K173" s="12" t="s">
        <v>755</v>
      </c>
      <c r="L173" s="11"/>
      <c r="M173" s="12" t="str">
        <f>HYPERLINK("https://ceds.ed.gov/cedselementdetails.aspx?termid=18107")</f>
        <v>https://ceds.ed.gov/cedselementdetails.aspx?termid=18107</v>
      </c>
      <c r="N173" s="12" t="str">
        <f>HYPERLINK("https://ceds.ed.gov/elementComment.aspx?elementName=Assessment Item APIP Template Declaration XML &amp;elementID=18107", "Click here to submit comment")</f>
        <v>Click here to submit comment</v>
      </c>
    </row>
    <row r="174" spans="1:14" ht="127.5" x14ac:dyDescent="0.25">
      <c r="A174" s="12" t="s">
        <v>756</v>
      </c>
      <c r="B174" s="12" t="s">
        <v>757</v>
      </c>
      <c r="C174" s="12" t="s">
        <v>37</v>
      </c>
      <c r="D174" s="12" t="s">
        <v>719</v>
      </c>
      <c r="E174" s="11"/>
      <c r="F174" s="12" t="s">
        <v>382</v>
      </c>
      <c r="G174" s="11"/>
      <c r="H174" s="11"/>
      <c r="I174" s="12" t="s">
        <v>758</v>
      </c>
      <c r="J174" s="11"/>
      <c r="K174" s="12" t="s">
        <v>759</v>
      </c>
      <c r="L174" s="11"/>
      <c r="M174" s="12" t="str">
        <f>HYPERLINK("https://ceds.ed.gov/cedselementdetails.aspx?termid=18108")</f>
        <v>https://ceds.ed.gov/cedselementdetails.aspx?termid=18108</v>
      </c>
      <c r="N174" s="12" t="str">
        <f>HYPERLINK("https://ceds.ed.gov/elementComment.aspx?elementName=Assessment Item APIP Template Processing XML &amp;elementID=18108", "Click here to submit comment")</f>
        <v>Click here to submit comment</v>
      </c>
    </row>
    <row r="175" spans="1:14" ht="76.5" x14ac:dyDescent="0.25">
      <c r="A175" s="15" t="s">
        <v>760</v>
      </c>
      <c r="B175" s="15" t="s">
        <v>761</v>
      </c>
      <c r="C175" s="15" t="s">
        <v>37</v>
      </c>
      <c r="D175" s="15" t="s">
        <v>724</v>
      </c>
      <c r="E175" s="16"/>
      <c r="F175" s="15" t="s">
        <v>149</v>
      </c>
      <c r="G175" s="16"/>
      <c r="H175" s="12" t="s">
        <v>150</v>
      </c>
      <c r="I175" s="15" t="s">
        <v>762</v>
      </c>
      <c r="J175" s="16"/>
      <c r="K175" s="15" t="s">
        <v>763</v>
      </c>
      <c r="L175" s="16"/>
      <c r="M175" s="15" t="str">
        <f>HYPERLINK("https://ceds.ed.gov/cedselementdetails.aspx?termid=18132")</f>
        <v>https://ceds.ed.gov/cedselementdetails.aspx?termid=18132</v>
      </c>
      <c r="N175" s="15" t="str">
        <f>HYPERLINK("https://ceds.ed.gov/elementComment.aspx?elementName=Assessment Item Bank Identifier &amp;elementID=18132", "Click here to submit comment")</f>
        <v>Click here to submit comment</v>
      </c>
    </row>
    <row r="176" spans="1:14" x14ac:dyDescent="0.25">
      <c r="A176" s="15"/>
      <c r="B176" s="15"/>
      <c r="C176" s="15"/>
      <c r="D176" s="15"/>
      <c r="E176" s="16"/>
      <c r="F176" s="15"/>
      <c r="G176" s="16"/>
      <c r="H176" s="12"/>
      <c r="I176" s="15"/>
      <c r="J176" s="16"/>
      <c r="K176" s="15"/>
      <c r="L176" s="16"/>
      <c r="M176" s="15"/>
      <c r="N176" s="15"/>
    </row>
    <row r="177" spans="1:14" ht="76.5" x14ac:dyDescent="0.25">
      <c r="A177" s="15"/>
      <c r="B177" s="15"/>
      <c r="C177" s="15"/>
      <c r="D177" s="15"/>
      <c r="E177" s="16"/>
      <c r="F177" s="15"/>
      <c r="G177" s="16"/>
      <c r="H177" s="12" t="s">
        <v>153</v>
      </c>
      <c r="I177" s="15"/>
      <c r="J177" s="16"/>
      <c r="K177" s="15"/>
      <c r="L177" s="16"/>
      <c r="M177" s="15"/>
      <c r="N177" s="15"/>
    </row>
    <row r="178" spans="1:14" ht="25.5" x14ac:dyDescent="0.25">
      <c r="A178" s="12" t="s">
        <v>764</v>
      </c>
      <c r="B178" s="12" t="s">
        <v>765</v>
      </c>
      <c r="C178" s="12" t="s">
        <v>37</v>
      </c>
      <c r="D178" s="12" t="s">
        <v>724</v>
      </c>
      <c r="E178" s="11"/>
      <c r="F178" s="12" t="s">
        <v>175</v>
      </c>
      <c r="G178" s="11"/>
      <c r="H178" s="11"/>
      <c r="I178" s="12" t="s">
        <v>766</v>
      </c>
      <c r="J178" s="11"/>
      <c r="K178" s="12" t="s">
        <v>767</v>
      </c>
      <c r="L178" s="11"/>
      <c r="M178" s="12" t="str">
        <f>HYPERLINK("https://ceds.ed.gov/cedselementdetails.aspx?termid=18133")</f>
        <v>https://ceds.ed.gov/cedselementdetails.aspx?termid=18133</v>
      </c>
      <c r="N178" s="12" t="str">
        <f>HYPERLINK("https://ceds.ed.gov/elementComment.aspx?elementName=Assessment Item Bank Name &amp;elementID=18133", "Click here to submit comment")</f>
        <v>Click here to submit comment</v>
      </c>
    </row>
    <row r="179" spans="1:14" ht="63.75" x14ac:dyDescent="0.25">
      <c r="A179" s="12" t="s">
        <v>768</v>
      </c>
      <c r="B179" s="12" t="s">
        <v>769</v>
      </c>
      <c r="C179" s="12" t="s">
        <v>37</v>
      </c>
      <c r="D179" s="12" t="s">
        <v>454</v>
      </c>
      <c r="E179" s="11"/>
      <c r="F179" s="12" t="s">
        <v>382</v>
      </c>
      <c r="G179" s="11"/>
      <c r="H179" s="11"/>
      <c r="I179" s="12" t="s">
        <v>770</v>
      </c>
      <c r="J179" s="11"/>
      <c r="K179" s="12" t="s">
        <v>771</v>
      </c>
      <c r="L179" s="11"/>
      <c r="M179" s="12" t="str">
        <f>HYPERLINK("https://ceds.ed.gov/cedselementdetails.aspx?termid=18100")</f>
        <v>https://ceds.ed.gov/cedselementdetails.aspx?termid=18100</v>
      </c>
      <c r="N179" s="12" t="str">
        <f>HYPERLINK("https://ceds.ed.gov/elementComment.aspx?elementName=Assessment Item Body Associate Interaction XML &amp;elementID=18100", "Click here to submit comment")</f>
        <v>Click here to submit comment</v>
      </c>
    </row>
    <row r="180" spans="1:14" ht="102" x14ac:dyDescent="0.25">
      <c r="A180" s="12" t="s">
        <v>772</v>
      </c>
      <c r="B180" s="12" t="s">
        <v>773</v>
      </c>
      <c r="C180" s="12" t="s">
        <v>37</v>
      </c>
      <c r="D180" s="12" t="s">
        <v>454</v>
      </c>
      <c r="E180" s="11"/>
      <c r="F180" s="12" t="s">
        <v>382</v>
      </c>
      <c r="G180" s="11"/>
      <c r="H180" s="11"/>
      <c r="I180" s="12" t="s">
        <v>774</v>
      </c>
      <c r="J180" s="11"/>
      <c r="K180" s="12" t="s">
        <v>775</v>
      </c>
      <c r="L180" s="11"/>
      <c r="M180" s="12" t="str">
        <f>HYPERLINK("https://ceds.ed.gov/cedselementdetails.aspx?termid=18090")</f>
        <v>https://ceds.ed.gov/cedselementdetails.aspx?termid=18090</v>
      </c>
      <c r="N180" s="12" t="str">
        <f>HYPERLINK("https://ceds.ed.gov/elementComment.aspx?elementName=Assessment Item Body Choice Interaction XML &amp;elementID=18090", "Click here to submit comment")</f>
        <v>Click here to submit comment</v>
      </c>
    </row>
    <row r="181" spans="1:14" ht="76.5" x14ac:dyDescent="0.25">
      <c r="A181" s="12" t="s">
        <v>776</v>
      </c>
      <c r="B181" s="12" t="s">
        <v>777</v>
      </c>
      <c r="C181" s="12" t="s">
        <v>37</v>
      </c>
      <c r="D181" s="12" t="s">
        <v>778</v>
      </c>
      <c r="E181" s="11"/>
      <c r="F181" s="12" t="s">
        <v>382</v>
      </c>
      <c r="G181" s="11"/>
      <c r="H181" s="11"/>
      <c r="I181" s="12" t="s">
        <v>779</v>
      </c>
      <c r="J181" s="11"/>
      <c r="K181" s="12" t="s">
        <v>780</v>
      </c>
      <c r="L181" s="11"/>
      <c r="M181" s="12" t="str">
        <f>HYPERLINK("https://ceds.ed.gov/cedselementdetails.aspx?termid=18079")</f>
        <v>https://ceds.ed.gov/cedselementdetails.aspx?termid=18079</v>
      </c>
      <c r="N181" s="12" t="str">
        <f>HYPERLINK("https://ceds.ed.gov/elementComment.aspx?elementName=Assessment Item Body Custom Interaction XML &amp;elementID=18079", "Click here to submit comment")</f>
        <v>Click here to submit comment</v>
      </c>
    </row>
    <row r="182" spans="1:14" ht="114.75" x14ac:dyDescent="0.25">
      <c r="A182" s="12" t="s">
        <v>781</v>
      </c>
      <c r="B182" s="12" t="s">
        <v>782</v>
      </c>
      <c r="C182" s="12" t="s">
        <v>37</v>
      </c>
      <c r="D182" s="12" t="s">
        <v>454</v>
      </c>
      <c r="E182" s="11"/>
      <c r="F182" s="12" t="s">
        <v>382</v>
      </c>
      <c r="G182" s="11"/>
      <c r="H182" s="11"/>
      <c r="I182" s="12" t="s">
        <v>783</v>
      </c>
      <c r="J182" s="11"/>
      <c r="K182" s="12" t="s">
        <v>784</v>
      </c>
      <c r="L182" s="11"/>
      <c r="M182" s="12" t="str">
        <f>HYPERLINK("https://ceds.ed.gov/cedselementdetails.aspx?termid=18080")</f>
        <v>https://ceds.ed.gov/cedselementdetails.aspx?termid=18080</v>
      </c>
      <c r="N182" s="12" t="str">
        <f>HYPERLINK("https://ceds.ed.gov/elementComment.aspx?elementName=Assessment Item Body Drawing Interaction XML &amp;elementID=18080", "Click here to submit comment")</f>
        <v>Click here to submit comment</v>
      </c>
    </row>
    <row r="183" spans="1:14" ht="153" x14ac:dyDescent="0.25">
      <c r="A183" s="12" t="s">
        <v>785</v>
      </c>
      <c r="B183" s="12" t="s">
        <v>786</v>
      </c>
      <c r="C183" s="12" t="s">
        <v>37</v>
      </c>
      <c r="D183" s="12" t="s">
        <v>454</v>
      </c>
      <c r="E183" s="11"/>
      <c r="F183" s="12" t="s">
        <v>382</v>
      </c>
      <c r="G183" s="11"/>
      <c r="H183" s="11"/>
      <c r="I183" s="12" t="s">
        <v>787</v>
      </c>
      <c r="J183" s="11"/>
      <c r="K183" s="12" t="s">
        <v>788</v>
      </c>
      <c r="L183" s="11"/>
      <c r="M183" s="12" t="str">
        <f>HYPERLINK("https://ceds.ed.gov/cedselementdetails.aspx?termid=18098")</f>
        <v>https://ceds.ed.gov/cedselementdetails.aspx?termid=18098</v>
      </c>
      <c r="N183" s="12" t="str">
        <f>HYPERLINK("https://ceds.ed.gov/elementComment.aspx?elementName=Assessment Item Body End Attempt Interaction XML &amp;elementID=18098", "Click here to submit comment")</f>
        <v>Click here to submit comment</v>
      </c>
    </row>
    <row r="184" spans="1:14" ht="51" x14ac:dyDescent="0.25">
      <c r="A184" s="12" t="s">
        <v>789</v>
      </c>
      <c r="B184" s="12" t="s">
        <v>790</v>
      </c>
      <c r="C184" s="12" t="s">
        <v>37</v>
      </c>
      <c r="D184" s="12" t="s">
        <v>454</v>
      </c>
      <c r="E184" s="11"/>
      <c r="F184" s="12" t="s">
        <v>382</v>
      </c>
      <c r="G184" s="11"/>
      <c r="H184" s="11"/>
      <c r="I184" s="12" t="s">
        <v>791</v>
      </c>
      <c r="J184" s="11"/>
      <c r="K184" s="12" t="s">
        <v>792</v>
      </c>
      <c r="L184" s="11"/>
      <c r="M184" s="12" t="str">
        <f>HYPERLINK("https://ceds.ed.gov/cedselementdetails.aspx?termid=18097")</f>
        <v>https://ceds.ed.gov/cedselementdetails.aspx?termid=18097</v>
      </c>
      <c r="N184" s="12" t="str">
        <f>HYPERLINK("https://ceds.ed.gov/elementComment.aspx?elementName=Assessment Item Body Extended Text Interaction XML &amp;elementID=18097", "Click here to submit comment")</f>
        <v>Click here to submit comment</v>
      </c>
    </row>
    <row r="185" spans="1:14" ht="89.25" x14ac:dyDescent="0.25">
      <c r="A185" s="12" t="s">
        <v>793</v>
      </c>
      <c r="B185" s="12" t="s">
        <v>794</v>
      </c>
      <c r="C185" s="12" t="s">
        <v>37</v>
      </c>
      <c r="D185" s="12" t="s">
        <v>454</v>
      </c>
      <c r="E185" s="11"/>
      <c r="F185" s="12" t="s">
        <v>382</v>
      </c>
      <c r="G185" s="11"/>
      <c r="H185" s="11"/>
      <c r="I185" s="12" t="s">
        <v>795</v>
      </c>
      <c r="J185" s="11"/>
      <c r="K185" s="12" t="s">
        <v>796</v>
      </c>
      <c r="L185" s="11"/>
      <c r="M185" s="12" t="str">
        <f>HYPERLINK("https://ceds.ed.gov/cedselementdetails.aspx?termid=18081")</f>
        <v>https://ceds.ed.gov/cedselementdetails.aspx?termid=18081</v>
      </c>
      <c r="N185" s="12" t="str">
        <f>HYPERLINK("https://ceds.ed.gov/elementComment.aspx?elementName=Assessment Item Body Gap Match Interaction XML &amp;elementID=18081", "Click here to submit comment")</f>
        <v>Click here to submit comment</v>
      </c>
    </row>
    <row r="186" spans="1:14" ht="318.75" x14ac:dyDescent="0.25">
      <c r="A186" s="12" t="s">
        <v>797</v>
      </c>
      <c r="B186" s="12" t="s">
        <v>798</v>
      </c>
      <c r="C186" s="12" t="s">
        <v>37</v>
      </c>
      <c r="D186" s="12" t="s">
        <v>454</v>
      </c>
      <c r="E186" s="11"/>
      <c r="F186" s="12" t="s">
        <v>382</v>
      </c>
      <c r="G186" s="11"/>
      <c r="H186" s="11"/>
      <c r="I186" s="12" t="s">
        <v>799</v>
      </c>
      <c r="J186" s="11"/>
      <c r="K186" s="12" t="s">
        <v>800</v>
      </c>
      <c r="L186" s="11"/>
      <c r="M186" s="12" t="str">
        <f>HYPERLINK("https://ceds.ed.gov/cedselementdetails.aspx?termid=18083")</f>
        <v>https://ceds.ed.gov/cedselementdetails.aspx?termid=18083</v>
      </c>
      <c r="N186" s="12" t="str">
        <f>HYPERLINK("https://ceds.ed.gov/elementComment.aspx?elementName=Assessment Item Body Graphic Gap Match Interaction XML &amp;elementID=18083", "Click here to submit comment")</f>
        <v>Click here to submit comment</v>
      </c>
    </row>
    <row r="187" spans="1:14" ht="178.5" x14ac:dyDescent="0.25">
      <c r="A187" s="12" t="s">
        <v>801</v>
      </c>
      <c r="B187" s="12" t="s">
        <v>802</v>
      </c>
      <c r="C187" s="12" t="s">
        <v>37</v>
      </c>
      <c r="D187" s="12" t="s">
        <v>454</v>
      </c>
      <c r="E187" s="11"/>
      <c r="F187" s="12" t="s">
        <v>382</v>
      </c>
      <c r="G187" s="11"/>
      <c r="H187" s="11"/>
      <c r="I187" s="12" t="s">
        <v>803</v>
      </c>
      <c r="J187" s="11"/>
      <c r="K187" s="12" t="s">
        <v>804</v>
      </c>
      <c r="L187" s="11"/>
      <c r="M187" s="12" t="str">
        <f>HYPERLINK("https://ceds.ed.gov/cedselementdetails.aspx?termid=18085")</f>
        <v>https://ceds.ed.gov/cedselementdetails.aspx?termid=18085</v>
      </c>
      <c r="N187" s="12" t="str">
        <f>HYPERLINK("https://ceds.ed.gov/elementComment.aspx?elementName=Assessment Item Body Graphic Order Interaction XML &amp;elementID=18085", "Click here to submit comment")</f>
        <v>Click here to submit comment</v>
      </c>
    </row>
    <row r="188" spans="1:14" ht="178.5" x14ac:dyDescent="0.25">
      <c r="A188" s="12" t="s">
        <v>805</v>
      </c>
      <c r="B188" s="12" t="s">
        <v>806</v>
      </c>
      <c r="C188" s="12" t="s">
        <v>37</v>
      </c>
      <c r="D188" s="12" t="s">
        <v>454</v>
      </c>
      <c r="E188" s="11"/>
      <c r="F188" s="12" t="s">
        <v>382</v>
      </c>
      <c r="G188" s="11"/>
      <c r="H188" s="11"/>
      <c r="I188" s="12" t="s">
        <v>807</v>
      </c>
      <c r="J188" s="11"/>
      <c r="K188" s="12" t="s">
        <v>808</v>
      </c>
      <c r="L188" s="11"/>
      <c r="M188" s="12" t="str">
        <f>HYPERLINK("https://ceds.ed.gov/cedselementdetails.aspx?termid=18084")</f>
        <v>https://ceds.ed.gov/cedselementdetails.aspx?termid=18084</v>
      </c>
      <c r="N188" s="12" t="str">
        <f>HYPERLINK("https://ceds.ed.gov/elementComment.aspx?elementName=Assessment Item Body Hot Spot Interaction XML &amp;elementID=18084", "Click here to submit comment")</f>
        <v>Click here to submit comment</v>
      </c>
    </row>
    <row r="189" spans="1:14" ht="165.75" x14ac:dyDescent="0.25">
      <c r="A189" s="12" t="s">
        <v>809</v>
      </c>
      <c r="B189" s="12" t="s">
        <v>810</v>
      </c>
      <c r="C189" s="12" t="s">
        <v>37</v>
      </c>
      <c r="D189" s="12" t="s">
        <v>454</v>
      </c>
      <c r="E189" s="11"/>
      <c r="F189" s="12" t="s">
        <v>382</v>
      </c>
      <c r="G189" s="11"/>
      <c r="H189" s="11"/>
      <c r="I189" s="12" t="s">
        <v>811</v>
      </c>
      <c r="J189" s="11"/>
      <c r="K189" s="12" t="s">
        <v>812</v>
      </c>
      <c r="L189" s="11"/>
      <c r="M189" s="12" t="str">
        <f>HYPERLINK("https://ceds.ed.gov/cedselementdetails.aspx?termid=18093")</f>
        <v>https://ceds.ed.gov/cedselementdetails.aspx?termid=18093</v>
      </c>
      <c r="N189" s="12" t="str">
        <f>HYPERLINK("https://ceds.ed.gov/elementComment.aspx?elementName=Assessment Item Body Hottext Interaction XML &amp;elementID=18093", "Click here to submit comment")</f>
        <v>Click here to submit comment</v>
      </c>
    </row>
    <row r="190" spans="1:14" ht="102" x14ac:dyDescent="0.25">
      <c r="A190" s="12" t="s">
        <v>813</v>
      </c>
      <c r="B190" s="12" t="s">
        <v>814</v>
      </c>
      <c r="C190" s="12" t="s">
        <v>37</v>
      </c>
      <c r="D190" s="12" t="s">
        <v>454</v>
      </c>
      <c r="E190" s="11"/>
      <c r="F190" s="12" t="s">
        <v>382</v>
      </c>
      <c r="G190" s="11"/>
      <c r="H190" s="11"/>
      <c r="I190" s="12" t="s">
        <v>815</v>
      </c>
      <c r="J190" s="11"/>
      <c r="K190" s="12" t="s">
        <v>816</v>
      </c>
      <c r="L190" s="11"/>
      <c r="M190" s="12" t="str">
        <f>HYPERLINK("https://ceds.ed.gov/cedselementdetails.aspx?termid=18091")</f>
        <v>https://ceds.ed.gov/cedselementdetails.aspx?termid=18091</v>
      </c>
      <c r="N190" s="12" t="str">
        <f>HYPERLINK("https://ceds.ed.gov/elementComment.aspx?elementName=Assessment Item Body Inline Choice Interaction XML &amp;elementID=18091", "Click here to submit comment")</f>
        <v>Click here to submit comment</v>
      </c>
    </row>
    <row r="191" spans="1:14" ht="114.75" x14ac:dyDescent="0.25">
      <c r="A191" s="12" t="s">
        <v>817</v>
      </c>
      <c r="B191" s="12" t="s">
        <v>818</v>
      </c>
      <c r="C191" s="12" t="s">
        <v>37</v>
      </c>
      <c r="D191" s="12" t="s">
        <v>454</v>
      </c>
      <c r="E191" s="11"/>
      <c r="F191" s="12" t="s">
        <v>382</v>
      </c>
      <c r="G191" s="11"/>
      <c r="H191" s="11"/>
      <c r="I191" s="12" t="s">
        <v>819</v>
      </c>
      <c r="J191" s="11"/>
      <c r="K191" s="12" t="s">
        <v>820</v>
      </c>
      <c r="L191" s="11"/>
      <c r="M191" s="12" t="str">
        <f>HYPERLINK("https://ceds.ed.gov/cedselementdetails.aspx?termid=18082")</f>
        <v>https://ceds.ed.gov/cedselementdetails.aspx?termid=18082</v>
      </c>
      <c r="N191" s="12" t="str">
        <f>HYPERLINK("https://ceds.ed.gov/elementComment.aspx?elementName=Assessment Item Body Match Interaction XML &amp;elementID=18082", "Click here to submit comment")</f>
        <v>Click here to submit comment</v>
      </c>
    </row>
    <row r="192" spans="1:14" ht="114.75" x14ac:dyDescent="0.25">
      <c r="A192" s="12" t="s">
        <v>821</v>
      </c>
      <c r="B192" s="12" t="s">
        <v>822</v>
      </c>
      <c r="C192" s="12" t="s">
        <v>37</v>
      </c>
      <c r="D192" s="12" t="s">
        <v>454</v>
      </c>
      <c r="E192" s="11"/>
      <c r="F192" s="12" t="s">
        <v>382</v>
      </c>
      <c r="G192" s="11"/>
      <c r="H192" s="11"/>
      <c r="I192" s="12" t="s">
        <v>823</v>
      </c>
      <c r="J192" s="11"/>
      <c r="K192" s="12" t="s">
        <v>824</v>
      </c>
      <c r="L192" s="11"/>
      <c r="M192" s="12" t="str">
        <f>HYPERLINK("https://ceds.ed.gov/cedselementdetails.aspx?termid=18092")</f>
        <v>https://ceds.ed.gov/cedselementdetails.aspx?termid=18092</v>
      </c>
      <c r="N192" s="12" t="str">
        <f>HYPERLINK("https://ceds.ed.gov/elementComment.aspx?elementName=Assessment Item Body Media Interaction XML &amp;elementID=18092", "Click here to submit comment")</f>
        <v>Click here to submit comment</v>
      </c>
    </row>
    <row r="193" spans="1:14" ht="153" x14ac:dyDescent="0.25">
      <c r="A193" s="12" t="s">
        <v>825</v>
      </c>
      <c r="B193" s="12" t="s">
        <v>826</v>
      </c>
      <c r="C193" s="12" t="s">
        <v>37</v>
      </c>
      <c r="D193" s="12" t="s">
        <v>454</v>
      </c>
      <c r="E193" s="11"/>
      <c r="F193" s="12" t="s">
        <v>382</v>
      </c>
      <c r="G193" s="11"/>
      <c r="H193" s="11"/>
      <c r="I193" s="12" t="s">
        <v>827</v>
      </c>
      <c r="J193" s="11"/>
      <c r="K193" s="12" t="s">
        <v>828</v>
      </c>
      <c r="L193" s="11"/>
      <c r="M193" s="12" t="str">
        <f>HYPERLINK("https://ceds.ed.gov/cedselementdetails.aspx?termid=18094")</f>
        <v>https://ceds.ed.gov/cedselementdetails.aspx?termid=18094</v>
      </c>
      <c r="N193" s="12" t="str">
        <f>HYPERLINK("https://ceds.ed.gov/elementComment.aspx?elementName=Assessment Item Body Order Interaction XML &amp;elementID=18094", "Click here to submit comment")</f>
        <v>Click here to submit comment</v>
      </c>
    </row>
    <row r="194" spans="1:14" ht="165.75" x14ac:dyDescent="0.25">
      <c r="A194" s="12" t="s">
        <v>829</v>
      </c>
      <c r="B194" s="12" t="s">
        <v>830</v>
      </c>
      <c r="C194" s="12" t="s">
        <v>37</v>
      </c>
      <c r="D194" s="12" t="s">
        <v>454</v>
      </c>
      <c r="E194" s="11"/>
      <c r="F194" s="12" t="s">
        <v>382</v>
      </c>
      <c r="G194" s="11"/>
      <c r="H194" s="11"/>
      <c r="I194" s="12" t="s">
        <v>831</v>
      </c>
      <c r="J194" s="11"/>
      <c r="K194" s="12" t="s">
        <v>832</v>
      </c>
      <c r="L194" s="11"/>
      <c r="M194" s="12" t="str">
        <f>HYPERLINK("https://ceds.ed.gov/cedselementdetails.aspx?termid=18095")</f>
        <v>https://ceds.ed.gov/cedselementdetails.aspx?termid=18095</v>
      </c>
      <c r="N194" s="12" t="str">
        <f>HYPERLINK("https://ceds.ed.gov/elementComment.aspx?elementName=Assessment Item Body Position Object Interaction XML &amp;elementID=18095", "Click here to submit comment")</f>
        <v>Click here to submit comment</v>
      </c>
    </row>
    <row r="195" spans="1:14" ht="178.5" x14ac:dyDescent="0.25">
      <c r="A195" s="12" t="s">
        <v>833</v>
      </c>
      <c r="B195" s="12" t="s">
        <v>834</v>
      </c>
      <c r="C195" s="12" t="s">
        <v>37</v>
      </c>
      <c r="D195" s="12" t="s">
        <v>454</v>
      </c>
      <c r="E195" s="11"/>
      <c r="F195" s="12" t="s">
        <v>382</v>
      </c>
      <c r="G195" s="11"/>
      <c r="H195" s="11"/>
      <c r="I195" s="12" t="s">
        <v>835</v>
      </c>
      <c r="J195" s="11"/>
      <c r="K195" s="12" t="s">
        <v>836</v>
      </c>
      <c r="L195" s="11"/>
      <c r="M195" s="12" t="str">
        <f>HYPERLINK("https://ceds.ed.gov/cedselementdetails.aspx?termid=18088")</f>
        <v>https://ceds.ed.gov/cedselementdetails.aspx?termid=18088</v>
      </c>
      <c r="N195" s="12" t="str">
        <f>HYPERLINK("https://ceds.ed.gov/elementComment.aspx?elementName=Assessment Item Body Select Point Interaction &amp;elementID=18088", "Click here to submit comment")</f>
        <v>Click here to submit comment</v>
      </c>
    </row>
    <row r="196" spans="1:14" ht="153" x14ac:dyDescent="0.25">
      <c r="A196" s="12" t="s">
        <v>837</v>
      </c>
      <c r="B196" s="12" t="s">
        <v>838</v>
      </c>
      <c r="C196" s="12" t="s">
        <v>37</v>
      </c>
      <c r="D196" s="12" t="s">
        <v>454</v>
      </c>
      <c r="E196" s="11"/>
      <c r="F196" s="12" t="s">
        <v>382</v>
      </c>
      <c r="G196" s="11"/>
      <c r="H196" s="11"/>
      <c r="I196" s="12" t="s">
        <v>839</v>
      </c>
      <c r="J196" s="11"/>
      <c r="K196" s="12" t="s">
        <v>840</v>
      </c>
      <c r="L196" s="11"/>
      <c r="M196" s="12" t="str">
        <f>HYPERLINK("https://ceds.ed.gov/cedselementdetails.aspx?termid=18087")</f>
        <v>https://ceds.ed.gov/cedselementdetails.aspx?termid=18087</v>
      </c>
      <c r="N196" s="12" t="str">
        <f>HYPERLINK("https://ceds.ed.gov/elementComment.aspx?elementName=Assessment Item Body Select Point Interaction XML &amp;elementID=18087", "Click here to submit comment")</f>
        <v>Click here to submit comment</v>
      </c>
    </row>
    <row r="197" spans="1:14" ht="102" x14ac:dyDescent="0.25">
      <c r="A197" s="12" t="s">
        <v>841</v>
      </c>
      <c r="B197" s="12" t="s">
        <v>842</v>
      </c>
      <c r="C197" s="12" t="s">
        <v>37</v>
      </c>
      <c r="D197" s="12" t="s">
        <v>454</v>
      </c>
      <c r="E197" s="11"/>
      <c r="F197" s="12" t="s">
        <v>382</v>
      </c>
      <c r="G197" s="11"/>
      <c r="H197" s="11"/>
      <c r="I197" s="12" t="s">
        <v>843</v>
      </c>
      <c r="J197" s="11"/>
      <c r="K197" s="12" t="s">
        <v>844</v>
      </c>
      <c r="L197" s="11"/>
      <c r="M197" s="12" t="str">
        <f>HYPERLINK("https://ceds.ed.gov/cedselementdetails.aspx?termid=18089")</f>
        <v>https://ceds.ed.gov/cedselementdetails.aspx?termid=18089</v>
      </c>
      <c r="N197" s="12" t="str">
        <f>HYPERLINK("https://ceds.ed.gov/elementComment.aspx?elementName=Assessment Item Body Slider Interaction XML &amp;elementID=18089", "Click here to submit comment")</f>
        <v>Click here to submit comment</v>
      </c>
    </row>
    <row r="198" spans="1:14" ht="51" x14ac:dyDescent="0.25">
      <c r="A198" s="12" t="s">
        <v>845</v>
      </c>
      <c r="B198" s="12" t="s">
        <v>846</v>
      </c>
      <c r="C198" s="12" t="s">
        <v>37</v>
      </c>
      <c r="D198" s="12" t="s">
        <v>724</v>
      </c>
      <c r="E198" s="11"/>
      <c r="F198" s="12" t="s">
        <v>382</v>
      </c>
      <c r="G198" s="11"/>
      <c r="H198" s="11"/>
      <c r="I198" s="12" t="s">
        <v>847</v>
      </c>
      <c r="J198" s="11"/>
      <c r="K198" s="12" t="s">
        <v>848</v>
      </c>
      <c r="L198" s="11"/>
      <c r="M198" s="12" t="str">
        <f>HYPERLINK("https://ceds.ed.gov/cedselementdetails.aspx?termid=18233")</f>
        <v>https://ceds.ed.gov/cedselementdetails.aspx?termid=18233</v>
      </c>
      <c r="N198" s="12" t="str">
        <f>HYPERLINK("https://ceds.ed.gov/elementComment.aspx?elementName=Assessment Item Body Text &amp;elementID=18233", "Click here to submit comment")</f>
        <v>Click here to submit comment</v>
      </c>
    </row>
    <row r="199" spans="1:14" ht="89.25" x14ac:dyDescent="0.25">
      <c r="A199" s="12" t="s">
        <v>849</v>
      </c>
      <c r="B199" s="12" t="s">
        <v>850</v>
      </c>
      <c r="C199" s="12" t="s">
        <v>37</v>
      </c>
      <c r="D199" s="12" t="s">
        <v>454</v>
      </c>
      <c r="E199" s="11"/>
      <c r="F199" s="12" t="s">
        <v>382</v>
      </c>
      <c r="G199" s="11"/>
      <c r="H199" s="11"/>
      <c r="I199" s="12" t="s">
        <v>851</v>
      </c>
      <c r="J199" s="11"/>
      <c r="K199" s="12" t="s">
        <v>852</v>
      </c>
      <c r="L199" s="11"/>
      <c r="M199" s="12" t="str">
        <f>HYPERLINK("https://ceds.ed.gov/cedselementdetails.aspx?termid=18096")</f>
        <v>https://ceds.ed.gov/cedselementdetails.aspx?termid=18096</v>
      </c>
      <c r="N199" s="12" t="str">
        <f>HYPERLINK("https://ceds.ed.gov/elementComment.aspx?elementName=Assessment Item Body Text Entry Interaction XML &amp;elementID=18096", "Click here to submit comment")</f>
        <v>Click here to submit comment</v>
      </c>
    </row>
    <row r="200" spans="1:14" ht="89.25" x14ac:dyDescent="0.25">
      <c r="A200" s="12" t="s">
        <v>853</v>
      </c>
      <c r="B200" s="12" t="s">
        <v>854</v>
      </c>
      <c r="C200" s="12" t="s">
        <v>37</v>
      </c>
      <c r="D200" s="12" t="s">
        <v>454</v>
      </c>
      <c r="E200" s="11"/>
      <c r="F200" s="12" t="s">
        <v>382</v>
      </c>
      <c r="G200" s="11"/>
      <c r="H200" s="11"/>
      <c r="I200" s="12" t="s">
        <v>855</v>
      </c>
      <c r="J200" s="11"/>
      <c r="K200" s="12" t="s">
        <v>856</v>
      </c>
      <c r="L200" s="11"/>
      <c r="M200" s="12" t="str">
        <f>HYPERLINK("https://ceds.ed.gov/cedselementdetails.aspx?termid=18099")</f>
        <v>https://ceds.ed.gov/cedselementdetails.aspx?termid=18099</v>
      </c>
      <c r="N200" s="12" t="str">
        <f>HYPERLINK("https://ceds.ed.gov/elementComment.aspx?elementName=Assessment Item Body Upload Interaction XML &amp;elementID=18099", "Click here to submit comment")</f>
        <v>Click here to submit comment</v>
      </c>
    </row>
    <row r="201" spans="1:14" ht="280.5" x14ac:dyDescent="0.25">
      <c r="A201" s="12" t="s">
        <v>857</v>
      </c>
      <c r="B201" s="12" t="s">
        <v>858</v>
      </c>
      <c r="C201" s="13" t="s">
        <v>859</v>
      </c>
      <c r="D201" s="12" t="s">
        <v>860</v>
      </c>
      <c r="E201" s="11"/>
      <c r="F201" s="11"/>
      <c r="G201" s="11"/>
      <c r="H201" s="11"/>
      <c r="I201" s="12" t="s">
        <v>861</v>
      </c>
      <c r="J201" s="11"/>
      <c r="K201" s="12" t="s">
        <v>862</v>
      </c>
      <c r="L201" s="12" t="s">
        <v>727</v>
      </c>
      <c r="M201" s="12" t="str">
        <f>HYPERLINK("https://ceds.ed.gov/cedselementdetails.aspx?termid=17384")</f>
        <v>https://ceds.ed.gov/cedselementdetails.aspx?termid=17384</v>
      </c>
      <c r="N201" s="12" t="str">
        <f>HYPERLINK("https://ceds.ed.gov/elementComment.aspx?elementName=Assessment Item Characteristic Type &amp;elementID=17384", "Click here to submit comment")</f>
        <v>Click here to submit comment</v>
      </c>
    </row>
    <row r="202" spans="1:14" ht="25.5" x14ac:dyDescent="0.25">
      <c r="A202" s="12" t="s">
        <v>863</v>
      </c>
      <c r="B202" s="12" t="s">
        <v>864</v>
      </c>
      <c r="C202" s="12" t="s">
        <v>37</v>
      </c>
      <c r="D202" s="12" t="s">
        <v>860</v>
      </c>
      <c r="E202" s="11"/>
      <c r="F202" s="12" t="s">
        <v>97</v>
      </c>
      <c r="G202" s="11"/>
      <c r="H202" s="11"/>
      <c r="I202" s="12" t="s">
        <v>865</v>
      </c>
      <c r="J202" s="11"/>
      <c r="K202" s="12" t="s">
        <v>866</v>
      </c>
      <c r="L202" s="11"/>
      <c r="M202" s="12" t="str">
        <f>HYPERLINK("https://ceds.ed.gov/cedselementdetails.aspx?termid=17685")</f>
        <v>https://ceds.ed.gov/cedselementdetails.aspx?termid=17685</v>
      </c>
      <c r="N202" s="12" t="str">
        <f>HYPERLINK("https://ceds.ed.gov/elementComment.aspx?elementName=Assessment Item Characteristic Value &amp;elementID=17685", "Click here to submit comment")</f>
        <v>Click here to submit comment</v>
      </c>
    </row>
    <row r="203" spans="1:14" ht="38.25" x14ac:dyDescent="0.25">
      <c r="A203" s="12" t="s">
        <v>867</v>
      </c>
      <c r="B203" s="12" t="s">
        <v>868</v>
      </c>
      <c r="C203" s="12" t="s">
        <v>37</v>
      </c>
      <c r="D203" s="12" t="s">
        <v>724</v>
      </c>
      <c r="E203" s="11"/>
      <c r="F203" s="12" t="s">
        <v>869</v>
      </c>
      <c r="G203" s="11"/>
      <c r="H203" s="11"/>
      <c r="I203" s="12" t="s">
        <v>870</v>
      </c>
      <c r="J203" s="11"/>
      <c r="K203" s="12" t="s">
        <v>871</v>
      </c>
      <c r="L203" s="12" t="s">
        <v>727</v>
      </c>
      <c r="M203" s="12" t="str">
        <f>HYPERLINK("https://ceds.ed.gov/cedselementdetails.aspx?termid=17383")</f>
        <v>https://ceds.ed.gov/cedselementdetails.aspx?termid=17383</v>
      </c>
      <c r="N203" s="12" t="str">
        <f>HYPERLINK("https://ceds.ed.gov/elementComment.aspx?elementName=Assessment Item Difficulty &amp;elementID=17383", "Click here to submit comment")</f>
        <v>Click here to submit comment</v>
      </c>
    </row>
    <row r="204" spans="1:14" ht="25.5" x14ac:dyDescent="0.25">
      <c r="A204" s="12" t="s">
        <v>872</v>
      </c>
      <c r="B204" s="12" t="s">
        <v>873</v>
      </c>
      <c r="C204" s="12" t="s">
        <v>37</v>
      </c>
      <c r="D204" s="12" t="s">
        <v>724</v>
      </c>
      <c r="E204" s="11"/>
      <c r="F204" s="12" t="s">
        <v>874</v>
      </c>
      <c r="G204" s="11"/>
      <c r="H204" s="11"/>
      <c r="I204" s="12" t="s">
        <v>875</v>
      </c>
      <c r="J204" s="11"/>
      <c r="K204" s="12" t="s">
        <v>876</v>
      </c>
      <c r="L204" s="12" t="s">
        <v>727</v>
      </c>
      <c r="M204" s="12" t="str">
        <f>HYPERLINK("https://ceds.ed.gov/cedselementdetails.aspx?termid=17390")</f>
        <v>https://ceds.ed.gov/cedselementdetails.aspx?termid=17390</v>
      </c>
      <c r="N204" s="12" t="str">
        <f>HYPERLINK("https://ceds.ed.gov/elementComment.aspx?elementName=Assessment Item Distractor Analysis &amp;elementID=17390", "Click here to submit comment")</f>
        <v>Click here to submit comment</v>
      </c>
    </row>
    <row r="205" spans="1:14" ht="76.5" x14ac:dyDescent="0.25">
      <c r="A205" s="15" t="s">
        <v>877</v>
      </c>
      <c r="B205" s="15" t="s">
        <v>878</v>
      </c>
      <c r="C205" s="15" t="s">
        <v>37</v>
      </c>
      <c r="D205" s="15" t="s">
        <v>724</v>
      </c>
      <c r="E205" s="16"/>
      <c r="F205" s="15" t="s">
        <v>149</v>
      </c>
      <c r="G205" s="16"/>
      <c r="H205" s="12" t="s">
        <v>150</v>
      </c>
      <c r="I205" s="15" t="s">
        <v>879</v>
      </c>
      <c r="J205" s="16"/>
      <c r="K205" s="15" t="s">
        <v>880</v>
      </c>
      <c r="L205" s="15" t="s">
        <v>727</v>
      </c>
      <c r="M205" s="15" t="str">
        <f>HYPERLINK("https://ceds.ed.gov/cedselementdetails.aspx?termid=17623")</f>
        <v>https://ceds.ed.gov/cedselementdetails.aspx?termid=17623</v>
      </c>
      <c r="N205" s="15" t="str">
        <f>HYPERLINK("https://ceds.ed.gov/elementComment.aspx?elementName=Assessment Item Identifier &amp;elementID=17623", "Click here to submit comment")</f>
        <v>Click here to submit comment</v>
      </c>
    </row>
    <row r="206" spans="1:14" x14ac:dyDescent="0.25">
      <c r="A206" s="15"/>
      <c r="B206" s="15"/>
      <c r="C206" s="15"/>
      <c r="D206" s="15"/>
      <c r="E206" s="16"/>
      <c r="F206" s="15"/>
      <c r="G206" s="16"/>
      <c r="H206" s="12"/>
      <c r="I206" s="15"/>
      <c r="J206" s="16"/>
      <c r="K206" s="15"/>
      <c r="L206" s="15"/>
      <c r="M206" s="15"/>
      <c r="N206" s="15"/>
    </row>
    <row r="207" spans="1:14" ht="76.5" x14ac:dyDescent="0.25">
      <c r="A207" s="15"/>
      <c r="B207" s="15"/>
      <c r="C207" s="15"/>
      <c r="D207" s="15"/>
      <c r="E207" s="16"/>
      <c r="F207" s="15"/>
      <c r="G207" s="16"/>
      <c r="H207" s="12" t="s">
        <v>153</v>
      </c>
      <c r="I207" s="15"/>
      <c r="J207" s="16"/>
      <c r="K207" s="15"/>
      <c r="L207" s="15"/>
      <c r="M207" s="15"/>
      <c r="N207" s="15"/>
    </row>
    <row r="208" spans="1:14" ht="357" x14ac:dyDescent="0.25">
      <c r="A208" s="12" t="s">
        <v>881</v>
      </c>
      <c r="B208" s="12" t="s">
        <v>882</v>
      </c>
      <c r="C208" s="13" t="s">
        <v>883</v>
      </c>
      <c r="D208" s="12" t="s">
        <v>454</v>
      </c>
      <c r="E208" s="11"/>
      <c r="F208" s="11"/>
      <c r="G208" s="11"/>
      <c r="H208" s="11"/>
      <c r="I208" s="12" t="s">
        <v>884</v>
      </c>
      <c r="J208" s="11"/>
      <c r="K208" s="12" t="s">
        <v>885</v>
      </c>
      <c r="L208" s="11"/>
      <c r="M208" s="12" t="str">
        <f>HYPERLINK("https://ceds.ed.gov/cedselementdetails.aspx?termid=18117")</f>
        <v>https://ceds.ed.gov/cedselementdetails.aspx?termid=18117</v>
      </c>
      <c r="N208" s="12" t="str">
        <f>HYPERLINK("https://ceds.ed.gov/elementComment.aspx?elementName=Assessment Item Interaction Type &amp;elementID=18117", "Click here to submit comment")</f>
        <v>Click here to submit comment</v>
      </c>
    </row>
    <row r="209" spans="1:14" ht="51" x14ac:dyDescent="0.25">
      <c r="A209" s="12" t="s">
        <v>886</v>
      </c>
      <c r="B209" s="12" t="s">
        <v>887</v>
      </c>
      <c r="C209" s="12" t="s">
        <v>24</v>
      </c>
      <c r="D209" s="12" t="s">
        <v>724</v>
      </c>
      <c r="E209" s="11"/>
      <c r="F209" s="11"/>
      <c r="G209" s="11"/>
      <c r="H209" s="11"/>
      <c r="I209" s="12" t="s">
        <v>888</v>
      </c>
      <c r="J209" s="11"/>
      <c r="K209" s="12" t="s">
        <v>889</v>
      </c>
      <c r="L209" s="11"/>
      <c r="M209" s="12" t="str">
        <f>HYPERLINK("https://ceds.ed.gov/cedselementdetails.aspx?termid=18227")</f>
        <v>https://ceds.ed.gov/cedselementdetails.aspx?termid=18227</v>
      </c>
      <c r="N209" s="12" t="str">
        <f>HYPERLINK("https://ceds.ed.gov/elementComment.aspx?elementName=Assessment Item Linking Item Indicator &amp;elementID=18227", "Click here to submit comment")</f>
        <v>Click here to submit comment</v>
      </c>
    </row>
    <row r="210" spans="1:14" ht="25.5" x14ac:dyDescent="0.25">
      <c r="A210" s="12" t="s">
        <v>890</v>
      </c>
      <c r="B210" s="12" t="s">
        <v>891</v>
      </c>
      <c r="C210" s="12" t="s">
        <v>37</v>
      </c>
      <c r="D210" s="12" t="s">
        <v>724</v>
      </c>
      <c r="E210" s="11"/>
      <c r="F210" s="12" t="s">
        <v>165</v>
      </c>
      <c r="G210" s="11"/>
      <c r="H210" s="11"/>
      <c r="I210" s="12" t="s">
        <v>892</v>
      </c>
      <c r="J210" s="11"/>
      <c r="K210" s="12" t="s">
        <v>893</v>
      </c>
      <c r="L210" s="11"/>
      <c r="M210" s="12" t="str">
        <f>HYPERLINK("https://ceds.ed.gov/cedselementdetails.aspx?termid=17683")</f>
        <v>https://ceds.ed.gov/cedselementdetails.aspx?termid=17683</v>
      </c>
      <c r="N210" s="12" t="str">
        <f>HYPERLINK("https://ceds.ed.gov/elementComment.aspx?elementName=Assessment Item Maximum Score &amp;elementID=17683", "Click here to submit comment")</f>
        <v>Click here to submit comment</v>
      </c>
    </row>
    <row r="211" spans="1:14" ht="25.5" x14ac:dyDescent="0.25">
      <c r="A211" s="12" t="s">
        <v>894</v>
      </c>
      <c r="B211" s="12" t="s">
        <v>895</v>
      </c>
      <c r="C211" s="12" t="s">
        <v>37</v>
      </c>
      <c r="D211" s="12" t="s">
        <v>724</v>
      </c>
      <c r="E211" s="11"/>
      <c r="F211" s="12" t="s">
        <v>165</v>
      </c>
      <c r="G211" s="11"/>
      <c r="H211" s="11"/>
      <c r="I211" s="12" t="s">
        <v>896</v>
      </c>
      <c r="J211" s="11"/>
      <c r="K211" s="12" t="s">
        <v>897</v>
      </c>
      <c r="L211" s="11"/>
      <c r="M211" s="12" t="str">
        <f>HYPERLINK("https://ceds.ed.gov/cedselementdetails.aspx?termid=17684")</f>
        <v>https://ceds.ed.gov/cedselementdetails.aspx?termid=17684</v>
      </c>
      <c r="N211" s="12" t="str">
        <f>HYPERLINK("https://ceds.ed.gov/elementComment.aspx?elementName=Assessment Item Minimum Score &amp;elementID=17684", "Click here to submit comment")</f>
        <v>Click here to submit comment</v>
      </c>
    </row>
    <row r="212" spans="1:14" ht="38.25" x14ac:dyDescent="0.25">
      <c r="A212" s="12" t="s">
        <v>898</v>
      </c>
      <c r="B212" s="12" t="s">
        <v>899</v>
      </c>
      <c r="C212" s="12" t="s">
        <v>24</v>
      </c>
      <c r="D212" s="12" t="s">
        <v>900</v>
      </c>
      <c r="E212" s="11"/>
      <c r="F212" s="11"/>
      <c r="G212" s="11"/>
      <c r="H212" s="11"/>
      <c r="I212" s="12" t="s">
        <v>901</v>
      </c>
      <c r="J212" s="11"/>
      <c r="K212" s="12" t="s">
        <v>902</v>
      </c>
      <c r="L212" s="11"/>
      <c r="M212" s="12" t="str">
        <f>HYPERLINK("https://ceds.ed.gov/cedselementdetails.aspx?termid=18183")</f>
        <v>https://ceds.ed.gov/cedselementdetails.aspx?termid=18183</v>
      </c>
      <c r="N212" s="12" t="str">
        <f>HYPERLINK("https://ceds.ed.gov/elementComment.aspx?elementName=Assessment Item Possible Response Correct Indicator &amp;elementID=18183", "Click here to submit comment")</f>
        <v>Click here to submit comment</v>
      </c>
    </row>
    <row r="213" spans="1:14" ht="89.25" x14ac:dyDescent="0.25">
      <c r="A213" s="12" t="s">
        <v>903</v>
      </c>
      <c r="B213" s="12" t="s">
        <v>904</v>
      </c>
      <c r="C213" s="12" t="s">
        <v>37</v>
      </c>
      <c r="D213" s="12" t="s">
        <v>900</v>
      </c>
      <c r="E213" s="11"/>
      <c r="F213" s="12" t="s">
        <v>129</v>
      </c>
      <c r="G213" s="11"/>
      <c r="H213" s="12" t="s">
        <v>905</v>
      </c>
      <c r="I213" s="12" t="s">
        <v>906</v>
      </c>
      <c r="J213" s="11"/>
      <c r="K213" s="12" t="s">
        <v>907</v>
      </c>
      <c r="L213" s="12" t="s">
        <v>908</v>
      </c>
      <c r="M213" s="12" t="str">
        <f>HYPERLINK("https://ceds.ed.gov/cedselementdetails.aspx?termid=17904")</f>
        <v>https://ceds.ed.gov/cedselementdetails.aspx?termid=17904</v>
      </c>
      <c r="N213" s="12" t="str">
        <f>HYPERLINK("https://ceds.ed.gov/elementComment.aspx?elementName=Assessment Item Possible Response Feedback Message &amp;elementID=17904", "Click here to submit comment")</f>
        <v>Click here to submit comment</v>
      </c>
    </row>
    <row r="214" spans="1:14" ht="38.25" x14ac:dyDescent="0.25">
      <c r="A214" s="12" t="s">
        <v>909</v>
      </c>
      <c r="B214" s="12" t="s">
        <v>910</v>
      </c>
      <c r="C214" s="12" t="s">
        <v>37</v>
      </c>
      <c r="D214" s="12" t="s">
        <v>900</v>
      </c>
      <c r="E214" s="11"/>
      <c r="F214" s="12" t="s">
        <v>382</v>
      </c>
      <c r="G214" s="11"/>
      <c r="H214" s="11"/>
      <c r="I214" s="12" t="s">
        <v>911</v>
      </c>
      <c r="J214" s="11"/>
      <c r="K214" s="12" t="s">
        <v>912</v>
      </c>
      <c r="L214" s="11"/>
      <c r="M214" s="12" t="str">
        <f>HYPERLINK("https://ceds.ed.gov/cedselementdetails.aspx?termid=18235")</f>
        <v>https://ceds.ed.gov/cedselementdetails.aspx?termid=18235</v>
      </c>
      <c r="N214" s="12" t="str">
        <f>HYPERLINK("https://ceds.ed.gov/elementComment.aspx?elementName=Assessment Item Possible Response Option &amp;elementID=18235", "Click here to submit comment")</f>
        <v>Click here to submit comment</v>
      </c>
    </row>
    <row r="215" spans="1:14" ht="38.25" x14ac:dyDescent="0.25">
      <c r="A215" s="12" t="s">
        <v>913</v>
      </c>
      <c r="B215" s="12" t="s">
        <v>914</v>
      </c>
      <c r="C215" s="12" t="s">
        <v>37</v>
      </c>
      <c r="D215" s="12" t="s">
        <v>900</v>
      </c>
      <c r="E215" s="11"/>
      <c r="F215" s="12" t="s">
        <v>370</v>
      </c>
      <c r="G215" s="11"/>
      <c r="H215" s="11"/>
      <c r="I215" s="12" t="s">
        <v>915</v>
      </c>
      <c r="J215" s="11"/>
      <c r="K215" s="12" t="s">
        <v>916</v>
      </c>
      <c r="L215" s="11"/>
      <c r="M215" s="12" t="str">
        <f>HYPERLINK("https://ceds.ed.gov/cedselementdetails.aspx?termid=17905")</f>
        <v>https://ceds.ed.gov/cedselementdetails.aspx?termid=17905</v>
      </c>
      <c r="N215" s="12" t="str">
        <f>HYPERLINK("https://ceds.ed.gov/elementComment.aspx?elementName=Assessment Item Possible Response Sequence Number &amp;elementID=17905", "Click here to submit comment")</f>
        <v>Click here to submit comment</v>
      </c>
    </row>
    <row r="216" spans="1:14" ht="38.25" x14ac:dyDescent="0.25">
      <c r="A216" s="12" t="s">
        <v>917</v>
      </c>
      <c r="B216" s="12" t="s">
        <v>918</v>
      </c>
      <c r="C216" s="12" t="s">
        <v>37</v>
      </c>
      <c r="D216" s="12" t="s">
        <v>900</v>
      </c>
      <c r="E216" s="11"/>
      <c r="F216" s="12" t="s">
        <v>129</v>
      </c>
      <c r="G216" s="11"/>
      <c r="H216" s="11"/>
      <c r="I216" s="12" t="s">
        <v>919</v>
      </c>
      <c r="J216" s="11"/>
      <c r="K216" s="12" t="s">
        <v>920</v>
      </c>
      <c r="L216" s="11"/>
      <c r="M216" s="12" t="str">
        <f>HYPERLINK("https://ceds.ed.gov/cedselementdetails.aspx?termid=17908")</f>
        <v>https://ceds.ed.gov/cedselementdetails.aspx?termid=17908</v>
      </c>
      <c r="N216" s="12" t="str">
        <f>HYPERLINK("https://ceds.ed.gov/elementComment.aspx?elementName=Assessment Item Possible Response Value &amp;elementID=17908", "Click here to submit comment")</f>
        <v>Click here to submit comment</v>
      </c>
    </row>
    <row r="217" spans="1:14" ht="38.25" x14ac:dyDescent="0.25">
      <c r="A217" s="12" t="s">
        <v>921</v>
      </c>
      <c r="B217" s="12" t="s">
        <v>922</v>
      </c>
      <c r="C217" s="12" t="s">
        <v>24</v>
      </c>
      <c r="D217" s="12" t="s">
        <v>724</v>
      </c>
      <c r="E217" s="11"/>
      <c r="F217" s="11"/>
      <c r="G217" s="11"/>
      <c r="H217" s="11"/>
      <c r="I217" s="12" t="s">
        <v>923</v>
      </c>
      <c r="J217" s="11"/>
      <c r="K217" s="12" t="s">
        <v>924</v>
      </c>
      <c r="L217" s="11"/>
      <c r="M217" s="12" t="str">
        <f>HYPERLINK("https://ceds.ed.gov/cedselementdetails.aspx?termid=18229")</f>
        <v>https://ceds.ed.gov/cedselementdetails.aspx?termid=18229</v>
      </c>
      <c r="N217" s="12" t="str">
        <f>HYPERLINK("https://ceds.ed.gov/elementComment.aspx?elementName=Assessment Item Release Status &amp;elementID=18229", "Click here to submit comment")</f>
        <v>Click here to submit comment</v>
      </c>
    </row>
    <row r="218" spans="1:14" ht="38.25" x14ac:dyDescent="0.25">
      <c r="A218" s="12" t="s">
        <v>925</v>
      </c>
      <c r="B218" s="12" t="s">
        <v>926</v>
      </c>
      <c r="C218" s="12" t="s">
        <v>37</v>
      </c>
      <c r="D218" s="12" t="s">
        <v>927</v>
      </c>
      <c r="E218" s="11"/>
      <c r="F218" s="12" t="s">
        <v>97</v>
      </c>
      <c r="G218" s="11"/>
      <c r="H218" s="12" t="s">
        <v>928</v>
      </c>
      <c r="I218" s="12" t="s">
        <v>929</v>
      </c>
      <c r="J218" s="11"/>
      <c r="K218" s="12" t="s">
        <v>930</v>
      </c>
      <c r="L218" s="12" t="s">
        <v>727</v>
      </c>
      <c r="M218" s="12" t="str">
        <f>HYPERLINK("https://ceds.ed.gov/cedselementdetails.aspx?termid=17397")</f>
        <v>https://ceds.ed.gov/cedselementdetails.aspx?termid=17397</v>
      </c>
      <c r="N218" s="12" t="str">
        <f>HYPERLINK("https://ceds.ed.gov/elementComment.aspx?elementName=Assessment Item Response Aid Set Used &amp;elementID=17397", "Click here to submit comment")</f>
        <v>Click here to submit comment</v>
      </c>
    </row>
    <row r="219" spans="1:14" ht="25.5" x14ac:dyDescent="0.25">
      <c r="A219" s="12" t="s">
        <v>931</v>
      </c>
      <c r="B219" s="12" t="s">
        <v>932</v>
      </c>
      <c r="C219" s="12" t="s">
        <v>37</v>
      </c>
      <c r="D219" s="12" t="s">
        <v>927</v>
      </c>
      <c r="E219" s="11"/>
      <c r="F219" s="12" t="s">
        <v>874</v>
      </c>
      <c r="G219" s="11"/>
      <c r="H219" s="11"/>
      <c r="I219" s="12" t="s">
        <v>933</v>
      </c>
      <c r="J219" s="11"/>
      <c r="K219" s="12" t="s">
        <v>934</v>
      </c>
      <c r="L219" s="12" t="s">
        <v>727</v>
      </c>
      <c r="M219" s="12" t="str">
        <f>HYPERLINK("https://ceds.ed.gov/cedselementdetails.aspx?termid=17385")</f>
        <v>https://ceds.ed.gov/cedselementdetails.aspx?termid=17385</v>
      </c>
      <c r="N219" s="12" t="str">
        <f>HYPERLINK("https://ceds.ed.gov/elementComment.aspx?elementName=Assessment Item Response Choice Pattern &amp;elementID=17385", "Click here to submit comment")</f>
        <v>Click here to submit comment</v>
      </c>
    </row>
    <row r="220" spans="1:14" ht="38.25" x14ac:dyDescent="0.25">
      <c r="A220" s="12" t="s">
        <v>935</v>
      </c>
      <c r="B220" s="12" t="s">
        <v>936</v>
      </c>
      <c r="C220" s="12" t="s">
        <v>37</v>
      </c>
      <c r="D220" s="12" t="s">
        <v>927</v>
      </c>
      <c r="E220" s="11"/>
      <c r="F220" s="12" t="s">
        <v>129</v>
      </c>
      <c r="G220" s="11"/>
      <c r="H220" s="11"/>
      <c r="I220" s="12" t="s">
        <v>937</v>
      </c>
      <c r="J220" s="11"/>
      <c r="K220" s="12" t="s">
        <v>938</v>
      </c>
      <c r="L220" s="12" t="s">
        <v>908</v>
      </c>
      <c r="M220" s="12" t="str">
        <f>HYPERLINK("https://ceds.ed.gov/cedselementdetails.aspx?termid=17891")</f>
        <v>https://ceds.ed.gov/cedselementdetails.aspx?termid=17891</v>
      </c>
      <c r="N220" s="12" t="str">
        <f>HYPERLINK("https://ceds.ed.gov/elementComment.aspx?elementName=Assessment Item Response Descriptive Feedback &amp;elementID=17891", "Click here to submit comment")</f>
        <v>Click here to submit comment</v>
      </c>
    </row>
    <row r="221" spans="1:14" ht="38.25" x14ac:dyDescent="0.25">
      <c r="A221" s="12" t="s">
        <v>939</v>
      </c>
      <c r="B221" s="12" t="s">
        <v>940</v>
      </c>
      <c r="C221" s="12" t="s">
        <v>37</v>
      </c>
      <c r="D221" s="12" t="s">
        <v>927</v>
      </c>
      <c r="E221" s="11"/>
      <c r="F221" s="12" t="s">
        <v>941</v>
      </c>
      <c r="G221" s="11"/>
      <c r="H221" s="11"/>
      <c r="I221" s="12" t="s">
        <v>942</v>
      </c>
      <c r="J221" s="11"/>
      <c r="K221" s="12" t="s">
        <v>943</v>
      </c>
      <c r="L221" s="11"/>
      <c r="M221" s="12" t="str">
        <f>HYPERLINK("https://ceds.ed.gov/cedselementdetails.aspx?termid=18512")</f>
        <v>https://ceds.ed.gov/cedselementdetails.aspx?termid=18512</v>
      </c>
      <c r="N221" s="12" t="str">
        <f>HYPERLINK("https://ceds.ed.gov/elementComment.aspx?elementName=Assessment Item Response Descriptive Feedback Date &amp;elementID=18512", "Click here to submit comment")</f>
        <v>Click here to submit comment</v>
      </c>
    </row>
    <row r="222" spans="1:14" ht="38.25" x14ac:dyDescent="0.25">
      <c r="A222" s="12" t="s">
        <v>944</v>
      </c>
      <c r="B222" s="12" t="s">
        <v>945</v>
      </c>
      <c r="C222" s="12" t="s">
        <v>37</v>
      </c>
      <c r="D222" s="12" t="s">
        <v>927</v>
      </c>
      <c r="E222" s="11"/>
      <c r="F222" s="12" t="s">
        <v>946</v>
      </c>
      <c r="G222" s="11"/>
      <c r="H222" s="11"/>
      <c r="I222" s="12" t="s">
        <v>947</v>
      </c>
      <c r="J222" s="11"/>
      <c r="K222" s="12" t="s">
        <v>948</v>
      </c>
      <c r="L222" s="12" t="s">
        <v>727</v>
      </c>
      <c r="M222" s="12" t="str">
        <f>HYPERLINK("https://ceds.ed.gov/cedselementdetails.aspx?termid=17394")</f>
        <v>https://ceds.ed.gov/cedselementdetails.aspx?termid=17394</v>
      </c>
      <c r="N222" s="12" t="str">
        <f>HYPERLINK("https://ceds.ed.gov/elementComment.aspx?elementName=Assessment Item Response Duration &amp;elementID=17394", "Click here to submit comment")</f>
        <v>Click here to submit comment</v>
      </c>
    </row>
    <row r="223" spans="1:14" ht="76.5" x14ac:dyDescent="0.25">
      <c r="A223" s="12" t="s">
        <v>949</v>
      </c>
      <c r="B223" s="12" t="s">
        <v>950</v>
      </c>
      <c r="C223" s="12" t="s">
        <v>37</v>
      </c>
      <c r="D223" s="12" t="s">
        <v>927</v>
      </c>
      <c r="E223" s="11"/>
      <c r="F223" s="12" t="s">
        <v>946</v>
      </c>
      <c r="G223" s="11"/>
      <c r="H223" s="12" t="s">
        <v>951</v>
      </c>
      <c r="I223" s="12" t="s">
        <v>952</v>
      </c>
      <c r="J223" s="11"/>
      <c r="K223" s="12" t="s">
        <v>953</v>
      </c>
      <c r="L223" s="11"/>
      <c r="M223" s="12" t="str">
        <f>HYPERLINK("https://ceds.ed.gov/cedselementdetails.aspx?termid=17958")</f>
        <v>https://ceds.ed.gov/cedselementdetails.aspx?termid=17958</v>
      </c>
      <c r="N223" s="12" t="str">
        <f>HYPERLINK("https://ceds.ed.gov/elementComment.aspx?elementName=Assessment Item Response First Attempt Duration &amp;elementID=17958", "Click here to submit comment")</f>
        <v>Click here to submit comment</v>
      </c>
    </row>
    <row r="224" spans="1:14" ht="102" x14ac:dyDescent="0.25">
      <c r="A224" s="12" t="s">
        <v>954</v>
      </c>
      <c r="B224" s="12" t="s">
        <v>955</v>
      </c>
      <c r="C224" s="12" t="s">
        <v>37</v>
      </c>
      <c r="D224" s="12" t="s">
        <v>927</v>
      </c>
      <c r="E224" s="11"/>
      <c r="F224" s="12" t="s">
        <v>370</v>
      </c>
      <c r="G224" s="11"/>
      <c r="H224" s="11"/>
      <c r="I224" s="12" t="s">
        <v>956</v>
      </c>
      <c r="J224" s="11"/>
      <c r="K224" s="12" t="s">
        <v>957</v>
      </c>
      <c r="L224" s="11"/>
      <c r="M224" s="12" t="str">
        <f>HYPERLINK("https://ceds.ed.gov/cedselementdetails.aspx?termid=17956")</f>
        <v>https://ceds.ed.gov/cedselementdetails.aspx?termid=17956</v>
      </c>
      <c r="N224" s="12" t="str">
        <f>HYPERLINK("https://ceds.ed.gov/elementComment.aspx?elementName=Assessment Item Response Hint Count &amp;elementID=17956", "Click here to submit comment")</f>
        <v>Click here to submit comment</v>
      </c>
    </row>
    <row r="225" spans="1:14" ht="102" x14ac:dyDescent="0.25">
      <c r="A225" s="12" t="s">
        <v>958</v>
      </c>
      <c r="B225" s="12" t="s">
        <v>959</v>
      </c>
      <c r="C225" s="12" t="s">
        <v>24</v>
      </c>
      <c r="D225" s="12" t="s">
        <v>927</v>
      </c>
      <c r="E225" s="11"/>
      <c r="F225" s="11"/>
      <c r="G225" s="11"/>
      <c r="H225" s="12" t="s">
        <v>960</v>
      </c>
      <c r="I225" s="12" t="s">
        <v>961</v>
      </c>
      <c r="J225" s="11"/>
      <c r="K225" s="12" t="s">
        <v>962</v>
      </c>
      <c r="L225" s="11"/>
      <c r="M225" s="12" t="str">
        <f>HYPERLINK("https://ceds.ed.gov/cedselementdetails.aspx?termid=17957")</f>
        <v>https://ceds.ed.gov/cedselementdetails.aspx?termid=17957</v>
      </c>
      <c r="N225" s="12" t="str">
        <f>HYPERLINK("https://ceds.ed.gov/elementComment.aspx?elementName=Assessment Item Response Hint Included Answer &amp;elementID=17957", "Click here to submit comment")</f>
        <v>Click here to submit comment</v>
      </c>
    </row>
    <row r="226" spans="1:14" ht="102" x14ac:dyDescent="0.25">
      <c r="A226" s="12" t="s">
        <v>963</v>
      </c>
      <c r="B226" s="12" t="s">
        <v>964</v>
      </c>
      <c r="C226" s="12" t="s">
        <v>24</v>
      </c>
      <c r="D226" s="12" t="s">
        <v>927</v>
      </c>
      <c r="E226" s="11"/>
      <c r="F226" s="11"/>
      <c r="G226" s="11"/>
      <c r="H226" s="11"/>
      <c r="I226" s="12" t="s">
        <v>965</v>
      </c>
      <c r="J226" s="11"/>
      <c r="K226" s="12" t="s">
        <v>966</v>
      </c>
      <c r="L226" s="11"/>
      <c r="M226" s="12" t="str">
        <f>HYPERLINK("https://ceds.ed.gov/cedselementdetails.aspx?termid=17955")</f>
        <v>https://ceds.ed.gov/cedselementdetails.aspx?termid=17955</v>
      </c>
      <c r="N226" s="12" t="str">
        <f>HYPERLINK("https://ceds.ed.gov/elementComment.aspx?elementName=Assessment Item Response Scaffolding Item Flag &amp;elementID=17955", "Click here to submit comment")</f>
        <v>Click here to submit comment</v>
      </c>
    </row>
    <row r="227" spans="1:14" ht="76.5" x14ac:dyDescent="0.25">
      <c r="A227" s="12" t="s">
        <v>967</v>
      </c>
      <c r="B227" s="12" t="s">
        <v>968</v>
      </c>
      <c r="C227" s="13" t="s">
        <v>969</v>
      </c>
      <c r="D227" s="12" t="s">
        <v>927</v>
      </c>
      <c r="E227" s="11"/>
      <c r="F227" s="11"/>
      <c r="G227" s="11"/>
      <c r="H227" s="11"/>
      <c r="I227" s="12" t="s">
        <v>970</v>
      </c>
      <c r="J227" s="11"/>
      <c r="K227" s="12" t="s">
        <v>971</v>
      </c>
      <c r="L227" s="11"/>
      <c r="M227" s="12" t="str">
        <f>HYPERLINK("https://ceds.ed.gov/cedselementdetails.aspx?termid=18513")</f>
        <v>https://ceds.ed.gov/cedselementdetails.aspx?termid=18513</v>
      </c>
      <c r="N227" s="12" t="str">
        <f>HYPERLINK("https://ceds.ed.gov/elementComment.aspx?elementName=Assessment Item Response Score Status &amp;elementID=18513", "Click here to submit comment")</f>
        <v>Click here to submit comment</v>
      </c>
    </row>
    <row r="228" spans="1:14" ht="25.5" x14ac:dyDescent="0.25">
      <c r="A228" s="12" t="s">
        <v>972</v>
      </c>
      <c r="B228" s="12" t="s">
        <v>973</v>
      </c>
      <c r="C228" s="12" t="s">
        <v>37</v>
      </c>
      <c r="D228" s="12" t="s">
        <v>927</v>
      </c>
      <c r="E228" s="11"/>
      <c r="F228" s="12" t="s">
        <v>175</v>
      </c>
      <c r="G228" s="11"/>
      <c r="H228" s="11"/>
      <c r="I228" s="12" t="s">
        <v>974</v>
      </c>
      <c r="J228" s="11"/>
      <c r="K228" s="12" t="s">
        <v>975</v>
      </c>
      <c r="L228" s="12" t="s">
        <v>908</v>
      </c>
      <c r="M228" s="12" t="str">
        <f>HYPERLINK("https://ceds.ed.gov/cedselementdetails.aspx?termid=17700")</f>
        <v>https://ceds.ed.gov/cedselementdetails.aspx?termid=17700</v>
      </c>
      <c r="N228" s="12" t="str">
        <f>HYPERLINK("https://ceds.ed.gov/elementComment.aspx?elementName=Assessment Item Response Score Value &amp;elementID=17700", "Click here to submit comment")</f>
        <v>Click here to submit comment</v>
      </c>
    </row>
    <row r="229" spans="1:14" ht="114.75" x14ac:dyDescent="0.25">
      <c r="A229" s="12" t="s">
        <v>976</v>
      </c>
      <c r="B229" s="12" t="s">
        <v>977</v>
      </c>
      <c r="C229" s="12" t="s">
        <v>37</v>
      </c>
      <c r="D229" s="12" t="s">
        <v>724</v>
      </c>
      <c r="E229" s="11"/>
      <c r="F229" s="12" t="s">
        <v>129</v>
      </c>
      <c r="G229" s="11"/>
      <c r="H229" s="12" t="s">
        <v>978</v>
      </c>
      <c r="I229" s="12" t="s">
        <v>979</v>
      </c>
      <c r="J229" s="11"/>
      <c r="K229" s="12" t="s">
        <v>980</v>
      </c>
      <c r="L229" s="11"/>
      <c r="M229" s="12" t="str">
        <f>HYPERLINK("https://ceds.ed.gov/cedselementdetails.aspx?termid=17970")</f>
        <v>https://ceds.ed.gov/cedselementdetails.aspx?termid=17970</v>
      </c>
      <c r="N229" s="12" t="str">
        <f>HYPERLINK("https://ceds.ed.gov/elementComment.aspx?elementName=Assessment Item Response Security Issue &amp;elementID=17970", "Click here to submit comment")</f>
        <v>Click here to submit comment</v>
      </c>
    </row>
    <row r="230" spans="1:14" ht="25.5" x14ac:dyDescent="0.25">
      <c r="A230" s="12" t="s">
        <v>981</v>
      </c>
      <c r="B230" s="12" t="s">
        <v>982</v>
      </c>
      <c r="C230" s="12" t="s">
        <v>37</v>
      </c>
      <c r="D230" s="12" t="s">
        <v>927</v>
      </c>
      <c r="E230" s="11"/>
      <c r="F230" s="12" t="s">
        <v>135</v>
      </c>
      <c r="G230" s="11"/>
      <c r="H230" s="11"/>
      <c r="I230" s="12" t="s">
        <v>983</v>
      </c>
      <c r="J230" s="11"/>
      <c r="K230" s="12" t="s">
        <v>984</v>
      </c>
      <c r="L230" s="11"/>
      <c r="M230" s="12" t="str">
        <f>HYPERLINK("https://ceds.ed.gov/cedselementdetails.aspx?termid=17960")</f>
        <v>https://ceds.ed.gov/cedselementdetails.aspx?termid=17960</v>
      </c>
      <c r="N230" s="12" t="str">
        <f>HYPERLINK("https://ceds.ed.gov/elementComment.aspx?elementName=Assessment Item Response Start Date &amp;elementID=17960", "Click here to submit comment")</f>
        <v>Click here to submit comment</v>
      </c>
    </row>
    <row r="231" spans="1:14" ht="25.5" x14ac:dyDescent="0.25">
      <c r="A231" s="12" t="s">
        <v>985</v>
      </c>
      <c r="B231" s="12" t="s">
        <v>986</v>
      </c>
      <c r="C231" s="12" t="s">
        <v>37</v>
      </c>
      <c r="D231" s="12" t="s">
        <v>927</v>
      </c>
      <c r="E231" s="11"/>
      <c r="F231" s="12" t="s">
        <v>946</v>
      </c>
      <c r="G231" s="11"/>
      <c r="H231" s="11"/>
      <c r="I231" s="12" t="s">
        <v>987</v>
      </c>
      <c r="J231" s="11"/>
      <c r="K231" s="12" t="s">
        <v>988</v>
      </c>
      <c r="L231" s="11"/>
      <c r="M231" s="12" t="str">
        <f>HYPERLINK("https://ceds.ed.gov/cedselementdetails.aspx?termid=17959")</f>
        <v>https://ceds.ed.gov/cedselementdetails.aspx?termid=17959</v>
      </c>
      <c r="N231" s="12" t="str">
        <f>HYPERLINK("https://ceds.ed.gov/elementComment.aspx?elementName=Assessment Item Response Start Time &amp;elementID=17959", "Click here to submit comment")</f>
        <v>Click here to submit comment</v>
      </c>
    </row>
    <row r="232" spans="1:14" ht="153" x14ac:dyDescent="0.25">
      <c r="A232" s="12" t="s">
        <v>989</v>
      </c>
      <c r="B232" s="12" t="s">
        <v>990</v>
      </c>
      <c r="C232" s="13" t="s">
        <v>991</v>
      </c>
      <c r="D232" s="12" t="s">
        <v>927</v>
      </c>
      <c r="E232" s="11"/>
      <c r="F232" s="11"/>
      <c r="G232" s="11"/>
      <c r="H232" s="11"/>
      <c r="I232" s="12" t="s">
        <v>992</v>
      </c>
      <c r="J232" s="11"/>
      <c r="K232" s="12" t="s">
        <v>993</v>
      </c>
      <c r="L232" s="12" t="s">
        <v>727</v>
      </c>
      <c r="M232" s="12" t="str">
        <f>HYPERLINK("https://ceds.ed.gov/cedselementdetails.aspx?termid=17396")</f>
        <v>https://ceds.ed.gov/cedselementdetails.aspx?termid=17396</v>
      </c>
      <c r="N232" s="12" t="str">
        <f>HYPERLINK("https://ceds.ed.gov/elementComment.aspx?elementName=Assessment Item Response Status &amp;elementID=17396", "Click here to submit comment")</f>
        <v>Click here to submit comment</v>
      </c>
    </row>
    <row r="233" spans="1:14" ht="127.5" x14ac:dyDescent="0.25">
      <c r="A233" s="12" t="s">
        <v>994</v>
      </c>
      <c r="B233" s="12" t="s">
        <v>995</v>
      </c>
      <c r="C233" s="12" t="s">
        <v>37</v>
      </c>
      <c r="D233" s="12" t="s">
        <v>996</v>
      </c>
      <c r="E233" s="11"/>
      <c r="F233" s="12" t="s">
        <v>165</v>
      </c>
      <c r="G233" s="11"/>
      <c r="H233" s="11"/>
      <c r="I233" s="12" t="s">
        <v>997</v>
      </c>
      <c r="J233" s="11"/>
      <c r="K233" s="12" t="s">
        <v>998</v>
      </c>
      <c r="L233" s="11"/>
      <c r="M233" s="12" t="str">
        <f>HYPERLINK("https://ceds.ed.gov/cedselementdetails.aspx?termid=18230")</f>
        <v>https://ceds.ed.gov/cedselementdetails.aspx?termid=18230</v>
      </c>
      <c r="N233" s="12" t="str">
        <f>HYPERLINK("https://ceds.ed.gov/elementComment.aspx?elementName=Assessment Item Response Theory DIF Value &amp;elementID=18230", "Click here to submit comment")</f>
        <v>Click here to submit comment</v>
      </c>
    </row>
    <row r="234" spans="1:14" ht="76.5" x14ac:dyDescent="0.25">
      <c r="A234" s="12" t="s">
        <v>999</v>
      </c>
      <c r="B234" s="12" t="s">
        <v>1000</v>
      </c>
      <c r="C234" s="13" t="s">
        <v>1001</v>
      </c>
      <c r="D234" s="12" t="s">
        <v>996</v>
      </c>
      <c r="E234" s="11"/>
      <c r="F234" s="11"/>
      <c r="G234" s="11"/>
      <c r="H234" s="11"/>
      <c r="I234" s="12" t="s">
        <v>1002</v>
      </c>
      <c r="J234" s="11"/>
      <c r="K234" s="12" t="s">
        <v>1003</v>
      </c>
      <c r="L234" s="11"/>
      <c r="M234" s="12" t="str">
        <f>HYPERLINK("https://ceds.ed.gov/cedselementdetails.aspx?termid=18232")</f>
        <v>https://ceds.ed.gov/cedselementdetails.aspx?termid=18232</v>
      </c>
      <c r="N234" s="12" t="str">
        <f>HYPERLINK("https://ceds.ed.gov/elementComment.aspx?elementName=Assessment Item Response Theory Kappa Algorithm &amp;elementID=18232", "Click here to submit comment")</f>
        <v>Click here to submit comment</v>
      </c>
    </row>
    <row r="235" spans="1:14" ht="25.5" x14ac:dyDescent="0.25">
      <c r="A235" s="12" t="s">
        <v>1004</v>
      </c>
      <c r="B235" s="12" t="s">
        <v>1005</v>
      </c>
      <c r="C235" s="12" t="s">
        <v>37</v>
      </c>
      <c r="D235" s="12" t="s">
        <v>996</v>
      </c>
      <c r="E235" s="11"/>
      <c r="F235" s="12" t="s">
        <v>165</v>
      </c>
      <c r="G235" s="11"/>
      <c r="H235" s="11"/>
      <c r="I235" s="12" t="s">
        <v>1006</v>
      </c>
      <c r="J235" s="11"/>
      <c r="K235" s="12" t="s">
        <v>1007</v>
      </c>
      <c r="L235" s="11"/>
      <c r="M235" s="12" t="str">
        <f>HYPERLINK("https://ceds.ed.gov/cedselementdetails.aspx?termid=18231")</f>
        <v>https://ceds.ed.gov/cedselementdetails.aspx?termid=18231</v>
      </c>
      <c r="N235" s="12" t="str">
        <f>HYPERLINK("https://ceds.ed.gov/elementComment.aspx?elementName=Assessment Item Response Theory Kappa Value &amp;elementID=18231", "Click here to submit comment")</f>
        <v>Click here to submit comment</v>
      </c>
    </row>
    <row r="236" spans="1:14" ht="89.25" x14ac:dyDescent="0.25">
      <c r="A236" s="12" t="s">
        <v>1008</v>
      </c>
      <c r="B236" s="12" t="s">
        <v>1009</v>
      </c>
      <c r="C236" s="12" t="s">
        <v>37</v>
      </c>
      <c r="D236" s="12" t="s">
        <v>996</v>
      </c>
      <c r="E236" s="11"/>
      <c r="F236" s="12" t="s">
        <v>165</v>
      </c>
      <c r="G236" s="11"/>
      <c r="H236" s="11"/>
      <c r="I236" s="12" t="s">
        <v>1010</v>
      </c>
      <c r="J236" s="11"/>
      <c r="K236" s="12" t="s">
        <v>1011</v>
      </c>
      <c r="L236" s="11"/>
      <c r="M236" s="12" t="str">
        <f>HYPERLINK("https://ceds.ed.gov/cedselementdetails.aspx?termid=18217")</f>
        <v>https://ceds.ed.gov/cedselementdetails.aspx?termid=18217</v>
      </c>
      <c r="N236" s="12" t="str">
        <f>HYPERLINK("https://ceds.ed.gov/elementComment.aspx?elementName=Assessment Item Response Theory Parameter A &amp;elementID=18217", "Click here to submit comment")</f>
        <v>Click here to submit comment</v>
      </c>
    </row>
    <row r="237" spans="1:14" ht="63.75" x14ac:dyDescent="0.25">
      <c r="A237" s="12" t="s">
        <v>1012</v>
      </c>
      <c r="B237" s="12" t="s">
        <v>1013</v>
      </c>
      <c r="C237" s="12" t="s">
        <v>37</v>
      </c>
      <c r="D237" s="12" t="s">
        <v>996</v>
      </c>
      <c r="E237" s="11"/>
      <c r="F237" s="12" t="s">
        <v>165</v>
      </c>
      <c r="G237" s="11"/>
      <c r="H237" s="11"/>
      <c r="I237" s="12" t="s">
        <v>1014</v>
      </c>
      <c r="J237" s="11"/>
      <c r="K237" s="12" t="s">
        <v>1015</v>
      </c>
      <c r="L237" s="11"/>
      <c r="M237" s="12" t="str">
        <f>HYPERLINK("https://ceds.ed.gov/cedselementdetails.aspx?termid=18218")</f>
        <v>https://ceds.ed.gov/cedselementdetails.aspx?termid=18218</v>
      </c>
      <c r="N237" s="12" t="str">
        <f>HYPERLINK("https://ceds.ed.gov/elementComment.aspx?elementName=Assessment Item Response Theory Parameter B &amp;elementID=18218", "Click here to submit comment")</f>
        <v>Click here to submit comment</v>
      </c>
    </row>
    <row r="238" spans="1:14" ht="102" x14ac:dyDescent="0.25">
      <c r="A238" s="12" t="s">
        <v>1016</v>
      </c>
      <c r="B238" s="12" t="s">
        <v>1017</v>
      </c>
      <c r="C238" s="12" t="s">
        <v>37</v>
      </c>
      <c r="D238" s="12" t="s">
        <v>996</v>
      </c>
      <c r="E238" s="11"/>
      <c r="F238" s="12" t="s">
        <v>165</v>
      </c>
      <c r="G238" s="11"/>
      <c r="H238" s="11"/>
      <c r="I238" s="12" t="s">
        <v>1018</v>
      </c>
      <c r="J238" s="11"/>
      <c r="K238" s="12" t="s">
        <v>1019</v>
      </c>
      <c r="L238" s="11"/>
      <c r="M238" s="12" t="str">
        <f>HYPERLINK("https://ceds.ed.gov/cedselementdetails.aspx?termid=18220")</f>
        <v>https://ceds.ed.gov/cedselementdetails.aspx?termid=18220</v>
      </c>
      <c r="N238" s="12" t="str">
        <f>HYPERLINK("https://ceds.ed.gov/elementComment.aspx?elementName=Assessment Item Response Theory Parameter C &amp;elementID=18220", "Click here to submit comment")</f>
        <v>Click here to submit comment</v>
      </c>
    </row>
    <row r="239" spans="1:14" ht="63.75" x14ac:dyDescent="0.25">
      <c r="A239" s="12" t="s">
        <v>1020</v>
      </c>
      <c r="B239" s="12" t="s">
        <v>1021</v>
      </c>
      <c r="C239" s="12" t="s">
        <v>37</v>
      </c>
      <c r="D239" s="12" t="s">
        <v>996</v>
      </c>
      <c r="E239" s="11"/>
      <c r="F239" s="12" t="s">
        <v>165</v>
      </c>
      <c r="G239" s="11"/>
      <c r="H239" s="11"/>
      <c r="I239" s="12" t="s">
        <v>1022</v>
      </c>
      <c r="J239" s="11"/>
      <c r="K239" s="12" t="s">
        <v>1023</v>
      </c>
      <c r="L239" s="11"/>
      <c r="M239" s="12" t="str">
        <f>HYPERLINK("https://ceds.ed.gov/cedselementdetails.aspx?termid=18221")</f>
        <v>https://ceds.ed.gov/cedselementdetails.aspx?termid=18221</v>
      </c>
      <c r="N239" s="12" t="str">
        <f>HYPERLINK("https://ceds.ed.gov/elementComment.aspx?elementName=Assessment Item Response Theory Parameter D1 &amp;elementID=18221", "Click here to submit comment")</f>
        <v>Click here to submit comment</v>
      </c>
    </row>
    <row r="240" spans="1:14" ht="63.75" x14ac:dyDescent="0.25">
      <c r="A240" s="12" t="s">
        <v>1024</v>
      </c>
      <c r="B240" s="12" t="s">
        <v>1025</v>
      </c>
      <c r="C240" s="12" t="s">
        <v>37</v>
      </c>
      <c r="D240" s="12" t="s">
        <v>996</v>
      </c>
      <c r="E240" s="11"/>
      <c r="F240" s="12" t="s">
        <v>165</v>
      </c>
      <c r="G240" s="11"/>
      <c r="H240" s="11"/>
      <c r="I240" s="12" t="s">
        <v>1026</v>
      </c>
      <c r="J240" s="11"/>
      <c r="K240" s="12" t="s">
        <v>1027</v>
      </c>
      <c r="L240" s="11"/>
      <c r="M240" s="12" t="str">
        <f>HYPERLINK("https://ceds.ed.gov/cedselementdetails.aspx?termid=18222")</f>
        <v>https://ceds.ed.gov/cedselementdetails.aspx?termid=18222</v>
      </c>
      <c r="N240" s="12" t="str">
        <f>HYPERLINK("https://ceds.ed.gov/elementComment.aspx?elementName=Assessment Item Response Theory Parameter D2 &amp;elementID=18222", "Click here to submit comment")</f>
        <v>Click here to submit comment</v>
      </c>
    </row>
    <row r="241" spans="1:14" ht="63.75" x14ac:dyDescent="0.25">
      <c r="A241" s="12" t="s">
        <v>1028</v>
      </c>
      <c r="B241" s="12" t="s">
        <v>1029</v>
      </c>
      <c r="C241" s="12" t="s">
        <v>37</v>
      </c>
      <c r="D241" s="12" t="s">
        <v>996</v>
      </c>
      <c r="E241" s="11"/>
      <c r="F241" s="12" t="s">
        <v>165</v>
      </c>
      <c r="G241" s="11"/>
      <c r="H241" s="11"/>
      <c r="I241" s="12" t="s">
        <v>1030</v>
      </c>
      <c r="J241" s="11"/>
      <c r="K241" s="12" t="s">
        <v>1031</v>
      </c>
      <c r="L241" s="11"/>
      <c r="M241" s="12" t="str">
        <f>HYPERLINK("https://ceds.ed.gov/cedselementdetails.aspx?termid=18223")</f>
        <v>https://ceds.ed.gov/cedselementdetails.aspx?termid=18223</v>
      </c>
      <c r="N241" s="12" t="str">
        <f>HYPERLINK("https://ceds.ed.gov/elementComment.aspx?elementName=Assessment Item Response Theory Parameter D3 &amp;elementID=18223", "Click here to submit comment")</f>
        <v>Click here to submit comment</v>
      </c>
    </row>
    <row r="242" spans="1:14" ht="63.75" x14ac:dyDescent="0.25">
      <c r="A242" s="12" t="s">
        <v>1032</v>
      </c>
      <c r="B242" s="12" t="s">
        <v>1033</v>
      </c>
      <c r="C242" s="12" t="s">
        <v>37</v>
      </c>
      <c r="D242" s="12" t="s">
        <v>996</v>
      </c>
      <c r="E242" s="11"/>
      <c r="F242" s="12" t="s">
        <v>165</v>
      </c>
      <c r="G242" s="11"/>
      <c r="H242" s="11"/>
      <c r="I242" s="12" t="s">
        <v>1034</v>
      </c>
      <c r="J242" s="11"/>
      <c r="K242" s="12" t="s">
        <v>1035</v>
      </c>
      <c r="L242" s="11"/>
      <c r="M242" s="12" t="str">
        <f>HYPERLINK("https://ceds.ed.gov/cedselementdetails.aspx?termid=18224")</f>
        <v>https://ceds.ed.gov/cedselementdetails.aspx?termid=18224</v>
      </c>
      <c r="N242" s="12" t="str">
        <f>HYPERLINK("https://ceds.ed.gov/elementComment.aspx?elementName=Assessment Item Response Theory Parameter D4 &amp;elementID=18224", "Click here to submit comment")</f>
        <v>Click here to submit comment</v>
      </c>
    </row>
    <row r="243" spans="1:14" ht="63.75" x14ac:dyDescent="0.25">
      <c r="A243" s="12" t="s">
        <v>1036</v>
      </c>
      <c r="B243" s="12" t="s">
        <v>1037</v>
      </c>
      <c r="C243" s="12" t="s">
        <v>37</v>
      </c>
      <c r="D243" s="12" t="s">
        <v>996</v>
      </c>
      <c r="E243" s="11"/>
      <c r="F243" s="12" t="s">
        <v>165</v>
      </c>
      <c r="G243" s="11"/>
      <c r="H243" s="11"/>
      <c r="I243" s="12" t="s">
        <v>1038</v>
      </c>
      <c r="J243" s="11"/>
      <c r="K243" s="12" t="s">
        <v>1039</v>
      </c>
      <c r="L243" s="11"/>
      <c r="M243" s="12" t="str">
        <f>HYPERLINK("https://ceds.ed.gov/cedselementdetails.aspx?termid=18225")</f>
        <v>https://ceds.ed.gov/cedselementdetails.aspx?termid=18225</v>
      </c>
      <c r="N243" s="12" t="str">
        <f>HYPERLINK("https://ceds.ed.gov/elementComment.aspx?elementName=Assessment Item Response Theory Parameter D5 &amp;elementID=18225", "Click here to submit comment")</f>
        <v>Click here to submit comment</v>
      </c>
    </row>
    <row r="244" spans="1:14" ht="63.75" x14ac:dyDescent="0.25">
      <c r="A244" s="12" t="s">
        <v>1040</v>
      </c>
      <c r="B244" s="12" t="s">
        <v>1041</v>
      </c>
      <c r="C244" s="12" t="s">
        <v>37</v>
      </c>
      <c r="D244" s="12" t="s">
        <v>996</v>
      </c>
      <c r="E244" s="11"/>
      <c r="F244" s="12" t="s">
        <v>165</v>
      </c>
      <c r="G244" s="11"/>
      <c r="H244" s="11"/>
      <c r="I244" s="12" t="s">
        <v>1042</v>
      </c>
      <c r="J244" s="11"/>
      <c r="K244" s="12" t="s">
        <v>1043</v>
      </c>
      <c r="L244" s="11"/>
      <c r="M244" s="12" t="str">
        <f>HYPERLINK("https://ceds.ed.gov/cedselementdetails.aspx?termid=18226")</f>
        <v>https://ceds.ed.gov/cedselementdetails.aspx?termid=18226</v>
      </c>
      <c r="N244" s="12" t="str">
        <f>HYPERLINK("https://ceds.ed.gov/elementComment.aspx?elementName=Assessment Item Response Theory Parameter D6 &amp;elementID=18226", "Click here to submit comment")</f>
        <v>Click here to submit comment</v>
      </c>
    </row>
    <row r="245" spans="1:14" ht="102" x14ac:dyDescent="0.25">
      <c r="A245" s="12" t="s">
        <v>1044</v>
      </c>
      <c r="B245" s="12" t="s">
        <v>1045</v>
      </c>
      <c r="C245" s="13" t="s">
        <v>1046</v>
      </c>
      <c r="D245" s="12" t="s">
        <v>996</v>
      </c>
      <c r="E245" s="11"/>
      <c r="F245" s="11"/>
      <c r="G245" s="11"/>
      <c r="H245" s="11"/>
      <c r="I245" s="12" t="s">
        <v>1047</v>
      </c>
      <c r="J245" s="11"/>
      <c r="K245" s="12" t="s">
        <v>1048</v>
      </c>
      <c r="L245" s="11"/>
      <c r="M245" s="12" t="str">
        <f>HYPERLINK("https://ceds.ed.gov/cedselementdetails.aspx?termid=18219")</f>
        <v>https://ceds.ed.gov/cedselementdetails.aspx?termid=18219</v>
      </c>
      <c r="N245" s="12" t="str">
        <f>HYPERLINK("https://ceds.ed.gov/elementComment.aspx?elementName=Assessment Item Response Theory Parameter Difficulty Category &amp;elementID=18219", "Click here to submit comment")</f>
        <v>Click here to submit comment</v>
      </c>
    </row>
    <row r="246" spans="1:14" ht="38.25" x14ac:dyDescent="0.25">
      <c r="A246" s="12" t="s">
        <v>1049</v>
      </c>
      <c r="B246" s="12" t="s">
        <v>1050</v>
      </c>
      <c r="C246" s="12" t="s">
        <v>37</v>
      </c>
      <c r="D246" s="12" t="s">
        <v>996</v>
      </c>
      <c r="E246" s="11"/>
      <c r="F246" s="12" t="s">
        <v>165</v>
      </c>
      <c r="G246" s="11"/>
      <c r="H246" s="11"/>
      <c r="I246" s="12" t="s">
        <v>1051</v>
      </c>
      <c r="J246" s="11"/>
      <c r="K246" s="12" t="s">
        <v>1052</v>
      </c>
      <c r="L246" s="11"/>
      <c r="M246" s="12" t="str">
        <f>HYPERLINK("https://ceds.ed.gov/cedselementdetails.aspx?termid=18228")</f>
        <v>https://ceds.ed.gov/cedselementdetails.aspx?termid=18228</v>
      </c>
      <c r="N246" s="12" t="str">
        <f>HYPERLINK("https://ceds.ed.gov/elementComment.aspx?elementName=Assessment Item Response Theory Point Biserial Correlation Value &amp;elementID=18228", "Click here to submit comment")</f>
        <v>Click here to submit comment</v>
      </c>
    </row>
    <row r="247" spans="1:14" ht="25.5" x14ac:dyDescent="0.25">
      <c r="A247" s="12" t="s">
        <v>1053</v>
      </c>
      <c r="B247" s="12" t="s">
        <v>1054</v>
      </c>
      <c r="C247" s="12" t="s">
        <v>37</v>
      </c>
      <c r="D247" s="12" t="s">
        <v>927</v>
      </c>
      <c r="E247" s="11"/>
      <c r="F247" s="12" t="s">
        <v>129</v>
      </c>
      <c r="G247" s="11"/>
      <c r="H247" s="11"/>
      <c r="I247" s="12" t="s">
        <v>1055</v>
      </c>
      <c r="J247" s="11"/>
      <c r="K247" s="12" t="s">
        <v>1056</v>
      </c>
      <c r="L247" s="12" t="s">
        <v>908</v>
      </c>
      <c r="M247" s="12" t="str">
        <f>HYPERLINK("https://ceds.ed.gov/cedselementdetails.aspx?termid=18069")</f>
        <v>https://ceds.ed.gov/cedselementdetails.aspx?termid=18069</v>
      </c>
      <c r="N247" s="12" t="str">
        <f>HYPERLINK("https://ceds.ed.gov/elementComment.aspx?elementName=Assessment Item Response Value &amp;elementID=18069", "Click here to submit comment")</f>
        <v>Click here to submit comment</v>
      </c>
    </row>
    <row r="248" spans="1:14" ht="38.25" x14ac:dyDescent="0.25">
      <c r="A248" s="12" t="s">
        <v>1057</v>
      </c>
      <c r="B248" s="12" t="s">
        <v>1058</v>
      </c>
      <c r="C248" s="12" t="s">
        <v>37</v>
      </c>
      <c r="D248" s="12" t="s">
        <v>719</v>
      </c>
      <c r="E248" s="11"/>
      <c r="F248" s="12" t="s">
        <v>382</v>
      </c>
      <c r="G248" s="11"/>
      <c r="H248" s="12" t="s">
        <v>1059</v>
      </c>
      <c r="I248" s="12" t="s">
        <v>1060</v>
      </c>
      <c r="J248" s="11"/>
      <c r="K248" s="12" t="s">
        <v>1061</v>
      </c>
      <c r="L248" s="11"/>
      <c r="M248" s="12" t="str">
        <f>HYPERLINK("https://ceds.ed.gov/cedselementdetails.aspx?termid=18250")</f>
        <v>https://ceds.ed.gov/cedselementdetails.aspx?termid=18250</v>
      </c>
      <c r="N248" s="12" t="str">
        <f>HYPERLINK("https://ceds.ed.gov/elementComment.aspx?elementName=Assessment Item Result XML &amp;elementID=18250", "Click here to submit comment")</f>
        <v>Click here to submit comment</v>
      </c>
    </row>
    <row r="249" spans="1:14" ht="38.25" x14ac:dyDescent="0.25">
      <c r="A249" s="12" t="s">
        <v>1062</v>
      </c>
      <c r="B249" s="12" t="s">
        <v>1063</v>
      </c>
      <c r="C249" s="12" t="s">
        <v>37</v>
      </c>
      <c r="D249" s="12" t="s">
        <v>724</v>
      </c>
      <c r="E249" s="11"/>
      <c r="F249" s="12" t="s">
        <v>382</v>
      </c>
      <c r="G249" s="11"/>
      <c r="H249" s="11"/>
      <c r="I249" s="12" t="s">
        <v>1064</v>
      </c>
      <c r="J249" s="11"/>
      <c r="K249" s="12" t="s">
        <v>1065</v>
      </c>
      <c r="L249" s="12" t="s">
        <v>727</v>
      </c>
      <c r="M249" s="12" t="str">
        <f>HYPERLINK("https://ceds.ed.gov/cedselementdetails.aspx?termid=17392")</f>
        <v>https://ceds.ed.gov/cedselementdetails.aspx?termid=17392</v>
      </c>
      <c r="N249" s="12" t="str">
        <f>HYPERLINK("https://ceds.ed.gov/elementComment.aspx?elementName=Assessment Item Stem &amp;elementID=17392", "Click here to submit comment")</f>
        <v>Click here to submit comment</v>
      </c>
    </row>
    <row r="250" spans="1:14" ht="63.75" x14ac:dyDescent="0.25">
      <c r="A250" s="12" t="s">
        <v>1066</v>
      </c>
      <c r="B250" s="12" t="s">
        <v>1067</v>
      </c>
      <c r="C250" s="12" t="s">
        <v>37</v>
      </c>
      <c r="D250" s="12" t="s">
        <v>724</v>
      </c>
      <c r="E250" s="11"/>
      <c r="F250" s="12" t="s">
        <v>382</v>
      </c>
      <c r="G250" s="11"/>
      <c r="H250" s="11"/>
      <c r="I250" s="12" t="s">
        <v>1068</v>
      </c>
      <c r="J250" s="11"/>
      <c r="K250" s="12" t="s">
        <v>1069</v>
      </c>
      <c r="L250" s="11"/>
      <c r="M250" s="12" t="str">
        <f>HYPERLINK("https://ceds.ed.gov/cedselementdetails.aspx?termid=18234")</f>
        <v>https://ceds.ed.gov/cedselementdetails.aspx?termid=18234</v>
      </c>
      <c r="N250" s="12" t="str">
        <f>HYPERLINK("https://ceds.ed.gov/elementComment.aspx?elementName=Assessment Item Stimulus &amp;elementID=18234", "Click here to submit comment")</f>
        <v>Click here to submit comment</v>
      </c>
    </row>
    <row r="251" spans="1:14" ht="255" x14ac:dyDescent="0.25">
      <c r="A251" s="12" t="s">
        <v>1070</v>
      </c>
      <c r="B251" s="12" t="s">
        <v>1071</v>
      </c>
      <c r="C251" s="13" t="s">
        <v>1072</v>
      </c>
      <c r="D251" s="12" t="s">
        <v>724</v>
      </c>
      <c r="E251" s="11"/>
      <c r="F251" s="11"/>
      <c r="G251" s="11"/>
      <c r="H251" s="11"/>
      <c r="I251" s="12" t="s">
        <v>1073</v>
      </c>
      <c r="J251" s="11"/>
      <c r="K251" s="12" t="s">
        <v>1074</v>
      </c>
      <c r="L251" s="11"/>
      <c r="M251" s="12" t="str">
        <f>HYPERLINK("https://ceds.ed.gov/cedselementdetails.aspx?termid=17907")</f>
        <v>https://ceds.ed.gov/cedselementdetails.aspx?termid=17907</v>
      </c>
      <c r="N251" s="12" t="str">
        <f>HYPERLINK("https://ceds.ed.gov/elementComment.aspx?elementName=Assessment Item Text Complexity System &amp;elementID=17907", "Click here to submit comment")</f>
        <v>Click here to submit comment</v>
      </c>
    </row>
    <row r="252" spans="1:14" ht="51" x14ac:dyDescent="0.25">
      <c r="A252" s="12" t="s">
        <v>1075</v>
      </c>
      <c r="B252" s="12" t="s">
        <v>1076</v>
      </c>
      <c r="C252" s="12" t="s">
        <v>37</v>
      </c>
      <c r="D252" s="12" t="s">
        <v>724</v>
      </c>
      <c r="E252" s="11"/>
      <c r="F252" s="12" t="s">
        <v>97</v>
      </c>
      <c r="G252" s="11"/>
      <c r="H252" s="11"/>
      <c r="I252" s="12" t="s">
        <v>1077</v>
      </c>
      <c r="J252" s="11"/>
      <c r="K252" s="12" t="s">
        <v>1078</v>
      </c>
      <c r="L252" s="11"/>
      <c r="M252" s="12" t="str">
        <f>HYPERLINK("https://ceds.ed.gov/cedselementdetails.aspx?termid=17906")</f>
        <v>https://ceds.ed.gov/cedselementdetails.aspx?termid=17906</v>
      </c>
      <c r="N252" s="12" t="str">
        <f>HYPERLINK("https://ceds.ed.gov/elementComment.aspx?elementName=Assessment Item Text Complexity Value &amp;elementID=17906", "Click here to submit comment")</f>
        <v>Click here to submit comment</v>
      </c>
    </row>
    <row r="253" spans="1:14" ht="267.75" x14ac:dyDescent="0.25">
      <c r="A253" s="12" t="s">
        <v>1079</v>
      </c>
      <c r="B253" s="12" t="s">
        <v>1080</v>
      </c>
      <c r="C253" s="13" t="s">
        <v>1081</v>
      </c>
      <c r="D253" s="12" t="s">
        <v>724</v>
      </c>
      <c r="E253" s="11"/>
      <c r="F253" s="11"/>
      <c r="G253" s="11"/>
      <c r="H253" s="11"/>
      <c r="I253" s="12" t="s">
        <v>1082</v>
      </c>
      <c r="J253" s="11"/>
      <c r="K253" s="12" t="s">
        <v>1083</v>
      </c>
      <c r="L253" s="12" t="s">
        <v>727</v>
      </c>
      <c r="M253" s="12" t="str">
        <f>HYPERLINK("https://ceds.ed.gov/cedselementdetails.aspx?termid=17382")</f>
        <v>https://ceds.ed.gov/cedselementdetails.aspx?termid=17382</v>
      </c>
      <c r="N253" s="12" t="str">
        <f>HYPERLINK("https://ceds.ed.gov/elementComment.aspx?elementName=Assessment Item Type &amp;elementID=17382", "Click here to submit comment")</f>
        <v>Click here to submit comment</v>
      </c>
    </row>
    <row r="254" spans="1:14" ht="90" x14ac:dyDescent="0.25">
      <c r="A254" s="12" t="s">
        <v>1084</v>
      </c>
      <c r="B254" s="12" t="s">
        <v>1085</v>
      </c>
      <c r="C254" s="12" t="s">
        <v>8527</v>
      </c>
      <c r="D254" s="12" t="s">
        <v>600</v>
      </c>
      <c r="E254" s="12" t="s">
        <v>195</v>
      </c>
      <c r="F254" s="11"/>
      <c r="G254" s="12" t="s">
        <v>1086</v>
      </c>
      <c r="H254" s="6" t="s">
        <v>1087</v>
      </c>
      <c r="I254" s="12" t="s">
        <v>1088</v>
      </c>
      <c r="J254" s="11"/>
      <c r="K254" s="12" t="s">
        <v>1089</v>
      </c>
      <c r="L254" s="11"/>
      <c r="M254" s="12" t="str">
        <f>HYPERLINK("https://ceds.ed.gov/cedselementdetails.aspx?termid=18073")</f>
        <v>https://ceds.ed.gov/cedselementdetails.aspx?termid=18073</v>
      </c>
      <c r="N254" s="12" t="str">
        <f>HYPERLINK("https://ceds.ed.gov/elementComment.aspx?elementName=Assessment Language &amp;elementID=18073", "Click here to submit comment")</f>
        <v>Click here to submit comment</v>
      </c>
    </row>
    <row r="255" spans="1:14" ht="306" x14ac:dyDescent="0.25">
      <c r="A255" s="12" t="s">
        <v>1090</v>
      </c>
      <c r="B255" s="12" t="s">
        <v>1091</v>
      </c>
      <c r="C255" s="13" t="s">
        <v>1092</v>
      </c>
      <c r="D255" s="12" t="s">
        <v>1093</v>
      </c>
      <c r="E255" s="11"/>
      <c r="F255" s="11"/>
      <c r="G255" s="11"/>
      <c r="H255" s="11"/>
      <c r="I255" s="12" t="s">
        <v>1094</v>
      </c>
      <c r="J255" s="11"/>
      <c r="K255" s="12" t="s">
        <v>1095</v>
      </c>
      <c r="L255" s="12" t="s">
        <v>1096</v>
      </c>
      <c r="M255" s="12" t="str">
        <f>HYPERLINK("https://ceds.ed.gov/cedselementdetails.aspx?termid=17177")</f>
        <v>https://ceds.ed.gov/cedselementdetails.aspx?termid=17177</v>
      </c>
      <c r="N255" s="12" t="str">
        <f>HYPERLINK("https://ceds.ed.gov/elementComment.aspx?elementName=Assessment Level for Which Designed &amp;elementID=17177", "Click here to submit comment")</f>
        <v>Click here to submit comment</v>
      </c>
    </row>
    <row r="256" spans="1:14" ht="76.5" x14ac:dyDescent="0.25">
      <c r="A256" s="12" t="s">
        <v>1097</v>
      </c>
      <c r="B256" s="12" t="s">
        <v>1098</v>
      </c>
      <c r="C256" s="13" t="s">
        <v>1099</v>
      </c>
      <c r="D256" s="12" t="s">
        <v>1100</v>
      </c>
      <c r="E256" s="11"/>
      <c r="F256" s="11"/>
      <c r="G256" s="11"/>
      <c r="H256" s="11"/>
      <c r="I256" s="12" t="s">
        <v>1101</v>
      </c>
      <c r="J256" s="11"/>
      <c r="K256" s="12" t="s">
        <v>1102</v>
      </c>
      <c r="L256" s="11"/>
      <c r="M256" s="12" t="str">
        <f>HYPERLINK("https://ceds.ed.gov/cedselementdetails.aspx?termid=18045")</f>
        <v>https://ceds.ed.gov/cedselementdetails.aspx?termid=18045</v>
      </c>
      <c r="N256" s="12" t="str">
        <f>HYPERLINK("https://ceds.ed.gov/elementComment.aspx?elementName=Assessment Need Alternative Representation Type &amp;elementID=18045", "Click here to submit comment")</f>
        <v>Click here to submit comment</v>
      </c>
    </row>
    <row r="257" spans="1:14" ht="38.25" x14ac:dyDescent="0.25">
      <c r="A257" s="12" t="s">
        <v>1103</v>
      </c>
      <c r="B257" s="12" t="s">
        <v>1104</v>
      </c>
      <c r="C257" s="12" t="s">
        <v>37</v>
      </c>
      <c r="D257" s="12" t="s">
        <v>1105</v>
      </c>
      <c r="E257" s="11"/>
      <c r="F257" s="12" t="s">
        <v>1106</v>
      </c>
      <c r="G257" s="11"/>
      <c r="H257" s="11"/>
      <c r="I257" s="12" t="s">
        <v>1107</v>
      </c>
      <c r="J257" s="11"/>
      <c r="K257" s="12" t="s">
        <v>1108</v>
      </c>
      <c r="L257" s="11"/>
      <c r="M257" s="12" t="str">
        <f>HYPERLINK("https://ceds.ed.gov/cedselementdetails.aspx?termid=18059")</f>
        <v>https://ceds.ed.gov/cedselementdetails.aspx?termid=18059</v>
      </c>
      <c r="N257" s="12" t="str">
        <f>HYPERLINK("https://ceds.ed.gov/elementComment.aspx?elementName=Assessment Need Background Color &amp;elementID=18059", "Click here to submit comment")</f>
        <v>Click here to submit comment</v>
      </c>
    </row>
    <row r="258" spans="1:14" ht="38.25" x14ac:dyDescent="0.25">
      <c r="A258" s="12" t="s">
        <v>1109</v>
      </c>
      <c r="B258" s="12" t="s">
        <v>1110</v>
      </c>
      <c r="C258" s="12" t="s">
        <v>37</v>
      </c>
      <c r="D258" s="12" t="s">
        <v>1111</v>
      </c>
      <c r="E258" s="11"/>
      <c r="F258" s="12" t="s">
        <v>1112</v>
      </c>
      <c r="G258" s="11"/>
      <c r="H258" s="11"/>
      <c r="I258" s="12" t="s">
        <v>1113</v>
      </c>
      <c r="J258" s="11"/>
      <c r="K258" s="12" t="s">
        <v>1114</v>
      </c>
      <c r="L258" s="11"/>
      <c r="M258" s="12" t="str">
        <f>HYPERLINK("https://ceds.ed.gov/cedselementdetails.aspx?termid=18040")</f>
        <v>https://ceds.ed.gov/cedselementdetails.aspx?termid=18040</v>
      </c>
      <c r="N258" s="12" t="str">
        <f>HYPERLINK("https://ceds.ed.gov/elementComment.aspx?elementName=Assessment Need Braille Dot Pressure &amp;elementID=18040", "Click here to submit comment")</f>
        <v>Click here to submit comment</v>
      </c>
    </row>
    <row r="259" spans="1:14" ht="38.25" x14ac:dyDescent="0.25">
      <c r="A259" s="12" t="s">
        <v>1115</v>
      </c>
      <c r="B259" s="12" t="s">
        <v>1116</v>
      </c>
      <c r="C259" s="13" t="s">
        <v>1117</v>
      </c>
      <c r="D259" s="12" t="s">
        <v>1111</v>
      </c>
      <c r="E259" s="11"/>
      <c r="F259" s="11"/>
      <c r="G259" s="11"/>
      <c r="H259" s="11"/>
      <c r="I259" s="12" t="s">
        <v>1118</v>
      </c>
      <c r="J259" s="11"/>
      <c r="K259" s="12" t="s">
        <v>1119</v>
      </c>
      <c r="L259" s="11"/>
      <c r="M259" s="12" t="str">
        <f>HYPERLINK("https://ceds.ed.gov/cedselementdetails.aspx?termid=18035")</f>
        <v>https://ceds.ed.gov/cedselementdetails.aspx?termid=18035</v>
      </c>
      <c r="N259" s="12" t="str">
        <f>HYPERLINK("https://ceds.ed.gov/elementComment.aspx?elementName=Assessment Need Braille Grade Type &amp;elementID=18035", "Click here to submit comment")</f>
        <v>Click here to submit comment</v>
      </c>
    </row>
    <row r="260" spans="1:14" ht="89.25" x14ac:dyDescent="0.25">
      <c r="A260" s="12" t="s">
        <v>1120</v>
      </c>
      <c r="B260" s="12" t="s">
        <v>1121</v>
      </c>
      <c r="C260" s="13" t="s">
        <v>1122</v>
      </c>
      <c r="D260" s="12" t="s">
        <v>1111</v>
      </c>
      <c r="E260" s="11"/>
      <c r="F260" s="11"/>
      <c r="G260" s="11"/>
      <c r="H260" s="11"/>
      <c r="I260" s="12" t="s">
        <v>1123</v>
      </c>
      <c r="J260" s="11"/>
      <c r="K260" s="12" t="s">
        <v>1124</v>
      </c>
      <c r="L260" s="11"/>
      <c r="M260" s="12" t="str">
        <f>HYPERLINK("https://ceds.ed.gov/cedselementdetails.aspx?termid=18038")</f>
        <v>https://ceds.ed.gov/cedselementdetails.aspx?termid=18038</v>
      </c>
      <c r="N260" s="12" t="str">
        <f>HYPERLINK("https://ceds.ed.gov/elementComment.aspx?elementName=Assessment Need Braille Mark Type &amp;elementID=18038", "Click here to submit comment")</f>
        <v>Click here to submit comment</v>
      </c>
    </row>
    <row r="261" spans="1:14" ht="51" x14ac:dyDescent="0.25">
      <c r="A261" s="12" t="s">
        <v>1125</v>
      </c>
      <c r="B261" s="12" t="s">
        <v>1126</v>
      </c>
      <c r="C261" s="13" t="s">
        <v>1127</v>
      </c>
      <c r="D261" s="12" t="s">
        <v>1111</v>
      </c>
      <c r="E261" s="11"/>
      <c r="F261" s="11"/>
      <c r="G261" s="11"/>
      <c r="H261" s="11"/>
      <c r="I261" s="12" t="s">
        <v>1128</v>
      </c>
      <c r="J261" s="11"/>
      <c r="K261" s="12" t="s">
        <v>1129</v>
      </c>
      <c r="L261" s="11"/>
      <c r="M261" s="12" t="str">
        <f>HYPERLINK("https://ceds.ed.gov/cedselementdetails.aspx?termid=18041")</f>
        <v>https://ceds.ed.gov/cedselementdetails.aspx?termid=18041</v>
      </c>
      <c r="N261" s="12" t="str">
        <f>HYPERLINK("https://ceds.ed.gov/elementComment.aspx?elementName=Assessment Need Braille Status Cell Type &amp;elementID=18041", "Click here to submit comment")</f>
        <v>Click here to submit comment</v>
      </c>
    </row>
    <row r="262" spans="1:14" ht="51" x14ac:dyDescent="0.25">
      <c r="A262" s="12" t="s">
        <v>1130</v>
      </c>
      <c r="B262" s="12" t="s">
        <v>1131</v>
      </c>
      <c r="C262" s="12" t="s">
        <v>24</v>
      </c>
      <c r="D262" s="12" t="s">
        <v>1100</v>
      </c>
      <c r="E262" s="11"/>
      <c r="F262" s="11"/>
      <c r="G262" s="11"/>
      <c r="H262" s="11"/>
      <c r="I262" s="12" t="s">
        <v>1132</v>
      </c>
      <c r="J262" s="11"/>
      <c r="K262" s="12" t="s">
        <v>1133</v>
      </c>
      <c r="L262" s="11"/>
      <c r="M262" s="12" t="str">
        <f>HYPERLINK("https://ceds.ed.gov/cedselementdetails.aspx?termid=18050")</f>
        <v>https://ceds.ed.gov/cedselementdetails.aspx?termid=18050</v>
      </c>
      <c r="N262" s="12" t="str">
        <f>HYPERLINK("https://ceds.ed.gov/elementComment.aspx?elementName=Assessment Need Directions Only &amp;elementID=18050", "Click here to submit comment")</f>
        <v>Click here to submit comment</v>
      </c>
    </row>
    <row r="263" spans="1:14" ht="38.25" x14ac:dyDescent="0.25">
      <c r="A263" s="12" t="s">
        <v>1134</v>
      </c>
      <c r="B263" s="12" t="s">
        <v>1135</v>
      </c>
      <c r="C263" s="12" t="s">
        <v>37</v>
      </c>
      <c r="D263" s="12" t="s">
        <v>1105</v>
      </c>
      <c r="E263" s="11"/>
      <c r="F263" s="12" t="s">
        <v>1106</v>
      </c>
      <c r="G263" s="11"/>
      <c r="H263" s="11"/>
      <c r="I263" s="12" t="s">
        <v>1136</v>
      </c>
      <c r="J263" s="11"/>
      <c r="K263" s="12" t="s">
        <v>1137</v>
      </c>
      <c r="L263" s="11"/>
      <c r="M263" s="12" t="str">
        <f>HYPERLINK("https://ceds.ed.gov/cedselementdetails.aspx?termid=18058")</f>
        <v>https://ceds.ed.gov/cedselementdetails.aspx?termid=18058</v>
      </c>
      <c r="N263" s="12" t="str">
        <f>HYPERLINK("https://ceds.ed.gov/elementComment.aspx?elementName=Assessment Need Foreground Color &amp;elementID=18058", "Click here to submit comment")</f>
        <v>Click here to submit comment</v>
      </c>
    </row>
    <row r="264" spans="1:14" ht="63.75" x14ac:dyDescent="0.25">
      <c r="A264" s="12" t="s">
        <v>1138</v>
      </c>
      <c r="B264" s="12" t="s">
        <v>1139</v>
      </c>
      <c r="C264" s="13" t="s">
        <v>1140</v>
      </c>
      <c r="D264" s="12" t="s">
        <v>1100</v>
      </c>
      <c r="E264" s="11"/>
      <c r="F264" s="11"/>
      <c r="G264" s="11"/>
      <c r="H264" s="11"/>
      <c r="I264" s="12" t="s">
        <v>1141</v>
      </c>
      <c r="J264" s="11"/>
      <c r="K264" s="12" t="s">
        <v>1142</v>
      </c>
      <c r="L264" s="11"/>
      <c r="M264" s="12" t="str">
        <f>HYPERLINK("https://ceds.ed.gov/cedselementdetails.aspx?termid=18026")</f>
        <v>https://ceds.ed.gov/cedselementdetails.aspx?termid=18026</v>
      </c>
      <c r="N264" s="12" t="str">
        <f>HYPERLINK("https://ceds.ed.gov/elementComment.aspx?elementName=Assessment Need Hazard Type &amp;elementID=18026", "Click here to submit comment")</f>
        <v>Click here to submit comment</v>
      </c>
    </row>
    <row r="265" spans="1:14" ht="51" x14ac:dyDescent="0.25">
      <c r="A265" s="12" t="s">
        <v>1143</v>
      </c>
      <c r="B265" s="12" t="s">
        <v>1144</v>
      </c>
      <c r="C265" s="13" t="s">
        <v>1145</v>
      </c>
      <c r="D265" s="12" t="s">
        <v>1105</v>
      </c>
      <c r="E265" s="11"/>
      <c r="F265" s="11"/>
      <c r="G265" s="11"/>
      <c r="H265" s="11"/>
      <c r="I265" s="12" t="s">
        <v>1146</v>
      </c>
      <c r="J265" s="11"/>
      <c r="K265" s="12" t="s">
        <v>1147</v>
      </c>
      <c r="L265" s="11"/>
      <c r="M265" s="12" t="str">
        <f>HYPERLINK("https://ceds.ed.gov/cedselementdetails.aspx?termid=18060")</f>
        <v>https://ceds.ed.gov/cedselementdetails.aspx?termid=18060</v>
      </c>
      <c r="N265" s="12" t="str">
        <f>HYPERLINK("https://ceds.ed.gov/elementComment.aspx?elementName=Assessment Need Increased Whitespacing Type &amp;elementID=18060", "Click here to submit comment")</f>
        <v>Click here to submit comment</v>
      </c>
    </row>
    <row r="266" spans="1:14" ht="51" x14ac:dyDescent="0.25">
      <c r="A266" s="12" t="s">
        <v>1148</v>
      </c>
      <c r="B266" s="12" t="s">
        <v>1149</v>
      </c>
      <c r="C266" s="12" t="s">
        <v>24</v>
      </c>
      <c r="D266" s="12" t="s">
        <v>1111</v>
      </c>
      <c r="E266" s="11"/>
      <c r="F266" s="11"/>
      <c r="G266" s="11"/>
      <c r="H266" s="11"/>
      <c r="I266" s="12" t="s">
        <v>1150</v>
      </c>
      <c r="J266" s="11"/>
      <c r="K266" s="12" t="s">
        <v>1151</v>
      </c>
      <c r="L266" s="11"/>
      <c r="M266" s="12" t="str">
        <f>HYPERLINK("https://ceds.ed.gov/cedselementdetails.aspx?termid=18033")</f>
        <v>https://ceds.ed.gov/cedselementdetails.aspx?termid=18033</v>
      </c>
      <c r="N266" s="12" t="str">
        <f>HYPERLINK("https://ceds.ed.gov/elementComment.aspx?elementName=Assessment Need Invert Color Choice &amp;elementID=18033", "Click here to submit comment")</f>
        <v>Click here to submit comment</v>
      </c>
    </row>
    <row r="267" spans="1:14" ht="90" x14ac:dyDescent="0.25">
      <c r="A267" s="12" t="s">
        <v>1152</v>
      </c>
      <c r="B267" s="12" t="s">
        <v>1153</v>
      </c>
      <c r="C267" s="12" t="s">
        <v>8527</v>
      </c>
      <c r="D267" s="12" t="s">
        <v>1100</v>
      </c>
      <c r="E267" s="12" t="s">
        <v>195</v>
      </c>
      <c r="F267" s="11"/>
      <c r="G267" s="12" t="s">
        <v>1086</v>
      </c>
      <c r="H267" s="6" t="s">
        <v>1087</v>
      </c>
      <c r="I267" s="12" t="s">
        <v>1154</v>
      </c>
      <c r="J267" s="11"/>
      <c r="K267" s="12" t="s">
        <v>1155</v>
      </c>
      <c r="L267" s="11"/>
      <c r="M267" s="12" t="str">
        <f>HYPERLINK("https://ceds.ed.gov/cedselementdetails.aspx?termid=18042")</f>
        <v>https://ceds.ed.gov/cedselementdetails.aspx?termid=18042</v>
      </c>
      <c r="N267" s="12" t="str">
        <f>HYPERLINK("https://ceds.ed.gov/elementComment.aspx?elementName=Assessment Need Item Translation Display Language Type &amp;elementID=18042", "Click here to submit comment")</f>
        <v>Click here to submit comment</v>
      </c>
    </row>
    <row r="268" spans="1:14" ht="90" x14ac:dyDescent="0.25">
      <c r="A268" s="12" t="s">
        <v>1156</v>
      </c>
      <c r="B268" s="12" t="s">
        <v>1157</v>
      </c>
      <c r="C268" s="12" t="s">
        <v>8527</v>
      </c>
      <c r="D268" s="12" t="s">
        <v>1100</v>
      </c>
      <c r="E268" s="12" t="s">
        <v>195</v>
      </c>
      <c r="F268" s="11"/>
      <c r="G268" s="12" t="s">
        <v>1086</v>
      </c>
      <c r="H268" s="6" t="s">
        <v>1087</v>
      </c>
      <c r="I268" s="12" t="s">
        <v>1158</v>
      </c>
      <c r="J268" s="11"/>
      <c r="K268" s="12" t="s">
        <v>1159</v>
      </c>
      <c r="L268" s="11"/>
      <c r="M268" s="12" t="str">
        <f>HYPERLINK("https://ceds.ed.gov/cedselementdetails.aspx?termid=18043")</f>
        <v>https://ceds.ed.gov/cedselementdetails.aspx?termid=18043</v>
      </c>
      <c r="N268" s="12" t="str">
        <f>HYPERLINK("https://ceds.ed.gov/elementComment.aspx?elementName=Assessment Need Keyword Translation Language Type &amp;elementID=18043", "Click here to submit comment")</f>
        <v>Click here to submit comment</v>
      </c>
    </row>
    <row r="269" spans="1:14" ht="90" x14ac:dyDescent="0.25">
      <c r="A269" s="12" t="s">
        <v>1160</v>
      </c>
      <c r="B269" s="12" t="s">
        <v>1161</v>
      </c>
      <c r="C269" s="12" t="s">
        <v>8527</v>
      </c>
      <c r="D269" s="12" t="s">
        <v>1162</v>
      </c>
      <c r="E269" s="12" t="s">
        <v>195</v>
      </c>
      <c r="F269" s="11"/>
      <c r="G269" s="12" t="s">
        <v>1086</v>
      </c>
      <c r="H269" s="6" t="s">
        <v>1087</v>
      </c>
      <c r="I269" s="12" t="s">
        <v>1163</v>
      </c>
      <c r="J269" s="11"/>
      <c r="K269" s="12" t="s">
        <v>1164</v>
      </c>
      <c r="L269" s="11"/>
      <c r="M269" s="12" t="str">
        <f>HYPERLINK("https://ceds.ed.gov/cedselementdetails.aspx?termid=18025")</f>
        <v>https://ceds.ed.gov/cedselementdetails.aspx?termid=18025</v>
      </c>
      <c r="N269" s="12" t="str">
        <f>HYPERLINK("https://ceds.ed.gov/elementComment.aspx?elementName=Assessment Need Language Type &amp;elementID=18025", "Click here to submit comment")</f>
        <v>Click here to submit comment</v>
      </c>
    </row>
    <row r="270" spans="1:14" ht="51" x14ac:dyDescent="0.25">
      <c r="A270" s="12" t="s">
        <v>1165</v>
      </c>
      <c r="B270" s="12" t="s">
        <v>1166</v>
      </c>
      <c r="C270" s="12" t="s">
        <v>37</v>
      </c>
      <c r="D270" s="12" t="s">
        <v>1111</v>
      </c>
      <c r="E270" s="11"/>
      <c r="F270" s="12" t="s">
        <v>1106</v>
      </c>
      <c r="G270" s="11"/>
      <c r="H270" s="11"/>
      <c r="I270" s="12" t="s">
        <v>1167</v>
      </c>
      <c r="J270" s="11"/>
      <c r="K270" s="12" t="s">
        <v>1168</v>
      </c>
      <c r="L270" s="11"/>
      <c r="M270" s="12" t="str">
        <f>HYPERLINK("https://ceds.ed.gov/cedselementdetails.aspx?termid=18056")</f>
        <v>https://ceds.ed.gov/cedselementdetails.aspx?termid=18056</v>
      </c>
      <c r="N270" s="12" t="str">
        <f>HYPERLINK("https://ceds.ed.gov/elementComment.aspx?elementName=Assessment Need Line Reader Highlight Color &amp;elementID=18056", "Click here to submit comment")</f>
        <v>Click here to submit comment</v>
      </c>
    </row>
    <row r="271" spans="1:14" ht="63.75" x14ac:dyDescent="0.25">
      <c r="A271" s="12" t="s">
        <v>1169</v>
      </c>
      <c r="B271" s="12" t="s">
        <v>1170</v>
      </c>
      <c r="C271" s="13" t="s">
        <v>1171</v>
      </c>
      <c r="D271" s="12" t="s">
        <v>1111</v>
      </c>
      <c r="E271" s="11"/>
      <c r="F271" s="11"/>
      <c r="G271" s="11"/>
      <c r="H271" s="11"/>
      <c r="I271" s="12" t="s">
        <v>1172</v>
      </c>
      <c r="J271" s="11"/>
      <c r="K271" s="12" t="s">
        <v>1173</v>
      </c>
      <c r="L271" s="11"/>
      <c r="M271" s="12" t="str">
        <f>HYPERLINK("https://ceds.ed.gov/cedselementdetails.aspx?termid=18029")</f>
        <v>https://ceds.ed.gov/cedselementdetails.aspx?termid=18029</v>
      </c>
      <c r="N271" s="12" t="str">
        <f>HYPERLINK("https://ceds.ed.gov/elementComment.aspx?elementName=Assessment Need Link Indication Type &amp;elementID=18029", "Click here to submit comment")</f>
        <v>Click here to submit comment</v>
      </c>
    </row>
    <row r="272" spans="1:14" ht="51" x14ac:dyDescent="0.25">
      <c r="A272" s="12" t="s">
        <v>1174</v>
      </c>
      <c r="B272" s="12" t="s">
        <v>1175</v>
      </c>
      <c r="C272" s="12" t="s">
        <v>37</v>
      </c>
      <c r="D272" s="12" t="s">
        <v>1111</v>
      </c>
      <c r="E272" s="11"/>
      <c r="F272" s="12" t="s">
        <v>1112</v>
      </c>
      <c r="G272" s="11"/>
      <c r="H272" s="11"/>
      <c r="I272" s="12" t="s">
        <v>1176</v>
      </c>
      <c r="J272" s="11"/>
      <c r="K272" s="12" t="s">
        <v>1177</v>
      </c>
      <c r="L272" s="11"/>
      <c r="M272" s="12" t="str">
        <f>HYPERLINK("https://ceds.ed.gov/cedselementdetails.aspx?termid=18034")</f>
        <v>https://ceds.ed.gov/cedselementdetails.aspx?termid=18034</v>
      </c>
      <c r="N272" s="12" t="str">
        <f>HYPERLINK("https://ceds.ed.gov/elementComment.aspx?elementName=Assessment Need Magnification &amp;elementID=18034", "Click here to submit comment")</f>
        <v>Click here to submit comment</v>
      </c>
    </row>
    <row r="273" spans="1:14" ht="51" x14ac:dyDescent="0.25">
      <c r="A273" s="12" t="s">
        <v>1178</v>
      </c>
      <c r="B273" s="12" t="s">
        <v>1179</v>
      </c>
      <c r="C273" s="13" t="s">
        <v>1180</v>
      </c>
      <c r="D273" s="12" t="s">
        <v>1111</v>
      </c>
      <c r="E273" s="11"/>
      <c r="F273" s="11"/>
      <c r="G273" s="11"/>
      <c r="H273" s="11"/>
      <c r="I273" s="12" t="s">
        <v>1181</v>
      </c>
      <c r="J273" s="11"/>
      <c r="K273" s="12" t="s">
        <v>1182</v>
      </c>
      <c r="L273" s="11"/>
      <c r="M273" s="12" t="str">
        <f>HYPERLINK("https://ceds.ed.gov/cedselementdetails.aspx?termid=18051")</f>
        <v>https://ceds.ed.gov/cedselementdetails.aspx?termid=18051</v>
      </c>
      <c r="N273" s="12" t="str">
        <f>HYPERLINK("https://ceds.ed.gov/elementComment.aspx?elementName=Assessment Need Masking Type &amp;elementID=18051", "Click here to submit comment")</f>
        <v>Click here to submit comment</v>
      </c>
    </row>
    <row r="274" spans="1:14" ht="38.25" x14ac:dyDescent="0.25">
      <c r="A274" s="12" t="s">
        <v>1183</v>
      </c>
      <c r="B274" s="12" t="s">
        <v>1184</v>
      </c>
      <c r="C274" s="12" t="s">
        <v>37</v>
      </c>
      <c r="D274" s="12" t="s">
        <v>1111</v>
      </c>
      <c r="E274" s="11"/>
      <c r="F274" s="12" t="s">
        <v>370</v>
      </c>
      <c r="G274" s="11"/>
      <c r="H274" s="11"/>
      <c r="I274" s="12" t="s">
        <v>1185</v>
      </c>
      <c r="J274" s="11"/>
      <c r="K274" s="12" t="s">
        <v>1186</v>
      </c>
      <c r="L274" s="11"/>
      <c r="M274" s="12" t="str">
        <f>HYPERLINK("https://ceds.ed.gov/cedselementdetails.aspx?termid=18037")</f>
        <v>https://ceds.ed.gov/cedselementdetails.aspx?termid=18037</v>
      </c>
      <c r="N274" s="12" t="str">
        <f>HYPERLINK("https://ceds.ed.gov/elementComment.aspx?elementName=Assessment Need Number of Braille Cells &amp;elementID=18037", "Click here to submit comment")</f>
        <v>Click here to submit comment</v>
      </c>
    </row>
    <row r="275" spans="1:14" ht="38.25" x14ac:dyDescent="0.25">
      <c r="A275" s="12" t="s">
        <v>1187</v>
      </c>
      <c r="B275" s="12" t="s">
        <v>1188</v>
      </c>
      <c r="C275" s="13" t="s">
        <v>1189</v>
      </c>
      <c r="D275" s="12" t="s">
        <v>1111</v>
      </c>
      <c r="E275" s="11"/>
      <c r="F275" s="11"/>
      <c r="G275" s="11"/>
      <c r="H275" s="11"/>
      <c r="I275" s="12" t="s">
        <v>1190</v>
      </c>
      <c r="J275" s="11"/>
      <c r="K275" s="12" t="s">
        <v>1191</v>
      </c>
      <c r="L275" s="11"/>
      <c r="M275" s="12" t="str">
        <f>HYPERLINK("https://ceds.ed.gov/cedselementdetails.aspx?termid=18036")</f>
        <v>https://ceds.ed.gov/cedselementdetails.aspx?termid=18036</v>
      </c>
      <c r="N275" s="12" t="str">
        <f>HYPERLINK("https://ceds.ed.gov/elementComment.aspx?elementName=Assessment Need Number of Braille Dots Type &amp;elementID=18036", "Click here to submit comment")</f>
        <v>Click here to submit comment</v>
      </c>
    </row>
    <row r="276" spans="1:14" ht="38.25" x14ac:dyDescent="0.25">
      <c r="A276" s="12" t="s">
        <v>1192</v>
      </c>
      <c r="B276" s="12" t="s">
        <v>1193</v>
      </c>
      <c r="C276" s="12" t="s">
        <v>37</v>
      </c>
      <c r="D276" s="12" t="s">
        <v>1105</v>
      </c>
      <c r="E276" s="11"/>
      <c r="F276" s="12" t="s">
        <v>1106</v>
      </c>
      <c r="G276" s="11"/>
      <c r="H276" s="11"/>
      <c r="I276" s="12" t="s">
        <v>1194</v>
      </c>
      <c r="J276" s="11"/>
      <c r="K276" s="12" t="s">
        <v>1195</v>
      </c>
      <c r="L276" s="11"/>
      <c r="M276" s="12" t="str">
        <f>HYPERLINK("https://ceds.ed.gov/cedselementdetails.aspx?termid=18057")</f>
        <v>https://ceds.ed.gov/cedselementdetails.aspx?termid=18057</v>
      </c>
      <c r="N276" s="12" t="str">
        <f>HYPERLINK("https://ceds.ed.gov/elementComment.aspx?elementName=Assessment Need Overlay Color &amp;elementID=18057", "Click here to submit comment")</f>
        <v>Click here to submit comment</v>
      </c>
    </row>
    <row r="277" spans="1:14" ht="38.25" x14ac:dyDescent="0.25">
      <c r="A277" s="12" t="s">
        <v>1196</v>
      </c>
      <c r="B277" s="12" t="s">
        <v>1197</v>
      </c>
      <c r="C277" s="12" t="s">
        <v>37</v>
      </c>
      <c r="D277" s="12" t="s">
        <v>1111</v>
      </c>
      <c r="E277" s="11"/>
      <c r="F277" s="12" t="s">
        <v>1112</v>
      </c>
      <c r="G277" s="11"/>
      <c r="H277" s="11"/>
      <c r="I277" s="12" t="s">
        <v>1198</v>
      </c>
      <c r="J277" s="11"/>
      <c r="K277" s="12" t="s">
        <v>1199</v>
      </c>
      <c r="L277" s="11"/>
      <c r="M277" s="12" t="str">
        <f>HYPERLINK("https://ceds.ed.gov/cedselementdetails.aspx?termid=18031")</f>
        <v>https://ceds.ed.gov/cedselementdetails.aspx?termid=18031</v>
      </c>
      <c r="N277" s="12" t="str">
        <f>HYPERLINK("https://ceds.ed.gov/elementComment.aspx?elementName=Assessment Need Pitch &amp;elementID=18031", "Click here to submit comment")</f>
        <v>Click here to submit comment</v>
      </c>
    </row>
    <row r="278" spans="1:14" ht="51" x14ac:dyDescent="0.25">
      <c r="A278" s="12" t="s">
        <v>1200</v>
      </c>
      <c r="B278" s="12" t="s">
        <v>1201</v>
      </c>
      <c r="C278" s="12" t="s">
        <v>24</v>
      </c>
      <c r="D278" s="12" t="s">
        <v>1111</v>
      </c>
      <c r="E278" s="11"/>
      <c r="F278" s="11"/>
      <c r="G278" s="11"/>
      <c r="H278" s="11"/>
      <c r="I278" s="12" t="s">
        <v>1202</v>
      </c>
      <c r="J278" s="11"/>
      <c r="K278" s="12" t="s">
        <v>1203</v>
      </c>
      <c r="L278" s="11"/>
      <c r="M278" s="12" t="str">
        <f>HYPERLINK("https://ceds.ed.gov/cedselementdetails.aspx?termid=18048")</f>
        <v>https://ceds.ed.gov/cedselementdetails.aspx?termid=18048</v>
      </c>
      <c r="N278" s="12" t="str">
        <f>HYPERLINK("https://ceds.ed.gov/elementComment.aspx?elementName=Assessment Need Read at Start Preference &amp;elementID=18048", "Click here to submit comment")</f>
        <v>Click here to submit comment</v>
      </c>
    </row>
    <row r="279" spans="1:14" ht="38.25" x14ac:dyDescent="0.25">
      <c r="A279" s="12" t="s">
        <v>1204</v>
      </c>
      <c r="B279" s="12" t="s">
        <v>1205</v>
      </c>
      <c r="C279" s="13" t="s">
        <v>1206</v>
      </c>
      <c r="D279" s="12" t="s">
        <v>1111</v>
      </c>
      <c r="E279" s="11"/>
      <c r="F279" s="11"/>
      <c r="G279" s="11"/>
      <c r="H279" s="11"/>
      <c r="I279" s="12" t="s">
        <v>1207</v>
      </c>
      <c r="J279" s="11"/>
      <c r="K279" s="12" t="s">
        <v>1208</v>
      </c>
      <c r="L279" s="11"/>
      <c r="M279" s="12" t="str">
        <f>HYPERLINK("https://ceds.ed.gov/cedselementdetails.aspx?termid=18044")</f>
        <v>https://ceds.ed.gov/cedselementdetails.aspx?termid=18044</v>
      </c>
      <c r="N279" s="12" t="str">
        <f>HYPERLINK("https://ceds.ed.gov/elementComment.aspx?elementName=Assessment Need Signing Type &amp;elementID=18044", "Click here to submit comment")</f>
        <v>Click here to submit comment</v>
      </c>
    </row>
    <row r="280" spans="1:14" ht="76.5" x14ac:dyDescent="0.25">
      <c r="A280" s="12" t="s">
        <v>1209</v>
      </c>
      <c r="B280" s="12" t="s">
        <v>1210</v>
      </c>
      <c r="C280" s="12" t="s">
        <v>37</v>
      </c>
      <c r="D280" s="12" t="s">
        <v>1111</v>
      </c>
      <c r="E280" s="11"/>
      <c r="F280" s="12" t="s">
        <v>57</v>
      </c>
      <c r="G280" s="11"/>
      <c r="H280" s="11"/>
      <c r="I280" s="12" t="s">
        <v>1211</v>
      </c>
      <c r="J280" s="11"/>
      <c r="K280" s="12" t="s">
        <v>1212</v>
      </c>
      <c r="L280" s="11"/>
      <c r="M280" s="12" t="str">
        <f>HYPERLINK("https://ceds.ed.gov/cedselementdetails.aspx?termid=18053")</f>
        <v>https://ceds.ed.gov/cedselementdetails.aspx?termid=18053</v>
      </c>
      <c r="N280" s="12" t="str">
        <f>HYPERLINK("https://ceds.ed.gov/elementComment.aspx?elementName=Assessment Need Sound File URL &amp;elementID=18053", "Click here to submit comment")</f>
        <v>Click here to submit comment</v>
      </c>
    </row>
    <row r="281" spans="1:14" ht="38.25" x14ac:dyDescent="0.25">
      <c r="A281" s="12" t="s">
        <v>1213</v>
      </c>
      <c r="B281" s="12" t="s">
        <v>1214</v>
      </c>
      <c r="C281" s="12" t="s">
        <v>37</v>
      </c>
      <c r="D281" s="12" t="s">
        <v>1111</v>
      </c>
      <c r="E281" s="11"/>
      <c r="F281" s="12" t="s">
        <v>370</v>
      </c>
      <c r="G281" s="11"/>
      <c r="H281" s="11"/>
      <c r="I281" s="12" t="s">
        <v>1215</v>
      </c>
      <c r="J281" s="11"/>
      <c r="K281" s="12" t="s">
        <v>1216</v>
      </c>
      <c r="L281" s="11"/>
      <c r="M281" s="12" t="str">
        <f>HYPERLINK("https://ceds.ed.gov/cedselementdetails.aspx?termid=18030")</f>
        <v>https://ceds.ed.gov/cedselementdetails.aspx?termid=18030</v>
      </c>
      <c r="N281" s="12" t="str">
        <f>HYPERLINK("https://ceds.ed.gov/elementComment.aspx?elementName=Assessment Need Speech Rate &amp;elementID=18030", "Click here to submit comment")</f>
        <v>Click here to submit comment</v>
      </c>
    </row>
    <row r="282" spans="1:14" ht="38.25" x14ac:dyDescent="0.25">
      <c r="A282" s="12" t="s">
        <v>1217</v>
      </c>
      <c r="B282" s="12" t="s">
        <v>1218</v>
      </c>
      <c r="C282" s="13" t="s">
        <v>1219</v>
      </c>
      <c r="D282" s="12" t="s">
        <v>1111</v>
      </c>
      <c r="E282" s="11"/>
      <c r="F282" s="11"/>
      <c r="G282" s="11"/>
      <c r="H282" s="11"/>
      <c r="I282" s="12" t="s">
        <v>1220</v>
      </c>
      <c r="J282" s="11"/>
      <c r="K282" s="12" t="s">
        <v>1221</v>
      </c>
      <c r="L282" s="11"/>
      <c r="M282" s="12" t="str">
        <f>HYPERLINK("https://ceds.ed.gov/cedselementdetails.aspx?termid=18046")</f>
        <v>https://ceds.ed.gov/cedselementdetails.aspx?termid=18046</v>
      </c>
      <c r="N282" s="12" t="str">
        <f>HYPERLINK("https://ceds.ed.gov/elementComment.aspx?elementName=Assessment Need Spoken Source Preference Type &amp;elementID=18046", "Click here to submit comment")</f>
        <v>Click here to submit comment</v>
      </c>
    </row>
    <row r="283" spans="1:14" ht="140.25" x14ac:dyDescent="0.25">
      <c r="A283" s="12" t="s">
        <v>1222</v>
      </c>
      <c r="B283" s="12" t="s">
        <v>1223</v>
      </c>
      <c r="C283" s="13" t="s">
        <v>1224</v>
      </c>
      <c r="D283" s="12" t="s">
        <v>1100</v>
      </c>
      <c r="E283" s="11"/>
      <c r="F283" s="11"/>
      <c r="G283" s="11"/>
      <c r="H283" s="11"/>
      <c r="I283" s="12" t="s">
        <v>1225</v>
      </c>
      <c r="J283" s="11"/>
      <c r="K283" s="12" t="s">
        <v>1226</v>
      </c>
      <c r="L283" s="11"/>
      <c r="M283" s="12" t="str">
        <f>HYPERLINK("https://ceds.ed.gov/cedselementdetails.aspx?termid=18027")</f>
        <v>https://ceds.ed.gov/cedselementdetails.aspx?termid=18027</v>
      </c>
      <c r="N283" s="12" t="str">
        <f>HYPERLINK("https://ceds.ed.gov/elementComment.aspx?elementName=Assessment Need Support Tool Type &amp;elementID=18027", "Click here to submit comment")</f>
        <v>Click here to submit comment</v>
      </c>
    </row>
    <row r="284" spans="1:14" ht="76.5" x14ac:dyDescent="0.25">
      <c r="A284" s="12" t="s">
        <v>1227</v>
      </c>
      <c r="B284" s="12" t="s">
        <v>1228</v>
      </c>
      <c r="C284" s="12" t="s">
        <v>37</v>
      </c>
      <c r="D284" s="12" t="s">
        <v>1111</v>
      </c>
      <c r="E284" s="11"/>
      <c r="F284" s="12" t="s">
        <v>382</v>
      </c>
      <c r="G284" s="11"/>
      <c r="H284" s="11"/>
      <c r="I284" s="12" t="s">
        <v>1229</v>
      </c>
      <c r="J284" s="11"/>
      <c r="K284" s="12" t="s">
        <v>1230</v>
      </c>
      <c r="L284" s="11"/>
      <c r="M284" s="12" t="str">
        <f>HYPERLINK("https://ceds.ed.gov/cedselementdetails.aspx?termid=18052")</f>
        <v>https://ceds.ed.gov/cedselementdetails.aspx?termid=18052</v>
      </c>
      <c r="N284" s="12" t="str">
        <f>HYPERLINK("https://ceds.ed.gov/elementComment.aspx?elementName=Assessment Need Text Messaging String &amp;elementID=18052", "Click here to submit comment")</f>
        <v>Click here to submit comment</v>
      </c>
    </row>
    <row r="285" spans="1:14" ht="76.5" x14ac:dyDescent="0.25">
      <c r="A285" s="12" t="s">
        <v>1231</v>
      </c>
      <c r="B285" s="12" t="s">
        <v>1232</v>
      </c>
      <c r="C285" s="12" t="s">
        <v>37</v>
      </c>
      <c r="D285" s="12" t="s">
        <v>1233</v>
      </c>
      <c r="E285" s="11"/>
      <c r="F285" s="12" t="s">
        <v>1234</v>
      </c>
      <c r="G285" s="11"/>
      <c r="H285" s="11"/>
      <c r="I285" s="12" t="s">
        <v>1235</v>
      </c>
      <c r="J285" s="11"/>
      <c r="K285" s="12" t="s">
        <v>1236</v>
      </c>
      <c r="L285" s="11"/>
      <c r="M285" s="12" t="str">
        <f>HYPERLINK("https://ceds.ed.gov/cedselementdetails.aspx?termid=18055")</f>
        <v>https://ceds.ed.gov/cedselementdetails.aspx?termid=18055</v>
      </c>
      <c r="N285" s="12" t="str">
        <f>HYPERLINK("https://ceds.ed.gov/elementComment.aspx?elementName=Assessment Need Time Multiplier &amp;elementID=18055", "Click here to submit comment")</f>
        <v>Click here to submit comment</v>
      </c>
    </row>
    <row r="286" spans="1:14" ht="25.5" x14ac:dyDescent="0.25">
      <c r="A286" s="12" t="s">
        <v>1237</v>
      </c>
      <c r="B286" s="12" t="s">
        <v>1238</v>
      </c>
      <c r="C286" s="12" t="s">
        <v>37</v>
      </c>
      <c r="D286" s="12" t="s">
        <v>1162</v>
      </c>
      <c r="E286" s="11"/>
      <c r="F286" s="12" t="s">
        <v>382</v>
      </c>
      <c r="G286" s="11"/>
      <c r="H286" s="11"/>
      <c r="I286" s="12" t="s">
        <v>1239</v>
      </c>
      <c r="J286" s="11"/>
      <c r="K286" s="12" t="s">
        <v>1240</v>
      </c>
      <c r="L286" s="11"/>
      <c r="M286" s="12" t="str">
        <f>HYPERLINK("https://ceds.ed.gov/cedselementdetails.aspx?termid=18101")</f>
        <v>https://ceds.ed.gov/cedselementdetails.aspx?termid=18101</v>
      </c>
      <c r="N286" s="12" t="str">
        <f>HYPERLINK("https://ceds.ed.gov/elementComment.aspx?elementName=Assessment Need Type &amp;elementID=18101", "Click here to submit comment")</f>
        <v>Click here to submit comment</v>
      </c>
    </row>
    <row r="287" spans="1:14" ht="63.75" x14ac:dyDescent="0.25">
      <c r="A287" s="12" t="s">
        <v>1241</v>
      </c>
      <c r="B287" s="12" t="s">
        <v>1242</v>
      </c>
      <c r="C287" s="13" t="s">
        <v>1243</v>
      </c>
      <c r="D287" s="12" t="s">
        <v>1111</v>
      </c>
      <c r="E287" s="11"/>
      <c r="F287" s="11"/>
      <c r="G287" s="11"/>
      <c r="H287" s="11"/>
      <c r="I287" s="12" t="s">
        <v>1244</v>
      </c>
      <c r="J287" s="11"/>
      <c r="K287" s="12" t="s">
        <v>1245</v>
      </c>
      <c r="L287" s="11"/>
      <c r="M287" s="12" t="str">
        <f>HYPERLINK("https://ceds.ed.gov/cedselementdetails.aspx?termid=18028")</f>
        <v>https://ceds.ed.gov/cedselementdetails.aspx?termid=18028</v>
      </c>
      <c r="N287" s="12" t="str">
        <f>HYPERLINK("https://ceds.ed.gov/elementComment.aspx?elementName=Assessment Need Usage Type &amp;elementID=18028", "Click here to submit comment")</f>
        <v>Click here to submit comment</v>
      </c>
    </row>
    <row r="288" spans="1:14" ht="63.75" x14ac:dyDescent="0.25">
      <c r="A288" s="12" t="s">
        <v>1246</v>
      </c>
      <c r="B288" s="12" t="s">
        <v>1247</v>
      </c>
      <c r="C288" s="13" t="s">
        <v>1248</v>
      </c>
      <c r="D288" s="12" t="s">
        <v>1100</v>
      </c>
      <c r="E288" s="11"/>
      <c r="F288" s="11"/>
      <c r="G288" s="11"/>
      <c r="H288" s="11"/>
      <c r="I288" s="12" t="s">
        <v>1249</v>
      </c>
      <c r="J288" s="11"/>
      <c r="K288" s="12" t="s">
        <v>1250</v>
      </c>
      <c r="L288" s="11"/>
      <c r="M288" s="12" t="str">
        <f>HYPERLINK("https://ceds.ed.gov/cedselementdetails.aspx?termid=18049")</f>
        <v>https://ceds.ed.gov/cedselementdetails.aspx?termid=18049</v>
      </c>
      <c r="N288" s="12" t="str">
        <f>HYPERLINK("https://ceds.ed.gov/elementComment.aspx?elementName=Assessment Need User Spoken Preference Type &amp;elementID=18049", "Click here to submit comment")</f>
        <v>Click here to submit comment</v>
      </c>
    </row>
    <row r="289" spans="1:14" ht="38.25" x14ac:dyDescent="0.25">
      <c r="A289" s="12" t="s">
        <v>1251</v>
      </c>
      <c r="B289" s="12" t="s">
        <v>1252</v>
      </c>
      <c r="C289" s="12" t="s">
        <v>37</v>
      </c>
      <c r="D289" s="12" t="s">
        <v>1111</v>
      </c>
      <c r="E289" s="11"/>
      <c r="F289" s="12" t="s">
        <v>1112</v>
      </c>
      <c r="G289" s="11"/>
      <c r="H289" s="11"/>
      <c r="I289" s="12" t="s">
        <v>1253</v>
      </c>
      <c r="J289" s="11"/>
      <c r="K289" s="12" t="s">
        <v>1254</v>
      </c>
      <c r="L289" s="11"/>
      <c r="M289" s="12" t="str">
        <f>HYPERLINK("https://ceds.ed.gov/cedselementdetails.aspx?termid=18032")</f>
        <v>https://ceds.ed.gov/cedselementdetails.aspx?termid=18032</v>
      </c>
      <c r="N289" s="12" t="str">
        <f>HYPERLINK("https://ceds.ed.gov/elementComment.aspx?elementName=Assessment Need Volume &amp;elementID=18032", "Click here to submit comment")</f>
        <v>Click here to submit comment</v>
      </c>
    </row>
    <row r="290" spans="1:14" ht="25.5" x14ac:dyDescent="0.25">
      <c r="A290" s="12" t="s">
        <v>1255</v>
      </c>
      <c r="B290" s="12" t="s">
        <v>1256</v>
      </c>
      <c r="C290" s="12" t="s">
        <v>37</v>
      </c>
      <c r="D290" s="12" t="s">
        <v>590</v>
      </c>
      <c r="E290" s="11"/>
      <c r="F290" s="12" t="s">
        <v>874</v>
      </c>
      <c r="G290" s="11"/>
      <c r="H290" s="11"/>
      <c r="I290" s="12" t="s">
        <v>1257</v>
      </c>
      <c r="J290" s="11"/>
      <c r="K290" s="12" t="s">
        <v>1258</v>
      </c>
      <c r="L290" s="12" t="s">
        <v>727</v>
      </c>
      <c r="M290" s="12" t="str">
        <f>HYPERLINK("https://ceds.ed.gov/cedselementdetails.aspx?termid=17373")</f>
        <v>https://ceds.ed.gov/cedselementdetails.aspx?termid=17373</v>
      </c>
      <c r="N290" s="12" t="str">
        <f>HYPERLINK("https://ceds.ed.gov/elementComment.aspx?elementName=Assessment Objective &amp;elementID=17373", "Click here to submit comment")</f>
        <v>Click here to submit comment</v>
      </c>
    </row>
    <row r="291" spans="1:14" ht="25.5" x14ac:dyDescent="0.25">
      <c r="A291" s="12" t="s">
        <v>1259</v>
      </c>
      <c r="B291" s="12" t="s">
        <v>1260</v>
      </c>
      <c r="C291" s="12" t="s">
        <v>37</v>
      </c>
      <c r="D291" s="12" t="s">
        <v>1261</v>
      </c>
      <c r="E291" s="11"/>
      <c r="F291" s="12" t="s">
        <v>129</v>
      </c>
      <c r="G291" s="11"/>
      <c r="H291" s="11"/>
      <c r="I291" s="12" t="s">
        <v>1262</v>
      </c>
      <c r="J291" s="11"/>
      <c r="K291" s="12" t="s">
        <v>1263</v>
      </c>
      <c r="L291" s="11"/>
      <c r="M291" s="12" t="str">
        <f>HYPERLINK("https://ceds.ed.gov/cedselementdetails.aspx?termid=18514")</f>
        <v>https://ceds.ed.gov/cedselementdetails.aspx?termid=18514</v>
      </c>
      <c r="N291" s="12" t="str">
        <f>HYPERLINK("https://ceds.ed.gov/elementComment.aspx?elementName=Assessment Participant Session Database Name &amp;elementID=18514", "Click here to submit comment")</f>
        <v>Click here to submit comment</v>
      </c>
    </row>
    <row r="292" spans="1:14" ht="38.25" x14ac:dyDescent="0.25">
      <c r="A292" s="12" t="s">
        <v>1264</v>
      </c>
      <c r="B292" s="12" t="s">
        <v>1265</v>
      </c>
      <c r="C292" s="12" t="s">
        <v>37</v>
      </c>
      <c r="D292" s="12" t="s">
        <v>1261</v>
      </c>
      <c r="E292" s="11"/>
      <c r="F292" s="12" t="s">
        <v>129</v>
      </c>
      <c r="G292" s="11"/>
      <c r="H292" s="12" t="s">
        <v>1266</v>
      </c>
      <c r="I292" s="12" t="s">
        <v>1267</v>
      </c>
      <c r="J292" s="11"/>
      <c r="K292" s="12" t="s">
        <v>1268</v>
      </c>
      <c r="L292" s="11"/>
      <c r="M292" s="12" t="str">
        <f>HYPERLINK("https://ceds.ed.gov/cedselementdetails.aspx?termid=18006")</f>
        <v>https://ceds.ed.gov/cedselementdetails.aspx?termid=18006</v>
      </c>
      <c r="N292" s="12" t="str">
        <f>HYPERLINK("https://ceds.ed.gov/elementComment.aspx?elementName=Assessment Participant Session Delivery Device Details &amp;elementID=18006", "Click here to submit comment")</f>
        <v>Click here to submit comment</v>
      </c>
    </row>
    <row r="293" spans="1:14" ht="63.75" x14ac:dyDescent="0.25">
      <c r="A293" s="15" t="s">
        <v>1269</v>
      </c>
      <c r="B293" s="15" t="s">
        <v>1270</v>
      </c>
      <c r="C293" s="15" t="s">
        <v>37</v>
      </c>
      <c r="D293" s="15" t="s">
        <v>1261</v>
      </c>
      <c r="E293" s="16"/>
      <c r="F293" s="15" t="s">
        <v>149</v>
      </c>
      <c r="G293" s="16"/>
      <c r="H293" s="12" t="s">
        <v>619</v>
      </c>
      <c r="I293" s="15" t="s">
        <v>1271</v>
      </c>
      <c r="J293" s="16"/>
      <c r="K293" s="15" t="s">
        <v>1272</v>
      </c>
      <c r="L293" s="16"/>
      <c r="M293" s="15" t="str">
        <f>HYPERLINK("https://ceds.ed.gov/cedselementdetails.aspx?termid=18515")</f>
        <v>https://ceds.ed.gov/cedselementdetails.aspx?termid=18515</v>
      </c>
      <c r="N293" s="15" t="str">
        <f>HYPERLINK("https://ceds.ed.gov/elementComment.aspx?elementName=Assessment Participant Session GUID &amp;elementID=18515", "Click here to submit comment")</f>
        <v>Click here to submit comment</v>
      </c>
    </row>
    <row r="294" spans="1:14" x14ac:dyDescent="0.25">
      <c r="A294" s="15"/>
      <c r="B294" s="15"/>
      <c r="C294" s="15"/>
      <c r="D294" s="15"/>
      <c r="E294" s="16"/>
      <c r="F294" s="15"/>
      <c r="G294" s="16"/>
      <c r="H294" s="12"/>
      <c r="I294" s="15"/>
      <c r="J294" s="16"/>
      <c r="K294" s="15"/>
      <c r="L294" s="16"/>
      <c r="M294" s="15"/>
      <c r="N294" s="15"/>
    </row>
    <row r="295" spans="1:14" ht="38.25" x14ac:dyDescent="0.25">
      <c r="A295" s="15"/>
      <c r="B295" s="15"/>
      <c r="C295" s="15"/>
      <c r="D295" s="15"/>
      <c r="E295" s="16"/>
      <c r="F295" s="15"/>
      <c r="G295" s="16"/>
      <c r="H295" s="12" t="s">
        <v>622</v>
      </c>
      <c r="I295" s="15"/>
      <c r="J295" s="16"/>
      <c r="K295" s="15"/>
      <c r="L295" s="16"/>
      <c r="M295" s="15"/>
      <c r="N295" s="15"/>
    </row>
    <row r="296" spans="1:14" ht="90" x14ac:dyDescent="0.25">
      <c r="A296" s="12" t="s">
        <v>1273</v>
      </c>
      <c r="B296" s="12" t="s">
        <v>1274</v>
      </c>
      <c r="C296" s="12" t="s">
        <v>8527</v>
      </c>
      <c r="D296" s="12" t="s">
        <v>1261</v>
      </c>
      <c r="E296" s="12" t="s">
        <v>195</v>
      </c>
      <c r="F296" s="11"/>
      <c r="G296" s="12" t="s">
        <v>1086</v>
      </c>
      <c r="H296" s="6" t="s">
        <v>1087</v>
      </c>
      <c r="I296" s="12" t="s">
        <v>1275</v>
      </c>
      <c r="J296" s="11"/>
      <c r="K296" s="12" t="s">
        <v>1276</v>
      </c>
      <c r="L296" s="12" t="s">
        <v>106</v>
      </c>
      <c r="M296" s="12" t="str">
        <f>HYPERLINK("https://ceds.ed.gov/cedselementdetails.aspx?termid=17370")</f>
        <v>https://ceds.ed.gov/cedselementdetails.aspx?termid=17370</v>
      </c>
      <c r="N296" s="12" t="str">
        <f>HYPERLINK("https://ceds.ed.gov/elementComment.aspx?elementName=Assessment Participant Session Language &amp;elementID=17370", "Click here to submit comment")</f>
        <v>Click here to submit comment</v>
      </c>
    </row>
    <row r="297" spans="1:14" ht="102" x14ac:dyDescent="0.25">
      <c r="A297" s="12" t="s">
        <v>1277</v>
      </c>
      <c r="B297" s="12" t="s">
        <v>1278</v>
      </c>
      <c r="C297" s="13" t="s">
        <v>1279</v>
      </c>
      <c r="D297" s="12" t="s">
        <v>1280</v>
      </c>
      <c r="E297" s="11"/>
      <c r="F297" s="11"/>
      <c r="G297" s="11"/>
      <c r="H297" s="11"/>
      <c r="I297" s="12" t="s">
        <v>1281</v>
      </c>
      <c r="J297" s="11"/>
      <c r="K297" s="12" t="s">
        <v>1282</v>
      </c>
      <c r="L297" s="12" t="s">
        <v>727</v>
      </c>
      <c r="M297" s="12" t="str">
        <f>HYPERLINK("https://ceds.ed.gov/cedselementdetails.aspx?termid=17377")</f>
        <v>https://ceds.ed.gov/cedselementdetails.aspx?termid=17377</v>
      </c>
      <c r="N297" s="12" t="str">
        <f>HYPERLINK("https://ceds.ed.gov/elementComment.aspx?elementName=Assessment Participant Session Platform Type &amp;elementID=17377", "Click here to submit comment")</f>
        <v>Click here to submit comment</v>
      </c>
    </row>
    <row r="298" spans="1:14" ht="102" x14ac:dyDescent="0.25">
      <c r="A298" s="12" t="s">
        <v>1283</v>
      </c>
      <c r="B298" s="12" t="s">
        <v>1284</v>
      </c>
      <c r="C298" s="12" t="s">
        <v>37</v>
      </c>
      <c r="D298" s="12" t="s">
        <v>1261</v>
      </c>
      <c r="E298" s="11"/>
      <c r="F298" s="12" t="s">
        <v>57</v>
      </c>
      <c r="G298" s="11"/>
      <c r="H298" s="12" t="s">
        <v>1285</v>
      </c>
      <c r="I298" s="12" t="s">
        <v>1286</v>
      </c>
      <c r="J298" s="11"/>
      <c r="K298" s="12" t="s">
        <v>1287</v>
      </c>
      <c r="L298" s="11"/>
      <c r="M298" s="12" t="str">
        <f>HYPERLINK("https://ceds.ed.gov/cedselementdetails.aspx?termid=18112")</f>
        <v>https://ceds.ed.gov/cedselementdetails.aspx?termid=18112</v>
      </c>
      <c r="N298" s="12" t="str">
        <f>HYPERLINK("https://ceds.ed.gov/elementComment.aspx?elementName=Assessment Participant Session Platform User Agent &amp;elementID=18112", "Click here to submit comment")</f>
        <v>Click here to submit comment</v>
      </c>
    </row>
    <row r="299" spans="1:14" ht="63.75" x14ac:dyDescent="0.25">
      <c r="A299" s="12" t="s">
        <v>1288</v>
      </c>
      <c r="B299" s="12" t="s">
        <v>1289</v>
      </c>
      <c r="C299" s="12" t="s">
        <v>37</v>
      </c>
      <c r="D299" s="12" t="s">
        <v>1261</v>
      </c>
      <c r="E299" s="11"/>
      <c r="F299" s="12" t="s">
        <v>382</v>
      </c>
      <c r="G299" s="11"/>
      <c r="H299" s="11"/>
      <c r="I299" s="12" t="s">
        <v>1290</v>
      </c>
      <c r="J299" s="11"/>
      <c r="K299" s="12" t="s">
        <v>1291</v>
      </c>
      <c r="L299" s="11"/>
      <c r="M299" s="12" t="str">
        <f>HYPERLINK("https://ceds.ed.gov/cedselementdetails.aspx?termid=18102")</f>
        <v>https://ceds.ed.gov/cedselementdetails.aspx?termid=18102</v>
      </c>
      <c r="N299" s="12" t="str">
        <f>HYPERLINK("https://ceds.ed.gov/elementComment.aspx?elementName=Assessment Participant Session Security Issue &amp;elementID=18102", "Click here to submit comment")</f>
        <v>Click here to submit comment</v>
      </c>
    </row>
    <row r="300" spans="1:14" ht="38.25" x14ac:dyDescent="0.25">
      <c r="A300" s="12" t="s">
        <v>1292</v>
      </c>
      <c r="B300" s="12" t="s">
        <v>1293</v>
      </c>
      <c r="C300" s="12" t="s">
        <v>37</v>
      </c>
      <c r="D300" s="12" t="s">
        <v>1261</v>
      </c>
      <c r="E300" s="11"/>
      <c r="F300" s="12" t="s">
        <v>97</v>
      </c>
      <c r="G300" s="11"/>
      <c r="H300" s="11"/>
      <c r="I300" s="12" t="s">
        <v>1294</v>
      </c>
      <c r="J300" s="11"/>
      <c r="K300" s="12" t="s">
        <v>1295</v>
      </c>
      <c r="L300" s="12" t="s">
        <v>106</v>
      </c>
      <c r="M300" s="12" t="str">
        <f>HYPERLINK("https://ceds.ed.gov/cedselementdetails.aspx?termid=17398")</f>
        <v>https://ceds.ed.gov/cedselementdetails.aspx?termid=17398</v>
      </c>
      <c r="N300" s="12" t="str">
        <f>HYPERLINK("https://ceds.ed.gov/elementComment.aspx?elementName=Assessment Participant Session Time Assessed &amp;elementID=17398", "Click here to submit comment")</f>
        <v>Click here to submit comment</v>
      </c>
    </row>
    <row r="301" spans="1:14" ht="102" x14ac:dyDescent="0.25">
      <c r="A301" s="12" t="s">
        <v>1296</v>
      </c>
      <c r="B301" s="12" t="s">
        <v>1297</v>
      </c>
      <c r="C301" s="12" t="s">
        <v>37</v>
      </c>
      <c r="D301" s="12" t="s">
        <v>1298</v>
      </c>
      <c r="E301" s="11"/>
      <c r="F301" s="12" t="s">
        <v>382</v>
      </c>
      <c r="G301" s="11"/>
      <c r="H301" s="11"/>
      <c r="I301" s="12" t="s">
        <v>1299</v>
      </c>
      <c r="J301" s="11"/>
      <c r="K301" s="12" t="s">
        <v>1300</v>
      </c>
      <c r="L301" s="11"/>
      <c r="M301" s="12" t="str">
        <f>HYPERLINK("https://ceds.ed.gov/cedselementdetails.aspx?termid=18184")</f>
        <v>https://ceds.ed.gov/cedselementdetails.aspx?termid=18184</v>
      </c>
      <c r="N301" s="12" t="str">
        <f>HYPERLINK("https://ceds.ed.gov/elementComment.aspx?elementName=Assessment Performance Level Descriptive Feedback &amp;elementID=18184", "Click here to submit comment")</f>
        <v>Click here to submit comment</v>
      </c>
    </row>
    <row r="302" spans="1:14" ht="76.5" x14ac:dyDescent="0.25">
      <c r="A302" s="15" t="s">
        <v>1301</v>
      </c>
      <c r="B302" s="15" t="s">
        <v>1302</v>
      </c>
      <c r="C302" s="15" t="s">
        <v>37</v>
      </c>
      <c r="D302" s="15" t="s">
        <v>1298</v>
      </c>
      <c r="E302" s="16"/>
      <c r="F302" s="15" t="s">
        <v>149</v>
      </c>
      <c r="G302" s="16"/>
      <c r="H302" s="12" t="s">
        <v>150</v>
      </c>
      <c r="I302" s="15" t="s">
        <v>1303</v>
      </c>
      <c r="J302" s="16"/>
      <c r="K302" s="15" t="s">
        <v>1304</v>
      </c>
      <c r="L302" s="15" t="s">
        <v>908</v>
      </c>
      <c r="M302" s="15" t="str">
        <f>HYPERLINK("https://ceds.ed.gov/cedselementdetails.aspx?termid=17693")</f>
        <v>https://ceds.ed.gov/cedselementdetails.aspx?termid=17693</v>
      </c>
      <c r="N302" s="15" t="str">
        <f>HYPERLINK("https://ceds.ed.gov/elementComment.aspx?elementName=Assessment Performance Level Identifier &amp;elementID=17693", "Click here to submit comment")</f>
        <v>Click here to submit comment</v>
      </c>
    </row>
    <row r="303" spans="1:14" x14ac:dyDescent="0.25">
      <c r="A303" s="15"/>
      <c r="B303" s="15"/>
      <c r="C303" s="15"/>
      <c r="D303" s="15"/>
      <c r="E303" s="16"/>
      <c r="F303" s="15"/>
      <c r="G303" s="16"/>
      <c r="H303" s="12"/>
      <c r="I303" s="15"/>
      <c r="J303" s="16"/>
      <c r="K303" s="15"/>
      <c r="L303" s="15"/>
      <c r="M303" s="15"/>
      <c r="N303" s="15"/>
    </row>
    <row r="304" spans="1:14" ht="76.5" x14ac:dyDescent="0.25">
      <c r="A304" s="15"/>
      <c r="B304" s="15"/>
      <c r="C304" s="15"/>
      <c r="D304" s="15"/>
      <c r="E304" s="16"/>
      <c r="F304" s="15"/>
      <c r="G304" s="16"/>
      <c r="H304" s="12" t="s">
        <v>153</v>
      </c>
      <c r="I304" s="15"/>
      <c r="J304" s="16"/>
      <c r="K304" s="15"/>
      <c r="L304" s="15"/>
      <c r="M304" s="15"/>
      <c r="N304" s="15"/>
    </row>
    <row r="305" spans="1:14" ht="102" x14ac:dyDescent="0.25">
      <c r="A305" s="12" t="s">
        <v>1305</v>
      </c>
      <c r="B305" s="12" t="s">
        <v>1306</v>
      </c>
      <c r="C305" s="12" t="s">
        <v>37</v>
      </c>
      <c r="D305" s="12" t="s">
        <v>1298</v>
      </c>
      <c r="E305" s="11"/>
      <c r="F305" s="12" t="s">
        <v>1307</v>
      </c>
      <c r="G305" s="11"/>
      <c r="H305" s="11"/>
      <c r="I305" s="12" t="s">
        <v>1308</v>
      </c>
      <c r="J305" s="11"/>
      <c r="K305" s="12" t="s">
        <v>1309</v>
      </c>
      <c r="L305" s="12" t="s">
        <v>908</v>
      </c>
      <c r="M305" s="12" t="str">
        <f>HYPERLINK("https://ceds.ed.gov/cedselementdetails.aspx?termid=17694")</f>
        <v>https://ceds.ed.gov/cedselementdetails.aspx?termid=17694</v>
      </c>
      <c r="N305" s="12" t="str">
        <f>HYPERLINK("https://ceds.ed.gov/elementComment.aspx?elementName=Assessment Performance Level Label &amp;elementID=17694", "Click here to submit comment")</f>
        <v>Click here to submit comment</v>
      </c>
    </row>
    <row r="306" spans="1:14" ht="102" x14ac:dyDescent="0.25">
      <c r="A306" s="12" t="s">
        <v>1310</v>
      </c>
      <c r="B306" s="12" t="s">
        <v>1311</v>
      </c>
      <c r="C306" s="12" t="s">
        <v>37</v>
      </c>
      <c r="D306" s="12" t="s">
        <v>1298</v>
      </c>
      <c r="E306" s="11"/>
      <c r="F306" s="12" t="s">
        <v>97</v>
      </c>
      <c r="G306" s="11"/>
      <c r="H306" s="11"/>
      <c r="I306" s="12" t="s">
        <v>1312</v>
      </c>
      <c r="J306" s="11"/>
      <c r="K306" s="12" t="s">
        <v>1313</v>
      </c>
      <c r="L306" s="12" t="s">
        <v>106</v>
      </c>
      <c r="M306" s="12" t="str">
        <f>HYPERLINK("https://ceds.ed.gov/cedselementdetails.aspx?termid=17408")</f>
        <v>https://ceds.ed.gov/cedselementdetails.aspx?termid=17408</v>
      </c>
      <c r="N306" s="12" t="str">
        <f>HYPERLINK("https://ceds.ed.gov/elementComment.aspx?elementName=Assessment Performance Level Lower Cut Score &amp;elementID=17408", "Click here to submit comment")</f>
        <v>Click here to submit comment</v>
      </c>
    </row>
    <row r="307" spans="1:14" ht="408" x14ac:dyDescent="0.25">
      <c r="A307" s="12" t="s">
        <v>1314</v>
      </c>
      <c r="B307" s="12" t="s">
        <v>1315</v>
      </c>
      <c r="C307" s="13" t="s">
        <v>1316</v>
      </c>
      <c r="D307" s="12" t="s">
        <v>1298</v>
      </c>
      <c r="E307" s="11"/>
      <c r="F307" s="12" t="s">
        <v>97</v>
      </c>
      <c r="G307" s="11"/>
      <c r="H307" s="11"/>
      <c r="I307" s="12" t="s">
        <v>1317</v>
      </c>
      <c r="J307" s="11"/>
      <c r="K307" s="12" t="s">
        <v>1318</v>
      </c>
      <c r="L307" s="12" t="s">
        <v>106</v>
      </c>
      <c r="M307" s="12" t="str">
        <f>HYPERLINK("https://ceds.ed.gov/cedselementdetails.aspx?termid=17407")</f>
        <v>https://ceds.ed.gov/cedselementdetails.aspx?termid=17407</v>
      </c>
      <c r="N307" s="12" t="str">
        <f>HYPERLINK("https://ceds.ed.gov/elementComment.aspx?elementName=Assessment Performance Level Score Metric &amp;elementID=17407", "Click here to submit comment")</f>
        <v>Click here to submit comment</v>
      </c>
    </row>
    <row r="308" spans="1:14" ht="102" x14ac:dyDescent="0.25">
      <c r="A308" s="12" t="s">
        <v>1319</v>
      </c>
      <c r="B308" s="12" t="s">
        <v>1320</v>
      </c>
      <c r="C308" s="12" t="s">
        <v>37</v>
      </c>
      <c r="D308" s="12" t="s">
        <v>1298</v>
      </c>
      <c r="E308" s="11"/>
      <c r="F308" s="12" t="s">
        <v>97</v>
      </c>
      <c r="G308" s="11"/>
      <c r="H308" s="11"/>
      <c r="I308" s="12" t="s">
        <v>1321</v>
      </c>
      <c r="J308" s="11"/>
      <c r="K308" s="12" t="s">
        <v>1322</v>
      </c>
      <c r="L308" s="12" t="s">
        <v>106</v>
      </c>
      <c r="M308" s="12" t="str">
        <f>HYPERLINK("https://ceds.ed.gov/cedselementdetails.aspx?termid=17409")</f>
        <v>https://ceds.ed.gov/cedselementdetails.aspx?termid=17409</v>
      </c>
      <c r="N308" s="12" t="str">
        <f>HYPERLINK("https://ceds.ed.gov/elementComment.aspx?elementName=Assessment Performance Level Upper Cut Score &amp;elementID=17409", "Click here to submit comment")</f>
        <v>Click here to submit comment</v>
      </c>
    </row>
    <row r="309" spans="1:14" ht="38.25" x14ac:dyDescent="0.25">
      <c r="A309" s="12" t="s">
        <v>1323</v>
      </c>
      <c r="B309" s="12" t="s">
        <v>1324</v>
      </c>
      <c r="C309" s="12" t="s">
        <v>24</v>
      </c>
      <c r="D309" s="12" t="s">
        <v>1162</v>
      </c>
      <c r="E309" s="11"/>
      <c r="F309" s="11"/>
      <c r="G309" s="11"/>
      <c r="H309" s="12" t="s">
        <v>1325</v>
      </c>
      <c r="I309" s="12" t="s">
        <v>1326</v>
      </c>
      <c r="J309" s="11"/>
      <c r="K309" s="12" t="s">
        <v>1327</v>
      </c>
      <c r="L309" s="11"/>
      <c r="M309" s="12" t="str">
        <f>HYPERLINK("https://ceds.ed.gov/cedselementdetails.aspx?termid=18008")</f>
        <v>https://ceds.ed.gov/cedselementdetails.aspx?termid=18008</v>
      </c>
      <c r="N309" s="12" t="str">
        <f>HYPERLINK("https://ceds.ed.gov/elementComment.aspx?elementName=Assessment Personal Needs Profile Activate by Default &amp;elementID=18008", "Click here to submit comment")</f>
        <v>Click here to submit comment</v>
      </c>
    </row>
    <row r="310" spans="1:14" ht="38.25" x14ac:dyDescent="0.25">
      <c r="A310" s="12" t="s">
        <v>1328</v>
      </c>
      <c r="B310" s="12" t="s">
        <v>1329</v>
      </c>
      <c r="C310" s="12" t="s">
        <v>24</v>
      </c>
      <c r="D310" s="12" t="s">
        <v>1162</v>
      </c>
      <c r="E310" s="11"/>
      <c r="F310" s="11"/>
      <c r="G310" s="11"/>
      <c r="H310" s="12" t="s">
        <v>1325</v>
      </c>
      <c r="I310" s="12" t="s">
        <v>1330</v>
      </c>
      <c r="J310" s="11"/>
      <c r="K310" s="12" t="s">
        <v>1331</v>
      </c>
      <c r="L310" s="11"/>
      <c r="M310" s="12" t="str">
        <f>HYPERLINK("https://ceds.ed.gov/cedselementdetails.aspx?termid=18007")</f>
        <v>https://ceds.ed.gov/cedselementdetails.aspx?termid=18007</v>
      </c>
      <c r="N310" s="12" t="str">
        <f>HYPERLINK("https://ceds.ed.gov/elementComment.aspx?elementName=Assessment Personal Needs Profile Assigned Support &amp;elementID=18007", "Click here to submit comment")</f>
        <v>Click here to submit comment</v>
      </c>
    </row>
    <row r="311" spans="1:14" ht="25.5" x14ac:dyDescent="0.25">
      <c r="A311" s="12" t="s">
        <v>1332</v>
      </c>
      <c r="B311" s="12" t="s">
        <v>1333</v>
      </c>
      <c r="C311" s="12" t="s">
        <v>37</v>
      </c>
      <c r="D311" s="12" t="s">
        <v>590</v>
      </c>
      <c r="E311" s="11"/>
      <c r="F311" s="12" t="s">
        <v>97</v>
      </c>
      <c r="G311" s="11"/>
      <c r="H311" s="12" t="s">
        <v>1334</v>
      </c>
      <c r="I311" s="12" t="s">
        <v>1335</v>
      </c>
      <c r="J311" s="11"/>
      <c r="K311" s="12" t="s">
        <v>1336</v>
      </c>
      <c r="L311" s="11"/>
      <c r="M311" s="12" t="str">
        <f>HYPERLINK("https://ceds.ed.gov/cedselementdetails.aspx?termid=18009")</f>
        <v>https://ceds.ed.gov/cedselementdetails.aspx?termid=18009</v>
      </c>
      <c r="N311" s="12" t="str">
        <f>HYPERLINK("https://ceds.ed.gov/elementComment.aspx?elementName=Assessment Provider &amp;elementID=18009", "Click here to submit comment")</f>
        <v>Click here to submit comment</v>
      </c>
    </row>
    <row r="312" spans="1:14" ht="318.75" x14ac:dyDescent="0.25">
      <c r="A312" s="12" t="s">
        <v>1337</v>
      </c>
      <c r="B312" s="12" t="s">
        <v>1338</v>
      </c>
      <c r="C312" s="13" t="s">
        <v>1339</v>
      </c>
      <c r="D312" s="12" t="s">
        <v>1340</v>
      </c>
      <c r="E312" s="11"/>
      <c r="F312" s="11"/>
      <c r="G312" s="11"/>
      <c r="H312" s="12" t="s">
        <v>1341</v>
      </c>
      <c r="I312" s="12" t="s">
        <v>1342</v>
      </c>
      <c r="J312" s="11"/>
      <c r="K312" s="12" t="s">
        <v>1343</v>
      </c>
      <c r="L312" s="12" t="s">
        <v>575</v>
      </c>
      <c r="M312" s="12" t="str">
        <f>HYPERLINK("https://ceds.ed.gov/cedselementdetails.aspx?termid=17026")</f>
        <v>https://ceds.ed.gov/cedselementdetails.aspx?termid=17026</v>
      </c>
      <c r="N312" s="12" t="str">
        <f>HYPERLINK("https://ceds.ed.gov/elementComment.aspx?elementName=Assessment Purpose &amp;elementID=17026", "Click here to submit comment")</f>
        <v>Click here to submit comment</v>
      </c>
    </row>
    <row r="313" spans="1:14" ht="25.5" x14ac:dyDescent="0.25">
      <c r="A313" s="15" t="s">
        <v>1344</v>
      </c>
      <c r="B313" s="15" t="s">
        <v>1345</v>
      </c>
      <c r="C313" s="15" t="s">
        <v>37</v>
      </c>
      <c r="D313" s="15" t="s">
        <v>1346</v>
      </c>
      <c r="E313" s="16"/>
      <c r="F313" s="15" t="s">
        <v>149</v>
      </c>
      <c r="G313" s="16"/>
      <c r="H313" s="12" t="s">
        <v>1347</v>
      </c>
      <c r="I313" s="15" t="s">
        <v>1348</v>
      </c>
      <c r="J313" s="16"/>
      <c r="K313" s="15" t="s">
        <v>1349</v>
      </c>
      <c r="L313" s="16"/>
      <c r="M313" s="15" t="str">
        <f>HYPERLINK("https://ceds.ed.gov/cedselementdetails.aspx?termid=17889")</f>
        <v>https://ceds.ed.gov/cedselementdetails.aspx?termid=17889</v>
      </c>
      <c r="N313" s="15" t="str">
        <f>HYPERLINK("https://ceds.ed.gov/elementComment.aspx?elementName=Assessment Registration Assignor Identifier &amp;elementID=17889", "Click here to submit comment")</f>
        <v>Click here to submit comment</v>
      </c>
    </row>
    <row r="314" spans="1:14" x14ac:dyDescent="0.25">
      <c r="A314" s="15"/>
      <c r="B314" s="15"/>
      <c r="C314" s="15"/>
      <c r="D314" s="15"/>
      <c r="E314" s="16"/>
      <c r="F314" s="15"/>
      <c r="G314" s="16"/>
      <c r="H314" s="11"/>
      <c r="I314" s="15"/>
      <c r="J314" s="16"/>
      <c r="K314" s="15"/>
      <c r="L314" s="16"/>
      <c r="M314" s="15"/>
      <c r="N314" s="15"/>
    </row>
    <row r="315" spans="1:14" ht="76.5" x14ac:dyDescent="0.25">
      <c r="A315" s="15"/>
      <c r="B315" s="15"/>
      <c r="C315" s="15"/>
      <c r="D315" s="15"/>
      <c r="E315" s="16"/>
      <c r="F315" s="15"/>
      <c r="G315" s="16"/>
      <c r="H315" s="12" t="s">
        <v>150</v>
      </c>
      <c r="I315" s="15"/>
      <c r="J315" s="16"/>
      <c r="K315" s="15"/>
      <c r="L315" s="16"/>
      <c r="M315" s="15"/>
      <c r="N315" s="15"/>
    </row>
    <row r="316" spans="1:14" x14ac:dyDescent="0.25">
      <c r="A316" s="15"/>
      <c r="B316" s="15"/>
      <c r="C316" s="15"/>
      <c r="D316" s="15"/>
      <c r="E316" s="16"/>
      <c r="F316" s="15"/>
      <c r="G316" s="16"/>
      <c r="H316" s="12"/>
      <c r="I316" s="15"/>
      <c r="J316" s="16"/>
      <c r="K316" s="15"/>
      <c r="L316" s="16"/>
      <c r="M316" s="15"/>
      <c r="N316" s="15"/>
    </row>
    <row r="317" spans="1:14" ht="76.5" x14ac:dyDescent="0.25">
      <c r="A317" s="15"/>
      <c r="B317" s="15"/>
      <c r="C317" s="15"/>
      <c r="D317" s="15"/>
      <c r="E317" s="16"/>
      <c r="F317" s="15"/>
      <c r="G317" s="16"/>
      <c r="H317" s="12" t="s">
        <v>153</v>
      </c>
      <c r="I317" s="15"/>
      <c r="J317" s="16"/>
      <c r="K317" s="15"/>
      <c r="L317" s="16"/>
      <c r="M317" s="15"/>
      <c r="N317" s="15"/>
    </row>
    <row r="318" spans="1:14" ht="140.25" x14ac:dyDescent="0.25">
      <c r="A318" s="12" t="s">
        <v>1350</v>
      </c>
      <c r="B318" s="12" t="s">
        <v>1351</v>
      </c>
      <c r="C318" s="13" t="s">
        <v>1352</v>
      </c>
      <c r="D318" s="12" t="s">
        <v>1346</v>
      </c>
      <c r="E318" s="11"/>
      <c r="F318" s="11"/>
      <c r="G318" s="11"/>
      <c r="H318" s="11"/>
      <c r="I318" s="12" t="s">
        <v>1353</v>
      </c>
      <c r="J318" s="11"/>
      <c r="K318" s="12" t="s">
        <v>1354</v>
      </c>
      <c r="L318" s="11"/>
      <c r="M318" s="12" t="str">
        <f>HYPERLINK("https://ceds.ed.gov/cedselementdetails.aspx?termid=18516")</f>
        <v>https://ceds.ed.gov/cedselementdetails.aspx?termid=18516</v>
      </c>
      <c r="N318" s="12" t="str">
        <f>HYPERLINK("https://ceds.ed.gov/elementComment.aspx?elementName=Assessment Registration Completion Status &amp;elementID=18516", "Click here to submit comment")</f>
        <v>Click here to submit comment</v>
      </c>
    </row>
    <row r="319" spans="1:14" ht="38.25" x14ac:dyDescent="0.25">
      <c r="A319" s="12" t="s">
        <v>1355</v>
      </c>
      <c r="B319" s="12" t="s">
        <v>1356</v>
      </c>
      <c r="C319" s="12" t="s">
        <v>37</v>
      </c>
      <c r="D319" s="12" t="s">
        <v>1346</v>
      </c>
      <c r="E319" s="11"/>
      <c r="F319" s="12" t="s">
        <v>941</v>
      </c>
      <c r="G319" s="11"/>
      <c r="H319" s="11"/>
      <c r="I319" s="12" t="s">
        <v>1357</v>
      </c>
      <c r="J319" s="11"/>
      <c r="K319" s="12" t="s">
        <v>1358</v>
      </c>
      <c r="L319" s="11"/>
      <c r="M319" s="12" t="str">
        <f>HYPERLINK("https://ceds.ed.gov/cedselementdetails.aspx?termid=18517")</f>
        <v>https://ceds.ed.gov/cedselementdetails.aspx?termid=18517</v>
      </c>
      <c r="N319" s="12" t="str">
        <f>HYPERLINK("https://ceds.ed.gov/elementComment.aspx?elementName=Assessment Registration Completion Status Date Time &amp;elementID=18517", "Click here to submit comment")</f>
        <v>Click here to submit comment</v>
      </c>
    </row>
    <row r="320" spans="1:14" ht="25.5" x14ac:dyDescent="0.25">
      <c r="A320" s="12" t="s">
        <v>1359</v>
      </c>
      <c r="B320" s="12" t="s">
        <v>1360</v>
      </c>
      <c r="C320" s="12" t="s">
        <v>37</v>
      </c>
      <c r="D320" s="12" t="s">
        <v>1346</v>
      </c>
      <c r="E320" s="11"/>
      <c r="F320" s="12" t="s">
        <v>941</v>
      </c>
      <c r="G320" s="11"/>
      <c r="H320" s="11"/>
      <c r="I320" s="12" t="s">
        <v>1361</v>
      </c>
      <c r="J320" s="11"/>
      <c r="K320" s="12" t="s">
        <v>1362</v>
      </c>
      <c r="L320" s="11"/>
      <c r="M320" s="12" t="str">
        <f>HYPERLINK("https://ceds.ed.gov/cedselementdetails.aspx?termid=18019")</f>
        <v>https://ceds.ed.gov/cedselementdetails.aspx?termid=18019</v>
      </c>
      <c r="N320" s="12" t="str">
        <f>HYPERLINK("https://ceds.ed.gov/elementComment.aspx?elementName=Assessment Registration Creation Date &amp;elementID=18019", "Click here to submit comment")</f>
        <v>Click here to submit comment</v>
      </c>
    </row>
    <row r="321" spans="1:14" ht="25.5" x14ac:dyDescent="0.25">
      <c r="A321" s="12" t="s">
        <v>1363</v>
      </c>
      <c r="B321" s="12" t="s">
        <v>1364</v>
      </c>
      <c r="C321" s="12" t="s">
        <v>37</v>
      </c>
      <c r="D321" s="12" t="s">
        <v>1346</v>
      </c>
      <c r="E321" s="11"/>
      <c r="F321" s="12" t="s">
        <v>370</v>
      </c>
      <c r="G321" s="11"/>
      <c r="H321" s="11"/>
      <c r="I321" s="12" t="s">
        <v>1365</v>
      </c>
      <c r="J321" s="11"/>
      <c r="K321" s="12" t="s">
        <v>1366</v>
      </c>
      <c r="L321" s="11"/>
      <c r="M321" s="12" t="str">
        <f>HYPERLINK("https://ceds.ed.gov/cedselementdetails.aspx?termid=18017")</f>
        <v>https://ceds.ed.gov/cedselementdetails.aspx?termid=18017</v>
      </c>
      <c r="N321" s="12" t="str">
        <f>HYPERLINK("https://ceds.ed.gov/elementComment.aspx?elementName=Assessment Registration Days of Instruction &amp;elementID=18017", "Click here to submit comment")</f>
        <v>Click here to submit comment</v>
      </c>
    </row>
    <row r="322" spans="1:14" ht="409.5" x14ac:dyDescent="0.25">
      <c r="A322" s="12" t="s">
        <v>1367</v>
      </c>
      <c r="B322" s="12" t="s">
        <v>1368</v>
      </c>
      <c r="C322" s="13" t="s">
        <v>1369</v>
      </c>
      <c r="D322" s="12" t="s">
        <v>1346</v>
      </c>
      <c r="E322" s="12" t="s">
        <v>195</v>
      </c>
      <c r="F322" s="11"/>
      <c r="G322" s="12" t="s">
        <v>1370</v>
      </c>
      <c r="H322" s="12" t="s">
        <v>1371</v>
      </c>
      <c r="I322" s="12" t="s">
        <v>1372</v>
      </c>
      <c r="J322" s="11"/>
      <c r="K322" s="12" t="s">
        <v>1373</v>
      </c>
      <c r="L322" s="11"/>
      <c r="M322" s="12" t="str">
        <f>HYPERLINK("https://ceds.ed.gov/cedselementdetails.aspx?termid=18063")</f>
        <v>https://ceds.ed.gov/cedselementdetails.aspx?termid=18063</v>
      </c>
      <c r="N322" s="12" t="str">
        <f>HYPERLINK("https://ceds.ed.gov/elementComment.aspx?elementName=Assessment Registration Grade Level to Be Assessed &amp;elementID=18063", "Click here to submit comment")</f>
        <v>Click here to submit comment</v>
      </c>
    </row>
    <row r="323" spans="1:14" ht="38.25" x14ac:dyDescent="0.25">
      <c r="A323" s="12" t="s">
        <v>1374</v>
      </c>
      <c r="B323" s="12" t="s">
        <v>1375</v>
      </c>
      <c r="C323" s="13" t="s">
        <v>1376</v>
      </c>
      <c r="D323" s="12" t="s">
        <v>1346</v>
      </c>
      <c r="E323" s="11"/>
      <c r="F323" s="11"/>
      <c r="G323" s="11"/>
      <c r="H323" s="11"/>
      <c r="I323" s="12" t="s">
        <v>1377</v>
      </c>
      <c r="J323" s="11"/>
      <c r="K323" s="12" t="s">
        <v>1378</v>
      </c>
      <c r="L323" s="12" t="s">
        <v>583</v>
      </c>
      <c r="M323" s="12" t="str">
        <f>HYPERLINK("https://ceds.ed.gov/cedselementdetails.aspx?termid=17025")</f>
        <v>https://ceds.ed.gov/cedselementdetails.aspx?termid=17025</v>
      </c>
      <c r="N323" s="12" t="str">
        <f>HYPERLINK("https://ceds.ed.gov/elementComment.aspx?elementName=Assessment Registration Participation Indicator &amp;elementID=17025", "Click here to submit comment")</f>
        <v>Click here to submit comment</v>
      </c>
    </row>
    <row r="324" spans="1:14" ht="140.25" x14ac:dyDescent="0.25">
      <c r="A324" s="12" t="s">
        <v>1379</v>
      </c>
      <c r="B324" s="12" t="s">
        <v>1380</v>
      </c>
      <c r="C324" s="13" t="s">
        <v>1381</v>
      </c>
      <c r="D324" s="12" t="s">
        <v>1346</v>
      </c>
      <c r="E324" s="11"/>
      <c r="F324" s="11"/>
      <c r="G324" s="11"/>
      <c r="H324" s="12" t="s">
        <v>1382</v>
      </c>
      <c r="I324" s="12" t="s">
        <v>1383</v>
      </c>
      <c r="J324" s="11"/>
      <c r="K324" s="12" t="s">
        <v>1384</v>
      </c>
      <c r="L324" s="12" t="s">
        <v>1385</v>
      </c>
      <c r="M324" s="12" t="str">
        <f>HYPERLINK("https://ceds.ed.gov/cedselementdetails.aspx?termid=17531")</f>
        <v>https://ceds.ed.gov/cedselementdetails.aspx?termid=17531</v>
      </c>
      <c r="N324" s="12" t="str">
        <f>HYPERLINK("https://ceds.ed.gov/elementComment.aspx?elementName=Assessment Registration Reason Not Completing &amp;elementID=17531", "Click here to submit comment")</f>
        <v>Click here to submit comment</v>
      </c>
    </row>
    <row r="325" spans="1:14" ht="51" x14ac:dyDescent="0.25">
      <c r="A325" s="12" t="s">
        <v>1386</v>
      </c>
      <c r="B325" s="12" t="s">
        <v>1387</v>
      </c>
      <c r="C325" s="12" t="s">
        <v>24</v>
      </c>
      <c r="D325" s="12" t="s">
        <v>1346</v>
      </c>
      <c r="E325" s="11"/>
      <c r="F325" s="11"/>
      <c r="G325" s="11"/>
      <c r="H325" s="11"/>
      <c r="I325" s="12" t="s">
        <v>1388</v>
      </c>
      <c r="J325" s="11"/>
      <c r="K325" s="12" t="s">
        <v>1389</v>
      </c>
      <c r="L325" s="11"/>
      <c r="M325" s="12" t="str">
        <f>HYPERLINK("https://ceds.ed.gov/cedselementdetails.aspx?termid=18018")</f>
        <v>https://ceds.ed.gov/cedselementdetails.aspx?termid=18018</v>
      </c>
      <c r="N325" s="12" t="str">
        <f>HYPERLINK("https://ceds.ed.gov/elementComment.aspx?elementName=Assessment Registration Retest Indicator &amp;elementID=18018", "Click here to submit comment")</f>
        <v>Click here to submit comment</v>
      </c>
    </row>
    <row r="326" spans="1:14" ht="89.25" x14ac:dyDescent="0.25">
      <c r="A326" s="12" t="s">
        <v>1390</v>
      </c>
      <c r="B326" s="12" t="s">
        <v>1391</v>
      </c>
      <c r="C326" s="12" t="s">
        <v>37</v>
      </c>
      <c r="D326" s="12" t="s">
        <v>1346</v>
      </c>
      <c r="E326" s="11"/>
      <c r="F326" s="12" t="s">
        <v>135</v>
      </c>
      <c r="G326" s="11"/>
      <c r="H326" s="11"/>
      <c r="I326" s="12" t="s">
        <v>1392</v>
      </c>
      <c r="J326" s="11"/>
      <c r="K326" s="12" t="s">
        <v>1393</v>
      </c>
      <c r="L326" s="11"/>
      <c r="M326" s="12" t="str">
        <f>HYPERLINK("https://ceds.ed.gov/cedselementdetails.aspx?termid=18062")</f>
        <v>https://ceds.ed.gov/cedselementdetails.aspx?termid=18062</v>
      </c>
      <c r="N326" s="12" t="str">
        <f>HYPERLINK("https://ceds.ed.gov/elementComment.aspx?elementName=Assessment Registration Score Publish Date &amp;elementID=18062", "Click here to submit comment")</f>
        <v>Click here to submit comment</v>
      </c>
    </row>
    <row r="327" spans="1:14" ht="51" x14ac:dyDescent="0.25">
      <c r="A327" s="15" t="s">
        <v>1394</v>
      </c>
      <c r="B327" s="15" t="s">
        <v>1395</v>
      </c>
      <c r="C327" s="15" t="s">
        <v>37</v>
      </c>
      <c r="D327" s="15" t="s">
        <v>1346</v>
      </c>
      <c r="E327" s="16"/>
      <c r="F327" s="15" t="s">
        <v>149</v>
      </c>
      <c r="G327" s="16"/>
      <c r="H327" s="12" t="s">
        <v>1396</v>
      </c>
      <c r="I327" s="15" t="s">
        <v>1397</v>
      </c>
      <c r="J327" s="16"/>
      <c r="K327" s="15" t="s">
        <v>1398</v>
      </c>
      <c r="L327" s="16"/>
      <c r="M327" s="15" t="str">
        <f>HYPERLINK("https://ceds.ed.gov/cedselementdetails.aspx?termid=18119")</f>
        <v>https://ceds.ed.gov/cedselementdetails.aspx?termid=18119</v>
      </c>
      <c r="N327" s="15" t="str">
        <f>HYPERLINK("https://ceds.ed.gov/elementComment.aspx?elementName=Assessment Registration Test Attempt Identifier &amp;elementID=18119", "Click here to submit comment")</f>
        <v>Click here to submit comment</v>
      </c>
    </row>
    <row r="328" spans="1:14" x14ac:dyDescent="0.25">
      <c r="A328" s="15"/>
      <c r="B328" s="15"/>
      <c r="C328" s="15"/>
      <c r="D328" s="15"/>
      <c r="E328" s="16"/>
      <c r="F328" s="15"/>
      <c r="G328" s="16"/>
      <c r="H328" s="11"/>
      <c r="I328" s="15"/>
      <c r="J328" s="16"/>
      <c r="K328" s="15"/>
      <c r="L328" s="16"/>
      <c r="M328" s="15"/>
      <c r="N328" s="15"/>
    </row>
    <row r="329" spans="1:14" ht="76.5" x14ac:dyDescent="0.25">
      <c r="A329" s="15"/>
      <c r="B329" s="15"/>
      <c r="C329" s="15"/>
      <c r="D329" s="15"/>
      <c r="E329" s="16"/>
      <c r="F329" s="15"/>
      <c r="G329" s="16"/>
      <c r="H329" s="12" t="s">
        <v>150</v>
      </c>
      <c r="I329" s="15"/>
      <c r="J329" s="16"/>
      <c r="K329" s="15"/>
      <c r="L329" s="16"/>
      <c r="M329" s="15"/>
      <c r="N329" s="15"/>
    </row>
    <row r="330" spans="1:14" x14ac:dyDescent="0.25">
      <c r="A330" s="15"/>
      <c r="B330" s="15"/>
      <c r="C330" s="15"/>
      <c r="D330" s="15"/>
      <c r="E330" s="16"/>
      <c r="F330" s="15"/>
      <c r="G330" s="16"/>
      <c r="H330" s="12"/>
      <c r="I330" s="15"/>
      <c r="J330" s="16"/>
      <c r="K330" s="15"/>
      <c r="L330" s="16"/>
      <c r="M330" s="15"/>
      <c r="N330" s="15"/>
    </row>
    <row r="331" spans="1:14" ht="76.5" x14ac:dyDescent="0.25">
      <c r="A331" s="15"/>
      <c r="B331" s="15"/>
      <c r="C331" s="15"/>
      <c r="D331" s="15"/>
      <c r="E331" s="16"/>
      <c r="F331" s="15"/>
      <c r="G331" s="16"/>
      <c r="H331" s="12" t="s">
        <v>153</v>
      </c>
      <c r="I331" s="15"/>
      <c r="J331" s="16"/>
      <c r="K331" s="15"/>
      <c r="L331" s="16"/>
      <c r="M331" s="15"/>
      <c r="N331" s="15"/>
    </row>
    <row r="332" spans="1:14" ht="51" x14ac:dyDescent="0.25">
      <c r="A332" s="12" t="s">
        <v>1399</v>
      </c>
      <c r="B332" s="12" t="s">
        <v>1400</v>
      </c>
      <c r="C332" s="12" t="s">
        <v>37</v>
      </c>
      <c r="D332" s="12" t="s">
        <v>1346</v>
      </c>
      <c r="E332" s="11"/>
      <c r="F332" s="12" t="s">
        <v>129</v>
      </c>
      <c r="G332" s="11"/>
      <c r="H332" s="12" t="s">
        <v>1401</v>
      </c>
      <c r="I332" s="12" t="s">
        <v>1402</v>
      </c>
      <c r="J332" s="11"/>
      <c r="K332" s="12" t="s">
        <v>1403</v>
      </c>
      <c r="L332" s="11"/>
      <c r="M332" s="12" t="str">
        <f>HYPERLINK("https://ceds.ed.gov/cedselementdetails.aspx?termid=18061")</f>
        <v>https://ceds.ed.gov/cedselementdetails.aspx?termid=18061</v>
      </c>
      <c r="N332" s="12" t="str">
        <f>HYPERLINK("https://ceds.ed.gov/elementComment.aspx?elementName=Assessment Registration Testing Indicator &amp;elementID=18061", "Click here to submit comment")</f>
        <v>Click here to submit comment</v>
      </c>
    </row>
    <row r="333" spans="1:14" ht="127.5" x14ac:dyDescent="0.25">
      <c r="A333" s="12" t="s">
        <v>1404</v>
      </c>
      <c r="B333" s="12" t="s">
        <v>1405</v>
      </c>
      <c r="C333" s="13" t="s">
        <v>1406</v>
      </c>
      <c r="D333" s="12" t="s">
        <v>1407</v>
      </c>
      <c r="E333" s="11"/>
      <c r="F333" s="11"/>
      <c r="G333" s="11"/>
      <c r="H333" s="12" t="s">
        <v>1408</v>
      </c>
      <c r="I333" s="12" t="s">
        <v>1409</v>
      </c>
      <c r="J333" s="11"/>
      <c r="K333" s="12" t="s">
        <v>1410</v>
      </c>
      <c r="L333" s="11"/>
      <c r="M333" s="12" t="str">
        <f>HYPERLINK("https://ceds.ed.gov/cedselementdetails.aspx?termid=18518")</f>
        <v>https://ceds.ed.gov/cedselementdetails.aspx?termid=18518</v>
      </c>
      <c r="N333" s="12" t="str">
        <f>HYPERLINK("https://ceds.ed.gov/elementComment.aspx?elementName=Assessment Result Data Type &amp;elementID=18518", "Click here to submit comment")</f>
        <v>Click here to submit comment</v>
      </c>
    </row>
    <row r="334" spans="1:14" ht="25.5" x14ac:dyDescent="0.25">
      <c r="A334" s="12" t="s">
        <v>1411</v>
      </c>
      <c r="B334" s="12" t="s">
        <v>1412</v>
      </c>
      <c r="C334" s="12" t="s">
        <v>37</v>
      </c>
      <c r="D334" s="12" t="s">
        <v>1407</v>
      </c>
      <c r="E334" s="11"/>
      <c r="F334" s="12" t="s">
        <v>135</v>
      </c>
      <c r="G334" s="11"/>
      <c r="H334" s="11"/>
      <c r="I334" s="12" t="s">
        <v>1413</v>
      </c>
      <c r="J334" s="11"/>
      <c r="K334" s="12" t="s">
        <v>1414</v>
      </c>
      <c r="L334" s="11"/>
      <c r="M334" s="12" t="str">
        <f>HYPERLINK("https://ceds.ed.gov/cedselementdetails.aspx?termid=17972")</f>
        <v>https://ceds.ed.gov/cedselementdetails.aspx?termid=17972</v>
      </c>
      <c r="N334" s="12" t="str">
        <f>HYPERLINK("https://ceds.ed.gov/elementComment.aspx?elementName=Assessment Result Date Created &amp;elementID=17972", "Click here to submit comment")</f>
        <v>Click here to submit comment</v>
      </c>
    </row>
    <row r="335" spans="1:14" ht="102" x14ac:dyDescent="0.25">
      <c r="A335" s="12" t="s">
        <v>1415</v>
      </c>
      <c r="B335" s="12" t="s">
        <v>1416</v>
      </c>
      <c r="C335" s="12" t="s">
        <v>37</v>
      </c>
      <c r="D335" s="12" t="s">
        <v>1407</v>
      </c>
      <c r="E335" s="11"/>
      <c r="F335" s="12" t="s">
        <v>135</v>
      </c>
      <c r="G335" s="11"/>
      <c r="H335" s="12" t="s">
        <v>1417</v>
      </c>
      <c r="I335" s="12" t="s">
        <v>1418</v>
      </c>
      <c r="J335" s="11"/>
      <c r="K335" s="12" t="s">
        <v>1419</v>
      </c>
      <c r="L335" s="11"/>
      <c r="M335" s="12" t="str">
        <f>HYPERLINK("https://ceds.ed.gov/cedselementdetails.aspx?termid=17971")</f>
        <v>https://ceds.ed.gov/cedselementdetails.aspx?termid=17971</v>
      </c>
      <c r="N335" s="12" t="str">
        <f>HYPERLINK("https://ceds.ed.gov/elementComment.aspx?elementName=Assessment Result Date Updated &amp;elementID=17971", "Click here to submit comment")</f>
        <v>Click here to submit comment</v>
      </c>
    </row>
    <row r="336" spans="1:14" ht="51" x14ac:dyDescent="0.25">
      <c r="A336" s="12" t="s">
        <v>1420</v>
      </c>
      <c r="B336" s="12" t="s">
        <v>1421</v>
      </c>
      <c r="C336" s="12" t="s">
        <v>37</v>
      </c>
      <c r="D336" s="12" t="s">
        <v>1407</v>
      </c>
      <c r="E336" s="11"/>
      <c r="F336" s="12" t="s">
        <v>129</v>
      </c>
      <c r="G336" s="11"/>
      <c r="H336" s="11"/>
      <c r="I336" s="12" t="s">
        <v>1422</v>
      </c>
      <c r="J336" s="11"/>
      <c r="K336" s="12" t="s">
        <v>1423</v>
      </c>
      <c r="L336" s="12" t="s">
        <v>908</v>
      </c>
      <c r="M336" s="12" t="str">
        <f>HYPERLINK("https://ceds.ed.gov/cedselementdetails.aspx?termid=17890")</f>
        <v>https://ceds.ed.gov/cedselementdetails.aspx?termid=17890</v>
      </c>
      <c r="N336" s="12" t="str">
        <f>HYPERLINK("https://ceds.ed.gov/elementComment.aspx?elementName=Assessment Result Descriptive Feedback &amp;elementID=17890", "Click here to submit comment")</f>
        <v>Click here to submit comment</v>
      </c>
    </row>
    <row r="337" spans="1:14" ht="51" x14ac:dyDescent="0.25">
      <c r="A337" s="12" t="s">
        <v>1424</v>
      </c>
      <c r="B337" s="12" t="s">
        <v>1425</v>
      </c>
      <c r="C337" s="12" t="s">
        <v>37</v>
      </c>
      <c r="D337" s="12" t="s">
        <v>1426</v>
      </c>
      <c r="E337" s="11"/>
      <c r="F337" s="12" t="s">
        <v>941</v>
      </c>
      <c r="G337" s="11"/>
      <c r="H337" s="11"/>
      <c r="I337" s="12" t="s">
        <v>1427</v>
      </c>
      <c r="J337" s="11"/>
      <c r="K337" s="12" t="s">
        <v>1428</v>
      </c>
      <c r="L337" s="11"/>
      <c r="M337" s="12" t="str">
        <f>HYPERLINK("https://ceds.ed.gov/cedselementdetails.aspx?termid=18520")</f>
        <v>https://ceds.ed.gov/cedselementdetails.aspx?termid=18520</v>
      </c>
      <c r="N337" s="12" t="str">
        <f>HYPERLINK("https://ceds.ed.gov/elementComment.aspx?elementName=Assessment Result Descriptive Feedback Date Time &amp;elementID=18520", "Click here to submit comment")</f>
        <v>Click here to submit comment</v>
      </c>
    </row>
    <row r="338" spans="1:14" ht="89.25" x14ac:dyDescent="0.25">
      <c r="A338" s="12" t="s">
        <v>1429</v>
      </c>
      <c r="B338" s="12" t="s">
        <v>1430</v>
      </c>
      <c r="C338" s="12" t="s">
        <v>37</v>
      </c>
      <c r="D338" s="12" t="s">
        <v>1407</v>
      </c>
      <c r="E338" s="11"/>
      <c r="F338" s="12" t="s">
        <v>175</v>
      </c>
      <c r="G338" s="11"/>
      <c r="H338" s="11"/>
      <c r="I338" s="12" t="s">
        <v>1431</v>
      </c>
      <c r="J338" s="11"/>
      <c r="K338" s="12" t="s">
        <v>1432</v>
      </c>
      <c r="L338" s="11"/>
      <c r="M338" s="12" t="str">
        <f>HYPERLINK("https://ceds.ed.gov/cedselementdetails.aspx?termid=18076")</f>
        <v>https://ceds.ed.gov/cedselementdetails.aspx?termid=18076</v>
      </c>
      <c r="N338" s="12" t="str">
        <f>HYPERLINK("https://ceds.ed.gov/elementComment.aspx?elementName=Assessment Result Descriptive Feedback Source &amp;elementID=18076", "Click here to submit comment")</f>
        <v>Click here to submit comment</v>
      </c>
    </row>
    <row r="339" spans="1:14" ht="76.5" x14ac:dyDescent="0.25">
      <c r="A339" s="12" t="s">
        <v>1433</v>
      </c>
      <c r="B339" s="12" t="s">
        <v>1434</v>
      </c>
      <c r="C339" s="12" t="s">
        <v>37</v>
      </c>
      <c r="D339" s="12" t="s">
        <v>1407</v>
      </c>
      <c r="E339" s="11"/>
      <c r="F339" s="12" t="s">
        <v>382</v>
      </c>
      <c r="G339" s="11"/>
      <c r="H339" s="11"/>
      <c r="I339" s="12" t="s">
        <v>1435</v>
      </c>
      <c r="J339" s="11"/>
      <c r="K339" s="12" t="s">
        <v>1436</v>
      </c>
      <c r="L339" s="11"/>
      <c r="M339" s="12" t="str">
        <f>HYPERLINK("https://ceds.ed.gov/cedselementdetails.aspx?termid=18185")</f>
        <v>https://ceds.ed.gov/cedselementdetails.aspx?termid=18185</v>
      </c>
      <c r="N339" s="12" t="str">
        <f>HYPERLINK("https://ceds.ed.gov/elementComment.aspx?elementName=Assessment Result Diagnostic Statement &amp;elementID=18185", "Click here to submit comment")</f>
        <v>Click here to submit comment</v>
      </c>
    </row>
    <row r="340" spans="1:14" ht="63.75" x14ac:dyDescent="0.25">
      <c r="A340" s="12" t="s">
        <v>1437</v>
      </c>
      <c r="B340" s="12" t="s">
        <v>1438</v>
      </c>
      <c r="C340" s="12" t="s">
        <v>24</v>
      </c>
      <c r="D340" s="11"/>
      <c r="E340" s="12" t="s">
        <v>4064</v>
      </c>
      <c r="F340" s="11"/>
      <c r="G340" s="12" t="s">
        <v>8523</v>
      </c>
      <c r="H340" s="11"/>
      <c r="I340" s="12" t="s">
        <v>1439</v>
      </c>
      <c r="J340" s="12" t="s">
        <v>1440</v>
      </c>
      <c r="K340" s="12" t="s">
        <v>1441</v>
      </c>
      <c r="L340" s="12" t="s">
        <v>258</v>
      </c>
      <c r="M340" s="12" t="str">
        <f>HYPERLINK("https://ceds.ed.gov/cedselementdetails.aspx?termid=17568")</f>
        <v>https://ceds.ed.gov/cedselementdetails.aspx?termid=17568</v>
      </c>
      <c r="N340" s="12" t="str">
        <f>HYPERLINK("https://ceds.ed.gov/elementComment.aspx?elementName=Assessment Result Included in Adequate Yearly Progress Calculation &amp;elementID=17568", "Click here to submit comment")</f>
        <v>Click here to submit comment</v>
      </c>
    </row>
    <row r="341" spans="1:14" ht="89.25" x14ac:dyDescent="0.25">
      <c r="A341" s="12" t="s">
        <v>1442</v>
      </c>
      <c r="B341" s="12" t="s">
        <v>1443</v>
      </c>
      <c r="C341" s="12" t="s">
        <v>37</v>
      </c>
      <c r="D341" s="12" t="s">
        <v>1407</v>
      </c>
      <c r="E341" s="11"/>
      <c r="F341" s="12" t="s">
        <v>370</v>
      </c>
      <c r="G341" s="11"/>
      <c r="H341" s="11"/>
      <c r="I341" s="12" t="s">
        <v>1444</v>
      </c>
      <c r="J341" s="11"/>
      <c r="K341" s="12" t="s">
        <v>1445</v>
      </c>
      <c r="L341" s="11"/>
      <c r="M341" s="12" t="str">
        <f>HYPERLINK("https://ceds.ed.gov/cedselementdetails.aspx?termid=18012")</f>
        <v>https://ceds.ed.gov/cedselementdetails.aspx?termid=18012</v>
      </c>
      <c r="N341" s="12" t="str">
        <f>HYPERLINK("https://ceds.ed.gov/elementComment.aspx?elementName=Assessment Result Number of Responses &amp;elementID=18012", "Click here to submit comment")</f>
        <v>Click here to submit comment</v>
      </c>
    </row>
    <row r="342" spans="1:14" ht="63.75" x14ac:dyDescent="0.25">
      <c r="A342" s="12" t="s">
        <v>1446</v>
      </c>
      <c r="B342" s="12" t="s">
        <v>1447</v>
      </c>
      <c r="C342" s="12" t="s">
        <v>24</v>
      </c>
      <c r="D342" s="12" t="s">
        <v>1407</v>
      </c>
      <c r="E342" s="11"/>
      <c r="F342" s="11"/>
      <c r="G342" s="11"/>
      <c r="H342" s="11"/>
      <c r="I342" s="12" t="s">
        <v>1448</v>
      </c>
      <c r="J342" s="11"/>
      <c r="K342" s="12" t="s">
        <v>1449</v>
      </c>
      <c r="L342" s="11"/>
      <c r="M342" s="12" t="str">
        <f>HYPERLINK("https://ceds.ed.gov/cedselementdetails.aspx?termid=18010")</f>
        <v>https://ceds.ed.gov/cedselementdetails.aspx?termid=18010</v>
      </c>
      <c r="N342" s="12" t="str">
        <f>HYPERLINK("https://ceds.ed.gov/elementComment.aspx?elementName=Assessment Result Preliminary Indicator &amp;elementID=18010", "Click here to submit comment")</f>
        <v>Click here to submit comment</v>
      </c>
    </row>
    <row r="343" spans="1:14" ht="51" x14ac:dyDescent="0.25">
      <c r="A343" s="12" t="s">
        <v>1450</v>
      </c>
      <c r="B343" s="12" t="s">
        <v>1451</v>
      </c>
      <c r="C343" s="13" t="s">
        <v>1452</v>
      </c>
      <c r="D343" s="12" t="s">
        <v>1407</v>
      </c>
      <c r="E343" s="11"/>
      <c r="F343" s="11"/>
      <c r="G343" s="11"/>
      <c r="H343" s="11"/>
      <c r="I343" s="12" t="s">
        <v>1453</v>
      </c>
      <c r="J343" s="11"/>
      <c r="K343" s="12" t="s">
        <v>1454</v>
      </c>
      <c r="L343" s="12" t="s">
        <v>1455</v>
      </c>
      <c r="M343" s="12" t="str">
        <f>HYPERLINK("https://ceds.ed.gov/cedselementdetails.aspx?termid=17564")</f>
        <v>https://ceds.ed.gov/cedselementdetails.aspx?termid=17564</v>
      </c>
      <c r="N343" s="12" t="str">
        <f>HYPERLINK("https://ceds.ed.gov/elementComment.aspx?elementName=Assessment Result Pretest Outcome &amp;elementID=17564", "Click here to submit comment")</f>
        <v>Click here to submit comment</v>
      </c>
    </row>
    <row r="344" spans="1:14" ht="38.25" x14ac:dyDescent="0.25">
      <c r="A344" s="12" t="s">
        <v>1456</v>
      </c>
      <c r="B344" s="12" t="s">
        <v>1457</v>
      </c>
      <c r="C344" s="12" t="s">
        <v>37</v>
      </c>
      <c r="D344" s="12" t="s">
        <v>1407</v>
      </c>
      <c r="E344" s="11"/>
      <c r="F344" s="12" t="s">
        <v>165</v>
      </c>
      <c r="G344" s="11"/>
      <c r="H344" s="12" t="s">
        <v>1458</v>
      </c>
      <c r="I344" s="12" t="s">
        <v>1459</v>
      </c>
      <c r="J344" s="11"/>
      <c r="K344" s="12" t="s">
        <v>1460</v>
      </c>
      <c r="L344" s="11"/>
      <c r="M344" s="12" t="str">
        <f>HYPERLINK("https://ceds.ed.gov/cedselementdetails.aspx?termid=18522")</f>
        <v>https://ceds.ed.gov/cedselementdetails.aspx?termid=18522</v>
      </c>
      <c r="N344" s="12" t="str">
        <f>HYPERLINK("https://ceds.ed.gov/elementComment.aspx?elementName=Assessment Result Score Standard Error &amp;elementID=18522", "Click here to submit comment")</f>
        <v>Click here to submit comment</v>
      </c>
    </row>
    <row r="345" spans="1:14" ht="165.75" x14ac:dyDescent="0.25">
      <c r="A345" s="12" t="s">
        <v>1461</v>
      </c>
      <c r="B345" s="12" t="s">
        <v>1462</v>
      </c>
      <c r="C345" s="13" t="s">
        <v>1463</v>
      </c>
      <c r="D345" s="12" t="s">
        <v>1407</v>
      </c>
      <c r="E345" s="11"/>
      <c r="F345" s="11"/>
      <c r="G345" s="11"/>
      <c r="H345" s="11"/>
      <c r="I345" s="12" t="s">
        <v>1464</v>
      </c>
      <c r="J345" s="11"/>
      <c r="K345" s="12" t="s">
        <v>1465</v>
      </c>
      <c r="L345" s="11"/>
      <c r="M345" s="12" t="str">
        <f>HYPERLINK("https://ceds.ed.gov/cedselementdetails.aspx?termid=18523")</f>
        <v>https://ceds.ed.gov/cedselementdetails.aspx?termid=18523</v>
      </c>
      <c r="N345" s="12" t="str">
        <f>HYPERLINK("https://ceds.ed.gov/elementComment.aspx?elementName=Assessment Result Score Type &amp;elementID=18523", "Click here to submit comment")</f>
        <v>Click here to submit comment</v>
      </c>
    </row>
    <row r="346" spans="1:14" ht="153" x14ac:dyDescent="0.25">
      <c r="A346" s="12" t="s">
        <v>1466</v>
      </c>
      <c r="B346" s="12" t="s">
        <v>1467</v>
      </c>
      <c r="C346" s="12" t="s">
        <v>37</v>
      </c>
      <c r="D346" s="12" t="s">
        <v>1407</v>
      </c>
      <c r="E346" s="11"/>
      <c r="F346" s="12" t="s">
        <v>1468</v>
      </c>
      <c r="G346" s="11"/>
      <c r="H346" s="12" t="s">
        <v>1469</v>
      </c>
      <c r="I346" s="12" t="s">
        <v>1470</v>
      </c>
      <c r="J346" s="11"/>
      <c r="K346" s="12" t="s">
        <v>1471</v>
      </c>
      <c r="L346" s="12" t="s">
        <v>1472</v>
      </c>
      <c r="M346" s="12" t="str">
        <f>HYPERLINK("https://ceds.ed.gov/cedselementdetails.aspx?termid=17245")</f>
        <v>https://ceds.ed.gov/cedselementdetails.aspx?termid=17245</v>
      </c>
      <c r="N346" s="12" t="str">
        <f>HYPERLINK("https://ceds.ed.gov/elementComment.aspx?elementName=Assessment Result Score Value &amp;elementID=17245", "Click here to submit comment")</f>
        <v>Click here to submit comment</v>
      </c>
    </row>
    <row r="347" spans="1:14" ht="38.25" x14ac:dyDescent="0.25">
      <c r="A347" s="12" t="s">
        <v>1473</v>
      </c>
      <c r="B347" s="12" t="s">
        <v>1474</v>
      </c>
      <c r="C347" s="12" t="s">
        <v>37</v>
      </c>
      <c r="D347" s="12" t="s">
        <v>590</v>
      </c>
      <c r="E347" s="11"/>
      <c r="F347" s="12" t="s">
        <v>135</v>
      </c>
      <c r="G347" s="11"/>
      <c r="H347" s="11"/>
      <c r="I347" s="12" t="s">
        <v>1475</v>
      </c>
      <c r="J347" s="11"/>
      <c r="K347" s="12" t="s">
        <v>1476</v>
      </c>
      <c r="L347" s="11"/>
      <c r="M347" s="12" t="str">
        <f>HYPERLINK("https://ceds.ed.gov/cedselementdetails.aspx?termid=18519")</f>
        <v>https://ceds.ed.gov/cedselementdetails.aspx?termid=18519</v>
      </c>
      <c r="N347" s="12" t="str">
        <f>HYPERLINK("https://ceds.ed.gov/elementComment.aspx?elementName=Assessment Revision Date &amp;elementID=18519", "Click here to submit comment")</f>
        <v>Click here to submit comment</v>
      </c>
    </row>
    <row r="348" spans="1:14" ht="408" x14ac:dyDescent="0.25">
      <c r="A348" s="12" t="s">
        <v>1477</v>
      </c>
      <c r="B348" s="12" t="s">
        <v>1478</v>
      </c>
      <c r="C348" s="13" t="s">
        <v>1316</v>
      </c>
      <c r="D348" s="12" t="s">
        <v>1479</v>
      </c>
      <c r="E348" s="11"/>
      <c r="F348" s="11"/>
      <c r="G348" s="11"/>
      <c r="H348" s="11"/>
      <c r="I348" s="12" t="s">
        <v>1480</v>
      </c>
      <c r="J348" s="11"/>
      <c r="K348" s="12" t="s">
        <v>1481</v>
      </c>
      <c r="L348" s="12" t="s">
        <v>1482</v>
      </c>
      <c r="M348" s="12" t="str">
        <f>HYPERLINK("https://ceds.ed.gov/cedselementdetails.aspx?termid=17368")</f>
        <v>https://ceds.ed.gov/cedselementdetails.aspx?termid=17368</v>
      </c>
      <c r="N348" s="12" t="str">
        <f>HYPERLINK("https://ceds.ed.gov/elementComment.aspx?elementName=Assessment Score Metric Type &amp;elementID=17368", "Click here to submit comment")</f>
        <v>Click here to submit comment</v>
      </c>
    </row>
    <row r="349" spans="1:14" ht="38.25" x14ac:dyDescent="0.25">
      <c r="A349" s="12" t="s">
        <v>1483</v>
      </c>
      <c r="B349" s="12" t="s">
        <v>1484</v>
      </c>
      <c r="C349" s="12" t="s">
        <v>24</v>
      </c>
      <c r="D349" s="12" t="s">
        <v>1485</v>
      </c>
      <c r="E349" s="11"/>
      <c r="F349" s="11"/>
      <c r="G349" s="11"/>
      <c r="H349" s="11"/>
      <c r="I349" s="12" t="s">
        <v>1486</v>
      </c>
      <c r="J349" s="11"/>
      <c r="K349" s="12" t="s">
        <v>1487</v>
      </c>
      <c r="L349" s="12" t="s">
        <v>106</v>
      </c>
      <c r="M349" s="12" t="str">
        <f>HYPERLINK("https://ceds.ed.gov/cedselementdetails.aspx?termid=17375")</f>
        <v>https://ceds.ed.gov/cedselementdetails.aspx?termid=17375</v>
      </c>
      <c r="N349" s="12" t="str">
        <f>HYPERLINK("https://ceds.ed.gov/elementComment.aspx?elementName=Assessment Secure Indicator &amp;elementID=17375", "Click here to submit comment")</f>
        <v>Click here to submit comment</v>
      </c>
    </row>
    <row r="350" spans="1:14" ht="63.75" x14ac:dyDescent="0.25">
      <c r="A350" s="12" t="s">
        <v>1488</v>
      </c>
      <c r="B350" s="12" t="s">
        <v>1489</v>
      </c>
      <c r="C350" s="12" t="s">
        <v>37</v>
      </c>
      <c r="D350" s="12" t="s">
        <v>1490</v>
      </c>
      <c r="E350" s="11"/>
      <c r="F350" s="12" t="s">
        <v>941</v>
      </c>
      <c r="G350" s="11"/>
      <c r="H350" s="12" t="s">
        <v>1491</v>
      </c>
      <c r="I350" s="12" t="s">
        <v>1492</v>
      </c>
      <c r="J350" s="11"/>
      <c r="K350" s="12" t="s">
        <v>1493</v>
      </c>
      <c r="L350" s="11"/>
      <c r="M350" s="12" t="str">
        <f>HYPERLINK("https://ceds.ed.gov/cedselementdetails.aspx?termid=18024")</f>
        <v>https://ceds.ed.gov/cedselementdetails.aspx?termid=18024</v>
      </c>
      <c r="N350" s="12" t="str">
        <f>HYPERLINK("https://ceds.ed.gov/elementComment.aspx?elementName=Assessment Session Actual End Date Time &amp;elementID=18024", "Click here to submit comment")</f>
        <v>Click here to submit comment</v>
      </c>
    </row>
    <row r="351" spans="1:14" ht="63.75" x14ac:dyDescent="0.25">
      <c r="A351" s="12" t="s">
        <v>1494</v>
      </c>
      <c r="B351" s="12" t="s">
        <v>1495</v>
      </c>
      <c r="C351" s="12" t="s">
        <v>37</v>
      </c>
      <c r="D351" s="12" t="s">
        <v>1490</v>
      </c>
      <c r="E351" s="11"/>
      <c r="F351" s="12" t="s">
        <v>941</v>
      </c>
      <c r="G351" s="11"/>
      <c r="H351" s="12" t="s">
        <v>1496</v>
      </c>
      <c r="I351" s="12" t="s">
        <v>1497</v>
      </c>
      <c r="J351" s="11"/>
      <c r="K351" s="12" t="s">
        <v>1498</v>
      </c>
      <c r="L351" s="11"/>
      <c r="M351" s="12" t="str">
        <f>HYPERLINK("https://ceds.ed.gov/cedselementdetails.aspx?termid=18023")</f>
        <v>https://ceds.ed.gov/cedselementdetails.aspx?termid=18023</v>
      </c>
      <c r="N351" s="12" t="str">
        <f>HYPERLINK("https://ceds.ed.gov/elementComment.aspx?elementName=Assessment Session Actual Start Date Time &amp;elementID=18023", "Click here to submit comment")</f>
        <v>Click here to submit comment</v>
      </c>
    </row>
    <row r="352" spans="1:14" ht="76.5" x14ac:dyDescent="0.25">
      <c r="A352" s="15" t="s">
        <v>1499</v>
      </c>
      <c r="B352" s="15" t="s">
        <v>1500</v>
      </c>
      <c r="C352" s="15" t="s">
        <v>37</v>
      </c>
      <c r="D352" s="15" t="s">
        <v>1501</v>
      </c>
      <c r="E352" s="16"/>
      <c r="F352" s="15" t="s">
        <v>149</v>
      </c>
      <c r="G352" s="16"/>
      <c r="H352" s="12" t="s">
        <v>150</v>
      </c>
      <c r="I352" s="15" t="s">
        <v>1502</v>
      </c>
      <c r="J352" s="16"/>
      <c r="K352" s="15" t="s">
        <v>1503</v>
      </c>
      <c r="L352" s="15" t="s">
        <v>106</v>
      </c>
      <c r="M352" s="15" t="str">
        <f>HYPERLINK("https://ceds.ed.gov/cedselementdetails.aspx?termid=17400")</f>
        <v>https://ceds.ed.gov/cedselementdetails.aspx?termid=17400</v>
      </c>
      <c r="N352" s="15" t="str">
        <f>HYPERLINK("https://ceds.ed.gov/elementComment.aspx?elementName=Assessment Session Administrator Identifier &amp;elementID=17400", "Click here to submit comment")</f>
        <v>Click here to submit comment</v>
      </c>
    </row>
    <row r="353" spans="1:14" x14ac:dyDescent="0.25">
      <c r="A353" s="15"/>
      <c r="B353" s="15"/>
      <c r="C353" s="15"/>
      <c r="D353" s="15"/>
      <c r="E353" s="16"/>
      <c r="F353" s="15"/>
      <c r="G353" s="16"/>
      <c r="H353" s="12"/>
      <c r="I353" s="15"/>
      <c r="J353" s="16"/>
      <c r="K353" s="15"/>
      <c r="L353" s="15"/>
      <c r="M353" s="15"/>
      <c r="N353" s="15"/>
    </row>
    <row r="354" spans="1:14" ht="76.5" x14ac:dyDescent="0.25">
      <c r="A354" s="15"/>
      <c r="B354" s="15"/>
      <c r="C354" s="15"/>
      <c r="D354" s="15"/>
      <c r="E354" s="16"/>
      <c r="F354" s="15"/>
      <c r="G354" s="16"/>
      <c r="H354" s="12" t="s">
        <v>153</v>
      </c>
      <c r="I354" s="15"/>
      <c r="J354" s="16"/>
      <c r="K354" s="15"/>
      <c r="L354" s="15"/>
      <c r="M354" s="15"/>
      <c r="N354" s="15"/>
    </row>
    <row r="355" spans="1:14" ht="38.25" x14ac:dyDescent="0.25">
      <c r="A355" s="12" t="s">
        <v>1504</v>
      </c>
      <c r="B355" s="12" t="s">
        <v>1505</v>
      </c>
      <c r="C355" s="12" t="s">
        <v>37</v>
      </c>
      <c r="D355" s="12" t="s">
        <v>1501</v>
      </c>
      <c r="E355" s="11"/>
      <c r="F355" s="12" t="s">
        <v>946</v>
      </c>
      <c r="G355" s="11"/>
      <c r="H355" s="11"/>
      <c r="I355" s="12" t="s">
        <v>1506</v>
      </c>
      <c r="J355" s="11"/>
      <c r="K355" s="12" t="s">
        <v>1507</v>
      </c>
      <c r="L355" s="12" t="s">
        <v>106</v>
      </c>
      <c r="M355" s="12" t="str">
        <f>HYPERLINK("https://ceds.ed.gov/cedselementdetails.aspx?termid=17399")</f>
        <v>https://ceds.ed.gov/cedselementdetails.aspx?termid=17399</v>
      </c>
      <c r="N355" s="12" t="str">
        <f>HYPERLINK("https://ceds.ed.gov/elementComment.aspx?elementName=Assessment Session Allotted Time &amp;elementID=17399", "Click here to submit comment")</f>
        <v>Click here to submit comment</v>
      </c>
    </row>
    <row r="356" spans="1:14" ht="51" x14ac:dyDescent="0.25">
      <c r="A356" s="12" t="s">
        <v>1508</v>
      </c>
      <c r="B356" s="12" t="s">
        <v>1509</v>
      </c>
      <c r="C356" s="12" t="s">
        <v>37</v>
      </c>
      <c r="D356" s="12" t="s">
        <v>1490</v>
      </c>
      <c r="E356" s="11"/>
      <c r="F356" s="12" t="s">
        <v>1510</v>
      </c>
      <c r="G356" s="11"/>
      <c r="H356" s="11"/>
      <c r="I356" s="12" t="s">
        <v>1511</v>
      </c>
      <c r="J356" s="11"/>
      <c r="K356" s="12" t="s">
        <v>1512</v>
      </c>
      <c r="L356" s="12" t="s">
        <v>106</v>
      </c>
      <c r="M356" s="12" t="str">
        <f>HYPERLINK("https://ceds.ed.gov/cedselementdetails.aspx?termid=17590")</f>
        <v>https://ceds.ed.gov/cedselementdetails.aspx?termid=17590</v>
      </c>
      <c r="N356" s="12" t="str">
        <f>HYPERLINK("https://ceds.ed.gov/elementComment.aspx?elementName=Assessment Session Location &amp;elementID=17590", "Click here to submit comment")</f>
        <v>Click here to submit comment</v>
      </c>
    </row>
    <row r="357" spans="1:14" ht="38.25" x14ac:dyDescent="0.25">
      <c r="A357" s="15" t="s">
        <v>1513</v>
      </c>
      <c r="B357" s="15" t="s">
        <v>1514</v>
      </c>
      <c r="C357" s="15" t="s">
        <v>37</v>
      </c>
      <c r="D357" s="15" t="s">
        <v>1501</v>
      </c>
      <c r="E357" s="16"/>
      <c r="F357" s="15" t="s">
        <v>149</v>
      </c>
      <c r="G357" s="16"/>
      <c r="H357" s="12" t="s">
        <v>1515</v>
      </c>
      <c r="I357" s="15" t="s">
        <v>1516</v>
      </c>
      <c r="J357" s="16"/>
      <c r="K357" s="15" t="s">
        <v>1517</v>
      </c>
      <c r="L357" s="15" t="s">
        <v>106</v>
      </c>
      <c r="M357" s="15" t="str">
        <f>HYPERLINK("https://ceds.ed.gov/cedselementdetails.aspx?termid=17401")</f>
        <v>https://ceds.ed.gov/cedselementdetails.aspx?termid=17401</v>
      </c>
      <c r="N357" s="15" t="str">
        <f>HYPERLINK("https://ceds.ed.gov/elementComment.aspx?elementName=Assessment Session Proctor Identifier &amp;elementID=17401", "Click here to submit comment")</f>
        <v>Click here to submit comment</v>
      </c>
    </row>
    <row r="358" spans="1:14" x14ac:dyDescent="0.25">
      <c r="A358" s="15"/>
      <c r="B358" s="15"/>
      <c r="C358" s="15"/>
      <c r="D358" s="15"/>
      <c r="E358" s="16"/>
      <c r="F358" s="15"/>
      <c r="G358" s="16"/>
      <c r="H358" s="11"/>
      <c r="I358" s="15"/>
      <c r="J358" s="16"/>
      <c r="K358" s="15"/>
      <c r="L358" s="15"/>
      <c r="M358" s="15"/>
      <c r="N358" s="15"/>
    </row>
    <row r="359" spans="1:14" ht="76.5" x14ac:dyDescent="0.25">
      <c r="A359" s="15"/>
      <c r="B359" s="15"/>
      <c r="C359" s="15"/>
      <c r="D359" s="15"/>
      <c r="E359" s="16"/>
      <c r="F359" s="15"/>
      <c r="G359" s="16"/>
      <c r="H359" s="12" t="s">
        <v>150</v>
      </c>
      <c r="I359" s="15"/>
      <c r="J359" s="16"/>
      <c r="K359" s="15"/>
      <c r="L359" s="15"/>
      <c r="M359" s="15"/>
      <c r="N359" s="15"/>
    </row>
    <row r="360" spans="1:14" x14ac:dyDescent="0.25">
      <c r="A360" s="15"/>
      <c r="B360" s="15"/>
      <c r="C360" s="15"/>
      <c r="D360" s="15"/>
      <c r="E360" s="16"/>
      <c r="F360" s="15"/>
      <c r="G360" s="16"/>
      <c r="H360" s="12"/>
      <c r="I360" s="15"/>
      <c r="J360" s="16"/>
      <c r="K360" s="15"/>
      <c r="L360" s="15"/>
      <c r="M360" s="15"/>
      <c r="N360" s="15"/>
    </row>
    <row r="361" spans="1:14" ht="76.5" x14ac:dyDescent="0.25">
      <c r="A361" s="15"/>
      <c r="B361" s="15"/>
      <c r="C361" s="15"/>
      <c r="D361" s="15"/>
      <c r="E361" s="16"/>
      <c r="F361" s="15"/>
      <c r="G361" s="16"/>
      <c r="H361" s="12" t="s">
        <v>153</v>
      </c>
      <c r="I361" s="15"/>
      <c r="J361" s="16"/>
      <c r="K361" s="15"/>
      <c r="L361" s="15"/>
      <c r="M361" s="15"/>
      <c r="N361" s="15"/>
    </row>
    <row r="362" spans="1:14" ht="51" x14ac:dyDescent="0.25">
      <c r="A362" s="12" t="s">
        <v>1518</v>
      </c>
      <c r="B362" s="12" t="s">
        <v>1519</v>
      </c>
      <c r="C362" s="12" t="s">
        <v>37</v>
      </c>
      <c r="D362" s="12" t="s">
        <v>1501</v>
      </c>
      <c r="E362" s="11"/>
      <c r="F362" s="12" t="s">
        <v>941</v>
      </c>
      <c r="G362" s="11"/>
      <c r="H362" s="12" t="s">
        <v>160</v>
      </c>
      <c r="I362" s="12" t="s">
        <v>1520</v>
      </c>
      <c r="J362" s="11"/>
      <c r="K362" s="12" t="s">
        <v>1521</v>
      </c>
      <c r="L362" s="11"/>
      <c r="M362" s="12" t="str">
        <f>HYPERLINK("https://ceds.ed.gov/cedselementdetails.aspx?termid=18022")</f>
        <v>https://ceds.ed.gov/cedselementdetails.aspx?termid=18022</v>
      </c>
      <c r="N362" s="12" t="str">
        <f>HYPERLINK("https://ceds.ed.gov/elementComment.aspx?elementName=Assessment Session Scheduled End Date Time &amp;elementID=18022", "Click here to submit comment")</f>
        <v>Click here to submit comment</v>
      </c>
    </row>
    <row r="363" spans="1:14" ht="25.5" x14ac:dyDescent="0.25">
      <c r="A363" s="12" t="s">
        <v>1522</v>
      </c>
      <c r="B363" s="12" t="s">
        <v>1523</v>
      </c>
      <c r="C363" s="12" t="s">
        <v>37</v>
      </c>
      <c r="D363" s="12" t="s">
        <v>1501</v>
      </c>
      <c r="E363" s="11"/>
      <c r="F363" s="12" t="s">
        <v>941</v>
      </c>
      <c r="G363" s="11"/>
      <c r="H363" s="11"/>
      <c r="I363" s="12" t="s">
        <v>1524</v>
      </c>
      <c r="J363" s="11"/>
      <c r="K363" s="12" t="s">
        <v>1525</v>
      </c>
      <c r="L363" s="11"/>
      <c r="M363" s="12" t="str">
        <f>HYPERLINK("https://ceds.ed.gov/cedselementdetails.aspx?termid=18021")</f>
        <v>https://ceds.ed.gov/cedselementdetails.aspx?termid=18021</v>
      </c>
      <c r="N363" s="12" t="str">
        <f>HYPERLINK("https://ceds.ed.gov/elementComment.aspx?elementName=Assessment Session Scheduled Start Date Time &amp;elementID=18021", "Click here to submit comment")</f>
        <v>Click here to submit comment</v>
      </c>
    </row>
    <row r="364" spans="1:14" ht="114.75" x14ac:dyDescent="0.25">
      <c r="A364" s="12" t="s">
        <v>1526</v>
      </c>
      <c r="B364" s="12" t="s">
        <v>1527</v>
      </c>
      <c r="C364" s="12" t="s">
        <v>37</v>
      </c>
      <c r="D364" s="12" t="s">
        <v>1490</v>
      </c>
      <c r="E364" s="11"/>
      <c r="F364" s="12" t="s">
        <v>129</v>
      </c>
      <c r="G364" s="11"/>
      <c r="H364" s="12" t="s">
        <v>978</v>
      </c>
      <c r="I364" s="12" t="s">
        <v>1528</v>
      </c>
      <c r="J364" s="11"/>
      <c r="K364" s="12" t="s">
        <v>1529</v>
      </c>
      <c r="L364" s="11"/>
      <c r="M364" s="12" t="str">
        <f>HYPERLINK("https://ceds.ed.gov/cedselementdetails.aspx?termid=17969")</f>
        <v>https://ceds.ed.gov/cedselementdetails.aspx?termid=17969</v>
      </c>
      <c r="N364" s="12" t="str">
        <f>HYPERLINK("https://ceds.ed.gov/elementComment.aspx?elementName=Assessment Session Security Issue &amp;elementID=17969", "Click here to submit comment")</f>
        <v>Click here to submit comment</v>
      </c>
    </row>
    <row r="365" spans="1:14" ht="409.5" x14ac:dyDescent="0.25">
      <c r="A365" s="12" t="s">
        <v>1530</v>
      </c>
      <c r="B365" s="12" t="s">
        <v>1531</v>
      </c>
      <c r="C365" s="13" t="s">
        <v>1532</v>
      </c>
      <c r="D365" s="12" t="s">
        <v>1490</v>
      </c>
      <c r="E365" s="11"/>
      <c r="F365" s="11"/>
      <c r="G365" s="11"/>
      <c r="H365" s="11"/>
      <c r="I365" s="12" t="s">
        <v>1533</v>
      </c>
      <c r="J365" s="11"/>
      <c r="K365" s="12" t="s">
        <v>1534</v>
      </c>
      <c r="L365" s="12" t="s">
        <v>106</v>
      </c>
      <c r="M365" s="12" t="str">
        <f>HYPERLINK("https://ceds.ed.gov/cedselementdetails.aspx?termid=17380")</f>
        <v>https://ceds.ed.gov/cedselementdetails.aspx?termid=17380</v>
      </c>
      <c r="N365" s="12" t="str">
        <f>HYPERLINK("https://ceds.ed.gov/elementComment.aspx?elementName=Assessment Session Special Circumstance Type &amp;elementID=17380", "Click here to submit comment")</f>
        <v>Click here to submit comment</v>
      </c>
    </row>
    <row r="366" spans="1:14" ht="63.75" x14ac:dyDescent="0.25">
      <c r="A366" s="12" t="s">
        <v>1535</v>
      </c>
      <c r="B366" s="12" t="s">
        <v>1536</v>
      </c>
      <c r="C366" s="12" t="s">
        <v>37</v>
      </c>
      <c r="D366" s="12" t="s">
        <v>1490</v>
      </c>
      <c r="E366" s="11"/>
      <c r="F366" s="12" t="s">
        <v>175</v>
      </c>
      <c r="G366" s="11"/>
      <c r="H366" s="11"/>
      <c r="I366" s="12" t="s">
        <v>1537</v>
      </c>
      <c r="J366" s="11"/>
      <c r="K366" s="12" t="s">
        <v>1538</v>
      </c>
      <c r="L366" s="11"/>
      <c r="M366" s="12" t="str">
        <f>HYPERLINK("https://ceds.ed.gov/cedselementdetails.aspx?termid=18077")</f>
        <v>https://ceds.ed.gov/cedselementdetails.aspx?termid=18077</v>
      </c>
      <c r="N366" s="12" t="str">
        <f>HYPERLINK("https://ceds.ed.gov/elementComment.aspx?elementName=Assessment Session Special Event Description &amp;elementID=18077", "Click here to submit comment")</f>
        <v>Click here to submit comment</v>
      </c>
    </row>
    <row r="367" spans="1:14" ht="102" x14ac:dyDescent="0.25">
      <c r="A367" s="12" t="s">
        <v>1539</v>
      </c>
      <c r="B367" s="12" t="s">
        <v>1540</v>
      </c>
      <c r="C367" s="13" t="s">
        <v>1541</v>
      </c>
      <c r="D367" s="12" t="s">
        <v>1501</v>
      </c>
      <c r="E367" s="11"/>
      <c r="F367" s="11"/>
      <c r="G367" s="11"/>
      <c r="H367" s="11"/>
      <c r="I367" s="12" t="s">
        <v>1542</v>
      </c>
      <c r="J367" s="11"/>
      <c r="K367" s="12" t="s">
        <v>1543</v>
      </c>
      <c r="L367" s="11"/>
      <c r="M367" s="12" t="str">
        <f>HYPERLINK("https://ceds.ed.gov/cedselementdetails.aspx?termid=18179")</f>
        <v>https://ceds.ed.gov/cedselementdetails.aspx?termid=18179</v>
      </c>
      <c r="N367" s="12" t="str">
        <f>HYPERLINK("https://ceds.ed.gov/elementComment.aspx?elementName=Assessment Session Staff Role Type &amp;elementID=18179", "Click here to submit comment")</f>
        <v>Click here to submit comment</v>
      </c>
    </row>
    <row r="368" spans="1:14" ht="38.25" x14ac:dyDescent="0.25">
      <c r="A368" s="12" t="s">
        <v>1544</v>
      </c>
      <c r="B368" s="12" t="s">
        <v>1545</v>
      </c>
      <c r="C368" s="13" t="s">
        <v>1546</v>
      </c>
      <c r="D368" s="12" t="s">
        <v>1501</v>
      </c>
      <c r="E368" s="11"/>
      <c r="F368" s="11"/>
      <c r="G368" s="11"/>
      <c r="H368" s="11"/>
      <c r="I368" s="12" t="s">
        <v>1547</v>
      </c>
      <c r="J368" s="11"/>
      <c r="K368" s="12" t="s">
        <v>1548</v>
      </c>
      <c r="L368" s="11"/>
      <c r="M368" s="12" t="str">
        <f>HYPERLINK("https://ceds.ed.gov/cedselementdetails.aspx?termid=18020")</f>
        <v>https://ceds.ed.gov/cedselementdetails.aspx?termid=18020</v>
      </c>
      <c r="N368" s="12" t="str">
        <f>HYPERLINK("https://ceds.ed.gov/elementComment.aspx?elementName=Assessment Session Type &amp;elementID=18020", "Click here to submit comment")</f>
        <v>Click here to submit comment</v>
      </c>
    </row>
    <row r="369" spans="1:14" ht="38.25" x14ac:dyDescent="0.25">
      <c r="A369" s="12" t="s">
        <v>1549</v>
      </c>
      <c r="B369" s="12" t="s">
        <v>1550</v>
      </c>
      <c r="C369" s="12" t="s">
        <v>24</v>
      </c>
      <c r="D369" s="12" t="s">
        <v>1551</v>
      </c>
      <c r="E369" s="11"/>
      <c r="F369" s="11"/>
      <c r="G369" s="11"/>
      <c r="H369" s="11"/>
      <c r="I369" s="12" t="s">
        <v>1552</v>
      </c>
      <c r="J369" s="11"/>
      <c r="K369" s="12" t="s">
        <v>1553</v>
      </c>
      <c r="L369" s="12" t="s">
        <v>125</v>
      </c>
      <c r="M369" s="12" t="str">
        <f>HYPERLINK("https://ceds.ed.gov/cedselementdetails.aspx?termid=17858")</f>
        <v>https://ceds.ed.gov/cedselementdetails.aspx?termid=17858</v>
      </c>
      <c r="N369" s="12" t="str">
        <f>HYPERLINK("https://ceds.ed.gov/elementComment.aspx?elementName=Assessment Shared with Parents &amp;elementID=17858", "Click here to submit comment")</f>
        <v>Click here to submit comment</v>
      </c>
    </row>
    <row r="370" spans="1:14" ht="25.5" x14ac:dyDescent="0.25">
      <c r="A370" s="12" t="s">
        <v>1554</v>
      </c>
      <c r="B370" s="12" t="s">
        <v>1555</v>
      </c>
      <c r="C370" s="12" t="s">
        <v>37</v>
      </c>
      <c r="D370" s="12" t="s">
        <v>590</v>
      </c>
      <c r="E370" s="11"/>
      <c r="F370" s="12" t="s">
        <v>97</v>
      </c>
      <c r="G370" s="11"/>
      <c r="H370" s="11"/>
      <c r="I370" s="12" t="s">
        <v>1556</v>
      </c>
      <c r="J370" s="11"/>
      <c r="K370" s="12" t="s">
        <v>1557</v>
      </c>
      <c r="L370" s="11"/>
      <c r="M370" s="12" t="str">
        <f>HYPERLINK("https://ceds.ed.gov/cedselementdetails.aspx?termid=17932")</f>
        <v>https://ceds.ed.gov/cedselementdetails.aspx?termid=17932</v>
      </c>
      <c r="N370" s="12" t="str">
        <f>HYPERLINK("https://ceds.ed.gov/elementComment.aspx?elementName=Assessment Short Name &amp;elementID=17932", "Click here to submit comment")</f>
        <v>Click here to submit comment</v>
      </c>
    </row>
    <row r="371" spans="1:14" ht="38.25" x14ac:dyDescent="0.25">
      <c r="A371" s="12" t="s">
        <v>1558</v>
      </c>
      <c r="B371" s="12" t="s">
        <v>1559</v>
      </c>
      <c r="C371" s="12" t="s">
        <v>37</v>
      </c>
      <c r="D371" s="12" t="s">
        <v>572</v>
      </c>
      <c r="E371" s="11"/>
      <c r="F371" s="12" t="s">
        <v>97</v>
      </c>
      <c r="G371" s="11"/>
      <c r="H371" s="11"/>
      <c r="I371" s="12" t="s">
        <v>1560</v>
      </c>
      <c r="J371" s="11"/>
      <c r="K371" s="12" t="s">
        <v>1561</v>
      </c>
      <c r="L371" s="12" t="s">
        <v>1562</v>
      </c>
      <c r="M371" s="12" t="str">
        <f>HYPERLINK("https://ceds.ed.gov/cedselementdetails.aspx?termid=17367")</f>
        <v>https://ceds.ed.gov/cedselementdetails.aspx?termid=17367</v>
      </c>
      <c r="N371" s="12" t="str">
        <f>HYPERLINK("https://ceds.ed.gov/elementComment.aspx?elementName=Assessment Subtest Abbreviation &amp;elementID=17367", "Click here to submit comment")</f>
        <v>Click here to submit comment</v>
      </c>
    </row>
    <row r="372" spans="1:14" ht="89.25" x14ac:dyDescent="0.25">
      <c r="A372" s="12" t="s">
        <v>1563</v>
      </c>
      <c r="B372" s="12" t="s">
        <v>1564</v>
      </c>
      <c r="C372" s="12" t="s">
        <v>37</v>
      </c>
      <c r="D372" s="12" t="s">
        <v>572</v>
      </c>
      <c r="E372" s="11"/>
      <c r="F372" s="12" t="s">
        <v>175</v>
      </c>
      <c r="G372" s="11"/>
      <c r="H372" s="11"/>
      <c r="I372" s="12" t="s">
        <v>1565</v>
      </c>
      <c r="J372" s="11"/>
      <c r="K372" s="12" t="s">
        <v>1566</v>
      </c>
      <c r="L372" s="12" t="s">
        <v>631</v>
      </c>
      <c r="M372" s="12" t="str">
        <f>HYPERLINK("https://ceds.ed.gov/cedselementdetails.aspx?termid=17274")</f>
        <v>https://ceds.ed.gov/cedselementdetails.aspx?termid=17274</v>
      </c>
      <c r="N372" s="12" t="str">
        <f>HYPERLINK("https://ceds.ed.gov/elementComment.aspx?elementName=Assessment Subtest Description &amp;elementID=17274", "Click here to submit comment")</f>
        <v>Click here to submit comment</v>
      </c>
    </row>
    <row r="373" spans="1:14" ht="76.5" x14ac:dyDescent="0.25">
      <c r="A373" s="15" t="s">
        <v>1567</v>
      </c>
      <c r="B373" s="15" t="s">
        <v>1568</v>
      </c>
      <c r="C373" s="15" t="s">
        <v>37</v>
      </c>
      <c r="D373" s="15" t="s">
        <v>572</v>
      </c>
      <c r="E373" s="16"/>
      <c r="F373" s="15" t="s">
        <v>149</v>
      </c>
      <c r="G373" s="16"/>
      <c r="H373" s="12" t="s">
        <v>150</v>
      </c>
      <c r="I373" s="15" t="s">
        <v>1569</v>
      </c>
      <c r="J373" s="16"/>
      <c r="K373" s="15" t="s">
        <v>1570</v>
      </c>
      <c r="L373" s="15" t="s">
        <v>1482</v>
      </c>
      <c r="M373" s="15" t="str">
        <f>HYPERLINK("https://ceds.ed.gov/cedselementdetails.aspx?termid=17366")</f>
        <v>https://ceds.ed.gov/cedselementdetails.aspx?termid=17366</v>
      </c>
      <c r="N373" s="15" t="str">
        <f>HYPERLINK("https://ceds.ed.gov/elementComment.aspx?elementName=Assessment Subtest Identifier &amp;elementID=17366", "Click here to submit comment")</f>
        <v>Click here to submit comment</v>
      </c>
    </row>
    <row r="374" spans="1:14" x14ac:dyDescent="0.25">
      <c r="A374" s="15"/>
      <c r="B374" s="15"/>
      <c r="C374" s="15"/>
      <c r="D374" s="15"/>
      <c r="E374" s="16"/>
      <c r="F374" s="15"/>
      <c r="G374" s="16"/>
      <c r="H374" s="12"/>
      <c r="I374" s="15"/>
      <c r="J374" s="16"/>
      <c r="K374" s="15"/>
      <c r="L374" s="15"/>
      <c r="M374" s="15"/>
      <c r="N374" s="15"/>
    </row>
    <row r="375" spans="1:14" ht="76.5" x14ac:dyDescent="0.25">
      <c r="A375" s="15"/>
      <c r="B375" s="15"/>
      <c r="C375" s="15"/>
      <c r="D375" s="15"/>
      <c r="E375" s="16"/>
      <c r="F375" s="15"/>
      <c r="G375" s="16"/>
      <c r="H375" s="12" t="s">
        <v>153</v>
      </c>
      <c r="I375" s="15"/>
      <c r="J375" s="16"/>
      <c r="K375" s="15"/>
      <c r="L375" s="15"/>
      <c r="M375" s="15"/>
      <c r="N375" s="15"/>
    </row>
    <row r="376" spans="1:14" ht="63.75" x14ac:dyDescent="0.25">
      <c r="A376" s="12" t="s">
        <v>1571</v>
      </c>
      <c r="B376" s="12" t="s">
        <v>1572</v>
      </c>
      <c r="C376" s="13" t="s">
        <v>1573</v>
      </c>
      <c r="D376" s="12" t="s">
        <v>572</v>
      </c>
      <c r="E376" s="11"/>
      <c r="F376" s="11"/>
      <c r="G376" s="11"/>
      <c r="H376" s="11"/>
      <c r="I376" s="12" t="s">
        <v>1574</v>
      </c>
      <c r="J376" s="11"/>
      <c r="K376" s="12" t="s">
        <v>1575</v>
      </c>
      <c r="L376" s="11"/>
      <c r="M376" s="12" t="str">
        <f>HYPERLINK("https://ceds.ed.gov/cedselementdetails.aspx?termid=18016")</f>
        <v>https://ceds.ed.gov/cedselementdetails.aspx?termid=18016</v>
      </c>
      <c r="N376" s="12" t="str">
        <f>HYPERLINK("https://ceds.ed.gov/elementComment.aspx?elementName=Assessment Subtest Identifier Type &amp;elementID=18016", "Click here to submit comment")</f>
        <v>Click here to submit comment</v>
      </c>
    </row>
    <row r="377" spans="1:14" ht="38.25" x14ac:dyDescent="0.25">
      <c r="A377" s="12" t="s">
        <v>1576</v>
      </c>
      <c r="B377" s="12" t="s">
        <v>1577</v>
      </c>
      <c r="C377" s="12" t="s">
        <v>37</v>
      </c>
      <c r="D377" s="12" t="s">
        <v>572</v>
      </c>
      <c r="E377" s="11"/>
      <c r="F377" s="12" t="s">
        <v>97</v>
      </c>
      <c r="G377" s="11"/>
      <c r="H377" s="11"/>
      <c r="I377" s="12" t="s">
        <v>1578</v>
      </c>
      <c r="J377" s="11"/>
      <c r="K377" s="12" t="s">
        <v>1579</v>
      </c>
      <c r="L377" s="12" t="s">
        <v>106</v>
      </c>
      <c r="M377" s="12" t="str">
        <f>HYPERLINK("https://ceds.ed.gov/cedselementdetails.aspx?termid=17388")</f>
        <v>https://ceds.ed.gov/cedselementdetails.aspx?termid=17388</v>
      </c>
      <c r="N377" s="12" t="str">
        <f>HYPERLINK("https://ceds.ed.gov/elementComment.aspx?elementName=Assessment Subtest Maximum Value &amp;elementID=17388", "Click here to submit comment")</f>
        <v>Click here to submit comment</v>
      </c>
    </row>
    <row r="378" spans="1:14" ht="38.25" x14ac:dyDescent="0.25">
      <c r="A378" s="12" t="s">
        <v>1580</v>
      </c>
      <c r="B378" s="12" t="s">
        <v>1581</v>
      </c>
      <c r="C378" s="12" t="s">
        <v>37</v>
      </c>
      <c r="D378" s="12" t="s">
        <v>572</v>
      </c>
      <c r="E378" s="11"/>
      <c r="F378" s="12" t="s">
        <v>97</v>
      </c>
      <c r="G378" s="11"/>
      <c r="H378" s="11"/>
      <c r="I378" s="12" t="s">
        <v>1582</v>
      </c>
      <c r="J378" s="11"/>
      <c r="K378" s="12" t="s">
        <v>1583</v>
      </c>
      <c r="L378" s="12" t="s">
        <v>106</v>
      </c>
      <c r="M378" s="12" t="str">
        <f>HYPERLINK("https://ceds.ed.gov/cedselementdetails.aspx?termid=17387")</f>
        <v>https://ceds.ed.gov/cedselementdetails.aspx?termid=17387</v>
      </c>
      <c r="N378" s="12" t="str">
        <f>HYPERLINK("https://ceds.ed.gov/elementComment.aspx?elementName=Assessment Subtest Minimum Value &amp;elementID=17387", "Click here to submit comment")</f>
        <v>Click here to submit comment</v>
      </c>
    </row>
    <row r="379" spans="1:14" ht="38.25" x14ac:dyDescent="0.25">
      <c r="A379" s="12" t="s">
        <v>1584</v>
      </c>
      <c r="B379" s="12" t="s">
        <v>1585</v>
      </c>
      <c r="C379" s="12" t="s">
        <v>37</v>
      </c>
      <c r="D379" s="12" t="s">
        <v>572</v>
      </c>
      <c r="E379" s="11"/>
      <c r="F379" s="12" t="s">
        <v>97</v>
      </c>
      <c r="G379" s="11"/>
      <c r="H379" s="12" t="s">
        <v>1586</v>
      </c>
      <c r="I379" s="12" t="s">
        <v>1587</v>
      </c>
      <c r="J379" s="11"/>
      <c r="K379" s="12" t="s">
        <v>1588</v>
      </c>
      <c r="L379" s="12" t="s">
        <v>727</v>
      </c>
      <c r="M379" s="12" t="str">
        <f>HYPERLINK("https://ceds.ed.gov/cedselementdetails.aspx?termid=17389")</f>
        <v>https://ceds.ed.gov/cedselementdetails.aspx?termid=17389</v>
      </c>
      <c r="N379" s="12" t="str">
        <f>HYPERLINK("https://ceds.ed.gov/elementComment.aspx?elementName=Assessment Subtest Optimal Value &amp;elementID=17389", "Click here to submit comment")</f>
        <v>Click here to submit comment</v>
      </c>
    </row>
    <row r="380" spans="1:14" ht="25.5" x14ac:dyDescent="0.25">
      <c r="A380" s="12" t="s">
        <v>1589</v>
      </c>
      <c r="B380" s="12" t="s">
        <v>1590</v>
      </c>
      <c r="C380" s="12" t="s">
        <v>37</v>
      </c>
      <c r="D380" s="12" t="s">
        <v>572</v>
      </c>
      <c r="E380" s="11"/>
      <c r="F380" s="12" t="s">
        <v>135</v>
      </c>
      <c r="G380" s="11"/>
      <c r="H380" s="11"/>
      <c r="I380" s="12" t="s">
        <v>1591</v>
      </c>
      <c r="J380" s="11"/>
      <c r="K380" s="12" t="s">
        <v>1592</v>
      </c>
      <c r="L380" s="11"/>
      <c r="M380" s="12" t="str">
        <f>HYPERLINK("https://ceds.ed.gov/cedselementdetails.aspx?termid=18075")</f>
        <v>https://ceds.ed.gov/cedselementdetails.aspx?termid=18075</v>
      </c>
      <c r="N380" s="12" t="str">
        <f>HYPERLINK("https://ceds.ed.gov/elementComment.aspx?elementName=Assessment Subtest Published Date &amp;elementID=18075", "Click here to submit comment")</f>
        <v>Click here to submit comment</v>
      </c>
    </row>
    <row r="381" spans="1:14" ht="38.25" x14ac:dyDescent="0.25">
      <c r="A381" s="12" t="s">
        <v>1593</v>
      </c>
      <c r="B381" s="12" t="s">
        <v>1594</v>
      </c>
      <c r="C381" s="12" t="s">
        <v>37</v>
      </c>
      <c r="D381" s="12" t="s">
        <v>572</v>
      </c>
      <c r="E381" s="11"/>
      <c r="F381" s="12" t="s">
        <v>382</v>
      </c>
      <c r="G381" s="11"/>
      <c r="H381" s="11"/>
      <c r="I381" s="12" t="s">
        <v>1595</v>
      </c>
      <c r="J381" s="11"/>
      <c r="K381" s="12" t="s">
        <v>1596</v>
      </c>
      <c r="L381" s="11"/>
      <c r="M381" s="12" t="str">
        <f>HYPERLINK("https://ceds.ed.gov/cedselementdetails.aspx?termid=17695")</f>
        <v>https://ceds.ed.gov/cedselementdetails.aspx?termid=17695</v>
      </c>
      <c r="N381" s="12" t="str">
        <f>HYPERLINK("https://ceds.ed.gov/elementComment.aspx?elementName=Assessment Subtest Rules &amp;elementID=17695", "Click here to submit comment")</f>
        <v>Click here to submit comment</v>
      </c>
    </row>
    <row r="382" spans="1:14" ht="102" x14ac:dyDescent="0.25">
      <c r="A382" s="12" t="s">
        <v>1597</v>
      </c>
      <c r="B382" s="12" t="s">
        <v>1598</v>
      </c>
      <c r="C382" s="12" t="s">
        <v>37</v>
      </c>
      <c r="D382" s="12" t="s">
        <v>572</v>
      </c>
      <c r="E382" s="11"/>
      <c r="F382" s="12" t="s">
        <v>175</v>
      </c>
      <c r="G382" s="11"/>
      <c r="H382" s="11"/>
      <c r="I382" s="12" t="s">
        <v>1599</v>
      </c>
      <c r="J382" s="11"/>
      <c r="K382" s="12" t="s">
        <v>1600</v>
      </c>
      <c r="L382" s="12" t="s">
        <v>1601</v>
      </c>
      <c r="M382" s="12" t="str">
        <f>HYPERLINK("https://ceds.ed.gov/cedselementdetails.aspx?termid=17275")</f>
        <v>https://ceds.ed.gov/cedselementdetails.aspx?termid=17275</v>
      </c>
      <c r="N382" s="12" t="str">
        <f>HYPERLINK("https://ceds.ed.gov/elementComment.aspx?elementName=Assessment Subtest Title &amp;elementID=17275", "Click here to submit comment")</f>
        <v>Click here to submit comment</v>
      </c>
    </row>
    <row r="383" spans="1:14" ht="38.25" x14ac:dyDescent="0.25">
      <c r="A383" s="12" t="s">
        <v>1602</v>
      </c>
      <c r="B383" s="12" t="s">
        <v>1603</v>
      </c>
      <c r="C383" s="12" t="s">
        <v>37</v>
      </c>
      <c r="D383" s="12" t="s">
        <v>572</v>
      </c>
      <c r="E383" s="11"/>
      <c r="F383" s="12" t="s">
        <v>97</v>
      </c>
      <c r="G383" s="11"/>
      <c r="H383" s="11"/>
      <c r="I383" s="12" t="s">
        <v>1604</v>
      </c>
      <c r="J383" s="11"/>
      <c r="K383" s="12" t="s">
        <v>1605</v>
      </c>
      <c r="L383" s="12" t="s">
        <v>1482</v>
      </c>
      <c r="M383" s="12" t="str">
        <f>HYPERLINK("https://ceds.ed.gov/cedselementdetails.aspx?termid=17379")</f>
        <v>https://ceds.ed.gov/cedselementdetails.aspx?termid=17379</v>
      </c>
      <c r="N383" s="12" t="str">
        <f>HYPERLINK("https://ceds.ed.gov/elementComment.aspx?elementName=Assessment Subtest Version &amp;elementID=17379", "Click here to submit comment")</f>
        <v>Click here to submit comment</v>
      </c>
    </row>
    <row r="384" spans="1:14" ht="102" x14ac:dyDescent="0.25">
      <c r="A384" s="12" t="s">
        <v>1606</v>
      </c>
      <c r="B384" s="12" t="s">
        <v>1607</v>
      </c>
      <c r="C384" s="12" t="s">
        <v>37</v>
      </c>
      <c r="D384" s="12" t="s">
        <v>1608</v>
      </c>
      <c r="E384" s="11"/>
      <c r="F384" s="12" t="s">
        <v>175</v>
      </c>
      <c r="G384" s="11"/>
      <c r="H384" s="11"/>
      <c r="I384" s="12" t="s">
        <v>1609</v>
      </c>
      <c r="J384" s="11"/>
      <c r="K384" s="12" t="s">
        <v>1610</v>
      </c>
      <c r="L384" s="12" t="s">
        <v>1601</v>
      </c>
      <c r="M384" s="12" t="str">
        <f>HYPERLINK("https://ceds.ed.gov/cedselementdetails.aspx?termid=17028")</f>
        <v>https://ceds.ed.gov/cedselementdetails.aspx?termid=17028</v>
      </c>
      <c r="N384" s="12" t="str">
        <f>HYPERLINK("https://ceds.ed.gov/elementComment.aspx?elementName=Assessment Title &amp;elementID=17028", "Click here to submit comment")</f>
        <v>Click here to submit comment</v>
      </c>
    </row>
    <row r="385" spans="1:14" ht="409.5" x14ac:dyDescent="0.25">
      <c r="A385" s="12" t="s">
        <v>1611</v>
      </c>
      <c r="B385" s="12" t="s">
        <v>1612</v>
      </c>
      <c r="C385" s="13" t="s">
        <v>1613</v>
      </c>
      <c r="D385" s="12" t="s">
        <v>590</v>
      </c>
      <c r="E385" s="11"/>
      <c r="F385" s="11"/>
      <c r="G385" s="11"/>
      <c r="H385" s="11"/>
      <c r="I385" s="12" t="s">
        <v>1614</v>
      </c>
      <c r="J385" s="11"/>
      <c r="K385" s="12" t="s">
        <v>1615</v>
      </c>
      <c r="L385" s="12" t="s">
        <v>575</v>
      </c>
      <c r="M385" s="12" t="str">
        <f>HYPERLINK("https://ceds.ed.gov/cedselementdetails.aspx?termid=17029")</f>
        <v>https://ceds.ed.gov/cedselementdetails.aspx?termid=17029</v>
      </c>
      <c r="N385" s="12" t="str">
        <f>HYPERLINK("https://ceds.ed.gov/elementComment.aspx?elementName=Assessment Type &amp;elementID=17029", "Click here to submit comment")</f>
        <v>Click here to submit comment</v>
      </c>
    </row>
    <row r="386" spans="1:14" ht="331.5" x14ac:dyDescent="0.25">
      <c r="A386" s="12" t="s">
        <v>1616</v>
      </c>
      <c r="B386" s="12" t="s">
        <v>1617</v>
      </c>
      <c r="C386" s="13" t="s">
        <v>1618</v>
      </c>
      <c r="D386" s="12" t="s">
        <v>1608</v>
      </c>
      <c r="E386" s="11"/>
      <c r="F386" s="11"/>
      <c r="G386" s="11"/>
      <c r="H386" s="11"/>
      <c r="I386" s="12" t="s">
        <v>1619</v>
      </c>
      <c r="J386" s="11"/>
      <c r="K386" s="12" t="s">
        <v>1620</v>
      </c>
      <c r="L386" s="12" t="s">
        <v>1385</v>
      </c>
      <c r="M386" s="12" t="str">
        <f>HYPERLINK("https://ceds.ed.gov/cedselementdetails.aspx?termid=17405")</f>
        <v>https://ceds.ed.gov/cedselementdetails.aspx?termid=17405</v>
      </c>
      <c r="N386" s="12" t="str">
        <f>HYPERLINK("https://ceds.ed.gov/elementComment.aspx?elementName=Assessment Type Administered to Children with Disabilities &amp;elementID=17405", "Click here to submit comment")</f>
        <v>Click here to submit comment</v>
      </c>
    </row>
    <row r="387" spans="1:14" ht="127.5" x14ac:dyDescent="0.25">
      <c r="A387" s="12" t="s">
        <v>1621</v>
      </c>
      <c r="B387" s="12" t="s">
        <v>1622</v>
      </c>
      <c r="C387" s="12" t="s">
        <v>37</v>
      </c>
      <c r="D387" s="12" t="s">
        <v>1623</v>
      </c>
      <c r="E387" s="11"/>
      <c r="F387" s="12" t="s">
        <v>135</v>
      </c>
      <c r="G387" s="11"/>
      <c r="H387" s="12" t="s">
        <v>160</v>
      </c>
      <c r="I387" s="12" t="s">
        <v>1624</v>
      </c>
      <c r="J387" s="11"/>
      <c r="K387" s="12" t="s">
        <v>1625</v>
      </c>
      <c r="L387" s="11"/>
      <c r="M387" s="12" t="str">
        <f>HYPERLINK("https://ceds.ed.gov/cedselementdetails.aspx?termid=17518")</f>
        <v>https://ceds.ed.gov/cedselementdetails.aspx?termid=17518</v>
      </c>
      <c r="N387" s="12" t="str">
        <f>HYPERLINK("https://ceds.ed.gov/elementComment.aspx?elementName=Assignment End Date &amp;elementID=17518", "Click here to submit comment")</f>
        <v>Click here to submit comment</v>
      </c>
    </row>
    <row r="388" spans="1:14" ht="127.5" x14ac:dyDescent="0.25">
      <c r="A388" s="12" t="s">
        <v>1626</v>
      </c>
      <c r="B388" s="12" t="s">
        <v>1627</v>
      </c>
      <c r="C388" s="12" t="s">
        <v>37</v>
      </c>
      <c r="D388" s="12" t="s">
        <v>1623</v>
      </c>
      <c r="E388" s="11"/>
      <c r="F388" s="12" t="s">
        <v>135</v>
      </c>
      <c r="G388" s="11"/>
      <c r="H388" s="11"/>
      <c r="I388" s="12" t="s">
        <v>1628</v>
      </c>
      <c r="J388" s="11"/>
      <c r="K388" s="12" t="s">
        <v>1629</v>
      </c>
      <c r="L388" s="11"/>
      <c r="M388" s="12" t="str">
        <f>HYPERLINK("https://ceds.ed.gov/cedselementdetails.aspx?termid=17517")</f>
        <v>https://ceds.ed.gov/cedselementdetails.aspx?termid=17517</v>
      </c>
      <c r="N388" s="12" t="str">
        <f>HYPERLINK("https://ceds.ed.gov/elementComment.aspx?elementName=Assignment Start Date &amp;elementID=17517", "Click here to submit comment")</f>
        <v>Click here to submit comment</v>
      </c>
    </row>
    <row r="389" spans="1:14" ht="140.25" x14ac:dyDescent="0.25">
      <c r="A389" s="12" t="s">
        <v>1630</v>
      </c>
      <c r="B389" s="12" t="s">
        <v>1631</v>
      </c>
      <c r="C389" s="12" t="s">
        <v>37</v>
      </c>
      <c r="D389" s="12" t="s">
        <v>1632</v>
      </c>
      <c r="E389" s="11"/>
      <c r="F389" s="12" t="s">
        <v>135</v>
      </c>
      <c r="G389" s="11"/>
      <c r="H389" s="11"/>
      <c r="I389" s="12" t="s">
        <v>1633</v>
      </c>
      <c r="J389" s="11"/>
      <c r="K389" s="12" t="s">
        <v>1634</v>
      </c>
      <c r="L389" s="11"/>
      <c r="M389" s="12" t="str">
        <f>HYPERLINK("https://ceds.ed.gov/cedselementdetails.aspx?termid=18630")</f>
        <v>https://ceds.ed.gov/cedselementdetails.aspx?termid=18630</v>
      </c>
      <c r="N389" s="12" t="str">
        <f>HYPERLINK("https://ceds.ed.gov/elementComment.aspx?elementName=Attendance Event Date &amp;elementID=18630", "Click here to submit comment")</f>
        <v>Click here to submit comment</v>
      </c>
    </row>
    <row r="390" spans="1:14" ht="114.75" x14ac:dyDescent="0.25">
      <c r="A390" s="12" t="s">
        <v>1635</v>
      </c>
      <c r="B390" s="12" t="s">
        <v>1636</v>
      </c>
      <c r="C390" s="13" t="s">
        <v>1637</v>
      </c>
      <c r="D390" s="12" t="s">
        <v>1638</v>
      </c>
      <c r="E390" s="11"/>
      <c r="F390" s="11"/>
      <c r="G390" s="11"/>
      <c r="H390" s="11"/>
      <c r="I390" s="12" t="s">
        <v>1639</v>
      </c>
      <c r="J390" s="11"/>
      <c r="K390" s="12" t="s">
        <v>1640</v>
      </c>
      <c r="L390" s="11"/>
      <c r="M390" s="12" t="str">
        <f>HYPERLINK("https://ceds.ed.gov/cedselementdetails.aspx?termid=17594")</f>
        <v>https://ceds.ed.gov/cedselementdetails.aspx?termid=17594</v>
      </c>
      <c r="N390" s="12" t="str">
        <f>HYPERLINK("https://ceds.ed.gov/elementComment.aspx?elementName=Attendance Event Type &amp;elementID=17594", "Click here to submit comment")</f>
        <v>Click here to submit comment</v>
      </c>
    </row>
    <row r="391" spans="1:14" ht="140.25" x14ac:dyDescent="0.25">
      <c r="A391" s="12" t="s">
        <v>1641</v>
      </c>
      <c r="B391" s="12" t="s">
        <v>1642</v>
      </c>
      <c r="C391" s="13" t="s">
        <v>1643</v>
      </c>
      <c r="D391" s="12" t="s">
        <v>1632</v>
      </c>
      <c r="E391" s="11"/>
      <c r="F391" s="11"/>
      <c r="G391" s="11"/>
      <c r="H391" s="11"/>
      <c r="I391" s="12" t="s">
        <v>1644</v>
      </c>
      <c r="J391" s="11"/>
      <c r="K391" s="12" t="s">
        <v>1645</v>
      </c>
      <c r="L391" s="11"/>
      <c r="M391" s="12" t="str">
        <f>HYPERLINK("https://ceds.ed.gov/cedselementdetails.aspx?termid=17076")</f>
        <v>https://ceds.ed.gov/cedselementdetails.aspx?termid=17076</v>
      </c>
      <c r="N391" s="12" t="str">
        <f>HYPERLINK("https://ceds.ed.gov/elementComment.aspx?elementName=Attendance Status &amp;elementID=17076", "Click here to submit comment")</f>
        <v>Click here to submit comment</v>
      </c>
    </row>
    <row r="392" spans="1:14" ht="51" x14ac:dyDescent="0.25">
      <c r="A392" s="12" t="s">
        <v>1646</v>
      </c>
      <c r="B392" s="12" t="s">
        <v>1647</v>
      </c>
      <c r="C392" s="12" t="s">
        <v>37</v>
      </c>
      <c r="D392" s="12" t="s">
        <v>1648</v>
      </c>
      <c r="E392" s="11"/>
      <c r="F392" s="12" t="s">
        <v>135</v>
      </c>
      <c r="G392" s="11"/>
      <c r="H392" s="12" t="s">
        <v>160</v>
      </c>
      <c r="I392" s="12" t="s">
        <v>1649</v>
      </c>
      <c r="J392" s="11"/>
      <c r="K392" s="12" t="s">
        <v>1650</v>
      </c>
      <c r="L392" s="11"/>
      <c r="M392" s="12" t="str">
        <f>HYPERLINK("https://ceds.ed.gov/cedselementdetails.aspx?termid=18126")</f>
        <v>https://ceds.ed.gov/cedselementdetails.aspx?termid=18126</v>
      </c>
      <c r="N392" s="12" t="str">
        <f>HYPERLINK("https://ceds.ed.gov/elementComment.aspx?elementName=Authentication Identity Provider End Date &amp;elementID=18126", "Click here to submit comment")</f>
        <v>Click here to submit comment</v>
      </c>
    </row>
    <row r="393" spans="1:14" ht="76.5" x14ac:dyDescent="0.25">
      <c r="A393" s="15" t="s">
        <v>1651</v>
      </c>
      <c r="B393" s="15" t="s">
        <v>1652</v>
      </c>
      <c r="C393" s="15" t="s">
        <v>37</v>
      </c>
      <c r="D393" s="15" t="s">
        <v>1648</v>
      </c>
      <c r="E393" s="16"/>
      <c r="F393" s="15" t="s">
        <v>149</v>
      </c>
      <c r="G393" s="16"/>
      <c r="H393" s="12" t="s">
        <v>150</v>
      </c>
      <c r="I393" s="15" t="s">
        <v>1653</v>
      </c>
      <c r="J393" s="16"/>
      <c r="K393" s="15" t="s">
        <v>1654</v>
      </c>
      <c r="L393" s="16"/>
      <c r="M393" s="15" t="str">
        <f>HYPERLINK("https://ceds.ed.gov/cedselementdetails.aspx?termid=18124")</f>
        <v>https://ceds.ed.gov/cedselementdetails.aspx?termid=18124</v>
      </c>
      <c r="N393" s="15" t="str">
        <f>HYPERLINK("https://ceds.ed.gov/elementComment.aspx?elementName=Authentication Identity Provider Login Identifier &amp;elementID=18124", "Click here to submit comment")</f>
        <v>Click here to submit comment</v>
      </c>
    </row>
    <row r="394" spans="1:14" x14ac:dyDescent="0.25">
      <c r="A394" s="15"/>
      <c r="B394" s="15"/>
      <c r="C394" s="15"/>
      <c r="D394" s="15"/>
      <c r="E394" s="16"/>
      <c r="F394" s="15"/>
      <c r="G394" s="16"/>
      <c r="H394" s="12"/>
      <c r="I394" s="15"/>
      <c r="J394" s="16"/>
      <c r="K394" s="15"/>
      <c r="L394" s="16"/>
      <c r="M394" s="15"/>
      <c r="N394" s="15"/>
    </row>
    <row r="395" spans="1:14" ht="76.5" x14ac:dyDescent="0.25">
      <c r="A395" s="15"/>
      <c r="B395" s="15"/>
      <c r="C395" s="15"/>
      <c r="D395" s="15"/>
      <c r="E395" s="16"/>
      <c r="F395" s="15"/>
      <c r="G395" s="16"/>
      <c r="H395" s="12" t="s">
        <v>153</v>
      </c>
      <c r="I395" s="15"/>
      <c r="J395" s="16"/>
      <c r="K395" s="15"/>
      <c r="L395" s="16"/>
      <c r="M395" s="15"/>
      <c r="N395" s="15"/>
    </row>
    <row r="396" spans="1:14" ht="25.5" x14ac:dyDescent="0.25">
      <c r="A396" s="12" t="s">
        <v>1655</v>
      </c>
      <c r="B396" s="12" t="s">
        <v>1656</v>
      </c>
      <c r="C396" s="12" t="s">
        <v>37</v>
      </c>
      <c r="D396" s="12" t="s">
        <v>1648</v>
      </c>
      <c r="E396" s="11"/>
      <c r="F396" s="12" t="s">
        <v>175</v>
      </c>
      <c r="G396" s="11"/>
      <c r="H396" s="11"/>
      <c r="I396" s="12" t="s">
        <v>1657</v>
      </c>
      <c r="J396" s="11"/>
      <c r="K396" s="12" t="s">
        <v>1658</v>
      </c>
      <c r="L396" s="11"/>
      <c r="M396" s="12" t="str">
        <f>HYPERLINK("https://ceds.ed.gov/cedselementdetails.aspx?termid=18122")</f>
        <v>https://ceds.ed.gov/cedselementdetails.aspx?termid=18122</v>
      </c>
      <c r="N396" s="12" t="str">
        <f>HYPERLINK("https://ceds.ed.gov/elementComment.aspx?elementName=Authentication Identity Provider Name &amp;elementID=18122", "Click here to submit comment")</f>
        <v>Click here to submit comment</v>
      </c>
    </row>
    <row r="397" spans="1:14" ht="51" x14ac:dyDescent="0.25">
      <c r="A397" s="12" t="s">
        <v>1659</v>
      </c>
      <c r="B397" s="12" t="s">
        <v>1660</v>
      </c>
      <c r="C397" s="12" t="s">
        <v>37</v>
      </c>
      <c r="D397" s="12" t="s">
        <v>1648</v>
      </c>
      <c r="E397" s="11"/>
      <c r="F397" s="12" t="s">
        <v>135</v>
      </c>
      <c r="G397" s="11"/>
      <c r="H397" s="11"/>
      <c r="I397" s="12" t="s">
        <v>1661</v>
      </c>
      <c r="J397" s="11"/>
      <c r="K397" s="12" t="s">
        <v>1662</v>
      </c>
      <c r="L397" s="11"/>
      <c r="M397" s="12" t="str">
        <f>HYPERLINK("https://ceds.ed.gov/cedselementdetails.aspx?termid=18125")</f>
        <v>https://ceds.ed.gov/cedselementdetails.aspx?termid=18125</v>
      </c>
      <c r="N397" s="12" t="str">
        <f>HYPERLINK("https://ceds.ed.gov/elementComment.aspx?elementName=Authentication Identity Provider Start Date &amp;elementID=18125", "Click here to submit comment")</f>
        <v>Click here to submit comment</v>
      </c>
    </row>
    <row r="398" spans="1:14" ht="25.5" x14ac:dyDescent="0.25">
      <c r="A398" s="12" t="s">
        <v>1663</v>
      </c>
      <c r="B398" s="12" t="s">
        <v>1664</v>
      </c>
      <c r="C398" s="12" t="s">
        <v>37</v>
      </c>
      <c r="D398" s="12" t="s">
        <v>1648</v>
      </c>
      <c r="E398" s="11"/>
      <c r="F398" s="12" t="s">
        <v>57</v>
      </c>
      <c r="G398" s="11"/>
      <c r="H398" s="11"/>
      <c r="I398" s="12" t="s">
        <v>1665</v>
      </c>
      <c r="J398" s="11"/>
      <c r="K398" s="12" t="s">
        <v>1666</v>
      </c>
      <c r="L398" s="11"/>
      <c r="M398" s="12" t="str">
        <f>HYPERLINK("https://ceds.ed.gov/cedselementdetails.aspx?termid=18123")</f>
        <v>https://ceds.ed.gov/cedselementdetails.aspx?termid=18123</v>
      </c>
      <c r="N398" s="12" t="str">
        <f>HYPERLINK("https://ceds.ed.gov/elementComment.aspx?elementName=Authentication Identity Provider URI &amp;elementID=18123", "Click here to submit comment")</f>
        <v>Click here to submit comment</v>
      </c>
    </row>
    <row r="399" spans="1:14" ht="51" x14ac:dyDescent="0.25">
      <c r="A399" s="12" t="s">
        <v>1667</v>
      </c>
      <c r="B399" s="12" t="s">
        <v>1668</v>
      </c>
      <c r="C399" s="12" t="s">
        <v>24</v>
      </c>
      <c r="D399" s="12" t="s">
        <v>1669</v>
      </c>
      <c r="E399" s="11"/>
      <c r="F399" s="11"/>
      <c r="G399" s="11"/>
      <c r="H399" s="11"/>
      <c r="I399" s="12" t="s">
        <v>1670</v>
      </c>
      <c r="J399" s="11"/>
      <c r="K399" s="12" t="s">
        <v>1671</v>
      </c>
      <c r="L399" s="11"/>
      <c r="M399" s="12" t="str">
        <f>HYPERLINK("https://ceds.ed.gov/cedselementdetails.aspx?termid=18702")</f>
        <v>https://ceds.ed.gov/cedselementdetails.aspx?termid=18702</v>
      </c>
      <c r="N399" s="12" t="str">
        <f>HYPERLINK("https://ceds.ed.gov/elementComment.aspx?elementName=Authorization Acceptance Indicator &amp;elementID=18702", "Click here to submit comment")</f>
        <v>Click here to submit comment</v>
      </c>
    </row>
    <row r="400" spans="1:14" ht="25.5" x14ac:dyDescent="0.25">
      <c r="A400" s="12" t="s">
        <v>1672</v>
      </c>
      <c r="B400" s="12" t="s">
        <v>1673</v>
      </c>
      <c r="C400" s="12" t="s">
        <v>37</v>
      </c>
      <c r="D400" s="12" t="s">
        <v>1674</v>
      </c>
      <c r="E400" s="11"/>
      <c r="F400" s="12" t="s">
        <v>1675</v>
      </c>
      <c r="G400" s="11"/>
      <c r="H400" s="11"/>
      <c r="I400" s="12" t="s">
        <v>1676</v>
      </c>
      <c r="J400" s="11"/>
      <c r="K400" s="12" t="s">
        <v>1677</v>
      </c>
      <c r="L400" s="11"/>
      <c r="M400" s="12" t="str">
        <f>HYPERLINK("https://ceds.ed.gov/cedselementdetails.aspx?termid=18127")</f>
        <v>https://ceds.ed.gov/cedselementdetails.aspx?termid=18127</v>
      </c>
      <c r="N400" s="12" t="str">
        <f>HYPERLINK("https://ceds.ed.gov/elementComment.aspx?elementName=Authorization Application Name &amp;elementID=18127", "Click here to submit comment")</f>
        <v>Click here to submit comment</v>
      </c>
    </row>
    <row r="401" spans="1:14" ht="25.5" x14ac:dyDescent="0.25">
      <c r="A401" s="12" t="s">
        <v>1678</v>
      </c>
      <c r="B401" s="12" t="s">
        <v>1679</v>
      </c>
      <c r="C401" s="12" t="s">
        <v>37</v>
      </c>
      <c r="D401" s="12" t="s">
        <v>1674</v>
      </c>
      <c r="E401" s="11"/>
      <c r="F401" s="12" t="s">
        <v>175</v>
      </c>
      <c r="G401" s="11"/>
      <c r="H401" s="11"/>
      <c r="I401" s="12" t="s">
        <v>1680</v>
      </c>
      <c r="J401" s="11"/>
      <c r="K401" s="12" t="s">
        <v>1681</v>
      </c>
      <c r="L401" s="11"/>
      <c r="M401" s="12" t="str">
        <f>HYPERLINK("https://ceds.ed.gov/cedselementdetails.aspx?termid=18129")</f>
        <v>https://ceds.ed.gov/cedselementdetails.aspx?termid=18129</v>
      </c>
      <c r="N401" s="12" t="str">
        <f>HYPERLINK("https://ceds.ed.gov/elementComment.aspx?elementName=Authorization Application Role Name &amp;elementID=18129", "Click here to submit comment")</f>
        <v>Click here to submit comment</v>
      </c>
    </row>
    <row r="402" spans="1:14" ht="38.25" x14ac:dyDescent="0.25">
      <c r="A402" s="12" t="s">
        <v>1682</v>
      </c>
      <c r="B402" s="12" t="s">
        <v>1683</v>
      </c>
      <c r="C402" s="12" t="s">
        <v>37</v>
      </c>
      <c r="D402" s="12" t="s">
        <v>1674</v>
      </c>
      <c r="E402" s="11"/>
      <c r="F402" s="12" t="s">
        <v>57</v>
      </c>
      <c r="G402" s="11"/>
      <c r="H402" s="11"/>
      <c r="I402" s="12" t="s">
        <v>1684</v>
      </c>
      <c r="J402" s="11"/>
      <c r="K402" s="12" t="s">
        <v>1685</v>
      </c>
      <c r="L402" s="11"/>
      <c r="M402" s="12" t="str">
        <f>HYPERLINK("https://ceds.ed.gov/cedselementdetails.aspx?termid=18128")</f>
        <v>https://ceds.ed.gov/cedselementdetails.aspx?termid=18128</v>
      </c>
      <c r="N402" s="12" t="str">
        <f>HYPERLINK("https://ceds.ed.gov/elementComment.aspx?elementName=Authorization Application URI &amp;elementID=18128", "Click here to submit comment")</f>
        <v>Click here to submit comment</v>
      </c>
    </row>
    <row r="403" spans="1:14" ht="25.5" x14ac:dyDescent="0.25">
      <c r="A403" s="12" t="s">
        <v>1686</v>
      </c>
      <c r="B403" s="12" t="s">
        <v>1687</v>
      </c>
      <c r="C403" s="12" t="s">
        <v>37</v>
      </c>
      <c r="D403" s="12" t="s">
        <v>1669</v>
      </c>
      <c r="E403" s="11"/>
      <c r="F403" s="12" t="s">
        <v>135</v>
      </c>
      <c r="G403" s="11"/>
      <c r="H403" s="11"/>
      <c r="I403" s="12" t="s">
        <v>1688</v>
      </c>
      <c r="J403" s="11"/>
      <c r="K403" s="12" t="s">
        <v>1689</v>
      </c>
      <c r="L403" s="11"/>
      <c r="M403" s="12" t="str">
        <f>HYPERLINK("https://ceds.ed.gov/cedselementdetails.aspx?termid=18706")</f>
        <v>https://ceds.ed.gov/cedselementdetails.aspx?termid=18706</v>
      </c>
      <c r="N403" s="12" t="str">
        <f>HYPERLINK("https://ceds.ed.gov/elementComment.aspx?elementName=Authorization Date &amp;elementID=18706", "Click here to submit comment")</f>
        <v>Click here to submit comment</v>
      </c>
    </row>
    <row r="404" spans="1:14" ht="25.5" x14ac:dyDescent="0.25">
      <c r="A404" s="12" t="s">
        <v>1690</v>
      </c>
      <c r="B404" s="12" t="s">
        <v>1691</v>
      </c>
      <c r="C404" s="12" t="s">
        <v>37</v>
      </c>
      <c r="D404" s="12" t="s">
        <v>1669</v>
      </c>
      <c r="E404" s="11"/>
      <c r="F404" s="12" t="s">
        <v>382</v>
      </c>
      <c r="G404" s="11"/>
      <c r="H404" s="11"/>
      <c r="I404" s="12" t="s">
        <v>1692</v>
      </c>
      <c r="J404" s="11"/>
      <c r="K404" s="12" t="s">
        <v>1693</v>
      </c>
      <c r="L404" s="11"/>
      <c r="M404" s="12" t="str">
        <f>HYPERLINK("https://ceds.ed.gov/cedselementdetails.aspx?termid=18703")</f>
        <v>https://ceds.ed.gov/cedselementdetails.aspx?termid=18703</v>
      </c>
      <c r="N404" s="12" t="str">
        <f>HYPERLINK("https://ceds.ed.gov/elementComment.aspx?elementName=Authorization Decision Explanation &amp;elementID=18703", "Click here to submit comment")</f>
        <v>Click here to submit comment</v>
      </c>
    </row>
    <row r="405" spans="1:14" ht="51" x14ac:dyDescent="0.25">
      <c r="A405" s="12" t="s">
        <v>1694</v>
      </c>
      <c r="B405" s="12" t="s">
        <v>1695</v>
      </c>
      <c r="C405" s="12" t="s">
        <v>37</v>
      </c>
      <c r="D405" s="12" t="s">
        <v>1674</v>
      </c>
      <c r="E405" s="11"/>
      <c r="F405" s="12" t="s">
        <v>135</v>
      </c>
      <c r="G405" s="11"/>
      <c r="H405" s="12" t="s">
        <v>160</v>
      </c>
      <c r="I405" s="12" t="s">
        <v>1696</v>
      </c>
      <c r="J405" s="11"/>
      <c r="K405" s="12" t="s">
        <v>1697</v>
      </c>
      <c r="L405" s="11"/>
      <c r="M405" s="12" t="str">
        <f>HYPERLINK("https://ceds.ed.gov/cedselementdetails.aspx?termid=18131")</f>
        <v>https://ceds.ed.gov/cedselementdetails.aspx?termid=18131</v>
      </c>
      <c r="N405" s="12" t="str">
        <f>HYPERLINK("https://ceds.ed.gov/elementComment.aspx?elementName=Authorization End Date &amp;elementID=18131", "Click here to submit comment")</f>
        <v>Click here to submit comment</v>
      </c>
    </row>
    <row r="406" spans="1:14" ht="38.25" x14ac:dyDescent="0.25">
      <c r="A406" s="12" t="s">
        <v>1698</v>
      </c>
      <c r="B406" s="12" t="s">
        <v>1699</v>
      </c>
      <c r="C406" s="12" t="s">
        <v>37</v>
      </c>
      <c r="D406" s="12" t="s">
        <v>1674</v>
      </c>
      <c r="E406" s="11"/>
      <c r="F406" s="12" t="s">
        <v>135</v>
      </c>
      <c r="G406" s="11"/>
      <c r="H406" s="11"/>
      <c r="I406" s="12" t="s">
        <v>1700</v>
      </c>
      <c r="J406" s="11"/>
      <c r="K406" s="12" t="s">
        <v>1701</v>
      </c>
      <c r="L406" s="11"/>
      <c r="M406" s="12" t="str">
        <f>HYPERLINK("https://ceds.ed.gov/cedselementdetails.aspx?termid=18130")</f>
        <v>https://ceds.ed.gov/cedselementdetails.aspx?termid=18130</v>
      </c>
      <c r="N406" s="12" t="str">
        <f>HYPERLINK("https://ceds.ed.gov/elementComment.aspx?elementName=Authorization Start Date &amp;elementID=18130", "Click here to submit comment")</f>
        <v>Click here to submit comment</v>
      </c>
    </row>
    <row r="407" spans="1:14" ht="89.25" x14ac:dyDescent="0.25">
      <c r="A407" s="12" t="s">
        <v>1702</v>
      </c>
      <c r="B407" s="12" t="s">
        <v>1703</v>
      </c>
      <c r="C407" s="13" t="s">
        <v>1704</v>
      </c>
      <c r="D407" s="12" t="s">
        <v>1669</v>
      </c>
      <c r="E407" s="11"/>
      <c r="F407" s="11"/>
      <c r="G407" s="11"/>
      <c r="H407" s="11"/>
      <c r="I407" s="12" t="s">
        <v>1705</v>
      </c>
      <c r="J407" s="11"/>
      <c r="K407" s="12" t="s">
        <v>1706</v>
      </c>
      <c r="L407" s="11"/>
      <c r="M407" s="12" t="str">
        <f>HYPERLINK("https://ceds.ed.gov/cedselementdetails.aspx?termid=18701")</f>
        <v>https://ceds.ed.gov/cedselementdetails.aspx?termid=18701</v>
      </c>
      <c r="N407" s="12" t="str">
        <f>HYPERLINK("https://ceds.ed.gov/elementComment.aspx?elementName=Authorizer Type &amp;elementID=18701", "Click here to submit comment")</f>
        <v>Click here to submit comment</v>
      </c>
    </row>
    <row r="408" spans="1:14" ht="127.5" x14ac:dyDescent="0.25">
      <c r="A408" s="12" t="s">
        <v>1707</v>
      </c>
      <c r="B408" s="12" t="s">
        <v>1708</v>
      </c>
      <c r="C408" s="12" t="s">
        <v>37</v>
      </c>
      <c r="D408" s="12" t="s">
        <v>1709</v>
      </c>
      <c r="E408" s="11"/>
      <c r="F408" s="12" t="s">
        <v>1710</v>
      </c>
      <c r="G408" s="11"/>
      <c r="H408" s="11"/>
      <c r="I408" s="12" t="s">
        <v>1711</v>
      </c>
      <c r="J408" s="11"/>
      <c r="K408" s="12" t="s">
        <v>1712</v>
      </c>
      <c r="L408" s="12" t="s">
        <v>1713</v>
      </c>
      <c r="M408" s="12" t="str">
        <f>HYPERLINK("https://ceds.ed.gov/cedselementdetails.aspx?termid=17030")</f>
        <v>https://ceds.ed.gov/cedselementdetails.aspx?termid=17030</v>
      </c>
      <c r="N408" s="12" t="str">
        <f>HYPERLINK("https://ceds.ed.gov/elementComment.aspx?elementName=Available Carnegie Unit Credit &amp;elementID=17030", "Click here to submit comment")</f>
        <v>Click here to submit comment</v>
      </c>
    </row>
    <row r="409" spans="1:14" ht="38.25" x14ac:dyDescent="0.25">
      <c r="A409" s="12" t="s">
        <v>1714</v>
      </c>
      <c r="B409" s="12" t="s">
        <v>1715</v>
      </c>
      <c r="C409" s="12" t="s">
        <v>24</v>
      </c>
      <c r="D409" s="12" t="s">
        <v>1716</v>
      </c>
      <c r="E409" s="11"/>
      <c r="F409" s="11"/>
      <c r="G409" s="11"/>
      <c r="H409" s="11"/>
      <c r="I409" s="12" t="s">
        <v>1717</v>
      </c>
      <c r="J409" s="11"/>
      <c r="K409" s="12" t="s">
        <v>1718</v>
      </c>
      <c r="L409" s="11"/>
      <c r="M409" s="12" t="str">
        <f>HYPERLINK("https://ceds.ed.gov/cedselementdetails.aspx?termid=18883")</f>
        <v>https://ceds.ed.gov/cedselementdetails.aspx?termid=18883</v>
      </c>
      <c r="N409" s="12" t="str">
        <f>HYPERLINK("https://ceds.ed.gov/elementComment.aspx?elementName=Available Utilized Instructional Space &amp;elementID=18883", "Click here to submit comment")</f>
        <v>Click here to submit comment</v>
      </c>
    </row>
    <row r="410" spans="1:14" ht="114.75" x14ac:dyDescent="0.25">
      <c r="A410" s="12" t="s">
        <v>1719</v>
      </c>
      <c r="B410" s="12" t="s">
        <v>1720</v>
      </c>
      <c r="C410" s="12" t="s">
        <v>24</v>
      </c>
      <c r="D410" s="12" t="s">
        <v>8528</v>
      </c>
      <c r="E410" s="12" t="s">
        <v>188</v>
      </c>
      <c r="F410" s="11"/>
      <c r="G410" s="12" t="s">
        <v>1721</v>
      </c>
      <c r="H410" s="11"/>
      <c r="I410" s="12" t="s">
        <v>1722</v>
      </c>
      <c r="J410" s="11"/>
      <c r="K410" s="12" t="s">
        <v>1723</v>
      </c>
      <c r="L410" s="11"/>
      <c r="M410" s="12" t="str">
        <f>HYPERLINK("https://ceds.ed.gov/cedselementdetails.aspx?termid=18903")</f>
        <v>https://ceds.ed.gov/cedselementdetails.aspx?termid=18903</v>
      </c>
      <c r="N410" s="12" t="str">
        <f>HYPERLINK("https://ceds.ed.gov/elementComment.aspx?elementName=Awaiting Foster Care Status &amp;elementID=18903", "Click here to submit comment")</f>
        <v>Click here to submit comment</v>
      </c>
    </row>
    <row r="411" spans="1:14" ht="76.5" x14ac:dyDescent="0.25">
      <c r="A411" s="12" t="s">
        <v>1724</v>
      </c>
      <c r="B411" s="12" t="s">
        <v>1725</v>
      </c>
      <c r="C411" s="12" t="s">
        <v>24</v>
      </c>
      <c r="D411" s="12" t="s">
        <v>1726</v>
      </c>
      <c r="E411" s="11"/>
      <c r="F411" s="11"/>
      <c r="G411" s="11"/>
      <c r="H411" s="11"/>
      <c r="I411" s="12" t="s">
        <v>1727</v>
      </c>
      <c r="J411" s="11"/>
      <c r="K411" s="12" t="s">
        <v>1728</v>
      </c>
      <c r="L411" s="12" t="s">
        <v>28</v>
      </c>
      <c r="M411" s="12" t="str">
        <f>HYPERLINK("https://ceds.ed.gov/cedselementdetails.aspx?termid=17031")</f>
        <v>https://ceds.ed.gov/cedselementdetails.aspx?termid=17031</v>
      </c>
      <c r="N411" s="12" t="str">
        <f>HYPERLINK("https://ceds.ed.gov/elementComment.aspx?elementName=Awaiting Initial IDEA Evaluation Status &amp;elementID=17031", "Click here to submit comment")</f>
        <v>Click here to submit comment</v>
      </c>
    </row>
    <row r="412" spans="1:14" ht="114.75" x14ac:dyDescent="0.25">
      <c r="A412" s="12" t="s">
        <v>1729</v>
      </c>
      <c r="B412" s="12" t="s">
        <v>1730</v>
      </c>
      <c r="C412" s="13" t="s">
        <v>1731</v>
      </c>
      <c r="D412" s="12" t="s">
        <v>1732</v>
      </c>
      <c r="E412" s="11"/>
      <c r="F412" s="11"/>
      <c r="G412" s="11"/>
      <c r="H412" s="11"/>
      <c r="I412" s="12" t="s">
        <v>1733</v>
      </c>
      <c r="J412" s="11"/>
      <c r="K412" s="12" t="s">
        <v>1734</v>
      </c>
      <c r="L412" s="12" t="s">
        <v>245</v>
      </c>
      <c r="M412" s="12" t="str">
        <f>HYPERLINK("https://ceds.ed.gov/cedselementdetails.aspx?termid=17439")</f>
        <v>https://ceds.ed.gov/cedselementdetails.aspx?termid=17439</v>
      </c>
      <c r="N412" s="12" t="str">
        <f>HYPERLINK("https://ceds.ed.gov/elementComment.aspx?elementName=Barrier to Educating Homeless &amp;elementID=17439", "Click here to submit comment")</f>
        <v>Click here to submit comment</v>
      </c>
    </row>
    <row r="413" spans="1:14" ht="51" x14ac:dyDescent="0.25">
      <c r="A413" s="12" t="s">
        <v>1735</v>
      </c>
      <c r="B413" s="12" t="s">
        <v>1736</v>
      </c>
      <c r="C413" s="13" t="s">
        <v>1737</v>
      </c>
      <c r="D413" s="12" t="s">
        <v>1738</v>
      </c>
      <c r="E413" s="11"/>
      <c r="F413" s="11"/>
      <c r="G413" s="11"/>
      <c r="H413" s="11"/>
      <c r="I413" s="12" t="s">
        <v>1739</v>
      </c>
      <c r="J413" s="11"/>
      <c r="K413" s="12" t="s">
        <v>1740</v>
      </c>
      <c r="L413" s="11"/>
      <c r="M413" s="12" t="str">
        <f>HYPERLINK("https://ceds.ed.gov/cedselementdetails.aspx?termid=18561")</f>
        <v>https://ceds.ed.gov/cedselementdetails.aspx?termid=18561</v>
      </c>
      <c r="N413" s="12" t="str">
        <f>HYPERLINK("https://ceds.ed.gov/elementComment.aspx?elementName=Billable Basis Type &amp;elementID=18561", "Click here to submit comment")</f>
        <v>Click here to submit comment</v>
      </c>
    </row>
    <row r="414" spans="1:14" ht="318.75" x14ac:dyDescent="0.25">
      <c r="A414" s="12" t="s">
        <v>1741</v>
      </c>
      <c r="B414" s="12" t="s">
        <v>1742</v>
      </c>
      <c r="C414" s="12" t="s">
        <v>37</v>
      </c>
      <c r="D414" s="12" t="s">
        <v>1743</v>
      </c>
      <c r="E414" s="11"/>
      <c r="F414" s="12" t="s">
        <v>135</v>
      </c>
      <c r="G414" s="11"/>
      <c r="H414" s="11"/>
      <c r="I414" s="12" t="s">
        <v>1744</v>
      </c>
      <c r="J414" s="11"/>
      <c r="K414" s="12" t="s">
        <v>1741</v>
      </c>
      <c r="L414" s="12" t="s">
        <v>1745</v>
      </c>
      <c r="M414" s="12" t="str">
        <f>HYPERLINK("https://ceds.ed.gov/cedselementdetails.aspx?termid=17033")</f>
        <v>https://ceds.ed.gov/cedselementdetails.aspx?termid=17033</v>
      </c>
      <c r="N414" s="12" t="str">
        <f>HYPERLINK("https://ceds.ed.gov/elementComment.aspx?elementName=Birthdate &amp;elementID=17033", "Click here to submit comment")</f>
        <v>Click here to submit comment</v>
      </c>
    </row>
    <row r="415" spans="1:14" ht="38.25" x14ac:dyDescent="0.25">
      <c r="A415" s="12" t="s">
        <v>1746</v>
      </c>
      <c r="B415" s="12" t="s">
        <v>1747</v>
      </c>
      <c r="C415" s="12" t="s">
        <v>37</v>
      </c>
      <c r="D415" s="12" t="s">
        <v>1748</v>
      </c>
      <c r="E415" s="11"/>
      <c r="F415" s="12" t="s">
        <v>175</v>
      </c>
      <c r="G415" s="11"/>
      <c r="H415" s="11"/>
      <c r="I415" s="12" t="s">
        <v>1749</v>
      </c>
      <c r="J415" s="11"/>
      <c r="K415" s="12" t="s">
        <v>1750</v>
      </c>
      <c r="L415" s="12" t="s">
        <v>1751</v>
      </c>
      <c r="M415" s="12" t="str">
        <f>HYPERLINK("https://ceds.ed.gov/cedselementdetails.aspx?termid=17418")</f>
        <v>https://ceds.ed.gov/cedselementdetails.aspx?termid=17418</v>
      </c>
      <c r="N415" s="12" t="str">
        <f>HYPERLINK("https://ceds.ed.gov/elementComment.aspx?elementName=Birthdate Verification &amp;elementID=17418", "Click here to submit comment")</f>
        <v>Click here to submit comment</v>
      </c>
    </row>
    <row r="416" spans="1:14" ht="145.5" customHeight="1" x14ac:dyDescent="0.25">
      <c r="A416" s="15" t="s">
        <v>1752</v>
      </c>
      <c r="B416" s="15" t="s">
        <v>1753</v>
      </c>
      <c r="C416" s="17" t="s">
        <v>420</v>
      </c>
      <c r="D416" s="15" t="s">
        <v>421</v>
      </c>
      <c r="E416" s="16"/>
      <c r="F416" s="16"/>
      <c r="G416" s="16"/>
      <c r="H416" s="12" t="s">
        <v>422</v>
      </c>
      <c r="I416" s="15" t="s">
        <v>1754</v>
      </c>
      <c r="J416" s="15" t="s">
        <v>1755</v>
      </c>
      <c r="K416" s="15" t="s">
        <v>1756</v>
      </c>
      <c r="L416" s="15" t="s">
        <v>426</v>
      </c>
      <c r="M416" s="15" t="str">
        <f>HYPERLINK("https://ceds.ed.gov/cedselementdetails.aspx?termid=17657")</f>
        <v>https://ceds.ed.gov/cedselementdetails.aspx?termid=17657</v>
      </c>
      <c r="N416" s="15" t="str">
        <f>HYPERLINK("https://ceds.ed.gov/elementComment.aspx?elementName=Black or African American &amp;elementID=17657", "Click here to submit comment")</f>
        <v>Click here to submit comment</v>
      </c>
    </row>
    <row r="417" spans="1:14" x14ac:dyDescent="0.25">
      <c r="A417" s="15"/>
      <c r="B417" s="15"/>
      <c r="C417" s="15"/>
      <c r="D417" s="15"/>
      <c r="E417" s="16"/>
      <c r="F417" s="16"/>
      <c r="G417" s="16"/>
      <c r="H417" s="11"/>
      <c r="I417" s="15"/>
      <c r="J417" s="15"/>
      <c r="K417" s="15"/>
      <c r="L417" s="15"/>
      <c r="M417" s="15"/>
      <c r="N417" s="15"/>
    </row>
    <row r="418" spans="1:14" x14ac:dyDescent="0.25">
      <c r="A418" s="15"/>
      <c r="B418" s="15"/>
      <c r="C418" s="15"/>
      <c r="D418" s="15"/>
      <c r="E418" s="16"/>
      <c r="F418" s="16"/>
      <c r="G418" s="16"/>
      <c r="H418" s="12" t="s">
        <v>427</v>
      </c>
      <c r="I418" s="15"/>
      <c r="J418" s="15"/>
      <c r="K418" s="15"/>
      <c r="L418" s="15"/>
      <c r="M418" s="15"/>
      <c r="N418" s="15"/>
    </row>
    <row r="419" spans="1:14" ht="25.5" x14ac:dyDescent="0.25">
      <c r="A419" s="15"/>
      <c r="B419" s="15"/>
      <c r="C419" s="15"/>
      <c r="D419" s="15"/>
      <c r="E419" s="16"/>
      <c r="F419" s="16"/>
      <c r="G419" s="16"/>
      <c r="H419" s="12" t="s">
        <v>428</v>
      </c>
      <c r="I419" s="15"/>
      <c r="J419" s="15"/>
      <c r="K419" s="15"/>
      <c r="L419" s="15"/>
      <c r="M419" s="15"/>
      <c r="N419" s="15"/>
    </row>
    <row r="420" spans="1:14" x14ac:dyDescent="0.25">
      <c r="A420" s="15"/>
      <c r="B420" s="15"/>
      <c r="C420" s="15"/>
      <c r="D420" s="15"/>
      <c r="E420" s="16"/>
      <c r="F420" s="16"/>
      <c r="G420" s="16"/>
      <c r="H420" s="12" t="s">
        <v>429</v>
      </c>
      <c r="I420" s="15"/>
      <c r="J420" s="15"/>
      <c r="K420" s="15"/>
      <c r="L420" s="15"/>
      <c r="M420" s="15"/>
      <c r="N420" s="15"/>
    </row>
    <row r="421" spans="1:14" ht="127.5" x14ac:dyDescent="0.25">
      <c r="A421" s="12" t="s">
        <v>1757</v>
      </c>
      <c r="B421" s="12" t="s">
        <v>1758</v>
      </c>
      <c r="C421" s="13" t="s">
        <v>1759</v>
      </c>
      <c r="D421" s="12" t="s">
        <v>1760</v>
      </c>
      <c r="E421" s="12" t="s">
        <v>195</v>
      </c>
      <c r="F421" s="11"/>
      <c r="G421" s="12" t="s">
        <v>1761</v>
      </c>
      <c r="H421" s="12" t="s">
        <v>1762</v>
      </c>
      <c r="I421" s="12" t="s">
        <v>1763</v>
      </c>
      <c r="J421" s="11"/>
      <c r="K421" s="12" t="s">
        <v>1764</v>
      </c>
      <c r="L421" s="11"/>
      <c r="M421" s="12" t="str">
        <f>HYPERLINK("https://ceds.ed.gov/cedselementdetails.aspx?termid=18253")</f>
        <v>https://ceds.ed.gov/cedselementdetails.aspx?termid=18253</v>
      </c>
      <c r="N421" s="12" t="str">
        <f>HYPERLINK("https://ceds.ed.gov/elementComment.aspx?elementName=Blended Learning Model Type &amp;elementID=18253", "Click here to submit comment")</f>
        <v>Click here to submit comment</v>
      </c>
    </row>
    <row r="422" spans="1:14" ht="38.25" x14ac:dyDescent="0.25">
      <c r="A422" s="12" t="s">
        <v>1765</v>
      </c>
      <c r="B422" s="12" t="s">
        <v>1766</v>
      </c>
      <c r="C422" s="12" t="s">
        <v>37</v>
      </c>
      <c r="D422" s="12" t="s">
        <v>275</v>
      </c>
      <c r="E422" s="11"/>
      <c r="F422" s="12" t="s">
        <v>1710</v>
      </c>
      <c r="G422" s="11"/>
      <c r="H422" s="12" t="s">
        <v>432</v>
      </c>
      <c r="I422" s="12" t="s">
        <v>1767</v>
      </c>
      <c r="J422" s="11"/>
      <c r="K422" s="12" t="s">
        <v>1768</v>
      </c>
      <c r="L422" s="12" t="s">
        <v>1769</v>
      </c>
      <c r="M422" s="12" t="str">
        <f>HYPERLINK("https://ceds.ed.gov/cedselementdetails.aspx?termid=17729")</f>
        <v>https://ceds.ed.gov/cedselementdetails.aspx?termid=17729</v>
      </c>
      <c r="N422" s="12" t="str">
        <f>HYPERLINK("https://ceds.ed.gov/elementComment.aspx?elementName=Board Charges &amp;elementID=17729", "Click here to submit comment")</f>
        <v>Click here to submit comment</v>
      </c>
    </row>
    <row r="423" spans="1:14" ht="89.25" x14ac:dyDescent="0.25">
      <c r="A423" s="12" t="s">
        <v>1770</v>
      </c>
      <c r="B423" s="12" t="s">
        <v>1771</v>
      </c>
      <c r="C423" s="12" t="s">
        <v>37</v>
      </c>
      <c r="D423" s="12" t="s">
        <v>275</v>
      </c>
      <c r="E423" s="11"/>
      <c r="F423" s="12" t="s">
        <v>1710</v>
      </c>
      <c r="G423" s="11"/>
      <c r="H423" s="12" t="s">
        <v>432</v>
      </c>
      <c r="I423" s="12" t="s">
        <v>1772</v>
      </c>
      <c r="J423" s="11"/>
      <c r="K423" s="12" t="s">
        <v>1773</v>
      </c>
      <c r="L423" s="12" t="s">
        <v>1769</v>
      </c>
      <c r="M423" s="12" t="str">
        <f>HYPERLINK("https://ceds.ed.gov/cedselementdetails.aspx?termid=17730")</f>
        <v>https://ceds.ed.gov/cedselementdetails.aspx?termid=17730</v>
      </c>
      <c r="N423" s="12" t="str">
        <f>HYPERLINK("https://ceds.ed.gov/elementComment.aspx?elementName=Books and Supplies Costs &amp;elementID=17730", "Click here to submit comment")</f>
        <v>Click here to submit comment</v>
      </c>
    </row>
    <row r="424" spans="1:14" ht="51" x14ac:dyDescent="0.25">
      <c r="A424" s="12" t="s">
        <v>1774</v>
      </c>
      <c r="B424" s="12" t="s">
        <v>1775</v>
      </c>
      <c r="C424" s="12" t="s">
        <v>37</v>
      </c>
      <c r="D424" s="12" t="s">
        <v>1776</v>
      </c>
      <c r="E424" s="11"/>
      <c r="F424" s="12" t="s">
        <v>97</v>
      </c>
      <c r="G424" s="11"/>
      <c r="H424" s="11"/>
      <c r="I424" s="12" t="s">
        <v>1777</v>
      </c>
      <c r="J424" s="11"/>
      <c r="K424" s="12" t="s">
        <v>1778</v>
      </c>
      <c r="L424" s="11"/>
      <c r="M424" s="12" t="str">
        <f>HYPERLINK("https://ceds.ed.gov/cedselementdetails.aspx?termid=18757")</f>
        <v>https://ceds.ed.gov/cedselementdetails.aspx?termid=18757</v>
      </c>
      <c r="N424" s="12" t="str">
        <f>HYPERLINK("https://ceds.ed.gov/elementComment.aspx?elementName=Building Addition Code &amp;elementID=18757", "Click here to submit comment")</f>
        <v>Click here to submit comment</v>
      </c>
    </row>
    <row r="425" spans="1:14" ht="25.5" x14ac:dyDescent="0.25">
      <c r="A425" s="12" t="s">
        <v>1779</v>
      </c>
      <c r="B425" s="12" t="s">
        <v>1780</v>
      </c>
      <c r="C425" s="12" t="s">
        <v>37</v>
      </c>
      <c r="D425" s="12" t="s">
        <v>1776</v>
      </c>
      <c r="E425" s="11"/>
      <c r="F425" s="12" t="s">
        <v>62</v>
      </c>
      <c r="G425" s="11"/>
      <c r="H425" s="11"/>
      <c r="I425" s="12" t="s">
        <v>1781</v>
      </c>
      <c r="J425" s="11"/>
      <c r="K425" s="12" t="s">
        <v>1782</v>
      </c>
      <c r="L425" s="11"/>
      <c r="M425" s="12" t="str">
        <f>HYPERLINK("https://ceds.ed.gov/cedselementdetails.aspx?termid=18756")</f>
        <v>https://ceds.ed.gov/cedselementdetails.aspx?termid=18756</v>
      </c>
      <c r="N425" s="12" t="str">
        <f>HYPERLINK("https://ceds.ed.gov/elementComment.aspx?elementName=Building Addition Description &amp;elementID=18756", "Click here to submit comment")</f>
        <v>Click here to submit comment</v>
      </c>
    </row>
    <row r="426" spans="1:14" ht="293.25" x14ac:dyDescent="0.25">
      <c r="A426" s="12" t="s">
        <v>1783</v>
      </c>
      <c r="B426" s="12" t="s">
        <v>1784</v>
      </c>
      <c r="C426" s="13" t="s">
        <v>1785</v>
      </c>
      <c r="D426" s="12" t="s">
        <v>1786</v>
      </c>
      <c r="E426" s="11"/>
      <c r="F426" s="11"/>
      <c r="G426" s="11"/>
      <c r="H426" s="11"/>
      <c r="I426" s="12" t="s">
        <v>1787</v>
      </c>
      <c r="J426" s="11"/>
      <c r="K426" s="12" t="s">
        <v>1788</v>
      </c>
      <c r="L426" s="11"/>
      <c r="M426" s="12" t="str">
        <f>HYPERLINK("https://ceds.ed.gov/cedselementdetails.aspx?termid=18794")</f>
        <v>https://ceds.ed.gov/cedselementdetails.aspx?termid=18794</v>
      </c>
      <c r="N426" s="12" t="str">
        <f>HYPERLINK("https://ceds.ed.gov/elementComment.aspx?elementName=Building Administrative Space Type &amp;elementID=18794", "Click here to submit comment")</f>
        <v>Click here to submit comment</v>
      </c>
    </row>
    <row r="427" spans="1:14" ht="114.75" x14ac:dyDescent="0.25">
      <c r="A427" s="12" t="s">
        <v>1789</v>
      </c>
      <c r="B427" s="12" t="s">
        <v>1790</v>
      </c>
      <c r="C427" s="13" t="s">
        <v>1791</v>
      </c>
      <c r="D427" s="12" t="s">
        <v>1792</v>
      </c>
      <c r="E427" s="11"/>
      <c r="F427" s="11"/>
      <c r="G427" s="11"/>
      <c r="H427" s="11"/>
      <c r="I427" s="12" t="s">
        <v>1793</v>
      </c>
      <c r="J427" s="11"/>
      <c r="K427" s="12" t="s">
        <v>1794</v>
      </c>
      <c r="L427" s="11"/>
      <c r="M427" s="12" t="str">
        <f>HYPERLINK("https://ceds.ed.gov/cedselementdetails.aspx?termid=18771")</f>
        <v>https://ceds.ed.gov/cedselementdetails.aspx?termid=18771</v>
      </c>
      <c r="N427" s="12" t="str">
        <f>HYPERLINK("https://ceds.ed.gov/elementComment.aspx?elementName=Building Air Distribution System Type &amp;elementID=18771", "Click here to submit comment")</f>
        <v>Click here to submit comment</v>
      </c>
    </row>
    <row r="428" spans="1:14" ht="25.5" x14ac:dyDescent="0.25">
      <c r="A428" s="12" t="s">
        <v>1795</v>
      </c>
      <c r="B428" s="12" t="s">
        <v>1796</v>
      </c>
      <c r="C428" s="12" t="s">
        <v>37</v>
      </c>
      <c r="D428" s="12" t="s">
        <v>1786</v>
      </c>
      <c r="E428" s="11"/>
      <c r="F428" s="12" t="s">
        <v>1510</v>
      </c>
      <c r="G428" s="11"/>
      <c r="H428" s="11"/>
      <c r="I428" s="12" t="s">
        <v>1797</v>
      </c>
      <c r="J428" s="11"/>
      <c r="K428" s="12" t="s">
        <v>1798</v>
      </c>
      <c r="L428" s="11"/>
      <c r="M428" s="12" t="str">
        <f>HYPERLINK("https://ceds.ed.gov/cedselementdetails.aspx?termid=18815")</f>
        <v>https://ceds.ed.gov/cedselementdetails.aspx?termid=18815</v>
      </c>
      <c r="N428" s="12" t="str">
        <f>HYPERLINK("https://ceds.ed.gov/elementComment.aspx?elementName=Building Architect Name &amp;elementID=18815", "Click here to submit comment")</f>
        <v>Click here to submit comment</v>
      </c>
    </row>
    <row r="429" spans="1:14" ht="25.5" x14ac:dyDescent="0.25">
      <c r="A429" s="12" t="s">
        <v>1799</v>
      </c>
      <c r="B429" s="12" t="s">
        <v>1800</v>
      </c>
      <c r="C429" s="12" t="s">
        <v>37</v>
      </c>
      <c r="D429" s="12" t="s">
        <v>1786</v>
      </c>
      <c r="E429" s="11"/>
      <c r="F429" s="12" t="s">
        <v>175</v>
      </c>
      <c r="G429" s="11"/>
      <c r="H429" s="11"/>
      <c r="I429" s="12" t="s">
        <v>1801</v>
      </c>
      <c r="J429" s="11"/>
      <c r="K429" s="12" t="s">
        <v>1802</v>
      </c>
      <c r="L429" s="11"/>
      <c r="M429" s="12" t="str">
        <f>HYPERLINK("https://ceds.ed.gov/cedselementdetails.aspx?termid=18816")</f>
        <v>https://ceds.ed.gov/cedselementdetails.aspx?termid=18816</v>
      </c>
      <c r="N429" s="12" t="str">
        <f>HYPERLINK("https://ceds.ed.gov/elementComment.aspx?elementName=Building Architectural Firm Name &amp;elementID=18816", "Click here to submit comment")</f>
        <v>Click here to submit comment</v>
      </c>
    </row>
    <row r="430" spans="1:14" ht="127.5" x14ac:dyDescent="0.25">
      <c r="A430" s="12" t="s">
        <v>1803</v>
      </c>
      <c r="B430" s="12" t="s">
        <v>1804</v>
      </c>
      <c r="C430" s="12" t="s">
        <v>37</v>
      </c>
      <c r="D430" s="12" t="s">
        <v>1776</v>
      </c>
      <c r="E430" s="11"/>
      <c r="F430" s="12" t="s">
        <v>97</v>
      </c>
      <c r="G430" s="11"/>
      <c r="H430" s="11"/>
      <c r="I430" s="12" t="s">
        <v>1805</v>
      </c>
      <c r="J430" s="11"/>
      <c r="K430" s="12" t="s">
        <v>1806</v>
      </c>
      <c r="L430" s="11"/>
      <c r="M430" s="12" t="str">
        <f>HYPERLINK("https://ceds.ed.gov/cedselementdetails.aspx?termid=18745")</f>
        <v>https://ceds.ed.gov/cedselementdetails.aspx?termid=18745</v>
      </c>
      <c r="N430" s="12" t="str">
        <f>HYPERLINK("https://ceds.ed.gov/elementComment.aspx?elementName=Building Area &amp;elementID=18745", "Click here to submit comment")</f>
        <v>Click here to submit comment</v>
      </c>
    </row>
    <row r="431" spans="1:14" ht="102" x14ac:dyDescent="0.25">
      <c r="A431" s="12" t="s">
        <v>1807</v>
      </c>
      <c r="B431" s="12" t="s">
        <v>1808</v>
      </c>
      <c r="C431" s="13" t="s">
        <v>1809</v>
      </c>
      <c r="D431" s="12" t="s">
        <v>1786</v>
      </c>
      <c r="E431" s="11"/>
      <c r="F431" s="11"/>
      <c r="G431" s="11"/>
      <c r="H431" s="11"/>
      <c r="I431" s="12" t="s">
        <v>1810</v>
      </c>
      <c r="J431" s="11"/>
      <c r="K431" s="12" t="s">
        <v>1811</v>
      </c>
      <c r="L431" s="11"/>
      <c r="M431" s="12" t="str">
        <f>HYPERLINK("https://ceds.ed.gov/cedselementdetails.aspx?termid=18795")</f>
        <v>https://ceds.ed.gov/cedselementdetails.aspx?termid=18795</v>
      </c>
      <c r="N431" s="12" t="str">
        <f>HYPERLINK("https://ceds.ed.gov/elementComment.aspx?elementName=Building Art Specialty Space Type &amp;elementID=18795", "Click here to submit comment")</f>
        <v>Click here to submit comment</v>
      </c>
    </row>
    <row r="432" spans="1:14" ht="114.75" x14ac:dyDescent="0.25">
      <c r="A432" s="12" t="s">
        <v>1812</v>
      </c>
      <c r="B432" s="12" t="s">
        <v>1813</v>
      </c>
      <c r="C432" s="13" t="s">
        <v>1814</v>
      </c>
      <c r="D432" s="12" t="s">
        <v>1786</v>
      </c>
      <c r="E432" s="11"/>
      <c r="F432" s="11"/>
      <c r="G432" s="11"/>
      <c r="H432" s="11"/>
      <c r="I432" s="12" t="s">
        <v>1815</v>
      </c>
      <c r="J432" s="11"/>
      <c r="K432" s="12" t="s">
        <v>1816</v>
      </c>
      <c r="L432" s="11"/>
      <c r="M432" s="12" t="str">
        <f>HYPERLINK("https://ceds.ed.gov/cedselementdetails.aspx?termid=18817")</f>
        <v>https://ceds.ed.gov/cedselementdetails.aspx?termid=18817</v>
      </c>
      <c r="N432" s="12" t="str">
        <f>HYPERLINK("https://ceds.ed.gov/elementComment.aspx?elementName=Building Assembly Space Type &amp;elementID=18817", "Click here to submit comment")</f>
        <v>Click here to submit comment</v>
      </c>
    </row>
    <row r="433" spans="1:14" ht="89.25" x14ac:dyDescent="0.25">
      <c r="A433" s="12" t="s">
        <v>1817</v>
      </c>
      <c r="B433" s="12" t="s">
        <v>1818</v>
      </c>
      <c r="C433" s="13" t="s">
        <v>1819</v>
      </c>
      <c r="D433" s="12" t="s">
        <v>1786</v>
      </c>
      <c r="E433" s="11"/>
      <c r="F433" s="11"/>
      <c r="G433" s="11"/>
      <c r="H433" s="11"/>
      <c r="I433" s="12" t="s">
        <v>1820</v>
      </c>
      <c r="J433" s="11"/>
      <c r="K433" s="12" t="s">
        <v>1821</v>
      </c>
      <c r="L433" s="11"/>
      <c r="M433" s="12" t="str">
        <f>HYPERLINK("https://ceds.ed.gov/cedselementdetails.aspx?termid=18796")</f>
        <v>https://ceds.ed.gov/cedselementdetails.aspx?termid=18796</v>
      </c>
      <c r="N433" s="12" t="str">
        <f>HYPERLINK("https://ceds.ed.gov/elementComment.aspx?elementName=Building Basic Classroom Design Type &amp;elementID=18796", "Click here to submit comment")</f>
        <v>Click here to submit comment</v>
      </c>
    </row>
    <row r="434" spans="1:14" ht="51" x14ac:dyDescent="0.25">
      <c r="A434" s="12" t="s">
        <v>1822</v>
      </c>
      <c r="B434" s="12" t="s">
        <v>1823</v>
      </c>
      <c r="C434" s="12" t="s">
        <v>24</v>
      </c>
      <c r="D434" s="12" t="s">
        <v>1716</v>
      </c>
      <c r="E434" s="11"/>
      <c r="F434" s="11"/>
      <c r="G434" s="11"/>
      <c r="H434" s="11"/>
      <c r="I434" s="12" t="s">
        <v>1824</v>
      </c>
      <c r="J434" s="11"/>
      <c r="K434" s="12" t="s">
        <v>1825</v>
      </c>
      <c r="L434" s="11"/>
      <c r="M434" s="12" t="str">
        <f>HYPERLINK("https://ceds.ed.gov/cedselementdetails.aspx?termid=18884")</f>
        <v>https://ceds.ed.gov/cedselementdetails.aspx?termid=18884</v>
      </c>
      <c r="N434" s="12" t="str">
        <f>HYPERLINK("https://ceds.ed.gov/elementComment.aspx?elementName=Building Capacity Factor Indicator &amp;elementID=18884", "Click here to submit comment")</f>
        <v>Click here to submit comment</v>
      </c>
    </row>
    <row r="435" spans="1:14" ht="409.5" x14ac:dyDescent="0.25">
      <c r="A435" s="12" t="s">
        <v>1826</v>
      </c>
      <c r="B435" s="12" t="s">
        <v>1827</v>
      </c>
      <c r="C435" s="13" t="s">
        <v>1828</v>
      </c>
      <c r="D435" s="12" t="s">
        <v>1786</v>
      </c>
      <c r="E435" s="11"/>
      <c r="F435" s="11"/>
      <c r="G435" s="11"/>
      <c r="H435" s="11"/>
      <c r="I435" s="12" t="s">
        <v>1829</v>
      </c>
      <c r="J435" s="11"/>
      <c r="K435" s="12" t="s">
        <v>1830</v>
      </c>
      <c r="L435" s="11"/>
      <c r="M435" s="12" t="str">
        <f>HYPERLINK("https://ceds.ed.gov/cedselementdetails.aspx?termid=18798")</f>
        <v>https://ceds.ed.gov/cedselementdetails.aspx?termid=18798</v>
      </c>
      <c r="N435" s="12" t="str">
        <f>HYPERLINK("https://ceds.ed.gov/elementComment.aspx?elementName=Building Career-Technical Education Space Type &amp;elementID=18798", "Click here to submit comment")</f>
        <v>Click here to submit comment</v>
      </c>
    </row>
    <row r="436" spans="1:14" ht="76.5" x14ac:dyDescent="0.25">
      <c r="A436" s="12" t="s">
        <v>1831</v>
      </c>
      <c r="B436" s="12" t="s">
        <v>1832</v>
      </c>
      <c r="C436" s="13" t="s">
        <v>1833</v>
      </c>
      <c r="D436" s="12" t="s">
        <v>1834</v>
      </c>
      <c r="E436" s="11"/>
      <c r="F436" s="11"/>
      <c r="G436" s="11"/>
      <c r="H436" s="11"/>
      <c r="I436" s="12" t="s">
        <v>1835</v>
      </c>
      <c r="J436" s="11"/>
      <c r="K436" s="12" t="s">
        <v>1836</v>
      </c>
      <c r="L436" s="11"/>
      <c r="M436" s="12" t="str">
        <f>HYPERLINK("https://ceds.ed.gov/cedselementdetails.aspx?termid=18846")</f>
        <v>https://ceds.ed.gov/cedselementdetails.aspx?termid=18846</v>
      </c>
      <c r="N436" s="12" t="str">
        <f>HYPERLINK("https://ceds.ed.gov/elementComment.aspx?elementName=Building Charter School Realty Access Type &amp;elementID=18846", "Click here to submit comment")</f>
        <v>Click here to submit comment</v>
      </c>
    </row>
    <row r="437" spans="1:14" ht="127.5" x14ac:dyDescent="0.25">
      <c r="A437" s="12" t="s">
        <v>1837</v>
      </c>
      <c r="B437" s="12" t="s">
        <v>1838</v>
      </c>
      <c r="C437" s="13" t="s">
        <v>1839</v>
      </c>
      <c r="D437" s="12" t="s">
        <v>1786</v>
      </c>
      <c r="E437" s="11"/>
      <c r="F437" s="11"/>
      <c r="G437" s="11"/>
      <c r="H437" s="11"/>
      <c r="I437" s="12" t="s">
        <v>1840</v>
      </c>
      <c r="J437" s="11"/>
      <c r="K437" s="12" t="s">
        <v>1841</v>
      </c>
      <c r="L437" s="11"/>
      <c r="M437" s="12" t="str">
        <f>HYPERLINK("https://ceds.ed.gov/cedselementdetails.aspx?termid=18799")</f>
        <v>https://ceds.ed.gov/cedselementdetails.aspx?termid=18799</v>
      </c>
      <c r="N437" s="12" t="str">
        <f>HYPERLINK("https://ceds.ed.gov/elementComment.aspx?elementName=Building Circulation Space Type &amp;elementID=18799", "Click here to submit comment")</f>
        <v>Click here to submit comment</v>
      </c>
    </row>
    <row r="438" spans="1:14" ht="76.5" x14ac:dyDescent="0.25">
      <c r="A438" s="12" t="s">
        <v>1842</v>
      </c>
      <c r="B438" s="12" t="s">
        <v>1843</v>
      </c>
      <c r="C438" s="13" t="s">
        <v>1844</v>
      </c>
      <c r="D438" s="12" t="s">
        <v>1834</v>
      </c>
      <c r="E438" s="11"/>
      <c r="F438" s="11"/>
      <c r="G438" s="11"/>
      <c r="H438" s="11"/>
      <c r="I438" s="12" t="s">
        <v>1845</v>
      </c>
      <c r="J438" s="11"/>
      <c r="K438" s="12" t="s">
        <v>1846</v>
      </c>
      <c r="L438" s="11"/>
      <c r="M438" s="12" t="str">
        <f>HYPERLINK("https://ceds.ed.gov/cedselementdetails.aspx?termid=18847")</f>
        <v>https://ceds.ed.gov/cedselementdetails.aspx?termid=18847</v>
      </c>
      <c r="N438" s="12" t="str">
        <f>HYPERLINK("https://ceds.ed.gov/elementComment.aspx?elementName=Building Cleaning Standard Type &amp;elementID=18847", "Click here to submit comment")</f>
        <v>Click here to submit comment</v>
      </c>
    </row>
    <row r="439" spans="1:14" ht="89.25" x14ac:dyDescent="0.25">
      <c r="A439" s="12" t="s">
        <v>1847</v>
      </c>
      <c r="B439" s="12" t="s">
        <v>1848</v>
      </c>
      <c r="C439" s="13" t="s">
        <v>1849</v>
      </c>
      <c r="D439" s="12" t="s">
        <v>1792</v>
      </c>
      <c r="E439" s="11"/>
      <c r="F439" s="11"/>
      <c r="G439" s="11"/>
      <c r="H439" s="11"/>
      <c r="I439" s="12" t="s">
        <v>1850</v>
      </c>
      <c r="J439" s="11"/>
      <c r="K439" s="12" t="s">
        <v>1851</v>
      </c>
      <c r="L439" s="11"/>
      <c r="M439" s="12" t="str">
        <f>HYPERLINK("https://ceds.ed.gov/cedselementdetails.aspx?termid=18772")</f>
        <v>https://ceds.ed.gov/cedselementdetails.aspx?termid=18772</v>
      </c>
      <c r="N439" s="12" t="str">
        <f>HYPERLINK("https://ceds.ed.gov/elementComment.aspx?elementName=Building Communications Management Component System Type &amp;elementID=18772", "Click here to submit comment")</f>
        <v>Click here to submit comment</v>
      </c>
    </row>
    <row r="440" spans="1:14" ht="140.25" x14ac:dyDescent="0.25">
      <c r="A440" s="12" t="s">
        <v>1852</v>
      </c>
      <c r="B440" s="12" t="s">
        <v>1853</v>
      </c>
      <c r="C440" s="13" t="s">
        <v>1854</v>
      </c>
      <c r="D440" s="12" t="s">
        <v>1716</v>
      </c>
      <c r="E440" s="11"/>
      <c r="F440" s="11"/>
      <c r="G440" s="11"/>
      <c r="H440" s="11"/>
      <c r="I440" s="12" t="s">
        <v>1855</v>
      </c>
      <c r="J440" s="11"/>
      <c r="K440" s="12" t="s">
        <v>1856</v>
      </c>
      <c r="L440" s="11"/>
      <c r="M440" s="12" t="str">
        <f>HYPERLINK("https://ceds.ed.gov/cedselementdetails.aspx?termid=18836")</f>
        <v>https://ceds.ed.gov/cedselementdetails.aspx?termid=18836</v>
      </c>
      <c r="N440" s="12" t="str">
        <f>HYPERLINK("https://ceds.ed.gov/elementComment.aspx?elementName=Building Community Use Space Type &amp;elementID=18836", "Click here to submit comment")</f>
        <v>Click here to submit comment</v>
      </c>
    </row>
    <row r="441" spans="1:14" ht="127.5" x14ac:dyDescent="0.25">
      <c r="A441" s="12" t="s">
        <v>1857</v>
      </c>
      <c r="B441" s="12" t="s">
        <v>1858</v>
      </c>
      <c r="C441" s="13" t="s">
        <v>1859</v>
      </c>
      <c r="D441" s="12" t="s">
        <v>1792</v>
      </c>
      <c r="E441" s="11"/>
      <c r="F441" s="11"/>
      <c r="G441" s="11"/>
      <c r="H441" s="11"/>
      <c r="I441" s="12" t="s">
        <v>1860</v>
      </c>
      <c r="J441" s="11"/>
      <c r="K441" s="12" t="s">
        <v>1861</v>
      </c>
      <c r="L441" s="11"/>
      <c r="M441" s="12" t="str">
        <f>HYPERLINK("https://ceds.ed.gov/cedselementdetails.aspx?termid=18775")</f>
        <v>https://ceds.ed.gov/cedselementdetails.aspx?termid=18775</v>
      </c>
      <c r="N441" s="12" t="str">
        <f>HYPERLINK("https://ceds.ed.gov/elementComment.aspx?elementName=Building Cooling Generation System Type &amp;elementID=18775", "Click here to submit comment")</f>
        <v>Click here to submit comment</v>
      </c>
    </row>
    <row r="442" spans="1:14" ht="38.25" x14ac:dyDescent="0.25">
      <c r="A442" s="12" t="s">
        <v>1862</v>
      </c>
      <c r="B442" s="12" t="s">
        <v>1863</v>
      </c>
      <c r="C442" s="12" t="s">
        <v>37</v>
      </c>
      <c r="D442" s="12" t="s">
        <v>1834</v>
      </c>
      <c r="E442" s="11"/>
      <c r="F442" s="12" t="s">
        <v>135</v>
      </c>
      <c r="G442" s="11"/>
      <c r="H442" s="11"/>
      <c r="I442" s="12" t="s">
        <v>1864</v>
      </c>
      <c r="J442" s="11"/>
      <c r="K442" s="12" t="s">
        <v>1865</v>
      </c>
      <c r="L442" s="11"/>
      <c r="M442" s="12" t="str">
        <f>HYPERLINK("https://ceds.ed.gov/cedselementdetails.aspx?termid=18861")</f>
        <v>https://ceds.ed.gov/cedselementdetails.aspx?termid=18861</v>
      </c>
      <c r="N442" s="12" t="str">
        <f>HYPERLINK("https://ceds.ed.gov/elementComment.aspx?elementName=Building Date of Certificate of Occupancy &amp;elementID=18861", "Click here to submit comment")</f>
        <v>Click here to submit comment</v>
      </c>
    </row>
    <row r="443" spans="1:14" ht="191.25" x14ac:dyDescent="0.25">
      <c r="A443" s="12" t="s">
        <v>1866</v>
      </c>
      <c r="B443" s="12" t="s">
        <v>1867</v>
      </c>
      <c r="C443" s="13" t="s">
        <v>1868</v>
      </c>
      <c r="D443" s="12" t="s">
        <v>1786</v>
      </c>
      <c r="E443" s="11"/>
      <c r="F443" s="11"/>
      <c r="G443" s="11"/>
      <c r="H443" s="11"/>
      <c r="I443" s="12" t="s">
        <v>1869</v>
      </c>
      <c r="J443" s="11"/>
      <c r="K443" s="12" t="s">
        <v>1870</v>
      </c>
      <c r="L443" s="11"/>
      <c r="M443" s="12" t="str">
        <f>HYPERLINK("https://ceds.ed.gov/cedselementdetails.aspx?termid=18797")</f>
        <v>https://ceds.ed.gov/cedselementdetails.aspx?termid=18797</v>
      </c>
      <c r="N443" s="12" t="str">
        <f>HYPERLINK("https://ceds.ed.gov/elementComment.aspx?elementName=Building Design Type &amp;elementID=18797", "Click here to submit comment")</f>
        <v>Click here to submit comment</v>
      </c>
    </row>
    <row r="444" spans="1:14" ht="127.5" x14ac:dyDescent="0.25">
      <c r="A444" s="12" t="s">
        <v>1871</v>
      </c>
      <c r="B444" s="12" t="s">
        <v>1872</v>
      </c>
      <c r="C444" s="13" t="s">
        <v>1873</v>
      </c>
      <c r="D444" s="12" t="s">
        <v>1792</v>
      </c>
      <c r="E444" s="11"/>
      <c r="F444" s="11"/>
      <c r="G444" s="11"/>
      <c r="H444" s="11"/>
      <c r="I444" s="12" t="s">
        <v>1874</v>
      </c>
      <c r="J444" s="11"/>
      <c r="K444" s="12" t="s">
        <v>1875</v>
      </c>
      <c r="L444" s="11"/>
      <c r="M444" s="12" t="str">
        <f>HYPERLINK("https://ceds.ed.gov/cedselementdetails.aspx?termid=18776")</f>
        <v>https://ceds.ed.gov/cedselementdetails.aspx?termid=18776</v>
      </c>
      <c r="N444" s="12" t="str">
        <f>HYPERLINK("https://ceds.ed.gov/elementComment.aspx?elementName=Building Electrical System Type &amp;elementID=18776", "Click here to submit comment")</f>
        <v>Click here to submit comment</v>
      </c>
    </row>
    <row r="445" spans="1:14" ht="140.25" x14ac:dyDescent="0.25">
      <c r="A445" s="12" t="s">
        <v>1876</v>
      </c>
      <c r="B445" s="12" t="s">
        <v>1877</v>
      </c>
      <c r="C445" s="13" t="s">
        <v>1878</v>
      </c>
      <c r="D445" s="12" t="s">
        <v>1834</v>
      </c>
      <c r="E445" s="11"/>
      <c r="F445" s="11"/>
      <c r="G445" s="11"/>
      <c r="H445" s="11"/>
      <c r="I445" s="12" t="s">
        <v>1879</v>
      </c>
      <c r="J445" s="11"/>
      <c r="K445" s="12" t="s">
        <v>1880</v>
      </c>
      <c r="L445" s="11"/>
      <c r="M445" s="12" t="str">
        <f>HYPERLINK("https://ceds.ed.gov/cedselementdetails.aspx?termid=18849")</f>
        <v>https://ceds.ed.gov/cedselementdetails.aspx?termid=18849</v>
      </c>
      <c r="N445" s="12" t="str">
        <f>HYPERLINK("https://ceds.ed.gov/elementComment.aspx?elementName=Building Energy Conservation Measure Type &amp;elementID=18849", "Click here to submit comment")</f>
        <v>Click here to submit comment</v>
      </c>
    </row>
    <row r="446" spans="1:14" ht="63.75" x14ac:dyDescent="0.25">
      <c r="A446" s="12" t="s">
        <v>1881</v>
      </c>
      <c r="B446" s="12" t="s">
        <v>1882</v>
      </c>
      <c r="C446" s="12" t="s">
        <v>37</v>
      </c>
      <c r="D446" s="12" t="s">
        <v>1834</v>
      </c>
      <c r="E446" s="11"/>
      <c r="F446" s="12" t="s">
        <v>175</v>
      </c>
      <c r="G446" s="11"/>
      <c r="H446" s="11"/>
      <c r="I446" s="12" t="s">
        <v>1883</v>
      </c>
      <c r="J446" s="11"/>
      <c r="K446" s="12" t="s">
        <v>1884</v>
      </c>
      <c r="L446" s="11"/>
      <c r="M446" s="12" t="str">
        <f>HYPERLINK("https://ceds.ed.gov/cedselementdetails.aspx?termid=18850")</f>
        <v>https://ceds.ed.gov/cedselementdetails.aspx?termid=18850</v>
      </c>
      <c r="N446" s="12" t="str">
        <f>HYPERLINK("https://ceds.ed.gov/elementComment.aspx?elementName=Building Energy Service Company Name &amp;elementID=18850", "Click here to submit comment")</f>
        <v>Click here to submit comment</v>
      </c>
    </row>
    <row r="447" spans="1:14" ht="153" x14ac:dyDescent="0.25">
      <c r="A447" s="12" t="s">
        <v>1885</v>
      </c>
      <c r="B447" s="12" t="s">
        <v>1886</v>
      </c>
      <c r="C447" s="13" t="s">
        <v>1887</v>
      </c>
      <c r="D447" s="12" t="s">
        <v>1834</v>
      </c>
      <c r="E447" s="11"/>
      <c r="F447" s="11"/>
      <c r="G447" s="11"/>
      <c r="H447" s="11"/>
      <c r="I447" s="12" t="s">
        <v>1888</v>
      </c>
      <c r="J447" s="11"/>
      <c r="K447" s="12" t="s">
        <v>1889</v>
      </c>
      <c r="L447" s="11"/>
      <c r="M447" s="12" t="str">
        <f>HYPERLINK("https://ceds.ed.gov/cedselementdetails.aspx?termid=18851")</f>
        <v>https://ceds.ed.gov/cedselementdetails.aspx?termid=18851</v>
      </c>
      <c r="N447" s="12" t="str">
        <f>HYPERLINK("https://ceds.ed.gov/elementComment.aspx?elementName=Building Energy Source Type &amp;elementID=18851", "Click here to submit comment")</f>
        <v>Click here to submit comment</v>
      </c>
    </row>
    <row r="448" spans="1:14" ht="140.25" x14ac:dyDescent="0.25">
      <c r="A448" s="12" t="s">
        <v>1890</v>
      </c>
      <c r="B448" s="12" t="s">
        <v>1891</v>
      </c>
      <c r="C448" s="13" t="s">
        <v>1892</v>
      </c>
      <c r="D448" s="12" t="s">
        <v>1786</v>
      </c>
      <c r="E448" s="11"/>
      <c r="F448" s="11"/>
      <c r="G448" s="11"/>
      <c r="H448" s="11"/>
      <c r="I448" s="12" t="s">
        <v>1893</v>
      </c>
      <c r="J448" s="11"/>
      <c r="K448" s="12" t="s">
        <v>1894</v>
      </c>
      <c r="L448" s="11"/>
      <c r="M448" s="12" t="str">
        <f>HYPERLINK("https://ceds.ed.gov/cedselementdetails.aspx?termid=18800")</f>
        <v>https://ceds.ed.gov/cedselementdetails.aspx?termid=18800</v>
      </c>
      <c r="N448" s="12" t="str">
        <f>HYPERLINK("https://ceds.ed.gov/elementComment.aspx?elementName=Building Environmental or Energy Performance Rating Category &amp;elementID=18800", "Click here to submit comment")</f>
        <v>Click here to submit comment</v>
      </c>
    </row>
    <row r="449" spans="1:14" ht="114.75" x14ac:dyDescent="0.25">
      <c r="A449" s="12" t="s">
        <v>1895</v>
      </c>
      <c r="B449" s="12" t="s">
        <v>1896</v>
      </c>
      <c r="C449" s="13" t="s">
        <v>1897</v>
      </c>
      <c r="D449" s="12" t="s">
        <v>1792</v>
      </c>
      <c r="E449" s="11"/>
      <c r="F449" s="11"/>
      <c r="G449" s="11"/>
      <c r="H449" s="11"/>
      <c r="I449" s="12" t="s">
        <v>1898</v>
      </c>
      <c r="J449" s="11"/>
      <c r="K449" s="12" t="s">
        <v>1899</v>
      </c>
      <c r="L449" s="11"/>
      <c r="M449" s="12" t="str">
        <f>HYPERLINK("https://ceds.ed.gov/cedselementdetails.aspx?termid=18779")</f>
        <v>https://ceds.ed.gov/cedselementdetails.aspx?termid=18779</v>
      </c>
      <c r="N449" s="12" t="str">
        <f>HYPERLINK("https://ceds.ed.gov/elementComment.aspx?elementName=Building Fire Protection System Type &amp;elementID=18779", "Click here to submit comment")</f>
        <v>Click here to submit comment</v>
      </c>
    </row>
    <row r="450" spans="1:14" ht="255" x14ac:dyDescent="0.25">
      <c r="A450" s="12" t="s">
        <v>1900</v>
      </c>
      <c r="B450" s="12" t="s">
        <v>1901</v>
      </c>
      <c r="C450" s="13" t="s">
        <v>1902</v>
      </c>
      <c r="D450" s="12" t="s">
        <v>1786</v>
      </c>
      <c r="E450" s="11"/>
      <c r="F450" s="11"/>
      <c r="G450" s="11"/>
      <c r="H450" s="11"/>
      <c r="I450" s="12" t="s">
        <v>1903</v>
      </c>
      <c r="J450" s="11"/>
      <c r="K450" s="12" t="s">
        <v>1904</v>
      </c>
      <c r="L450" s="11"/>
      <c r="M450" s="12" t="str">
        <f>HYPERLINK("https://ceds.ed.gov/cedselementdetails.aspx?termid=18802")</f>
        <v>https://ceds.ed.gov/cedselementdetails.aspx?termid=18802</v>
      </c>
      <c r="N450" s="12" t="str">
        <f>HYPERLINK("https://ceds.ed.gov/elementComment.aspx?elementName=Building Food Service Space Type &amp;elementID=18802", "Click here to submit comment")</f>
        <v>Click here to submit comment</v>
      </c>
    </row>
    <row r="451" spans="1:14" ht="63.75" x14ac:dyDescent="0.25">
      <c r="A451" s="12" t="s">
        <v>1905</v>
      </c>
      <c r="B451" s="12" t="s">
        <v>1906</v>
      </c>
      <c r="C451" s="13" t="s">
        <v>1907</v>
      </c>
      <c r="D451" s="12" t="s">
        <v>1786</v>
      </c>
      <c r="E451" s="11"/>
      <c r="F451" s="11"/>
      <c r="G451" s="11"/>
      <c r="H451" s="11"/>
      <c r="I451" s="12" t="s">
        <v>1908</v>
      </c>
      <c r="J451" s="11"/>
      <c r="K451" s="12" t="s">
        <v>1909</v>
      </c>
      <c r="L451" s="11"/>
      <c r="M451" s="12" t="str">
        <f>HYPERLINK("https://ceds.ed.gov/cedselementdetails.aspx?termid=18824")</f>
        <v>https://ceds.ed.gov/cedselementdetails.aspx?termid=18824</v>
      </c>
      <c r="N451" s="12" t="str">
        <f>HYPERLINK("https://ceds.ed.gov/elementComment.aspx?elementName=Building Full Service Kitchen Type &amp;elementID=18824", "Click here to submit comment")</f>
        <v>Click here to submit comment</v>
      </c>
    </row>
    <row r="452" spans="1:14" ht="140.25" x14ac:dyDescent="0.25">
      <c r="A452" s="12" t="s">
        <v>1910</v>
      </c>
      <c r="B452" s="12" t="s">
        <v>1911</v>
      </c>
      <c r="C452" s="13" t="s">
        <v>1912</v>
      </c>
      <c r="D452" s="12" t="s">
        <v>1792</v>
      </c>
      <c r="E452" s="11"/>
      <c r="F452" s="11"/>
      <c r="G452" s="11"/>
      <c r="H452" s="11"/>
      <c r="I452" s="12" t="s">
        <v>1913</v>
      </c>
      <c r="J452" s="11"/>
      <c r="K452" s="12" t="s">
        <v>1914</v>
      </c>
      <c r="L452" s="11"/>
      <c r="M452" s="12" t="str">
        <f>HYPERLINK("https://ceds.ed.gov/cedselementdetails.aspx?termid=18780")</f>
        <v>https://ceds.ed.gov/cedselementdetails.aspx?termid=18780</v>
      </c>
      <c r="N452" s="12" t="str">
        <f>HYPERLINK("https://ceds.ed.gov/elementComment.aspx?elementName=Building Heating Generation System Type &amp;elementID=18780", "Click here to submit comment")</f>
        <v>Click here to submit comment</v>
      </c>
    </row>
    <row r="453" spans="1:14" ht="140.25" x14ac:dyDescent="0.25">
      <c r="A453" s="12" t="s">
        <v>1915</v>
      </c>
      <c r="B453" s="12" t="s">
        <v>1916</v>
      </c>
      <c r="C453" s="13" t="s">
        <v>1917</v>
      </c>
      <c r="D453" s="12" t="s">
        <v>1776</v>
      </c>
      <c r="E453" s="11"/>
      <c r="F453" s="11"/>
      <c r="G453" s="11"/>
      <c r="H453" s="11"/>
      <c r="I453" s="12" t="s">
        <v>1918</v>
      </c>
      <c r="J453" s="11"/>
      <c r="K453" s="12" t="s">
        <v>1919</v>
      </c>
      <c r="L453" s="11"/>
      <c r="M453" s="12" t="str">
        <f>HYPERLINK("https://ceds.ed.gov/cedselementdetails.aspx?termid=18753")</f>
        <v>https://ceds.ed.gov/cedselementdetails.aspx?termid=18753</v>
      </c>
      <c r="N453" s="12" t="str">
        <f>HYPERLINK("https://ceds.ed.gov/elementComment.aspx?elementName=Building Historic Status &amp;elementID=18753", "Click here to submit comment")</f>
        <v>Click here to submit comment</v>
      </c>
    </row>
    <row r="454" spans="1:14" ht="51" x14ac:dyDescent="0.25">
      <c r="A454" s="12" t="s">
        <v>1920</v>
      </c>
      <c r="B454" s="12" t="s">
        <v>1921</v>
      </c>
      <c r="C454" s="12" t="s">
        <v>37</v>
      </c>
      <c r="D454" s="12" t="s">
        <v>1716</v>
      </c>
      <c r="E454" s="11"/>
      <c r="F454" s="12" t="s">
        <v>1922</v>
      </c>
      <c r="G454" s="11"/>
      <c r="H454" s="11"/>
      <c r="I454" s="12" t="s">
        <v>1923</v>
      </c>
      <c r="J454" s="11"/>
      <c r="K454" s="12" t="s">
        <v>1924</v>
      </c>
      <c r="L454" s="11"/>
      <c r="M454" s="12" t="str">
        <f>HYPERLINK("https://ceds.ed.gov/cedselementdetails.aspx?termid=18837")</f>
        <v>https://ceds.ed.gov/cedselementdetails.aspx?termid=18837</v>
      </c>
      <c r="N454" s="12" t="str">
        <f>HYPERLINK("https://ceds.ed.gov/elementComment.aspx?elementName=Building Hours of Public Use Per Week &amp;elementID=18837", "Click here to submit comment")</f>
        <v>Click here to submit comment</v>
      </c>
    </row>
    <row r="455" spans="1:14" ht="114.75" x14ac:dyDescent="0.25">
      <c r="A455" s="12" t="s">
        <v>1925</v>
      </c>
      <c r="B455" s="12" t="s">
        <v>1926</v>
      </c>
      <c r="C455" s="13" t="s">
        <v>1927</v>
      </c>
      <c r="D455" s="12" t="s">
        <v>1792</v>
      </c>
      <c r="E455" s="11"/>
      <c r="F455" s="11"/>
      <c r="G455" s="11"/>
      <c r="H455" s="11"/>
      <c r="I455" s="12" t="s">
        <v>1928</v>
      </c>
      <c r="J455" s="11"/>
      <c r="K455" s="12" t="s">
        <v>1929</v>
      </c>
      <c r="L455" s="11"/>
      <c r="M455" s="12" t="str">
        <f>HYPERLINK("https://ceds.ed.gov/cedselementdetails.aspx?termid=18781")</f>
        <v>https://ceds.ed.gov/cedselementdetails.aspx?termid=18781</v>
      </c>
      <c r="N455" s="12" t="str">
        <f>HYPERLINK("https://ceds.ed.gov/elementComment.aspx?elementName=Building HVAC System Type &amp;elementID=18781", "Click here to submit comment")</f>
        <v>Click here to submit comment</v>
      </c>
    </row>
    <row r="456" spans="1:14" ht="204" x14ac:dyDescent="0.25">
      <c r="A456" s="12" t="s">
        <v>1930</v>
      </c>
      <c r="B456" s="12" t="s">
        <v>1931</v>
      </c>
      <c r="C456" s="13" t="s">
        <v>1932</v>
      </c>
      <c r="D456" s="12" t="s">
        <v>1786</v>
      </c>
      <c r="E456" s="11"/>
      <c r="F456" s="11"/>
      <c r="G456" s="11"/>
      <c r="H456" s="11"/>
      <c r="I456" s="12" t="s">
        <v>1933</v>
      </c>
      <c r="J456" s="11"/>
      <c r="K456" s="12" t="s">
        <v>1934</v>
      </c>
      <c r="L456" s="11"/>
      <c r="M456" s="12" t="str">
        <f>HYPERLINK("https://ceds.ed.gov/cedselementdetails.aspx?termid=18803")</f>
        <v>https://ceds.ed.gov/cedselementdetails.aspx?termid=18803</v>
      </c>
      <c r="N456" s="12" t="str">
        <f>HYPERLINK("https://ceds.ed.gov/elementComment.aspx?elementName=Building Indoor Athletic or Physical Education Space Type &amp;elementID=18803", "Click here to submit comment")</f>
        <v>Click here to submit comment</v>
      </c>
    </row>
    <row r="457" spans="1:14" ht="63.75" x14ac:dyDescent="0.25">
      <c r="A457" s="12" t="s">
        <v>1935</v>
      </c>
      <c r="B457" s="12" t="s">
        <v>1936</v>
      </c>
      <c r="C457" s="12" t="s">
        <v>37</v>
      </c>
      <c r="D457" s="12" t="s">
        <v>1792</v>
      </c>
      <c r="E457" s="11"/>
      <c r="F457" s="12" t="s">
        <v>62</v>
      </c>
      <c r="G457" s="11"/>
      <c r="H457" s="11"/>
      <c r="I457" s="12" t="s">
        <v>1937</v>
      </c>
      <c r="J457" s="11"/>
      <c r="K457" s="12" t="s">
        <v>1938</v>
      </c>
      <c r="L457" s="11"/>
      <c r="M457" s="12" t="str">
        <f>HYPERLINK("https://ceds.ed.gov/cedselementdetails.aspx?termid=18782")</f>
        <v>https://ceds.ed.gov/cedselementdetails.aspx?termid=18782</v>
      </c>
      <c r="N457" s="12" t="str">
        <f>HYPERLINK("https://ceds.ed.gov/elementComment.aspx?elementName=Building Institutional Equipment Description &amp;elementID=18782", "Click here to submit comment")</f>
        <v>Click here to submit comment</v>
      </c>
    </row>
    <row r="458" spans="1:14" ht="38.25" x14ac:dyDescent="0.25">
      <c r="A458" s="12" t="s">
        <v>1939</v>
      </c>
      <c r="B458" s="12" t="s">
        <v>1940</v>
      </c>
      <c r="C458" s="13" t="s">
        <v>1941</v>
      </c>
      <c r="D458" s="12" t="s">
        <v>1716</v>
      </c>
      <c r="E458" s="11"/>
      <c r="F458" s="11"/>
      <c r="G458" s="11"/>
      <c r="H458" s="11"/>
      <c r="I458" s="12" t="s">
        <v>1942</v>
      </c>
      <c r="J458" s="11"/>
      <c r="K458" s="12" t="s">
        <v>1943</v>
      </c>
      <c r="L458" s="11"/>
      <c r="M458" s="12" t="str">
        <f>HYPERLINK("https://ceds.ed.gov/cedselementdetails.aspx?termid=18832")</f>
        <v>https://ceds.ed.gov/cedselementdetails.aspx?termid=18832</v>
      </c>
      <c r="N458" s="12" t="str">
        <f>HYPERLINK("https://ceds.ed.gov/elementComment.aspx?elementName=Building Instructional Space Factor Type &amp;elementID=18832", "Click here to submit comment")</f>
        <v>Click here to submit comment</v>
      </c>
    </row>
    <row r="459" spans="1:14" ht="102" x14ac:dyDescent="0.25">
      <c r="A459" s="12" t="s">
        <v>1944</v>
      </c>
      <c r="B459" s="12" t="s">
        <v>1945</v>
      </c>
      <c r="C459" s="13" t="s">
        <v>1946</v>
      </c>
      <c r="D459" s="12" t="s">
        <v>1716</v>
      </c>
      <c r="E459" s="11"/>
      <c r="F459" s="11"/>
      <c r="G459" s="11"/>
      <c r="H459" s="11"/>
      <c r="I459" s="12" t="s">
        <v>1947</v>
      </c>
      <c r="J459" s="11"/>
      <c r="K459" s="12" t="s">
        <v>1948</v>
      </c>
      <c r="L459" s="11"/>
      <c r="M459" s="12" t="str">
        <f>HYPERLINK("https://ceds.ed.gov/cedselementdetails.aspx?termid=18833")</f>
        <v>https://ceds.ed.gov/cedselementdetails.aspx?termid=18833</v>
      </c>
      <c r="N459" s="12" t="str">
        <f>HYPERLINK("https://ceds.ed.gov/elementComment.aspx?elementName=Building Joint Use Rationale Type &amp;elementID=18833", "Click here to submit comment")</f>
        <v>Click here to submit comment</v>
      </c>
    </row>
    <row r="460" spans="1:14" ht="63.75" x14ac:dyDescent="0.25">
      <c r="A460" s="12" t="s">
        <v>1949</v>
      </c>
      <c r="B460" s="12" t="s">
        <v>1950</v>
      </c>
      <c r="C460" s="13" t="s">
        <v>1951</v>
      </c>
      <c r="D460" s="12" t="s">
        <v>1716</v>
      </c>
      <c r="E460" s="11"/>
      <c r="F460" s="11"/>
      <c r="G460" s="11"/>
      <c r="H460" s="11"/>
      <c r="I460" s="12" t="s">
        <v>1952</v>
      </c>
      <c r="J460" s="11"/>
      <c r="K460" s="12" t="s">
        <v>1953</v>
      </c>
      <c r="L460" s="11"/>
      <c r="M460" s="12" t="str">
        <f>HYPERLINK("https://ceds.ed.gov/cedselementdetails.aspx?termid=18834")</f>
        <v>https://ceds.ed.gov/cedselementdetails.aspx?termid=18834</v>
      </c>
      <c r="N460" s="12" t="str">
        <f>HYPERLINK("https://ceds.ed.gov/elementComment.aspx?elementName=Building Joint Use Scheduling Type &amp;elementID=18834", "Click here to submit comment")</f>
        <v>Click here to submit comment</v>
      </c>
    </row>
    <row r="461" spans="1:14" ht="76.5" x14ac:dyDescent="0.25">
      <c r="A461" s="12" t="s">
        <v>1954</v>
      </c>
      <c r="B461" s="12" t="s">
        <v>1955</v>
      </c>
      <c r="C461" s="13" t="s">
        <v>1956</v>
      </c>
      <c r="D461" s="12" t="s">
        <v>1716</v>
      </c>
      <c r="E461" s="11"/>
      <c r="F461" s="11"/>
      <c r="G461" s="11"/>
      <c r="H461" s="11"/>
      <c r="I461" s="12" t="s">
        <v>1957</v>
      </c>
      <c r="J461" s="11"/>
      <c r="K461" s="12" t="s">
        <v>1958</v>
      </c>
      <c r="L461" s="11"/>
      <c r="M461" s="12" t="str">
        <f>HYPERLINK("https://ceds.ed.gov/cedselementdetails.aspx?termid=18835")</f>
        <v>https://ceds.ed.gov/cedselementdetails.aspx?termid=18835</v>
      </c>
      <c r="N461" s="12" t="str">
        <f>HYPERLINK("https://ceds.ed.gov/elementComment.aspx?elementName=Building Joint User Type &amp;elementID=18835", "Click here to submit comment")</f>
        <v>Click here to submit comment</v>
      </c>
    </row>
    <row r="462" spans="1:14" ht="114.75" x14ac:dyDescent="0.25">
      <c r="A462" s="12" t="s">
        <v>1959</v>
      </c>
      <c r="B462" s="12" t="s">
        <v>1960</v>
      </c>
      <c r="C462" s="13" t="s">
        <v>1961</v>
      </c>
      <c r="D462" s="12" t="s">
        <v>1786</v>
      </c>
      <c r="E462" s="11"/>
      <c r="F462" s="11"/>
      <c r="G462" s="11"/>
      <c r="H462" s="11"/>
      <c r="I462" s="12" t="s">
        <v>1962</v>
      </c>
      <c r="J462" s="11"/>
      <c r="K462" s="12" t="s">
        <v>1963</v>
      </c>
      <c r="L462" s="11"/>
      <c r="M462" s="12" t="str">
        <f>HYPERLINK("https://ceds.ed.gov/cedselementdetails.aspx?termid=18804")</f>
        <v>https://ceds.ed.gov/cedselementdetails.aspx?termid=18804</v>
      </c>
      <c r="N462" s="12" t="str">
        <f>HYPERLINK("https://ceds.ed.gov/elementComment.aspx?elementName=Building Library or Media Center Specialty Space Type &amp;elementID=18804", "Click here to submit comment")</f>
        <v>Click here to submit comment</v>
      </c>
    </row>
    <row r="463" spans="1:14" ht="76.5" x14ac:dyDescent="0.25">
      <c r="A463" s="12" t="s">
        <v>1964</v>
      </c>
      <c r="B463" s="12" t="s">
        <v>1965</v>
      </c>
      <c r="C463" s="13" t="s">
        <v>1966</v>
      </c>
      <c r="D463" s="12" t="s">
        <v>1792</v>
      </c>
      <c r="E463" s="11"/>
      <c r="F463" s="11"/>
      <c r="G463" s="11"/>
      <c r="H463" s="11"/>
      <c r="I463" s="12" t="s">
        <v>1967</v>
      </c>
      <c r="J463" s="11"/>
      <c r="K463" s="12" t="s">
        <v>1968</v>
      </c>
      <c r="L463" s="11"/>
      <c r="M463" s="12" t="str">
        <f>HYPERLINK("https://ceds.ed.gov/cedselementdetails.aspx?termid=18783")</f>
        <v>https://ceds.ed.gov/cedselementdetails.aspx?termid=18783</v>
      </c>
      <c r="N463" s="12" t="str">
        <f>HYPERLINK("https://ceds.ed.gov/elementComment.aspx?elementName=Building Mechanical Conveying System Type &amp;elementID=18783", "Click here to submit comment")</f>
        <v>Click here to submit comment</v>
      </c>
    </row>
    <row r="464" spans="1:14" ht="63.75" x14ac:dyDescent="0.25">
      <c r="A464" s="12" t="s">
        <v>1969</v>
      </c>
      <c r="B464" s="12" t="s">
        <v>1970</v>
      </c>
      <c r="C464" s="13" t="s">
        <v>1971</v>
      </c>
      <c r="D464" s="12" t="s">
        <v>1792</v>
      </c>
      <c r="E464" s="11"/>
      <c r="F464" s="11"/>
      <c r="G464" s="11"/>
      <c r="H464" s="11"/>
      <c r="I464" s="12" t="s">
        <v>1972</v>
      </c>
      <c r="J464" s="11"/>
      <c r="K464" s="12" t="s">
        <v>1973</v>
      </c>
      <c r="L464" s="11"/>
      <c r="M464" s="12" t="str">
        <f>HYPERLINK("https://ceds.ed.gov/cedselementdetails.aspx?termid=18790")</f>
        <v>https://ceds.ed.gov/cedselementdetails.aspx?termid=18790</v>
      </c>
      <c r="N464" s="12" t="str">
        <f>HYPERLINK("https://ceds.ed.gov/elementComment.aspx?elementName=Building Mechanical System Type &amp;elementID=18790", "Click here to submit comment")</f>
        <v>Click here to submit comment</v>
      </c>
    </row>
    <row r="465" spans="1:14" ht="51" x14ac:dyDescent="0.25">
      <c r="A465" s="12" t="s">
        <v>1974</v>
      </c>
      <c r="B465" s="12" t="s">
        <v>1975</v>
      </c>
      <c r="C465" s="12" t="s">
        <v>37</v>
      </c>
      <c r="D465" s="12" t="s">
        <v>1716</v>
      </c>
      <c r="E465" s="11"/>
      <c r="F465" s="12" t="s">
        <v>1710</v>
      </c>
      <c r="G465" s="11"/>
      <c r="H465" s="11"/>
      <c r="I465" s="12" t="s">
        <v>1976</v>
      </c>
      <c r="J465" s="11"/>
      <c r="K465" s="12" t="s">
        <v>1977</v>
      </c>
      <c r="L465" s="11"/>
      <c r="M465" s="12" t="str">
        <f>HYPERLINK("https://ceds.ed.gov/cedselementdetails.aspx?termid=18838")</f>
        <v>https://ceds.ed.gov/cedselementdetails.aspx?termid=18838</v>
      </c>
      <c r="N465" s="12" t="str">
        <f>HYPERLINK("https://ceds.ed.gov/elementComment.aspx?elementName=Building Net Area of Instructional Space &amp;elementID=18838", "Click here to submit comment")</f>
        <v>Click here to submit comment</v>
      </c>
    </row>
    <row r="466" spans="1:14" ht="38.25" x14ac:dyDescent="0.25">
      <c r="A466" s="12" t="s">
        <v>1978</v>
      </c>
      <c r="B466" s="12" t="s">
        <v>1979</v>
      </c>
      <c r="C466" s="12" t="s">
        <v>37</v>
      </c>
      <c r="D466" s="12" t="s">
        <v>1776</v>
      </c>
      <c r="E466" s="11"/>
      <c r="F466" s="12" t="s">
        <v>1922</v>
      </c>
      <c r="G466" s="11"/>
      <c r="H466" s="11"/>
      <c r="I466" s="12" t="s">
        <v>1980</v>
      </c>
      <c r="J466" s="11"/>
      <c r="K466" s="12" t="s">
        <v>1981</v>
      </c>
      <c r="L466" s="11"/>
      <c r="M466" s="12" t="str">
        <f>HYPERLINK("https://ceds.ed.gov/cedselementdetails.aspx?termid=18766")</f>
        <v>https://ceds.ed.gov/cedselementdetails.aspx?termid=18766</v>
      </c>
      <c r="N466" s="12" t="str">
        <f>HYPERLINK("https://ceds.ed.gov/elementComment.aspx?elementName=Building Number of Stories &amp;elementID=18766", "Click here to submit comment")</f>
        <v>Click here to submit comment</v>
      </c>
    </row>
    <row r="467" spans="1:14" ht="51" x14ac:dyDescent="0.25">
      <c r="A467" s="12" t="s">
        <v>1982</v>
      </c>
      <c r="B467" s="12" t="s">
        <v>1983</v>
      </c>
      <c r="C467" s="12" t="s">
        <v>37</v>
      </c>
      <c r="D467" s="12" t="s">
        <v>1716</v>
      </c>
      <c r="E467" s="11"/>
      <c r="F467" s="12" t="s">
        <v>1922</v>
      </c>
      <c r="G467" s="11"/>
      <c r="H467" s="11"/>
      <c r="I467" s="12" t="s">
        <v>1984</v>
      </c>
      <c r="J467" s="11"/>
      <c r="K467" s="12" t="s">
        <v>1985</v>
      </c>
      <c r="L467" s="11"/>
      <c r="M467" s="12" t="str">
        <f>HYPERLINK("https://ceds.ed.gov/cedselementdetails.aspx?termid=18839")</f>
        <v>https://ceds.ed.gov/cedselementdetails.aspx?termid=18839</v>
      </c>
      <c r="N467" s="12" t="str">
        <f>HYPERLINK("https://ceds.ed.gov/elementComment.aspx?elementName=Building Number of Teaching Stations &amp;elementID=18839", "Click here to submit comment")</f>
        <v>Click here to submit comment</v>
      </c>
    </row>
    <row r="468" spans="1:14" ht="216.75" x14ac:dyDescent="0.25">
      <c r="A468" s="12" t="s">
        <v>1986</v>
      </c>
      <c r="B468" s="12" t="s">
        <v>1987</v>
      </c>
      <c r="C468" s="13" t="s">
        <v>1988</v>
      </c>
      <c r="D468" s="12" t="s">
        <v>1786</v>
      </c>
      <c r="E468" s="11"/>
      <c r="F468" s="11"/>
      <c r="G468" s="11"/>
      <c r="H468" s="11"/>
      <c r="I468" s="12" t="s">
        <v>1989</v>
      </c>
      <c r="J468" s="11"/>
      <c r="K468" s="12" t="s">
        <v>1990</v>
      </c>
      <c r="L468" s="11"/>
      <c r="M468" s="12" t="str">
        <f>HYPERLINK("https://ceds.ed.gov/cedselementdetails.aspx?termid=18805")</f>
        <v>https://ceds.ed.gov/cedselementdetails.aspx?termid=18805</v>
      </c>
      <c r="N468" s="12" t="str">
        <f>HYPERLINK("https://ceds.ed.gov/elementComment.aspx?elementName=Building Operations or Maintenance Space Type &amp;elementID=18805", "Click here to submit comment")</f>
        <v>Click here to submit comment</v>
      </c>
    </row>
    <row r="469" spans="1:14" ht="191.25" x14ac:dyDescent="0.25">
      <c r="A469" s="12" t="s">
        <v>1991</v>
      </c>
      <c r="B469" s="12" t="s">
        <v>1992</v>
      </c>
      <c r="C469" s="13" t="s">
        <v>1993</v>
      </c>
      <c r="D469" s="12" t="s">
        <v>1786</v>
      </c>
      <c r="E469" s="11"/>
      <c r="F469" s="11"/>
      <c r="G469" s="11"/>
      <c r="H469" s="11"/>
      <c r="I469" s="12" t="s">
        <v>1994</v>
      </c>
      <c r="J469" s="11"/>
      <c r="K469" s="12" t="s">
        <v>1995</v>
      </c>
      <c r="L469" s="11"/>
      <c r="M469" s="12" t="str">
        <f>HYPERLINK("https://ceds.ed.gov/cedselementdetails.aspx?termid=18806")</f>
        <v>https://ceds.ed.gov/cedselementdetails.aspx?termid=18806</v>
      </c>
      <c r="N469" s="12" t="str">
        <f>HYPERLINK("https://ceds.ed.gov/elementComment.aspx?elementName=Building Outdoor Athletic or Physical Education Space Type &amp;elementID=18806", "Click here to submit comment")</f>
        <v>Click here to submit comment</v>
      </c>
    </row>
    <row r="470" spans="1:14" ht="114.75" x14ac:dyDescent="0.25">
      <c r="A470" s="12" t="s">
        <v>1996</v>
      </c>
      <c r="B470" s="12" t="s">
        <v>1997</v>
      </c>
      <c r="C470" s="13" t="s">
        <v>1998</v>
      </c>
      <c r="D470" s="12" t="s">
        <v>1786</v>
      </c>
      <c r="E470" s="11"/>
      <c r="F470" s="11"/>
      <c r="G470" s="11"/>
      <c r="H470" s="11"/>
      <c r="I470" s="12" t="s">
        <v>1999</v>
      </c>
      <c r="J470" s="11"/>
      <c r="K470" s="12" t="s">
        <v>2000</v>
      </c>
      <c r="L470" s="11"/>
      <c r="M470" s="12" t="str">
        <f>HYPERLINK("https://ceds.ed.gov/cedselementdetails.aspx?termid=18807")</f>
        <v>https://ceds.ed.gov/cedselementdetails.aspx?termid=18807</v>
      </c>
      <c r="N470" s="12" t="str">
        <f>HYPERLINK("https://ceds.ed.gov/elementComment.aspx?elementName=Building Outdoor or Non-athletic Space Type &amp;elementID=18807", "Click here to submit comment")</f>
        <v>Click here to submit comment</v>
      </c>
    </row>
    <row r="471" spans="1:14" ht="242.25" x14ac:dyDescent="0.25">
      <c r="A471" s="12" t="s">
        <v>2001</v>
      </c>
      <c r="B471" s="12" t="s">
        <v>2002</v>
      </c>
      <c r="C471" s="13" t="s">
        <v>2003</v>
      </c>
      <c r="D471" s="12" t="s">
        <v>1786</v>
      </c>
      <c r="E471" s="11"/>
      <c r="F471" s="11"/>
      <c r="G471" s="11"/>
      <c r="H471" s="11"/>
      <c r="I471" s="12" t="s">
        <v>2004</v>
      </c>
      <c r="J471" s="11"/>
      <c r="K471" s="12" t="s">
        <v>2005</v>
      </c>
      <c r="L471" s="11"/>
      <c r="M471" s="12" t="str">
        <f>HYPERLINK("https://ceds.ed.gov/cedselementdetails.aspx?termid=18808")</f>
        <v>https://ceds.ed.gov/cedselementdetails.aspx?termid=18808</v>
      </c>
      <c r="N471" s="12" t="str">
        <f>HYPERLINK("https://ceds.ed.gov/elementComment.aspx?elementName=Building Performing Arts Specialty Space Type &amp;elementID=18808", "Click here to submit comment")</f>
        <v>Click here to submit comment</v>
      </c>
    </row>
    <row r="472" spans="1:14" ht="204" x14ac:dyDescent="0.25">
      <c r="A472" s="12" t="s">
        <v>2006</v>
      </c>
      <c r="B472" s="12" t="s">
        <v>2007</v>
      </c>
      <c r="C472" s="13" t="s">
        <v>2008</v>
      </c>
      <c r="D472" s="12" t="s">
        <v>1792</v>
      </c>
      <c r="E472" s="11"/>
      <c r="F472" s="11"/>
      <c r="G472" s="11"/>
      <c r="H472" s="11"/>
      <c r="I472" s="12" t="s">
        <v>2009</v>
      </c>
      <c r="J472" s="11"/>
      <c r="K472" s="12" t="s">
        <v>2010</v>
      </c>
      <c r="L472" s="11"/>
      <c r="M472" s="12" t="str">
        <f>HYPERLINK("https://ceds.ed.gov/cedselementdetails.aspx?termid=18784")</f>
        <v>https://ceds.ed.gov/cedselementdetails.aspx?termid=18784</v>
      </c>
      <c r="N472" s="12" t="str">
        <f>HYPERLINK("https://ceds.ed.gov/elementComment.aspx?elementName=Building Plumbing System Type &amp;elementID=18784", "Click here to submit comment")</f>
        <v>Click here to submit comment</v>
      </c>
    </row>
    <row r="473" spans="1:14" ht="76.5" x14ac:dyDescent="0.25">
      <c r="A473" s="12" t="s">
        <v>2011</v>
      </c>
      <c r="B473" s="12" t="s">
        <v>2012</v>
      </c>
      <c r="C473" s="13" t="s">
        <v>2013</v>
      </c>
      <c r="D473" s="12" t="s">
        <v>1776</v>
      </c>
      <c r="E473" s="11"/>
      <c r="F473" s="11"/>
      <c r="G473" s="11"/>
      <c r="H473" s="11"/>
      <c r="I473" s="12" t="s">
        <v>2014</v>
      </c>
      <c r="J473" s="11"/>
      <c r="K473" s="12" t="s">
        <v>2015</v>
      </c>
      <c r="L473" s="11"/>
      <c r="M473" s="12" t="str">
        <f>HYPERLINK("https://ceds.ed.gov/cedselementdetails.aspx?termid=18758")</f>
        <v>https://ceds.ed.gov/cedselementdetails.aspx?termid=18758</v>
      </c>
      <c r="N473" s="12" t="str">
        <f>HYPERLINK("https://ceds.ed.gov/elementComment.aspx?elementName=Building Primary Use Type &amp;elementID=18758", "Click here to submit comment")</f>
        <v>Click here to submit comment</v>
      </c>
    </row>
    <row r="474" spans="1:14" ht="51" x14ac:dyDescent="0.25">
      <c r="A474" s="12" t="s">
        <v>2016</v>
      </c>
      <c r="B474" s="12" t="s">
        <v>2017</v>
      </c>
      <c r="C474" s="12" t="s">
        <v>37</v>
      </c>
      <c r="D474" s="12" t="s">
        <v>1716</v>
      </c>
      <c r="E474" s="11"/>
      <c r="F474" s="12" t="s">
        <v>62</v>
      </c>
      <c r="G474" s="11"/>
      <c r="H474" s="11"/>
      <c r="I474" s="12" t="s">
        <v>2018</v>
      </c>
      <c r="J474" s="11"/>
      <c r="K474" s="12" t="s">
        <v>2019</v>
      </c>
      <c r="L474" s="11"/>
      <c r="M474" s="12" t="str">
        <f>HYPERLINK("https://ceds.ed.gov/cedselementdetails.aspx?termid=18840")</f>
        <v>https://ceds.ed.gov/cedselementdetails.aspx?termid=18840</v>
      </c>
      <c r="N474" s="12" t="str">
        <f>HYPERLINK("https://ceds.ed.gov/elementComment.aspx?elementName=Building Public Use Policy Description &amp;elementID=18840", "Click here to submit comment")</f>
        <v>Click here to submit comment</v>
      </c>
    </row>
    <row r="475" spans="1:14" ht="204" x14ac:dyDescent="0.25">
      <c r="A475" s="12" t="s">
        <v>2020</v>
      </c>
      <c r="B475" s="12" t="s">
        <v>2021</v>
      </c>
      <c r="C475" s="13" t="s">
        <v>2022</v>
      </c>
      <c r="D475" s="12" t="s">
        <v>1786</v>
      </c>
      <c r="E475" s="11"/>
      <c r="F475" s="11"/>
      <c r="G475" s="11"/>
      <c r="H475" s="11"/>
      <c r="I475" s="12" t="s">
        <v>2023</v>
      </c>
      <c r="J475" s="11"/>
      <c r="K475" s="12" t="s">
        <v>2024</v>
      </c>
      <c r="L475" s="11"/>
      <c r="M475" s="12" t="str">
        <f>HYPERLINK("https://ceds.ed.gov/cedselementdetails.aspx?termid=18809")</f>
        <v>https://ceds.ed.gov/cedselementdetails.aspx?termid=18809</v>
      </c>
      <c r="N475" s="12" t="str">
        <f>HYPERLINK("https://ceds.ed.gov/elementComment.aspx?elementName=Building School Design Type &amp;elementID=18809", "Click here to submit comment")</f>
        <v>Click here to submit comment</v>
      </c>
    </row>
    <row r="476" spans="1:14" ht="165.75" x14ac:dyDescent="0.25">
      <c r="A476" s="12" t="s">
        <v>2025</v>
      </c>
      <c r="B476" s="12" t="s">
        <v>2026</v>
      </c>
      <c r="C476" s="13" t="s">
        <v>2027</v>
      </c>
      <c r="D476" s="12" t="s">
        <v>1786</v>
      </c>
      <c r="E476" s="11"/>
      <c r="F476" s="11"/>
      <c r="G476" s="11"/>
      <c r="H476" s="11"/>
      <c r="I476" s="12" t="s">
        <v>2028</v>
      </c>
      <c r="J476" s="11"/>
      <c r="K476" s="12" t="s">
        <v>2029</v>
      </c>
      <c r="L476" s="11"/>
      <c r="M476" s="12" t="str">
        <f>HYPERLINK("https://ceds.ed.gov/cedselementdetails.aspx?termid=18810")</f>
        <v>https://ceds.ed.gov/cedselementdetails.aspx?termid=18810</v>
      </c>
      <c r="N476" s="12" t="str">
        <f>HYPERLINK("https://ceds.ed.gov/elementComment.aspx?elementName=Building Science Specialty Space Type &amp;elementID=18810", "Click here to submit comment")</f>
        <v>Click here to submit comment</v>
      </c>
    </row>
    <row r="477" spans="1:14" ht="89.25" x14ac:dyDescent="0.25">
      <c r="A477" s="12" t="s">
        <v>2030</v>
      </c>
      <c r="B477" s="12" t="s">
        <v>2031</v>
      </c>
      <c r="C477" s="13" t="s">
        <v>2032</v>
      </c>
      <c r="D477" s="12" t="s">
        <v>1792</v>
      </c>
      <c r="E477" s="11"/>
      <c r="F477" s="11"/>
      <c r="G477" s="11"/>
      <c r="H477" s="11"/>
      <c r="I477" s="12" t="s">
        <v>2033</v>
      </c>
      <c r="J477" s="11"/>
      <c r="K477" s="12" t="s">
        <v>2034</v>
      </c>
      <c r="L477" s="11"/>
      <c r="M477" s="12" t="str">
        <f>HYPERLINK("https://ceds.ed.gov/cedselementdetails.aspx?termid=18785")</f>
        <v>https://ceds.ed.gov/cedselementdetails.aspx?termid=18785</v>
      </c>
      <c r="N477" s="12" t="str">
        <f>HYPERLINK("https://ceds.ed.gov/elementComment.aspx?elementName=Building Security System Type &amp;elementID=18785", "Click here to submit comment")</f>
        <v>Click here to submit comment</v>
      </c>
    </row>
    <row r="478" spans="1:14" ht="25.5" x14ac:dyDescent="0.25">
      <c r="A478" s="12" t="s">
        <v>2035</v>
      </c>
      <c r="B478" s="12" t="s">
        <v>2036</v>
      </c>
      <c r="C478" s="12" t="s">
        <v>37</v>
      </c>
      <c r="D478" s="12" t="s">
        <v>1786</v>
      </c>
      <c r="E478" s="11"/>
      <c r="F478" s="12" t="s">
        <v>62</v>
      </c>
      <c r="G478" s="11"/>
      <c r="H478" s="11"/>
      <c r="I478" s="12" t="s">
        <v>2037</v>
      </c>
      <c r="J478" s="11"/>
      <c r="K478" s="12" t="s">
        <v>2038</v>
      </c>
      <c r="L478" s="11"/>
      <c r="M478" s="12" t="str">
        <f>HYPERLINK("https://ceds.ed.gov/cedselementdetails.aspx?termid=18831")</f>
        <v>https://ceds.ed.gov/cedselementdetails.aspx?termid=18831</v>
      </c>
      <c r="N478" s="12" t="str">
        <f>HYPERLINK("https://ceds.ed.gov/elementComment.aspx?elementName=Building Site Improvement Description &amp;elementID=18831", "Click here to submit comment")</f>
        <v>Click here to submit comment</v>
      </c>
    </row>
    <row r="479" spans="1:14" ht="165.75" x14ac:dyDescent="0.25">
      <c r="A479" s="12" t="s">
        <v>2039</v>
      </c>
      <c r="B479" s="12" t="s">
        <v>2040</v>
      </c>
      <c r="C479" s="12" t="s">
        <v>37</v>
      </c>
      <c r="D479" s="12" t="s">
        <v>2041</v>
      </c>
      <c r="E479" s="12" t="s">
        <v>195</v>
      </c>
      <c r="F479" s="12" t="s">
        <v>175</v>
      </c>
      <c r="G479" s="12" t="s">
        <v>196</v>
      </c>
      <c r="H479" s="11"/>
      <c r="I479" s="12" t="s">
        <v>2042</v>
      </c>
      <c r="J479" s="11"/>
      <c r="K479" s="12" t="s">
        <v>2043</v>
      </c>
      <c r="L479" s="11"/>
      <c r="M479" s="12" t="str">
        <f>HYPERLINK("https://ceds.ed.gov/cedselementdetails.aspx?termid=17595")</f>
        <v>https://ceds.ed.gov/cedselementdetails.aspx?termid=17595</v>
      </c>
      <c r="N479" s="12" t="str">
        <f>HYPERLINK("https://ceds.ed.gov/elementComment.aspx?elementName=Building Site Number &amp;elementID=17595", "Click here to submit comment")</f>
        <v>Click here to submit comment</v>
      </c>
    </row>
    <row r="480" spans="1:14" ht="102" x14ac:dyDescent="0.25">
      <c r="A480" s="12" t="s">
        <v>2044</v>
      </c>
      <c r="B480" s="12" t="s">
        <v>2045</v>
      </c>
      <c r="C480" s="13" t="s">
        <v>2046</v>
      </c>
      <c r="D480" s="12" t="s">
        <v>1716</v>
      </c>
      <c r="E480" s="11"/>
      <c r="F480" s="11"/>
      <c r="G480" s="11"/>
      <c r="H480" s="11"/>
      <c r="I480" s="12" t="s">
        <v>2047</v>
      </c>
      <c r="J480" s="11"/>
      <c r="K480" s="12" t="s">
        <v>2048</v>
      </c>
      <c r="L480" s="11"/>
      <c r="M480" s="12" t="str">
        <f>HYPERLINK("https://ceds.ed.gov/cedselementdetails.aspx?termid=18841")</f>
        <v>https://ceds.ed.gov/cedselementdetails.aspx?termid=18841</v>
      </c>
      <c r="N480" s="12" t="str">
        <f>HYPERLINK("https://ceds.ed.gov/elementComment.aspx?elementName=Building Site Use Restrictions Type &amp;elementID=18841", "Click here to submit comment")</f>
        <v>Click here to submit comment</v>
      </c>
    </row>
    <row r="481" spans="1:14" ht="216.75" x14ac:dyDescent="0.25">
      <c r="A481" s="12" t="s">
        <v>2049</v>
      </c>
      <c r="B481" s="12" t="s">
        <v>2050</v>
      </c>
      <c r="C481" s="13" t="s">
        <v>2051</v>
      </c>
      <c r="D481" s="12" t="s">
        <v>1786</v>
      </c>
      <c r="E481" s="11"/>
      <c r="F481" s="11"/>
      <c r="G481" s="11"/>
      <c r="H481" s="11"/>
      <c r="I481" s="12" t="s">
        <v>2052</v>
      </c>
      <c r="J481" s="11"/>
      <c r="K481" s="12" t="s">
        <v>2053</v>
      </c>
      <c r="L481" s="11"/>
      <c r="M481" s="12" t="str">
        <f>HYPERLINK("https://ceds.ed.gov/cedselementdetails.aspx?termid=18812")</f>
        <v>https://ceds.ed.gov/cedselementdetails.aspx?termid=18812</v>
      </c>
      <c r="N481" s="12" t="str">
        <f>HYPERLINK("https://ceds.ed.gov/elementComment.aspx?elementName=Building Space Design Type &amp;elementID=18812", "Click here to submit comment")</f>
        <v>Click here to submit comment</v>
      </c>
    </row>
    <row r="482" spans="1:14" ht="63.75" x14ac:dyDescent="0.25">
      <c r="A482" s="12" t="s">
        <v>2054</v>
      </c>
      <c r="B482" s="12" t="s">
        <v>2055</v>
      </c>
      <c r="C482" s="12" t="s">
        <v>37</v>
      </c>
      <c r="D482" s="12" t="s">
        <v>1716</v>
      </c>
      <c r="E482" s="11"/>
      <c r="F482" s="12" t="s">
        <v>1710</v>
      </c>
      <c r="G482" s="11"/>
      <c r="H482" s="11"/>
      <c r="I482" s="12" t="s">
        <v>2056</v>
      </c>
      <c r="J482" s="11"/>
      <c r="K482" s="12" t="s">
        <v>2057</v>
      </c>
      <c r="L482" s="11"/>
      <c r="M482" s="12" t="str">
        <f>HYPERLINK("https://ceds.ed.gov/cedselementdetails.aspx?termid=18842")</f>
        <v>https://ceds.ed.gov/cedselementdetails.aspx?termid=18842</v>
      </c>
      <c r="N482" s="12" t="str">
        <f>HYPERLINK("https://ceds.ed.gov/elementComment.aspx?elementName=Building Space Utilization Area &amp;elementID=18842", "Click here to submit comment")</f>
        <v>Click here to submit comment</v>
      </c>
    </row>
    <row r="483" spans="1:14" ht="114.75" x14ac:dyDescent="0.25">
      <c r="A483" s="12" t="s">
        <v>2058</v>
      </c>
      <c r="B483" s="12" t="s">
        <v>2059</v>
      </c>
      <c r="C483" s="13" t="s">
        <v>2060</v>
      </c>
      <c r="D483" s="12" t="s">
        <v>1786</v>
      </c>
      <c r="E483" s="11"/>
      <c r="F483" s="11"/>
      <c r="G483" s="11"/>
      <c r="H483" s="11"/>
      <c r="I483" s="12" t="s">
        <v>2061</v>
      </c>
      <c r="J483" s="11"/>
      <c r="K483" s="12" t="s">
        <v>2062</v>
      </c>
      <c r="L483" s="11"/>
      <c r="M483" s="12" t="str">
        <f>HYPERLINK("https://ceds.ed.gov/cedselementdetails.aspx?termid=18813")</f>
        <v>https://ceds.ed.gov/cedselementdetails.aspx?termid=18813</v>
      </c>
      <c r="N483" s="12" t="str">
        <f>HYPERLINK("https://ceds.ed.gov/elementComment.aspx?elementName=Building Special Education Specialty Space Type &amp;elementID=18813", "Click here to submit comment")</f>
        <v>Click here to submit comment</v>
      </c>
    </row>
    <row r="484" spans="1:14" ht="140.25" x14ac:dyDescent="0.25">
      <c r="A484" s="12" t="s">
        <v>2063</v>
      </c>
      <c r="B484" s="12" t="s">
        <v>2064</v>
      </c>
      <c r="C484" s="13" t="s">
        <v>2065</v>
      </c>
      <c r="D484" s="12" t="s">
        <v>1786</v>
      </c>
      <c r="E484" s="11"/>
      <c r="F484" s="11"/>
      <c r="G484" s="11"/>
      <c r="H484" s="11"/>
      <c r="I484" s="12" t="s">
        <v>2066</v>
      </c>
      <c r="J484" s="11"/>
      <c r="K484" s="12" t="s">
        <v>2067</v>
      </c>
      <c r="L484" s="11"/>
      <c r="M484" s="12" t="str">
        <f>HYPERLINK("https://ceds.ed.gov/cedselementdetails.aspx?termid=18814")</f>
        <v>https://ceds.ed.gov/cedselementdetails.aspx?termid=18814</v>
      </c>
      <c r="N484" s="12" t="str">
        <f>HYPERLINK("https://ceds.ed.gov/elementComment.aspx?elementName=Building Student Support Space Type &amp;elementID=18814", "Click here to submit comment")</f>
        <v>Click here to submit comment</v>
      </c>
    </row>
    <row r="485" spans="1:14" ht="153" x14ac:dyDescent="0.25">
      <c r="A485" s="12" t="s">
        <v>2068</v>
      </c>
      <c r="B485" s="12" t="s">
        <v>2069</v>
      </c>
      <c r="C485" s="13" t="s">
        <v>2070</v>
      </c>
      <c r="D485" s="12" t="s">
        <v>1792</v>
      </c>
      <c r="E485" s="11"/>
      <c r="F485" s="11"/>
      <c r="G485" s="11"/>
      <c r="H485" s="11"/>
      <c r="I485" s="12" t="s">
        <v>2071</v>
      </c>
      <c r="J485" s="11"/>
      <c r="K485" s="12" t="s">
        <v>2072</v>
      </c>
      <c r="L485" s="11"/>
      <c r="M485" s="12" t="str">
        <f>HYPERLINK("https://ceds.ed.gov/cedselementdetails.aspx?termid=18792")</f>
        <v>https://ceds.ed.gov/cedselementdetails.aspx?termid=18792</v>
      </c>
      <c r="N485" s="12" t="str">
        <f>HYPERLINK("https://ceds.ed.gov/elementComment.aspx?elementName=Building System Type &amp;elementID=18792", "Click here to submit comment")</f>
        <v>Click here to submit comment</v>
      </c>
    </row>
    <row r="486" spans="1:14" ht="89.25" x14ac:dyDescent="0.25">
      <c r="A486" s="12" t="s">
        <v>2073</v>
      </c>
      <c r="B486" s="12" t="s">
        <v>2074</v>
      </c>
      <c r="C486" s="13" t="s">
        <v>2075</v>
      </c>
      <c r="D486" s="12" t="s">
        <v>1792</v>
      </c>
      <c r="E486" s="11"/>
      <c r="F486" s="11"/>
      <c r="G486" s="11"/>
      <c r="H486" s="11"/>
      <c r="I486" s="12" t="s">
        <v>2076</v>
      </c>
      <c r="J486" s="11"/>
      <c r="K486" s="12" t="s">
        <v>2077</v>
      </c>
      <c r="L486" s="11"/>
      <c r="M486" s="12" t="str">
        <f>HYPERLINK("https://ceds.ed.gov/cedselementdetails.aspx?termid=18788")</f>
        <v>https://ceds.ed.gov/cedselementdetails.aspx?termid=18788</v>
      </c>
      <c r="N486" s="12" t="str">
        <f>HYPERLINK("https://ceds.ed.gov/elementComment.aspx?elementName=Building Technology Wiring System Type &amp;elementID=18788", "Click here to submit comment")</f>
        <v>Click here to submit comment</v>
      </c>
    </row>
    <row r="487" spans="1:14" ht="51" x14ac:dyDescent="0.25">
      <c r="A487" s="12" t="s">
        <v>2078</v>
      </c>
      <c r="B487" s="12" t="s">
        <v>2079</v>
      </c>
      <c r="C487" s="12" t="s">
        <v>24</v>
      </c>
      <c r="D487" s="12" t="s">
        <v>1716</v>
      </c>
      <c r="E487" s="11"/>
      <c r="F487" s="11"/>
      <c r="G487" s="11"/>
      <c r="H487" s="11"/>
      <c r="I487" s="12" t="s">
        <v>2080</v>
      </c>
      <c r="J487" s="11"/>
      <c r="K487" s="12" t="s">
        <v>2081</v>
      </c>
      <c r="L487" s="11"/>
      <c r="M487" s="12" t="str">
        <f>HYPERLINK("https://ceds.ed.gov/cedselementdetails.aspx?termid=18844")</f>
        <v>https://ceds.ed.gov/cedselementdetails.aspx?termid=18844</v>
      </c>
      <c r="N487" s="12" t="str">
        <f>HYPERLINK("https://ceds.ed.gov/elementComment.aspx?elementName=Building Unassigned Space Indicator &amp;elementID=18844", "Click here to submit comment")</f>
        <v>Click here to submit comment</v>
      </c>
    </row>
    <row r="488" spans="1:14" ht="293.25" x14ac:dyDescent="0.25">
      <c r="A488" s="12" t="s">
        <v>2082</v>
      </c>
      <c r="B488" s="12" t="s">
        <v>2083</v>
      </c>
      <c r="C488" s="13" t="s">
        <v>2084</v>
      </c>
      <c r="D488" s="12" t="s">
        <v>1716</v>
      </c>
      <c r="E488" s="11"/>
      <c r="F488" s="11"/>
      <c r="G488" s="11"/>
      <c r="H488" s="11"/>
      <c r="I488" s="12" t="s">
        <v>2085</v>
      </c>
      <c r="J488" s="11"/>
      <c r="K488" s="12" t="s">
        <v>2086</v>
      </c>
      <c r="L488" s="11"/>
      <c r="M488" s="12" t="str">
        <f>HYPERLINK("https://ceds.ed.gov/cedselementdetails.aspx?termid=18173")</f>
        <v>https://ceds.ed.gov/cedselementdetails.aspx?termid=18173</v>
      </c>
      <c r="N488" s="12" t="str">
        <f>HYPERLINK("https://ceds.ed.gov/elementComment.aspx?elementName=Building Use Type &amp;elementID=18173", "Click here to submit comment")</f>
        <v>Click here to submit comment</v>
      </c>
    </row>
    <row r="489" spans="1:14" ht="63.75" x14ac:dyDescent="0.25">
      <c r="A489" s="12" t="s">
        <v>2087</v>
      </c>
      <c r="B489" s="12" t="s">
        <v>2088</v>
      </c>
      <c r="C489" s="13" t="s">
        <v>2089</v>
      </c>
      <c r="D489" s="12" t="s">
        <v>1792</v>
      </c>
      <c r="E489" s="11"/>
      <c r="F489" s="11"/>
      <c r="G489" s="11"/>
      <c r="H489" s="11"/>
      <c r="I489" s="12" t="s">
        <v>2090</v>
      </c>
      <c r="J489" s="11"/>
      <c r="K489" s="12" t="s">
        <v>2091</v>
      </c>
      <c r="L489" s="11"/>
      <c r="M489" s="12" t="str">
        <f>HYPERLINK("https://ceds.ed.gov/cedselementdetails.aspx?termid=18793")</f>
        <v>https://ceds.ed.gov/cedselementdetails.aspx?termid=18793</v>
      </c>
      <c r="N489" s="12" t="str">
        <f>HYPERLINK("https://ceds.ed.gov/elementComment.aspx?elementName=Building Vertical Transportation System Type &amp;elementID=18793", "Click here to submit comment")</f>
        <v>Click here to submit comment</v>
      </c>
    </row>
    <row r="490" spans="1:14" ht="38.25" x14ac:dyDescent="0.25">
      <c r="A490" s="12" t="s">
        <v>2092</v>
      </c>
      <c r="B490" s="12" t="s">
        <v>2093</v>
      </c>
      <c r="C490" s="12" t="s">
        <v>37</v>
      </c>
      <c r="D490" s="12" t="s">
        <v>1776</v>
      </c>
      <c r="E490" s="11"/>
      <c r="F490" s="12" t="s">
        <v>2094</v>
      </c>
      <c r="G490" s="11"/>
      <c r="H490" s="11"/>
      <c r="I490" s="12" t="s">
        <v>2095</v>
      </c>
      <c r="J490" s="11"/>
      <c r="K490" s="12" t="s">
        <v>2096</v>
      </c>
      <c r="L490" s="11"/>
      <c r="M490" s="12" t="str">
        <f>HYPERLINK("https://ceds.ed.gov/cedselementdetails.aspx?termid=18769")</f>
        <v>https://ceds.ed.gov/cedselementdetails.aspx?termid=18769</v>
      </c>
      <c r="N490" s="12" t="str">
        <f>HYPERLINK("https://ceds.ed.gov/elementComment.aspx?elementName=Building Year Built &amp;elementID=18769", "Click here to submit comment")</f>
        <v>Click here to submit comment</v>
      </c>
    </row>
    <row r="491" spans="1:14" ht="76.5" x14ac:dyDescent="0.25">
      <c r="A491" s="12" t="s">
        <v>2097</v>
      </c>
      <c r="B491" s="12" t="s">
        <v>2098</v>
      </c>
      <c r="C491" s="12" t="s">
        <v>37</v>
      </c>
      <c r="D491" s="12" t="s">
        <v>1776</v>
      </c>
      <c r="E491" s="11"/>
      <c r="F491" s="12" t="s">
        <v>2094</v>
      </c>
      <c r="G491" s="11"/>
      <c r="H491" s="11"/>
      <c r="I491" s="12" t="s">
        <v>2099</v>
      </c>
      <c r="J491" s="11"/>
      <c r="K491" s="12" t="s">
        <v>2100</v>
      </c>
      <c r="L491" s="11"/>
      <c r="M491" s="12" t="str">
        <f>HYPERLINK("https://ceds.ed.gov/cedselementdetails.aspx?termid=18770")</f>
        <v>https://ceds.ed.gov/cedselementdetails.aspx?termid=18770</v>
      </c>
      <c r="N491" s="12" t="str">
        <f>HYPERLINK("https://ceds.ed.gov/elementComment.aspx?elementName=Building Year of Last Modernization &amp;elementID=18770", "Click here to submit comment")</f>
        <v>Click here to submit comment</v>
      </c>
    </row>
    <row r="492" spans="1:14" ht="25.5" x14ac:dyDescent="0.25">
      <c r="A492" s="12" t="s">
        <v>2101</v>
      </c>
      <c r="B492" s="12" t="s">
        <v>2102</v>
      </c>
      <c r="C492" s="12" t="s">
        <v>37</v>
      </c>
      <c r="D492" s="12" t="s">
        <v>403</v>
      </c>
      <c r="E492" s="11"/>
      <c r="F492" s="12" t="s">
        <v>97</v>
      </c>
      <c r="G492" s="11"/>
      <c r="H492" s="11"/>
      <c r="I492" s="12" t="s">
        <v>2103</v>
      </c>
      <c r="J492" s="11"/>
      <c r="K492" s="12" t="s">
        <v>2104</v>
      </c>
      <c r="L492" s="11"/>
      <c r="M492" s="12" t="str">
        <f>HYPERLINK("https://ceds.ed.gov/cedselementdetails.aspx?termid=17485")</f>
        <v>https://ceds.ed.gov/cedselementdetails.aspx?termid=17485</v>
      </c>
      <c r="N492" s="12" t="str">
        <f>HYPERLINK("https://ceds.ed.gov/elementComment.aspx?elementName=Calendar Code &amp;elementID=17485", "Click here to submit comment")</f>
        <v>Click here to submit comment</v>
      </c>
    </row>
    <row r="493" spans="1:14" ht="25.5" x14ac:dyDescent="0.25">
      <c r="A493" s="12" t="s">
        <v>2105</v>
      </c>
      <c r="B493" s="12" t="s">
        <v>2106</v>
      </c>
      <c r="C493" s="12" t="s">
        <v>37</v>
      </c>
      <c r="D493" s="12" t="s">
        <v>403</v>
      </c>
      <c r="E493" s="11"/>
      <c r="F493" s="12" t="s">
        <v>175</v>
      </c>
      <c r="G493" s="11"/>
      <c r="H493" s="11"/>
      <c r="I493" s="12" t="s">
        <v>2107</v>
      </c>
      <c r="J493" s="11"/>
      <c r="K493" s="12" t="s">
        <v>2108</v>
      </c>
      <c r="L493" s="11"/>
      <c r="M493" s="12" t="str">
        <f>HYPERLINK("https://ceds.ed.gov/cedselementdetails.aspx?termid=17486")</f>
        <v>https://ceds.ed.gov/cedselementdetails.aspx?termid=17486</v>
      </c>
      <c r="N493" s="12" t="str">
        <f>HYPERLINK("https://ceds.ed.gov/elementComment.aspx?elementName=Calendar Description &amp;elementID=17486", "Click here to submit comment")</f>
        <v>Click here to submit comment</v>
      </c>
    </row>
    <row r="494" spans="1:14" ht="25.5" x14ac:dyDescent="0.25">
      <c r="A494" s="12" t="s">
        <v>2109</v>
      </c>
      <c r="B494" s="12" t="s">
        <v>2110</v>
      </c>
      <c r="C494" s="12" t="s">
        <v>37</v>
      </c>
      <c r="D494" s="12" t="s">
        <v>2111</v>
      </c>
      <c r="E494" s="11"/>
      <c r="F494" s="12" t="s">
        <v>135</v>
      </c>
      <c r="G494" s="11"/>
      <c r="H494" s="11"/>
      <c r="I494" s="12" t="s">
        <v>2112</v>
      </c>
      <c r="J494" s="11"/>
      <c r="K494" s="12" t="s">
        <v>2113</v>
      </c>
      <c r="L494" s="11"/>
      <c r="M494" s="12" t="str">
        <f>HYPERLINK("https://ceds.ed.gov/cedselementdetails.aspx?termid=18241")</f>
        <v>https://ceds.ed.gov/cedselementdetails.aspx?termid=18241</v>
      </c>
      <c r="N494" s="12" t="str">
        <f>HYPERLINK("https://ceds.ed.gov/elementComment.aspx?elementName=Calendar Event Date &amp;elementID=18241", "Click here to submit comment")</f>
        <v>Click here to submit comment</v>
      </c>
    </row>
    <row r="495" spans="1:14" ht="25.5" x14ac:dyDescent="0.25">
      <c r="A495" s="12" t="s">
        <v>2114</v>
      </c>
      <c r="B495" s="12" t="s">
        <v>2115</v>
      </c>
      <c r="C495" s="12" t="s">
        <v>37</v>
      </c>
      <c r="D495" s="12" t="s">
        <v>2111</v>
      </c>
      <c r="E495" s="11"/>
      <c r="F495" s="12" t="s">
        <v>97</v>
      </c>
      <c r="G495" s="11"/>
      <c r="H495" s="11"/>
      <c r="I495" s="12" t="s">
        <v>2116</v>
      </c>
      <c r="J495" s="11"/>
      <c r="K495" s="12" t="s">
        <v>2117</v>
      </c>
      <c r="L495" s="11"/>
      <c r="M495" s="12" t="str">
        <f>HYPERLINK("https://ceds.ed.gov/cedselementdetails.aspx?termid=18242")</f>
        <v>https://ceds.ed.gov/cedselementdetails.aspx?termid=18242</v>
      </c>
      <c r="N495" s="12" t="str">
        <f>HYPERLINK("https://ceds.ed.gov/elementComment.aspx?elementName=Calendar Event Day Name &amp;elementID=18242", "Click here to submit comment")</f>
        <v>Click here to submit comment</v>
      </c>
    </row>
    <row r="496" spans="1:14" ht="114.75" x14ac:dyDescent="0.25">
      <c r="A496" s="12" t="s">
        <v>2118</v>
      </c>
      <c r="B496" s="12" t="s">
        <v>2119</v>
      </c>
      <c r="C496" s="13" t="s">
        <v>2120</v>
      </c>
      <c r="D496" s="12" t="s">
        <v>2111</v>
      </c>
      <c r="E496" s="11"/>
      <c r="F496" s="11"/>
      <c r="G496" s="11"/>
      <c r="H496" s="11"/>
      <c r="I496" s="12" t="s">
        <v>2121</v>
      </c>
      <c r="J496" s="11"/>
      <c r="K496" s="12" t="s">
        <v>2122</v>
      </c>
      <c r="L496" s="11"/>
      <c r="M496" s="12" t="str">
        <f>HYPERLINK("https://ceds.ed.gov/cedselementdetails.aspx?termid=17596")</f>
        <v>https://ceds.ed.gov/cedselementdetails.aspx?termid=17596</v>
      </c>
      <c r="N496" s="12" t="str">
        <f>HYPERLINK("https://ceds.ed.gov/elementComment.aspx?elementName=Calendar Event Type &amp;elementID=17596", "Click here to submit comment")</f>
        <v>Click here to submit comment</v>
      </c>
    </row>
    <row r="497" spans="1:14" ht="89.25" x14ac:dyDescent="0.25">
      <c r="A497" s="12" t="s">
        <v>2123</v>
      </c>
      <c r="B497" s="12" t="s">
        <v>2124</v>
      </c>
      <c r="C497" s="13" t="s">
        <v>2125</v>
      </c>
      <c r="D497" s="12" t="s">
        <v>2126</v>
      </c>
      <c r="E497" s="11"/>
      <c r="F497" s="11"/>
      <c r="G497" s="11"/>
      <c r="H497" s="11"/>
      <c r="I497" s="12" t="s">
        <v>2127</v>
      </c>
      <c r="J497" s="11"/>
      <c r="K497" s="12" t="s">
        <v>2128</v>
      </c>
      <c r="L497" s="12" t="s">
        <v>278</v>
      </c>
      <c r="M497" s="12" t="str">
        <f>HYPERLINK("https://ceds.ed.gov/cedselementdetails.aspx?termid=17035")</f>
        <v>https://ceds.ed.gov/cedselementdetails.aspx?termid=17035</v>
      </c>
      <c r="N497" s="12" t="str">
        <f>HYPERLINK("https://ceds.ed.gov/elementComment.aspx?elementName=Campus Residency Type &amp;elementID=17035", "Click here to submit comment")</f>
        <v>Click here to submit comment</v>
      </c>
    </row>
    <row r="498" spans="1:14" ht="76.5" x14ac:dyDescent="0.25">
      <c r="A498" s="12" t="s">
        <v>2129</v>
      </c>
      <c r="B498" s="12" t="s">
        <v>2130</v>
      </c>
      <c r="C498" s="13" t="s">
        <v>2131</v>
      </c>
      <c r="D498" s="12" t="s">
        <v>1776</v>
      </c>
      <c r="E498" s="11"/>
      <c r="F498" s="11"/>
      <c r="G498" s="11"/>
      <c r="H498" s="11"/>
      <c r="I498" s="12" t="s">
        <v>2132</v>
      </c>
      <c r="J498" s="11"/>
      <c r="K498" s="12" t="s">
        <v>2133</v>
      </c>
      <c r="L498" s="11"/>
      <c r="M498" s="12" t="str">
        <f>HYPERLINK("https://ceds.ed.gov/cedselementdetails.aspx?termid=18759")</f>
        <v>https://ceds.ed.gov/cedselementdetails.aspx?termid=18759</v>
      </c>
      <c r="N498" s="12" t="str">
        <f>HYPERLINK("https://ceds.ed.gov/elementComment.aspx?elementName=Campus Status &amp;elementID=18759", "Click here to submit comment")</f>
        <v>Click here to submit comment</v>
      </c>
    </row>
    <row r="499" spans="1:14" ht="76.5" x14ac:dyDescent="0.25">
      <c r="A499" s="12" t="s">
        <v>2134</v>
      </c>
      <c r="B499" s="12" t="s">
        <v>2135</v>
      </c>
      <c r="C499" s="13" t="s">
        <v>2136</v>
      </c>
      <c r="D499" s="12" t="s">
        <v>1776</v>
      </c>
      <c r="E499" s="11"/>
      <c r="F499" s="11"/>
      <c r="G499" s="11"/>
      <c r="H499" s="11"/>
      <c r="I499" s="12" t="s">
        <v>2137</v>
      </c>
      <c r="J499" s="11"/>
      <c r="K499" s="12" t="s">
        <v>2138</v>
      </c>
      <c r="L499" s="11"/>
      <c r="M499" s="12" t="str">
        <f>HYPERLINK("https://ceds.ed.gov/cedselementdetails.aspx?termid=18878")</f>
        <v>https://ceds.ed.gov/cedselementdetails.aspx?termid=18878</v>
      </c>
      <c r="N499" s="12" t="str">
        <f>HYPERLINK("https://ceds.ed.gov/elementComment.aspx?elementName=Campus Type &amp;elementID=18878", "Click here to submit comment")</f>
        <v>Click here to submit comment</v>
      </c>
    </row>
    <row r="500" spans="1:14" ht="38.25" x14ac:dyDescent="0.25">
      <c r="A500" s="12" t="s">
        <v>2139</v>
      </c>
      <c r="B500" s="12" t="s">
        <v>2140</v>
      </c>
      <c r="C500" s="12" t="s">
        <v>37</v>
      </c>
      <c r="D500" s="12" t="s">
        <v>2141</v>
      </c>
      <c r="E500" s="11"/>
      <c r="F500" s="12" t="s">
        <v>135</v>
      </c>
      <c r="G500" s="11"/>
      <c r="H500" s="11"/>
      <c r="I500" s="12" t="s">
        <v>2142</v>
      </c>
      <c r="J500" s="12" t="s">
        <v>2143</v>
      </c>
      <c r="K500" s="12" t="s">
        <v>2144</v>
      </c>
      <c r="L500" s="12" t="s">
        <v>238</v>
      </c>
      <c r="M500" s="12" t="str">
        <f>HYPERLINK("https://ceds.ed.gov/cedselementdetails.aspx?termid=18065")</f>
        <v>https://ceds.ed.gov/cedselementdetails.aspx?termid=18065</v>
      </c>
      <c r="N500" s="12" t="str">
        <f>HYPERLINK("https://ceds.ed.gov/elementComment.aspx?elementName=Cardiopulmonary Resuscitation Certification Expiration Date &amp;elementID=18065", "Click here to submit comment")</f>
        <v>Click here to submit comment</v>
      </c>
    </row>
    <row r="501" spans="1:14" ht="51" x14ac:dyDescent="0.25">
      <c r="A501" s="12" t="s">
        <v>2145</v>
      </c>
      <c r="B501" s="12" t="s">
        <v>2146</v>
      </c>
      <c r="C501" s="12" t="s">
        <v>24</v>
      </c>
      <c r="D501" s="12" t="s">
        <v>2147</v>
      </c>
      <c r="E501" s="11"/>
      <c r="F501" s="11"/>
      <c r="G501" s="11"/>
      <c r="H501" s="11"/>
      <c r="I501" s="12" t="s">
        <v>2148</v>
      </c>
      <c r="J501" s="12" t="s">
        <v>2149</v>
      </c>
      <c r="K501" s="12" t="s">
        <v>2150</v>
      </c>
      <c r="L501" s="12" t="s">
        <v>72</v>
      </c>
      <c r="M501" s="12" t="str">
        <f>HYPERLINK("https://ceds.ed.gov/cedselementdetails.aspx?termid=17036")</f>
        <v>https://ceds.ed.gov/cedselementdetails.aspx?termid=17036</v>
      </c>
      <c r="N501" s="12" t="str">
        <f>HYPERLINK("https://ceds.ed.gov/elementComment.aspx?elementName=Career and Technical Education Completer &amp;elementID=17036", "Click here to submit comment")</f>
        <v>Click here to submit comment</v>
      </c>
    </row>
    <row r="502" spans="1:14" ht="63.75" x14ac:dyDescent="0.25">
      <c r="A502" s="12" t="s">
        <v>2151</v>
      </c>
      <c r="B502" s="12" t="s">
        <v>2152</v>
      </c>
      <c r="C502" s="12" t="s">
        <v>24</v>
      </c>
      <c r="D502" s="12" t="s">
        <v>2153</v>
      </c>
      <c r="E502" s="11"/>
      <c r="F502" s="11"/>
      <c r="G502" s="11"/>
      <c r="H502" s="11"/>
      <c r="I502" s="12" t="s">
        <v>2154</v>
      </c>
      <c r="J502" s="12" t="s">
        <v>2155</v>
      </c>
      <c r="K502" s="12" t="s">
        <v>2156</v>
      </c>
      <c r="L502" s="12" t="s">
        <v>2157</v>
      </c>
      <c r="M502" s="12" t="str">
        <f>HYPERLINK("https://ceds.ed.gov/cedselementdetails.aspx?termid=17037")</f>
        <v>https://ceds.ed.gov/cedselementdetails.aspx?termid=17037</v>
      </c>
      <c r="N502" s="12" t="str">
        <f>HYPERLINK("https://ceds.ed.gov/elementComment.aspx?elementName=Career and Technical Education Concentrator &amp;elementID=17037", "Click here to submit comment")</f>
        <v>Click here to submit comment</v>
      </c>
    </row>
    <row r="503" spans="1:14" ht="63.75" x14ac:dyDescent="0.25">
      <c r="A503" s="12" t="s">
        <v>2158</v>
      </c>
      <c r="B503" s="12" t="s">
        <v>2159</v>
      </c>
      <c r="C503" s="13" t="s">
        <v>2160</v>
      </c>
      <c r="D503" s="12" t="s">
        <v>2161</v>
      </c>
      <c r="E503" s="11"/>
      <c r="F503" s="11"/>
      <c r="G503" s="11"/>
      <c r="H503" s="11"/>
      <c r="I503" s="12" t="s">
        <v>2162</v>
      </c>
      <c r="J503" s="12" t="s">
        <v>2163</v>
      </c>
      <c r="K503" s="12" t="s">
        <v>2164</v>
      </c>
      <c r="L503" s="12" t="s">
        <v>258</v>
      </c>
      <c r="M503" s="12" t="str">
        <f>HYPERLINK("https://ceds.ed.gov/cedselementdetails.aspx?termid=17075")</f>
        <v>https://ceds.ed.gov/cedselementdetails.aspx?termid=17075</v>
      </c>
      <c r="N503" s="12" t="str">
        <f>HYPERLINK("https://ceds.ed.gov/elementComment.aspx?elementName=Career and Technical Education Graduation Rate Inclusion &amp;elementID=17075", "Click here to submit comment")</f>
        <v>Click here to submit comment</v>
      </c>
    </row>
    <row r="504" spans="1:14" ht="89.25" x14ac:dyDescent="0.25">
      <c r="A504" s="12" t="s">
        <v>2165</v>
      </c>
      <c r="B504" s="12" t="s">
        <v>2166</v>
      </c>
      <c r="C504" s="12" t="s">
        <v>24</v>
      </c>
      <c r="D504" s="12" t="s">
        <v>2167</v>
      </c>
      <c r="E504" s="11"/>
      <c r="F504" s="11"/>
      <c r="G504" s="11"/>
      <c r="H504" s="11"/>
      <c r="I504" s="12" t="s">
        <v>2168</v>
      </c>
      <c r="J504" s="12" t="s">
        <v>2169</v>
      </c>
      <c r="K504" s="12" t="s">
        <v>2170</v>
      </c>
      <c r="L504" s="11"/>
      <c r="M504" s="12" t="str">
        <f>HYPERLINK("https://ceds.ed.gov/cedselementdetails.aspx?termid=18284")</f>
        <v>https://ceds.ed.gov/cedselementdetails.aspx?termid=18284</v>
      </c>
      <c r="N504" s="12" t="str">
        <f>HYPERLINK("https://ceds.ed.gov/elementComment.aspx?elementName=Career and Technical Education Instructor Industry Certification &amp;elementID=18284", "Click here to submit comment")</f>
        <v>Click here to submit comment</v>
      </c>
    </row>
    <row r="505" spans="1:14" ht="76.5" x14ac:dyDescent="0.25">
      <c r="A505" s="12" t="s">
        <v>2171</v>
      </c>
      <c r="B505" s="12" t="s">
        <v>2172</v>
      </c>
      <c r="C505" s="12" t="s">
        <v>24</v>
      </c>
      <c r="D505" s="12" t="s">
        <v>2173</v>
      </c>
      <c r="E505" s="11"/>
      <c r="F505" s="11"/>
      <c r="G505" s="11"/>
      <c r="H505" s="11"/>
      <c r="I505" s="12" t="s">
        <v>2174</v>
      </c>
      <c r="J505" s="12" t="s">
        <v>2175</v>
      </c>
      <c r="K505" s="12" t="s">
        <v>2176</v>
      </c>
      <c r="L505" s="12" t="s">
        <v>258</v>
      </c>
      <c r="M505" s="12" t="str">
        <f>HYPERLINK("https://ceds.ed.gov/cedselementdetails.aspx?termid=17586")</f>
        <v>https://ceds.ed.gov/cedselementdetails.aspx?termid=17586</v>
      </c>
      <c r="N505" s="12" t="str">
        <f>HYPERLINK("https://ceds.ed.gov/elementComment.aspx?elementName=Career and Technical Education Nontraditional Completion &amp;elementID=17586", "Click here to submit comment")</f>
        <v>Click here to submit comment</v>
      </c>
    </row>
    <row r="506" spans="1:14" ht="51" x14ac:dyDescent="0.25">
      <c r="A506" s="12" t="s">
        <v>2177</v>
      </c>
      <c r="B506" s="12" t="s">
        <v>2178</v>
      </c>
      <c r="C506" s="12" t="s">
        <v>24</v>
      </c>
      <c r="D506" s="12" t="s">
        <v>2153</v>
      </c>
      <c r="E506" s="11"/>
      <c r="F506" s="11"/>
      <c r="G506" s="11"/>
      <c r="H506" s="11"/>
      <c r="I506" s="12" t="s">
        <v>2179</v>
      </c>
      <c r="J506" s="12" t="s">
        <v>2180</v>
      </c>
      <c r="K506" s="12" t="s">
        <v>2181</v>
      </c>
      <c r="L506" s="12" t="s">
        <v>258</v>
      </c>
      <c r="M506" s="12" t="str">
        <f>HYPERLINK("https://ceds.ed.gov/cedselementdetails.aspx?termid=17585")</f>
        <v>https://ceds.ed.gov/cedselementdetails.aspx?termid=17585</v>
      </c>
      <c r="N506" s="12" t="str">
        <f>HYPERLINK("https://ceds.ed.gov/elementComment.aspx?elementName=Career and Technical Education Participant &amp;elementID=17585", "Click here to submit comment")</f>
        <v>Click here to submit comment</v>
      </c>
    </row>
    <row r="507" spans="1:14" ht="267.75" x14ac:dyDescent="0.25">
      <c r="A507" s="12" t="s">
        <v>2182</v>
      </c>
      <c r="B507" s="12" t="s">
        <v>2183</v>
      </c>
      <c r="C507" s="13" t="s">
        <v>2184</v>
      </c>
      <c r="D507" s="12" t="s">
        <v>2185</v>
      </c>
      <c r="E507" s="11"/>
      <c r="F507" s="11"/>
      <c r="G507" s="11"/>
      <c r="H507" s="12" t="s">
        <v>2186</v>
      </c>
      <c r="I507" s="12" t="s">
        <v>2187</v>
      </c>
      <c r="J507" s="11"/>
      <c r="K507" s="12" t="s">
        <v>2188</v>
      </c>
      <c r="L507" s="11"/>
      <c r="M507" s="12" t="str">
        <f>HYPERLINK("https://ceds.ed.gov/cedselementdetails.aspx?termid=18254")</f>
        <v>https://ceds.ed.gov/cedselementdetails.aspx?termid=18254</v>
      </c>
      <c r="N507" s="12" t="str">
        <f>HYPERLINK("https://ceds.ed.gov/elementComment.aspx?elementName=Career Cluster &amp;elementID=18254", "Click here to submit comment")</f>
        <v>Click here to submit comment</v>
      </c>
    </row>
    <row r="508" spans="1:14" ht="204" x14ac:dyDescent="0.25">
      <c r="A508" s="12" t="s">
        <v>2189</v>
      </c>
      <c r="B508" s="12" t="s">
        <v>2190</v>
      </c>
      <c r="C508" s="12" t="s">
        <v>37</v>
      </c>
      <c r="D508" s="12" t="s">
        <v>2191</v>
      </c>
      <c r="E508" s="11"/>
      <c r="F508" s="12" t="s">
        <v>135</v>
      </c>
      <c r="G508" s="11"/>
      <c r="H508" s="11"/>
      <c r="I508" s="12" t="s">
        <v>2192</v>
      </c>
      <c r="J508" s="11"/>
      <c r="K508" s="12" t="s">
        <v>2193</v>
      </c>
      <c r="L508" s="11"/>
      <c r="M508" s="12" t="str">
        <f>HYPERLINK("https://ceds.ed.gov/cedselementdetails.aspx?termid=18255")</f>
        <v>https://ceds.ed.gov/cedselementdetails.aspx?termid=18255</v>
      </c>
      <c r="N508" s="12" t="str">
        <f>HYPERLINK("https://ceds.ed.gov/elementComment.aspx?elementName=Career Education Plan Date &amp;elementID=18255", "Click here to submit comment")</f>
        <v>Click here to submit comment</v>
      </c>
    </row>
    <row r="509" spans="1:14" ht="204" x14ac:dyDescent="0.25">
      <c r="A509" s="12" t="s">
        <v>2194</v>
      </c>
      <c r="B509" s="12" t="s">
        <v>2195</v>
      </c>
      <c r="C509" s="13" t="s">
        <v>2196</v>
      </c>
      <c r="D509" s="12" t="s">
        <v>2191</v>
      </c>
      <c r="E509" s="12" t="s">
        <v>195</v>
      </c>
      <c r="F509" s="11"/>
      <c r="G509" s="12" t="s">
        <v>2197</v>
      </c>
      <c r="H509" s="11"/>
      <c r="I509" s="12" t="s">
        <v>2198</v>
      </c>
      <c r="J509" s="11"/>
      <c r="K509" s="12" t="s">
        <v>2199</v>
      </c>
      <c r="L509" s="11"/>
      <c r="M509" s="12" t="str">
        <f>HYPERLINK("https://ceds.ed.gov/cedselementdetails.aspx?termid=18256")</f>
        <v>https://ceds.ed.gov/cedselementdetails.aspx?termid=18256</v>
      </c>
      <c r="N509" s="12" t="str">
        <f>HYPERLINK("https://ceds.ed.gov/elementComment.aspx?elementName=Career Education Plan Type &amp;elementID=18256", "Click here to submit comment")</f>
        <v>Click here to submit comment</v>
      </c>
    </row>
    <row r="510" spans="1:14" ht="127.5" x14ac:dyDescent="0.25">
      <c r="A510" s="12" t="s">
        <v>2200</v>
      </c>
      <c r="B510" s="12" t="s">
        <v>2201</v>
      </c>
      <c r="C510" s="12" t="s">
        <v>37</v>
      </c>
      <c r="D510" s="12" t="s">
        <v>2202</v>
      </c>
      <c r="E510" s="11"/>
      <c r="F510" s="12" t="s">
        <v>135</v>
      </c>
      <c r="G510" s="11"/>
      <c r="H510" s="12" t="s">
        <v>160</v>
      </c>
      <c r="I510" s="12" t="s">
        <v>2203</v>
      </c>
      <c r="J510" s="11"/>
      <c r="K510" s="12" t="s">
        <v>2204</v>
      </c>
      <c r="L510" s="11"/>
      <c r="M510" s="12" t="str">
        <f>HYPERLINK("https://ceds.ed.gov/cedselementdetails.aspx?termid=18562")</f>
        <v>https://ceds.ed.gov/cedselementdetails.aspx?termid=18562</v>
      </c>
      <c r="N510" s="12" t="str">
        <f>HYPERLINK("https://ceds.ed.gov/elementComment.aspx?elementName=Career Pathways Program Participation Exit Date &amp;elementID=18562", "Click here to submit comment")</f>
        <v>Click here to submit comment</v>
      </c>
    </row>
    <row r="511" spans="1:14" ht="127.5" x14ac:dyDescent="0.25">
      <c r="A511" s="12" t="s">
        <v>2205</v>
      </c>
      <c r="B511" s="12" t="s">
        <v>2206</v>
      </c>
      <c r="C511" s="12" t="s">
        <v>24</v>
      </c>
      <c r="D511" s="12" t="s">
        <v>2202</v>
      </c>
      <c r="E511" s="11"/>
      <c r="F511" s="11"/>
      <c r="G511" s="11"/>
      <c r="H511" s="11"/>
      <c r="I511" s="12" t="s">
        <v>2207</v>
      </c>
      <c r="J511" s="11"/>
      <c r="K511" s="12" t="s">
        <v>2208</v>
      </c>
      <c r="L511" s="11"/>
      <c r="M511" s="12" t="str">
        <f>HYPERLINK("https://ceds.ed.gov/cedselementdetails.aspx?termid=18257")</f>
        <v>https://ceds.ed.gov/cedselementdetails.aspx?termid=18257</v>
      </c>
      <c r="N511" s="12" t="str">
        <f>HYPERLINK("https://ceds.ed.gov/elementComment.aspx?elementName=Career Pathways Program Participation Indicator &amp;elementID=18257", "Click here to submit comment")</f>
        <v>Click here to submit comment</v>
      </c>
    </row>
    <row r="512" spans="1:14" ht="127.5" x14ac:dyDescent="0.25">
      <c r="A512" s="12" t="s">
        <v>2209</v>
      </c>
      <c r="B512" s="12" t="s">
        <v>2210</v>
      </c>
      <c r="C512" s="12" t="s">
        <v>37</v>
      </c>
      <c r="D512" s="12" t="s">
        <v>2202</v>
      </c>
      <c r="E512" s="11"/>
      <c r="F512" s="12" t="s">
        <v>135</v>
      </c>
      <c r="G512" s="11"/>
      <c r="H512" s="11"/>
      <c r="I512" s="12" t="s">
        <v>2211</v>
      </c>
      <c r="J512" s="11"/>
      <c r="K512" s="12" t="s">
        <v>2212</v>
      </c>
      <c r="L512" s="11"/>
      <c r="M512" s="12" t="str">
        <f>HYPERLINK("https://ceds.ed.gov/cedselementdetails.aspx?termid=18563")</f>
        <v>https://ceds.ed.gov/cedselementdetails.aspx?termid=18563</v>
      </c>
      <c r="N512" s="12" t="str">
        <f>HYPERLINK("https://ceds.ed.gov/elementComment.aspx?elementName=Career Pathways Program Participation Start Date &amp;elementID=18563", "Click here to submit comment")</f>
        <v>Click here to submit comment</v>
      </c>
    </row>
    <row r="513" spans="1:14" ht="76.5" x14ac:dyDescent="0.25">
      <c r="A513" s="12" t="s">
        <v>2213</v>
      </c>
      <c r="B513" s="12" t="s">
        <v>2214</v>
      </c>
      <c r="C513" s="13" t="s">
        <v>2215</v>
      </c>
      <c r="D513" s="12" t="s">
        <v>2216</v>
      </c>
      <c r="E513" s="11"/>
      <c r="F513" s="11"/>
      <c r="G513" s="11"/>
      <c r="H513" s="11"/>
      <c r="I513" s="12" t="s">
        <v>2217</v>
      </c>
      <c r="J513" s="12" t="s">
        <v>2218</v>
      </c>
      <c r="K513" s="12" t="s">
        <v>2219</v>
      </c>
      <c r="L513" s="12" t="s">
        <v>258</v>
      </c>
      <c r="M513" s="12" t="str">
        <f>HYPERLINK("https://ceds.ed.gov/cedselementdetails.aspx?termid=17581")</f>
        <v>https://ceds.ed.gov/cedselementdetails.aspx?termid=17581</v>
      </c>
      <c r="N513" s="12" t="str">
        <f>HYPERLINK("https://ceds.ed.gov/elementComment.aspx?elementName=Career Technical Education Nontraditional Gender Status &amp;elementID=17581", "Click here to submit comment")</f>
        <v>Click here to submit comment</v>
      </c>
    </row>
    <row r="514" spans="1:14" ht="204" x14ac:dyDescent="0.25">
      <c r="A514" s="12" t="s">
        <v>2220</v>
      </c>
      <c r="B514" s="12" t="s">
        <v>2221</v>
      </c>
      <c r="C514" s="12" t="s">
        <v>24</v>
      </c>
      <c r="D514" s="12" t="s">
        <v>2222</v>
      </c>
      <c r="E514" s="11"/>
      <c r="F514" s="11"/>
      <c r="G514" s="11"/>
      <c r="H514" s="11"/>
      <c r="I514" s="12" t="s">
        <v>2223</v>
      </c>
      <c r="J514" s="12" t="s">
        <v>2224</v>
      </c>
      <c r="K514" s="12" t="s">
        <v>2225</v>
      </c>
      <c r="L514" s="12" t="s">
        <v>258</v>
      </c>
      <c r="M514" s="12" t="str">
        <f>HYPERLINK("https://ceds.ed.gov/cedselementdetails.aspx?termid=17084")</f>
        <v>https://ceds.ed.gov/cedselementdetails.aspx?termid=17084</v>
      </c>
      <c r="N514" s="12" t="str">
        <f>HYPERLINK("https://ceds.ed.gov/elementComment.aspx?elementName=Career-Technical-Adult Education Displaced Homemaker Indicator &amp;elementID=17084", "Click here to submit comment")</f>
        <v>Click here to submit comment</v>
      </c>
    </row>
    <row r="515" spans="1:14" ht="409.5" x14ac:dyDescent="0.25">
      <c r="A515" s="12" t="s">
        <v>2226</v>
      </c>
      <c r="B515" s="12" t="s">
        <v>2227</v>
      </c>
      <c r="C515" s="13" t="s">
        <v>2228</v>
      </c>
      <c r="D515" s="12" t="s">
        <v>2229</v>
      </c>
      <c r="E515" s="11"/>
      <c r="F515" s="11"/>
      <c r="G515" s="11"/>
      <c r="H515" s="11"/>
      <c r="I515" s="12" t="s">
        <v>2230</v>
      </c>
      <c r="J515" s="11"/>
      <c r="K515" s="12" t="s">
        <v>2231</v>
      </c>
      <c r="L515" s="12" t="s">
        <v>2232</v>
      </c>
      <c r="M515" s="12" t="str">
        <f>HYPERLINK("https://ceds.ed.gov/cedselementdetails.aspx?termid=17038")</f>
        <v>https://ceds.ed.gov/cedselementdetails.aspx?termid=17038</v>
      </c>
      <c r="N515" s="12" t="str">
        <f>HYPERLINK("https://ceds.ed.gov/elementComment.aspx?elementName=Carnegie Basic Classification &amp;elementID=17038", "Click here to submit comment")</f>
        <v>Click here to submit comment</v>
      </c>
    </row>
    <row r="516" spans="1:14" ht="25.5" x14ac:dyDescent="0.25">
      <c r="A516" s="12" t="s">
        <v>2233</v>
      </c>
      <c r="B516" s="12" t="s">
        <v>2234</v>
      </c>
      <c r="C516" s="12" t="s">
        <v>37</v>
      </c>
      <c r="D516" s="12" t="s">
        <v>262</v>
      </c>
      <c r="E516" s="11"/>
      <c r="F516" s="12" t="s">
        <v>91</v>
      </c>
      <c r="G516" s="11"/>
      <c r="H516" s="11"/>
      <c r="I516" s="12" t="s">
        <v>2235</v>
      </c>
      <c r="J516" s="11"/>
      <c r="K516" s="12" t="s">
        <v>2236</v>
      </c>
      <c r="L516" s="11"/>
      <c r="M516" s="12" t="str">
        <f>HYPERLINK("https://ceds.ed.gov/cedselementdetails.aspx?termid=18259")</f>
        <v>https://ceds.ed.gov/cedselementdetails.aspx?termid=18259</v>
      </c>
      <c r="N516" s="12" t="str">
        <f>HYPERLINK("https://ceds.ed.gov/elementComment.aspx?elementName=Charter School Approval Year &amp;elementID=18259", "Click here to submit comment")</f>
        <v>Click here to submit comment</v>
      </c>
    </row>
    <row r="517" spans="1:14" ht="140.25" x14ac:dyDescent="0.25">
      <c r="A517" s="12" t="s">
        <v>2237</v>
      </c>
      <c r="B517" s="12" t="s">
        <v>2238</v>
      </c>
      <c r="C517" s="13" t="s">
        <v>2239</v>
      </c>
      <c r="D517" s="12" t="s">
        <v>2240</v>
      </c>
      <c r="E517" s="12" t="s">
        <v>195</v>
      </c>
      <c r="F517" s="11"/>
      <c r="G517" s="12" t="s">
        <v>2241</v>
      </c>
      <c r="H517" s="11"/>
      <c r="I517" s="12" t="s">
        <v>2242</v>
      </c>
      <c r="J517" s="11"/>
      <c r="K517" s="12" t="s">
        <v>2243</v>
      </c>
      <c r="L517" s="11"/>
      <c r="M517" s="12" t="str">
        <f>HYPERLINK("https://ceds.ed.gov/cedselementdetails.aspx?termid=18258")</f>
        <v>https://ceds.ed.gov/cedselementdetails.aspx?termid=18258</v>
      </c>
      <c r="N517" s="12" t="str">
        <f>HYPERLINK("https://ceds.ed.gov/elementComment.aspx?elementName=Charter School Authorizer Type &amp;elementID=18258", "Click here to submit comment")</f>
        <v>Click here to submit comment</v>
      </c>
    </row>
    <row r="518" spans="1:14" ht="63.75" x14ac:dyDescent="0.25">
      <c r="A518" s="12" t="s">
        <v>2244</v>
      </c>
      <c r="B518" s="12" t="s">
        <v>2245</v>
      </c>
      <c r="C518" s="12" t="s">
        <v>37</v>
      </c>
      <c r="D518" s="12" t="s">
        <v>262</v>
      </c>
      <c r="E518" s="11"/>
      <c r="F518" s="12" t="s">
        <v>135</v>
      </c>
      <c r="G518" s="11"/>
      <c r="H518" s="11"/>
      <c r="I518" s="12" t="s">
        <v>2246</v>
      </c>
      <c r="J518" s="11"/>
      <c r="K518" s="12" t="s">
        <v>2247</v>
      </c>
      <c r="L518" s="12" t="s">
        <v>258</v>
      </c>
      <c r="M518" s="12" t="str">
        <f>HYPERLINK("https://ceds.ed.gov/cedselementdetails.aspx?termid=18633")</f>
        <v>https://ceds.ed.gov/cedselementdetails.aspx?termid=18633</v>
      </c>
      <c r="N518" s="12" t="str">
        <f>HYPERLINK("https://ceds.ed.gov/elementComment.aspx?elementName=Charter School Contract Approval Date &amp;elementID=18633", "Click here to submit comment")</f>
        <v>Click here to submit comment</v>
      </c>
    </row>
    <row r="519" spans="1:14" ht="51" x14ac:dyDescent="0.25">
      <c r="A519" s="12" t="s">
        <v>2248</v>
      </c>
      <c r="B519" s="12" t="s">
        <v>2249</v>
      </c>
      <c r="C519" s="12" t="s">
        <v>37</v>
      </c>
      <c r="D519" s="12" t="s">
        <v>262</v>
      </c>
      <c r="E519" s="11"/>
      <c r="F519" s="12" t="s">
        <v>97</v>
      </c>
      <c r="G519" s="11"/>
      <c r="H519" s="11"/>
      <c r="I519" s="12" t="s">
        <v>2250</v>
      </c>
      <c r="J519" s="11"/>
      <c r="K519" s="12" t="s">
        <v>2251</v>
      </c>
      <c r="L519" s="12" t="s">
        <v>258</v>
      </c>
      <c r="M519" s="12" t="str">
        <f>HYPERLINK("https://ceds.ed.gov/cedselementdetails.aspx?termid=18632")</f>
        <v>https://ceds.ed.gov/cedselementdetails.aspx?termid=18632</v>
      </c>
      <c r="N519" s="12" t="str">
        <f>HYPERLINK("https://ceds.ed.gov/elementComment.aspx?elementName=Charter School Contract Id Number &amp;elementID=18632", "Click here to submit comment")</f>
        <v>Click here to submit comment</v>
      </c>
    </row>
    <row r="520" spans="1:14" ht="63.75" x14ac:dyDescent="0.25">
      <c r="A520" s="12" t="s">
        <v>2252</v>
      </c>
      <c r="B520" s="12" t="s">
        <v>2253</v>
      </c>
      <c r="C520" s="12" t="s">
        <v>37</v>
      </c>
      <c r="D520" s="12" t="s">
        <v>262</v>
      </c>
      <c r="E520" s="11"/>
      <c r="F520" s="12" t="s">
        <v>135</v>
      </c>
      <c r="G520" s="11"/>
      <c r="H520" s="11"/>
      <c r="I520" s="12" t="s">
        <v>2254</v>
      </c>
      <c r="J520" s="11"/>
      <c r="K520" s="12" t="s">
        <v>2255</v>
      </c>
      <c r="L520" s="12" t="s">
        <v>258</v>
      </c>
      <c r="M520" s="12" t="str">
        <f>HYPERLINK("https://ceds.ed.gov/cedselementdetails.aspx?termid=18634")</f>
        <v>https://ceds.ed.gov/cedselementdetails.aspx?termid=18634</v>
      </c>
      <c r="N520" s="12" t="str">
        <f>HYPERLINK("https://ceds.ed.gov/elementComment.aspx?elementName=Charter School Contract Renewal Date &amp;elementID=18634", "Click here to submit comment")</f>
        <v>Click here to submit comment</v>
      </c>
    </row>
    <row r="521" spans="1:14" ht="102" x14ac:dyDescent="0.25">
      <c r="A521" s="12" t="s">
        <v>2256</v>
      </c>
      <c r="B521" s="12" t="s">
        <v>2257</v>
      </c>
      <c r="C521" s="12" t="s">
        <v>24</v>
      </c>
      <c r="D521" s="12" t="s">
        <v>2258</v>
      </c>
      <c r="E521" s="11"/>
      <c r="F521" s="11"/>
      <c r="G521" s="11"/>
      <c r="H521" s="12" t="s">
        <v>2259</v>
      </c>
      <c r="I521" s="12" t="s">
        <v>2260</v>
      </c>
      <c r="J521" s="11"/>
      <c r="K521" s="12" t="s">
        <v>2261</v>
      </c>
      <c r="L521" s="12" t="s">
        <v>72</v>
      </c>
      <c r="M521" s="12" t="str">
        <f>HYPERLINK("https://ceds.ed.gov/cedselementdetails.aspx?termid=17039")</f>
        <v>https://ceds.ed.gov/cedselementdetails.aspx?termid=17039</v>
      </c>
      <c r="N521" s="12" t="str">
        <f>HYPERLINK("https://ceds.ed.gov/elementComment.aspx?elementName=Charter School Indicator &amp;elementID=17039", "Click here to submit comment")</f>
        <v>Click here to submit comment</v>
      </c>
    </row>
    <row r="522" spans="1:14" ht="76.5" x14ac:dyDescent="0.25">
      <c r="A522" s="12" t="s">
        <v>2262</v>
      </c>
      <c r="B522" s="12" t="s">
        <v>2263</v>
      </c>
      <c r="C522" s="13" t="s">
        <v>2264</v>
      </c>
      <c r="D522" s="12" t="s">
        <v>2265</v>
      </c>
      <c r="E522" s="12" t="s">
        <v>195</v>
      </c>
      <c r="F522" s="11"/>
      <c r="G522" s="12" t="s">
        <v>2266</v>
      </c>
      <c r="H522" s="11"/>
      <c r="I522" s="12" t="s">
        <v>2267</v>
      </c>
      <c r="J522" s="11"/>
      <c r="K522" s="12" t="s">
        <v>2268</v>
      </c>
      <c r="L522" s="12" t="s">
        <v>258</v>
      </c>
      <c r="M522" s="12" t="str">
        <f>HYPERLINK("https://ceds.ed.gov/cedselementdetails.aspx?termid=18631")</f>
        <v>https://ceds.ed.gov/cedselementdetails.aspx?termid=18631</v>
      </c>
      <c r="N522" s="12" t="str">
        <f>HYPERLINK("https://ceds.ed.gov/elementComment.aspx?elementName=Charter School Management Organization Type &amp;elementID=18631", "Click here to submit comment")</f>
        <v>Click here to submit comment</v>
      </c>
    </row>
    <row r="523" spans="1:14" ht="38.25" x14ac:dyDescent="0.25">
      <c r="A523" s="12" t="s">
        <v>2269</v>
      </c>
      <c r="B523" s="12" t="s">
        <v>2270</v>
      </c>
      <c r="C523" s="12" t="s">
        <v>24</v>
      </c>
      <c r="D523" s="12" t="s">
        <v>262</v>
      </c>
      <c r="E523" s="11"/>
      <c r="F523" s="11"/>
      <c r="G523" s="11"/>
      <c r="H523" s="11"/>
      <c r="I523" s="12" t="s">
        <v>2271</v>
      </c>
      <c r="J523" s="11"/>
      <c r="K523" s="12" t="s">
        <v>2272</v>
      </c>
      <c r="L523" s="11"/>
      <c r="M523" s="12" t="str">
        <f>HYPERLINK("https://ceds.ed.gov/cedselementdetails.aspx?termid=18524")</f>
        <v>https://ceds.ed.gov/cedselementdetails.aspx?termid=18524</v>
      </c>
      <c r="N523" s="12" t="str">
        <f>HYPERLINK("https://ceds.ed.gov/elementComment.aspx?elementName=Charter School Open Enrollment Indicator &amp;elementID=18524", "Click here to submit comment")</f>
        <v>Click here to submit comment</v>
      </c>
    </row>
    <row r="524" spans="1:14" ht="63.75" x14ac:dyDescent="0.25">
      <c r="A524" s="12" t="s">
        <v>2273</v>
      </c>
      <c r="B524" s="12" t="s">
        <v>2274</v>
      </c>
      <c r="C524" s="13" t="s">
        <v>2275</v>
      </c>
      <c r="D524" s="12" t="s">
        <v>262</v>
      </c>
      <c r="E524" s="11"/>
      <c r="F524" s="11"/>
      <c r="G524" s="11"/>
      <c r="H524" s="11"/>
      <c r="I524" s="12" t="s">
        <v>2276</v>
      </c>
      <c r="J524" s="11"/>
      <c r="K524" s="12" t="s">
        <v>2277</v>
      </c>
      <c r="L524" s="11"/>
      <c r="M524" s="12" t="str">
        <f>HYPERLINK("https://ceds.ed.gov/cedselementdetails.aspx?termid=17686")</f>
        <v>https://ceds.ed.gov/cedselementdetails.aspx?termid=17686</v>
      </c>
      <c r="N524" s="12" t="str">
        <f>HYPERLINK("https://ceds.ed.gov/elementComment.aspx?elementName=Charter School Type &amp;elementID=17686", "Click here to submit comment")</f>
        <v>Click here to submit comment</v>
      </c>
    </row>
    <row r="525" spans="1:14" ht="102" x14ac:dyDescent="0.25">
      <c r="A525" s="12" t="s">
        <v>2278</v>
      </c>
      <c r="B525" s="12" t="s">
        <v>2279</v>
      </c>
      <c r="C525" s="13" t="s">
        <v>2280</v>
      </c>
      <c r="D525" s="12" t="s">
        <v>2281</v>
      </c>
      <c r="E525" s="11"/>
      <c r="F525" s="11"/>
      <c r="G525" s="11"/>
      <c r="H525" s="11"/>
      <c r="I525" s="12" t="s">
        <v>2282</v>
      </c>
      <c r="J525" s="12" t="s">
        <v>2283</v>
      </c>
      <c r="K525" s="12" t="s">
        <v>2284</v>
      </c>
      <c r="L525" s="12" t="s">
        <v>238</v>
      </c>
      <c r="M525" s="12" t="str">
        <f>HYPERLINK("https://ceds.ed.gov/cedselementdetails.aspx?termid=17805")</f>
        <v>https://ceds.ed.gov/cedselementdetails.aspx?termid=17805</v>
      </c>
      <c r="N525" s="12" t="str">
        <f>HYPERLINK("https://ceds.ed.gov/elementComment.aspx?elementName=Child Development Associate Type &amp;elementID=17805", "Click here to submit comment")</f>
        <v>Click here to submit comment</v>
      </c>
    </row>
    <row r="526" spans="1:14" ht="140.25" x14ac:dyDescent="0.25">
      <c r="A526" s="12" t="s">
        <v>2285</v>
      </c>
      <c r="B526" s="12" t="s">
        <v>2286</v>
      </c>
      <c r="C526" s="13" t="s">
        <v>2287</v>
      </c>
      <c r="D526" s="12" t="s">
        <v>2288</v>
      </c>
      <c r="E526" s="11"/>
      <c r="F526" s="11"/>
      <c r="G526" s="11"/>
      <c r="H526" s="11"/>
      <c r="I526" s="12" t="s">
        <v>2289</v>
      </c>
      <c r="J526" s="11"/>
      <c r="K526" s="12" t="s">
        <v>2290</v>
      </c>
      <c r="L526" s="12" t="s">
        <v>2291</v>
      </c>
      <c r="M526" s="12" t="str">
        <f>HYPERLINK("https://ceds.ed.gov/cedselementdetails.aspx?termid=17314")</f>
        <v>https://ceds.ed.gov/cedselementdetails.aspx?termid=17314</v>
      </c>
      <c r="N526" s="12" t="str">
        <f>HYPERLINK("https://ceds.ed.gov/elementComment.aspx?elementName=Child Developmental Screening Status &amp;elementID=17314", "Click here to submit comment")</f>
        <v>Click here to submit comment</v>
      </c>
    </row>
    <row r="527" spans="1:14" ht="153" x14ac:dyDescent="0.25">
      <c r="A527" s="12" t="s">
        <v>2292</v>
      </c>
      <c r="B527" s="12" t="s">
        <v>2293</v>
      </c>
      <c r="C527" s="13" t="s">
        <v>2294</v>
      </c>
      <c r="D527" s="12" t="s">
        <v>2295</v>
      </c>
      <c r="E527" s="11"/>
      <c r="F527" s="11"/>
      <c r="G527" s="11"/>
      <c r="H527" s="11"/>
      <c r="I527" s="12" t="s">
        <v>2296</v>
      </c>
      <c r="J527" s="11"/>
      <c r="K527" s="12" t="s">
        <v>2297</v>
      </c>
      <c r="L527" s="12" t="s">
        <v>2298</v>
      </c>
      <c r="M527" s="12" t="str">
        <f>HYPERLINK("https://ceds.ed.gov/cedselementdetails.aspx?termid=17782")</f>
        <v>https://ceds.ed.gov/cedselementdetails.aspx?termid=17782</v>
      </c>
      <c r="N527" s="12" t="str">
        <f>HYPERLINK("https://ceds.ed.gov/elementComment.aspx?elementName=Child Identification System &amp;elementID=17782", "Click here to submit comment")</f>
        <v>Click here to submit comment</v>
      </c>
    </row>
    <row r="528" spans="1:14" ht="76.5" x14ac:dyDescent="0.25">
      <c r="A528" s="15" t="s">
        <v>2299</v>
      </c>
      <c r="B528" s="15" t="s">
        <v>2300</v>
      </c>
      <c r="C528" s="15" t="s">
        <v>37</v>
      </c>
      <c r="D528" s="15" t="s">
        <v>2301</v>
      </c>
      <c r="E528" s="16"/>
      <c r="F528" s="15" t="s">
        <v>149</v>
      </c>
      <c r="G528" s="16"/>
      <c r="H528" s="12" t="s">
        <v>150</v>
      </c>
      <c r="I528" s="15" t="s">
        <v>2302</v>
      </c>
      <c r="J528" s="16"/>
      <c r="K528" s="15" t="s">
        <v>2303</v>
      </c>
      <c r="L528" s="15" t="s">
        <v>2298</v>
      </c>
      <c r="M528" s="15" t="str">
        <f>HYPERLINK("https://ceds.ed.gov/cedselementdetails.aspx?termid=17781")</f>
        <v>https://ceds.ed.gov/cedselementdetails.aspx?termid=17781</v>
      </c>
      <c r="N528" s="15" t="str">
        <f>HYPERLINK("https://ceds.ed.gov/elementComment.aspx?elementName=Child Identifier &amp;elementID=17781", "Click here to submit comment")</f>
        <v>Click here to submit comment</v>
      </c>
    </row>
    <row r="529" spans="1:14" x14ac:dyDescent="0.25">
      <c r="A529" s="15"/>
      <c r="B529" s="15"/>
      <c r="C529" s="15"/>
      <c r="D529" s="15"/>
      <c r="E529" s="16"/>
      <c r="F529" s="15"/>
      <c r="G529" s="16"/>
      <c r="H529" s="12"/>
      <c r="I529" s="15"/>
      <c r="J529" s="16"/>
      <c r="K529" s="15"/>
      <c r="L529" s="15"/>
      <c r="M529" s="15"/>
      <c r="N529" s="15"/>
    </row>
    <row r="530" spans="1:14" ht="76.5" x14ac:dyDescent="0.25">
      <c r="A530" s="15"/>
      <c r="B530" s="15"/>
      <c r="C530" s="15"/>
      <c r="D530" s="15"/>
      <c r="E530" s="16"/>
      <c r="F530" s="15"/>
      <c r="G530" s="16"/>
      <c r="H530" s="12" t="s">
        <v>153</v>
      </c>
      <c r="I530" s="15"/>
      <c r="J530" s="16"/>
      <c r="K530" s="15"/>
      <c r="L530" s="15"/>
      <c r="M530" s="15"/>
      <c r="N530" s="15"/>
    </row>
    <row r="531" spans="1:14" ht="38.25" x14ac:dyDescent="0.25">
      <c r="A531" s="12" t="s">
        <v>2304</v>
      </c>
      <c r="B531" s="12" t="s">
        <v>2305</v>
      </c>
      <c r="C531" s="12" t="s">
        <v>24</v>
      </c>
      <c r="D531" s="12" t="s">
        <v>2306</v>
      </c>
      <c r="E531" s="11"/>
      <c r="F531" s="11"/>
      <c r="G531" s="11"/>
      <c r="H531" s="11"/>
      <c r="I531" s="12" t="s">
        <v>2307</v>
      </c>
      <c r="J531" s="12" t="s">
        <v>2308</v>
      </c>
      <c r="K531" s="12" t="s">
        <v>2309</v>
      </c>
      <c r="L531" s="11"/>
      <c r="M531" s="12" t="str">
        <f>HYPERLINK("https://ceds.ed.gov/cedselementdetails.aspx?termid=18476")</f>
        <v>https://ceds.ed.gov/cedselementdetails.aspx?termid=18476</v>
      </c>
      <c r="N531" s="12" t="str">
        <f>HYPERLINK("https://ceds.ed.gov/elementComment.aspx?elementName=Child Outcomes Summary Progress A Indicator &amp;elementID=18476", "Click here to submit comment")</f>
        <v>Click here to submit comment</v>
      </c>
    </row>
    <row r="532" spans="1:14" ht="51" x14ac:dyDescent="0.25">
      <c r="A532" s="12" t="s">
        <v>2310</v>
      </c>
      <c r="B532" s="12" t="s">
        <v>2311</v>
      </c>
      <c r="C532" s="12" t="s">
        <v>24</v>
      </c>
      <c r="D532" s="12" t="s">
        <v>2306</v>
      </c>
      <c r="E532" s="11"/>
      <c r="F532" s="11"/>
      <c r="G532" s="11"/>
      <c r="H532" s="11"/>
      <c r="I532" s="12" t="s">
        <v>2312</v>
      </c>
      <c r="J532" s="12" t="s">
        <v>2313</v>
      </c>
      <c r="K532" s="12" t="s">
        <v>2314</v>
      </c>
      <c r="L532" s="11"/>
      <c r="M532" s="12" t="str">
        <f>HYPERLINK("https://ceds.ed.gov/cedselementdetails.aspx?termid=18477")</f>
        <v>https://ceds.ed.gov/cedselementdetails.aspx?termid=18477</v>
      </c>
      <c r="N532" s="12" t="str">
        <f>HYPERLINK("https://ceds.ed.gov/elementComment.aspx?elementName=Child Outcomes Summary Progress B Indicator &amp;elementID=18477", "Click here to submit comment")</f>
        <v>Click here to submit comment</v>
      </c>
    </row>
    <row r="533" spans="1:14" ht="38.25" x14ac:dyDescent="0.25">
      <c r="A533" s="12" t="s">
        <v>2315</v>
      </c>
      <c r="B533" s="12" t="s">
        <v>2316</v>
      </c>
      <c r="C533" s="12" t="s">
        <v>24</v>
      </c>
      <c r="D533" s="12" t="s">
        <v>2306</v>
      </c>
      <c r="E533" s="11"/>
      <c r="F533" s="11"/>
      <c r="G533" s="11"/>
      <c r="H533" s="11"/>
      <c r="I533" s="12" t="s">
        <v>2317</v>
      </c>
      <c r="J533" s="12" t="s">
        <v>2318</v>
      </c>
      <c r="K533" s="12" t="s">
        <v>2319</v>
      </c>
      <c r="L533" s="11"/>
      <c r="M533" s="12" t="str">
        <f>HYPERLINK("https://ceds.ed.gov/cedselementdetails.aspx?termid=18478")</f>
        <v>https://ceds.ed.gov/cedselementdetails.aspx?termid=18478</v>
      </c>
      <c r="N533" s="12" t="str">
        <f>HYPERLINK("https://ceds.ed.gov/elementComment.aspx?elementName=Child Outcomes Summary Progress C Indicator &amp;elementID=18478", "Click here to submit comment")</f>
        <v>Click here to submit comment</v>
      </c>
    </row>
    <row r="534" spans="1:14" ht="242.25" x14ac:dyDescent="0.25">
      <c r="A534" s="12" t="s">
        <v>2320</v>
      </c>
      <c r="B534" s="12" t="s">
        <v>2321</v>
      </c>
      <c r="C534" s="13" t="s">
        <v>2322</v>
      </c>
      <c r="D534" s="12" t="s">
        <v>2306</v>
      </c>
      <c r="E534" s="11"/>
      <c r="F534" s="11"/>
      <c r="G534" s="11"/>
      <c r="H534" s="11"/>
      <c r="I534" s="12" t="s">
        <v>2323</v>
      </c>
      <c r="J534" s="12" t="s">
        <v>2324</v>
      </c>
      <c r="K534" s="12" t="s">
        <v>2325</v>
      </c>
      <c r="L534" s="11"/>
      <c r="M534" s="12" t="str">
        <f>HYPERLINK("https://ceds.ed.gov/cedselementdetails.aspx?termid=18479")</f>
        <v>https://ceds.ed.gov/cedselementdetails.aspx?termid=18479</v>
      </c>
      <c r="N534" s="12" t="str">
        <f>HYPERLINK("https://ceds.ed.gov/elementComment.aspx?elementName=Child Outcomes Summary Rating A &amp;elementID=18479", "Click here to submit comment")</f>
        <v>Click here to submit comment</v>
      </c>
    </row>
    <row r="535" spans="1:14" ht="242.25" x14ac:dyDescent="0.25">
      <c r="A535" s="12" t="s">
        <v>2326</v>
      </c>
      <c r="B535" s="12" t="s">
        <v>2327</v>
      </c>
      <c r="C535" s="13" t="s">
        <v>2322</v>
      </c>
      <c r="D535" s="12" t="s">
        <v>2306</v>
      </c>
      <c r="E535" s="11"/>
      <c r="F535" s="11"/>
      <c r="G535" s="11"/>
      <c r="H535" s="11"/>
      <c r="I535" s="12" t="s">
        <v>2328</v>
      </c>
      <c r="J535" s="12" t="s">
        <v>2329</v>
      </c>
      <c r="K535" s="12" t="s">
        <v>2330</v>
      </c>
      <c r="L535" s="11"/>
      <c r="M535" s="12" t="str">
        <f>HYPERLINK("https://ceds.ed.gov/cedselementdetails.aspx?termid=18480")</f>
        <v>https://ceds.ed.gov/cedselementdetails.aspx?termid=18480</v>
      </c>
      <c r="N535" s="12" t="str">
        <f>HYPERLINK("https://ceds.ed.gov/elementComment.aspx?elementName=Child Outcomes Summary Rating B &amp;elementID=18480", "Click here to submit comment")</f>
        <v>Click here to submit comment</v>
      </c>
    </row>
    <row r="536" spans="1:14" ht="242.25" x14ac:dyDescent="0.25">
      <c r="A536" s="12" t="s">
        <v>2331</v>
      </c>
      <c r="B536" s="12" t="s">
        <v>2332</v>
      </c>
      <c r="C536" s="13" t="s">
        <v>2322</v>
      </c>
      <c r="D536" s="12" t="s">
        <v>2306</v>
      </c>
      <c r="E536" s="11"/>
      <c r="F536" s="11"/>
      <c r="G536" s="11"/>
      <c r="H536" s="11"/>
      <c r="I536" s="12" t="s">
        <v>2333</v>
      </c>
      <c r="J536" s="12" t="s">
        <v>2334</v>
      </c>
      <c r="K536" s="12" t="s">
        <v>2335</v>
      </c>
      <c r="L536" s="11"/>
      <c r="M536" s="12" t="str">
        <f>HYPERLINK("https://ceds.ed.gov/cedselementdetails.aspx?termid=18481")</f>
        <v>https://ceds.ed.gov/cedselementdetails.aspx?termid=18481</v>
      </c>
      <c r="N536" s="12" t="str">
        <f>HYPERLINK("https://ceds.ed.gov/elementComment.aspx?elementName=Child Outcomes Summary Rating C &amp;elementID=18481", "Click here to submit comment")</f>
        <v>Click here to submit comment</v>
      </c>
    </row>
    <row r="537" spans="1:14" ht="25.5" x14ac:dyDescent="0.25">
      <c r="A537" s="12" t="s">
        <v>2336</v>
      </c>
      <c r="B537" s="12" t="s">
        <v>2337</v>
      </c>
      <c r="C537" s="12" t="s">
        <v>37</v>
      </c>
      <c r="D537" s="12" t="s">
        <v>2338</v>
      </c>
      <c r="E537" s="11"/>
      <c r="F537" s="12" t="s">
        <v>97</v>
      </c>
      <c r="G537" s="11"/>
      <c r="H537" s="11"/>
      <c r="I537" s="12" t="s">
        <v>2339</v>
      </c>
      <c r="J537" s="11"/>
      <c r="K537" s="12" t="s">
        <v>2340</v>
      </c>
      <c r="L537" s="12" t="s">
        <v>1751</v>
      </c>
      <c r="M537" s="12" t="str">
        <f>HYPERLINK("https://ceds.ed.gov/cedselementdetails.aspx?termid=17416")</f>
        <v>https://ceds.ed.gov/cedselementdetails.aspx?termid=17416</v>
      </c>
      <c r="N537" s="12" t="str">
        <f>HYPERLINK("https://ceds.ed.gov/elementComment.aspx?elementName=City of Birth &amp;elementID=17416", "Click here to submit comment")</f>
        <v>Click here to submit comment</v>
      </c>
    </row>
    <row r="538" spans="1:14" ht="89.25" x14ac:dyDescent="0.25">
      <c r="A538" s="12" t="s">
        <v>2341</v>
      </c>
      <c r="B538" s="12" t="s">
        <v>2342</v>
      </c>
      <c r="C538" s="12" t="s">
        <v>37</v>
      </c>
      <c r="D538" s="12" t="s">
        <v>2343</v>
      </c>
      <c r="E538" s="11"/>
      <c r="F538" s="12" t="s">
        <v>501</v>
      </c>
      <c r="G538" s="11"/>
      <c r="H538" s="11"/>
      <c r="I538" s="12" t="s">
        <v>2344</v>
      </c>
      <c r="J538" s="11"/>
      <c r="K538" s="12" t="s">
        <v>2345</v>
      </c>
      <c r="L538" s="12" t="s">
        <v>2346</v>
      </c>
      <c r="M538" s="12" t="str">
        <f>HYPERLINK("https://ceds.ed.gov/cedselementdetails.aspx?termid=17510")</f>
        <v>https://ceds.ed.gov/cedselementdetails.aspx?termid=17510</v>
      </c>
      <c r="N538" s="12" t="str">
        <f>HYPERLINK("https://ceds.ed.gov/elementComment.aspx?elementName=Class Beginning Time &amp;elementID=17510", "Click here to submit comment")</f>
        <v>Click here to submit comment</v>
      </c>
    </row>
    <row r="539" spans="1:14" ht="89.25" x14ac:dyDescent="0.25">
      <c r="A539" s="12" t="s">
        <v>2347</v>
      </c>
      <c r="B539" s="12" t="s">
        <v>2348</v>
      </c>
      <c r="C539" s="12" t="s">
        <v>37</v>
      </c>
      <c r="D539" s="12" t="s">
        <v>2343</v>
      </c>
      <c r="E539" s="11"/>
      <c r="F539" s="12" t="s">
        <v>501</v>
      </c>
      <c r="G539" s="11"/>
      <c r="H539" s="11"/>
      <c r="I539" s="12" t="s">
        <v>2349</v>
      </c>
      <c r="J539" s="11"/>
      <c r="K539" s="12" t="s">
        <v>2350</v>
      </c>
      <c r="L539" s="12" t="s">
        <v>2346</v>
      </c>
      <c r="M539" s="12" t="str">
        <f>HYPERLINK("https://ceds.ed.gov/cedselementdetails.aspx?termid=17511")</f>
        <v>https://ceds.ed.gov/cedselementdetails.aspx?termid=17511</v>
      </c>
      <c r="N539" s="12" t="str">
        <f>HYPERLINK("https://ceds.ed.gov/elementComment.aspx?elementName=Class Ending Time &amp;elementID=17511", "Click here to submit comment")</f>
        <v>Click here to submit comment</v>
      </c>
    </row>
    <row r="540" spans="1:14" ht="63.75" x14ac:dyDescent="0.25">
      <c r="A540" s="12" t="s">
        <v>2351</v>
      </c>
      <c r="B540" s="12" t="s">
        <v>2352</v>
      </c>
      <c r="C540" s="12" t="s">
        <v>37</v>
      </c>
      <c r="D540" s="12" t="s">
        <v>2353</v>
      </c>
      <c r="E540" s="11"/>
      <c r="F540" s="12" t="s">
        <v>175</v>
      </c>
      <c r="G540" s="11"/>
      <c r="H540" s="11"/>
      <c r="I540" s="12" t="s">
        <v>2354</v>
      </c>
      <c r="J540" s="11"/>
      <c r="K540" s="12" t="s">
        <v>2355</v>
      </c>
      <c r="L540" s="11"/>
      <c r="M540" s="12" t="str">
        <f>HYPERLINK("https://ceds.ed.gov/cedselementdetails.aspx?termid=17512")</f>
        <v>https://ceds.ed.gov/cedselementdetails.aspx?termid=17512</v>
      </c>
      <c r="N540" s="12" t="str">
        <f>HYPERLINK("https://ceds.ed.gov/elementComment.aspx?elementName=Class Meeting Days &amp;elementID=17512", "Click here to submit comment")</f>
        <v>Click here to submit comment</v>
      </c>
    </row>
    <row r="541" spans="1:14" ht="63.75" x14ac:dyDescent="0.25">
      <c r="A541" s="12" t="s">
        <v>2356</v>
      </c>
      <c r="B541" s="12" t="s">
        <v>2357</v>
      </c>
      <c r="C541" s="12" t="s">
        <v>37</v>
      </c>
      <c r="D541" s="12" t="s">
        <v>2353</v>
      </c>
      <c r="E541" s="11"/>
      <c r="F541" s="12" t="s">
        <v>97</v>
      </c>
      <c r="G541" s="11"/>
      <c r="H541" s="11"/>
      <c r="I541" s="12" t="s">
        <v>2358</v>
      </c>
      <c r="J541" s="11"/>
      <c r="K541" s="12" t="s">
        <v>2359</v>
      </c>
      <c r="L541" s="11"/>
      <c r="M541" s="12" t="str">
        <f>HYPERLINK("https://ceds.ed.gov/cedselementdetails.aspx?termid=17513")</f>
        <v>https://ceds.ed.gov/cedselementdetails.aspx?termid=17513</v>
      </c>
      <c r="N541" s="12" t="str">
        <f>HYPERLINK("https://ceds.ed.gov/elementComment.aspx?elementName=Class Period &amp;elementID=17513", "Click here to submit comment")</f>
        <v>Click here to submit comment</v>
      </c>
    </row>
    <row r="542" spans="1:14" ht="38.25" x14ac:dyDescent="0.25">
      <c r="A542" s="12" t="s">
        <v>2360</v>
      </c>
      <c r="B542" s="12" t="s">
        <v>2361</v>
      </c>
      <c r="C542" s="12" t="s">
        <v>37</v>
      </c>
      <c r="D542" s="12" t="s">
        <v>69</v>
      </c>
      <c r="E542" s="11"/>
      <c r="F542" s="12" t="s">
        <v>2362</v>
      </c>
      <c r="G542" s="11"/>
      <c r="H542" s="11"/>
      <c r="I542" s="12" t="s">
        <v>2363</v>
      </c>
      <c r="J542" s="11"/>
      <c r="K542" s="12" t="s">
        <v>2364</v>
      </c>
      <c r="L542" s="12" t="s">
        <v>72</v>
      </c>
      <c r="M542" s="12" t="str">
        <f>HYPERLINK("https://ceds.ed.gov/cedselementdetails.aspx?termid=17042")</f>
        <v>https://ceds.ed.gov/cedselementdetails.aspx?termid=17042</v>
      </c>
      <c r="N542" s="12" t="str">
        <f>HYPERLINK("https://ceds.ed.gov/elementComment.aspx?elementName=Class Ranking Date &amp;elementID=17042", "Click here to submit comment")</f>
        <v>Click here to submit comment</v>
      </c>
    </row>
    <row r="543" spans="1:14" ht="408" x14ac:dyDescent="0.25">
      <c r="A543" s="12" t="s">
        <v>2365</v>
      </c>
      <c r="B543" s="12" t="s">
        <v>2366</v>
      </c>
      <c r="C543" s="12" t="s">
        <v>8526</v>
      </c>
      <c r="D543" s="12" t="s">
        <v>2367</v>
      </c>
      <c r="E543" s="11"/>
      <c r="F543" s="11"/>
      <c r="G543" s="11"/>
      <c r="H543" s="11"/>
      <c r="I543" s="12" t="s">
        <v>2368</v>
      </c>
      <c r="J543" s="12" t="s">
        <v>2369</v>
      </c>
      <c r="K543" s="12" t="s">
        <v>2370</v>
      </c>
      <c r="L543" s="12" t="s">
        <v>48</v>
      </c>
      <c r="M543" s="12" t="str">
        <f>HYPERLINK("https://ceds.ed.gov/cedselementdetails.aspx?termid=17043")</f>
        <v>https://ceds.ed.gov/cedselementdetails.aspx?termid=17043</v>
      </c>
      <c r="N543" s="12" t="str">
        <f>HYPERLINK("https://ceds.ed.gov/elementComment.aspx?elementName=Classification of Instructional Program Code &amp;elementID=17043", "Click here to submit comment")</f>
        <v>Click here to submit comment</v>
      </c>
    </row>
    <row r="544" spans="1:14" ht="255" x14ac:dyDescent="0.25">
      <c r="A544" s="12" t="s">
        <v>2371</v>
      </c>
      <c r="B544" s="12" t="s">
        <v>2372</v>
      </c>
      <c r="C544" s="13" t="s">
        <v>2373</v>
      </c>
      <c r="D544" s="12" t="s">
        <v>2374</v>
      </c>
      <c r="E544" s="11"/>
      <c r="F544" s="11"/>
      <c r="G544" s="11"/>
      <c r="H544" s="11"/>
      <c r="I544" s="12" t="s">
        <v>2375</v>
      </c>
      <c r="J544" s="12" t="s">
        <v>2376</v>
      </c>
      <c r="K544" s="12" t="s">
        <v>2377</v>
      </c>
      <c r="L544" s="12" t="s">
        <v>225</v>
      </c>
      <c r="M544" s="12" t="str">
        <f>HYPERLINK("https://ceds.ed.gov/cedselementdetails.aspx?termid=17044")</f>
        <v>https://ceds.ed.gov/cedselementdetails.aspx?termid=17044</v>
      </c>
      <c r="N544" s="12" t="str">
        <f>HYPERLINK("https://ceds.ed.gov/elementComment.aspx?elementName=Classification of Instructional Program Use &amp;elementID=17044", "Click here to submit comment")</f>
        <v>Click here to submit comment</v>
      </c>
    </row>
    <row r="545" spans="1:14" ht="344.25" x14ac:dyDescent="0.25">
      <c r="A545" s="12" t="s">
        <v>2378</v>
      </c>
      <c r="B545" s="12" t="s">
        <v>2379</v>
      </c>
      <c r="C545" s="13" t="s">
        <v>2380</v>
      </c>
      <c r="D545" s="12" t="s">
        <v>2381</v>
      </c>
      <c r="E545" s="11"/>
      <c r="F545" s="11"/>
      <c r="G545" s="11"/>
      <c r="H545" s="11"/>
      <c r="I545" s="12" t="s">
        <v>2382</v>
      </c>
      <c r="J545" s="12" t="s">
        <v>2383</v>
      </c>
      <c r="K545" s="12" t="s">
        <v>2384</v>
      </c>
      <c r="L545" s="12" t="s">
        <v>225</v>
      </c>
      <c r="M545" s="12" t="str">
        <f>HYPERLINK("https://ceds.ed.gov/cedselementdetails.aspx?termid=17045")</f>
        <v>https://ceds.ed.gov/cedselementdetails.aspx?termid=17045</v>
      </c>
      <c r="N545" s="12" t="str">
        <f>HYPERLINK("https://ceds.ed.gov/elementComment.aspx?elementName=Classification of Instructional Program Version &amp;elementID=17045", "Click here to submit comment")</f>
        <v>Click here to submit comment</v>
      </c>
    </row>
    <row r="546" spans="1:14" ht="76.5" x14ac:dyDescent="0.25">
      <c r="A546" s="15" t="s">
        <v>2385</v>
      </c>
      <c r="B546" s="15" t="s">
        <v>2386</v>
      </c>
      <c r="C546" s="15" t="s">
        <v>37</v>
      </c>
      <c r="D546" s="15" t="s">
        <v>2353</v>
      </c>
      <c r="E546" s="16"/>
      <c r="F546" s="15" t="s">
        <v>149</v>
      </c>
      <c r="G546" s="16"/>
      <c r="H546" s="12" t="s">
        <v>150</v>
      </c>
      <c r="I546" s="15" t="s">
        <v>2387</v>
      </c>
      <c r="J546" s="16"/>
      <c r="K546" s="15" t="s">
        <v>2388</v>
      </c>
      <c r="L546" s="16"/>
      <c r="M546" s="15" t="str">
        <f>HYPERLINK("https://ceds.ed.gov/cedselementdetails.aspx?termid=17507")</f>
        <v>https://ceds.ed.gov/cedselementdetails.aspx?termid=17507</v>
      </c>
      <c r="N546" s="15" t="str">
        <f>HYPERLINK("https://ceds.ed.gov/elementComment.aspx?elementName=Classroom Identifier &amp;elementID=17507", "Click here to submit comment")</f>
        <v>Click here to submit comment</v>
      </c>
    </row>
    <row r="547" spans="1:14" x14ac:dyDescent="0.25">
      <c r="A547" s="15"/>
      <c r="B547" s="15"/>
      <c r="C547" s="15"/>
      <c r="D547" s="15"/>
      <c r="E547" s="16"/>
      <c r="F547" s="15"/>
      <c r="G547" s="16"/>
      <c r="H547" s="12"/>
      <c r="I547" s="15"/>
      <c r="J547" s="16"/>
      <c r="K547" s="15"/>
      <c r="L547" s="16"/>
      <c r="M547" s="15"/>
      <c r="N547" s="15"/>
    </row>
    <row r="548" spans="1:14" ht="76.5" x14ac:dyDescent="0.25">
      <c r="A548" s="15"/>
      <c r="B548" s="15"/>
      <c r="C548" s="15"/>
      <c r="D548" s="15"/>
      <c r="E548" s="16"/>
      <c r="F548" s="15"/>
      <c r="G548" s="16"/>
      <c r="H548" s="12" t="s">
        <v>153</v>
      </c>
      <c r="I548" s="15"/>
      <c r="J548" s="16"/>
      <c r="K548" s="15"/>
      <c r="L548" s="16"/>
      <c r="M548" s="15"/>
      <c r="N548" s="15"/>
    </row>
    <row r="549" spans="1:14" ht="216.75" x14ac:dyDescent="0.25">
      <c r="A549" s="12" t="s">
        <v>2389</v>
      </c>
      <c r="B549" s="12" t="s">
        <v>2390</v>
      </c>
      <c r="C549" s="13" t="s">
        <v>2391</v>
      </c>
      <c r="D549" s="12" t="s">
        <v>2392</v>
      </c>
      <c r="E549" s="11"/>
      <c r="F549" s="11"/>
      <c r="G549" s="11"/>
      <c r="H549" s="11"/>
      <c r="I549" s="12" t="s">
        <v>2393</v>
      </c>
      <c r="J549" s="11"/>
      <c r="K549" s="12" t="s">
        <v>2394</v>
      </c>
      <c r="L549" s="11"/>
      <c r="M549" s="12" t="str">
        <f>HYPERLINK("https://ceds.ed.gov/cedselementdetails.aspx?termid=17615")</f>
        <v>https://ceds.ed.gov/cedselementdetails.aspx?termid=17615</v>
      </c>
      <c r="N549" s="12" t="str">
        <f>HYPERLINK("https://ceds.ed.gov/elementComment.aspx?elementName=Classroom Position Type &amp;elementID=17615", "Click here to submit comment")</f>
        <v>Click here to submit comment</v>
      </c>
    </row>
    <row r="550" spans="1:14" ht="25.5" x14ac:dyDescent="0.25">
      <c r="A550" s="12" t="s">
        <v>2395</v>
      </c>
      <c r="B550" s="12" t="s">
        <v>2396</v>
      </c>
      <c r="C550" s="12" t="s">
        <v>37</v>
      </c>
      <c r="D550" s="12" t="s">
        <v>69</v>
      </c>
      <c r="E550" s="11"/>
      <c r="F550" s="12" t="s">
        <v>97</v>
      </c>
      <c r="G550" s="11"/>
      <c r="H550" s="11"/>
      <c r="I550" s="12" t="s">
        <v>2397</v>
      </c>
      <c r="J550" s="11"/>
      <c r="K550" s="12" t="s">
        <v>2398</v>
      </c>
      <c r="L550" s="11"/>
      <c r="M550" s="12" t="str">
        <f>HYPERLINK("https://ceds.ed.gov/cedselementdetails.aspx?termid=17687")</f>
        <v>https://ceds.ed.gov/cedselementdetails.aspx?termid=17687</v>
      </c>
      <c r="N550" s="12" t="str">
        <f>HYPERLINK("https://ceds.ed.gov/elementComment.aspx?elementName=Cohort Description &amp;elementID=17687", "Click here to submit comment")</f>
        <v>Click here to submit comment</v>
      </c>
    </row>
    <row r="551" spans="1:14" ht="153" x14ac:dyDescent="0.25">
      <c r="A551" s="12" t="s">
        <v>2399</v>
      </c>
      <c r="B551" s="12" t="s">
        <v>2400</v>
      </c>
      <c r="C551" s="13" t="s">
        <v>2401</v>
      </c>
      <c r="D551" s="12" t="s">
        <v>2402</v>
      </c>
      <c r="E551" s="11"/>
      <c r="F551" s="11"/>
      <c r="G551" s="11"/>
      <c r="H551" s="11"/>
      <c r="I551" s="12" t="s">
        <v>2403</v>
      </c>
      <c r="J551" s="11"/>
      <c r="K551" s="12" t="s">
        <v>2404</v>
      </c>
      <c r="L551" s="12" t="s">
        <v>278</v>
      </c>
      <c r="M551" s="12" t="str">
        <f>HYPERLINK("https://ceds.ed.gov/cedselementdetails.aspx?termid=17106")</f>
        <v>https://ceds.ed.gov/cedselementdetails.aspx?termid=17106</v>
      </c>
      <c r="N551" s="12" t="str">
        <f>HYPERLINK("https://ceds.ed.gov/elementComment.aspx?elementName=Cohort Exclusion &amp;elementID=17106", "Click here to submit comment")</f>
        <v>Click here to submit comment</v>
      </c>
    </row>
    <row r="552" spans="1:14" ht="38.25" x14ac:dyDescent="0.25">
      <c r="A552" s="12" t="s">
        <v>2405</v>
      </c>
      <c r="B552" s="12" t="s">
        <v>2406</v>
      </c>
      <c r="C552" s="12" t="s">
        <v>37</v>
      </c>
      <c r="D552" s="12" t="s">
        <v>2407</v>
      </c>
      <c r="E552" s="11"/>
      <c r="F552" s="12" t="s">
        <v>2094</v>
      </c>
      <c r="G552" s="11"/>
      <c r="H552" s="11"/>
      <c r="I552" s="12" t="s">
        <v>2408</v>
      </c>
      <c r="J552" s="11"/>
      <c r="K552" s="12" t="s">
        <v>2409</v>
      </c>
      <c r="L552" s="12" t="s">
        <v>2410</v>
      </c>
      <c r="M552" s="12" t="str">
        <f>HYPERLINK("https://ceds.ed.gov/cedselementdetails.aspx?termid=17577")</f>
        <v>https://ceds.ed.gov/cedselementdetails.aspx?termid=17577</v>
      </c>
      <c r="N552" s="12" t="str">
        <f>HYPERLINK("https://ceds.ed.gov/elementComment.aspx?elementName=Cohort Graduation Year &amp;elementID=17577", "Click here to submit comment")</f>
        <v>Click here to submit comment</v>
      </c>
    </row>
    <row r="553" spans="1:14" ht="51" x14ac:dyDescent="0.25">
      <c r="A553" s="12" t="s">
        <v>2411</v>
      </c>
      <c r="B553" s="12" t="s">
        <v>2412</v>
      </c>
      <c r="C553" s="12" t="s">
        <v>37</v>
      </c>
      <c r="D553" s="12" t="s">
        <v>2413</v>
      </c>
      <c r="E553" s="11"/>
      <c r="F553" s="12" t="s">
        <v>2094</v>
      </c>
      <c r="G553" s="11"/>
      <c r="H553" s="11"/>
      <c r="I553" s="12" t="s">
        <v>2414</v>
      </c>
      <c r="J553" s="11"/>
      <c r="K553" s="12" t="s">
        <v>2415</v>
      </c>
      <c r="L553" s="12" t="s">
        <v>2232</v>
      </c>
      <c r="M553" s="12" t="str">
        <f>HYPERLINK("https://ceds.ed.gov/cedselementdetails.aspx?termid=17046")</f>
        <v>https://ceds.ed.gov/cedselementdetails.aspx?termid=17046</v>
      </c>
      <c r="N553" s="12" t="str">
        <f>HYPERLINK("https://ceds.ed.gov/elementComment.aspx?elementName=Cohort Year &amp;elementID=17046", "Click here to submit comment")</f>
        <v>Click here to submit comment</v>
      </c>
    </row>
    <row r="554" spans="1:14" ht="114.75" x14ac:dyDescent="0.25">
      <c r="A554" s="12" t="s">
        <v>2416</v>
      </c>
      <c r="B554" s="12" t="s">
        <v>2417</v>
      </c>
      <c r="C554" s="13" t="s">
        <v>2418</v>
      </c>
      <c r="D554" s="12" t="s">
        <v>2419</v>
      </c>
      <c r="E554" s="11"/>
      <c r="F554" s="11"/>
      <c r="G554" s="11"/>
      <c r="H554" s="11"/>
      <c r="I554" s="12" t="s">
        <v>2420</v>
      </c>
      <c r="J554" s="11"/>
      <c r="K554" s="12" t="s">
        <v>2421</v>
      </c>
      <c r="L554" s="11"/>
      <c r="M554" s="12" t="str">
        <f>HYPERLINK("https://ceds.ed.gov/cedselementdetails.aspx?termid=18614")</f>
        <v>https://ceds.ed.gov/cedselementdetails.aspx?termid=18614</v>
      </c>
      <c r="N554" s="12" t="str">
        <f>HYPERLINK("https://ceds.ed.gov/elementComment.aspx?elementName=Community-based Type &amp;elementID=18614", "Click here to submit comment")</f>
        <v>Click here to submit comment</v>
      </c>
    </row>
    <row r="555" spans="1:14" ht="25.5" x14ac:dyDescent="0.25">
      <c r="A555" s="12" t="s">
        <v>2422</v>
      </c>
      <c r="B555" s="12" t="s">
        <v>2423</v>
      </c>
      <c r="C555" s="12" t="s">
        <v>37</v>
      </c>
      <c r="D555" s="12" t="s">
        <v>2424</v>
      </c>
      <c r="E555" s="11"/>
      <c r="F555" s="12" t="s">
        <v>129</v>
      </c>
      <c r="G555" s="11"/>
      <c r="H555" s="11"/>
      <c r="I555" s="12" t="s">
        <v>2425</v>
      </c>
      <c r="J555" s="12" t="s">
        <v>2426</v>
      </c>
      <c r="K555" s="12" t="s">
        <v>2427</v>
      </c>
      <c r="L555" s="11"/>
      <c r="M555" s="12" t="str">
        <f>HYPERLINK("https://ceds.ed.gov/cedselementdetails.aspx?termid=18371")</f>
        <v>https://ceds.ed.gov/cedselementdetails.aspx?termid=18371</v>
      </c>
      <c r="N555" s="12" t="str">
        <f>HYPERLINK("https://ceds.ed.gov/elementComment.aspx?elementName=Competency Association Connection Citation &amp;elementID=18371", "Click here to submit comment")</f>
        <v>Click here to submit comment</v>
      </c>
    </row>
    <row r="556" spans="1:14" ht="38.25" x14ac:dyDescent="0.25">
      <c r="A556" s="12" t="s">
        <v>2428</v>
      </c>
      <c r="B556" s="12" t="s">
        <v>2429</v>
      </c>
      <c r="C556" s="12" t="s">
        <v>37</v>
      </c>
      <c r="D556" s="12" t="s">
        <v>2424</v>
      </c>
      <c r="E556" s="11"/>
      <c r="F556" s="12" t="s">
        <v>97</v>
      </c>
      <c r="G556" s="11"/>
      <c r="H556" s="11"/>
      <c r="I556" s="12" t="s">
        <v>2430</v>
      </c>
      <c r="J556" s="12" t="s">
        <v>2431</v>
      </c>
      <c r="K556" s="12" t="s">
        <v>2432</v>
      </c>
      <c r="L556" s="11"/>
      <c r="M556" s="12" t="str">
        <f>HYPERLINK("https://ceds.ed.gov/cedselementdetails.aspx?termid=18372")</f>
        <v>https://ceds.ed.gov/cedselementdetails.aspx?termid=18372</v>
      </c>
      <c r="N556" s="12" t="str">
        <f>HYPERLINK("https://ceds.ed.gov/elementComment.aspx?elementName=Competency Association Destination Node Name &amp;elementID=18372", "Click here to submit comment")</f>
        <v>Click here to submit comment</v>
      </c>
    </row>
    <row r="557" spans="1:14" ht="38.25" x14ac:dyDescent="0.25">
      <c r="A557" s="12" t="s">
        <v>2433</v>
      </c>
      <c r="B557" s="12" t="s">
        <v>2434</v>
      </c>
      <c r="C557" s="12" t="s">
        <v>37</v>
      </c>
      <c r="D557" s="12" t="s">
        <v>2424</v>
      </c>
      <c r="E557" s="11"/>
      <c r="F557" s="12" t="s">
        <v>57</v>
      </c>
      <c r="G557" s="11"/>
      <c r="H557" s="11"/>
      <c r="I557" s="12" t="s">
        <v>2435</v>
      </c>
      <c r="J557" s="12" t="s">
        <v>2436</v>
      </c>
      <c r="K557" s="12" t="s">
        <v>2437</v>
      </c>
      <c r="L557" s="11"/>
      <c r="M557" s="12" t="str">
        <f>HYPERLINK("https://ceds.ed.gov/cedselementdetails.aspx?termid=18373")</f>
        <v>https://ceds.ed.gov/cedselementdetails.aspx?termid=18373</v>
      </c>
      <c r="N557" s="12" t="str">
        <f>HYPERLINK("https://ceds.ed.gov/elementComment.aspx?elementName=Competency Association Destination Node URI &amp;elementID=18373", "Click here to submit comment")</f>
        <v>Click here to submit comment</v>
      </c>
    </row>
    <row r="558" spans="1:14" ht="51" x14ac:dyDescent="0.25">
      <c r="A558" s="12" t="s">
        <v>2438</v>
      </c>
      <c r="B558" s="12" t="s">
        <v>2439</v>
      </c>
      <c r="C558" s="12" t="s">
        <v>37</v>
      </c>
      <c r="D558" s="12" t="s">
        <v>2440</v>
      </c>
      <c r="E558" s="11"/>
      <c r="F558" s="12" t="s">
        <v>57</v>
      </c>
      <c r="G558" s="11"/>
      <c r="H558" s="11"/>
      <c r="I558" s="12" t="s">
        <v>2441</v>
      </c>
      <c r="J558" s="12" t="s">
        <v>2442</v>
      </c>
      <c r="K558" s="12" t="s">
        <v>2443</v>
      </c>
      <c r="L558" s="11"/>
      <c r="M558" s="12" t="str">
        <f>HYPERLINK("https://ceds.ed.gov/cedselementdetails.aspx?termid=17871")</f>
        <v>https://ceds.ed.gov/cedselementdetails.aspx?termid=17871</v>
      </c>
      <c r="N558" s="12" t="str">
        <f>HYPERLINK("https://ceds.ed.gov/elementComment.aspx?elementName=Competency Association Identifier URI &amp;elementID=17871", "Click here to submit comment")</f>
        <v>Click here to submit comment</v>
      </c>
    </row>
    <row r="559" spans="1:14" ht="38.25" x14ac:dyDescent="0.25">
      <c r="A559" s="12" t="s">
        <v>2444</v>
      </c>
      <c r="B559" s="12" t="s">
        <v>2445</v>
      </c>
      <c r="C559" s="12" t="s">
        <v>37</v>
      </c>
      <c r="D559" s="12" t="s">
        <v>2424</v>
      </c>
      <c r="E559" s="11"/>
      <c r="F559" s="12" t="s">
        <v>97</v>
      </c>
      <c r="G559" s="11"/>
      <c r="H559" s="11"/>
      <c r="I559" s="12" t="s">
        <v>2446</v>
      </c>
      <c r="J559" s="12" t="s">
        <v>2447</v>
      </c>
      <c r="K559" s="12" t="s">
        <v>2448</v>
      </c>
      <c r="L559" s="11"/>
      <c r="M559" s="12" t="str">
        <f>HYPERLINK("https://ceds.ed.gov/cedselementdetails.aspx?termid=18374")</f>
        <v>https://ceds.ed.gov/cedselementdetails.aspx?termid=18374</v>
      </c>
      <c r="N559" s="12" t="str">
        <f>HYPERLINK("https://ceds.ed.gov/elementComment.aspx?elementName=Competency Association Origin Node Name &amp;elementID=18374", "Click here to submit comment")</f>
        <v>Click here to submit comment</v>
      </c>
    </row>
    <row r="560" spans="1:14" ht="38.25" x14ac:dyDescent="0.25">
      <c r="A560" s="12" t="s">
        <v>2449</v>
      </c>
      <c r="B560" s="12" t="s">
        <v>2450</v>
      </c>
      <c r="C560" s="12" t="s">
        <v>37</v>
      </c>
      <c r="D560" s="12" t="s">
        <v>2424</v>
      </c>
      <c r="E560" s="11"/>
      <c r="F560" s="12" t="s">
        <v>57</v>
      </c>
      <c r="G560" s="11"/>
      <c r="H560" s="11"/>
      <c r="I560" s="12" t="s">
        <v>2451</v>
      </c>
      <c r="J560" s="12" t="s">
        <v>2452</v>
      </c>
      <c r="K560" s="12" t="s">
        <v>2453</v>
      </c>
      <c r="L560" s="11"/>
      <c r="M560" s="12" t="str">
        <f>HYPERLINK("https://ceds.ed.gov/cedselementdetails.aspx?termid=18375")</f>
        <v>https://ceds.ed.gov/cedselementdetails.aspx?termid=18375</v>
      </c>
      <c r="N560" s="12" t="str">
        <f>HYPERLINK("https://ceds.ed.gov/elementComment.aspx?elementName=Competency Association Origin Node URI &amp;elementID=18375", "Click here to submit comment")</f>
        <v>Click here to submit comment</v>
      </c>
    </row>
    <row r="561" spans="1:14" ht="237" customHeight="1" x14ac:dyDescent="0.25">
      <c r="A561" s="15" t="s">
        <v>2454</v>
      </c>
      <c r="B561" s="15" t="s">
        <v>2455</v>
      </c>
      <c r="C561" s="17" t="s">
        <v>2456</v>
      </c>
      <c r="D561" s="15" t="s">
        <v>2440</v>
      </c>
      <c r="E561" s="16"/>
      <c r="F561" s="16"/>
      <c r="G561" s="16"/>
      <c r="H561" s="12" t="s">
        <v>2457</v>
      </c>
      <c r="I561" s="15" t="s">
        <v>2458</v>
      </c>
      <c r="J561" s="15" t="s">
        <v>2459</v>
      </c>
      <c r="K561" s="15" t="s">
        <v>2460</v>
      </c>
      <c r="L561" s="16"/>
      <c r="M561" s="15" t="str">
        <f>HYPERLINK("https://ceds.ed.gov/cedselementdetails.aspx?termid=17869")</f>
        <v>https://ceds.ed.gov/cedselementdetails.aspx?termid=17869</v>
      </c>
      <c r="N561" s="15" t="str">
        <f>HYPERLINK("https://ceds.ed.gov/elementComment.aspx?elementName=Competency Association Type &amp;elementID=17869", "Click here to submit comment")</f>
        <v>Click here to submit comment</v>
      </c>
    </row>
    <row r="562" spans="1:14" x14ac:dyDescent="0.25">
      <c r="A562" s="15"/>
      <c r="B562" s="15"/>
      <c r="C562" s="15"/>
      <c r="D562" s="15"/>
      <c r="E562" s="16"/>
      <c r="F562" s="16"/>
      <c r="G562" s="16"/>
      <c r="H562" s="12"/>
      <c r="I562" s="15"/>
      <c r="J562" s="15"/>
      <c r="K562" s="15"/>
      <c r="L562" s="16"/>
      <c r="M562" s="15"/>
      <c r="N562" s="15"/>
    </row>
    <row r="563" spans="1:14" x14ac:dyDescent="0.25">
      <c r="A563" s="15"/>
      <c r="B563" s="15"/>
      <c r="C563" s="15"/>
      <c r="D563" s="15"/>
      <c r="E563" s="16"/>
      <c r="F563" s="16"/>
      <c r="G563" s="16"/>
      <c r="H563" s="12"/>
      <c r="I563" s="15"/>
      <c r="J563" s="15"/>
      <c r="K563" s="15"/>
      <c r="L563" s="16"/>
      <c r="M563" s="15"/>
      <c r="N563" s="15"/>
    </row>
    <row r="564" spans="1:14" ht="102" x14ac:dyDescent="0.25">
      <c r="A564" s="15"/>
      <c r="B564" s="15"/>
      <c r="C564" s="15"/>
      <c r="D564" s="15"/>
      <c r="E564" s="16"/>
      <c r="F564" s="16"/>
      <c r="G564" s="16"/>
      <c r="H564" s="12" t="s">
        <v>2461</v>
      </c>
      <c r="I564" s="15"/>
      <c r="J564" s="15"/>
      <c r="K564" s="15"/>
      <c r="L564" s="16"/>
      <c r="M564" s="15"/>
      <c r="N564" s="15"/>
    </row>
    <row r="565" spans="1:14" ht="102" x14ac:dyDescent="0.25">
      <c r="A565" s="12" t="s">
        <v>2462</v>
      </c>
      <c r="B565" s="12" t="s">
        <v>2463</v>
      </c>
      <c r="C565" s="12" t="s">
        <v>37</v>
      </c>
      <c r="D565" s="12" t="s">
        <v>2424</v>
      </c>
      <c r="E565" s="11"/>
      <c r="F565" s="12" t="s">
        <v>2464</v>
      </c>
      <c r="G565" s="11"/>
      <c r="H565" s="12" t="s">
        <v>2465</v>
      </c>
      <c r="I565" s="12" t="s">
        <v>2466</v>
      </c>
      <c r="J565" s="12" t="s">
        <v>2467</v>
      </c>
      <c r="K565" s="12" t="s">
        <v>2468</v>
      </c>
      <c r="L565" s="11"/>
      <c r="M565" s="12" t="str">
        <f>HYPERLINK("https://ceds.ed.gov/cedselementdetails.aspx?termid=18376")</f>
        <v>https://ceds.ed.gov/cedselementdetails.aspx?termid=18376</v>
      </c>
      <c r="N565" s="12" t="str">
        <f>HYPERLINK("https://ceds.ed.gov/elementComment.aspx?elementName=Competency Association Weight &amp;elementID=18376", "Click here to submit comment")</f>
        <v>Click here to submit comment</v>
      </c>
    </row>
    <row r="566" spans="1:14" ht="51" x14ac:dyDescent="0.25">
      <c r="A566" s="12" t="s">
        <v>2469</v>
      </c>
      <c r="B566" s="12" t="s">
        <v>2470</v>
      </c>
      <c r="C566" s="13" t="s">
        <v>2471</v>
      </c>
      <c r="D566" s="12" t="s">
        <v>2472</v>
      </c>
      <c r="E566" s="11"/>
      <c r="F566" s="11"/>
      <c r="G566" s="11"/>
      <c r="H566" s="11"/>
      <c r="I566" s="12" t="s">
        <v>2473</v>
      </c>
      <c r="J566" s="12" t="s">
        <v>2474</v>
      </c>
      <c r="K566" s="12" t="s">
        <v>2475</v>
      </c>
      <c r="L566" s="11"/>
      <c r="M566" s="12" t="str">
        <f>HYPERLINK("https://ceds.ed.gov/cedselementdetails.aspx?termid=17875")</f>
        <v>https://ceds.ed.gov/cedselementdetails.aspx?termid=17875</v>
      </c>
      <c r="N566" s="12" t="str">
        <f>HYPERLINK("https://ceds.ed.gov/elementComment.aspx?elementName=Competency Definition Blooms Taxonomy Domain &amp;elementID=17875", "Click here to submit comment")</f>
        <v>Click here to submit comment</v>
      </c>
    </row>
    <row r="567" spans="1:14" ht="89.25" x14ac:dyDescent="0.25">
      <c r="A567" s="12" t="s">
        <v>2476</v>
      </c>
      <c r="B567" s="12" t="s">
        <v>2477</v>
      </c>
      <c r="C567" s="12" t="s">
        <v>37</v>
      </c>
      <c r="D567" s="12" t="s">
        <v>2478</v>
      </c>
      <c r="E567" s="11"/>
      <c r="F567" s="12" t="s">
        <v>97</v>
      </c>
      <c r="G567" s="11"/>
      <c r="H567" s="12" t="s">
        <v>2479</v>
      </c>
      <c r="I567" s="12" t="s">
        <v>2480</v>
      </c>
      <c r="J567" s="12" t="s">
        <v>2481</v>
      </c>
      <c r="K567" s="12" t="s">
        <v>2482</v>
      </c>
      <c r="L567" s="11"/>
      <c r="M567" s="12" t="str">
        <f>HYPERLINK("https://ceds.ed.gov/cedselementdetails.aspx?termid=17669")</f>
        <v>https://ceds.ed.gov/cedselementdetails.aspx?termid=17669</v>
      </c>
      <c r="N567" s="12" t="str">
        <f>HYPERLINK("https://ceds.ed.gov/elementComment.aspx?elementName=Competency Definition Code &amp;elementID=17669", "Click here to submit comment")</f>
        <v>Click here to submit comment</v>
      </c>
    </row>
    <row r="568" spans="1:14" ht="38.25" x14ac:dyDescent="0.25">
      <c r="A568" s="12" t="s">
        <v>2483</v>
      </c>
      <c r="B568" s="12" t="s">
        <v>2484</v>
      </c>
      <c r="C568" s="12" t="s">
        <v>37</v>
      </c>
      <c r="D568" s="12" t="s">
        <v>2472</v>
      </c>
      <c r="E568" s="11"/>
      <c r="F568" s="12" t="s">
        <v>129</v>
      </c>
      <c r="G568" s="11"/>
      <c r="H568" s="11"/>
      <c r="I568" s="12" t="s">
        <v>2485</v>
      </c>
      <c r="J568" s="12" t="s">
        <v>2486</v>
      </c>
      <c r="K568" s="12" t="s">
        <v>2487</v>
      </c>
      <c r="L568" s="11"/>
      <c r="M568" s="12" t="str">
        <f>HYPERLINK("https://ceds.ed.gov/cedselementdetails.aspx?termid=17887")</f>
        <v>https://ceds.ed.gov/cedselementdetails.aspx?termid=17887</v>
      </c>
      <c r="N568" s="12" t="str">
        <f>HYPERLINK("https://ceds.ed.gov/elementComment.aspx?elementName=Competency Definition Concept Keyword &amp;elementID=17887", "Click here to submit comment")</f>
        <v>Click here to submit comment</v>
      </c>
    </row>
    <row r="569" spans="1:14" ht="51" x14ac:dyDescent="0.25">
      <c r="A569" s="12" t="s">
        <v>2488</v>
      </c>
      <c r="B569" s="12" t="s">
        <v>2489</v>
      </c>
      <c r="C569" s="12" t="s">
        <v>37</v>
      </c>
      <c r="D569" s="12" t="s">
        <v>2472</v>
      </c>
      <c r="E569" s="11"/>
      <c r="F569" s="12" t="s">
        <v>97</v>
      </c>
      <c r="G569" s="11"/>
      <c r="H569" s="11"/>
      <c r="I569" s="12" t="s">
        <v>2490</v>
      </c>
      <c r="J569" s="12" t="s">
        <v>2491</v>
      </c>
      <c r="K569" s="12" t="s">
        <v>2492</v>
      </c>
      <c r="L569" s="11"/>
      <c r="M569" s="12" t="str">
        <f>HYPERLINK("https://ceds.ed.gov/cedselementdetails.aspx?termid=17888")</f>
        <v>https://ceds.ed.gov/cedselementdetails.aspx?termid=17888</v>
      </c>
      <c r="N569" s="12" t="str">
        <f>HYPERLINK("https://ceds.ed.gov/elementComment.aspx?elementName=Competency Definition Concept Term &amp;elementID=17888", "Click here to submit comment")</f>
        <v>Click here to submit comment</v>
      </c>
    </row>
    <row r="570" spans="1:14" ht="178.5" x14ac:dyDescent="0.25">
      <c r="A570" s="12" t="s">
        <v>2493</v>
      </c>
      <c r="B570" s="12" t="s">
        <v>2494</v>
      </c>
      <c r="C570" s="12" t="s">
        <v>24</v>
      </c>
      <c r="D570" s="12" t="s">
        <v>2472</v>
      </c>
      <c r="E570" s="11"/>
      <c r="F570" s="11"/>
      <c r="G570" s="11"/>
      <c r="H570" s="12" t="s">
        <v>2495</v>
      </c>
      <c r="I570" s="12" t="s">
        <v>2496</v>
      </c>
      <c r="J570" s="12" t="s">
        <v>2497</v>
      </c>
      <c r="K570" s="12" t="s">
        <v>2498</v>
      </c>
      <c r="L570" s="11"/>
      <c r="M570" s="12" t="str">
        <f>HYPERLINK("https://ceds.ed.gov/cedselementdetails.aspx?termid=18499")</f>
        <v>https://ceds.ed.gov/cedselementdetails.aspx?termid=18499</v>
      </c>
      <c r="N570" s="12" t="str">
        <f>HYPERLINK("https://ceds.ed.gov/elementComment.aspx?elementName=Competency Definition Current Version Indicator &amp;elementID=18499", "Click here to submit comment")</f>
        <v>Click here to submit comment</v>
      </c>
    </row>
    <row r="571" spans="1:14" ht="409.5" x14ac:dyDescent="0.25">
      <c r="A571" s="12" t="s">
        <v>2499</v>
      </c>
      <c r="B571" s="12" t="s">
        <v>2500</v>
      </c>
      <c r="C571" s="13" t="s">
        <v>2501</v>
      </c>
      <c r="D571" s="12" t="s">
        <v>2472</v>
      </c>
      <c r="E571" s="11"/>
      <c r="F571" s="11"/>
      <c r="G571" s="11"/>
      <c r="H571" s="12" t="s">
        <v>2502</v>
      </c>
      <c r="I571" s="12" t="s">
        <v>2503</v>
      </c>
      <c r="J571" s="12" t="s">
        <v>2504</v>
      </c>
      <c r="K571" s="12" t="s">
        <v>2505</v>
      </c>
      <c r="L571" s="11"/>
      <c r="M571" s="12" t="str">
        <f>HYPERLINK("https://ceds.ed.gov/cedselementdetails.aspx?termid=17701")</f>
        <v>https://ceds.ed.gov/cedselementdetails.aspx?termid=17701</v>
      </c>
      <c r="N571" s="12" t="str">
        <f>HYPERLINK("https://ceds.ed.gov/elementComment.aspx?elementName=Competency Definition Education Level &amp;elementID=17701", "Click here to submit comment")</f>
        <v>Click here to submit comment</v>
      </c>
    </row>
    <row r="572" spans="1:14" ht="76.5" x14ac:dyDescent="0.25">
      <c r="A572" s="15" t="s">
        <v>2506</v>
      </c>
      <c r="B572" s="15" t="s">
        <v>2507</v>
      </c>
      <c r="C572" s="15" t="s">
        <v>37</v>
      </c>
      <c r="D572" s="15" t="s">
        <v>2472</v>
      </c>
      <c r="E572" s="16"/>
      <c r="F572" s="15" t="s">
        <v>149</v>
      </c>
      <c r="G572" s="16"/>
      <c r="H572" s="12" t="s">
        <v>150</v>
      </c>
      <c r="I572" s="15" t="s">
        <v>2508</v>
      </c>
      <c r="J572" s="15" t="s">
        <v>2509</v>
      </c>
      <c r="K572" s="15" t="s">
        <v>2510</v>
      </c>
      <c r="L572" s="15" t="s">
        <v>908</v>
      </c>
      <c r="M572" s="15" t="str">
        <f>HYPERLINK("https://ceds.ed.gov/cedselementdetails.aspx?termid=17666")</f>
        <v>https://ceds.ed.gov/cedselementdetails.aspx?termid=17666</v>
      </c>
      <c r="N572" s="15" t="str">
        <f>HYPERLINK("https://ceds.ed.gov/elementComment.aspx?elementName=Competency Definition Identifier &amp;elementID=17666", "Click here to submit comment")</f>
        <v>Click here to submit comment</v>
      </c>
    </row>
    <row r="573" spans="1:14" x14ac:dyDescent="0.25">
      <c r="A573" s="15"/>
      <c r="B573" s="15"/>
      <c r="C573" s="15"/>
      <c r="D573" s="15"/>
      <c r="E573" s="16"/>
      <c r="F573" s="15"/>
      <c r="G573" s="16"/>
      <c r="H573" s="12"/>
      <c r="I573" s="15"/>
      <c r="J573" s="15"/>
      <c r="K573" s="15"/>
      <c r="L573" s="15"/>
      <c r="M573" s="15"/>
      <c r="N573" s="15"/>
    </row>
    <row r="574" spans="1:14" ht="76.5" x14ac:dyDescent="0.25">
      <c r="A574" s="15"/>
      <c r="B574" s="15"/>
      <c r="C574" s="15"/>
      <c r="D574" s="15"/>
      <c r="E574" s="16"/>
      <c r="F574" s="15"/>
      <c r="G574" s="16"/>
      <c r="H574" s="12" t="s">
        <v>153</v>
      </c>
      <c r="I574" s="15"/>
      <c r="J574" s="15"/>
      <c r="K574" s="15"/>
      <c r="L574" s="15"/>
      <c r="M574" s="15"/>
      <c r="N574" s="15"/>
    </row>
    <row r="575" spans="1:14" ht="90" x14ac:dyDescent="0.25">
      <c r="A575" s="12" t="s">
        <v>2511</v>
      </c>
      <c r="B575" s="12" t="s">
        <v>2512</v>
      </c>
      <c r="C575" s="12" t="s">
        <v>8527</v>
      </c>
      <c r="D575" s="12" t="s">
        <v>2472</v>
      </c>
      <c r="E575" s="12" t="s">
        <v>195</v>
      </c>
      <c r="F575" s="11"/>
      <c r="G575" s="12" t="s">
        <v>1086</v>
      </c>
      <c r="H575" s="6" t="s">
        <v>1087</v>
      </c>
      <c r="I575" s="12" t="s">
        <v>2513</v>
      </c>
      <c r="J575" s="12" t="s">
        <v>2514</v>
      </c>
      <c r="K575" s="12" t="s">
        <v>2515</v>
      </c>
      <c r="L575" s="11"/>
      <c r="M575" s="12" t="str">
        <f>HYPERLINK("https://ceds.ed.gov/cedselementdetails.aspx?termid=17881")</f>
        <v>https://ceds.ed.gov/cedselementdetails.aspx?termid=17881</v>
      </c>
      <c r="N575" s="12" t="str">
        <f>HYPERLINK("https://ceds.ed.gov/elementComment.aspx?elementName=Competency Definition Language &amp;elementID=17881", "Click here to submit comment")</f>
        <v>Click here to submit comment</v>
      </c>
    </row>
    <row r="576" spans="1:14" ht="51" x14ac:dyDescent="0.25">
      <c r="A576" s="12" t="s">
        <v>2516</v>
      </c>
      <c r="B576" s="12" t="s">
        <v>2517</v>
      </c>
      <c r="C576" s="12" t="s">
        <v>37</v>
      </c>
      <c r="D576" s="12" t="s">
        <v>2472</v>
      </c>
      <c r="E576" s="11"/>
      <c r="F576" s="12" t="s">
        <v>382</v>
      </c>
      <c r="G576" s="11"/>
      <c r="H576" s="11"/>
      <c r="I576" s="12" t="s">
        <v>2518</v>
      </c>
      <c r="J576" s="12" t="s">
        <v>2519</v>
      </c>
      <c r="K576" s="12" t="s">
        <v>2520</v>
      </c>
      <c r="L576" s="11"/>
      <c r="M576" s="12" t="str">
        <f>HYPERLINK("https://ceds.ed.gov/cedselementdetails.aspx?termid=17883")</f>
        <v>https://ceds.ed.gov/cedselementdetails.aspx?termid=17883</v>
      </c>
      <c r="N576" s="12" t="str">
        <f>HYPERLINK("https://ceds.ed.gov/elementComment.aspx?elementName=Competency Definition License &amp;elementID=17883", "Click here to submit comment")</f>
        <v>Click here to submit comment</v>
      </c>
    </row>
    <row r="577" spans="1:14" ht="114.75" x14ac:dyDescent="0.25">
      <c r="A577" s="12" t="s">
        <v>2521</v>
      </c>
      <c r="B577" s="12" t="s">
        <v>2522</v>
      </c>
      <c r="C577" s="13" t="s">
        <v>2523</v>
      </c>
      <c r="D577" s="12" t="s">
        <v>2472</v>
      </c>
      <c r="E577" s="11"/>
      <c r="F577" s="11"/>
      <c r="G577" s="11"/>
      <c r="H577" s="11"/>
      <c r="I577" s="12" t="s">
        <v>2524</v>
      </c>
      <c r="J577" s="12" t="s">
        <v>2525</v>
      </c>
      <c r="K577" s="12" t="s">
        <v>2526</v>
      </c>
      <c r="L577" s="11"/>
      <c r="M577" s="12" t="str">
        <f>HYPERLINK("https://ceds.ed.gov/cedselementdetails.aspx?termid=17876")</f>
        <v>https://ceds.ed.gov/cedselementdetails.aspx?termid=17876</v>
      </c>
      <c r="N577" s="12" t="str">
        <f>HYPERLINK("https://ceds.ed.gov/elementComment.aspx?elementName=Competency Definition Multiple Intelligence &amp;elementID=17876", "Click here to submit comment")</f>
        <v>Click here to submit comment</v>
      </c>
    </row>
    <row r="578" spans="1:14" ht="76.5" x14ac:dyDescent="0.25">
      <c r="A578" s="12" t="s">
        <v>2527</v>
      </c>
      <c r="B578" s="12" t="s">
        <v>2528</v>
      </c>
      <c r="C578" s="13" t="s">
        <v>2529</v>
      </c>
      <c r="D578" s="12" t="s">
        <v>2472</v>
      </c>
      <c r="E578" s="11"/>
      <c r="F578" s="11"/>
      <c r="G578" s="11"/>
      <c r="H578" s="11"/>
      <c r="I578" s="12" t="s">
        <v>2530</v>
      </c>
      <c r="J578" s="12" t="s">
        <v>2531</v>
      </c>
      <c r="K578" s="12" t="s">
        <v>2532</v>
      </c>
      <c r="L578" s="11"/>
      <c r="M578" s="12" t="str">
        <f>HYPERLINK("https://ceds.ed.gov/cedselementdetails.aspx?termid=18377")</f>
        <v>https://ceds.ed.gov/cedselementdetails.aspx?termid=18377</v>
      </c>
      <c r="N578" s="12" t="str">
        <f>HYPERLINK("https://ceds.ed.gov/elementComment.aspx?elementName=Competency Definition Node Accessibility Profile &amp;elementID=18377", "Click here to submit comment")</f>
        <v>Click here to submit comment</v>
      </c>
    </row>
    <row r="579" spans="1:14" ht="25.5" x14ac:dyDescent="0.25">
      <c r="A579" s="12" t="s">
        <v>2533</v>
      </c>
      <c r="B579" s="12" t="s">
        <v>2534</v>
      </c>
      <c r="C579" s="12" t="s">
        <v>37</v>
      </c>
      <c r="D579" s="12" t="s">
        <v>2472</v>
      </c>
      <c r="E579" s="11"/>
      <c r="F579" s="12" t="s">
        <v>382</v>
      </c>
      <c r="G579" s="11"/>
      <c r="H579" s="11"/>
      <c r="I579" s="12" t="s">
        <v>2535</v>
      </c>
      <c r="J579" s="12" t="s">
        <v>2536</v>
      </c>
      <c r="K579" s="12" t="s">
        <v>2537</v>
      </c>
      <c r="L579" s="11"/>
      <c r="M579" s="12" t="str">
        <f>HYPERLINK("https://ceds.ed.gov/cedselementdetails.aspx?termid=18215")</f>
        <v>https://ceds.ed.gov/cedselementdetails.aspx?termid=18215</v>
      </c>
      <c r="N579" s="12" t="str">
        <f>HYPERLINK("https://ceds.ed.gov/elementComment.aspx?elementName=Competency Definition Notes &amp;elementID=18215", "Click here to submit comment")</f>
        <v>Click here to submit comment</v>
      </c>
    </row>
    <row r="580" spans="1:14" ht="38.25" x14ac:dyDescent="0.25">
      <c r="A580" s="12" t="s">
        <v>2538</v>
      </c>
      <c r="B580" s="12" t="s">
        <v>2539</v>
      </c>
      <c r="C580" s="12" t="s">
        <v>37</v>
      </c>
      <c r="D580" s="12" t="s">
        <v>2472</v>
      </c>
      <c r="E580" s="11"/>
      <c r="F580" s="12" t="s">
        <v>97</v>
      </c>
      <c r="G580" s="11"/>
      <c r="H580" s="11"/>
      <c r="I580" s="12" t="s">
        <v>2540</v>
      </c>
      <c r="J580" s="12" t="s">
        <v>2541</v>
      </c>
      <c r="K580" s="12" t="s">
        <v>2542</v>
      </c>
      <c r="L580" s="11"/>
      <c r="M580" s="12" t="str">
        <f>HYPERLINK("https://ceds.ed.gov/cedselementdetails.aspx?termid=17873")</f>
        <v>https://ceds.ed.gov/cedselementdetails.aspx?termid=17873</v>
      </c>
      <c r="N580" s="12" t="str">
        <f>HYPERLINK("https://ceds.ed.gov/elementComment.aspx?elementName=Competency Definition Parent Code &amp;elementID=17873", "Click here to submit comment")</f>
        <v>Click here to submit comment</v>
      </c>
    </row>
    <row r="581" spans="1:14" ht="76.5" x14ac:dyDescent="0.25">
      <c r="A581" s="15" t="s">
        <v>2543</v>
      </c>
      <c r="B581" s="15" t="s">
        <v>2544</v>
      </c>
      <c r="C581" s="15" t="s">
        <v>37</v>
      </c>
      <c r="D581" s="15" t="s">
        <v>2472</v>
      </c>
      <c r="E581" s="16"/>
      <c r="F581" s="15" t="s">
        <v>149</v>
      </c>
      <c r="G581" s="16"/>
      <c r="H581" s="12" t="s">
        <v>150</v>
      </c>
      <c r="I581" s="15" t="s">
        <v>2545</v>
      </c>
      <c r="J581" s="15" t="s">
        <v>2546</v>
      </c>
      <c r="K581" s="15" t="s">
        <v>2547</v>
      </c>
      <c r="L581" s="16"/>
      <c r="M581" s="15" t="str">
        <f>HYPERLINK("https://ceds.ed.gov/cedselementdetails.aspx?termid=17872")</f>
        <v>https://ceds.ed.gov/cedselementdetails.aspx?termid=17872</v>
      </c>
      <c r="N581" s="15" t="str">
        <f>HYPERLINK("https://ceds.ed.gov/elementComment.aspx?elementName=Competency Definition Parent Identifier &amp;elementID=17872", "Click here to submit comment")</f>
        <v>Click here to submit comment</v>
      </c>
    </row>
    <row r="582" spans="1:14" x14ac:dyDescent="0.25">
      <c r="A582" s="15"/>
      <c r="B582" s="15"/>
      <c r="C582" s="15"/>
      <c r="D582" s="15"/>
      <c r="E582" s="16"/>
      <c r="F582" s="15"/>
      <c r="G582" s="16"/>
      <c r="H582" s="12"/>
      <c r="I582" s="15"/>
      <c r="J582" s="15"/>
      <c r="K582" s="15"/>
      <c r="L582" s="16"/>
      <c r="M582" s="15"/>
      <c r="N582" s="15"/>
    </row>
    <row r="583" spans="1:14" ht="76.5" x14ac:dyDescent="0.25">
      <c r="A583" s="15"/>
      <c r="B583" s="15"/>
      <c r="C583" s="15"/>
      <c r="D583" s="15"/>
      <c r="E583" s="16"/>
      <c r="F583" s="15"/>
      <c r="G583" s="16"/>
      <c r="H583" s="12" t="s">
        <v>153</v>
      </c>
      <c r="I583" s="15"/>
      <c r="J583" s="15"/>
      <c r="K583" s="15"/>
      <c r="L583" s="16"/>
      <c r="M583" s="15"/>
      <c r="N583" s="15"/>
    </row>
    <row r="584" spans="1:14" ht="51" x14ac:dyDescent="0.25">
      <c r="A584" s="12" t="s">
        <v>2548</v>
      </c>
      <c r="B584" s="12" t="s">
        <v>2549</v>
      </c>
      <c r="C584" s="12" t="s">
        <v>37</v>
      </c>
      <c r="D584" s="12" t="s">
        <v>2472</v>
      </c>
      <c r="E584" s="11"/>
      <c r="F584" s="12" t="s">
        <v>57</v>
      </c>
      <c r="G584" s="11"/>
      <c r="H584" s="11"/>
      <c r="I584" s="12" t="s">
        <v>2550</v>
      </c>
      <c r="J584" s="12" t="s">
        <v>2551</v>
      </c>
      <c r="K584" s="12" t="s">
        <v>2552</v>
      </c>
      <c r="L584" s="11"/>
      <c r="M584" s="12" t="str">
        <f>HYPERLINK("https://ceds.ed.gov/cedselementdetails.aspx?termid=18078")</f>
        <v>https://ceds.ed.gov/cedselementdetails.aspx?termid=18078</v>
      </c>
      <c r="N584" s="12" t="str">
        <f>HYPERLINK("https://ceds.ed.gov/elementComment.aspx?elementName=Competency Definition Parent URL &amp;elementID=18078", "Click here to submit comment")</f>
        <v>Click here to submit comment</v>
      </c>
    </row>
    <row r="585" spans="1:14" ht="229.5" x14ac:dyDescent="0.25">
      <c r="A585" s="12" t="s">
        <v>2553</v>
      </c>
      <c r="B585" s="12" t="s">
        <v>2554</v>
      </c>
      <c r="C585" s="12" t="s">
        <v>37</v>
      </c>
      <c r="D585" s="12" t="s">
        <v>2472</v>
      </c>
      <c r="E585" s="11"/>
      <c r="F585" s="12" t="s">
        <v>149</v>
      </c>
      <c r="G585" s="11"/>
      <c r="H585" s="12" t="s">
        <v>2555</v>
      </c>
      <c r="I585" s="12" t="s">
        <v>2556</v>
      </c>
      <c r="J585" s="12" t="s">
        <v>2557</v>
      </c>
      <c r="K585" s="12" t="s">
        <v>2558</v>
      </c>
      <c r="L585" s="12" t="s">
        <v>908</v>
      </c>
      <c r="M585" s="12" t="str">
        <f>HYPERLINK("https://ceds.ed.gov/cedselementdetails.aspx?termid=17691")</f>
        <v>https://ceds.ed.gov/cedselementdetails.aspx?termid=17691</v>
      </c>
      <c r="N585" s="12" t="str">
        <f>HYPERLINK("https://ceds.ed.gov/elementComment.aspx?elementName=Competency Definition Prerequisite Identifier &amp;elementID=17691", "Click here to submit comment")</f>
        <v>Click here to submit comment</v>
      </c>
    </row>
    <row r="586" spans="1:14" ht="178.5" x14ac:dyDescent="0.25">
      <c r="A586" s="15" t="s">
        <v>2559</v>
      </c>
      <c r="B586" s="15" t="s">
        <v>2560</v>
      </c>
      <c r="C586" s="15" t="s">
        <v>37</v>
      </c>
      <c r="D586" s="15" t="s">
        <v>2472</v>
      </c>
      <c r="E586" s="16"/>
      <c r="F586" s="15" t="s">
        <v>149</v>
      </c>
      <c r="G586" s="16"/>
      <c r="H586" s="12" t="s">
        <v>2495</v>
      </c>
      <c r="I586" s="15" t="s">
        <v>2561</v>
      </c>
      <c r="J586" s="15" t="s">
        <v>2562</v>
      </c>
      <c r="K586" s="15" t="s">
        <v>2563</v>
      </c>
      <c r="L586" s="16"/>
      <c r="M586" s="15" t="str">
        <f>HYPERLINK("https://ceds.ed.gov/cedselementdetails.aspx?termid=18498")</f>
        <v>https://ceds.ed.gov/cedselementdetails.aspx?termid=18498</v>
      </c>
      <c r="N586" s="15" t="str">
        <f>HYPERLINK("https://ceds.ed.gov/elementComment.aspx?elementName=Competency Definition Previous Version Identifier &amp;elementID=18498", "Click here to submit comment")</f>
        <v>Click here to submit comment</v>
      </c>
    </row>
    <row r="587" spans="1:14" x14ac:dyDescent="0.25">
      <c r="A587" s="15"/>
      <c r="B587" s="15"/>
      <c r="C587" s="15"/>
      <c r="D587" s="15"/>
      <c r="E587" s="16"/>
      <c r="F587" s="15"/>
      <c r="G587" s="16"/>
      <c r="H587" s="11"/>
      <c r="I587" s="15"/>
      <c r="J587" s="15"/>
      <c r="K587" s="15"/>
      <c r="L587" s="16"/>
      <c r="M587" s="15"/>
      <c r="N587" s="15"/>
    </row>
    <row r="588" spans="1:14" x14ac:dyDescent="0.25">
      <c r="A588" s="15"/>
      <c r="B588" s="15"/>
      <c r="C588" s="15"/>
      <c r="D588" s="15"/>
      <c r="E588" s="16"/>
      <c r="F588" s="15"/>
      <c r="G588" s="16"/>
      <c r="H588" s="11"/>
      <c r="I588" s="15"/>
      <c r="J588" s="15"/>
      <c r="K588" s="15"/>
      <c r="L588" s="16"/>
      <c r="M588" s="15"/>
      <c r="N588" s="15"/>
    </row>
    <row r="589" spans="1:14" ht="76.5" x14ac:dyDescent="0.25">
      <c r="A589" s="15"/>
      <c r="B589" s="15"/>
      <c r="C589" s="15"/>
      <c r="D589" s="15"/>
      <c r="E589" s="16"/>
      <c r="F589" s="15"/>
      <c r="G589" s="16"/>
      <c r="H589" s="12" t="s">
        <v>150</v>
      </c>
      <c r="I589" s="15"/>
      <c r="J589" s="15"/>
      <c r="K589" s="15"/>
      <c r="L589" s="16"/>
      <c r="M589" s="15"/>
      <c r="N589" s="15"/>
    </row>
    <row r="590" spans="1:14" x14ac:dyDescent="0.25">
      <c r="A590" s="15"/>
      <c r="B590" s="15"/>
      <c r="C590" s="15"/>
      <c r="D590" s="15"/>
      <c r="E590" s="16"/>
      <c r="F590" s="15"/>
      <c r="G590" s="16"/>
      <c r="H590" s="12"/>
      <c r="I590" s="15"/>
      <c r="J590" s="15"/>
      <c r="K590" s="15"/>
      <c r="L590" s="16"/>
      <c r="M590" s="15"/>
      <c r="N590" s="15"/>
    </row>
    <row r="591" spans="1:14" x14ac:dyDescent="0.25">
      <c r="A591" s="15"/>
      <c r="B591" s="15"/>
      <c r="C591" s="15"/>
      <c r="D591" s="15"/>
      <c r="E591" s="16"/>
      <c r="F591" s="15"/>
      <c r="G591" s="16"/>
      <c r="H591" s="12"/>
      <c r="I591" s="15"/>
      <c r="J591" s="15"/>
      <c r="K591" s="15"/>
      <c r="L591" s="16"/>
      <c r="M591" s="15"/>
      <c r="N591" s="15"/>
    </row>
    <row r="592" spans="1:14" ht="76.5" x14ac:dyDescent="0.25">
      <c r="A592" s="15"/>
      <c r="B592" s="15"/>
      <c r="C592" s="15"/>
      <c r="D592" s="15"/>
      <c r="E592" s="16"/>
      <c r="F592" s="15"/>
      <c r="G592" s="16"/>
      <c r="H592" s="12" t="s">
        <v>153</v>
      </c>
      <c r="I592" s="15"/>
      <c r="J592" s="15"/>
      <c r="K592" s="15"/>
      <c r="L592" s="16"/>
      <c r="M592" s="15"/>
      <c r="N592" s="15"/>
    </row>
    <row r="593" spans="1:14" ht="63.75" x14ac:dyDescent="0.25">
      <c r="A593" s="12" t="s">
        <v>2564</v>
      </c>
      <c r="B593" s="12" t="s">
        <v>2565</v>
      </c>
      <c r="C593" s="12" t="s">
        <v>37</v>
      </c>
      <c r="D593" s="12" t="s">
        <v>2472</v>
      </c>
      <c r="E593" s="11"/>
      <c r="F593" s="12" t="s">
        <v>175</v>
      </c>
      <c r="G593" s="11"/>
      <c r="H593" s="12" t="s">
        <v>2566</v>
      </c>
      <c r="I593" s="12" t="s">
        <v>2567</v>
      </c>
      <c r="J593" s="12" t="s">
        <v>2568</v>
      </c>
      <c r="K593" s="12" t="s">
        <v>2569</v>
      </c>
      <c r="L593" s="11"/>
      <c r="M593" s="12" t="str">
        <f>HYPERLINK("https://ceds.ed.gov/cedselementdetails.aspx?termid=18549")</f>
        <v>https://ceds.ed.gov/cedselementdetails.aspx?termid=18549</v>
      </c>
      <c r="N593" s="12" t="str">
        <f>HYPERLINK("https://ceds.ed.gov/elementComment.aspx?elementName=Competency Definition Sequence &amp;elementID=18549", "Click here to submit comment")</f>
        <v>Click here to submit comment</v>
      </c>
    </row>
    <row r="594" spans="1:14" ht="38.25" x14ac:dyDescent="0.25">
      <c r="A594" s="12" t="s">
        <v>2570</v>
      </c>
      <c r="B594" s="12" t="s">
        <v>2571</v>
      </c>
      <c r="C594" s="12" t="s">
        <v>37</v>
      </c>
      <c r="D594" s="12" t="s">
        <v>2472</v>
      </c>
      <c r="E594" s="12" t="s">
        <v>195</v>
      </c>
      <c r="F594" s="12" t="s">
        <v>97</v>
      </c>
      <c r="G594" s="12" t="s">
        <v>2572</v>
      </c>
      <c r="H594" s="11"/>
      <c r="I594" s="12" t="s">
        <v>2573</v>
      </c>
      <c r="J594" s="12" t="s">
        <v>2574</v>
      </c>
      <c r="K594" s="12" t="s">
        <v>2575</v>
      </c>
      <c r="L594" s="11"/>
      <c r="M594" s="12" t="str">
        <f>HYPERLINK("https://ceds.ed.gov/cedselementdetails.aspx?termid=18378")</f>
        <v>https://ceds.ed.gov/cedselementdetails.aspx?termid=18378</v>
      </c>
      <c r="N594" s="12" t="str">
        <f>HYPERLINK("https://ceds.ed.gov/elementComment.aspx?elementName=Competency Definition Short Name &amp;elementID=18378", "Click here to submit comment")</f>
        <v>Click here to submit comment</v>
      </c>
    </row>
    <row r="595" spans="1:14" ht="165.75" x14ac:dyDescent="0.25">
      <c r="A595" s="12" t="s">
        <v>2576</v>
      </c>
      <c r="B595" s="12" t="s">
        <v>2577</v>
      </c>
      <c r="C595" s="12" t="s">
        <v>37</v>
      </c>
      <c r="D595" s="12" t="s">
        <v>2478</v>
      </c>
      <c r="E595" s="11"/>
      <c r="F595" s="12" t="s">
        <v>382</v>
      </c>
      <c r="G595" s="11"/>
      <c r="H595" s="12" t="s">
        <v>2578</v>
      </c>
      <c r="I595" s="12" t="s">
        <v>2579</v>
      </c>
      <c r="J595" s="12" t="s">
        <v>2580</v>
      </c>
      <c r="K595" s="12" t="s">
        <v>2581</v>
      </c>
      <c r="L595" s="12" t="s">
        <v>908</v>
      </c>
      <c r="M595" s="12" t="str">
        <f>HYPERLINK("https://ceds.ed.gov/cedselementdetails.aspx?termid=17667")</f>
        <v>https://ceds.ed.gov/cedselementdetails.aspx?termid=17667</v>
      </c>
      <c r="N595" s="12" t="str">
        <f>HYPERLINK("https://ceds.ed.gov/elementComment.aspx?elementName=Competency Definition Statement &amp;elementID=17667", "Click here to submit comment")</f>
        <v>Click here to submit comment</v>
      </c>
    </row>
    <row r="596" spans="1:14" ht="63.75" x14ac:dyDescent="0.25">
      <c r="A596" s="12" t="s">
        <v>2582</v>
      </c>
      <c r="B596" s="12" t="s">
        <v>2583</v>
      </c>
      <c r="C596" s="13" t="s">
        <v>2584</v>
      </c>
      <c r="D596" s="12" t="s">
        <v>2472</v>
      </c>
      <c r="E596" s="11"/>
      <c r="F596" s="11"/>
      <c r="G596" s="11"/>
      <c r="H596" s="11"/>
      <c r="I596" s="12" t="s">
        <v>2585</v>
      </c>
      <c r="J596" s="12" t="s">
        <v>2586</v>
      </c>
      <c r="K596" s="12" t="s">
        <v>2587</v>
      </c>
      <c r="L596" s="11"/>
      <c r="M596" s="12" t="str">
        <f>HYPERLINK("https://ceds.ed.gov/cedselementdetails.aspx?termid=18380")</f>
        <v>https://ceds.ed.gov/cedselementdetails.aspx?termid=18380</v>
      </c>
      <c r="N596" s="12" t="str">
        <f>HYPERLINK("https://ceds.ed.gov/elementComment.aspx?elementName=Competency Definition Testability Type &amp;elementID=18380", "Click here to submit comment")</f>
        <v>Click here to submit comment</v>
      </c>
    </row>
    <row r="597" spans="1:14" ht="63.75" x14ac:dyDescent="0.25">
      <c r="A597" s="12" t="s">
        <v>2588</v>
      </c>
      <c r="B597" s="12" t="s">
        <v>2589</v>
      </c>
      <c r="C597" s="12" t="s">
        <v>37</v>
      </c>
      <c r="D597" s="12" t="s">
        <v>2472</v>
      </c>
      <c r="E597" s="11"/>
      <c r="F597" s="12" t="s">
        <v>165</v>
      </c>
      <c r="G597" s="11"/>
      <c r="H597" s="11"/>
      <c r="I597" s="12" t="s">
        <v>2590</v>
      </c>
      <c r="J597" s="12" t="s">
        <v>2591</v>
      </c>
      <c r="K597" s="12" t="s">
        <v>2592</v>
      </c>
      <c r="L597" s="11"/>
      <c r="M597" s="12" t="str">
        <f>HYPERLINK("https://ceds.ed.gov/cedselementdetails.aspx?termid=18115")</f>
        <v>https://ceds.ed.gov/cedselementdetails.aspx?termid=18115</v>
      </c>
      <c r="N597" s="12" t="str">
        <f>HYPERLINK("https://ceds.ed.gov/elementComment.aspx?elementName=Competency Definition Text Complexity Maximum Value &amp;elementID=18115", "Click here to submit comment")</f>
        <v>Click here to submit comment</v>
      </c>
    </row>
    <row r="598" spans="1:14" ht="63.75" x14ac:dyDescent="0.25">
      <c r="A598" s="12" t="s">
        <v>2593</v>
      </c>
      <c r="B598" s="12" t="s">
        <v>2594</v>
      </c>
      <c r="C598" s="12" t="s">
        <v>37</v>
      </c>
      <c r="D598" s="12" t="s">
        <v>2472</v>
      </c>
      <c r="E598" s="11"/>
      <c r="F598" s="12" t="s">
        <v>165</v>
      </c>
      <c r="G598" s="11"/>
      <c r="H598" s="11"/>
      <c r="I598" s="12" t="s">
        <v>2595</v>
      </c>
      <c r="J598" s="12" t="s">
        <v>2596</v>
      </c>
      <c r="K598" s="12" t="s">
        <v>2597</v>
      </c>
      <c r="L598" s="11"/>
      <c r="M598" s="12" t="str">
        <f>HYPERLINK("https://ceds.ed.gov/cedselementdetails.aspx?termid=18114")</f>
        <v>https://ceds.ed.gov/cedselementdetails.aspx?termid=18114</v>
      </c>
      <c r="N598" s="12" t="str">
        <f>HYPERLINK("https://ceds.ed.gov/elementComment.aspx?elementName=Competency Definition Text Complexity Minimum Value &amp;elementID=18114", "Click here to submit comment")</f>
        <v>Click here to submit comment</v>
      </c>
    </row>
    <row r="599" spans="1:14" ht="38.25" x14ac:dyDescent="0.25">
      <c r="A599" s="12" t="s">
        <v>2598</v>
      </c>
      <c r="B599" s="12" t="s">
        <v>2599</v>
      </c>
      <c r="C599" s="12" t="s">
        <v>37</v>
      </c>
      <c r="D599" s="12" t="s">
        <v>2472</v>
      </c>
      <c r="E599" s="11"/>
      <c r="F599" s="12" t="s">
        <v>97</v>
      </c>
      <c r="G599" s="11"/>
      <c r="H599" s="11"/>
      <c r="I599" s="12" t="s">
        <v>2600</v>
      </c>
      <c r="J599" s="12" t="s">
        <v>2601</v>
      </c>
      <c r="K599" s="12" t="s">
        <v>2602</v>
      </c>
      <c r="L599" s="11"/>
      <c r="M599" s="12" t="str">
        <f>HYPERLINK("https://ceds.ed.gov/cedselementdetails.aspx?termid=17910")</f>
        <v>https://ceds.ed.gov/cedselementdetails.aspx?termid=17910</v>
      </c>
      <c r="N599" s="12" t="str">
        <f>HYPERLINK("https://ceds.ed.gov/elementComment.aspx?elementName=Competency Definition Text Complexity System &amp;elementID=17910", "Click here to submit comment")</f>
        <v>Click here to submit comment</v>
      </c>
    </row>
    <row r="600" spans="1:14" ht="89.25" x14ac:dyDescent="0.25">
      <c r="A600" s="12" t="s">
        <v>2603</v>
      </c>
      <c r="B600" s="12" t="s">
        <v>2604</v>
      </c>
      <c r="C600" s="12" t="s">
        <v>37</v>
      </c>
      <c r="D600" s="12" t="s">
        <v>2472</v>
      </c>
      <c r="E600" s="11"/>
      <c r="F600" s="12" t="s">
        <v>175</v>
      </c>
      <c r="G600" s="11"/>
      <c r="H600" s="12" t="s">
        <v>2605</v>
      </c>
      <c r="I600" s="12" t="s">
        <v>2606</v>
      </c>
      <c r="J600" s="12" t="s">
        <v>2607</v>
      </c>
      <c r="K600" s="12" t="s">
        <v>2608</v>
      </c>
      <c r="L600" s="12" t="s">
        <v>908</v>
      </c>
      <c r="M600" s="12" t="str">
        <f>HYPERLINK("https://ceds.ed.gov/cedselementdetails.aspx?termid=17668")</f>
        <v>https://ceds.ed.gov/cedselementdetails.aspx?termid=17668</v>
      </c>
      <c r="N600" s="12" t="str">
        <f>HYPERLINK("https://ceds.ed.gov/elementComment.aspx?elementName=Competency Definition Type &amp;elementID=17668", "Click here to submit comment")</f>
        <v>Click here to submit comment</v>
      </c>
    </row>
    <row r="601" spans="1:14" ht="89.25" x14ac:dyDescent="0.25">
      <c r="A601" s="12" t="s">
        <v>2609</v>
      </c>
      <c r="B601" s="12" t="s">
        <v>2610</v>
      </c>
      <c r="C601" s="12" t="s">
        <v>37</v>
      </c>
      <c r="D601" s="12" t="s">
        <v>2472</v>
      </c>
      <c r="E601" s="11"/>
      <c r="F601" s="12" t="s">
        <v>57</v>
      </c>
      <c r="G601" s="11"/>
      <c r="H601" s="12" t="s">
        <v>2611</v>
      </c>
      <c r="I601" s="12" t="s">
        <v>2612</v>
      </c>
      <c r="J601" s="12" t="s">
        <v>2613</v>
      </c>
      <c r="K601" s="12" t="s">
        <v>2614</v>
      </c>
      <c r="L601" s="11"/>
      <c r="M601" s="12" t="str">
        <f>HYPERLINK("https://ceds.ed.gov/cedselementdetails.aspx?termid=18738")</f>
        <v>https://ceds.ed.gov/cedselementdetails.aspx?termid=18738</v>
      </c>
      <c r="N601" s="12" t="str">
        <f>HYPERLINK("https://ceds.ed.gov/elementComment.aspx?elementName=Competency Definition Type URL &amp;elementID=18738", "Click here to submit comment")</f>
        <v>Click here to submit comment</v>
      </c>
    </row>
    <row r="602" spans="1:14" ht="51" x14ac:dyDescent="0.25">
      <c r="A602" s="12" t="s">
        <v>2615</v>
      </c>
      <c r="B602" s="12" t="s">
        <v>2616</v>
      </c>
      <c r="C602" s="12" t="s">
        <v>37</v>
      </c>
      <c r="D602" s="12" t="s">
        <v>2472</v>
      </c>
      <c r="E602" s="11"/>
      <c r="F602" s="12" t="s">
        <v>370</v>
      </c>
      <c r="G602" s="11"/>
      <c r="H602" s="12" t="s">
        <v>2617</v>
      </c>
      <c r="I602" s="12" t="s">
        <v>2618</v>
      </c>
      <c r="J602" s="11"/>
      <c r="K602" s="12" t="s">
        <v>2619</v>
      </c>
      <c r="L602" s="11"/>
      <c r="M602" s="12" t="str">
        <f>HYPERLINK("https://ceds.ed.gov/cedselementdetails.aspx?termid=18890")</f>
        <v>https://ceds.ed.gov/cedselementdetails.aspx?termid=18890</v>
      </c>
      <c r="N602" s="12" t="str">
        <f>HYPERLINK("https://ceds.ed.gov/elementComment.aspx?elementName=Competency Definition Typical Age Range Maximum &amp;elementID=18890", "Click here to submit comment")</f>
        <v>Click here to submit comment</v>
      </c>
    </row>
    <row r="603" spans="1:14" ht="51" x14ac:dyDescent="0.25">
      <c r="A603" s="12" t="s">
        <v>2620</v>
      </c>
      <c r="B603" s="12" t="s">
        <v>2621</v>
      </c>
      <c r="C603" s="12" t="s">
        <v>37</v>
      </c>
      <c r="D603" s="12" t="s">
        <v>2472</v>
      </c>
      <c r="E603" s="11"/>
      <c r="F603" s="12" t="s">
        <v>370</v>
      </c>
      <c r="G603" s="11"/>
      <c r="H603" s="12" t="s">
        <v>2622</v>
      </c>
      <c r="I603" s="12" t="s">
        <v>2623</v>
      </c>
      <c r="J603" s="11"/>
      <c r="K603" s="12" t="s">
        <v>2624</v>
      </c>
      <c r="L603" s="11"/>
      <c r="M603" s="12" t="str">
        <f>HYPERLINK("https://ceds.ed.gov/cedselementdetails.aspx?termid=18889")</f>
        <v>https://ceds.ed.gov/cedselementdetails.aspx?termid=18889</v>
      </c>
      <c r="N603" s="12" t="str">
        <f>HYPERLINK("https://ceds.ed.gov/elementComment.aspx?elementName=Competency Definition Typical Age Range Minimum &amp;elementID=18889", "Click here to submit comment")</f>
        <v>Click here to submit comment</v>
      </c>
    </row>
    <row r="604" spans="1:14" ht="114.75" x14ac:dyDescent="0.25">
      <c r="A604" s="12" t="s">
        <v>2625</v>
      </c>
      <c r="B604" s="12" t="s">
        <v>2626</v>
      </c>
      <c r="C604" s="12" t="s">
        <v>37</v>
      </c>
      <c r="D604" s="12" t="s">
        <v>2627</v>
      </c>
      <c r="E604" s="11"/>
      <c r="F604" s="12" t="s">
        <v>57</v>
      </c>
      <c r="G604" s="11"/>
      <c r="H604" s="12" t="s">
        <v>153</v>
      </c>
      <c r="I604" s="12" t="s">
        <v>2628</v>
      </c>
      <c r="J604" s="12" t="s">
        <v>2629</v>
      </c>
      <c r="K604" s="12" t="s">
        <v>2630</v>
      </c>
      <c r="L604" s="11"/>
      <c r="M604" s="12" t="str">
        <f>HYPERLINK("https://ceds.ed.gov/cedselementdetails.aspx?termid=17874")</f>
        <v>https://ceds.ed.gov/cedselementdetails.aspx?termid=17874</v>
      </c>
      <c r="N604" s="12" t="str">
        <f>HYPERLINK("https://ceds.ed.gov/elementComment.aspx?elementName=Competency Definition URL &amp;elementID=17874", "Click here to submit comment")</f>
        <v>Click here to submit comment</v>
      </c>
    </row>
    <row r="605" spans="1:14" ht="89.25" x14ac:dyDescent="0.25">
      <c r="A605" s="12" t="s">
        <v>2631</v>
      </c>
      <c r="B605" s="12" t="s">
        <v>2632</v>
      </c>
      <c r="C605" s="12" t="s">
        <v>37</v>
      </c>
      <c r="D605" s="12" t="s">
        <v>2472</v>
      </c>
      <c r="E605" s="11"/>
      <c r="F605" s="12" t="s">
        <v>135</v>
      </c>
      <c r="G605" s="11"/>
      <c r="H605" s="12" t="s">
        <v>2633</v>
      </c>
      <c r="I605" s="12" t="s">
        <v>2634</v>
      </c>
      <c r="J605" s="12" t="s">
        <v>2635</v>
      </c>
      <c r="K605" s="12" t="s">
        <v>2636</v>
      </c>
      <c r="L605" s="11"/>
      <c r="M605" s="12" t="str">
        <f>HYPERLINK("https://ceds.ed.gov/cedselementdetails.aspx?termid=18483")</f>
        <v>https://ceds.ed.gov/cedselementdetails.aspx?termid=18483</v>
      </c>
      <c r="N605" s="12" t="str">
        <f>HYPERLINK("https://ceds.ed.gov/elementComment.aspx?elementName=Competency Definition Valid End Date &amp;elementID=18483", "Click here to submit comment")</f>
        <v>Click here to submit comment</v>
      </c>
    </row>
    <row r="606" spans="1:14" ht="38.25" x14ac:dyDescent="0.25">
      <c r="A606" s="12" t="s">
        <v>2637</v>
      </c>
      <c r="B606" s="12" t="s">
        <v>2638</v>
      </c>
      <c r="C606" s="12" t="s">
        <v>37</v>
      </c>
      <c r="D606" s="12" t="s">
        <v>2472</v>
      </c>
      <c r="E606" s="11"/>
      <c r="F606" s="12" t="s">
        <v>135</v>
      </c>
      <c r="G606" s="11"/>
      <c r="H606" s="11"/>
      <c r="I606" s="12" t="s">
        <v>2639</v>
      </c>
      <c r="J606" s="12" t="s">
        <v>2640</v>
      </c>
      <c r="K606" s="12" t="s">
        <v>2641</v>
      </c>
      <c r="L606" s="11"/>
      <c r="M606" s="12" t="str">
        <f>HYPERLINK("https://ceds.ed.gov/cedselementdetails.aspx?termid=18484")</f>
        <v>https://ceds.ed.gov/cedselementdetails.aspx?termid=18484</v>
      </c>
      <c r="N606" s="12" t="str">
        <f>HYPERLINK("https://ceds.ed.gov/elementComment.aspx?elementName=Competency Definition Valid Start Date &amp;elementID=18484", "Click here to submit comment")</f>
        <v>Click here to submit comment</v>
      </c>
    </row>
    <row r="607" spans="1:14" ht="38.25" x14ac:dyDescent="0.25">
      <c r="A607" s="12" t="s">
        <v>2642</v>
      </c>
      <c r="B607" s="12" t="s">
        <v>2643</v>
      </c>
      <c r="C607" s="12" t="s">
        <v>37</v>
      </c>
      <c r="D607" s="12" t="s">
        <v>2472</v>
      </c>
      <c r="E607" s="11"/>
      <c r="F607" s="12" t="s">
        <v>382</v>
      </c>
      <c r="G607" s="11"/>
      <c r="H607" s="11"/>
      <c r="I607" s="12" t="s">
        <v>2644</v>
      </c>
      <c r="J607" s="12" t="s">
        <v>2645</v>
      </c>
      <c r="K607" s="12" t="s">
        <v>2646</v>
      </c>
      <c r="L607" s="11"/>
      <c r="M607" s="12" t="str">
        <f>HYPERLINK("https://ceds.ed.gov/cedselementdetails.aspx?termid=18216")</f>
        <v>https://ceds.ed.gov/cedselementdetails.aspx?termid=18216</v>
      </c>
      <c r="N607" s="12" t="str">
        <f>HYPERLINK("https://ceds.ed.gov/elementComment.aspx?elementName=Competency Definition Version &amp;elementID=18216", "Click here to submit comment")</f>
        <v>Click here to submit comment</v>
      </c>
    </row>
    <row r="608" spans="1:14" ht="63.75" x14ac:dyDescent="0.25">
      <c r="A608" s="12" t="s">
        <v>2647</v>
      </c>
      <c r="B608" s="12" t="s">
        <v>2648</v>
      </c>
      <c r="C608" s="12" t="s">
        <v>37</v>
      </c>
      <c r="D608" s="12" t="s">
        <v>2649</v>
      </c>
      <c r="E608" s="11"/>
      <c r="F608" s="12" t="s">
        <v>1675</v>
      </c>
      <c r="G608" s="11"/>
      <c r="H608" s="12" t="s">
        <v>2650</v>
      </c>
      <c r="I608" s="12" t="s">
        <v>2651</v>
      </c>
      <c r="J608" s="12" t="s">
        <v>2652</v>
      </c>
      <c r="K608" s="12" t="s">
        <v>2653</v>
      </c>
      <c r="L608" s="11"/>
      <c r="M608" s="12" t="str">
        <f>HYPERLINK("https://ceds.ed.gov/cedselementdetails.aspx?termid=17673")</f>
        <v>https://ceds.ed.gov/cedselementdetails.aspx?termid=17673</v>
      </c>
      <c r="N608" s="12" t="str">
        <f>HYPERLINK("https://ceds.ed.gov/elementComment.aspx?elementName=Competency Framework Creator &amp;elementID=17673", "Click here to submit comment")</f>
        <v>Click here to submit comment</v>
      </c>
    </row>
    <row r="609" spans="1:14" ht="25.5" x14ac:dyDescent="0.25">
      <c r="A609" s="12" t="s">
        <v>2654</v>
      </c>
      <c r="B609" s="12" t="s">
        <v>2655</v>
      </c>
      <c r="C609" s="12" t="s">
        <v>37</v>
      </c>
      <c r="D609" s="12" t="s">
        <v>2649</v>
      </c>
      <c r="E609" s="11"/>
      <c r="F609" s="12" t="s">
        <v>129</v>
      </c>
      <c r="G609" s="11"/>
      <c r="H609" s="11"/>
      <c r="I609" s="12" t="s">
        <v>2656</v>
      </c>
      <c r="J609" s="12" t="s">
        <v>2657</v>
      </c>
      <c r="K609" s="12" t="s">
        <v>2658</v>
      </c>
      <c r="L609" s="11"/>
      <c r="M609" s="12" t="str">
        <f>HYPERLINK("https://ceds.ed.gov/cedselementdetails.aspx?termid=17674")</f>
        <v>https://ceds.ed.gov/cedselementdetails.aspx?termid=17674</v>
      </c>
      <c r="N609" s="12" t="str">
        <f>HYPERLINK("https://ceds.ed.gov/elementComment.aspx?elementName=Competency Framework Description &amp;elementID=17674", "Click here to submit comment")</f>
        <v>Click here to submit comment</v>
      </c>
    </row>
    <row r="610" spans="1:14" ht="38.25" x14ac:dyDescent="0.25">
      <c r="A610" s="12" t="s">
        <v>2659</v>
      </c>
      <c r="B610" s="12" t="s">
        <v>2660</v>
      </c>
      <c r="C610" s="12" t="s">
        <v>37</v>
      </c>
      <c r="D610" s="12" t="s">
        <v>2661</v>
      </c>
      <c r="E610" s="11"/>
      <c r="F610" s="12" t="s">
        <v>57</v>
      </c>
      <c r="G610" s="11"/>
      <c r="H610" s="11"/>
      <c r="I610" s="12" t="s">
        <v>2662</v>
      </c>
      <c r="J610" s="12" t="s">
        <v>2663</v>
      </c>
      <c r="K610" s="12" t="s">
        <v>2664</v>
      </c>
      <c r="L610" s="12" t="s">
        <v>908</v>
      </c>
      <c r="M610" s="12" t="str">
        <f>HYPERLINK("https://ceds.ed.gov/cedselementdetails.aspx?termid=17670")</f>
        <v>https://ceds.ed.gov/cedselementdetails.aspx?termid=17670</v>
      </c>
      <c r="N610" s="12" t="str">
        <f>HYPERLINK("https://ceds.ed.gov/elementComment.aspx?elementName=Competency Framework Identifier URI &amp;elementID=17670", "Click here to submit comment")</f>
        <v>Click here to submit comment</v>
      </c>
    </row>
    <row r="611" spans="1:14" ht="51" x14ac:dyDescent="0.25">
      <c r="A611" s="12" t="s">
        <v>2665</v>
      </c>
      <c r="B611" s="12" t="s">
        <v>2666</v>
      </c>
      <c r="C611" s="12" t="s">
        <v>37</v>
      </c>
      <c r="D611" s="12" t="s">
        <v>2649</v>
      </c>
      <c r="E611" s="11"/>
      <c r="F611" s="12" t="s">
        <v>1675</v>
      </c>
      <c r="G611" s="11"/>
      <c r="H611" s="11"/>
      <c r="I611" s="12" t="s">
        <v>2667</v>
      </c>
      <c r="J611" s="12" t="s">
        <v>2668</v>
      </c>
      <c r="K611" s="12" t="s">
        <v>2669</v>
      </c>
      <c r="L611" s="11"/>
      <c r="M611" s="12" t="str">
        <f>HYPERLINK("https://ceds.ed.gov/cedselementdetails.aspx?termid=17676")</f>
        <v>https://ceds.ed.gov/cedselementdetails.aspx?termid=17676</v>
      </c>
      <c r="N611" s="12" t="str">
        <f>HYPERLINK("https://ceds.ed.gov/elementComment.aspx?elementName=Competency Framework Jurisdiction &amp;elementID=17676", "Click here to submit comment")</f>
        <v>Click here to submit comment</v>
      </c>
    </row>
    <row r="612" spans="1:14" ht="90" x14ac:dyDescent="0.25">
      <c r="A612" s="12" t="s">
        <v>2670</v>
      </c>
      <c r="B612" s="12" t="s">
        <v>2671</v>
      </c>
      <c r="C612" s="12" t="s">
        <v>8527</v>
      </c>
      <c r="D612" s="12" t="s">
        <v>2649</v>
      </c>
      <c r="E612" s="12" t="s">
        <v>195</v>
      </c>
      <c r="F612" s="11"/>
      <c r="G612" s="12" t="s">
        <v>1086</v>
      </c>
      <c r="H612" s="6" t="s">
        <v>1087</v>
      </c>
      <c r="I612" s="12" t="s">
        <v>2672</v>
      </c>
      <c r="J612" s="12" t="s">
        <v>2673</v>
      </c>
      <c r="K612" s="12" t="s">
        <v>2674</v>
      </c>
      <c r="L612" s="11"/>
      <c r="M612" s="12" t="str">
        <f>HYPERLINK("https://ceds.ed.gov/cedselementdetails.aspx?termid=17880")</f>
        <v>https://ceds.ed.gov/cedselementdetails.aspx?termid=17880</v>
      </c>
      <c r="N612" s="12" t="str">
        <f>HYPERLINK("https://ceds.ed.gov/elementComment.aspx?elementName=Competency Framework Language &amp;elementID=17880", "Click here to submit comment")</f>
        <v>Click here to submit comment</v>
      </c>
    </row>
    <row r="613" spans="1:14" ht="38.25" x14ac:dyDescent="0.25">
      <c r="A613" s="12" t="s">
        <v>2675</v>
      </c>
      <c r="B613" s="12" t="s">
        <v>2676</v>
      </c>
      <c r="C613" s="12" t="s">
        <v>37</v>
      </c>
      <c r="D613" s="12" t="s">
        <v>2649</v>
      </c>
      <c r="E613" s="11"/>
      <c r="F613" s="12" t="s">
        <v>129</v>
      </c>
      <c r="G613" s="11"/>
      <c r="H613" s="11"/>
      <c r="I613" s="12" t="s">
        <v>2677</v>
      </c>
      <c r="J613" s="12" t="s">
        <v>2678</v>
      </c>
      <c r="K613" s="12" t="s">
        <v>2679</v>
      </c>
      <c r="L613" s="11"/>
      <c r="M613" s="12" t="str">
        <f>HYPERLINK("https://ceds.ed.gov/cedselementdetails.aspx?termid=17882")</f>
        <v>https://ceds.ed.gov/cedselementdetails.aspx?termid=17882</v>
      </c>
      <c r="N613" s="12" t="str">
        <f>HYPERLINK("https://ceds.ed.gov/elementComment.aspx?elementName=Competency Framework License &amp;elementID=17882", "Click here to submit comment")</f>
        <v>Click here to submit comment</v>
      </c>
    </row>
    <row r="614" spans="1:14" ht="38.25" x14ac:dyDescent="0.25">
      <c r="A614" s="12" t="s">
        <v>2680</v>
      </c>
      <c r="B614" s="12" t="s">
        <v>2681</v>
      </c>
      <c r="C614" s="12" t="s">
        <v>37</v>
      </c>
      <c r="D614" s="12" t="s">
        <v>2649</v>
      </c>
      <c r="E614" s="11"/>
      <c r="F614" s="12" t="s">
        <v>135</v>
      </c>
      <c r="G614" s="11"/>
      <c r="H614" s="12" t="s">
        <v>2682</v>
      </c>
      <c r="I614" s="12" t="s">
        <v>2683</v>
      </c>
      <c r="J614" s="12" t="s">
        <v>2684</v>
      </c>
      <c r="K614" s="12" t="s">
        <v>2685</v>
      </c>
      <c r="L614" s="11"/>
      <c r="M614" s="12" t="str">
        <f>HYPERLINK("https://ceds.ed.gov/cedselementdetails.aspx?termid=18548")</f>
        <v>https://ceds.ed.gov/cedselementdetails.aspx?termid=18548</v>
      </c>
      <c r="N614" s="12" t="str">
        <f>HYPERLINK("https://ceds.ed.gov/elementComment.aspx?elementName=Competency Framework Publication Date &amp;elementID=18548", "Click here to submit comment")</f>
        <v>Click here to submit comment</v>
      </c>
    </row>
    <row r="615" spans="1:14" ht="76.5" x14ac:dyDescent="0.25">
      <c r="A615" s="12" t="s">
        <v>2686</v>
      </c>
      <c r="B615" s="12" t="s">
        <v>2687</v>
      </c>
      <c r="C615" s="13" t="s">
        <v>2688</v>
      </c>
      <c r="D615" s="12" t="s">
        <v>2649</v>
      </c>
      <c r="E615" s="11"/>
      <c r="F615" s="11"/>
      <c r="G615" s="11"/>
      <c r="H615" s="11"/>
      <c r="I615" s="12" t="s">
        <v>2689</v>
      </c>
      <c r="J615" s="12" t="s">
        <v>2690</v>
      </c>
      <c r="K615" s="12" t="s">
        <v>2691</v>
      </c>
      <c r="L615" s="11"/>
      <c r="M615" s="12" t="str">
        <f>HYPERLINK("https://ceds.ed.gov/cedselementdetails.aspx?termid=17675")</f>
        <v>https://ceds.ed.gov/cedselementdetails.aspx?termid=17675</v>
      </c>
      <c r="N615" s="12" t="str">
        <f>HYPERLINK("https://ceds.ed.gov/elementComment.aspx?elementName=Competency Framework Publication Status &amp;elementID=17675", "Click here to submit comment")</f>
        <v>Click here to submit comment</v>
      </c>
    </row>
    <row r="616" spans="1:14" ht="25.5" x14ac:dyDescent="0.25">
      <c r="A616" s="12" t="s">
        <v>2692</v>
      </c>
      <c r="B616" s="12" t="s">
        <v>2693</v>
      </c>
      <c r="C616" s="12" t="s">
        <v>37</v>
      </c>
      <c r="D616" s="12" t="s">
        <v>2649</v>
      </c>
      <c r="E616" s="11"/>
      <c r="F616" s="12" t="s">
        <v>97</v>
      </c>
      <c r="G616" s="11"/>
      <c r="H616" s="11"/>
      <c r="I616" s="12" t="s">
        <v>2694</v>
      </c>
      <c r="J616" s="12" t="s">
        <v>2695</v>
      </c>
      <c r="K616" s="12" t="s">
        <v>2696</v>
      </c>
      <c r="L616" s="11"/>
      <c r="M616" s="12" t="str">
        <f>HYPERLINK("https://ceds.ed.gov/cedselementdetails.aspx?termid=17884")</f>
        <v>https://ceds.ed.gov/cedselementdetails.aspx?termid=17884</v>
      </c>
      <c r="N616" s="12" t="str">
        <f>HYPERLINK("https://ceds.ed.gov/elementComment.aspx?elementName=Competency Framework Publisher &amp;elementID=17884", "Click here to submit comment")</f>
        <v>Click here to submit comment</v>
      </c>
    </row>
    <row r="617" spans="1:14" ht="25.5" x14ac:dyDescent="0.25">
      <c r="A617" s="12" t="s">
        <v>2697</v>
      </c>
      <c r="B617" s="12" t="s">
        <v>2698</v>
      </c>
      <c r="C617" s="12" t="s">
        <v>37</v>
      </c>
      <c r="D617" s="12" t="s">
        <v>2649</v>
      </c>
      <c r="E617" s="11"/>
      <c r="F617" s="12" t="s">
        <v>129</v>
      </c>
      <c r="G617" s="11"/>
      <c r="H617" s="11"/>
      <c r="I617" s="12" t="s">
        <v>2699</v>
      </c>
      <c r="J617" s="12" t="s">
        <v>2700</v>
      </c>
      <c r="K617" s="12" t="s">
        <v>2701</v>
      </c>
      <c r="L617" s="11"/>
      <c r="M617" s="12" t="str">
        <f>HYPERLINK("https://ceds.ed.gov/cedselementdetails.aspx?termid=17885")</f>
        <v>https://ceds.ed.gov/cedselementdetails.aspx?termid=17885</v>
      </c>
      <c r="N617" s="12" t="str">
        <f>HYPERLINK("https://ceds.ed.gov/elementComment.aspx?elementName=Competency Framework Rights &amp;elementID=17885", "Click here to submit comment")</f>
        <v>Click here to submit comment</v>
      </c>
    </row>
    <row r="618" spans="1:14" ht="38.25" x14ac:dyDescent="0.25">
      <c r="A618" s="12" t="s">
        <v>2702</v>
      </c>
      <c r="B618" s="12" t="s">
        <v>2703</v>
      </c>
      <c r="C618" s="12" t="s">
        <v>37</v>
      </c>
      <c r="D618" s="12" t="s">
        <v>2649</v>
      </c>
      <c r="E618" s="11"/>
      <c r="F618" s="12" t="s">
        <v>97</v>
      </c>
      <c r="G618" s="11"/>
      <c r="H618" s="11"/>
      <c r="I618" s="12" t="s">
        <v>2704</v>
      </c>
      <c r="J618" s="12" t="s">
        <v>2705</v>
      </c>
      <c r="K618" s="12" t="s">
        <v>2706</v>
      </c>
      <c r="L618" s="11"/>
      <c r="M618" s="12" t="str">
        <f>HYPERLINK("https://ceds.ed.gov/cedselementdetails.aspx?termid=17886")</f>
        <v>https://ceds.ed.gov/cedselementdetails.aspx?termid=17886</v>
      </c>
      <c r="N618" s="12" t="str">
        <f>HYPERLINK("https://ceds.ed.gov/elementComment.aspx?elementName=Competency Framework Rights Holder &amp;elementID=17886", "Click here to submit comment")</f>
        <v>Click here to submit comment</v>
      </c>
    </row>
    <row r="619" spans="1:14" ht="63.75" x14ac:dyDescent="0.25">
      <c r="A619" s="12" t="s">
        <v>2707</v>
      </c>
      <c r="B619" s="12" t="s">
        <v>2708</v>
      </c>
      <c r="C619" s="12" t="s">
        <v>37</v>
      </c>
      <c r="D619" s="12" t="s">
        <v>2661</v>
      </c>
      <c r="E619" s="11"/>
      <c r="F619" s="12" t="s">
        <v>57</v>
      </c>
      <c r="G619" s="11"/>
      <c r="H619" s="12" t="s">
        <v>2709</v>
      </c>
      <c r="I619" s="12" t="s">
        <v>2710</v>
      </c>
      <c r="J619" s="11"/>
      <c r="K619" s="12" t="s">
        <v>2711</v>
      </c>
      <c r="L619" s="11"/>
      <c r="M619" s="12" t="str">
        <f>HYPERLINK("https://ceds.ed.gov/cedselementdetails.aspx?termid=18888")</f>
        <v>https://ceds.ed.gov/cedselementdetails.aspx?termid=18888</v>
      </c>
      <c r="N619" s="12" t="str">
        <f>HYPERLINK("https://ceds.ed.gov/elementComment.aspx?elementName=Competency Framework Source URL &amp;elementID=18888", "Click here to submit comment")</f>
        <v>Click here to submit comment</v>
      </c>
    </row>
    <row r="620" spans="1:14" ht="25.5" x14ac:dyDescent="0.25">
      <c r="A620" s="12" t="s">
        <v>2712</v>
      </c>
      <c r="B620" s="12" t="s">
        <v>2713</v>
      </c>
      <c r="C620" s="12" t="s">
        <v>37</v>
      </c>
      <c r="D620" s="12" t="s">
        <v>2649</v>
      </c>
      <c r="E620" s="11"/>
      <c r="F620" s="12" t="s">
        <v>97</v>
      </c>
      <c r="G620" s="11"/>
      <c r="H620" s="11"/>
      <c r="I620" s="12" t="s">
        <v>2714</v>
      </c>
      <c r="J620" s="12" t="s">
        <v>2715</v>
      </c>
      <c r="K620" s="12" t="s">
        <v>2716</v>
      </c>
      <c r="L620" s="12" t="s">
        <v>908</v>
      </c>
      <c r="M620" s="12" t="str">
        <f>HYPERLINK("https://ceds.ed.gov/cedselementdetails.aspx?termid=17679")</f>
        <v>https://ceds.ed.gov/cedselementdetails.aspx?termid=17679</v>
      </c>
      <c r="N620" s="12" t="str">
        <f>HYPERLINK("https://ceds.ed.gov/elementComment.aspx?elementName=Competency Framework Subject &amp;elementID=17679", "Click here to submit comment")</f>
        <v>Click here to submit comment</v>
      </c>
    </row>
    <row r="621" spans="1:14" ht="25.5" x14ac:dyDescent="0.25">
      <c r="A621" s="12" t="s">
        <v>2717</v>
      </c>
      <c r="B621" s="12" t="s">
        <v>2718</v>
      </c>
      <c r="C621" s="12" t="s">
        <v>37</v>
      </c>
      <c r="D621" s="12" t="s">
        <v>2649</v>
      </c>
      <c r="E621" s="11"/>
      <c r="F621" s="12" t="s">
        <v>1675</v>
      </c>
      <c r="G621" s="11"/>
      <c r="H621" s="11"/>
      <c r="I621" s="12" t="s">
        <v>2719</v>
      </c>
      <c r="J621" s="12" t="s">
        <v>2720</v>
      </c>
      <c r="K621" s="12" t="s">
        <v>2721</v>
      </c>
      <c r="L621" s="12" t="s">
        <v>908</v>
      </c>
      <c r="M621" s="12" t="str">
        <f>HYPERLINK("https://ceds.ed.gov/cedselementdetails.aspx?termid=17671")</f>
        <v>https://ceds.ed.gov/cedselementdetails.aspx?termid=17671</v>
      </c>
      <c r="N621" s="12" t="str">
        <f>HYPERLINK("https://ceds.ed.gov/elementComment.aspx?elementName=Competency Framework Title &amp;elementID=17671", "Click here to submit comment")</f>
        <v>Click here to submit comment</v>
      </c>
    </row>
    <row r="622" spans="1:14" ht="51" x14ac:dyDescent="0.25">
      <c r="A622" s="12" t="s">
        <v>2722</v>
      </c>
      <c r="B622" s="12" t="s">
        <v>2723</v>
      </c>
      <c r="C622" s="12" t="s">
        <v>37</v>
      </c>
      <c r="D622" s="12" t="s">
        <v>2649</v>
      </c>
      <c r="E622" s="11"/>
      <c r="F622" s="12" t="s">
        <v>135</v>
      </c>
      <c r="G622" s="11"/>
      <c r="H622" s="12" t="s">
        <v>160</v>
      </c>
      <c r="I622" s="12" t="s">
        <v>2724</v>
      </c>
      <c r="J622" s="12" t="s">
        <v>2725</v>
      </c>
      <c r="K622" s="12" t="s">
        <v>2726</v>
      </c>
      <c r="L622" s="11"/>
      <c r="M622" s="12" t="str">
        <f>HYPERLINK("https://ceds.ed.gov/cedselementdetails.aspx?termid=17678")</f>
        <v>https://ceds.ed.gov/cedselementdetails.aspx?termid=17678</v>
      </c>
      <c r="N622" s="12" t="str">
        <f>HYPERLINK("https://ceds.ed.gov/elementComment.aspx?elementName=Competency Framework Valid End Date &amp;elementID=17678", "Click here to submit comment")</f>
        <v>Click here to submit comment</v>
      </c>
    </row>
    <row r="623" spans="1:14" ht="38.25" x14ac:dyDescent="0.25">
      <c r="A623" s="12" t="s">
        <v>2727</v>
      </c>
      <c r="B623" s="12" t="s">
        <v>2728</v>
      </c>
      <c r="C623" s="12" t="s">
        <v>37</v>
      </c>
      <c r="D623" s="12" t="s">
        <v>2649</v>
      </c>
      <c r="E623" s="11"/>
      <c r="F623" s="12" t="s">
        <v>135</v>
      </c>
      <c r="G623" s="11"/>
      <c r="H623" s="11"/>
      <c r="I623" s="12" t="s">
        <v>2729</v>
      </c>
      <c r="J623" s="12" t="s">
        <v>2730</v>
      </c>
      <c r="K623" s="12" t="s">
        <v>2731</v>
      </c>
      <c r="L623" s="11"/>
      <c r="M623" s="12" t="str">
        <f>HYPERLINK("https://ceds.ed.gov/cedselementdetails.aspx?termid=17677")</f>
        <v>https://ceds.ed.gov/cedselementdetails.aspx?termid=17677</v>
      </c>
      <c r="N623" s="12" t="str">
        <f>HYPERLINK("https://ceds.ed.gov/elementComment.aspx?elementName=Competency Framework Valid Start Date &amp;elementID=17677", "Click here to submit comment")</f>
        <v>Click here to submit comment</v>
      </c>
    </row>
    <row r="624" spans="1:14" ht="25.5" x14ac:dyDescent="0.25">
      <c r="A624" s="12" t="s">
        <v>2732</v>
      </c>
      <c r="B624" s="12" t="s">
        <v>2733</v>
      </c>
      <c r="C624" s="12" t="s">
        <v>37</v>
      </c>
      <c r="D624" s="12" t="s">
        <v>2649</v>
      </c>
      <c r="E624" s="11"/>
      <c r="F624" s="12" t="s">
        <v>97</v>
      </c>
      <c r="G624" s="11"/>
      <c r="H624" s="11"/>
      <c r="I624" s="12" t="s">
        <v>2734</v>
      </c>
      <c r="J624" s="12" t="s">
        <v>2735</v>
      </c>
      <c r="K624" s="12" t="s">
        <v>2736</v>
      </c>
      <c r="L624" s="12" t="s">
        <v>908</v>
      </c>
      <c r="M624" s="12" t="str">
        <f>HYPERLINK("https://ceds.ed.gov/cedselementdetails.aspx?termid=17672")</f>
        <v>https://ceds.ed.gov/cedselementdetails.aspx?termid=17672</v>
      </c>
      <c r="N624" s="12" t="str">
        <f>HYPERLINK("https://ceds.ed.gov/elementComment.aspx?elementName=Competency Framework Version &amp;elementID=17672", "Click here to submit comment")</f>
        <v>Click here to submit comment</v>
      </c>
    </row>
    <row r="625" spans="1:14" ht="89.25" x14ac:dyDescent="0.25">
      <c r="A625" s="12" t="s">
        <v>2737</v>
      </c>
      <c r="B625" s="12" t="s">
        <v>2738</v>
      </c>
      <c r="C625" s="13" t="s">
        <v>2739</v>
      </c>
      <c r="D625" s="12" t="s">
        <v>2740</v>
      </c>
      <c r="E625" s="11"/>
      <c r="F625" s="11"/>
      <c r="G625" s="11"/>
      <c r="H625" s="12" t="s">
        <v>2741</v>
      </c>
      <c r="I625" s="12" t="s">
        <v>2742</v>
      </c>
      <c r="J625" s="11"/>
      <c r="K625" s="12" t="s">
        <v>2743</v>
      </c>
      <c r="L625" s="11"/>
      <c r="M625" s="12" t="str">
        <f>HYPERLINK("https://ceds.ed.gov/cedselementdetails.aspx?termid=17877")</f>
        <v>https://ceds.ed.gov/cedselementdetails.aspx?termid=17877</v>
      </c>
      <c r="N625" s="12" t="str">
        <f>HYPERLINK("https://ceds.ed.gov/elementComment.aspx?elementName=Competency Set Completion Criteria &amp;elementID=17877", "Click here to submit comment")</f>
        <v>Click here to submit comment</v>
      </c>
    </row>
    <row r="626" spans="1:14" ht="63.75" x14ac:dyDescent="0.25">
      <c r="A626" s="12" t="s">
        <v>2744</v>
      </c>
      <c r="B626" s="12" t="s">
        <v>2745</v>
      </c>
      <c r="C626" s="12" t="s">
        <v>37</v>
      </c>
      <c r="D626" s="12" t="s">
        <v>2740</v>
      </c>
      <c r="E626" s="11"/>
      <c r="F626" s="12" t="s">
        <v>370</v>
      </c>
      <c r="G626" s="11"/>
      <c r="H626" s="12" t="s">
        <v>2746</v>
      </c>
      <c r="I626" s="12" t="s">
        <v>2747</v>
      </c>
      <c r="J626" s="11"/>
      <c r="K626" s="12" t="s">
        <v>2748</v>
      </c>
      <c r="L626" s="11"/>
      <c r="M626" s="12" t="str">
        <f>HYPERLINK("https://ceds.ed.gov/cedselementdetails.aspx?termid=17878")</f>
        <v>https://ceds.ed.gov/cedselementdetails.aspx?termid=17878</v>
      </c>
      <c r="N626" s="12" t="str">
        <f>HYPERLINK("https://ceds.ed.gov/elementComment.aspx?elementName=Competency Set Completion Criteria Threshold &amp;elementID=17878", "Click here to submit comment")</f>
        <v>Click here to submit comment</v>
      </c>
    </row>
    <row r="627" spans="1:14" ht="38.25" x14ac:dyDescent="0.25">
      <c r="A627" s="12" t="s">
        <v>2749</v>
      </c>
      <c r="B627" s="12" t="s">
        <v>2750</v>
      </c>
      <c r="C627" s="12" t="s">
        <v>37</v>
      </c>
      <c r="D627" s="12" t="s">
        <v>2751</v>
      </c>
      <c r="E627" s="11"/>
      <c r="F627" s="12" t="s">
        <v>135</v>
      </c>
      <c r="G627" s="11"/>
      <c r="H627" s="11"/>
      <c r="I627" s="12" t="s">
        <v>2752</v>
      </c>
      <c r="J627" s="11"/>
      <c r="K627" s="12" t="s">
        <v>2753</v>
      </c>
      <c r="L627" s="11"/>
      <c r="M627" s="12" t="str">
        <f>HYPERLINK("https://ceds.ed.gov/cedselementdetails.aspx?termid=18879")</f>
        <v>https://ceds.ed.gov/cedselementdetails.aspx?termid=18879</v>
      </c>
      <c r="N627" s="12" t="str">
        <f>HYPERLINK("https://ceds.ed.gov/elementComment.aspx?elementName=Component or Fixture Check Date &amp;elementID=18879", "Click here to submit comment")</f>
        <v>Click here to submit comment</v>
      </c>
    </row>
    <row r="628" spans="1:14" ht="51" x14ac:dyDescent="0.25">
      <c r="A628" s="12" t="s">
        <v>2754</v>
      </c>
      <c r="B628" s="12" t="s">
        <v>2755</v>
      </c>
      <c r="C628" s="12" t="s">
        <v>37</v>
      </c>
      <c r="D628" s="12" t="s">
        <v>2751</v>
      </c>
      <c r="E628" s="11"/>
      <c r="F628" s="12" t="s">
        <v>135</v>
      </c>
      <c r="G628" s="11"/>
      <c r="H628" s="11"/>
      <c r="I628" s="12" t="s">
        <v>2756</v>
      </c>
      <c r="J628" s="11"/>
      <c r="K628" s="12" t="s">
        <v>2757</v>
      </c>
      <c r="L628" s="11"/>
      <c r="M628" s="12" t="str">
        <f>HYPERLINK("https://ceds.ed.gov/cedselementdetails.aspx?termid=18881")</f>
        <v>https://ceds.ed.gov/cedselementdetails.aspx?termid=18881</v>
      </c>
      <c r="N628" s="12" t="str">
        <f>HYPERLINK("https://ceds.ed.gov/elementComment.aspx?elementName=Component or Fixture Scheduled Serviced Date &amp;elementID=18881", "Click here to submit comment")</f>
        <v>Click here to submit comment</v>
      </c>
    </row>
    <row r="629" spans="1:14" ht="38.25" x14ac:dyDescent="0.25">
      <c r="A629" s="12" t="s">
        <v>2758</v>
      </c>
      <c r="B629" s="12" t="s">
        <v>2759</v>
      </c>
      <c r="C629" s="12" t="s">
        <v>37</v>
      </c>
      <c r="D629" s="12" t="s">
        <v>2751</v>
      </c>
      <c r="E629" s="11"/>
      <c r="F629" s="12" t="s">
        <v>135</v>
      </c>
      <c r="G629" s="11"/>
      <c r="H629" s="11"/>
      <c r="I629" s="12" t="s">
        <v>2760</v>
      </c>
      <c r="J629" s="11"/>
      <c r="K629" s="12" t="s">
        <v>2761</v>
      </c>
      <c r="L629" s="11"/>
      <c r="M629" s="12" t="str">
        <f>HYPERLINK("https://ceds.ed.gov/cedselementdetails.aspx?termid=18880")</f>
        <v>https://ceds.ed.gov/cedselementdetails.aspx?termid=18880</v>
      </c>
      <c r="N629" s="12" t="str">
        <f>HYPERLINK("https://ceds.ed.gov/elementComment.aspx?elementName=Component or Fixture Serviced Date &amp;elementID=18880", "Click here to submit comment")</f>
        <v>Click here to submit comment</v>
      </c>
    </row>
    <row r="630" spans="1:14" ht="63.75" x14ac:dyDescent="0.25">
      <c r="A630" s="12" t="s">
        <v>2762</v>
      </c>
      <c r="B630" s="12" t="s">
        <v>2763</v>
      </c>
      <c r="C630" s="12" t="s">
        <v>37</v>
      </c>
      <c r="D630" s="12" t="s">
        <v>2751</v>
      </c>
      <c r="E630" s="11"/>
      <c r="F630" s="12" t="s">
        <v>1922</v>
      </c>
      <c r="G630" s="11"/>
      <c r="H630" s="11"/>
      <c r="I630" s="12" t="s">
        <v>2764</v>
      </c>
      <c r="J630" s="11"/>
      <c r="K630" s="12" t="s">
        <v>2765</v>
      </c>
      <c r="L630" s="11"/>
      <c r="M630" s="12" t="str">
        <f>HYPERLINK("https://ceds.ed.gov/cedselementdetails.aspx?termid=18882")</f>
        <v>https://ceds.ed.gov/cedselementdetails.aspx?termid=18882</v>
      </c>
      <c r="N630" s="12" t="str">
        <f>HYPERLINK("https://ceds.ed.gov/elementComment.aspx?elementName=Component or Fixture Useful Life &amp;elementID=18882", "Click here to submit comment")</f>
        <v>Click here to submit comment</v>
      </c>
    </row>
    <row r="631" spans="1:14" ht="63.75" x14ac:dyDescent="0.25">
      <c r="A631" s="12" t="s">
        <v>2766</v>
      </c>
      <c r="B631" s="12" t="s">
        <v>2767</v>
      </c>
      <c r="C631" s="12" t="s">
        <v>37</v>
      </c>
      <c r="D631" s="12" t="s">
        <v>275</v>
      </c>
      <c r="E631" s="11"/>
      <c r="F631" s="12" t="s">
        <v>1710</v>
      </c>
      <c r="G631" s="11"/>
      <c r="H631" s="12" t="s">
        <v>432</v>
      </c>
      <c r="I631" s="12" t="s">
        <v>2768</v>
      </c>
      <c r="J631" s="11"/>
      <c r="K631" s="12" t="s">
        <v>2769</v>
      </c>
      <c r="L631" s="12" t="s">
        <v>1769</v>
      </c>
      <c r="M631" s="12" t="str">
        <f>HYPERLINK("https://ceds.ed.gov/cedselementdetails.aspx?termid=17733")</f>
        <v>https://ceds.ed.gov/cedselementdetails.aspx?termid=17733</v>
      </c>
      <c r="N631" s="12" t="str">
        <f>HYPERLINK("https://ceds.ed.gov/elementComment.aspx?elementName=Comprehensive Fee &amp;elementID=17733", "Click here to submit comment")</f>
        <v>Click here to submit comment</v>
      </c>
    </row>
    <row r="632" spans="1:14" ht="89.25" x14ac:dyDescent="0.25">
      <c r="A632" s="12" t="s">
        <v>2770</v>
      </c>
      <c r="B632" s="12" t="s">
        <v>2771</v>
      </c>
      <c r="C632" s="13" t="s">
        <v>2772</v>
      </c>
      <c r="D632" s="12" t="s">
        <v>187</v>
      </c>
      <c r="E632" s="12" t="s">
        <v>188</v>
      </c>
      <c r="F632" s="11"/>
      <c r="G632" s="12" t="s">
        <v>189</v>
      </c>
      <c r="H632" s="11"/>
      <c r="I632" s="12" t="s">
        <v>2773</v>
      </c>
      <c r="J632" s="11"/>
      <c r="K632" s="12" t="s">
        <v>2774</v>
      </c>
      <c r="L632" s="11"/>
      <c r="M632" s="12" t="str">
        <f>HYPERLINK("https://ceds.ed.gov/cedselementdetails.aspx?termid=18904")</f>
        <v>https://ceds.ed.gov/cedselementdetails.aspx?termid=18904</v>
      </c>
      <c r="N632" s="12" t="str">
        <f>HYPERLINK("https://ceds.ed.gov/elementComment.aspx?elementName=Comprehensive Support and Improvement Status &amp;elementID=18904", "Click here to submit comment")</f>
        <v>Click here to submit comment</v>
      </c>
    </row>
    <row r="633" spans="1:14" ht="25.5" x14ac:dyDescent="0.25">
      <c r="A633" s="12" t="s">
        <v>2775</v>
      </c>
      <c r="B633" s="12" t="s">
        <v>2776</v>
      </c>
      <c r="C633" s="12" t="s">
        <v>37</v>
      </c>
      <c r="D633" s="12" t="s">
        <v>2777</v>
      </c>
      <c r="E633" s="11"/>
      <c r="F633" s="12" t="s">
        <v>135</v>
      </c>
      <c r="G633" s="11"/>
      <c r="H633" s="11"/>
      <c r="I633" s="12" t="s">
        <v>2778</v>
      </c>
      <c r="J633" s="11"/>
      <c r="K633" s="12" t="s">
        <v>2779</v>
      </c>
      <c r="L633" s="11"/>
      <c r="M633" s="12" t="str">
        <f>HYPERLINK("https://ceds.ed.gov/cedselementdetails.aspx?termid=18708")</f>
        <v>https://ceds.ed.gov/cedselementdetails.aspx?termid=18708</v>
      </c>
      <c r="N633" s="12" t="str">
        <f>HYPERLINK("https://ceds.ed.gov/elementComment.aspx?elementName=Consent to Evaluation Date &amp;elementID=18708", "Click here to submit comment")</f>
        <v>Click here to submit comment</v>
      </c>
    </row>
    <row r="634" spans="1:14" ht="38.25" x14ac:dyDescent="0.25">
      <c r="A634" s="12" t="s">
        <v>2780</v>
      </c>
      <c r="B634" s="12" t="s">
        <v>2781</v>
      </c>
      <c r="C634" s="12" t="s">
        <v>24</v>
      </c>
      <c r="D634" s="12" t="s">
        <v>2777</v>
      </c>
      <c r="E634" s="11"/>
      <c r="F634" s="11"/>
      <c r="G634" s="11"/>
      <c r="H634" s="11"/>
      <c r="I634" s="12" t="s">
        <v>2782</v>
      </c>
      <c r="J634" s="11"/>
      <c r="K634" s="12" t="s">
        <v>2783</v>
      </c>
      <c r="L634" s="11"/>
      <c r="M634" s="12" t="str">
        <f>HYPERLINK("https://ceds.ed.gov/cedselementdetails.aspx?termid=18707")</f>
        <v>https://ceds.ed.gov/cedselementdetails.aspx?termid=18707</v>
      </c>
      <c r="N634" s="12" t="str">
        <f>HYPERLINK("https://ceds.ed.gov/elementComment.aspx?elementName=Consent to Evaluation Indicator &amp;elementID=18707", "Click here to submit comment")</f>
        <v>Click here to submit comment</v>
      </c>
    </row>
    <row r="635" spans="1:14" ht="51" x14ac:dyDescent="0.25">
      <c r="A635" s="12" t="s">
        <v>2784</v>
      </c>
      <c r="B635" s="12" t="s">
        <v>2785</v>
      </c>
      <c r="C635" s="13" t="s">
        <v>408</v>
      </c>
      <c r="D635" s="12" t="s">
        <v>2786</v>
      </c>
      <c r="E635" s="11"/>
      <c r="F635" s="11"/>
      <c r="G635" s="11"/>
      <c r="H635" s="11"/>
      <c r="I635" s="12" t="s">
        <v>2787</v>
      </c>
      <c r="J635" s="12" t="s">
        <v>2788</v>
      </c>
      <c r="K635" s="12" t="s">
        <v>2789</v>
      </c>
      <c r="L635" s="12" t="s">
        <v>258</v>
      </c>
      <c r="M635" s="12" t="str">
        <f>HYPERLINK("https://ceds.ed.gov/cedselementdetails.aspx?termid=17533")</f>
        <v>https://ceds.ed.gov/cedselementdetails.aspx?termid=17533</v>
      </c>
      <c r="N635" s="12" t="str">
        <f>HYPERLINK("https://ceds.ed.gov/elementComment.aspx?elementName=Consolidated Migrant Education Program Funds Status &amp;elementID=17533", "Click here to submit comment")</f>
        <v>Click here to submit comment</v>
      </c>
    </row>
    <row r="636" spans="1:14" ht="89.25" x14ac:dyDescent="0.25">
      <c r="A636" s="12" t="s">
        <v>2790</v>
      </c>
      <c r="B636" s="12" t="s">
        <v>2791</v>
      </c>
      <c r="C636" s="13" t="s">
        <v>2792</v>
      </c>
      <c r="D636" s="12" t="s">
        <v>2793</v>
      </c>
      <c r="E636" s="11"/>
      <c r="F636" s="11"/>
      <c r="G636" s="11"/>
      <c r="H636" s="11"/>
      <c r="I636" s="12" t="s">
        <v>2794</v>
      </c>
      <c r="J636" s="11"/>
      <c r="K636" s="12" t="s">
        <v>2795</v>
      </c>
      <c r="L636" s="12" t="s">
        <v>1751</v>
      </c>
      <c r="M636" s="12" t="str">
        <f>HYPERLINK("https://ceds.ed.gov/cedselementdetails.aspx?termid=17419")</f>
        <v>https://ceds.ed.gov/cedselementdetails.aspx?termid=17419</v>
      </c>
      <c r="N636" s="12" t="str">
        <f>HYPERLINK("https://ceds.ed.gov/elementComment.aspx?elementName=Continuation of Services Reason &amp;elementID=17419", "Click here to submit comment")</f>
        <v>Click here to submit comment</v>
      </c>
    </row>
    <row r="637" spans="1:14" ht="38.25" x14ac:dyDescent="0.25">
      <c r="A637" s="12" t="s">
        <v>2796</v>
      </c>
      <c r="B637" s="12" t="s">
        <v>2797</v>
      </c>
      <c r="C637" s="12" t="s">
        <v>37</v>
      </c>
      <c r="D637" s="12" t="s">
        <v>2798</v>
      </c>
      <c r="E637" s="11"/>
      <c r="F637" s="12" t="s">
        <v>135</v>
      </c>
      <c r="G637" s="11"/>
      <c r="H637" s="11"/>
      <c r="I637" s="12" t="s">
        <v>2799</v>
      </c>
      <c r="J637" s="11"/>
      <c r="K637" s="12" t="s">
        <v>2800</v>
      </c>
      <c r="L637" s="12" t="s">
        <v>2801</v>
      </c>
      <c r="M637" s="12" t="str">
        <f>HYPERLINK("https://ceds.ed.gov/cedselementdetails.aspx?termid=17348")</f>
        <v>https://ceds.ed.gov/cedselementdetails.aspx?termid=17348</v>
      </c>
      <c r="N637" s="12" t="str">
        <f>HYPERLINK("https://ceds.ed.gov/elementComment.aspx?elementName=Continuing License Date &amp;elementID=17348", "Click here to submit comment")</f>
        <v>Click here to submit comment</v>
      </c>
    </row>
    <row r="638" spans="1:14" ht="38.25" x14ac:dyDescent="0.25">
      <c r="A638" s="12" t="s">
        <v>2802</v>
      </c>
      <c r="B638" s="12" t="s">
        <v>2803</v>
      </c>
      <c r="C638" s="12" t="s">
        <v>37</v>
      </c>
      <c r="D638" s="12" t="s">
        <v>2804</v>
      </c>
      <c r="E638" s="11"/>
      <c r="F638" s="12" t="s">
        <v>1710</v>
      </c>
      <c r="G638" s="11"/>
      <c r="H638" s="11"/>
      <c r="I638" s="12" t="s">
        <v>2805</v>
      </c>
      <c r="J638" s="11"/>
      <c r="K638" s="12" t="s">
        <v>2806</v>
      </c>
      <c r="L638" s="12" t="s">
        <v>2807</v>
      </c>
      <c r="M638" s="12" t="str">
        <f>HYPERLINK("https://ceds.ed.gov/cedselementdetails.aspx?termid=17047")</f>
        <v>https://ceds.ed.gov/cedselementdetails.aspx?termid=17047</v>
      </c>
      <c r="N638" s="12" t="str">
        <f>HYPERLINK("https://ceds.ed.gov/elementComment.aspx?elementName=Contract Days of Service Per Year &amp;elementID=17047", "Click here to submit comment")</f>
        <v>Click here to submit comment</v>
      </c>
    </row>
    <row r="639" spans="1:14" ht="63.75" x14ac:dyDescent="0.25">
      <c r="A639" s="12" t="s">
        <v>2808</v>
      </c>
      <c r="B639" s="12" t="s">
        <v>2809</v>
      </c>
      <c r="C639" s="13" t="s">
        <v>2810</v>
      </c>
      <c r="D639" s="12" t="s">
        <v>76</v>
      </c>
      <c r="E639" s="11"/>
      <c r="F639" s="11"/>
      <c r="G639" s="11"/>
      <c r="H639" s="12" t="s">
        <v>2811</v>
      </c>
      <c r="I639" s="12" t="s">
        <v>2812</v>
      </c>
      <c r="J639" s="11"/>
      <c r="K639" s="12" t="s">
        <v>2813</v>
      </c>
      <c r="L639" s="12" t="s">
        <v>80</v>
      </c>
      <c r="M639" s="12" t="str">
        <f>HYPERLINK("https://ceds.ed.gov/cedselementdetails.aspx?termid=17714")</f>
        <v>https://ceds.ed.gov/cedselementdetails.aspx?termid=17714</v>
      </c>
      <c r="N639" s="12" t="str">
        <f>HYPERLINK("https://ceds.ed.gov/elementComment.aspx?elementName=Contract Type &amp;elementID=17714", "Click here to submit comment")</f>
        <v>Click here to submit comment</v>
      </c>
    </row>
    <row r="640" spans="1:14" ht="76.5" x14ac:dyDescent="0.25">
      <c r="A640" s="12" t="s">
        <v>2814</v>
      </c>
      <c r="B640" s="12" t="s">
        <v>2815</v>
      </c>
      <c r="C640" s="13" t="s">
        <v>2816</v>
      </c>
      <c r="D640" s="12" t="s">
        <v>2229</v>
      </c>
      <c r="E640" s="11"/>
      <c r="F640" s="11"/>
      <c r="G640" s="11"/>
      <c r="H640" s="11"/>
      <c r="I640" s="12" t="s">
        <v>2817</v>
      </c>
      <c r="J640" s="11"/>
      <c r="K640" s="12" t="s">
        <v>2818</v>
      </c>
      <c r="L640" s="12" t="s">
        <v>2232</v>
      </c>
      <c r="M640" s="12" t="str">
        <f>HYPERLINK("https://ceds.ed.gov/cedselementdetails.aspx?termid=17048")</f>
        <v>https://ceds.ed.gov/cedselementdetails.aspx?termid=17048</v>
      </c>
      <c r="N640" s="12" t="str">
        <f>HYPERLINK("https://ceds.ed.gov/elementComment.aspx?elementName=Control of Institution &amp;elementID=17048", "Click here to submit comment")</f>
        <v>Click here to submit comment</v>
      </c>
    </row>
    <row r="641" spans="1:14" ht="38.25" x14ac:dyDescent="0.25">
      <c r="A641" s="12" t="s">
        <v>2819</v>
      </c>
      <c r="B641" s="12" t="s">
        <v>2820</v>
      </c>
      <c r="C641" s="12" t="s">
        <v>24</v>
      </c>
      <c r="D641" s="12" t="s">
        <v>2821</v>
      </c>
      <c r="E641" s="11"/>
      <c r="F641" s="11"/>
      <c r="G641" s="11"/>
      <c r="H641" s="11"/>
      <c r="I641" s="12" t="s">
        <v>2822</v>
      </c>
      <c r="J641" s="11"/>
      <c r="K641" s="12" t="s">
        <v>2823</v>
      </c>
      <c r="L641" s="11"/>
      <c r="M641" s="12" t="str">
        <f>HYPERLINK("https://ceds.ed.gov/cedselementdetails.aspx?termid=17509")</f>
        <v>https://ceds.ed.gov/cedselementdetails.aspx?termid=17509</v>
      </c>
      <c r="N641" s="12" t="str">
        <f>HYPERLINK("https://ceds.ed.gov/elementComment.aspx?elementName=Core Academic Course &amp;elementID=17509", "Click here to submit comment")</f>
        <v>Click here to submit comment</v>
      </c>
    </row>
    <row r="642" spans="1:14" ht="102" x14ac:dyDescent="0.25">
      <c r="A642" s="12" t="s">
        <v>2824</v>
      </c>
      <c r="B642" s="12" t="s">
        <v>2825</v>
      </c>
      <c r="C642" s="13" t="s">
        <v>2826</v>
      </c>
      <c r="D642" s="12" t="s">
        <v>301</v>
      </c>
      <c r="E642" s="11"/>
      <c r="F642" s="11"/>
      <c r="G642" s="11"/>
      <c r="H642" s="11"/>
      <c r="I642" s="12" t="s">
        <v>2827</v>
      </c>
      <c r="J642" s="11"/>
      <c r="K642" s="12" t="s">
        <v>2828</v>
      </c>
      <c r="L642" s="11"/>
      <c r="M642" s="12" t="str">
        <f>HYPERLINK("https://ceds.ed.gov/cedselementdetails.aspx?termid=18262")</f>
        <v>https://ceds.ed.gov/cedselementdetails.aspx?termid=18262</v>
      </c>
      <c r="N642" s="12" t="str">
        <f>HYPERLINK("https://ceds.ed.gov/elementComment.aspx?elementName=Correctional Education Facility Type &amp;elementID=18262", "Click here to submit comment")</f>
        <v>Click here to submit comment</v>
      </c>
    </row>
    <row r="643" spans="1:14" ht="63.75" x14ac:dyDescent="0.25">
      <c r="A643" s="12" t="s">
        <v>2829</v>
      </c>
      <c r="B643" s="12" t="s">
        <v>2830</v>
      </c>
      <c r="C643" s="12" t="s">
        <v>24</v>
      </c>
      <c r="D643" s="12" t="s">
        <v>301</v>
      </c>
      <c r="E643" s="11"/>
      <c r="F643" s="11"/>
      <c r="G643" s="11"/>
      <c r="H643" s="11"/>
      <c r="I643" s="12" t="s">
        <v>2831</v>
      </c>
      <c r="J643" s="11"/>
      <c r="K643" s="12" t="s">
        <v>2832</v>
      </c>
      <c r="L643" s="11"/>
      <c r="M643" s="12" t="str">
        <f>HYPERLINK("https://ceds.ed.gov/cedselementdetails.aspx?termid=18263")</f>
        <v>https://ceds.ed.gov/cedselementdetails.aspx?termid=18263</v>
      </c>
      <c r="N643" s="12" t="str">
        <f>HYPERLINK("https://ceds.ed.gov/elementComment.aspx?elementName=Correctional Education Reentry Services Participation Indicator &amp;elementID=18263", "Click here to submit comment")</f>
        <v>Click here to submit comment</v>
      </c>
    </row>
    <row r="644" spans="1:14" ht="191.25" x14ac:dyDescent="0.25">
      <c r="A644" s="12" t="s">
        <v>2833</v>
      </c>
      <c r="B644" s="12" t="s">
        <v>2834</v>
      </c>
      <c r="C644" s="13" t="s">
        <v>2835</v>
      </c>
      <c r="D644" s="12" t="s">
        <v>2836</v>
      </c>
      <c r="E644" s="11"/>
      <c r="F644" s="11"/>
      <c r="G644" s="11"/>
      <c r="H644" s="11"/>
      <c r="I644" s="12" t="s">
        <v>2837</v>
      </c>
      <c r="J644" s="11"/>
      <c r="K644" s="12" t="s">
        <v>2838</v>
      </c>
      <c r="L644" s="12" t="s">
        <v>258</v>
      </c>
      <c r="M644" s="12" t="str">
        <f>HYPERLINK("https://ceds.ed.gov/cedselementdetails.aspx?termid=17049")</f>
        <v>https://ceds.ed.gov/cedselementdetails.aspx?termid=17049</v>
      </c>
      <c r="N644" s="12" t="str">
        <f>HYPERLINK("https://ceds.ed.gov/elementComment.aspx?elementName=Corrective Action Type &amp;elementID=17049", "Click here to submit comment")</f>
        <v>Click here to submit comment</v>
      </c>
    </row>
    <row r="645" spans="1:14" ht="89.25" x14ac:dyDescent="0.25">
      <c r="A645" s="12" t="s">
        <v>2839</v>
      </c>
      <c r="B645" s="12" t="s">
        <v>2840</v>
      </c>
      <c r="C645" s="12" t="s">
        <v>37</v>
      </c>
      <c r="D645" s="12" t="s">
        <v>2841</v>
      </c>
      <c r="E645" s="11"/>
      <c r="F645" s="12" t="s">
        <v>135</v>
      </c>
      <c r="G645" s="11"/>
      <c r="H645" s="12" t="s">
        <v>2842</v>
      </c>
      <c r="I645" s="12" t="s">
        <v>2843</v>
      </c>
      <c r="J645" s="11"/>
      <c r="K645" s="12" t="s">
        <v>2844</v>
      </c>
      <c r="L645" s="11"/>
      <c r="M645" s="12" t="str">
        <f>HYPERLINK("https://ceds.ed.gov/cedselementdetails.aspx?termid=18741")</f>
        <v>https://ceds.ed.gov/cedselementdetails.aspx?termid=18741</v>
      </c>
      <c r="N645" s="12" t="str">
        <f>HYPERLINK("https://ceds.ed.gov/elementComment.aspx?elementName=Count Date &amp;elementID=18741", "Click here to submit comment")</f>
        <v>Click here to submit comment</v>
      </c>
    </row>
    <row r="646" spans="1:14" ht="409.5" x14ac:dyDescent="0.25">
      <c r="A646" s="12" t="s">
        <v>2845</v>
      </c>
      <c r="B646" s="12" t="s">
        <v>2846</v>
      </c>
      <c r="C646" s="13" t="s">
        <v>2847</v>
      </c>
      <c r="D646" s="12" t="s">
        <v>2848</v>
      </c>
      <c r="E646" s="11"/>
      <c r="F646" s="11"/>
      <c r="G646" s="11"/>
      <c r="H646" s="6" t="s">
        <v>2849</v>
      </c>
      <c r="I646" s="12" t="s">
        <v>2850</v>
      </c>
      <c r="J646" s="11"/>
      <c r="K646" s="12" t="s">
        <v>2851</v>
      </c>
      <c r="L646" s="12" t="s">
        <v>2852</v>
      </c>
      <c r="M646" s="12" t="str">
        <f>HYPERLINK("https://ceds.ed.gov/cedselementdetails.aspx?termid=17050")</f>
        <v>https://ceds.ed.gov/cedselementdetails.aspx?termid=17050</v>
      </c>
      <c r="N646" s="12" t="str">
        <f>HYPERLINK("https://ceds.ed.gov/elementComment.aspx?elementName=Country Code &amp;elementID=17050", "Click here to submit comment")</f>
        <v>Click here to submit comment</v>
      </c>
    </row>
    <row r="647" spans="1:14" ht="409.5" x14ac:dyDescent="0.25">
      <c r="A647" s="12" t="s">
        <v>2853</v>
      </c>
      <c r="B647" s="12" t="s">
        <v>2854</v>
      </c>
      <c r="C647" s="13" t="s">
        <v>2847</v>
      </c>
      <c r="D647" s="12" t="s">
        <v>2855</v>
      </c>
      <c r="E647" s="12" t="s">
        <v>195</v>
      </c>
      <c r="F647" s="11"/>
      <c r="G647" s="12" t="s">
        <v>2856</v>
      </c>
      <c r="H647" s="6" t="s">
        <v>2849</v>
      </c>
      <c r="I647" s="12" t="s">
        <v>2857</v>
      </c>
      <c r="J647" s="11"/>
      <c r="K647" s="12" t="s">
        <v>2858</v>
      </c>
      <c r="L647" s="12" t="s">
        <v>2859</v>
      </c>
      <c r="M647" s="12" t="str">
        <f>HYPERLINK("https://ceds.ed.gov/cedselementdetails.aspx?termid=17051")</f>
        <v>https://ceds.ed.gov/cedselementdetails.aspx?termid=17051</v>
      </c>
      <c r="N647" s="12" t="str">
        <f>HYPERLINK("https://ceds.ed.gov/elementComment.aspx?elementName=Country of Birth Code &amp;elementID=17051", "Click here to submit comment")</f>
        <v>Click here to submit comment</v>
      </c>
    </row>
    <row r="648" spans="1:14" ht="409.5" x14ac:dyDescent="0.25">
      <c r="A648" s="12" t="s">
        <v>2860</v>
      </c>
      <c r="B648" s="12" t="s">
        <v>2861</v>
      </c>
      <c r="C648" s="12" t="s">
        <v>37</v>
      </c>
      <c r="D648" s="12" t="s">
        <v>2862</v>
      </c>
      <c r="E648" s="12" t="s">
        <v>195</v>
      </c>
      <c r="F648" s="12" t="s">
        <v>2863</v>
      </c>
      <c r="G648" s="12" t="s">
        <v>2864</v>
      </c>
      <c r="H648" s="11"/>
      <c r="I648" s="12" t="s">
        <v>2865</v>
      </c>
      <c r="J648" s="11"/>
      <c r="K648" s="12" t="s">
        <v>2866</v>
      </c>
      <c r="L648" s="11"/>
      <c r="M648" s="12" t="str">
        <f>HYPERLINK("https://ceds.ed.gov/cedselementdetails.aspx?termid=18176")</f>
        <v>https://ceds.ed.gov/cedselementdetails.aspx?termid=18176</v>
      </c>
      <c r="N648" s="12" t="str">
        <f>HYPERLINK("https://ceds.ed.gov/elementComment.aspx?elementName=County ANSI Code &amp;elementID=18176", "Click here to submit comment")</f>
        <v>Click here to submit comment</v>
      </c>
    </row>
    <row r="649" spans="1:14" ht="102" x14ac:dyDescent="0.25">
      <c r="A649" s="12" t="s">
        <v>2867</v>
      </c>
      <c r="B649" s="12" t="s">
        <v>2868</v>
      </c>
      <c r="C649" s="12" t="s">
        <v>37</v>
      </c>
      <c r="D649" s="12" t="s">
        <v>2869</v>
      </c>
      <c r="E649" s="11"/>
      <c r="F649" s="12" t="s">
        <v>2870</v>
      </c>
      <c r="G649" s="11"/>
      <c r="H649" s="11"/>
      <c r="I649" s="12" t="s">
        <v>2871</v>
      </c>
      <c r="J649" s="11"/>
      <c r="K649" s="12" t="s">
        <v>2872</v>
      </c>
      <c r="L649" s="12" t="s">
        <v>2232</v>
      </c>
      <c r="M649" s="12" t="str">
        <f>HYPERLINK("https://ceds.ed.gov/cedselementdetails.aspx?termid=17053")</f>
        <v>https://ceds.ed.gov/cedselementdetails.aspx?termid=17053</v>
      </c>
      <c r="N649" s="12" t="str">
        <f>HYPERLINK("https://ceds.ed.gov/elementComment.aspx?elementName=Course Academic Grade &amp;elementID=17053", "Click here to submit comment")</f>
        <v>Click here to submit comment</v>
      </c>
    </row>
    <row r="650" spans="1:14" ht="114.75" x14ac:dyDescent="0.25">
      <c r="A650" s="12" t="s">
        <v>2873</v>
      </c>
      <c r="B650" s="12" t="s">
        <v>2874</v>
      </c>
      <c r="C650" s="12" t="s">
        <v>37</v>
      </c>
      <c r="D650" s="12" t="s">
        <v>2875</v>
      </c>
      <c r="E650" s="11"/>
      <c r="F650" s="12" t="s">
        <v>2876</v>
      </c>
      <c r="G650" s="11"/>
      <c r="H650" s="12" t="s">
        <v>2877</v>
      </c>
      <c r="I650" s="12" t="s">
        <v>2878</v>
      </c>
      <c r="J650" s="11"/>
      <c r="K650" s="12" t="s">
        <v>2879</v>
      </c>
      <c r="L650" s="11"/>
      <c r="M650" s="12" t="str">
        <f>HYPERLINK("https://ceds.ed.gov/cedselementdetails.aspx?termid=18264")</f>
        <v>https://ceds.ed.gov/cedselementdetails.aspx?termid=18264</v>
      </c>
      <c r="N650" s="12" t="str">
        <f>HYPERLINK("https://ceds.ed.gov/elementComment.aspx?elementName=Course Academic Grade Scale Code &amp;elementID=18264", "Click here to submit comment")</f>
        <v>Click here to submit comment</v>
      </c>
    </row>
    <row r="651" spans="1:14" ht="229.5" x14ac:dyDescent="0.25">
      <c r="A651" s="12" t="s">
        <v>2880</v>
      </c>
      <c r="B651" s="12" t="s">
        <v>2881</v>
      </c>
      <c r="C651" s="13" t="s">
        <v>2882</v>
      </c>
      <c r="D651" s="12" t="s">
        <v>2883</v>
      </c>
      <c r="E651" s="11"/>
      <c r="F651" s="11"/>
      <c r="G651" s="11"/>
      <c r="H651" s="11"/>
      <c r="I651" s="12" t="s">
        <v>2884</v>
      </c>
      <c r="J651" s="11"/>
      <c r="K651" s="12" t="s">
        <v>2885</v>
      </c>
      <c r="L651" s="11"/>
      <c r="M651" s="12" t="str">
        <f>HYPERLINK("https://ceds.ed.gov/cedselementdetails.aspx?termid=18265")</f>
        <v>https://ceds.ed.gov/cedselementdetails.aspx?termid=18265</v>
      </c>
      <c r="N651" s="12" t="str">
        <f>HYPERLINK("https://ceds.ed.gov/elementComment.aspx?elementName=Course Academic Grade Status Code &amp;elementID=18265", "Click here to submit comment")</f>
        <v>Click here to submit comment</v>
      </c>
    </row>
    <row r="652" spans="1:14" ht="102" x14ac:dyDescent="0.25">
      <c r="A652" s="12" t="s">
        <v>2886</v>
      </c>
      <c r="B652" s="12" t="s">
        <v>2887</v>
      </c>
      <c r="C652" s="12" t="s">
        <v>37</v>
      </c>
      <c r="D652" s="12" t="s">
        <v>2869</v>
      </c>
      <c r="E652" s="11"/>
      <c r="F652" s="12" t="s">
        <v>135</v>
      </c>
      <c r="G652" s="11"/>
      <c r="H652" s="11"/>
      <c r="I652" s="12" t="s">
        <v>2888</v>
      </c>
      <c r="J652" s="11"/>
      <c r="K652" s="12" t="s">
        <v>2889</v>
      </c>
      <c r="L652" s="11"/>
      <c r="M652" s="12" t="str">
        <f>HYPERLINK("https://ceds.ed.gov/cedselementdetails.aspx?termid=18266")</f>
        <v>https://ceds.ed.gov/cedselementdetails.aspx?termid=18266</v>
      </c>
      <c r="N652" s="12" t="str">
        <f>HYPERLINK("https://ceds.ed.gov/elementComment.aspx?elementName=Course Add Date &amp;elementID=18266", "Click here to submit comment")</f>
        <v>Click here to submit comment</v>
      </c>
    </row>
    <row r="653" spans="1:14" ht="114.75" x14ac:dyDescent="0.25">
      <c r="A653" s="12" t="s">
        <v>2890</v>
      </c>
      <c r="B653" s="12" t="s">
        <v>2891</v>
      </c>
      <c r="C653" s="12" t="s">
        <v>24</v>
      </c>
      <c r="D653" s="12" t="s">
        <v>181</v>
      </c>
      <c r="E653" s="11"/>
      <c r="F653" s="11"/>
      <c r="G653" s="11"/>
      <c r="H653" s="11"/>
      <c r="I653" s="12" t="s">
        <v>2892</v>
      </c>
      <c r="J653" s="11"/>
      <c r="K653" s="12" t="s">
        <v>2893</v>
      </c>
      <c r="L653" s="11"/>
      <c r="M653" s="12" t="str">
        <f>HYPERLINK("https://ceds.ed.gov/cedselementdetails.aspx?termid=17013")</f>
        <v>https://ceds.ed.gov/cedselementdetails.aspx?termid=17013</v>
      </c>
      <c r="N653" s="12" t="str">
        <f>HYPERLINK("https://ceds.ed.gov/elementComment.aspx?elementName=Course Aligned with Standards &amp;elementID=17013", "Click here to submit comment")</f>
        <v>Click here to submit comment</v>
      </c>
    </row>
    <row r="654" spans="1:14" ht="369.75" x14ac:dyDescent="0.25">
      <c r="A654" s="12" t="s">
        <v>2894</v>
      </c>
      <c r="B654" s="12" t="s">
        <v>2895</v>
      </c>
      <c r="C654" s="13" t="s">
        <v>2896</v>
      </c>
      <c r="D654" s="12" t="s">
        <v>2897</v>
      </c>
      <c r="E654" s="11"/>
      <c r="F654" s="11"/>
      <c r="G654" s="11"/>
      <c r="H654" s="12" t="s">
        <v>2898</v>
      </c>
      <c r="I654" s="12" t="s">
        <v>2899</v>
      </c>
      <c r="J654" s="11"/>
      <c r="K654" s="12" t="s">
        <v>2900</v>
      </c>
      <c r="L654" s="11"/>
      <c r="M654" s="12" t="str">
        <f>HYPERLINK("https://ceds.ed.gov/cedselementdetails.aspx?termid=18267")</f>
        <v>https://ceds.ed.gov/cedselementdetails.aspx?termid=18267</v>
      </c>
      <c r="N654" s="12" t="str">
        <f>HYPERLINK("https://ceds.ed.gov/elementComment.aspx?elementName=Course Applicable Education Level &amp;elementID=18267", "Click here to submit comment")</f>
        <v>Click here to submit comment</v>
      </c>
    </row>
    <row r="655" spans="1:14" ht="76.5" x14ac:dyDescent="0.25">
      <c r="A655" s="12" t="s">
        <v>2901</v>
      </c>
      <c r="B655" s="12" t="s">
        <v>2902</v>
      </c>
      <c r="C655" s="12" t="s">
        <v>37</v>
      </c>
      <c r="D655" s="12" t="s">
        <v>376</v>
      </c>
      <c r="E655" s="11"/>
      <c r="F655" s="12" t="s">
        <v>135</v>
      </c>
      <c r="G655" s="11"/>
      <c r="H655" s="11"/>
      <c r="I655" s="12" t="s">
        <v>2903</v>
      </c>
      <c r="J655" s="11"/>
      <c r="K655" s="12" t="s">
        <v>2904</v>
      </c>
      <c r="L655" s="12" t="s">
        <v>2232</v>
      </c>
      <c r="M655" s="12" t="str">
        <f>HYPERLINK("https://ceds.ed.gov/cedselementdetails.aspx?termid=17054")</f>
        <v>https://ceds.ed.gov/cedselementdetails.aspx?termid=17054</v>
      </c>
      <c r="N655" s="12" t="str">
        <f>HYPERLINK("https://ceds.ed.gov/elementComment.aspx?elementName=Course Begin Date &amp;elementID=17054", "Click here to submit comment")</f>
        <v>Click here to submit comment</v>
      </c>
    </row>
    <row r="656" spans="1:14" ht="89.25" x14ac:dyDescent="0.25">
      <c r="A656" s="12" t="s">
        <v>2905</v>
      </c>
      <c r="B656" s="12" t="s">
        <v>2906</v>
      </c>
      <c r="C656" s="12" t="s">
        <v>37</v>
      </c>
      <c r="D656" s="12" t="s">
        <v>2897</v>
      </c>
      <c r="E656" s="11"/>
      <c r="F656" s="12" t="s">
        <v>129</v>
      </c>
      <c r="G656" s="11"/>
      <c r="H656" s="11"/>
      <c r="I656" s="12" t="s">
        <v>2907</v>
      </c>
      <c r="J656" s="11"/>
      <c r="K656" s="12" t="s">
        <v>2908</v>
      </c>
      <c r="L656" s="11"/>
      <c r="M656" s="12" t="str">
        <f>HYPERLINK("https://ceds.ed.gov/cedselementdetails.aspx?termid=18268")</f>
        <v>https://ceds.ed.gov/cedselementdetails.aspx?termid=18268</v>
      </c>
      <c r="N656" s="12" t="str">
        <f>HYPERLINK("https://ceds.ed.gov/elementComment.aspx?elementName=Course Certification Description &amp;elementID=18268", "Click here to submit comment")</f>
        <v>Click here to submit comment</v>
      </c>
    </row>
    <row r="657" spans="1:14" ht="191.25" x14ac:dyDescent="0.25">
      <c r="A657" s="12" t="s">
        <v>2909</v>
      </c>
      <c r="B657" s="12" t="s">
        <v>2910</v>
      </c>
      <c r="C657" s="13" t="s">
        <v>2911</v>
      </c>
      <c r="D657" s="12" t="s">
        <v>2912</v>
      </c>
      <c r="E657" s="11"/>
      <c r="F657" s="11"/>
      <c r="G657" s="11"/>
      <c r="H657" s="11"/>
      <c r="I657" s="12" t="s">
        <v>2913</v>
      </c>
      <c r="J657" s="11"/>
      <c r="K657" s="12" t="s">
        <v>2914</v>
      </c>
      <c r="L657" s="12" t="s">
        <v>1713</v>
      </c>
      <c r="M657" s="12" t="str">
        <f>HYPERLINK("https://ceds.ed.gov/cedselementdetails.aspx?termid=17056")</f>
        <v>https://ceds.ed.gov/cedselementdetails.aspx?termid=17056</v>
      </c>
      <c r="N657" s="12" t="str">
        <f>HYPERLINK("https://ceds.ed.gov/elementComment.aspx?elementName=Course Code System &amp;elementID=17056", "Click here to submit comment")</f>
        <v>Click here to submit comment</v>
      </c>
    </row>
    <row r="658" spans="1:14" ht="395.25" x14ac:dyDescent="0.25">
      <c r="A658" s="12" t="s">
        <v>2915</v>
      </c>
      <c r="B658" s="12" t="s">
        <v>2916</v>
      </c>
      <c r="C658" s="13" t="s">
        <v>2917</v>
      </c>
      <c r="D658" s="12" t="s">
        <v>2875</v>
      </c>
      <c r="E658" s="11"/>
      <c r="F658" s="11"/>
      <c r="G658" s="11"/>
      <c r="H658" s="11"/>
      <c r="I658" s="12" t="s">
        <v>2918</v>
      </c>
      <c r="J658" s="11"/>
      <c r="K658" s="12" t="s">
        <v>2919</v>
      </c>
      <c r="L658" s="11"/>
      <c r="M658" s="12" t="str">
        <f>HYPERLINK("https://ceds.ed.gov/cedselementdetails.aspx?termid=18269")</f>
        <v>https://ceds.ed.gov/cedselementdetails.aspx?termid=18269</v>
      </c>
      <c r="N658" s="12" t="str">
        <f>HYPERLINK("https://ceds.ed.gov/elementComment.aspx?elementName=Course Credit Basis Type &amp;elementID=18269", "Click here to submit comment")</f>
        <v>Click here to submit comment</v>
      </c>
    </row>
    <row r="659" spans="1:14" ht="191.25" x14ac:dyDescent="0.25">
      <c r="A659" s="12" t="s">
        <v>2920</v>
      </c>
      <c r="B659" s="12" t="s">
        <v>2921</v>
      </c>
      <c r="C659" s="13" t="s">
        <v>2922</v>
      </c>
      <c r="D659" s="12" t="s">
        <v>2875</v>
      </c>
      <c r="E659" s="11"/>
      <c r="F659" s="11"/>
      <c r="G659" s="11"/>
      <c r="H659" s="11"/>
      <c r="I659" s="12" t="s">
        <v>2923</v>
      </c>
      <c r="J659" s="11"/>
      <c r="K659" s="12" t="s">
        <v>2924</v>
      </c>
      <c r="L659" s="11"/>
      <c r="M659" s="12" t="str">
        <f>HYPERLINK("https://ceds.ed.gov/cedselementdetails.aspx?termid=18270")</f>
        <v>https://ceds.ed.gov/cedselementdetails.aspx?termid=18270</v>
      </c>
      <c r="N659" s="12" t="str">
        <f>HYPERLINK("https://ceds.ed.gov/elementComment.aspx?elementName=Course Credit Level Type &amp;elementID=18270", "Click here to submit comment")</f>
        <v>Click here to submit comment</v>
      </c>
    </row>
    <row r="660" spans="1:14" ht="165.75" x14ac:dyDescent="0.25">
      <c r="A660" s="12" t="s">
        <v>2925</v>
      </c>
      <c r="B660" s="12" t="s">
        <v>2926</v>
      </c>
      <c r="C660" s="13" t="s">
        <v>2927</v>
      </c>
      <c r="D660" s="12" t="s">
        <v>2928</v>
      </c>
      <c r="E660" s="11"/>
      <c r="F660" s="11"/>
      <c r="G660" s="11"/>
      <c r="H660" s="11"/>
      <c r="I660" s="12" t="s">
        <v>2929</v>
      </c>
      <c r="J660" s="11"/>
      <c r="K660" s="12" t="s">
        <v>2930</v>
      </c>
      <c r="L660" s="12" t="s">
        <v>65</v>
      </c>
      <c r="M660" s="12" t="str">
        <f>HYPERLINK("https://ceds.ed.gov/cedselementdetails.aspx?termid=17057")</f>
        <v>https://ceds.ed.gov/cedselementdetails.aspx?termid=17057</v>
      </c>
      <c r="N660" s="12" t="str">
        <f>HYPERLINK("https://ceds.ed.gov/elementComment.aspx?elementName=Course Credit Units &amp;elementID=17057", "Click here to submit comment")</f>
        <v>Click here to submit comment</v>
      </c>
    </row>
    <row r="661" spans="1:14" ht="153" x14ac:dyDescent="0.25">
      <c r="A661" s="12" t="s">
        <v>2931</v>
      </c>
      <c r="B661" s="12" t="s">
        <v>2932</v>
      </c>
      <c r="C661" s="12" t="s">
        <v>37</v>
      </c>
      <c r="D661" s="12" t="s">
        <v>2933</v>
      </c>
      <c r="E661" s="11"/>
      <c r="F661" s="12" t="s">
        <v>175</v>
      </c>
      <c r="G661" s="11"/>
      <c r="H661" s="11"/>
      <c r="I661" s="12" t="s">
        <v>2934</v>
      </c>
      <c r="J661" s="11"/>
      <c r="K661" s="12" t="s">
        <v>2935</v>
      </c>
      <c r="L661" s="11"/>
      <c r="M661" s="12" t="str">
        <f>HYPERLINK("https://ceds.ed.gov/cedselementdetails.aspx?termid=18525")</f>
        <v>https://ceds.ed.gov/cedselementdetails.aspx?termid=18525</v>
      </c>
      <c r="N661" s="12" t="str">
        <f>HYPERLINK("https://ceds.ed.gov/elementComment.aspx?elementName=Course Department Name &amp;elementID=18525", "Click here to submit comment")</f>
        <v>Click here to submit comment</v>
      </c>
    </row>
    <row r="662" spans="1:14" ht="114.75" x14ac:dyDescent="0.25">
      <c r="A662" s="12" t="s">
        <v>2936</v>
      </c>
      <c r="B662" s="12" t="s">
        <v>2937</v>
      </c>
      <c r="C662" s="12" t="s">
        <v>37</v>
      </c>
      <c r="D662" s="12" t="s">
        <v>181</v>
      </c>
      <c r="E662" s="11"/>
      <c r="F662" s="12" t="s">
        <v>175</v>
      </c>
      <c r="G662" s="11"/>
      <c r="H662" s="11"/>
      <c r="I662" s="12" t="s">
        <v>2938</v>
      </c>
      <c r="J662" s="11"/>
      <c r="K662" s="12" t="s">
        <v>2939</v>
      </c>
      <c r="L662" s="11"/>
      <c r="M662" s="12" t="str">
        <f>HYPERLINK("https://ceds.ed.gov/cedselementdetails.aspx?termid=17508")</f>
        <v>https://ceds.ed.gov/cedselementdetails.aspx?termid=17508</v>
      </c>
      <c r="N662" s="12" t="str">
        <f>HYPERLINK("https://ceds.ed.gov/elementComment.aspx?elementName=Course Description &amp;elementID=17508", "Click here to submit comment")</f>
        <v>Click here to submit comment</v>
      </c>
    </row>
    <row r="663" spans="1:14" ht="102" x14ac:dyDescent="0.25">
      <c r="A663" s="12" t="s">
        <v>2940</v>
      </c>
      <c r="B663" s="12" t="s">
        <v>2941</v>
      </c>
      <c r="C663" s="12" t="s">
        <v>37</v>
      </c>
      <c r="D663" s="12" t="s">
        <v>2869</v>
      </c>
      <c r="E663" s="11"/>
      <c r="F663" s="12" t="s">
        <v>135</v>
      </c>
      <c r="G663" s="11"/>
      <c r="H663" s="11"/>
      <c r="I663" s="12" t="s">
        <v>2942</v>
      </c>
      <c r="J663" s="11"/>
      <c r="K663" s="12" t="s">
        <v>2943</v>
      </c>
      <c r="L663" s="12" t="s">
        <v>2944</v>
      </c>
      <c r="M663" s="12" t="str">
        <f>HYPERLINK("https://ceds.ed.gov/cedselementdetails.aspx?termid=18271")</f>
        <v>https://ceds.ed.gov/cedselementdetails.aspx?termid=18271</v>
      </c>
      <c r="N663" s="12" t="str">
        <f>HYPERLINK("https://ceds.ed.gov/elementComment.aspx?elementName=Course Drop Date &amp;elementID=18271", "Click here to submit comment")</f>
        <v>Click here to submit comment</v>
      </c>
    </row>
    <row r="664" spans="1:14" ht="76.5" x14ac:dyDescent="0.25">
      <c r="A664" s="12" t="s">
        <v>2945</v>
      </c>
      <c r="B664" s="12" t="s">
        <v>2946</v>
      </c>
      <c r="C664" s="12" t="s">
        <v>37</v>
      </c>
      <c r="D664" s="12" t="s">
        <v>376</v>
      </c>
      <c r="E664" s="11"/>
      <c r="F664" s="12" t="s">
        <v>135</v>
      </c>
      <c r="G664" s="11"/>
      <c r="H664" s="12" t="s">
        <v>160</v>
      </c>
      <c r="I664" s="12" t="s">
        <v>2947</v>
      </c>
      <c r="J664" s="11"/>
      <c r="K664" s="12" t="s">
        <v>2948</v>
      </c>
      <c r="L664" s="12" t="s">
        <v>2232</v>
      </c>
      <c r="M664" s="12" t="str">
        <f>HYPERLINK("https://ceds.ed.gov/cedselementdetails.aspx?termid=17059")</f>
        <v>https://ceds.ed.gov/cedselementdetails.aspx?termid=17059</v>
      </c>
      <c r="N664" s="12" t="str">
        <f>HYPERLINK("https://ceds.ed.gov/elementComment.aspx?elementName=Course End Date &amp;elementID=17059", "Click here to submit comment")</f>
        <v>Click here to submit comment</v>
      </c>
    </row>
    <row r="665" spans="1:14" ht="89.25" x14ac:dyDescent="0.25">
      <c r="A665" s="12" t="s">
        <v>2949</v>
      </c>
      <c r="B665" s="12" t="s">
        <v>2950</v>
      </c>
      <c r="C665" s="12" t="s">
        <v>37</v>
      </c>
      <c r="D665" s="12" t="s">
        <v>2897</v>
      </c>
      <c r="E665" s="11"/>
      <c r="F665" s="12" t="s">
        <v>97</v>
      </c>
      <c r="G665" s="11"/>
      <c r="H665" s="12" t="s">
        <v>2951</v>
      </c>
      <c r="I665" s="12" t="s">
        <v>2952</v>
      </c>
      <c r="J665" s="11"/>
      <c r="K665" s="12" t="s">
        <v>2953</v>
      </c>
      <c r="L665" s="11"/>
      <c r="M665" s="12" t="str">
        <f>HYPERLINK("https://ceds.ed.gov/cedselementdetails.aspx?termid=18272")</f>
        <v>https://ceds.ed.gov/cedselementdetails.aspx?termid=18272</v>
      </c>
      <c r="N665" s="12" t="str">
        <f>HYPERLINK("https://ceds.ed.gov/elementComment.aspx?elementName=Course Funding Program &amp;elementID=18272", "Click here to submit comment")</f>
        <v>Click here to submit comment</v>
      </c>
    </row>
    <row r="666" spans="1:14" ht="140.25" x14ac:dyDescent="0.25">
      <c r="A666" s="12" t="s">
        <v>2954</v>
      </c>
      <c r="B666" s="12" t="s">
        <v>2955</v>
      </c>
      <c r="C666" s="13" t="s">
        <v>2956</v>
      </c>
      <c r="D666" s="12" t="s">
        <v>2957</v>
      </c>
      <c r="E666" s="11"/>
      <c r="F666" s="11"/>
      <c r="G666" s="11"/>
      <c r="H666" s="11"/>
      <c r="I666" s="12" t="s">
        <v>2958</v>
      </c>
      <c r="J666" s="12" t="s">
        <v>2959</v>
      </c>
      <c r="K666" s="12" t="s">
        <v>2960</v>
      </c>
      <c r="L666" s="12" t="s">
        <v>1713</v>
      </c>
      <c r="M666" s="12" t="str">
        <f>HYPERLINK("https://ceds.ed.gov/cedselementdetails.aspx?termid=17060")</f>
        <v>https://ceds.ed.gov/cedselementdetails.aspx?termid=17060</v>
      </c>
      <c r="N666" s="12" t="str">
        <f>HYPERLINK("https://ceds.ed.gov/elementComment.aspx?elementName=Course Grade Point Average Applicability &amp;elementID=17060", "Click here to submit comment")</f>
        <v>Click here to submit comment</v>
      </c>
    </row>
    <row r="667" spans="1:14" ht="63.75" x14ac:dyDescent="0.25">
      <c r="A667" s="12" t="s">
        <v>2961</v>
      </c>
      <c r="B667" s="12" t="s">
        <v>2962</v>
      </c>
      <c r="C667" s="13" t="s">
        <v>2963</v>
      </c>
      <c r="D667" s="12" t="s">
        <v>2875</v>
      </c>
      <c r="E667" s="11"/>
      <c r="F667" s="11"/>
      <c r="G667" s="11"/>
      <c r="H667" s="11"/>
      <c r="I667" s="12" t="s">
        <v>2964</v>
      </c>
      <c r="J667" s="11"/>
      <c r="K667" s="12" t="s">
        <v>2965</v>
      </c>
      <c r="L667" s="11"/>
      <c r="M667" s="12" t="str">
        <f>HYPERLINK("https://ceds.ed.gov/cedselementdetails.aspx?termid=18273")</f>
        <v>https://ceds.ed.gov/cedselementdetails.aspx?termid=18273</v>
      </c>
      <c r="N667" s="12" t="str">
        <f>HYPERLINK("https://ceds.ed.gov/elementComment.aspx?elementName=Course Honors Type &amp;elementID=18273", "Click here to submit comment")</f>
        <v>Click here to submit comment</v>
      </c>
    </row>
    <row r="668" spans="1:14" ht="76.5" x14ac:dyDescent="0.25">
      <c r="A668" s="15" t="s">
        <v>2966</v>
      </c>
      <c r="B668" s="15" t="s">
        <v>2967</v>
      </c>
      <c r="C668" s="15" t="s">
        <v>37</v>
      </c>
      <c r="D668" s="15" t="s">
        <v>2912</v>
      </c>
      <c r="E668" s="16"/>
      <c r="F668" s="15" t="s">
        <v>149</v>
      </c>
      <c r="G668" s="16"/>
      <c r="H668" s="12" t="s">
        <v>150</v>
      </c>
      <c r="I668" s="15" t="s">
        <v>2968</v>
      </c>
      <c r="J668" s="16"/>
      <c r="K668" s="15" t="s">
        <v>2969</v>
      </c>
      <c r="L668" s="15" t="s">
        <v>2970</v>
      </c>
      <c r="M668" s="15" t="str">
        <f>HYPERLINK("https://ceds.ed.gov/cedselementdetails.aspx?termid=17055")</f>
        <v>https://ceds.ed.gov/cedselementdetails.aspx?termid=17055</v>
      </c>
      <c r="N668" s="15" t="str">
        <f>HYPERLINK("https://ceds.ed.gov/elementComment.aspx?elementName=Course Identifier &amp;elementID=17055", "Click here to submit comment")</f>
        <v>Click here to submit comment</v>
      </c>
    </row>
    <row r="669" spans="1:14" x14ac:dyDescent="0.25">
      <c r="A669" s="15"/>
      <c r="B669" s="15"/>
      <c r="C669" s="15"/>
      <c r="D669" s="15"/>
      <c r="E669" s="16"/>
      <c r="F669" s="15"/>
      <c r="G669" s="16"/>
      <c r="H669" s="12"/>
      <c r="I669" s="15"/>
      <c r="J669" s="16"/>
      <c r="K669" s="15"/>
      <c r="L669" s="15"/>
      <c r="M669" s="15"/>
      <c r="N669" s="15"/>
    </row>
    <row r="670" spans="1:14" ht="76.5" x14ac:dyDescent="0.25">
      <c r="A670" s="15"/>
      <c r="B670" s="15"/>
      <c r="C670" s="15"/>
      <c r="D670" s="15"/>
      <c r="E670" s="16"/>
      <c r="F670" s="15"/>
      <c r="G670" s="16"/>
      <c r="H670" s="12" t="s">
        <v>153</v>
      </c>
      <c r="I670" s="15"/>
      <c r="J670" s="16"/>
      <c r="K670" s="15"/>
      <c r="L670" s="15"/>
      <c r="M670" s="15"/>
      <c r="N670" s="15"/>
    </row>
    <row r="671" spans="1:14" ht="395.25" x14ac:dyDescent="0.25">
      <c r="A671" s="12" t="s">
        <v>2971</v>
      </c>
      <c r="B671" s="12" t="s">
        <v>2972</v>
      </c>
      <c r="C671" s="13" t="s">
        <v>2973</v>
      </c>
      <c r="D671" s="12" t="s">
        <v>2875</v>
      </c>
      <c r="E671" s="11"/>
      <c r="F671" s="11"/>
      <c r="G671" s="11"/>
      <c r="H671" s="11"/>
      <c r="I671" s="12" t="s">
        <v>2974</v>
      </c>
      <c r="J671" s="11"/>
      <c r="K671" s="12" t="s">
        <v>2975</v>
      </c>
      <c r="L671" s="11"/>
      <c r="M671" s="12" t="str">
        <f>HYPERLINK("https://ceds.ed.gov/cedselementdetails.aspx?termid=18274")</f>
        <v>https://ceds.ed.gov/cedselementdetails.aspx?termid=18274</v>
      </c>
      <c r="N671" s="12" t="str">
        <f>HYPERLINK("https://ceds.ed.gov/elementComment.aspx?elementName=Course Instruction Method &amp;elementID=18274", "Click here to submit comment")</f>
        <v>Click here to submit comment</v>
      </c>
    </row>
    <row r="672" spans="1:14" ht="63.75" x14ac:dyDescent="0.25">
      <c r="A672" s="12" t="s">
        <v>2976</v>
      </c>
      <c r="B672" s="12" t="s">
        <v>2977</v>
      </c>
      <c r="C672" s="12" t="s">
        <v>37</v>
      </c>
      <c r="D672" s="12" t="s">
        <v>2875</v>
      </c>
      <c r="E672" s="11"/>
      <c r="F672" s="12" t="s">
        <v>175</v>
      </c>
      <c r="G672" s="11"/>
      <c r="H672" s="11"/>
      <c r="I672" s="12" t="s">
        <v>2978</v>
      </c>
      <c r="J672" s="11"/>
      <c r="K672" s="12" t="s">
        <v>2979</v>
      </c>
      <c r="L672" s="11"/>
      <c r="M672" s="12" t="str">
        <f>HYPERLINK("https://ceds.ed.gov/cedselementdetails.aspx?termid=18275")</f>
        <v>https://ceds.ed.gov/cedselementdetails.aspx?termid=18275</v>
      </c>
      <c r="N672" s="12" t="str">
        <f>HYPERLINK("https://ceds.ed.gov/elementComment.aspx?elementName=Course Instruction Site Name &amp;elementID=18275", "Click here to submit comment")</f>
        <v>Click here to submit comment</v>
      </c>
    </row>
    <row r="673" spans="1:14" ht="153" x14ac:dyDescent="0.25">
      <c r="A673" s="12" t="s">
        <v>2980</v>
      </c>
      <c r="B673" s="12" t="s">
        <v>2981</v>
      </c>
      <c r="C673" s="13" t="s">
        <v>2982</v>
      </c>
      <c r="D673" s="12" t="s">
        <v>2875</v>
      </c>
      <c r="E673" s="11"/>
      <c r="F673" s="11"/>
      <c r="G673" s="11"/>
      <c r="H673" s="11"/>
      <c r="I673" s="12" t="s">
        <v>2983</v>
      </c>
      <c r="J673" s="11"/>
      <c r="K673" s="12" t="s">
        <v>2984</v>
      </c>
      <c r="L673" s="11"/>
      <c r="M673" s="12" t="str">
        <f>HYPERLINK("https://ceds.ed.gov/cedselementdetails.aspx?termid=18276")</f>
        <v>https://ceds.ed.gov/cedselementdetails.aspx?termid=18276</v>
      </c>
      <c r="N673" s="12" t="str">
        <f>HYPERLINK("https://ceds.ed.gov/elementComment.aspx?elementName=Course Instruction Site Type &amp;elementID=18276", "Click here to submit comment")</f>
        <v>Click here to submit comment</v>
      </c>
    </row>
    <row r="674" spans="1:14" ht="89.25" x14ac:dyDescent="0.25">
      <c r="A674" s="12" t="s">
        <v>2985</v>
      </c>
      <c r="B674" s="12" t="s">
        <v>2986</v>
      </c>
      <c r="C674" s="13" t="s">
        <v>2987</v>
      </c>
      <c r="D674" s="12" t="s">
        <v>2897</v>
      </c>
      <c r="E674" s="11"/>
      <c r="F674" s="11"/>
      <c r="G674" s="11"/>
      <c r="H674" s="12" t="s">
        <v>2988</v>
      </c>
      <c r="I674" s="12" t="s">
        <v>2989</v>
      </c>
      <c r="J674" s="11"/>
      <c r="K674" s="12" t="s">
        <v>2990</v>
      </c>
      <c r="L674" s="11"/>
      <c r="M674" s="12" t="str">
        <f>HYPERLINK("https://ceds.ed.gov/cedselementdetails.aspx?termid=18277")</f>
        <v>https://ceds.ed.gov/cedselementdetails.aspx?termid=18277</v>
      </c>
      <c r="N674" s="12" t="str">
        <f>HYPERLINK("https://ceds.ed.gov/elementComment.aspx?elementName=Course Interaction Mode &amp;elementID=18277", "Click here to submit comment")</f>
        <v>Click here to submit comment</v>
      </c>
    </row>
    <row r="675" spans="1:14" ht="255" x14ac:dyDescent="0.25">
      <c r="A675" s="12" t="s">
        <v>2991</v>
      </c>
      <c r="B675" s="12" t="s">
        <v>2992</v>
      </c>
      <c r="C675" s="13" t="s">
        <v>2993</v>
      </c>
      <c r="D675" s="12" t="s">
        <v>1709</v>
      </c>
      <c r="E675" s="11"/>
      <c r="F675" s="11"/>
      <c r="G675" s="11"/>
      <c r="H675" s="11"/>
      <c r="I675" s="12" t="s">
        <v>2994</v>
      </c>
      <c r="J675" s="11"/>
      <c r="K675" s="12" t="s">
        <v>2995</v>
      </c>
      <c r="L675" s="12" t="s">
        <v>2970</v>
      </c>
      <c r="M675" s="12" t="str">
        <f>HYPERLINK("https://ceds.ed.gov/cedselementdetails.aspx?termid=17061")</f>
        <v>https://ceds.ed.gov/cedselementdetails.aspx?termid=17061</v>
      </c>
      <c r="N675" s="12" t="str">
        <f>HYPERLINK("https://ceds.ed.gov/elementComment.aspx?elementName=Course Level Characteristic &amp;elementID=17061", "Click here to submit comment")</f>
        <v>Click here to submit comment</v>
      </c>
    </row>
    <row r="676" spans="1:14" ht="306" x14ac:dyDescent="0.25">
      <c r="A676" s="12" t="s">
        <v>2996</v>
      </c>
      <c r="B676" s="12" t="s">
        <v>2997</v>
      </c>
      <c r="C676" s="13" t="s">
        <v>2998</v>
      </c>
      <c r="D676" s="12" t="s">
        <v>2999</v>
      </c>
      <c r="E676" s="11"/>
      <c r="F676" s="11"/>
      <c r="G676" s="11"/>
      <c r="H676" s="11"/>
      <c r="I676" s="12" t="s">
        <v>3000</v>
      </c>
      <c r="J676" s="11"/>
      <c r="K676" s="12" t="s">
        <v>3001</v>
      </c>
      <c r="L676" s="11"/>
      <c r="M676" s="12" t="str">
        <f>HYPERLINK("https://ceds.ed.gov/cedselementdetails.aspx?termid=18278")</f>
        <v>https://ceds.ed.gov/cedselementdetails.aspx?termid=18278</v>
      </c>
      <c r="N676" s="12" t="str">
        <f>HYPERLINK("https://ceds.ed.gov/elementComment.aspx?elementName=Course Level Type &amp;elementID=18278", "Click here to submit comment")</f>
        <v>Click here to submit comment</v>
      </c>
    </row>
    <row r="677" spans="1:14" ht="76.5" x14ac:dyDescent="0.25">
      <c r="A677" s="12" t="s">
        <v>3002</v>
      </c>
      <c r="B677" s="12" t="s">
        <v>3003</v>
      </c>
      <c r="C677" s="12" t="s">
        <v>37</v>
      </c>
      <c r="D677" s="12" t="s">
        <v>2875</v>
      </c>
      <c r="E677" s="11"/>
      <c r="F677" s="12" t="s">
        <v>382</v>
      </c>
      <c r="G677" s="11"/>
      <c r="H677" s="11"/>
      <c r="I677" s="12" t="s">
        <v>3004</v>
      </c>
      <c r="J677" s="11"/>
      <c r="K677" s="12" t="s">
        <v>3005</v>
      </c>
      <c r="L677" s="11"/>
      <c r="M677" s="12" t="str">
        <f>HYPERLINK("https://ceds.ed.gov/cedselementdetails.aspx?termid=18279")</f>
        <v>https://ceds.ed.gov/cedselementdetails.aspx?termid=18279</v>
      </c>
      <c r="N677" s="12" t="str">
        <f>HYPERLINK("https://ceds.ed.gov/elementComment.aspx?elementName=Course Narrative Explanation Grade &amp;elementID=18279", "Click here to submit comment")</f>
        <v>Click here to submit comment</v>
      </c>
    </row>
    <row r="678" spans="1:14" ht="89.25" x14ac:dyDescent="0.25">
      <c r="A678" s="12" t="s">
        <v>3006</v>
      </c>
      <c r="B678" s="12" t="s">
        <v>3007</v>
      </c>
      <c r="C678" s="12" t="s">
        <v>37</v>
      </c>
      <c r="D678" s="12" t="s">
        <v>3008</v>
      </c>
      <c r="E678" s="11"/>
      <c r="F678" s="12" t="s">
        <v>97</v>
      </c>
      <c r="G678" s="11"/>
      <c r="H678" s="11"/>
      <c r="I678" s="12" t="s">
        <v>3009</v>
      </c>
      <c r="J678" s="11"/>
      <c r="K678" s="12" t="s">
        <v>3010</v>
      </c>
      <c r="L678" s="11"/>
      <c r="M678" s="12" t="str">
        <f>HYPERLINK("https://ceds.ed.gov/cedselementdetails.aspx?termid=18280")</f>
        <v>https://ceds.ed.gov/cedselementdetails.aspx?termid=18280</v>
      </c>
      <c r="N678" s="12" t="str">
        <f>HYPERLINK("https://ceds.ed.gov/elementComment.aspx?elementName=Course Number &amp;elementID=18280", "Click here to submit comment")</f>
        <v>Click here to submit comment</v>
      </c>
    </row>
    <row r="679" spans="1:14" ht="102" x14ac:dyDescent="0.25">
      <c r="A679" s="12" t="s">
        <v>3011</v>
      </c>
      <c r="B679" s="12" t="s">
        <v>3012</v>
      </c>
      <c r="C679" s="12" t="s">
        <v>37</v>
      </c>
      <c r="D679" s="12" t="s">
        <v>2869</v>
      </c>
      <c r="E679" s="11"/>
      <c r="F679" s="12" t="s">
        <v>62</v>
      </c>
      <c r="G679" s="11"/>
      <c r="H679" s="11"/>
      <c r="I679" s="12" t="s">
        <v>3013</v>
      </c>
      <c r="J679" s="11"/>
      <c r="K679" s="12" t="s">
        <v>3014</v>
      </c>
      <c r="L679" s="12" t="s">
        <v>65</v>
      </c>
      <c r="M679" s="12" t="str">
        <f>HYPERLINK("https://ceds.ed.gov/cedselementdetails.aspx?termid=17063")</f>
        <v>https://ceds.ed.gov/cedselementdetails.aspx?termid=17063</v>
      </c>
      <c r="N679" s="12" t="str">
        <f>HYPERLINK("https://ceds.ed.gov/elementComment.aspx?elementName=Course Override School &amp;elementID=17063", "Click here to submit comment")</f>
        <v>Click here to submit comment</v>
      </c>
    </row>
    <row r="680" spans="1:14" ht="102" x14ac:dyDescent="0.25">
      <c r="A680" s="12" t="s">
        <v>3015</v>
      </c>
      <c r="B680" s="12" t="s">
        <v>3016</v>
      </c>
      <c r="C680" s="12" t="s">
        <v>37</v>
      </c>
      <c r="D680" s="12" t="s">
        <v>2869</v>
      </c>
      <c r="E680" s="11"/>
      <c r="F680" s="12" t="s">
        <v>1710</v>
      </c>
      <c r="G680" s="11"/>
      <c r="H680" s="11"/>
      <c r="I680" s="12" t="s">
        <v>3017</v>
      </c>
      <c r="J680" s="11"/>
      <c r="K680" s="12" t="s">
        <v>3018</v>
      </c>
      <c r="L680" s="12" t="s">
        <v>65</v>
      </c>
      <c r="M680" s="12" t="str">
        <f>HYPERLINK("https://ceds.ed.gov/cedselementdetails.aspx?termid=17064")</f>
        <v>https://ceds.ed.gov/cedselementdetails.aspx?termid=17064</v>
      </c>
      <c r="N680" s="12" t="str">
        <f>HYPERLINK("https://ceds.ed.gov/elementComment.aspx?elementName=Course Quality Points Earned &amp;elementID=17064", "Click here to submit comment")</f>
        <v>Click here to submit comment</v>
      </c>
    </row>
    <row r="681" spans="1:14" ht="178.5" x14ac:dyDescent="0.25">
      <c r="A681" s="12" t="s">
        <v>3019</v>
      </c>
      <c r="B681" s="12" t="s">
        <v>3020</v>
      </c>
      <c r="C681" s="13" t="s">
        <v>3021</v>
      </c>
      <c r="D681" s="12" t="s">
        <v>3022</v>
      </c>
      <c r="E681" s="11"/>
      <c r="F681" s="11"/>
      <c r="G681" s="11"/>
      <c r="H681" s="11"/>
      <c r="I681" s="12" t="s">
        <v>3023</v>
      </c>
      <c r="J681" s="11"/>
      <c r="K681" s="12" t="s">
        <v>3024</v>
      </c>
      <c r="L681" s="12" t="s">
        <v>72</v>
      </c>
      <c r="M681" s="12" t="str">
        <f>HYPERLINK("https://ceds.ed.gov/cedselementdetails.aspx?termid=17065")</f>
        <v>https://ceds.ed.gov/cedselementdetails.aspx?termid=17065</v>
      </c>
      <c r="N681" s="12" t="str">
        <f>HYPERLINK("https://ceds.ed.gov/elementComment.aspx?elementName=Course Repeat Code &amp;elementID=17065", "Click here to submit comment")</f>
        <v>Click here to submit comment</v>
      </c>
    </row>
    <row r="682" spans="1:14" ht="127.5" x14ac:dyDescent="0.25">
      <c r="A682" s="12" t="s">
        <v>3025</v>
      </c>
      <c r="B682" s="12" t="s">
        <v>3026</v>
      </c>
      <c r="C682" s="12" t="s">
        <v>37</v>
      </c>
      <c r="D682" s="12" t="s">
        <v>1709</v>
      </c>
      <c r="E682" s="11"/>
      <c r="F682" s="12" t="s">
        <v>1922</v>
      </c>
      <c r="G682" s="11"/>
      <c r="H682" s="11"/>
      <c r="I682" s="12" t="s">
        <v>3027</v>
      </c>
      <c r="J682" s="11"/>
      <c r="K682" s="12" t="s">
        <v>3028</v>
      </c>
      <c r="L682" s="11"/>
      <c r="M682" s="12" t="str">
        <f>HYPERLINK("https://ceds.ed.gov/cedselementdetails.aspx?termid=18648")</f>
        <v>https://ceds.ed.gov/cedselementdetails.aspx?termid=18648</v>
      </c>
      <c r="N682" s="12" t="str">
        <f>HYPERLINK("https://ceds.ed.gov/elementComment.aspx?elementName=Course Repeatability Maximum Number &amp;elementID=18648", "Click here to submit comment")</f>
        <v>Click here to submit comment</v>
      </c>
    </row>
    <row r="683" spans="1:14" ht="408" x14ac:dyDescent="0.25">
      <c r="A683" s="12" t="s">
        <v>3029</v>
      </c>
      <c r="B683" s="12" t="s">
        <v>3030</v>
      </c>
      <c r="C683" s="13" t="s">
        <v>1316</v>
      </c>
      <c r="D683" s="12" t="s">
        <v>3031</v>
      </c>
      <c r="E683" s="11"/>
      <c r="F683" s="11"/>
      <c r="G683" s="11"/>
      <c r="H683" s="11"/>
      <c r="I683" s="12" t="s">
        <v>3032</v>
      </c>
      <c r="J683" s="11"/>
      <c r="K683" s="12" t="s">
        <v>3033</v>
      </c>
      <c r="L683" s="12" t="s">
        <v>3034</v>
      </c>
      <c r="M683" s="12" t="str">
        <f>HYPERLINK("https://ceds.ed.gov/cedselementdetails.aspx?termid=17027")</f>
        <v>https://ceds.ed.gov/cedselementdetails.aspx?termid=17027</v>
      </c>
      <c r="N683" s="12" t="str">
        <f>HYPERLINK("https://ceds.ed.gov/elementComment.aspx?elementName=Course Section Assessment Reporting Method &amp;elementID=17027", "Click here to submit comment")</f>
        <v>Click here to submit comment</v>
      </c>
    </row>
    <row r="684" spans="1:14" ht="140.25" x14ac:dyDescent="0.25">
      <c r="A684" s="12" t="s">
        <v>3035</v>
      </c>
      <c r="B684" s="12" t="s">
        <v>3036</v>
      </c>
      <c r="C684" s="12" t="s">
        <v>37</v>
      </c>
      <c r="D684" s="12" t="s">
        <v>3037</v>
      </c>
      <c r="E684" s="11"/>
      <c r="F684" s="12" t="s">
        <v>135</v>
      </c>
      <c r="G684" s="11"/>
      <c r="H684" s="12" t="s">
        <v>3038</v>
      </c>
      <c r="I684" s="12" t="s">
        <v>3039</v>
      </c>
      <c r="J684" s="11"/>
      <c r="K684" s="12" t="s">
        <v>3040</v>
      </c>
      <c r="L684" s="11"/>
      <c r="M684" s="12" t="str">
        <f>HYPERLINK("https://ceds.ed.gov/cedselementdetails.aspx?termid=17976")</f>
        <v>https://ceds.ed.gov/cedselementdetails.aspx?termid=17976</v>
      </c>
      <c r="N684" s="12" t="str">
        <f>HYPERLINK("https://ceds.ed.gov/elementComment.aspx?elementName=Course Section Enrollment Status End Date &amp;elementID=17976", "Click here to submit comment")</f>
        <v>Click here to submit comment</v>
      </c>
    </row>
    <row r="685" spans="1:14" ht="89.25" x14ac:dyDescent="0.25">
      <c r="A685" s="12" t="s">
        <v>3041</v>
      </c>
      <c r="B685" s="12" t="s">
        <v>3042</v>
      </c>
      <c r="C685" s="12" t="s">
        <v>37</v>
      </c>
      <c r="D685" s="12" t="s">
        <v>3037</v>
      </c>
      <c r="E685" s="11"/>
      <c r="F685" s="12" t="s">
        <v>135</v>
      </c>
      <c r="G685" s="11"/>
      <c r="H685" s="12" t="s">
        <v>3043</v>
      </c>
      <c r="I685" s="12" t="s">
        <v>3044</v>
      </c>
      <c r="J685" s="11"/>
      <c r="K685" s="12" t="s">
        <v>3045</v>
      </c>
      <c r="L685" s="11"/>
      <c r="M685" s="12" t="str">
        <f>HYPERLINK("https://ceds.ed.gov/cedselementdetails.aspx?termid=17975")</f>
        <v>https://ceds.ed.gov/cedselementdetails.aspx?termid=17975</v>
      </c>
      <c r="N685" s="12" t="str">
        <f>HYPERLINK("https://ceds.ed.gov/elementComment.aspx?elementName=Course Section Enrollment Status Start Date &amp;elementID=17975", "Click here to submit comment")</f>
        <v>Click here to submit comment</v>
      </c>
    </row>
    <row r="686" spans="1:14" ht="89.25" x14ac:dyDescent="0.25">
      <c r="A686" s="12" t="s">
        <v>3046</v>
      </c>
      <c r="B686" s="12" t="s">
        <v>3047</v>
      </c>
      <c r="C686" s="13" t="s">
        <v>3048</v>
      </c>
      <c r="D686" s="12" t="s">
        <v>3037</v>
      </c>
      <c r="E686" s="11"/>
      <c r="F686" s="11"/>
      <c r="G686" s="11"/>
      <c r="H686" s="12" t="s">
        <v>3043</v>
      </c>
      <c r="I686" s="12" t="s">
        <v>3049</v>
      </c>
      <c r="J686" s="11"/>
      <c r="K686" s="12" t="s">
        <v>3050</v>
      </c>
      <c r="L686" s="11"/>
      <c r="M686" s="12" t="str">
        <f>HYPERLINK("https://ceds.ed.gov/cedselementdetails.aspx?termid=17977")</f>
        <v>https://ceds.ed.gov/cedselementdetails.aspx?termid=17977</v>
      </c>
      <c r="N686" s="12" t="str">
        <f>HYPERLINK("https://ceds.ed.gov/elementComment.aspx?elementName=Course Section Enrollment Status Type &amp;elementID=17977", "Click here to submit comment")</f>
        <v>Click here to submit comment</v>
      </c>
    </row>
    <row r="687" spans="1:14" ht="38.25" x14ac:dyDescent="0.25">
      <c r="A687" s="12" t="s">
        <v>3051</v>
      </c>
      <c r="B687" s="12" t="s">
        <v>3052</v>
      </c>
      <c r="C687" s="13" t="s">
        <v>3053</v>
      </c>
      <c r="D687" s="12" t="s">
        <v>3037</v>
      </c>
      <c r="E687" s="11"/>
      <c r="F687" s="11"/>
      <c r="G687" s="11"/>
      <c r="H687" s="11"/>
      <c r="I687" s="12" t="s">
        <v>3054</v>
      </c>
      <c r="J687" s="11"/>
      <c r="K687" s="12" t="s">
        <v>3055</v>
      </c>
      <c r="L687" s="12" t="s">
        <v>3056</v>
      </c>
      <c r="M687" s="12" t="str">
        <f>HYPERLINK("https://ceds.ed.gov/cedselementdetails.aspx?termid=17652")</f>
        <v>https://ceds.ed.gov/cedselementdetails.aspx?termid=17652</v>
      </c>
      <c r="N687" s="12" t="str">
        <f>HYPERLINK("https://ceds.ed.gov/elementComment.aspx?elementName=Course Section Entry Type &amp;elementID=17652", "Click here to submit comment")</f>
        <v>Click here to submit comment</v>
      </c>
    </row>
    <row r="688" spans="1:14" ht="165.75" x14ac:dyDescent="0.25">
      <c r="A688" s="12" t="s">
        <v>3057</v>
      </c>
      <c r="B688" s="12" t="s">
        <v>3058</v>
      </c>
      <c r="C688" s="13" t="s">
        <v>3059</v>
      </c>
      <c r="D688" s="12" t="s">
        <v>3037</v>
      </c>
      <c r="E688" s="11"/>
      <c r="F688" s="11"/>
      <c r="G688" s="11"/>
      <c r="H688" s="11"/>
      <c r="I688" s="12" t="s">
        <v>3060</v>
      </c>
      <c r="J688" s="11"/>
      <c r="K688" s="12" t="s">
        <v>3061</v>
      </c>
      <c r="L688" s="12" t="s">
        <v>3056</v>
      </c>
      <c r="M688" s="12" t="str">
        <f>HYPERLINK("https://ceds.ed.gov/cedselementdetails.aspx?termid=17654")</f>
        <v>https://ceds.ed.gov/cedselementdetails.aspx?termid=17654</v>
      </c>
      <c r="N688" s="12" t="str">
        <f>HYPERLINK("https://ceds.ed.gov/elementComment.aspx?elementName=Course Section Exit Type &amp;elementID=17654", "Click here to submit comment")</f>
        <v>Click here to submit comment</v>
      </c>
    </row>
    <row r="689" spans="1:14" ht="51" x14ac:dyDescent="0.25">
      <c r="A689" s="12" t="s">
        <v>3062</v>
      </c>
      <c r="B689" s="12" t="s">
        <v>3063</v>
      </c>
      <c r="C689" s="12" t="s">
        <v>37</v>
      </c>
      <c r="D689" s="12" t="s">
        <v>3037</v>
      </c>
      <c r="E689" s="11"/>
      <c r="F689" s="12" t="s">
        <v>135</v>
      </c>
      <c r="G689" s="11"/>
      <c r="H689" s="12" t="s">
        <v>160</v>
      </c>
      <c r="I689" s="12" t="s">
        <v>3064</v>
      </c>
      <c r="J689" s="11"/>
      <c r="K689" s="12" t="s">
        <v>3065</v>
      </c>
      <c r="L689" s="12" t="s">
        <v>3056</v>
      </c>
      <c r="M689" s="12" t="str">
        <f>HYPERLINK("https://ceds.ed.gov/cedselementdetails.aspx?termid=17653")</f>
        <v>https://ceds.ed.gov/cedselementdetails.aspx?termid=17653</v>
      </c>
      <c r="N689" s="12" t="str">
        <f>HYPERLINK("https://ceds.ed.gov/elementComment.aspx?elementName=Course Section Exit Withdrawal Date &amp;elementID=17653", "Click here to submit comment")</f>
        <v>Click here to submit comment</v>
      </c>
    </row>
    <row r="690" spans="1:14" ht="76.5" x14ac:dyDescent="0.25">
      <c r="A690" s="15" t="s">
        <v>3066</v>
      </c>
      <c r="B690" s="15" t="s">
        <v>3067</v>
      </c>
      <c r="C690" s="15" t="s">
        <v>37</v>
      </c>
      <c r="D690" s="15" t="s">
        <v>2353</v>
      </c>
      <c r="E690" s="16"/>
      <c r="F690" s="15" t="s">
        <v>149</v>
      </c>
      <c r="G690" s="16"/>
      <c r="H690" s="12" t="s">
        <v>150</v>
      </c>
      <c r="I690" s="15" t="s">
        <v>3068</v>
      </c>
      <c r="J690" s="16"/>
      <c r="K690" s="15" t="s">
        <v>3069</v>
      </c>
      <c r="L690" s="16"/>
      <c r="M690" s="15" t="str">
        <f>HYPERLINK("https://ceds.ed.gov/cedselementdetails.aspx?termid=17979")</f>
        <v>https://ceds.ed.gov/cedselementdetails.aspx?termid=17979</v>
      </c>
      <c r="N690" s="15" t="str">
        <f>HYPERLINK("https://ceds.ed.gov/elementComment.aspx?elementName=Course Section Identifier &amp;elementID=17979", "Click here to submit comment")</f>
        <v>Click here to submit comment</v>
      </c>
    </row>
    <row r="691" spans="1:14" x14ac:dyDescent="0.25">
      <c r="A691" s="15"/>
      <c r="B691" s="15"/>
      <c r="C691" s="15"/>
      <c r="D691" s="15"/>
      <c r="E691" s="16"/>
      <c r="F691" s="15"/>
      <c r="G691" s="16"/>
      <c r="H691" s="12"/>
      <c r="I691" s="15"/>
      <c r="J691" s="16"/>
      <c r="K691" s="15"/>
      <c r="L691" s="16"/>
      <c r="M691" s="15"/>
      <c r="N691" s="15"/>
    </row>
    <row r="692" spans="1:14" ht="76.5" x14ac:dyDescent="0.25">
      <c r="A692" s="15"/>
      <c r="B692" s="15"/>
      <c r="C692" s="15"/>
      <c r="D692" s="15"/>
      <c r="E692" s="16"/>
      <c r="F692" s="15"/>
      <c r="G692" s="16"/>
      <c r="H692" s="12" t="s">
        <v>153</v>
      </c>
      <c r="I692" s="15"/>
      <c r="J692" s="16"/>
      <c r="K692" s="15"/>
      <c r="L692" s="16"/>
      <c r="M692" s="15"/>
      <c r="N692" s="15"/>
    </row>
    <row r="693" spans="1:14" ht="114.75" x14ac:dyDescent="0.25">
      <c r="A693" s="12" t="s">
        <v>3070</v>
      </c>
      <c r="B693" s="12" t="s">
        <v>3071</v>
      </c>
      <c r="C693" s="13" t="s">
        <v>3072</v>
      </c>
      <c r="D693" s="12" t="s">
        <v>2353</v>
      </c>
      <c r="E693" s="11"/>
      <c r="F693" s="11"/>
      <c r="G693" s="11"/>
      <c r="H693" s="11"/>
      <c r="I693" s="12" t="s">
        <v>3073</v>
      </c>
      <c r="J693" s="11"/>
      <c r="K693" s="12" t="s">
        <v>3074</v>
      </c>
      <c r="L693" s="11"/>
      <c r="M693" s="12" t="str">
        <f>HYPERLINK("https://ceds.ed.gov/cedselementdetails.aspx?termid=18168")</f>
        <v>https://ceds.ed.gov/cedselementdetails.aspx?termid=18168</v>
      </c>
      <c r="N693" s="12" t="str">
        <f>HYPERLINK("https://ceds.ed.gov/elementComment.aspx?elementName=Course Section Instructional Delivery Mode &amp;elementID=18168", "Click here to submit comment")</f>
        <v>Click here to submit comment</v>
      </c>
    </row>
    <row r="694" spans="1:14" ht="89.25" x14ac:dyDescent="0.25">
      <c r="A694" s="12" t="s">
        <v>3075</v>
      </c>
      <c r="B694" s="12" t="s">
        <v>3076</v>
      </c>
      <c r="C694" s="12" t="s">
        <v>37</v>
      </c>
      <c r="D694" s="12" t="s">
        <v>2999</v>
      </c>
      <c r="E694" s="11"/>
      <c r="F694" s="12" t="s">
        <v>370</v>
      </c>
      <c r="G694" s="11"/>
      <c r="H694" s="11"/>
      <c r="I694" s="12" t="s">
        <v>3077</v>
      </c>
      <c r="J694" s="11"/>
      <c r="K694" s="12" t="s">
        <v>3078</v>
      </c>
      <c r="L694" s="11"/>
      <c r="M694" s="12" t="str">
        <f>HYPERLINK("https://ceds.ed.gov/cedselementdetails.aspx?termid=18636")</f>
        <v>https://ceds.ed.gov/cedselementdetails.aspx?termid=18636</v>
      </c>
      <c r="N694" s="12" t="str">
        <f>HYPERLINK("https://ceds.ed.gov/elementComment.aspx?elementName=Course Section Maximum Capacity &amp;elementID=18636", "Click here to submit comment")</f>
        <v>Click here to submit comment</v>
      </c>
    </row>
    <row r="695" spans="1:14" ht="63.75" x14ac:dyDescent="0.25">
      <c r="A695" s="12" t="s">
        <v>3079</v>
      </c>
      <c r="B695" s="12" t="s">
        <v>3080</v>
      </c>
      <c r="C695" s="12" t="s">
        <v>37</v>
      </c>
      <c r="D695" s="12" t="s">
        <v>2875</v>
      </c>
      <c r="E695" s="11"/>
      <c r="F695" s="12" t="s">
        <v>97</v>
      </c>
      <c r="G695" s="11"/>
      <c r="H695" s="11"/>
      <c r="I695" s="12" t="s">
        <v>3081</v>
      </c>
      <c r="J695" s="11"/>
      <c r="K695" s="12" t="s">
        <v>3082</v>
      </c>
      <c r="L695" s="11"/>
      <c r="M695" s="12" t="str">
        <f>HYPERLINK("https://ceds.ed.gov/cedselementdetails.aspx?termid=18281")</f>
        <v>https://ceds.ed.gov/cedselementdetails.aspx?termid=18281</v>
      </c>
      <c r="N695" s="12" t="str">
        <f>HYPERLINK("https://ceds.ed.gov/elementComment.aspx?elementName=Course Section Number &amp;elementID=18281", "Click here to submit comment")</f>
        <v>Click here to submit comment</v>
      </c>
    </row>
    <row r="696" spans="1:14" ht="63.75" x14ac:dyDescent="0.25">
      <c r="A696" s="12" t="s">
        <v>3083</v>
      </c>
      <c r="B696" s="12" t="s">
        <v>3084</v>
      </c>
      <c r="C696" s="13" t="s">
        <v>3085</v>
      </c>
      <c r="D696" s="12" t="s">
        <v>2353</v>
      </c>
      <c r="E696" s="11"/>
      <c r="F696" s="11"/>
      <c r="G696" s="11"/>
      <c r="H696" s="11"/>
      <c r="I696" s="12" t="s">
        <v>3086</v>
      </c>
      <c r="J696" s="11"/>
      <c r="K696" s="12" t="s">
        <v>3087</v>
      </c>
      <c r="L696" s="12" t="s">
        <v>3088</v>
      </c>
      <c r="M696" s="12" t="str">
        <f>HYPERLINK("https://ceds.ed.gov/cedselementdetails.aspx?termid=17258")</f>
        <v>https://ceds.ed.gov/cedselementdetails.aspx?termid=17258</v>
      </c>
      <c r="N696" s="12" t="str">
        <f>HYPERLINK("https://ceds.ed.gov/elementComment.aspx?elementName=Course Section Single Sex Class Status &amp;elementID=17258", "Click here to submit comment")</f>
        <v>Click here to submit comment</v>
      </c>
    </row>
    <row r="697" spans="1:14" ht="114.75" x14ac:dyDescent="0.25">
      <c r="A697" s="12" t="s">
        <v>3089</v>
      </c>
      <c r="B697" s="12" t="s">
        <v>3090</v>
      </c>
      <c r="C697" s="12" t="s">
        <v>37</v>
      </c>
      <c r="D697" s="12" t="s">
        <v>2353</v>
      </c>
      <c r="E697" s="11"/>
      <c r="F697" s="12" t="s">
        <v>370</v>
      </c>
      <c r="G697" s="11"/>
      <c r="H697" s="11"/>
      <c r="I697" s="12" t="s">
        <v>3091</v>
      </c>
      <c r="J697" s="11"/>
      <c r="K697" s="12" t="s">
        <v>3092</v>
      </c>
      <c r="L697" s="12" t="s">
        <v>3093</v>
      </c>
      <c r="M697" s="12" t="str">
        <f>HYPERLINK("https://ceds.ed.gov/cedselementdetails.aspx?termid=17101")</f>
        <v>https://ceds.ed.gov/cedselementdetails.aspx?termid=17101</v>
      </c>
      <c r="N697" s="12" t="str">
        <f>HYPERLINK("https://ceds.ed.gov/elementComment.aspx?elementName=Course Section Time Required for Completion &amp;elementID=17101", "Click here to submit comment")</f>
        <v>Click here to submit comment</v>
      </c>
    </row>
    <row r="698" spans="1:14" ht="76.5" x14ac:dyDescent="0.25">
      <c r="A698" s="12" t="s">
        <v>3094</v>
      </c>
      <c r="B698" s="12" t="s">
        <v>3095</v>
      </c>
      <c r="C698" s="12" t="s">
        <v>37</v>
      </c>
      <c r="D698" s="12" t="s">
        <v>376</v>
      </c>
      <c r="E698" s="11"/>
      <c r="F698" s="12" t="s">
        <v>3096</v>
      </c>
      <c r="G698" s="11"/>
      <c r="H698" s="11"/>
      <c r="I698" s="12" t="s">
        <v>3097</v>
      </c>
      <c r="J698" s="11"/>
      <c r="K698" s="12" t="s">
        <v>3098</v>
      </c>
      <c r="L698" s="12" t="s">
        <v>65</v>
      </c>
      <c r="M698" s="12" t="str">
        <f>HYPERLINK("https://ceds.ed.gov/cedselementdetails.aspx?termid=17066")</f>
        <v>https://ceds.ed.gov/cedselementdetails.aspx?termid=17066</v>
      </c>
      <c r="N698" s="12" t="str">
        <f>HYPERLINK("https://ceds.ed.gov/elementComment.aspx?elementName=Course Subject Abbreviation &amp;elementID=17066", "Click here to submit comment")</f>
        <v>Click here to submit comment</v>
      </c>
    </row>
    <row r="699" spans="1:14" ht="165.75" x14ac:dyDescent="0.25">
      <c r="A699" s="12" t="s">
        <v>3099</v>
      </c>
      <c r="B699" s="12" t="s">
        <v>3100</v>
      </c>
      <c r="C699" s="12" t="s">
        <v>37</v>
      </c>
      <c r="D699" s="12" t="s">
        <v>2933</v>
      </c>
      <c r="E699" s="11"/>
      <c r="F699" s="12" t="s">
        <v>175</v>
      </c>
      <c r="G699" s="11"/>
      <c r="H699" s="11"/>
      <c r="I699" s="12" t="s">
        <v>3101</v>
      </c>
      <c r="J699" s="11"/>
      <c r="K699" s="12" t="s">
        <v>3102</v>
      </c>
      <c r="L699" s="12" t="s">
        <v>1713</v>
      </c>
      <c r="M699" s="12" t="str">
        <f>HYPERLINK("https://ceds.ed.gov/cedselementdetails.aspx?termid=17067")</f>
        <v>https://ceds.ed.gov/cedselementdetails.aspx?termid=17067</v>
      </c>
      <c r="N699" s="12" t="str">
        <f>HYPERLINK("https://ceds.ed.gov/elementComment.aspx?elementName=Course Title &amp;elementID=17067", "Click here to submit comment")</f>
        <v>Click here to submit comment</v>
      </c>
    </row>
    <row r="700" spans="1:14" ht="38.25" x14ac:dyDescent="0.25">
      <c r="A700" s="12" t="s">
        <v>3103</v>
      </c>
      <c r="B700" s="12" t="s">
        <v>3104</v>
      </c>
      <c r="C700" s="12" t="s">
        <v>37</v>
      </c>
      <c r="D700" s="12" t="s">
        <v>369</v>
      </c>
      <c r="E700" s="11"/>
      <c r="F700" s="12" t="s">
        <v>370</v>
      </c>
      <c r="G700" s="11"/>
      <c r="H700" s="11"/>
      <c r="I700" s="12" t="s">
        <v>3105</v>
      </c>
      <c r="J700" s="11"/>
      <c r="K700" s="12" t="s">
        <v>3106</v>
      </c>
      <c r="L700" s="11"/>
      <c r="M700" s="12" t="str">
        <f>HYPERLINK("https://ceds.ed.gov/cedselementdetails.aspx?termid=18282")</f>
        <v>https://ceds.ed.gov/cedselementdetails.aspx?termid=18282</v>
      </c>
      <c r="N700" s="12" t="str">
        <f>HYPERLINK("https://ceds.ed.gov/elementComment.aspx?elementName=Course Total &amp;elementID=18282", "Click here to submit comment")</f>
        <v>Click here to submit comment</v>
      </c>
    </row>
    <row r="701" spans="1:14" ht="25.5" x14ac:dyDescent="0.25">
      <c r="A701" s="12" t="s">
        <v>3107</v>
      </c>
      <c r="B701" s="12" t="s">
        <v>3108</v>
      </c>
      <c r="C701" s="12" t="s">
        <v>37</v>
      </c>
      <c r="D701" s="12" t="s">
        <v>3109</v>
      </c>
      <c r="E701" s="11"/>
      <c r="F701" s="12" t="s">
        <v>382</v>
      </c>
      <c r="G701" s="11"/>
      <c r="H701" s="11"/>
      <c r="I701" s="12" t="s">
        <v>3110</v>
      </c>
      <c r="J701" s="11"/>
      <c r="K701" s="12" t="s">
        <v>3111</v>
      </c>
      <c r="L701" s="11"/>
      <c r="M701" s="12" t="str">
        <f>HYPERLINK("https://ceds.ed.gov/cedselementdetails.aspx?termid=18715")</f>
        <v>https://ceds.ed.gov/cedselementdetails.aspx?termid=18715</v>
      </c>
      <c r="N701" s="12" t="str">
        <f>HYPERLINK("https://ceds.ed.gov/elementComment.aspx?elementName=Credential Advanced Standing Description &amp;elementID=18715", "Click here to submit comment")</f>
        <v>Click here to submit comment</v>
      </c>
    </row>
    <row r="702" spans="1:14" ht="38.25" x14ac:dyDescent="0.25">
      <c r="A702" s="12" t="s">
        <v>3112</v>
      </c>
      <c r="B702" s="12" t="s">
        <v>3113</v>
      </c>
      <c r="C702" s="12" t="s">
        <v>37</v>
      </c>
      <c r="D702" s="12" t="s">
        <v>3109</v>
      </c>
      <c r="E702" s="11"/>
      <c r="F702" s="12" t="s">
        <v>57</v>
      </c>
      <c r="G702" s="11"/>
      <c r="H702" s="11"/>
      <c r="I702" s="12" t="s">
        <v>3114</v>
      </c>
      <c r="J702" s="11"/>
      <c r="K702" s="12" t="s">
        <v>3115</v>
      </c>
      <c r="L702" s="11"/>
      <c r="M702" s="12" t="str">
        <f>HYPERLINK("https://ceds.ed.gov/cedselementdetails.aspx?termid=18716")</f>
        <v>https://ceds.ed.gov/cedselementdetails.aspx?termid=18716</v>
      </c>
      <c r="N702" s="12" t="str">
        <f>HYPERLINK("https://ceds.ed.gov/elementComment.aspx?elementName=Credential Advanced Standing URL &amp;elementID=18716", "Click here to submit comment")</f>
        <v>Click here to submit comment</v>
      </c>
    </row>
    <row r="703" spans="1:14" ht="25.5" x14ac:dyDescent="0.25">
      <c r="A703" s="12" t="s">
        <v>3116</v>
      </c>
      <c r="B703" s="12" t="s">
        <v>3117</v>
      </c>
      <c r="C703" s="12" t="s">
        <v>37</v>
      </c>
      <c r="D703" s="12" t="s">
        <v>3109</v>
      </c>
      <c r="E703" s="11"/>
      <c r="F703" s="12" t="s">
        <v>129</v>
      </c>
      <c r="G703" s="11"/>
      <c r="H703" s="11"/>
      <c r="I703" s="12" t="s">
        <v>3118</v>
      </c>
      <c r="J703" s="11"/>
      <c r="K703" s="12" t="s">
        <v>3119</v>
      </c>
      <c r="L703" s="11"/>
      <c r="M703" s="12" t="str">
        <f>HYPERLINK("https://ceds.ed.gov/cedselementdetails.aspx?termid=18718")</f>
        <v>https://ceds.ed.gov/cedselementdetails.aspx?termid=18718</v>
      </c>
      <c r="N703" s="12" t="str">
        <f>HYPERLINK("https://ceds.ed.gov/elementComment.aspx?elementName=Credential Award Approver Name &amp;elementID=18718", "Click here to submit comment")</f>
        <v>Click here to submit comment</v>
      </c>
    </row>
    <row r="704" spans="1:14" ht="51" x14ac:dyDescent="0.25">
      <c r="A704" s="12" t="s">
        <v>3120</v>
      </c>
      <c r="B704" s="12" t="s">
        <v>3121</v>
      </c>
      <c r="C704" s="12" t="s">
        <v>37</v>
      </c>
      <c r="D704" s="12" t="s">
        <v>3109</v>
      </c>
      <c r="E704" s="11"/>
      <c r="F704" s="12" t="s">
        <v>135</v>
      </c>
      <c r="G704" s="11"/>
      <c r="H704" s="12" t="s">
        <v>160</v>
      </c>
      <c r="I704" s="12" t="s">
        <v>3122</v>
      </c>
      <c r="J704" s="12" t="s">
        <v>3123</v>
      </c>
      <c r="K704" s="12" t="s">
        <v>3124</v>
      </c>
      <c r="L704" s="11"/>
      <c r="M704" s="12" t="str">
        <f>HYPERLINK("https://ceds.ed.gov/cedselementdetails.aspx?termid=18121")</f>
        <v>https://ceds.ed.gov/cedselementdetails.aspx?termid=18121</v>
      </c>
      <c r="N704" s="12" t="str">
        <f>HYPERLINK("https://ceds.ed.gov/elementComment.aspx?elementName=Credential Award End Date &amp;elementID=18121", "Click here to submit comment")</f>
        <v>Click here to submit comment</v>
      </c>
    </row>
    <row r="705" spans="1:14" ht="38.25" x14ac:dyDescent="0.25">
      <c r="A705" s="12" t="s">
        <v>3125</v>
      </c>
      <c r="B705" s="12" t="s">
        <v>3126</v>
      </c>
      <c r="C705" s="12" t="s">
        <v>37</v>
      </c>
      <c r="D705" s="12" t="s">
        <v>3109</v>
      </c>
      <c r="E705" s="11"/>
      <c r="F705" s="12" t="s">
        <v>57</v>
      </c>
      <c r="G705" s="11"/>
      <c r="H705" s="11"/>
      <c r="I705" s="12" t="s">
        <v>3127</v>
      </c>
      <c r="J705" s="11"/>
      <c r="K705" s="12" t="s">
        <v>3128</v>
      </c>
      <c r="L705" s="11"/>
      <c r="M705" s="12" t="str">
        <f>HYPERLINK("https://ceds.ed.gov/cedselementdetails.aspx?termid=18650")</f>
        <v>https://ceds.ed.gov/cedselementdetails.aspx?termid=18650</v>
      </c>
      <c r="N705" s="12" t="str">
        <f>HYPERLINK("https://ceds.ed.gov/elementComment.aspx?elementName=Credential Award Evidence URL &amp;elementID=18650", "Click here to submit comment")</f>
        <v>Click here to submit comment</v>
      </c>
    </row>
    <row r="706" spans="1:14" ht="25.5" x14ac:dyDescent="0.25">
      <c r="A706" s="12" t="s">
        <v>3129</v>
      </c>
      <c r="B706" s="12" t="s">
        <v>3130</v>
      </c>
      <c r="C706" s="12" t="s">
        <v>37</v>
      </c>
      <c r="D706" s="12" t="s">
        <v>3109</v>
      </c>
      <c r="E706" s="11"/>
      <c r="F706" s="12" t="s">
        <v>3131</v>
      </c>
      <c r="G706" s="11"/>
      <c r="H706" s="11"/>
      <c r="I706" s="12" t="s">
        <v>3132</v>
      </c>
      <c r="J706" s="11"/>
      <c r="K706" s="12" t="s">
        <v>3133</v>
      </c>
      <c r="L706" s="11"/>
      <c r="M706" s="12" t="str">
        <f>HYPERLINK("https://ceds.ed.gov/cedselementdetails.aspx?termid=17898")</f>
        <v>https://ceds.ed.gov/cedselementdetails.aspx?termid=17898</v>
      </c>
      <c r="N706" s="12" t="str">
        <f>HYPERLINK("https://ceds.ed.gov/elementComment.aspx?elementName=Credential Award Issuer Name &amp;elementID=17898", "Click here to submit comment")</f>
        <v>Click here to submit comment</v>
      </c>
    </row>
    <row r="707" spans="1:14" ht="25.5" x14ac:dyDescent="0.25">
      <c r="A707" s="12" t="s">
        <v>3134</v>
      </c>
      <c r="B707" s="12" t="s">
        <v>3135</v>
      </c>
      <c r="C707" s="12" t="s">
        <v>37</v>
      </c>
      <c r="D707" s="12" t="s">
        <v>3109</v>
      </c>
      <c r="E707" s="11"/>
      <c r="F707" s="12" t="s">
        <v>57</v>
      </c>
      <c r="G707" s="11"/>
      <c r="H707" s="12" t="s">
        <v>3136</v>
      </c>
      <c r="I707" s="12" t="s">
        <v>3137</v>
      </c>
      <c r="J707" s="11"/>
      <c r="K707" s="12" t="s">
        <v>3138</v>
      </c>
      <c r="L707" s="11"/>
      <c r="M707" s="12" t="str">
        <f>HYPERLINK("https://ceds.ed.gov/cedselementdetails.aspx?termid=17900")</f>
        <v>https://ceds.ed.gov/cedselementdetails.aspx?termid=17900</v>
      </c>
      <c r="N707" s="12" t="str">
        <f>HYPERLINK("https://ceds.ed.gov/elementComment.aspx?elementName=Credential Award Issuer Origin URL &amp;elementID=17900", "Click here to submit comment")</f>
        <v>Click here to submit comment</v>
      </c>
    </row>
    <row r="708" spans="1:14" ht="38.25" x14ac:dyDescent="0.25">
      <c r="A708" s="12" t="s">
        <v>3139</v>
      </c>
      <c r="B708" s="12" t="s">
        <v>3140</v>
      </c>
      <c r="C708" s="12" t="s">
        <v>37</v>
      </c>
      <c r="D708" s="12" t="s">
        <v>3109</v>
      </c>
      <c r="E708" s="11"/>
      <c r="F708" s="12" t="s">
        <v>135</v>
      </c>
      <c r="G708" s="11"/>
      <c r="H708" s="12" t="s">
        <v>3141</v>
      </c>
      <c r="I708" s="12" t="s">
        <v>3142</v>
      </c>
      <c r="J708" s="12" t="s">
        <v>3143</v>
      </c>
      <c r="K708" s="12" t="s">
        <v>3144</v>
      </c>
      <c r="L708" s="11"/>
      <c r="M708" s="12" t="str">
        <f>HYPERLINK("https://ceds.ed.gov/cedselementdetails.aspx?termid=18120")</f>
        <v>https://ceds.ed.gov/cedselementdetails.aspx?termid=18120</v>
      </c>
      <c r="N708" s="12" t="str">
        <f>HYPERLINK("https://ceds.ed.gov/elementComment.aspx?elementName=Credential Award Start Date &amp;elementID=18120", "Click here to submit comment")</f>
        <v>Click here to submit comment</v>
      </c>
    </row>
    <row r="709" spans="1:14" ht="38.25" x14ac:dyDescent="0.25">
      <c r="A709" s="12" t="s">
        <v>3145</v>
      </c>
      <c r="B709" s="12" t="s">
        <v>3146</v>
      </c>
      <c r="C709" s="12" t="s">
        <v>37</v>
      </c>
      <c r="D709" s="12" t="s">
        <v>3109</v>
      </c>
      <c r="E709" s="11"/>
      <c r="F709" s="12" t="s">
        <v>135</v>
      </c>
      <c r="G709" s="11"/>
      <c r="H709" s="11"/>
      <c r="I709" s="12" t="s">
        <v>3147</v>
      </c>
      <c r="J709" s="11"/>
      <c r="K709" s="12" t="s">
        <v>3148</v>
      </c>
      <c r="L709" s="11"/>
      <c r="M709" s="12" t="str">
        <f>HYPERLINK("https://ceds.ed.gov/cedselementdetails.aspx?termid=18645")</f>
        <v>https://ceds.ed.gov/cedselementdetails.aspx?termid=18645</v>
      </c>
      <c r="N709" s="12" t="str">
        <f>HYPERLINK("https://ceds.ed.gov/elementComment.aspx?elementName=Credential Completion Date &amp;elementID=18645", "Click here to submit comment")</f>
        <v>Click here to submit comment</v>
      </c>
    </row>
    <row r="710" spans="1:14" ht="114.75" x14ac:dyDescent="0.25">
      <c r="A710" s="12" t="s">
        <v>3149</v>
      </c>
      <c r="B710" s="12" t="s">
        <v>3150</v>
      </c>
      <c r="C710" s="13" t="s">
        <v>3151</v>
      </c>
      <c r="D710" s="12" t="s">
        <v>3152</v>
      </c>
      <c r="E710" s="11"/>
      <c r="F710" s="11"/>
      <c r="G710" s="11"/>
      <c r="H710" s="12" t="s">
        <v>3153</v>
      </c>
      <c r="I710" s="12" t="s">
        <v>3154</v>
      </c>
      <c r="J710" s="11"/>
      <c r="K710" s="12" t="s">
        <v>3155</v>
      </c>
      <c r="L710" s="11"/>
      <c r="M710" s="12" t="str">
        <f>HYPERLINK("https://ceds.ed.gov/cedselementdetails.aspx?termid=18895")</f>
        <v>https://ceds.ed.gov/cedselementdetails.aspx?termid=18895</v>
      </c>
      <c r="N710" s="12" t="str">
        <f>HYPERLINK("https://ceds.ed.gov/elementComment.aspx?elementName=Credential Definition Agent Role Type &amp;elementID=18895", "Click here to submit comment")</f>
        <v>Click here to submit comment</v>
      </c>
    </row>
    <row r="711" spans="1:14" ht="63.75" x14ac:dyDescent="0.25">
      <c r="A711" s="12" t="s">
        <v>3156</v>
      </c>
      <c r="B711" s="12" t="s">
        <v>3157</v>
      </c>
      <c r="C711" s="12" t="s">
        <v>37</v>
      </c>
      <c r="D711" s="12" t="s">
        <v>3158</v>
      </c>
      <c r="E711" s="11"/>
      <c r="F711" s="12" t="s">
        <v>129</v>
      </c>
      <c r="G711" s="11"/>
      <c r="H711" s="11"/>
      <c r="I711" s="12" t="s">
        <v>3159</v>
      </c>
      <c r="J711" s="12" t="s">
        <v>3160</v>
      </c>
      <c r="K711" s="12" t="s">
        <v>3161</v>
      </c>
      <c r="L711" s="11"/>
      <c r="M711" s="12" t="str">
        <f>HYPERLINK("https://ceds.ed.gov/cedselementdetails.aspx?termid=18717")</f>
        <v>https://ceds.ed.gov/cedselementdetails.aspx?termid=18717</v>
      </c>
      <c r="N711" s="12" t="str">
        <f>HYPERLINK("https://ceds.ed.gov/elementComment.aspx?elementName=Credential Definition Alternate Name &amp;elementID=18717", "Click here to submit comment")</f>
        <v>Click here to submit comment</v>
      </c>
    </row>
    <row r="712" spans="1:14" ht="51" x14ac:dyDescent="0.25">
      <c r="A712" s="12" t="s">
        <v>3162</v>
      </c>
      <c r="B712" s="12" t="s">
        <v>3163</v>
      </c>
      <c r="C712" s="13" t="s">
        <v>3164</v>
      </c>
      <c r="D712" s="12" t="s">
        <v>3158</v>
      </c>
      <c r="E712" s="11"/>
      <c r="F712" s="11"/>
      <c r="G712" s="11"/>
      <c r="H712" s="11"/>
      <c r="I712" s="12" t="s">
        <v>3165</v>
      </c>
      <c r="J712" s="12" t="s">
        <v>3166</v>
      </c>
      <c r="K712" s="12" t="s">
        <v>3167</v>
      </c>
      <c r="L712" s="11"/>
      <c r="M712" s="12" t="str">
        <f>HYPERLINK("https://ceds.ed.gov/cedselementdetails.aspx?termid=18719")</f>
        <v>https://ceds.ed.gov/cedselementdetails.aspx?termid=18719</v>
      </c>
      <c r="N712" s="12" t="str">
        <f>HYPERLINK("https://ceds.ed.gov/elementComment.aspx?elementName=Credential Definition Assessment Method Type &amp;elementID=18719", "Click here to submit comment")</f>
        <v>Click here to submit comment</v>
      </c>
    </row>
    <row r="713" spans="1:14" ht="51" x14ac:dyDescent="0.25">
      <c r="A713" s="12" t="s">
        <v>3168</v>
      </c>
      <c r="B713" s="12" t="s">
        <v>3169</v>
      </c>
      <c r="C713" s="12" t="s">
        <v>37</v>
      </c>
      <c r="D713" s="12" t="s">
        <v>3158</v>
      </c>
      <c r="E713" s="11"/>
      <c r="F713" s="12" t="s">
        <v>97</v>
      </c>
      <c r="G713" s="11"/>
      <c r="H713" s="12" t="s">
        <v>3170</v>
      </c>
      <c r="I713" s="12" t="s">
        <v>3171</v>
      </c>
      <c r="J713" s="12" t="s">
        <v>3172</v>
      </c>
      <c r="K713" s="12" t="s">
        <v>3173</v>
      </c>
      <c r="L713" s="11"/>
      <c r="M713" s="12" t="str">
        <f>HYPERLINK("https://ceds.ed.gov/cedselementdetails.aspx?termid=18211")</f>
        <v>https://ceds.ed.gov/cedselementdetails.aspx?termid=18211</v>
      </c>
      <c r="N713" s="12" t="str">
        <f>HYPERLINK("https://ceds.ed.gov/elementComment.aspx?elementName=Credential Definition Category System &amp;elementID=18211", "Click here to submit comment")</f>
        <v>Click here to submit comment</v>
      </c>
    </row>
    <row r="714" spans="1:14" ht="216.75" x14ac:dyDescent="0.25">
      <c r="A714" s="12" t="s">
        <v>3174</v>
      </c>
      <c r="B714" s="12" t="s">
        <v>3175</v>
      </c>
      <c r="C714" s="12" t="s">
        <v>37</v>
      </c>
      <c r="D714" s="12" t="s">
        <v>3158</v>
      </c>
      <c r="E714" s="11"/>
      <c r="F714" s="12" t="s">
        <v>175</v>
      </c>
      <c r="G714" s="11"/>
      <c r="H714" s="12" t="s">
        <v>3176</v>
      </c>
      <c r="I714" s="12" t="s">
        <v>3177</v>
      </c>
      <c r="J714" s="12" t="s">
        <v>3178</v>
      </c>
      <c r="K714" s="12" t="s">
        <v>3179</v>
      </c>
      <c r="L714" s="11"/>
      <c r="M714" s="12" t="str">
        <f>HYPERLINK("https://ceds.ed.gov/cedselementdetails.aspx?termid=17892")</f>
        <v>https://ceds.ed.gov/cedselementdetails.aspx?termid=17892</v>
      </c>
      <c r="N714" s="12" t="str">
        <f>HYPERLINK("https://ceds.ed.gov/elementComment.aspx?elementName=Credential Definition Category Type &amp;elementID=17892", "Click here to submit comment")</f>
        <v>Click here to submit comment</v>
      </c>
    </row>
    <row r="715" spans="1:14" ht="25.5" x14ac:dyDescent="0.25">
      <c r="A715" s="12" t="s">
        <v>3180</v>
      </c>
      <c r="B715" s="12" t="s">
        <v>3181</v>
      </c>
      <c r="C715" s="12" t="s">
        <v>37</v>
      </c>
      <c r="D715" s="12" t="s">
        <v>3158</v>
      </c>
      <c r="E715" s="11"/>
      <c r="F715" s="12" t="s">
        <v>129</v>
      </c>
      <c r="G715" s="11"/>
      <c r="H715" s="11"/>
      <c r="I715" s="12" t="s">
        <v>3182</v>
      </c>
      <c r="J715" s="12" t="s">
        <v>3183</v>
      </c>
      <c r="K715" s="12" t="s">
        <v>3184</v>
      </c>
      <c r="L715" s="11"/>
      <c r="M715" s="12" t="str">
        <f>HYPERLINK("https://ceds.ed.gov/cedselementdetails.aspx?termid=17896")</f>
        <v>https://ceds.ed.gov/cedselementdetails.aspx?termid=17896</v>
      </c>
      <c r="N715" s="12" t="str">
        <f>HYPERLINK("https://ceds.ed.gov/elementComment.aspx?elementName=Credential Definition Criteria &amp;elementID=17896", "Click here to submit comment")</f>
        <v>Click here to submit comment</v>
      </c>
    </row>
    <row r="716" spans="1:14" ht="51" x14ac:dyDescent="0.25">
      <c r="A716" s="12" t="s">
        <v>3185</v>
      </c>
      <c r="B716" s="12" t="s">
        <v>3186</v>
      </c>
      <c r="C716" s="12" t="s">
        <v>37</v>
      </c>
      <c r="D716" s="12" t="s">
        <v>3158</v>
      </c>
      <c r="E716" s="11"/>
      <c r="F716" s="12" t="s">
        <v>57</v>
      </c>
      <c r="G716" s="11"/>
      <c r="H716" s="11"/>
      <c r="I716" s="12" t="s">
        <v>3187</v>
      </c>
      <c r="J716" s="12" t="s">
        <v>3188</v>
      </c>
      <c r="K716" s="12" t="s">
        <v>3189</v>
      </c>
      <c r="L716" s="11"/>
      <c r="M716" s="12" t="str">
        <f>HYPERLINK("https://ceds.ed.gov/cedselementdetails.aspx?termid=18113")</f>
        <v>https://ceds.ed.gov/cedselementdetails.aspx?termid=18113</v>
      </c>
      <c r="N716" s="12" t="str">
        <f>HYPERLINK("https://ceds.ed.gov/elementComment.aspx?elementName=Credential Definition Criteria URL &amp;elementID=18113", "Click here to submit comment")</f>
        <v>Click here to submit comment</v>
      </c>
    </row>
    <row r="717" spans="1:14" ht="51" x14ac:dyDescent="0.25">
      <c r="A717" s="12" t="s">
        <v>3190</v>
      </c>
      <c r="B717" s="12" t="s">
        <v>3191</v>
      </c>
      <c r="C717" s="12" t="s">
        <v>37</v>
      </c>
      <c r="D717" s="12" t="s">
        <v>3158</v>
      </c>
      <c r="E717" s="11"/>
      <c r="F717" s="12" t="s">
        <v>135</v>
      </c>
      <c r="G717" s="11"/>
      <c r="H717" s="12" t="s">
        <v>3192</v>
      </c>
      <c r="I717" s="12" t="s">
        <v>3193</v>
      </c>
      <c r="J717" s="11"/>
      <c r="K717" s="12" t="s">
        <v>3194</v>
      </c>
      <c r="L717" s="11"/>
      <c r="M717" s="12" t="str">
        <f>HYPERLINK("https://ceds.ed.gov/cedselementdetails.aspx?termid=18891")</f>
        <v>https://ceds.ed.gov/cedselementdetails.aspx?termid=18891</v>
      </c>
      <c r="N717" s="12" t="str">
        <f>HYPERLINK("https://ceds.ed.gov/elementComment.aspx?elementName=Credential Definition Date Effective &amp;elementID=18891", "Click here to submit comment")</f>
        <v>Click here to submit comment</v>
      </c>
    </row>
    <row r="718" spans="1:14" ht="25.5" x14ac:dyDescent="0.25">
      <c r="A718" s="12" t="s">
        <v>3195</v>
      </c>
      <c r="B718" s="12" t="s">
        <v>3196</v>
      </c>
      <c r="C718" s="12" t="s">
        <v>37</v>
      </c>
      <c r="D718" s="12" t="s">
        <v>3158</v>
      </c>
      <c r="E718" s="11"/>
      <c r="F718" s="12" t="s">
        <v>129</v>
      </c>
      <c r="G718" s="11"/>
      <c r="H718" s="11"/>
      <c r="I718" s="12" t="s">
        <v>3197</v>
      </c>
      <c r="J718" s="12" t="s">
        <v>3198</v>
      </c>
      <c r="K718" s="12" t="s">
        <v>3199</v>
      </c>
      <c r="L718" s="11"/>
      <c r="M718" s="12" t="str">
        <f>HYPERLINK("https://ceds.ed.gov/cedselementdetails.aspx?termid=17895")</f>
        <v>https://ceds.ed.gov/cedselementdetails.aspx?termid=17895</v>
      </c>
      <c r="N718" s="12" t="str">
        <f>HYPERLINK("https://ceds.ed.gov/elementComment.aspx?elementName=Credential Definition Description &amp;elementID=17895", "Click here to submit comment")</f>
        <v>Click here to submit comment</v>
      </c>
    </row>
    <row r="719" spans="1:14" ht="25.5" x14ac:dyDescent="0.25">
      <c r="A719" s="12" t="s">
        <v>3200</v>
      </c>
      <c r="B719" s="12" t="s">
        <v>3201</v>
      </c>
      <c r="C719" s="12" t="s">
        <v>37</v>
      </c>
      <c r="D719" s="12" t="s">
        <v>3158</v>
      </c>
      <c r="E719" s="11"/>
      <c r="F719" s="12" t="s">
        <v>3202</v>
      </c>
      <c r="G719" s="11"/>
      <c r="H719" s="11"/>
      <c r="I719" s="12" t="s">
        <v>3203</v>
      </c>
      <c r="J719" s="12" t="s">
        <v>3204</v>
      </c>
      <c r="K719" s="12" t="s">
        <v>3205</v>
      </c>
      <c r="L719" s="11"/>
      <c r="M719" s="12" t="str">
        <f>HYPERLINK("https://ceds.ed.gov/cedselementdetails.aspx?termid=18722")</f>
        <v>https://ceds.ed.gov/cedselementdetails.aspx?termid=18722</v>
      </c>
      <c r="N719" s="12" t="str">
        <f>HYPERLINK("https://ceds.ed.gov/elementComment.aspx?elementName=Credential Definition Estimated Duration &amp;elementID=18722", "Click here to submit comment")</f>
        <v>Click here to submit comment</v>
      </c>
    </row>
    <row r="720" spans="1:14" ht="153" x14ac:dyDescent="0.25">
      <c r="A720" s="12" t="s">
        <v>3206</v>
      </c>
      <c r="B720" s="12" t="s">
        <v>3207</v>
      </c>
      <c r="C720" s="12" t="s">
        <v>37</v>
      </c>
      <c r="D720" s="12" t="s">
        <v>3208</v>
      </c>
      <c r="E720" s="11"/>
      <c r="F720" s="12" t="s">
        <v>57</v>
      </c>
      <c r="G720" s="11"/>
      <c r="H720" s="12" t="s">
        <v>3209</v>
      </c>
      <c r="I720" s="12" t="s">
        <v>3210</v>
      </c>
      <c r="J720" s="12" t="s">
        <v>3211</v>
      </c>
      <c r="K720" s="12" t="s">
        <v>3212</v>
      </c>
      <c r="L720" s="11"/>
      <c r="M720" s="12" t="str">
        <f>HYPERLINK("https://ceds.ed.gov/cedselementdetails.aspx?termid=18639")</f>
        <v>https://ceds.ed.gov/cedselementdetails.aspx?termid=18639</v>
      </c>
      <c r="N720" s="12" t="str">
        <f>HYPERLINK("https://ceds.ed.gov/elementComment.aspx?elementName=Credential Definition Identifier &amp;elementID=18639", "Click here to submit comment")</f>
        <v>Click here to submit comment</v>
      </c>
    </row>
    <row r="721" spans="1:14" ht="114.75" x14ac:dyDescent="0.25">
      <c r="A721" s="12" t="s">
        <v>3213</v>
      </c>
      <c r="B721" s="12" t="s">
        <v>3214</v>
      </c>
      <c r="C721" s="13" t="s">
        <v>3215</v>
      </c>
      <c r="D721" s="12" t="s">
        <v>3208</v>
      </c>
      <c r="E721" s="11"/>
      <c r="F721" s="11"/>
      <c r="G721" s="11"/>
      <c r="H721" s="11"/>
      <c r="I721" s="12" t="s">
        <v>3216</v>
      </c>
      <c r="J721" s="12" t="s">
        <v>3217</v>
      </c>
      <c r="K721" s="12" t="s">
        <v>3218</v>
      </c>
      <c r="L721" s="11"/>
      <c r="M721" s="12" t="str">
        <f>HYPERLINK("https://ceds.ed.gov/cedselementdetails.aspx?termid=18720")</f>
        <v>https://ceds.ed.gov/cedselementdetails.aspx?termid=18720</v>
      </c>
      <c r="N721" s="12" t="str">
        <f>HYPERLINK("https://ceds.ed.gov/elementComment.aspx?elementName=Credential Definition Identifier System &amp;elementID=18720", "Click here to submit comment")</f>
        <v>Click here to submit comment</v>
      </c>
    </row>
    <row r="722" spans="1:14" ht="76.5" x14ac:dyDescent="0.25">
      <c r="A722" s="12" t="s">
        <v>3219</v>
      </c>
      <c r="B722" s="12" t="s">
        <v>3220</v>
      </c>
      <c r="C722" s="13" t="s">
        <v>3221</v>
      </c>
      <c r="D722" s="12" t="s">
        <v>3158</v>
      </c>
      <c r="E722" s="11"/>
      <c r="F722" s="11"/>
      <c r="G722" s="11"/>
      <c r="H722" s="11"/>
      <c r="I722" s="12" t="s">
        <v>3222</v>
      </c>
      <c r="J722" s="12" t="s">
        <v>3223</v>
      </c>
      <c r="K722" s="12" t="s">
        <v>3224</v>
      </c>
      <c r="L722" s="11"/>
      <c r="M722" s="12" t="str">
        <f>HYPERLINK("https://ceds.ed.gov/cedselementdetails.aspx?termid=18730")</f>
        <v>https://ceds.ed.gov/cedselementdetails.aspx?termid=18730</v>
      </c>
      <c r="N722" s="12" t="str">
        <f>HYPERLINK("https://ceds.ed.gov/elementComment.aspx?elementName=Credential Definition Intended Purpose Type &amp;elementID=18730", "Click here to submit comment")</f>
        <v>Click here to submit comment</v>
      </c>
    </row>
    <row r="723" spans="1:14" ht="30" x14ac:dyDescent="0.25">
      <c r="A723" s="12" t="s">
        <v>3225</v>
      </c>
      <c r="B723" s="12" t="s">
        <v>3226</v>
      </c>
      <c r="C723" s="12" t="s">
        <v>37</v>
      </c>
      <c r="D723" s="12" t="s">
        <v>3158</v>
      </c>
      <c r="E723" s="11"/>
      <c r="F723" s="12" t="s">
        <v>3227</v>
      </c>
      <c r="G723" s="11"/>
      <c r="H723" s="6" t="s">
        <v>3228</v>
      </c>
      <c r="I723" s="12" t="s">
        <v>3229</v>
      </c>
      <c r="J723" s="12" t="s">
        <v>3230</v>
      </c>
      <c r="K723" s="12" t="s">
        <v>3231</v>
      </c>
      <c r="L723" s="11"/>
      <c r="M723" s="12" t="str">
        <f>HYPERLINK("https://ceds.ed.gov/cedselementdetails.aspx?termid=18724")</f>
        <v>https://ceds.ed.gov/cedselementdetails.aspx?termid=18724</v>
      </c>
      <c r="N723" s="12" t="str">
        <f>HYPERLINK("https://ceds.ed.gov/elementComment.aspx?elementName=Credential Definition Jurisdiction Region &amp;elementID=18724", "Click here to submit comment")</f>
        <v>Click here to submit comment</v>
      </c>
    </row>
    <row r="724" spans="1:14" ht="30" x14ac:dyDescent="0.25">
      <c r="A724" s="12" t="s">
        <v>3232</v>
      </c>
      <c r="B724" s="12" t="s">
        <v>3233</v>
      </c>
      <c r="C724" s="12" t="s">
        <v>37</v>
      </c>
      <c r="D724" s="12" t="s">
        <v>3158</v>
      </c>
      <c r="E724" s="11"/>
      <c r="F724" s="12" t="s">
        <v>3227</v>
      </c>
      <c r="G724" s="11"/>
      <c r="H724" s="6" t="s">
        <v>3228</v>
      </c>
      <c r="I724" s="12" t="s">
        <v>3234</v>
      </c>
      <c r="J724" s="12" t="s">
        <v>3235</v>
      </c>
      <c r="K724" s="12" t="s">
        <v>3236</v>
      </c>
      <c r="L724" s="11"/>
      <c r="M724" s="12" t="str">
        <f>HYPERLINK("https://ceds.ed.gov/cedselementdetails.aspx?termid=18725")</f>
        <v>https://ceds.ed.gov/cedselementdetails.aspx?termid=18725</v>
      </c>
      <c r="N724" s="12" t="str">
        <f>HYPERLINK("https://ceds.ed.gov/elementComment.aspx?elementName=Credential Definition Jurisdiction Region Exception &amp;elementID=18725", "Click here to submit comment")</f>
        <v>Click here to submit comment</v>
      </c>
    </row>
    <row r="725" spans="1:14" ht="38.25" x14ac:dyDescent="0.25">
      <c r="A725" s="12" t="s">
        <v>3237</v>
      </c>
      <c r="B725" s="12" t="s">
        <v>3238</v>
      </c>
      <c r="C725" s="12" t="s">
        <v>37</v>
      </c>
      <c r="D725" s="12" t="s">
        <v>3158</v>
      </c>
      <c r="E725" s="11"/>
      <c r="F725" s="12" t="s">
        <v>382</v>
      </c>
      <c r="G725" s="11"/>
      <c r="H725" s="11"/>
      <c r="I725" s="12" t="s">
        <v>3239</v>
      </c>
      <c r="J725" s="12" t="s">
        <v>3240</v>
      </c>
      <c r="K725" s="12" t="s">
        <v>3241</v>
      </c>
      <c r="L725" s="11"/>
      <c r="M725" s="12" t="str">
        <f>HYPERLINK("https://ceds.ed.gov/cedselementdetails.aspx?termid=18726")</f>
        <v>https://ceds.ed.gov/cedselementdetails.aspx?termid=18726</v>
      </c>
      <c r="N725" s="12" t="str">
        <f>HYPERLINK("https://ceds.ed.gov/elementComment.aspx?elementName=Credential Definition Keywords &amp;elementID=18726", "Click here to submit comment")</f>
        <v>Click here to submit comment</v>
      </c>
    </row>
    <row r="726" spans="1:14" ht="25.5" x14ac:dyDescent="0.25">
      <c r="A726" s="12" t="s">
        <v>3242</v>
      </c>
      <c r="B726" s="12" t="s">
        <v>3243</v>
      </c>
      <c r="C726" s="12" t="s">
        <v>37</v>
      </c>
      <c r="D726" s="12" t="s">
        <v>3158</v>
      </c>
      <c r="E726" s="11"/>
      <c r="F726" s="12" t="s">
        <v>3202</v>
      </c>
      <c r="G726" s="11"/>
      <c r="H726" s="11"/>
      <c r="I726" s="12" t="s">
        <v>3244</v>
      </c>
      <c r="J726" s="12" t="s">
        <v>3245</v>
      </c>
      <c r="K726" s="12" t="s">
        <v>3246</v>
      </c>
      <c r="L726" s="11"/>
      <c r="M726" s="12" t="str">
        <f>HYPERLINK("https://ceds.ed.gov/cedselementdetails.aspx?termid=18727")</f>
        <v>https://ceds.ed.gov/cedselementdetails.aspx?termid=18727</v>
      </c>
      <c r="N726" s="12" t="str">
        <f>HYPERLINK("https://ceds.ed.gov/elementComment.aspx?elementName=Credential Definition Maximum Duration &amp;elementID=18727", "Click here to submit comment")</f>
        <v>Click here to submit comment</v>
      </c>
    </row>
    <row r="727" spans="1:14" ht="25.5" x14ac:dyDescent="0.25">
      <c r="A727" s="12" t="s">
        <v>3247</v>
      </c>
      <c r="B727" s="12" t="s">
        <v>3248</v>
      </c>
      <c r="C727" s="12" t="s">
        <v>37</v>
      </c>
      <c r="D727" s="12" t="s">
        <v>3158</v>
      </c>
      <c r="E727" s="11"/>
      <c r="F727" s="12" t="s">
        <v>1922</v>
      </c>
      <c r="G727" s="11"/>
      <c r="H727" s="11"/>
      <c r="I727" s="12" t="s">
        <v>3249</v>
      </c>
      <c r="J727" s="12" t="s">
        <v>3250</v>
      </c>
      <c r="K727" s="12" t="s">
        <v>3251</v>
      </c>
      <c r="L727" s="11"/>
      <c r="M727" s="12" t="str">
        <f>HYPERLINK("https://ceds.ed.gov/cedselementdetails.aspx?termid=18728")</f>
        <v>https://ceds.ed.gov/cedselementdetails.aspx?termid=18728</v>
      </c>
      <c r="N727" s="12" t="str">
        <f>HYPERLINK("https://ceds.ed.gov/elementComment.aspx?elementName=Credential Definition Minimum Age &amp;elementID=18728", "Click here to submit comment")</f>
        <v>Click here to submit comment</v>
      </c>
    </row>
    <row r="728" spans="1:14" ht="25.5" x14ac:dyDescent="0.25">
      <c r="A728" s="12" t="s">
        <v>3252</v>
      </c>
      <c r="B728" s="12" t="s">
        <v>3253</v>
      </c>
      <c r="C728" s="12" t="s">
        <v>37</v>
      </c>
      <c r="D728" s="12" t="s">
        <v>3158</v>
      </c>
      <c r="E728" s="11"/>
      <c r="F728" s="12" t="s">
        <v>3202</v>
      </c>
      <c r="G728" s="11"/>
      <c r="H728" s="11"/>
      <c r="I728" s="12" t="s">
        <v>3254</v>
      </c>
      <c r="J728" s="12" t="s">
        <v>3255</v>
      </c>
      <c r="K728" s="12" t="s">
        <v>3256</v>
      </c>
      <c r="L728" s="11"/>
      <c r="M728" s="12" t="str">
        <f>HYPERLINK("https://ceds.ed.gov/cedselementdetails.aspx?termid=18729")</f>
        <v>https://ceds.ed.gov/cedselementdetails.aspx?termid=18729</v>
      </c>
      <c r="N728" s="12" t="str">
        <f>HYPERLINK("https://ceds.ed.gov/elementComment.aspx?elementName=Credential Definition Minimum Duration &amp;elementID=18729", "Click here to submit comment")</f>
        <v>Click here to submit comment</v>
      </c>
    </row>
    <row r="729" spans="1:14" ht="38.25" x14ac:dyDescent="0.25">
      <c r="A729" s="12" t="s">
        <v>3257</v>
      </c>
      <c r="B729" s="12" t="s">
        <v>3258</v>
      </c>
      <c r="C729" s="12" t="s">
        <v>3259</v>
      </c>
      <c r="D729" s="12" t="s">
        <v>3158</v>
      </c>
      <c r="E729" s="11"/>
      <c r="F729" s="12" t="s">
        <v>3260</v>
      </c>
      <c r="G729" s="11"/>
      <c r="H729" s="11"/>
      <c r="I729" s="12" t="s">
        <v>3261</v>
      </c>
      <c r="J729" s="12" t="s">
        <v>3262</v>
      </c>
      <c r="K729" s="12" t="s">
        <v>3263</v>
      </c>
      <c r="L729" s="11"/>
      <c r="M729" s="12" t="str">
        <f>HYPERLINK("https://ceds.ed.gov/cedselementdetails.aspx?termid=18723")</f>
        <v>https://ceds.ed.gov/cedselementdetails.aspx?termid=18723</v>
      </c>
      <c r="N729" s="12" t="str">
        <f>HYPERLINK("https://ceds.ed.gov/elementComment.aspx?elementName=Credential Definition NAICS Industry Type &amp;elementID=18723", "Click here to submit comment")</f>
        <v>Click here to submit comment</v>
      </c>
    </row>
    <row r="730" spans="1:14" ht="63.75" x14ac:dyDescent="0.25">
      <c r="A730" s="12" t="s">
        <v>3264</v>
      </c>
      <c r="B730" s="12" t="s">
        <v>3265</v>
      </c>
      <c r="C730" s="13" t="s">
        <v>3266</v>
      </c>
      <c r="D730" s="12" t="s">
        <v>3158</v>
      </c>
      <c r="E730" s="11"/>
      <c r="F730" s="11"/>
      <c r="G730" s="11"/>
      <c r="H730" s="11"/>
      <c r="I730" s="12" t="s">
        <v>3267</v>
      </c>
      <c r="J730" s="12" t="s">
        <v>3268</v>
      </c>
      <c r="K730" s="12" t="s">
        <v>3269</v>
      </c>
      <c r="L730" s="11"/>
      <c r="M730" s="12" t="str">
        <f>HYPERLINK("https://ceds.ed.gov/cedselementdetails.aspx?termid=18721")</f>
        <v>https://ceds.ed.gov/cedselementdetails.aspx?termid=18721</v>
      </c>
      <c r="N730" s="12" t="str">
        <f>HYPERLINK("https://ceds.ed.gov/elementComment.aspx?elementName=Credential Definition Status Type &amp;elementID=18721", "Click here to submit comment")</f>
        <v>Click here to submit comment</v>
      </c>
    </row>
    <row r="731" spans="1:14" ht="25.5" x14ac:dyDescent="0.25">
      <c r="A731" s="12" t="s">
        <v>3270</v>
      </c>
      <c r="B731" s="12" t="s">
        <v>3271</v>
      </c>
      <c r="C731" s="12" t="s">
        <v>37</v>
      </c>
      <c r="D731" s="12" t="s">
        <v>3158</v>
      </c>
      <c r="E731" s="11"/>
      <c r="F731" s="12" t="s">
        <v>129</v>
      </c>
      <c r="G731" s="11"/>
      <c r="H731" s="11"/>
      <c r="I731" s="12" t="s">
        <v>3272</v>
      </c>
      <c r="J731" s="12" t="s">
        <v>3273</v>
      </c>
      <c r="K731" s="12" t="s">
        <v>3274</v>
      </c>
      <c r="L731" s="11"/>
      <c r="M731" s="12" t="str">
        <f>HYPERLINK("https://ceds.ed.gov/cedselementdetails.aspx?termid=17893")</f>
        <v>https://ceds.ed.gov/cedselementdetails.aspx?termid=17893</v>
      </c>
      <c r="N731" s="12" t="str">
        <f>HYPERLINK("https://ceds.ed.gov/elementComment.aspx?elementName=Credential Definition Title &amp;elementID=17893", "Click here to submit comment")</f>
        <v>Click here to submit comment</v>
      </c>
    </row>
    <row r="732" spans="1:14" ht="38.25" x14ac:dyDescent="0.25">
      <c r="A732" s="12" t="s">
        <v>3275</v>
      </c>
      <c r="B732" s="12" t="s">
        <v>3276</v>
      </c>
      <c r="C732" s="12" t="s">
        <v>37</v>
      </c>
      <c r="D732" s="12" t="s">
        <v>3158</v>
      </c>
      <c r="E732" s="11"/>
      <c r="F732" s="12" t="s">
        <v>382</v>
      </c>
      <c r="G732" s="11"/>
      <c r="H732" s="11"/>
      <c r="I732" s="12" t="s">
        <v>3277</v>
      </c>
      <c r="J732" s="12" t="s">
        <v>3278</v>
      </c>
      <c r="K732" s="12" t="s">
        <v>3279</v>
      </c>
      <c r="L732" s="11"/>
      <c r="M732" s="12" t="str">
        <f>HYPERLINK("https://ceds.ed.gov/cedselementdetails.aspx?termid=18733")</f>
        <v>https://ceds.ed.gov/cedselementdetails.aspx?termid=18733</v>
      </c>
      <c r="N732" s="12" t="str">
        <f>HYPERLINK("https://ceds.ed.gov/elementComment.aspx?elementName=Credential Definition Validation Method Description &amp;elementID=18733", "Click here to submit comment")</f>
        <v>Click here to submit comment</v>
      </c>
    </row>
    <row r="733" spans="1:14" ht="51" x14ac:dyDescent="0.25">
      <c r="A733" s="12" t="s">
        <v>3280</v>
      </c>
      <c r="B733" s="12" t="s">
        <v>3281</v>
      </c>
      <c r="C733" s="13" t="s">
        <v>3282</v>
      </c>
      <c r="D733" s="12" t="s">
        <v>3158</v>
      </c>
      <c r="E733" s="11"/>
      <c r="F733" s="11"/>
      <c r="G733" s="11"/>
      <c r="H733" s="11"/>
      <c r="I733" s="12" t="s">
        <v>3283</v>
      </c>
      <c r="J733" s="12" t="s">
        <v>3284</v>
      </c>
      <c r="K733" s="12" t="s">
        <v>3285</v>
      </c>
      <c r="L733" s="11"/>
      <c r="M733" s="12" t="str">
        <f>HYPERLINK("https://ceds.ed.gov/cedselementdetails.aspx?termid=18734")</f>
        <v>https://ceds.ed.gov/cedselementdetails.aspx?termid=18734</v>
      </c>
      <c r="N733" s="12" t="str">
        <f>HYPERLINK("https://ceds.ed.gov/elementComment.aspx?elementName=Credential Definition Verification Type &amp;elementID=18734", "Click here to submit comment")</f>
        <v>Click here to submit comment</v>
      </c>
    </row>
    <row r="734" spans="1:14" ht="38.25" x14ac:dyDescent="0.25">
      <c r="A734" s="12" t="s">
        <v>3286</v>
      </c>
      <c r="B734" s="12" t="s">
        <v>3287</v>
      </c>
      <c r="C734" s="12" t="s">
        <v>37</v>
      </c>
      <c r="D734" s="12" t="s">
        <v>3158</v>
      </c>
      <c r="E734" s="11"/>
      <c r="F734" s="12" t="s">
        <v>165</v>
      </c>
      <c r="G734" s="11"/>
      <c r="H734" s="11"/>
      <c r="I734" s="12" t="s">
        <v>3288</v>
      </c>
      <c r="J734" s="12" t="s">
        <v>3289</v>
      </c>
      <c r="K734" s="12" t="s">
        <v>3290</v>
      </c>
      <c r="L734" s="11"/>
      <c r="M734" s="12" t="str">
        <f>HYPERLINK("https://ceds.ed.gov/cedselementdetails.aspx?termid=18735")</f>
        <v>https://ceds.ed.gov/cedselementdetails.aspx?termid=18735</v>
      </c>
      <c r="N734" s="12" t="str">
        <f>HYPERLINK("https://ceds.ed.gov/elementComment.aspx?elementName=Credential Definition Version &amp;elementID=18735", "Click here to submit comment")</f>
        <v>Click here to submit comment</v>
      </c>
    </row>
    <row r="735" spans="1:14" ht="89.25" x14ac:dyDescent="0.25">
      <c r="A735" s="12" t="s">
        <v>3291</v>
      </c>
      <c r="B735" s="12" t="s">
        <v>3292</v>
      </c>
      <c r="C735" s="12" t="s">
        <v>37</v>
      </c>
      <c r="D735" s="12" t="s">
        <v>3109</v>
      </c>
      <c r="E735" s="11"/>
      <c r="F735" s="12" t="s">
        <v>129</v>
      </c>
      <c r="G735" s="11"/>
      <c r="H735" s="12" t="s">
        <v>3293</v>
      </c>
      <c r="I735" s="12" t="s">
        <v>3294</v>
      </c>
      <c r="J735" s="11"/>
      <c r="K735" s="12" t="s">
        <v>3295</v>
      </c>
      <c r="L735" s="11"/>
      <c r="M735" s="12" t="str">
        <f>HYPERLINK("https://ceds.ed.gov/cedselementdetails.aspx?termid=17901")</f>
        <v>https://ceds.ed.gov/cedselementdetails.aspx?termid=17901</v>
      </c>
      <c r="N735" s="12" t="str">
        <f>HYPERLINK("https://ceds.ed.gov/elementComment.aspx?elementName=Credential Evidence Statement &amp;elementID=17901", "Click here to submit comment")</f>
        <v>Click here to submit comment</v>
      </c>
    </row>
    <row r="736" spans="1:14" ht="51" x14ac:dyDescent="0.25">
      <c r="A736" s="12" t="s">
        <v>3296</v>
      </c>
      <c r="B736" s="12" t="s">
        <v>3297</v>
      </c>
      <c r="C736" s="12" t="s">
        <v>37</v>
      </c>
      <c r="D736" s="12" t="s">
        <v>3298</v>
      </c>
      <c r="E736" s="11"/>
      <c r="F736" s="12" t="s">
        <v>135</v>
      </c>
      <c r="G736" s="11"/>
      <c r="H736" s="11"/>
      <c r="I736" s="12" t="s">
        <v>3299</v>
      </c>
      <c r="J736" s="11"/>
      <c r="K736" s="12" t="s">
        <v>3300</v>
      </c>
      <c r="L736" s="12" t="s">
        <v>238</v>
      </c>
      <c r="M736" s="12" t="str">
        <f>HYPERLINK("https://ceds.ed.gov/cedselementdetails.aspx?termid=17069")</f>
        <v>https://ceds.ed.gov/cedselementdetails.aspx?termid=17069</v>
      </c>
      <c r="N736" s="12" t="str">
        <f>HYPERLINK("https://ceds.ed.gov/elementComment.aspx?elementName=Credential Expiration Date &amp;elementID=17069", "Click here to submit comment")</f>
        <v>Click here to submit comment</v>
      </c>
    </row>
    <row r="737" spans="1:14" ht="51" x14ac:dyDescent="0.25">
      <c r="A737" s="12" t="s">
        <v>3301</v>
      </c>
      <c r="B737" s="12" t="s">
        <v>3302</v>
      </c>
      <c r="C737" s="12" t="s">
        <v>37</v>
      </c>
      <c r="D737" s="12" t="s">
        <v>3158</v>
      </c>
      <c r="E737" s="11"/>
      <c r="F737" s="12" t="s">
        <v>57</v>
      </c>
      <c r="G737" s="11"/>
      <c r="H737" s="12" t="s">
        <v>3303</v>
      </c>
      <c r="I737" s="12" t="s">
        <v>3304</v>
      </c>
      <c r="J737" s="11"/>
      <c r="K737" s="12" t="s">
        <v>3305</v>
      </c>
      <c r="L737" s="11"/>
      <c r="M737" s="12" t="str">
        <f>HYPERLINK("https://ceds.ed.gov/cedselementdetails.aspx?termid=17894")</f>
        <v>https://ceds.ed.gov/cedselementdetails.aspx?termid=17894</v>
      </c>
      <c r="N737" s="12" t="str">
        <f>HYPERLINK("https://ceds.ed.gov/elementComment.aspx?elementName=Credential Image URL &amp;elementID=17894", "Click here to submit comment")</f>
        <v>Click here to submit comment</v>
      </c>
    </row>
    <row r="738" spans="1:14" ht="51" x14ac:dyDescent="0.25">
      <c r="A738" s="12" t="s">
        <v>3306</v>
      </c>
      <c r="B738" s="12" t="s">
        <v>3307</v>
      </c>
      <c r="C738" s="12" t="s">
        <v>37</v>
      </c>
      <c r="D738" s="12" t="s">
        <v>3298</v>
      </c>
      <c r="E738" s="11"/>
      <c r="F738" s="12" t="s">
        <v>135</v>
      </c>
      <c r="G738" s="11"/>
      <c r="H738" s="11"/>
      <c r="I738" s="12" t="s">
        <v>3308</v>
      </c>
      <c r="J738" s="11"/>
      <c r="K738" s="12" t="s">
        <v>3309</v>
      </c>
      <c r="L738" s="12" t="s">
        <v>238</v>
      </c>
      <c r="M738" s="12" t="str">
        <f>HYPERLINK("https://ceds.ed.gov/cedselementdetails.aspx?termid=17070")</f>
        <v>https://ceds.ed.gov/cedselementdetails.aspx?termid=17070</v>
      </c>
      <c r="N738" s="12" t="str">
        <f>HYPERLINK("https://ceds.ed.gov/elementComment.aspx?elementName=Credential Issuance Date &amp;elementID=17070", "Click here to submit comment")</f>
        <v>Click here to submit comment</v>
      </c>
    </row>
    <row r="739" spans="1:14" ht="45" x14ac:dyDescent="0.25">
      <c r="A739" s="12" t="s">
        <v>3310</v>
      </c>
      <c r="B739" s="12" t="s">
        <v>3311</v>
      </c>
      <c r="C739" s="12" t="s">
        <v>37</v>
      </c>
      <c r="D739" s="12" t="s">
        <v>3109</v>
      </c>
      <c r="E739" s="11"/>
      <c r="F739" s="12" t="s">
        <v>57</v>
      </c>
      <c r="G739" s="11"/>
      <c r="H739" s="6" t="s">
        <v>3312</v>
      </c>
      <c r="I739" s="12" t="s">
        <v>3313</v>
      </c>
      <c r="J739" s="11"/>
      <c r="K739" s="12" t="s">
        <v>3314</v>
      </c>
      <c r="L739" s="11"/>
      <c r="M739" s="12" t="str">
        <f>HYPERLINK("https://ceds.ed.gov/cedselementdetails.aspx?termid=18643")</f>
        <v>https://ceds.ed.gov/cedselementdetails.aspx?termid=18643</v>
      </c>
      <c r="N739" s="12" t="str">
        <f>HYPERLINK("https://ceds.ed.gov/elementComment.aspx?elementName=Credential Issuer Revocation List URL &amp;elementID=18643", "Click here to submit comment")</f>
        <v>Click here to submit comment</v>
      </c>
    </row>
    <row r="740" spans="1:14" ht="51" x14ac:dyDescent="0.25">
      <c r="A740" s="12" t="s">
        <v>3315</v>
      </c>
      <c r="B740" s="12" t="s">
        <v>3316</v>
      </c>
      <c r="C740" s="12" t="s">
        <v>37</v>
      </c>
      <c r="D740" s="12" t="s">
        <v>3317</v>
      </c>
      <c r="E740" s="11"/>
      <c r="F740" s="12" t="s">
        <v>135</v>
      </c>
      <c r="G740" s="11"/>
      <c r="H740" s="12" t="s">
        <v>160</v>
      </c>
      <c r="I740" s="12" t="s">
        <v>3318</v>
      </c>
      <c r="J740" s="11"/>
      <c r="K740" s="12" t="s">
        <v>3319</v>
      </c>
      <c r="L740" s="11"/>
      <c r="M740" s="12" t="str">
        <f>HYPERLINK("https://ceds.ed.gov/cedselementdetails.aspx?termid=18893")</f>
        <v>https://ceds.ed.gov/cedselementdetails.aspx?termid=18893</v>
      </c>
      <c r="N740" s="12" t="str">
        <f>HYPERLINK("https://ceds.ed.gov/elementComment.aspx?elementName=Credential Offered End Date &amp;elementID=18893", "Click here to submit comment")</f>
        <v>Click here to submit comment</v>
      </c>
    </row>
    <row r="741" spans="1:14" ht="25.5" x14ac:dyDescent="0.25">
      <c r="A741" s="12" t="s">
        <v>3320</v>
      </c>
      <c r="B741" s="12" t="s">
        <v>3321</v>
      </c>
      <c r="C741" s="12" t="s">
        <v>37</v>
      </c>
      <c r="D741" s="12" t="s">
        <v>3317</v>
      </c>
      <c r="E741" s="11"/>
      <c r="F741" s="12" t="s">
        <v>135</v>
      </c>
      <c r="G741" s="11"/>
      <c r="H741" s="11"/>
      <c r="I741" s="12" t="s">
        <v>3322</v>
      </c>
      <c r="J741" s="11"/>
      <c r="K741" s="12" t="s">
        <v>3323</v>
      </c>
      <c r="L741" s="11"/>
      <c r="M741" s="12" t="str">
        <f>HYPERLINK("https://ceds.ed.gov/cedselementdetails.aspx?termid=18892")</f>
        <v>https://ceds.ed.gov/cedselementdetails.aspx?termid=18892</v>
      </c>
      <c r="N741" s="12" t="str">
        <f>HYPERLINK("https://ceds.ed.gov/elementComment.aspx?elementName=Credential Offered Start Date &amp;elementID=18892", "Click here to submit comment")</f>
        <v>Click here to submit comment</v>
      </c>
    </row>
    <row r="742" spans="1:14" ht="51" x14ac:dyDescent="0.25">
      <c r="A742" s="12" t="s">
        <v>3324</v>
      </c>
      <c r="B742" s="12" t="s">
        <v>3325</v>
      </c>
      <c r="C742" s="12" t="s">
        <v>37</v>
      </c>
      <c r="D742" s="12" t="s">
        <v>3298</v>
      </c>
      <c r="E742" s="11"/>
      <c r="F742" s="12" t="s">
        <v>175</v>
      </c>
      <c r="G742" s="11"/>
      <c r="H742" s="11"/>
      <c r="I742" s="12" t="s">
        <v>3326</v>
      </c>
      <c r="J742" s="11"/>
      <c r="K742" s="12" t="s">
        <v>3327</v>
      </c>
      <c r="L742" s="11"/>
      <c r="M742" s="12" t="str">
        <f>HYPERLINK("https://ceds.ed.gov/cedselementdetails.aspx?termid=18566")</f>
        <v>https://ceds.ed.gov/cedselementdetails.aspx?termid=18566</v>
      </c>
      <c r="N742" s="12" t="str">
        <f>HYPERLINK("https://ceds.ed.gov/elementComment.aspx?elementName=Credential or License Award Entity &amp;elementID=18566", "Click here to submit comment")</f>
        <v>Click here to submit comment</v>
      </c>
    </row>
    <row r="743" spans="1:14" ht="38.25" x14ac:dyDescent="0.25">
      <c r="A743" s="12" t="s">
        <v>3328</v>
      </c>
      <c r="B743" s="12" t="s">
        <v>3329</v>
      </c>
      <c r="C743" s="12" t="s">
        <v>37</v>
      </c>
      <c r="D743" s="12" t="s">
        <v>3109</v>
      </c>
      <c r="E743" s="11"/>
      <c r="F743" s="12" t="s">
        <v>135</v>
      </c>
      <c r="G743" s="11"/>
      <c r="H743" s="12" t="s">
        <v>3330</v>
      </c>
      <c r="I743" s="12" t="s">
        <v>3331</v>
      </c>
      <c r="J743" s="11"/>
      <c r="K743" s="12" t="s">
        <v>3332</v>
      </c>
      <c r="L743" s="11"/>
      <c r="M743" s="12" t="str">
        <f>HYPERLINK("https://ceds.ed.gov/cedselementdetails.aspx?termid=18641")</f>
        <v>https://ceds.ed.gov/cedselementdetails.aspx?termid=18641</v>
      </c>
      <c r="N743" s="12" t="str">
        <f>HYPERLINK("https://ceds.ed.gov/elementComment.aspx?elementName=Credential Revoked Date &amp;elementID=18641", "Click here to submit comment")</f>
        <v>Click here to submit comment</v>
      </c>
    </row>
    <row r="744" spans="1:14" ht="38.25" x14ac:dyDescent="0.25">
      <c r="A744" s="12" t="s">
        <v>3333</v>
      </c>
      <c r="B744" s="12" t="s">
        <v>3334</v>
      </c>
      <c r="C744" s="12" t="s">
        <v>24</v>
      </c>
      <c r="D744" s="12" t="s">
        <v>3109</v>
      </c>
      <c r="E744" s="11"/>
      <c r="F744" s="11"/>
      <c r="G744" s="11"/>
      <c r="H744" s="11"/>
      <c r="I744" s="12" t="s">
        <v>3335</v>
      </c>
      <c r="J744" s="11"/>
      <c r="K744" s="12" t="s">
        <v>3336</v>
      </c>
      <c r="L744" s="11"/>
      <c r="M744" s="12" t="str">
        <f>HYPERLINK("https://ceds.ed.gov/cedselementdetails.aspx?termid=18732")</f>
        <v>https://ceds.ed.gov/cedselementdetails.aspx?termid=18732</v>
      </c>
      <c r="N744" s="12" t="str">
        <f>HYPERLINK("https://ceds.ed.gov/elementComment.aspx?elementName=Credential Revoked Indicator &amp;elementID=18732", "Click here to submit comment")</f>
        <v>Click here to submit comment</v>
      </c>
    </row>
    <row r="745" spans="1:14" ht="25.5" x14ac:dyDescent="0.25">
      <c r="A745" s="12" t="s">
        <v>3337</v>
      </c>
      <c r="B745" s="12" t="s">
        <v>3338</v>
      </c>
      <c r="C745" s="12" t="s">
        <v>37</v>
      </c>
      <c r="D745" s="12" t="s">
        <v>3109</v>
      </c>
      <c r="E745" s="11"/>
      <c r="F745" s="12" t="s">
        <v>382</v>
      </c>
      <c r="G745" s="11"/>
      <c r="H745" s="11"/>
      <c r="I745" s="12" t="s">
        <v>3339</v>
      </c>
      <c r="J745" s="11"/>
      <c r="K745" s="12" t="s">
        <v>3340</v>
      </c>
      <c r="L745" s="11"/>
      <c r="M745" s="12" t="str">
        <f>HYPERLINK("https://ceds.ed.gov/cedselementdetails.aspx?termid=18642")</f>
        <v>https://ceds.ed.gov/cedselementdetails.aspx?termid=18642</v>
      </c>
      <c r="N745" s="12" t="str">
        <f>HYPERLINK("https://ceds.ed.gov/elementComment.aspx?elementName=Credential Revoked Reason &amp;elementID=18642", "Click here to submit comment")</f>
        <v>Click here to submit comment</v>
      </c>
    </row>
    <row r="746" spans="1:14" ht="127.5" x14ac:dyDescent="0.25">
      <c r="A746" s="12" t="s">
        <v>3341</v>
      </c>
      <c r="B746" s="12" t="s">
        <v>3342</v>
      </c>
      <c r="C746" s="13" t="s">
        <v>3343</v>
      </c>
      <c r="D746" s="12" t="s">
        <v>3344</v>
      </c>
      <c r="E746" s="11"/>
      <c r="F746" s="11"/>
      <c r="G746" s="11"/>
      <c r="H746" s="11"/>
      <c r="I746" s="12" t="s">
        <v>3345</v>
      </c>
      <c r="J746" s="11"/>
      <c r="K746" s="12" t="s">
        <v>3346</v>
      </c>
      <c r="L746" s="11"/>
      <c r="M746" s="12" t="str">
        <f>HYPERLINK("https://ceds.ed.gov/cedselementdetails.aspx?termid=17071")</f>
        <v>https://ceds.ed.gov/cedselementdetails.aspx?termid=17071</v>
      </c>
      <c r="N746" s="12" t="str">
        <f>HYPERLINK("https://ceds.ed.gov/elementComment.aspx?elementName=Credential Type &amp;elementID=17071", "Click here to submit comment")</f>
        <v>Click here to submit comment</v>
      </c>
    </row>
    <row r="747" spans="1:14" ht="229.5" x14ac:dyDescent="0.25">
      <c r="A747" s="12" t="s">
        <v>3347</v>
      </c>
      <c r="B747" s="12" t="s">
        <v>3348</v>
      </c>
      <c r="C747" s="13" t="s">
        <v>3349</v>
      </c>
      <c r="D747" s="12" t="s">
        <v>3350</v>
      </c>
      <c r="E747" s="11"/>
      <c r="F747" s="11"/>
      <c r="G747" s="11"/>
      <c r="H747" s="11"/>
      <c r="I747" s="12" t="s">
        <v>3351</v>
      </c>
      <c r="J747" s="11"/>
      <c r="K747" s="12" t="s">
        <v>3352</v>
      </c>
      <c r="L747" s="11"/>
      <c r="M747" s="12" t="str">
        <f>HYPERLINK("https://ceds.ed.gov/cedselementdetails.aspx?termid=18283")</f>
        <v>https://ceds.ed.gov/cedselementdetails.aspx?termid=18283</v>
      </c>
      <c r="N747" s="12" t="str">
        <f>HYPERLINK("https://ceds.ed.gov/elementComment.aspx?elementName=Credit Hours Applied Other Program &amp;elementID=18283", "Click here to submit comment")</f>
        <v>Click here to submit comment</v>
      </c>
    </row>
    <row r="748" spans="1:14" ht="293.25" x14ac:dyDescent="0.25">
      <c r="A748" s="12" t="s">
        <v>3353</v>
      </c>
      <c r="B748" s="12" t="s">
        <v>3354</v>
      </c>
      <c r="C748" s="13" t="s">
        <v>3355</v>
      </c>
      <c r="D748" s="12" t="s">
        <v>3356</v>
      </c>
      <c r="E748" s="11"/>
      <c r="F748" s="11"/>
      <c r="G748" s="11"/>
      <c r="H748" s="11"/>
      <c r="I748" s="12" t="s">
        <v>3357</v>
      </c>
      <c r="J748" s="11"/>
      <c r="K748" s="12" t="s">
        <v>3358</v>
      </c>
      <c r="L748" s="12" t="s">
        <v>72</v>
      </c>
      <c r="M748" s="12" t="str">
        <f>HYPERLINK("https://ceds.ed.gov/cedselementdetails.aspx?termid=17072")</f>
        <v>https://ceds.ed.gov/cedselementdetails.aspx?termid=17072</v>
      </c>
      <c r="N748" s="12" t="str">
        <f>HYPERLINK("https://ceds.ed.gov/elementComment.aspx?elementName=Credit Unit Type &amp;elementID=17072", "Click here to submit comment")</f>
        <v>Click here to submit comment</v>
      </c>
    </row>
    <row r="749" spans="1:14" ht="165.75" x14ac:dyDescent="0.25">
      <c r="A749" s="12" t="s">
        <v>3359</v>
      </c>
      <c r="B749" s="12" t="s">
        <v>3360</v>
      </c>
      <c r="C749" s="12" t="s">
        <v>37</v>
      </c>
      <c r="D749" s="12" t="s">
        <v>3361</v>
      </c>
      <c r="E749" s="11"/>
      <c r="F749" s="12" t="s">
        <v>1710</v>
      </c>
      <c r="G749" s="11"/>
      <c r="H749" s="12" t="s">
        <v>3362</v>
      </c>
      <c r="I749" s="12" t="s">
        <v>3363</v>
      </c>
      <c r="J749" s="11"/>
      <c r="K749" s="12" t="s">
        <v>3364</v>
      </c>
      <c r="L749" s="12" t="s">
        <v>65</v>
      </c>
      <c r="M749" s="12" t="str">
        <f>HYPERLINK("https://ceds.ed.gov/cedselementdetails.aspx?termid=17058")</f>
        <v>https://ceds.ed.gov/cedselementdetails.aspx?termid=17058</v>
      </c>
      <c r="N749" s="12" t="str">
        <f>HYPERLINK("https://ceds.ed.gov/elementComment.aspx?elementName=Credit Value &amp;elementID=17058", "Click here to submit comment")</f>
        <v>Click here to submit comment</v>
      </c>
    </row>
    <row r="750" spans="1:14" ht="76.5" x14ac:dyDescent="0.25">
      <c r="A750" s="12" t="s">
        <v>3365</v>
      </c>
      <c r="B750" s="12" t="s">
        <v>3366</v>
      </c>
      <c r="C750" s="12" t="s">
        <v>37</v>
      </c>
      <c r="D750" s="12" t="s">
        <v>69</v>
      </c>
      <c r="E750" s="11"/>
      <c r="F750" s="12" t="s">
        <v>1710</v>
      </c>
      <c r="G750" s="11"/>
      <c r="H750" s="11"/>
      <c r="I750" s="12" t="s">
        <v>3367</v>
      </c>
      <c r="J750" s="11"/>
      <c r="K750" s="12" t="s">
        <v>3368</v>
      </c>
      <c r="L750" s="12" t="s">
        <v>72</v>
      </c>
      <c r="M750" s="12" t="str">
        <f>HYPERLINK("https://ceds.ed.gov/cedselementdetails.aspx?termid=17073")</f>
        <v>https://ceds.ed.gov/cedselementdetails.aspx?termid=17073</v>
      </c>
      <c r="N750" s="12" t="str">
        <f>HYPERLINK("https://ceds.ed.gov/elementComment.aspx?elementName=Credits Attempted Cumulative &amp;elementID=17073", "Click here to submit comment")</f>
        <v>Click here to submit comment</v>
      </c>
    </row>
    <row r="751" spans="1:14" ht="76.5" x14ac:dyDescent="0.25">
      <c r="A751" s="12" t="s">
        <v>3369</v>
      </c>
      <c r="B751" s="12" t="s">
        <v>3370</v>
      </c>
      <c r="C751" s="12" t="s">
        <v>37</v>
      </c>
      <c r="D751" s="12" t="s">
        <v>69</v>
      </c>
      <c r="E751" s="11"/>
      <c r="F751" s="12" t="s">
        <v>1710</v>
      </c>
      <c r="G751" s="11"/>
      <c r="H751" s="11"/>
      <c r="I751" s="12" t="s">
        <v>3371</v>
      </c>
      <c r="J751" s="11"/>
      <c r="K751" s="12" t="s">
        <v>3372</v>
      </c>
      <c r="L751" s="12" t="s">
        <v>72</v>
      </c>
      <c r="M751" s="12" t="str">
        <f>HYPERLINK("https://ceds.ed.gov/cedselementdetails.aspx?termid=17074")</f>
        <v>https://ceds.ed.gov/cedselementdetails.aspx?termid=17074</v>
      </c>
      <c r="N751" s="12" t="str">
        <f>HYPERLINK("https://ceds.ed.gov/elementComment.aspx?elementName=Credits Earned Cumulative &amp;elementID=17074", "Click here to submit comment")</f>
        <v>Click here to submit comment</v>
      </c>
    </row>
    <row r="752" spans="1:14" ht="102" x14ac:dyDescent="0.25">
      <c r="A752" s="12" t="s">
        <v>3373</v>
      </c>
      <c r="B752" s="12" t="s">
        <v>3374</v>
      </c>
      <c r="C752" s="12" t="s">
        <v>37</v>
      </c>
      <c r="D752" s="12" t="s">
        <v>3375</v>
      </c>
      <c r="E752" s="11"/>
      <c r="F752" s="12" t="s">
        <v>1710</v>
      </c>
      <c r="G752" s="11"/>
      <c r="H752" s="12" t="s">
        <v>3376</v>
      </c>
      <c r="I752" s="12" t="s">
        <v>3377</v>
      </c>
      <c r="J752" s="11"/>
      <c r="K752" s="12" t="s">
        <v>3378</v>
      </c>
      <c r="L752" s="11"/>
      <c r="M752" s="12" t="str">
        <f>HYPERLINK("https://ceds.ed.gov/cedselementdetails.aspx?termid=18553")</f>
        <v>https://ceds.ed.gov/cedselementdetails.aspx?termid=18553</v>
      </c>
      <c r="N752" s="12" t="str">
        <f>HYPERLINK("https://ceds.ed.gov/elementComment.aspx?elementName=Credits Required &amp;elementID=18553", "Click here to submit comment")</f>
        <v>Click here to submit comment</v>
      </c>
    </row>
    <row r="753" spans="1:14" ht="153" x14ac:dyDescent="0.25">
      <c r="A753" s="12" t="s">
        <v>3379</v>
      </c>
      <c r="B753" s="12" t="s">
        <v>3380</v>
      </c>
      <c r="C753" s="12" t="s">
        <v>37</v>
      </c>
      <c r="D753" s="12" t="s">
        <v>3381</v>
      </c>
      <c r="E753" s="11"/>
      <c r="F753" s="12" t="s">
        <v>97</v>
      </c>
      <c r="G753" s="11"/>
      <c r="H753" s="11"/>
      <c r="I753" s="12" t="s">
        <v>3382</v>
      </c>
      <c r="J753" s="11"/>
      <c r="K753" s="12" t="s">
        <v>3383</v>
      </c>
      <c r="L753" s="11"/>
      <c r="M753" s="12" t="str">
        <f>HYPERLINK("https://ceds.ed.gov/cedselementdetails.aspx?termid=17604")</f>
        <v>https://ceds.ed.gov/cedselementdetails.aspx?termid=17604</v>
      </c>
      <c r="N753" s="12" t="str">
        <f>HYPERLINK("https://ceds.ed.gov/elementComment.aspx?elementName=Crisis Code &amp;elementID=17604", "Click here to submit comment")</f>
        <v>Click here to submit comment</v>
      </c>
    </row>
    <row r="754" spans="1:14" ht="25.5" x14ac:dyDescent="0.25">
      <c r="A754" s="12" t="s">
        <v>3384</v>
      </c>
      <c r="B754" s="12" t="s">
        <v>3385</v>
      </c>
      <c r="C754" s="12" t="s">
        <v>37</v>
      </c>
      <c r="D754" s="12" t="s">
        <v>3381</v>
      </c>
      <c r="E754" s="11"/>
      <c r="F754" s="12" t="s">
        <v>129</v>
      </c>
      <c r="G754" s="11"/>
      <c r="H754" s="11"/>
      <c r="I754" s="12" t="s">
        <v>3386</v>
      </c>
      <c r="J754" s="11"/>
      <c r="K754" s="12" t="s">
        <v>3387</v>
      </c>
      <c r="L754" s="11"/>
      <c r="M754" s="12" t="str">
        <f>HYPERLINK("https://ceds.ed.gov/cedselementdetails.aspx?termid=18526")</f>
        <v>https://ceds.ed.gov/cedselementdetails.aspx?termid=18526</v>
      </c>
      <c r="N754" s="12" t="str">
        <f>HYPERLINK("https://ceds.ed.gov/elementComment.aspx?elementName=Crisis Description &amp;elementID=18526", "Click here to submit comment")</f>
        <v>Click here to submit comment</v>
      </c>
    </row>
    <row r="755" spans="1:14" ht="51" x14ac:dyDescent="0.25">
      <c r="A755" s="12" t="s">
        <v>3388</v>
      </c>
      <c r="B755" s="12" t="s">
        <v>3389</v>
      </c>
      <c r="C755" s="12" t="s">
        <v>37</v>
      </c>
      <c r="D755" s="12" t="s">
        <v>3381</v>
      </c>
      <c r="E755" s="11"/>
      <c r="F755" s="12" t="s">
        <v>135</v>
      </c>
      <c r="G755" s="11"/>
      <c r="H755" s="12" t="s">
        <v>160</v>
      </c>
      <c r="I755" s="12" t="s">
        <v>3390</v>
      </c>
      <c r="J755" s="11"/>
      <c r="K755" s="12" t="s">
        <v>3391</v>
      </c>
      <c r="L755" s="11"/>
      <c r="M755" s="12" t="str">
        <f>HYPERLINK("https://ceds.ed.gov/cedselementdetails.aspx?termid=18528")</f>
        <v>https://ceds.ed.gov/cedselementdetails.aspx?termid=18528</v>
      </c>
      <c r="N755" s="12" t="str">
        <f>HYPERLINK("https://ceds.ed.gov/elementComment.aspx?elementName=Crisis End Date &amp;elementID=18528", "Click here to submit comment")</f>
        <v>Click here to submit comment</v>
      </c>
    </row>
    <row r="756" spans="1:14" ht="25.5" x14ac:dyDescent="0.25">
      <c r="A756" s="12" t="s">
        <v>3392</v>
      </c>
      <c r="B756" s="12" t="s">
        <v>3393</v>
      </c>
      <c r="C756" s="12" t="s">
        <v>37</v>
      </c>
      <c r="D756" s="12" t="s">
        <v>3381</v>
      </c>
      <c r="E756" s="11"/>
      <c r="F756" s="12" t="s">
        <v>1510</v>
      </c>
      <c r="G756" s="11"/>
      <c r="H756" s="11"/>
      <c r="I756" s="12" t="s">
        <v>3394</v>
      </c>
      <c r="J756" s="11"/>
      <c r="K756" s="12" t="s">
        <v>3395</v>
      </c>
      <c r="L756" s="11"/>
      <c r="M756" s="12" t="str">
        <f>HYPERLINK("https://ceds.ed.gov/cedselementdetails.aspx?termid=17605")</f>
        <v>https://ceds.ed.gov/cedselementdetails.aspx?termid=17605</v>
      </c>
      <c r="N756" s="12" t="str">
        <f>HYPERLINK("https://ceds.ed.gov/elementComment.aspx?elementName=Crisis Name &amp;elementID=17605", "Click here to submit comment")</f>
        <v>Click here to submit comment</v>
      </c>
    </row>
    <row r="757" spans="1:14" ht="63.75" x14ac:dyDescent="0.25">
      <c r="A757" s="12" t="s">
        <v>3396</v>
      </c>
      <c r="B757" s="12" t="s">
        <v>3397</v>
      </c>
      <c r="C757" s="12" t="s">
        <v>37</v>
      </c>
      <c r="D757" s="12" t="s">
        <v>3381</v>
      </c>
      <c r="E757" s="11"/>
      <c r="F757" s="12" t="s">
        <v>135</v>
      </c>
      <c r="G757" s="11"/>
      <c r="H757" s="11"/>
      <c r="I757" s="12" t="s">
        <v>3398</v>
      </c>
      <c r="J757" s="11"/>
      <c r="K757" s="12" t="s">
        <v>3399</v>
      </c>
      <c r="L757" s="11"/>
      <c r="M757" s="12" t="str">
        <f>HYPERLINK("https://ceds.ed.gov/cedselementdetails.aspx?termid=17607")</f>
        <v>https://ceds.ed.gov/cedselementdetails.aspx?termid=17607</v>
      </c>
      <c r="N757" s="12" t="str">
        <f>HYPERLINK("https://ceds.ed.gov/elementComment.aspx?elementName=Crisis Start Date &amp;elementID=17607", "Click here to submit comment")</f>
        <v>Click here to submit comment</v>
      </c>
    </row>
    <row r="758" spans="1:14" ht="25.5" x14ac:dyDescent="0.25">
      <c r="A758" s="12" t="s">
        <v>3400</v>
      </c>
      <c r="B758" s="12" t="s">
        <v>3401</v>
      </c>
      <c r="C758" s="12" t="s">
        <v>37</v>
      </c>
      <c r="D758" s="12" t="s">
        <v>3381</v>
      </c>
      <c r="E758" s="11"/>
      <c r="F758" s="12" t="s">
        <v>1510</v>
      </c>
      <c r="G758" s="11"/>
      <c r="H758" s="11"/>
      <c r="I758" s="12" t="s">
        <v>3402</v>
      </c>
      <c r="J758" s="11"/>
      <c r="K758" s="12" t="s">
        <v>3403</v>
      </c>
      <c r="L758" s="11"/>
      <c r="M758" s="12" t="str">
        <f>HYPERLINK("https://ceds.ed.gov/cedselementdetails.aspx?termid=17606")</f>
        <v>https://ceds.ed.gov/cedselementdetails.aspx?termid=17606</v>
      </c>
      <c r="N758" s="12" t="str">
        <f>HYPERLINK("https://ceds.ed.gov/elementComment.aspx?elementName=Crisis Type &amp;elementID=17606", "Click here to submit comment")</f>
        <v>Click here to submit comment</v>
      </c>
    </row>
    <row r="759" spans="1:14" ht="51" x14ac:dyDescent="0.25">
      <c r="A759" s="12" t="s">
        <v>3404</v>
      </c>
      <c r="B759" s="12" t="s">
        <v>3405</v>
      </c>
      <c r="C759" s="13" t="s">
        <v>408</v>
      </c>
      <c r="D759" s="12" t="s">
        <v>409</v>
      </c>
      <c r="E759" s="11"/>
      <c r="F759" s="11"/>
      <c r="G759" s="11"/>
      <c r="H759" s="12" t="s">
        <v>3406</v>
      </c>
      <c r="I759" s="12" t="s">
        <v>3407</v>
      </c>
      <c r="J759" s="11"/>
      <c r="K759" s="12" t="s">
        <v>3408</v>
      </c>
      <c r="L759" s="12" t="s">
        <v>412</v>
      </c>
      <c r="M759" s="12" t="str">
        <f>HYPERLINK("https://ceds.ed.gov/cedselementdetails.aspx?termid=17753")</f>
        <v>https://ceds.ed.gov/cedselementdetails.aspx?termid=17753</v>
      </c>
      <c r="N759" s="12" t="str">
        <f>HYPERLINK("https://ceds.ed.gov/elementComment.aspx?elementName=Critical Teacher Shortage Area Candidate &amp;elementID=17753", "Click here to submit comment")</f>
        <v>Click here to submit comment</v>
      </c>
    </row>
    <row r="760" spans="1:14" ht="382.5" x14ac:dyDescent="0.25">
      <c r="A760" s="12" t="s">
        <v>3409</v>
      </c>
      <c r="B760" s="12" t="s">
        <v>3410</v>
      </c>
      <c r="C760" s="13" t="s">
        <v>3411</v>
      </c>
      <c r="D760" s="12" t="s">
        <v>3158</v>
      </c>
      <c r="E760" s="11"/>
      <c r="F760" s="11"/>
      <c r="G760" s="11"/>
      <c r="H760" s="6" t="s">
        <v>3412</v>
      </c>
      <c r="I760" s="12" t="s">
        <v>3413</v>
      </c>
      <c r="J760" s="12" t="s">
        <v>3414</v>
      </c>
      <c r="K760" s="12" t="s">
        <v>3415</v>
      </c>
      <c r="L760" s="11"/>
      <c r="M760" s="12" t="str">
        <f>HYPERLINK("https://ceds.ed.gov/cedselementdetails.aspx?termid=18894")</f>
        <v>https://ceds.ed.gov/cedselementdetails.aspx?termid=18894</v>
      </c>
      <c r="N760" s="12" t="str">
        <f>HYPERLINK("https://ceds.ed.gov/elementComment.aspx?elementName=CTDL Audience Level Type &amp;elementID=18894", "Click here to submit comment")</f>
        <v>Click here to submit comment</v>
      </c>
    </row>
    <row r="761" spans="1:14" ht="344.25" x14ac:dyDescent="0.25">
      <c r="A761" s="12" t="s">
        <v>3416</v>
      </c>
      <c r="B761" s="12" t="s">
        <v>3417</v>
      </c>
      <c r="C761" s="13" t="s">
        <v>3418</v>
      </c>
      <c r="D761" s="12" t="s">
        <v>3419</v>
      </c>
      <c r="E761" s="11"/>
      <c r="F761" s="11"/>
      <c r="G761" s="11"/>
      <c r="H761" s="12" t="s">
        <v>3420</v>
      </c>
      <c r="I761" s="12" t="s">
        <v>3421</v>
      </c>
      <c r="J761" s="11"/>
      <c r="K761" s="12" t="s">
        <v>3422</v>
      </c>
      <c r="L761" s="11"/>
      <c r="M761" s="12" t="str">
        <f>HYPERLINK("https://ceds.ed.gov/cedselementdetails.aspx?termid=18736")</f>
        <v>https://ceds.ed.gov/cedselementdetails.aspx?termid=18736</v>
      </c>
      <c r="N761" s="12" t="str">
        <f>HYPERLINK("https://ceds.ed.gov/elementComment.aspx?elementName=CTDL Organization Type &amp;elementID=18736", "Click here to submit comment")</f>
        <v>Click here to submit comment</v>
      </c>
    </row>
    <row r="762" spans="1:14" ht="127.5" x14ac:dyDescent="0.25">
      <c r="A762" s="12" t="s">
        <v>3423</v>
      </c>
      <c r="B762" s="12" t="s">
        <v>3424</v>
      </c>
      <c r="C762" s="13" t="s">
        <v>3425</v>
      </c>
      <c r="D762" s="12" t="s">
        <v>2821</v>
      </c>
      <c r="E762" s="11"/>
      <c r="F762" s="11"/>
      <c r="G762" s="11"/>
      <c r="H762" s="11"/>
      <c r="I762" s="12" t="s">
        <v>3426</v>
      </c>
      <c r="J762" s="11"/>
      <c r="K762" s="12" t="s">
        <v>3427</v>
      </c>
      <c r="L762" s="11"/>
      <c r="M762" s="12" t="str">
        <f>HYPERLINK("https://ceds.ed.gov/cedselementdetails.aspx?termid=17688")</f>
        <v>https://ceds.ed.gov/cedselementdetails.aspx?termid=17688</v>
      </c>
      <c r="N762" s="12" t="str">
        <f>HYPERLINK("https://ceds.ed.gov/elementComment.aspx?elementName=Curriculum Framework Type &amp;elementID=17688", "Click here to submit comment")</f>
        <v>Click here to submit comment</v>
      </c>
    </row>
    <row r="763" spans="1:14" ht="140.25" x14ac:dyDescent="0.25">
      <c r="A763" s="12" t="s">
        <v>3428</v>
      </c>
      <c r="B763" s="12" t="s">
        <v>3429</v>
      </c>
      <c r="C763" s="12" t="s">
        <v>3430</v>
      </c>
      <c r="D763" s="12" t="s">
        <v>3431</v>
      </c>
      <c r="E763" s="12" t="s">
        <v>195</v>
      </c>
      <c r="F763" s="11"/>
      <c r="G763" s="12" t="s">
        <v>3432</v>
      </c>
      <c r="H763" s="11"/>
      <c r="I763" s="12" t="s">
        <v>3433</v>
      </c>
      <c r="J763" s="11"/>
      <c r="K763" s="12" t="s">
        <v>3434</v>
      </c>
      <c r="L763" s="12" t="s">
        <v>467</v>
      </c>
      <c r="M763" s="12" t="str">
        <f>HYPERLINK("https://ceds.ed.gov/cedselementdetails.aspx?termid=17328")</f>
        <v>https://ceds.ed.gov/cedselementdetails.aspx?termid=17328</v>
      </c>
      <c r="N763" s="12" t="str">
        <f>HYPERLINK("https://ceds.ed.gov/elementComment.aspx?elementName=Custodial Parent or Guardian Indicator &amp;elementID=17328", "Click here to submit comment")</f>
        <v>Click here to submit comment</v>
      </c>
    </row>
    <row r="764" spans="1:14" ht="25.5" x14ac:dyDescent="0.25">
      <c r="A764" s="12" t="s">
        <v>3435</v>
      </c>
      <c r="B764" s="12" t="s">
        <v>3436</v>
      </c>
      <c r="C764" s="12" t="s">
        <v>37</v>
      </c>
      <c r="D764" s="12" t="s">
        <v>3437</v>
      </c>
      <c r="E764" s="11"/>
      <c r="F764" s="12" t="s">
        <v>135</v>
      </c>
      <c r="G764" s="11"/>
      <c r="H764" s="11"/>
      <c r="I764" s="12" t="s">
        <v>3438</v>
      </c>
      <c r="J764" s="11"/>
      <c r="K764" s="12" t="s">
        <v>3439</v>
      </c>
      <c r="L764" s="11"/>
      <c r="M764" s="12" t="str">
        <f>HYPERLINK("https://ceds.ed.gov/cedselementdetails.aspx?termid=18335")</f>
        <v>https://ceds.ed.gov/cedselementdetails.aspx?termid=18335</v>
      </c>
      <c r="N764" s="12" t="str">
        <f>HYPERLINK("https://ceds.ed.gov/elementComment.aspx?elementName=Date of Transition Plan &amp;elementID=18335", "Click here to submit comment")</f>
        <v>Click here to submit comment</v>
      </c>
    </row>
    <row r="765" spans="1:14" ht="38.25" x14ac:dyDescent="0.25">
      <c r="A765" s="12" t="s">
        <v>3440</v>
      </c>
      <c r="B765" s="12" t="s">
        <v>3441</v>
      </c>
      <c r="C765" s="12" t="s">
        <v>37</v>
      </c>
      <c r="D765" s="12" t="s">
        <v>3442</v>
      </c>
      <c r="E765" s="11"/>
      <c r="F765" s="12" t="s">
        <v>135</v>
      </c>
      <c r="G765" s="11"/>
      <c r="H765" s="11"/>
      <c r="I765" s="12" t="s">
        <v>3443</v>
      </c>
      <c r="J765" s="11"/>
      <c r="K765" s="12" t="s">
        <v>3444</v>
      </c>
      <c r="L765" s="12" t="s">
        <v>245</v>
      </c>
      <c r="M765" s="12" t="str">
        <f>HYPERLINK("https://ceds.ed.gov/cedselementdetails.aspx?termid=17445")</f>
        <v>https://ceds.ed.gov/cedselementdetails.aspx?termid=17445</v>
      </c>
      <c r="N765" s="12" t="str">
        <f>HYPERLINK("https://ceds.ed.gov/elementComment.aspx?elementName=Date State Received Title III Allocation &amp;elementID=17445", "Click here to submit comment")</f>
        <v>Click here to submit comment</v>
      </c>
    </row>
    <row r="766" spans="1:14" ht="25.5" x14ac:dyDescent="0.25">
      <c r="A766" s="12" t="s">
        <v>3445</v>
      </c>
      <c r="B766" s="12" t="s">
        <v>3446</v>
      </c>
      <c r="C766" s="12" t="s">
        <v>37</v>
      </c>
      <c r="D766" s="12" t="s">
        <v>3442</v>
      </c>
      <c r="E766" s="11"/>
      <c r="F766" s="12" t="s">
        <v>135</v>
      </c>
      <c r="G766" s="11"/>
      <c r="H766" s="11"/>
      <c r="I766" s="12" t="s">
        <v>3447</v>
      </c>
      <c r="J766" s="11"/>
      <c r="K766" s="12" t="s">
        <v>3448</v>
      </c>
      <c r="L766" s="12" t="s">
        <v>245</v>
      </c>
      <c r="M766" s="12" t="str">
        <f>HYPERLINK("https://ceds.ed.gov/cedselementdetails.aspx?termid=17446")</f>
        <v>https://ceds.ed.gov/cedselementdetails.aspx?termid=17446</v>
      </c>
      <c r="N766" s="12" t="str">
        <f>HYPERLINK("https://ceds.ed.gov/elementComment.aspx?elementName=Date Title III Funds Available to Subgrantees &amp;elementID=17446", "Click here to submit comment")</f>
        <v>Click here to submit comment</v>
      </c>
    </row>
    <row r="767" spans="1:14" ht="51" x14ac:dyDescent="0.25">
      <c r="A767" s="12" t="s">
        <v>3449</v>
      </c>
      <c r="B767" s="12" t="s">
        <v>3450</v>
      </c>
      <c r="C767" s="12" t="s">
        <v>37</v>
      </c>
      <c r="D767" s="12" t="s">
        <v>3451</v>
      </c>
      <c r="E767" s="11"/>
      <c r="F767" s="12" t="s">
        <v>370</v>
      </c>
      <c r="G767" s="11"/>
      <c r="H767" s="11"/>
      <c r="I767" s="12" t="s">
        <v>3452</v>
      </c>
      <c r="J767" s="11"/>
      <c r="K767" s="12" t="s">
        <v>3453</v>
      </c>
      <c r="L767" s="12" t="s">
        <v>3454</v>
      </c>
      <c r="M767" s="12" t="str">
        <f>HYPERLINK("https://ceds.ed.gov/cedselementdetails.aspx?termid=17354")</f>
        <v>https://ceds.ed.gov/cedselementdetails.aspx?termid=17354</v>
      </c>
      <c r="N767" s="12" t="str">
        <f>HYPERLINK("https://ceds.ed.gov/elementComment.aspx?elementName=Days Available Per Week &amp;elementID=17354", "Click here to submit comment")</f>
        <v>Click here to submit comment</v>
      </c>
    </row>
    <row r="768" spans="1:14" ht="102" x14ac:dyDescent="0.25">
      <c r="A768" s="12" t="s">
        <v>3455</v>
      </c>
      <c r="B768" s="12" t="s">
        <v>3456</v>
      </c>
      <c r="C768" s="12" t="s">
        <v>37</v>
      </c>
      <c r="D768" s="12" t="s">
        <v>3457</v>
      </c>
      <c r="E768" s="11"/>
      <c r="F768" s="12" t="s">
        <v>370</v>
      </c>
      <c r="G768" s="11"/>
      <c r="H768" s="11"/>
      <c r="I768" s="12" t="s">
        <v>3458</v>
      </c>
      <c r="J768" s="11"/>
      <c r="K768" s="12" t="s">
        <v>3459</v>
      </c>
      <c r="L768" s="11"/>
      <c r="M768" s="12" t="str">
        <f>HYPERLINK("https://ceds.ed.gov/cedselementdetails.aspx?termid=17487")</f>
        <v>https://ceds.ed.gov/cedselementdetails.aspx?termid=17487</v>
      </c>
      <c r="N768" s="12" t="str">
        <f>HYPERLINK("https://ceds.ed.gov/elementComment.aspx?elementName=Days in Session &amp;elementID=17487", "Click here to submit comment")</f>
        <v>Click here to submit comment</v>
      </c>
    </row>
    <row r="769" spans="1:14" ht="25.5" x14ac:dyDescent="0.25">
      <c r="A769" s="12" t="s">
        <v>3460</v>
      </c>
      <c r="B769" s="12" t="s">
        <v>3461</v>
      </c>
      <c r="C769" s="12" t="s">
        <v>37</v>
      </c>
      <c r="D769" s="12" t="s">
        <v>3462</v>
      </c>
      <c r="E769" s="11"/>
      <c r="F769" s="12" t="s">
        <v>135</v>
      </c>
      <c r="G769" s="11"/>
      <c r="H769" s="11"/>
      <c r="I769" s="12" t="s">
        <v>3463</v>
      </c>
      <c r="J769" s="11"/>
      <c r="K769" s="12" t="s">
        <v>3464</v>
      </c>
      <c r="L769" s="11"/>
      <c r="M769" s="12" t="str">
        <f>HYPERLINK("https://ceds.ed.gov/cedselementdetails.aspx?termid=18693")</f>
        <v>https://ceds.ed.gov/cedselementdetails.aspx?termid=18693</v>
      </c>
      <c r="N769" s="12" t="str">
        <f>HYPERLINK("https://ceds.ed.gov/elementComment.aspx?elementName=Declined Services Date &amp;elementID=18693", "Click here to submit comment")</f>
        <v>Click here to submit comment</v>
      </c>
    </row>
    <row r="770" spans="1:14" ht="102" x14ac:dyDescent="0.25">
      <c r="A770" s="12" t="s">
        <v>3465</v>
      </c>
      <c r="B770" s="12" t="s">
        <v>3466</v>
      </c>
      <c r="C770" s="12" t="s">
        <v>24</v>
      </c>
      <c r="D770" s="12" t="s">
        <v>2869</v>
      </c>
      <c r="E770" s="11"/>
      <c r="F770" s="11"/>
      <c r="G770" s="11"/>
      <c r="H770" s="11"/>
      <c r="I770" s="12" t="s">
        <v>3467</v>
      </c>
      <c r="J770" s="11"/>
      <c r="K770" s="12" t="s">
        <v>3468</v>
      </c>
      <c r="L770" s="12" t="s">
        <v>65</v>
      </c>
      <c r="M770" s="12" t="str">
        <f>HYPERLINK("https://ceds.ed.gov/cedselementdetails.aspx?termid=17077")</f>
        <v>https://ceds.ed.gov/cedselementdetails.aspx?termid=17077</v>
      </c>
      <c r="N770" s="12" t="str">
        <f>HYPERLINK("https://ceds.ed.gov/elementComment.aspx?elementName=Degree Applicability &amp;elementID=17077", "Click here to submit comment")</f>
        <v>Click here to submit comment</v>
      </c>
    </row>
    <row r="771" spans="1:14" ht="102" x14ac:dyDescent="0.25">
      <c r="A771" s="12" t="s">
        <v>3469</v>
      </c>
      <c r="B771" s="12" t="s">
        <v>3470</v>
      </c>
      <c r="C771" s="12" t="s">
        <v>37</v>
      </c>
      <c r="D771" s="12" t="s">
        <v>3471</v>
      </c>
      <c r="E771" s="11"/>
      <c r="F771" s="12" t="s">
        <v>135</v>
      </c>
      <c r="G771" s="11"/>
      <c r="H771" s="11"/>
      <c r="I771" s="12" t="s">
        <v>3472</v>
      </c>
      <c r="J771" s="11"/>
      <c r="K771" s="12" t="s">
        <v>3473</v>
      </c>
      <c r="L771" s="12" t="s">
        <v>3474</v>
      </c>
      <c r="M771" s="12" t="str">
        <f>HYPERLINK("https://ceds.ed.gov/cedselementdetails.aspx?termid=17343")</f>
        <v>https://ceds.ed.gov/cedselementdetails.aspx?termid=17343</v>
      </c>
      <c r="N771" s="12" t="str">
        <f>HYPERLINK("https://ceds.ed.gov/elementComment.aspx?elementName=Degree or Certificate Conferring Date &amp;elementID=17343", "Click here to submit comment")</f>
        <v>Click here to submit comment</v>
      </c>
    </row>
    <row r="772" spans="1:14" ht="76.5" x14ac:dyDescent="0.25">
      <c r="A772" s="12" t="s">
        <v>3475</v>
      </c>
      <c r="B772" s="12" t="s">
        <v>3476</v>
      </c>
      <c r="C772" s="12" t="s">
        <v>24</v>
      </c>
      <c r="D772" s="12" t="s">
        <v>2402</v>
      </c>
      <c r="E772" s="11"/>
      <c r="F772" s="11"/>
      <c r="G772" s="11"/>
      <c r="H772" s="11"/>
      <c r="I772" s="12" t="s">
        <v>3477</v>
      </c>
      <c r="J772" s="11"/>
      <c r="K772" s="12" t="s">
        <v>3478</v>
      </c>
      <c r="L772" s="12" t="s">
        <v>48</v>
      </c>
      <c r="M772" s="12" t="str">
        <f>HYPERLINK("https://ceds.ed.gov/cedselementdetails.aspx?termid=17078")</f>
        <v>https://ceds.ed.gov/cedselementdetails.aspx?termid=17078</v>
      </c>
      <c r="N772" s="12" t="str">
        <f>HYPERLINK("https://ceds.ed.gov/elementComment.aspx?elementName=Degree or Certificate Seeking Student &amp;elementID=17078", "Click here to submit comment")</f>
        <v>Click here to submit comment</v>
      </c>
    </row>
    <row r="773" spans="1:14" ht="102" x14ac:dyDescent="0.25">
      <c r="A773" s="12" t="s">
        <v>3479</v>
      </c>
      <c r="B773" s="12" t="s">
        <v>3480</v>
      </c>
      <c r="C773" s="12" t="s">
        <v>37</v>
      </c>
      <c r="D773" s="12" t="s">
        <v>3471</v>
      </c>
      <c r="E773" s="11"/>
      <c r="F773" s="12" t="s">
        <v>1510</v>
      </c>
      <c r="G773" s="11"/>
      <c r="H773" s="11"/>
      <c r="I773" s="12" t="s">
        <v>3481</v>
      </c>
      <c r="J773" s="11"/>
      <c r="K773" s="12" t="s">
        <v>3482</v>
      </c>
      <c r="L773" s="12" t="s">
        <v>3474</v>
      </c>
      <c r="M773" s="12" t="str">
        <f>HYPERLINK("https://ceds.ed.gov/cedselementdetails.aspx?termid=17341")</f>
        <v>https://ceds.ed.gov/cedselementdetails.aspx?termid=17341</v>
      </c>
      <c r="N773" s="12" t="str">
        <f>HYPERLINK("https://ceds.ed.gov/elementComment.aspx?elementName=Degree or Certificate Title or Subject &amp;elementID=17341", "Click here to submit comment")</f>
        <v>Click here to submit comment</v>
      </c>
    </row>
    <row r="774" spans="1:14" ht="306" x14ac:dyDescent="0.25">
      <c r="A774" s="12" t="s">
        <v>3483</v>
      </c>
      <c r="B774" s="12" t="s">
        <v>3484</v>
      </c>
      <c r="C774" s="13" t="s">
        <v>3485</v>
      </c>
      <c r="D774" s="12" t="s">
        <v>3471</v>
      </c>
      <c r="E774" s="11"/>
      <c r="F774" s="11"/>
      <c r="G774" s="11"/>
      <c r="H774" s="11"/>
      <c r="I774" s="12" t="s">
        <v>3486</v>
      </c>
      <c r="J774" s="11"/>
      <c r="K774" s="12" t="s">
        <v>3487</v>
      </c>
      <c r="L774" s="12" t="s">
        <v>3474</v>
      </c>
      <c r="M774" s="12" t="str">
        <f>HYPERLINK("https://ceds.ed.gov/cedselementdetails.aspx?termid=17342")</f>
        <v>https://ceds.ed.gov/cedselementdetails.aspx?termid=17342</v>
      </c>
      <c r="N774" s="12" t="str">
        <f>HYPERLINK("https://ceds.ed.gov/elementComment.aspx?elementName=Degree or Certificate Type &amp;elementID=17342", "Click here to submit comment")</f>
        <v>Click here to submit comment</v>
      </c>
    </row>
    <row r="775" spans="1:14" ht="255" x14ac:dyDescent="0.25">
      <c r="A775" s="12" t="s">
        <v>3488</v>
      </c>
      <c r="B775" s="12" t="s">
        <v>3489</v>
      </c>
      <c r="C775" s="12" t="s">
        <v>24</v>
      </c>
      <c r="D775" s="12" t="s">
        <v>421</v>
      </c>
      <c r="E775" s="11"/>
      <c r="F775" s="11"/>
      <c r="G775" s="11"/>
      <c r="H775" s="12" t="s">
        <v>3490</v>
      </c>
      <c r="I775" s="12" t="s">
        <v>3491</v>
      </c>
      <c r="J775" s="11"/>
      <c r="K775" s="12" t="s">
        <v>3492</v>
      </c>
      <c r="L775" s="11"/>
      <c r="M775" s="12" t="str">
        <f>HYPERLINK("https://ceds.ed.gov/cedselementdetails.aspx?termid=17974")</f>
        <v>https://ceds.ed.gov/cedselementdetails.aspx?termid=17974</v>
      </c>
      <c r="N775" s="12" t="str">
        <f>HYPERLINK("https://ceds.ed.gov/elementComment.aspx?elementName=Demographic Race Two or More Races &amp;elementID=17974", "Click here to submit comment")</f>
        <v>Click here to submit comment</v>
      </c>
    </row>
    <row r="776" spans="1:14" ht="153" x14ac:dyDescent="0.25">
      <c r="A776" s="12" t="s">
        <v>3493</v>
      </c>
      <c r="B776" s="12" t="s">
        <v>3494</v>
      </c>
      <c r="C776" s="13" t="s">
        <v>3495</v>
      </c>
      <c r="D776" s="12" t="s">
        <v>3496</v>
      </c>
      <c r="E776" s="11"/>
      <c r="F776" s="11"/>
      <c r="G776" s="11"/>
      <c r="H776" s="12" t="s">
        <v>3497</v>
      </c>
      <c r="I776" s="12" t="s">
        <v>3498</v>
      </c>
      <c r="J776" s="11"/>
      <c r="K776" s="12" t="s">
        <v>3499</v>
      </c>
      <c r="L776" s="12" t="s">
        <v>3500</v>
      </c>
      <c r="M776" s="12" t="str">
        <f>HYPERLINK("https://ceds.ed.gov/cedselementdetails.aspx?termid=17335")</f>
        <v>https://ceds.ed.gov/cedselementdetails.aspx?termid=17335</v>
      </c>
      <c r="N776" s="12" t="str">
        <f>HYPERLINK("https://ceds.ed.gov/elementComment.aspx?elementName=Dental Insurance Coverage Type &amp;elementID=17335", "Click here to submit comment")</f>
        <v>Click here to submit comment</v>
      </c>
    </row>
    <row r="777" spans="1:14" ht="38.25" x14ac:dyDescent="0.25">
      <c r="A777" s="12" t="s">
        <v>3501</v>
      </c>
      <c r="B777" s="12" t="s">
        <v>3502</v>
      </c>
      <c r="C777" s="12" t="s">
        <v>37</v>
      </c>
      <c r="D777" s="12" t="s">
        <v>3503</v>
      </c>
      <c r="E777" s="11"/>
      <c r="F777" s="12" t="s">
        <v>135</v>
      </c>
      <c r="G777" s="11"/>
      <c r="H777" s="11"/>
      <c r="I777" s="12" t="s">
        <v>3504</v>
      </c>
      <c r="J777" s="11"/>
      <c r="K777" s="12" t="s">
        <v>3505</v>
      </c>
      <c r="L777" s="11"/>
      <c r="M777" s="12" t="str">
        <f>HYPERLINK("https://ceds.ed.gov/cedselementdetails.aspx?termid=17682")</f>
        <v>https://ceds.ed.gov/cedselementdetails.aspx?termid=17682</v>
      </c>
      <c r="N777" s="12" t="str">
        <f>HYPERLINK("https://ceds.ed.gov/elementComment.aspx?elementName=Dental Screening Date &amp;elementID=17682", "Click here to submit comment")</f>
        <v>Click here to submit comment</v>
      </c>
    </row>
    <row r="778" spans="1:14" ht="102" x14ac:dyDescent="0.25">
      <c r="A778" s="12" t="s">
        <v>3506</v>
      </c>
      <c r="B778" s="12" t="s">
        <v>3507</v>
      </c>
      <c r="C778" s="13" t="s">
        <v>3508</v>
      </c>
      <c r="D778" s="12" t="s">
        <v>3503</v>
      </c>
      <c r="E778" s="11"/>
      <c r="F778" s="11"/>
      <c r="G778" s="11"/>
      <c r="H778" s="11"/>
      <c r="I778" s="12" t="s">
        <v>3509</v>
      </c>
      <c r="J778" s="11"/>
      <c r="K778" s="12" t="s">
        <v>3510</v>
      </c>
      <c r="L778" s="12" t="s">
        <v>2291</v>
      </c>
      <c r="M778" s="12" t="str">
        <f>HYPERLINK("https://ceds.ed.gov/cedselementdetails.aspx?termid=17310")</f>
        <v>https://ceds.ed.gov/cedselementdetails.aspx?termid=17310</v>
      </c>
      <c r="N778" s="12" t="str">
        <f>HYPERLINK("https://ceds.ed.gov/elementComment.aspx?elementName=Dental Screening Status &amp;elementID=17310", "Click here to submit comment")</f>
        <v>Click here to submit comment</v>
      </c>
    </row>
    <row r="779" spans="1:14" ht="51" x14ac:dyDescent="0.25">
      <c r="A779" s="12" t="s">
        <v>3511</v>
      </c>
      <c r="B779" s="12" t="s">
        <v>3512</v>
      </c>
      <c r="C779" s="13" t="s">
        <v>3513</v>
      </c>
      <c r="D779" s="12" t="s">
        <v>2126</v>
      </c>
      <c r="E779" s="11"/>
      <c r="F779" s="11"/>
      <c r="G779" s="11"/>
      <c r="H779" s="11"/>
      <c r="I779" s="12" t="s">
        <v>3514</v>
      </c>
      <c r="J779" s="11"/>
      <c r="K779" s="12" t="s">
        <v>3515</v>
      </c>
      <c r="L779" s="12" t="s">
        <v>3516</v>
      </c>
      <c r="M779" s="12" t="str">
        <f>HYPERLINK("https://ceds.ed.gov/cedselementdetails.aspx?termid=17079")</f>
        <v>https://ceds.ed.gov/cedselementdetails.aspx?termid=17079</v>
      </c>
      <c r="N779" s="12" t="str">
        <f>HYPERLINK("https://ceds.ed.gov/elementComment.aspx?elementName=Dependency Status &amp;elementID=17079", "Click here to submit comment")</f>
        <v>Click here to submit comment</v>
      </c>
    </row>
    <row r="780" spans="1:14" ht="63.75" x14ac:dyDescent="0.25">
      <c r="A780" s="12" t="s">
        <v>3517</v>
      </c>
      <c r="B780" s="12" t="s">
        <v>3518</v>
      </c>
      <c r="C780" s="12" t="s">
        <v>24</v>
      </c>
      <c r="D780" s="12" t="s">
        <v>1732</v>
      </c>
      <c r="E780" s="11"/>
      <c r="F780" s="11"/>
      <c r="G780" s="11"/>
      <c r="H780" s="11"/>
      <c r="I780" s="12" t="s">
        <v>3519</v>
      </c>
      <c r="J780" s="11"/>
      <c r="K780" s="12" t="s">
        <v>3520</v>
      </c>
      <c r="L780" s="12" t="s">
        <v>28</v>
      </c>
      <c r="M780" s="12" t="str">
        <f>HYPERLINK("https://ceds.ed.gov/cedselementdetails.aspx?termid=17080")</f>
        <v>https://ceds.ed.gov/cedselementdetails.aspx?termid=17080</v>
      </c>
      <c r="N780" s="12" t="str">
        <f>HYPERLINK("https://ceds.ed.gov/elementComment.aspx?elementName=Desegregation Order or Plan &amp;elementID=17080", "Click here to submit comment")</f>
        <v>Click here to submit comment</v>
      </c>
    </row>
    <row r="781" spans="1:14" ht="76.5" x14ac:dyDescent="0.25">
      <c r="A781" s="15" t="s">
        <v>3521</v>
      </c>
      <c r="B781" s="15" t="s">
        <v>3522</v>
      </c>
      <c r="C781" s="15" t="s">
        <v>37</v>
      </c>
      <c r="D781" s="15" t="s">
        <v>2793</v>
      </c>
      <c r="E781" s="16"/>
      <c r="F781" s="15" t="s">
        <v>149</v>
      </c>
      <c r="G781" s="16"/>
      <c r="H781" s="12" t="s">
        <v>150</v>
      </c>
      <c r="I781" s="15" t="s">
        <v>3523</v>
      </c>
      <c r="J781" s="16"/>
      <c r="K781" s="15" t="s">
        <v>3524</v>
      </c>
      <c r="L781" s="15" t="s">
        <v>1751</v>
      </c>
      <c r="M781" s="15" t="str">
        <f>HYPERLINK("https://ceds.ed.gov/cedselementdetails.aspx?termid=17426")</f>
        <v>https://ceds.ed.gov/cedselementdetails.aspx?termid=17426</v>
      </c>
      <c r="N781" s="15" t="str">
        <f>HYPERLINK("https://ceds.ed.gov/elementComment.aspx?elementName=Designated Graduation School Identifier &amp;elementID=17426", "Click here to submit comment")</f>
        <v>Click here to submit comment</v>
      </c>
    </row>
    <row r="782" spans="1:14" x14ac:dyDescent="0.25">
      <c r="A782" s="15"/>
      <c r="B782" s="15"/>
      <c r="C782" s="15"/>
      <c r="D782" s="15"/>
      <c r="E782" s="16"/>
      <c r="F782" s="15"/>
      <c r="G782" s="16"/>
      <c r="H782" s="12"/>
      <c r="I782" s="15"/>
      <c r="J782" s="16"/>
      <c r="K782" s="15"/>
      <c r="L782" s="15"/>
      <c r="M782" s="15"/>
      <c r="N782" s="15"/>
    </row>
    <row r="783" spans="1:14" ht="76.5" x14ac:dyDescent="0.25">
      <c r="A783" s="15"/>
      <c r="B783" s="15"/>
      <c r="C783" s="15"/>
      <c r="D783" s="15"/>
      <c r="E783" s="16"/>
      <c r="F783" s="15"/>
      <c r="G783" s="16"/>
      <c r="H783" s="12" t="s">
        <v>153</v>
      </c>
      <c r="I783" s="15"/>
      <c r="J783" s="16"/>
      <c r="K783" s="15"/>
      <c r="L783" s="15"/>
      <c r="M783" s="15"/>
      <c r="N783" s="15"/>
    </row>
    <row r="784" spans="1:14" ht="38.25" x14ac:dyDescent="0.25">
      <c r="A784" s="12" t="s">
        <v>3525</v>
      </c>
      <c r="B784" s="12" t="s">
        <v>3526</v>
      </c>
      <c r="C784" s="13" t="s">
        <v>3527</v>
      </c>
      <c r="D784" s="12" t="s">
        <v>2402</v>
      </c>
      <c r="E784" s="11"/>
      <c r="F784" s="11"/>
      <c r="G784" s="11"/>
      <c r="H784" s="11"/>
      <c r="I784" s="12" t="s">
        <v>3528</v>
      </c>
      <c r="J784" s="11"/>
      <c r="K784" s="12" t="s">
        <v>3529</v>
      </c>
      <c r="L784" s="12" t="s">
        <v>3530</v>
      </c>
      <c r="M784" s="12" t="str">
        <f>HYPERLINK("https://ceds.ed.gov/cedselementdetails.aspx?termid=18567")</f>
        <v>https://ceds.ed.gov/cedselementdetails.aspx?termid=18567</v>
      </c>
      <c r="N784" s="12" t="str">
        <f>HYPERLINK("https://ceds.ed.gov/elementComment.aspx?elementName=Developmental Education Referral Status &amp;elementID=18567", "Click here to submit comment")</f>
        <v>Click here to submit comment</v>
      </c>
    </row>
    <row r="785" spans="1:14" ht="114.75" x14ac:dyDescent="0.25">
      <c r="A785" s="12" t="s">
        <v>3531</v>
      </c>
      <c r="B785" s="12" t="s">
        <v>3532</v>
      </c>
      <c r="C785" s="13" t="s">
        <v>3533</v>
      </c>
      <c r="D785" s="12" t="s">
        <v>3534</v>
      </c>
      <c r="E785" s="11"/>
      <c r="F785" s="11"/>
      <c r="G785" s="11"/>
      <c r="H785" s="11"/>
      <c r="I785" s="12" t="s">
        <v>3535</v>
      </c>
      <c r="J785" s="11"/>
      <c r="K785" s="12" t="s">
        <v>3536</v>
      </c>
      <c r="L785" s="12" t="s">
        <v>3530</v>
      </c>
      <c r="M785" s="12" t="str">
        <f>HYPERLINK("https://ceds.ed.gov/cedselementdetails.aspx?termid=18568")</f>
        <v>https://ceds.ed.gov/cedselementdetails.aspx?termid=18568</v>
      </c>
      <c r="N785" s="12" t="str">
        <f>HYPERLINK("https://ceds.ed.gov/elementComment.aspx?elementName=Developmental Education Type &amp;elementID=18568", "Click here to submit comment")</f>
        <v>Click here to submit comment</v>
      </c>
    </row>
    <row r="786" spans="1:14" ht="191.25" x14ac:dyDescent="0.25">
      <c r="A786" s="12" t="s">
        <v>3537</v>
      </c>
      <c r="B786" s="12" t="s">
        <v>3538</v>
      </c>
      <c r="C786" s="13" t="s">
        <v>3539</v>
      </c>
      <c r="D786" s="12" t="s">
        <v>2288</v>
      </c>
      <c r="E786" s="11"/>
      <c r="F786" s="11"/>
      <c r="G786" s="11"/>
      <c r="H786" s="11"/>
      <c r="I786" s="12" t="s">
        <v>3540</v>
      </c>
      <c r="J786" s="11"/>
      <c r="K786" s="12" t="s">
        <v>3541</v>
      </c>
      <c r="L786" s="12" t="s">
        <v>2291</v>
      </c>
      <c r="M786" s="12" t="str">
        <f>HYPERLINK("https://ceds.ed.gov/cedselementdetails.aspx?termid=17315")</f>
        <v>https://ceds.ed.gov/cedselementdetails.aspx?termid=17315</v>
      </c>
      <c r="N786" s="12" t="str">
        <f>HYPERLINK("https://ceds.ed.gov/elementComment.aspx?elementName=Developmental Evaluation Finding &amp;elementID=17315", "Click here to submit comment")</f>
        <v>Click here to submit comment</v>
      </c>
    </row>
    <row r="787" spans="1:14" ht="38.25" x14ac:dyDescent="0.25">
      <c r="A787" s="12" t="s">
        <v>3542</v>
      </c>
      <c r="B787" s="12" t="s">
        <v>3543</v>
      </c>
      <c r="C787" s="12" t="s">
        <v>37</v>
      </c>
      <c r="D787" s="12" t="s">
        <v>1407</v>
      </c>
      <c r="E787" s="11"/>
      <c r="F787" s="12" t="s">
        <v>129</v>
      </c>
      <c r="G787" s="11"/>
      <c r="H787" s="11"/>
      <c r="I787" s="12" t="s">
        <v>3544</v>
      </c>
      <c r="J787" s="11"/>
      <c r="K787" s="12" t="s">
        <v>3545</v>
      </c>
      <c r="L787" s="11"/>
      <c r="M787" s="12" t="str">
        <f>HYPERLINK("https://ceds.ed.gov/cedselementdetails.aspx?termid=18011")</f>
        <v>https://ceds.ed.gov/cedselementdetails.aspx?termid=18011</v>
      </c>
      <c r="N787" s="12" t="str">
        <f>HYPERLINK("https://ceds.ed.gov/elementComment.aspx?elementName=Diagnostic Statement Source &amp;elementID=18011", "Click here to submit comment")</f>
        <v>Click here to submit comment</v>
      </c>
    </row>
    <row r="788" spans="1:14" ht="51" x14ac:dyDescent="0.25">
      <c r="A788" s="12" t="s">
        <v>3546</v>
      </c>
      <c r="B788" s="12" t="s">
        <v>3547</v>
      </c>
      <c r="C788" s="13" t="s">
        <v>408</v>
      </c>
      <c r="D788" s="12" t="s">
        <v>3548</v>
      </c>
      <c r="E788" s="11"/>
      <c r="F788" s="11"/>
      <c r="G788" s="11"/>
      <c r="H788" s="11"/>
      <c r="I788" s="12" t="s">
        <v>3549</v>
      </c>
      <c r="J788" s="11"/>
      <c r="K788" s="12" t="s">
        <v>3550</v>
      </c>
      <c r="L788" s="12" t="s">
        <v>238</v>
      </c>
      <c r="M788" s="12" t="str">
        <f>HYPERLINK("https://ceds.ed.gov/cedselementdetails.aspx?termid=17868")</f>
        <v>https://ceds.ed.gov/cedselementdetails.aspx?termid=17868</v>
      </c>
      <c r="N788" s="12" t="str">
        <f>HYPERLINK("https://ceds.ed.gov/elementComment.aspx?elementName=Differential Shift Pay Indicator &amp;elementID=17868", "Click here to submit comment")</f>
        <v>Click here to submit comment</v>
      </c>
    </row>
    <row r="789" spans="1:14" ht="267.75" x14ac:dyDescent="0.25">
      <c r="A789" s="12" t="s">
        <v>3551</v>
      </c>
      <c r="B789" s="12" t="s">
        <v>3552</v>
      </c>
      <c r="C789" s="12" t="s">
        <v>37</v>
      </c>
      <c r="D789" s="12" t="s">
        <v>3553</v>
      </c>
      <c r="E789" s="11"/>
      <c r="F789" s="12" t="s">
        <v>3554</v>
      </c>
      <c r="G789" s="11"/>
      <c r="H789" s="11"/>
      <c r="I789" s="12" t="s">
        <v>3555</v>
      </c>
      <c r="J789" s="11"/>
      <c r="K789" s="12" t="s">
        <v>3556</v>
      </c>
      <c r="L789" s="12" t="s">
        <v>3557</v>
      </c>
      <c r="M789" s="12" t="str">
        <f>HYPERLINK("https://ceds.ed.gov/cedselementdetails.aspx?termid=17081")</f>
        <v>https://ceds.ed.gov/cedselementdetails.aspx?termid=17081</v>
      </c>
      <c r="N789" s="12" t="str">
        <f>HYPERLINK("https://ceds.ed.gov/elementComment.aspx?elementName=Diploma or Credential Award Date &amp;elementID=17081", "Click here to submit comment")</f>
        <v>Click here to submit comment</v>
      </c>
    </row>
    <row r="790" spans="1:14" ht="63.75" x14ac:dyDescent="0.25">
      <c r="A790" s="12" t="s">
        <v>3558</v>
      </c>
      <c r="B790" s="12" t="s">
        <v>3559</v>
      </c>
      <c r="C790" s="13" t="s">
        <v>3560</v>
      </c>
      <c r="D790" s="12" t="s">
        <v>3561</v>
      </c>
      <c r="E790" s="11"/>
      <c r="F790" s="11"/>
      <c r="G790" s="11"/>
      <c r="H790" s="11"/>
      <c r="I790" s="12" t="s">
        <v>3562</v>
      </c>
      <c r="J790" s="11"/>
      <c r="K790" s="12" t="s">
        <v>3563</v>
      </c>
      <c r="L790" s="12" t="s">
        <v>3564</v>
      </c>
      <c r="M790" s="12" t="str">
        <f>HYPERLINK("https://ceds.ed.gov/cedselementdetails.aspx?termid=18569")</f>
        <v>https://ceds.ed.gov/cedselementdetails.aspx?termid=18569</v>
      </c>
      <c r="N790" s="12" t="str">
        <f>HYPERLINK("https://ceds.ed.gov/elementComment.aspx?elementName=Directory Information Block Status &amp;elementID=18569", "Click here to submit comment")</f>
        <v>Click here to submit comment</v>
      </c>
    </row>
    <row r="791" spans="1:14" ht="63.75" x14ac:dyDescent="0.25">
      <c r="A791" s="12" t="s">
        <v>3565</v>
      </c>
      <c r="B791" s="12" t="s">
        <v>3566</v>
      </c>
      <c r="C791" s="13" t="s">
        <v>3567</v>
      </c>
      <c r="D791" s="12" t="s">
        <v>110</v>
      </c>
      <c r="E791" s="11"/>
      <c r="F791" s="11"/>
      <c r="G791" s="11"/>
      <c r="H791" s="11"/>
      <c r="I791" s="12" t="s">
        <v>3568</v>
      </c>
      <c r="J791" s="12" t="s">
        <v>3569</v>
      </c>
      <c r="K791" s="12" t="s">
        <v>3570</v>
      </c>
      <c r="L791" s="11"/>
      <c r="M791" s="12" t="str">
        <f>HYPERLINK("https://ceds.ed.gov/cedselementdetails.aspx?termid=18285")</f>
        <v>https://ceds.ed.gov/cedselementdetails.aspx?termid=18285</v>
      </c>
      <c r="N791" s="12" t="str">
        <f>HYPERLINK("https://ceds.ed.gov/elementComment.aspx?elementName=Disability Condition Status Type &amp;elementID=18285", "Click here to submit comment")</f>
        <v>Click here to submit comment</v>
      </c>
    </row>
    <row r="792" spans="1:14" ht="204" x14ac:dyDescent="0.25">
      <c r="A792" s="12" t="s">
        <v>3571</v>
      </c>
      <c r="B792" s="12" t="s">
        <v>3572</v>
      </c>
      <c r="C792" s="13" t="s">
        <v>3573</v>
      </c>
      <c r="D792" s="12" t="s">
        <v>3574</v>
      </c>
      <c r="E792" s="11"/>
      <c r="F792" s="11"/>
      <c r="G792" s="11"/>
      <c r="H792" s="12" t="s">
        <v>3575</v>
      </c>
      <c r="I792" s="12" t="s">
        <v>3576</v>
      </c>
      <c r="J792" s="11"/>
      <c r="K792" s="12" t="s">
        <v>3577</v>
      </c>
      <c r="L792" s="11"/>
      <c r="M792" s="12" t="str">
        <f>HYPERLINK("https://ceds.ed.gov/cedselementdetails.aspx?termid=18286")</f>
        <v>https://ceds.ed.gov/cedselementdetails.aspx?termid=18286</v>
      </c>
      <c r="N792" s="12" t="str">
        <f>HYPERLINK("https://ceds.ed.gov/elementComment.aspx?elementName=Disability Condition Type &amp;elementID=18286", "Click here to submit comment")</f>
        <v>Click here to submit comment</v>
      </c>
    </row>
    <row r="793" spans="1:14" ht="153" x14ac:dyDescent="0.25">
      <c r="A793" s="12" t="s">
        <v>3578</v>
      </c>
      <c r="B793" s="12" t="s">
        <v>3579</v>
      </c>
      <c r="C793" s="13" t="s">
        <v>3580</v>
      </c>
      <c r="D793" s="12" t="s">
        <v>3581</v>
      </c>
      <c r="E793" s="11"/>
      <c r="F793" s="11"/>
      <c r="G793" s="11"/>
      <c r="H793" s="12" t="s">
        <v>3575</v>
      </c>
      <c r="I793" s="12" t="s">
        <v>3582</v>
      </c>
      <c r="J793" s="11"/>
      <c r="K793" s="12" t="s">
        <v>3583</v>
      </c>
      <c r="L793" s="11"/>
      <c r="M793" s="12" t="str">
        <f>HYPERLINK("https://ceds.ed.gov/cedselementdetails.aspx?termid=18287")</f>
        <v>https://ceds.ed.gov/cedselementdetails.aspx?termid=18287</v>
      </c>
      <c r="N793" s="12" t="str">
        <f>HYPERLINK("https://ceds.ed.gov/elementComment.aspx?elementName=Disability Determination Source Type &amp;elementID=18287", "Click here to submit comment")</f>
        <v>Click here to submit comment</v>
      </c>
    </row>
    <row r="794" spans="1:14" ht="165.75" x14ac:dyDescent="0.25">
      <c r="A794" s="12" t="s">
        <v>3584</v>
      </c>
      <c r="B794" s="12" t="s">
        <v>3585</v>
      </c>
      <c r="C794" s="12" t="s">
        <v>24</v>
      </c>
      <c r="D794" s="12" t="s">
        <v>3586</v>
      </c>
      <c r="E794" s="11"/>
      <c r="F794" s="11"/>
      <c r="G794" s="11"/>
      <c r="H794" s="11"/>
      <c r="I794" s="12" t="s">
        <v>3587</v>
      </c>
      <c r="J794" s="11"/>
      <c r="K794" s="12" t="s">
        <v>3588</v>
      </c>
      <c r="L794" s="12" t="s">
        <v>258</v>
      </c>
      <c r="M794" s="12" t="str">
        <f>HYPERLINK("https://ceds.ed.gov/cedselementdetails.aspx?termid=17569")</f>
        <v>https://ceds.ed.gov/cedselementdetails.aspx?termid=17569</v>
      </c>
      <c r="N794" s="12" t="str">
        <f>HYPERLINK("https://ceds.ed.gov/elementComment.aspx?elementName=Disability Status &amp;elementID=17569", "Click here to submit comment")</f>
        <v>Click here to submit comment</v>
      </c>
    </row>
    <row r="795" spans="1:14" ht="51" x14ac:dyDescent="0.25">
      <c r="A795" s="12" t="s">
        <v>3589</v>
      </c>
      <c r="B795" s="12" t="s">
        <v>3590</v>
      </c>
      <c r="C795" s="12" t="s">
        <v>37</v>
      </c>
      <c r="D795" s="12" t="s">
        <v>3591</v>
      </c>
      <c r="E795" s="11"/>
      <c r="F795" s="12" t="s">
        <v>135</v>
      </c>
      <c r="G795" s="11"/>
      <c r="H795" s="12" t="s">
        <v>160</v>
      </c>
      <c r="I795" s="12" t="s">
        <v>3592</v>
      </c>
      <c r="J795" s="11"/>
      <c r="K795" s="12" t="s">
        <v>3593</v>
      </c>
      <c r="L795" s="12" t="s">
        <v>28</v>
      </c>
      <c r="M795" s="12" t="str">
        <f>HYPERLINK("https://ceds.ed.gov/cedselementdetails.aspx?termid=17082")</f>
        <v>https://ceds.ed.gov/cedselementdetails.aspx?termid=17082</v>
      </c>
      <c r="N795" s="12" t="str">
        <f>HYPERLINK("https://ceds.ed.gov/elementComment.aspx?elementName=Disciplinary Action End Date &amp;elementID=17082", "Click here to submit comment")</f>
        <v>Click here to submit comment</v>
      </c>
    </row>
    <row r="796" spans="1:14" ht="63.75" x14ac:dyDescent="0.25">
      <c r="A796" s="12" t="s">
        <v>3594</v>
      </c>
      <c r="B796" s="12" t="s">
        <v>3595</v>
      </c>
      <c r="C796" s="12" t="s">
        <v>24</v>
      </c>
      <c r="D796" s="12" t="s">
        <v>3596</v>
      </c>
      <c r="E796" s="11"/>
      <c r="F796" s="11"/>
      <c r="G796" s="11"/>
      <c r="H796" s="11"/>
      <c r="I796" s="12" t="s">
        <v>3597</v>
      </c>
      <c r="J796" s="11"/>
      <c r="K796" s="12" t="s">
        <v>3598</v>
      </c>
      <c r="L796" s="11"/>
      <c r="M796" s="12" t="str">
        <f>HYPERLINK("https://ceds.ed.gov/cedselementdetails.aspx?termid=18288")</f>
        <v>https://ceds.ed.gov/cedselementdetails.aspx?termid=18288</v>
      </c>
      <c r="N796" s="12" t="str">
        <f>HYPERLINK("https://ceds.ed.gov/elementComment.aspx?elementName=Disciplinary Action IEP Placement Meeting Indicator &amp;elementID=18288", "Click here to submit comment")</f>
        <v>Click here to submit comment</v>
      </c>
    </row>
    <row r="797" spans="1:14" ht="38.25" x14ac:dyDescent="0.25">
      <c r="A797" s="12" t="s">
        <v>3599</v>
      </c>
      <c r="B797" s="12" t="s">
        <v>3600</v>
      </c>
      <c r="C797" s="12" t="s">
        <v>37</v>
      </c>
      <c r="D797" s="12" t="s">
        <v>3591</v>
      </c>
      <c r="E797" s="11"/>
      <c r="F797" s="12" t="s">
        <v>135</v>
      </c>
      <c r="G797" s="11"/>
      <c r="H797" s="11"/>
      <c r="I797" s="12" t="s">
        <v>3601</v>
      </c>
      <c r="J797" s="11"/>
      <c r="K797" s="12" t="s">
        <v>3602</v>
      </c>
      <c r="L797" s="12" t="s">
        <v>28</v>
      </c>
      <c r="M797" s="12" t="str">
        <f>HYPERLINK("https://ceds.ed.gov/cedselementdetails.aspx?termid=17083")</f>
        <v>https://ceds.ed.gov/cedselementdetails.aspx?termid=17083</v>
      </c>
      <c r="N797" s="12" t="str">
        <f>HYPERLINK("https://ceds.ed.gov/elementComment.aspx?elementName=Disciplinary Action Start Date &amp;elementID=17083", "Click here to submit comment")</f>
        <v>Click here to submit comment</v>
      </c>
    </row>
    <row r="798" spans="1:14" ht="409.5" x14ac:dyDescent="0.25">
      <c r="A798" s="12" t="s">
        <v>3603</v>
      </c>
      <c r="B798" s="12" t="s">
        <v>3604</v>
      </c>
      <c r="C798" s="13" t="s">
        <v>3605</v>
      </c>
      <c r="D798" s="12" t="s">
        <v>3591</v>
      </c>
      <c r="E798" s="11"/>
      <c r="F798" s="11"/>
      <c r="G798" s="11"/>
      <c r="H798" s="11"/>
      <c r="I798" s="12" t="s">
        <v>3606</v>
      </c>
      <c r="J798" s="11"/>
      <c r="K798" s="12" t="s">
        <v>3607</v>
      </c>
      <c r="L798" s="12" t="s">
        <v>28</v>
      </c>
      <c r="M798" s="12" t="str">
        <f>HYPERLINK("https://ceds.ed.gov/cedselementdetails.aspx?termid=17479")</f>
        <v>https://ceds.ed.gov/cedselementdetails.aspx?termid=17479</v>
      </c>
      <c r="N798" s="12" t="str">
        <f>HYPERLINK("https://ceds.ed.gov/elementComment.aspx?elementName=Disciplinary Action Taken &amp;elementID=17479", "Click here to submit comment")</f>
        <v>Click here to submit comment</v>
      </c>
    </row>
    <row r="799" spans="1:14" ht="229.5" x14ac:dyDescent="0.25">
      <c r="A799" s="12" t="s">
        <v>3608</v>
      </c>
      <c r="B799" s="12" t="s">
        <v>3609</v>
      </c>
      <c r="C799" s="13" t="s">
        <v>3610</v>
      </c>
      <c r="D799" s="12" t="s">
        <v>3591</v>
      </c>
      <c r="E799" s="11"/>
      <c r="F799" s="11"/>
      <c r="G799" s="11"/>
      <c r="H799" s="11"/>
      <c r="I799" s="12" t="s">
        <v>3611</v>
      </c>
      <c r="J799" s="11"/>
      <c r="K799" s="12" t="s">
        <v>3612</v>
      </c>
      <c r="L799" s="11"/>
      <c r="M799" s="12" t="str">
        <f>HYPERLINK("https://ceds.ed.gov/cedselementdetails.aspx?termid=17602")</f>
        <v>https://ceds.ed.gov/cedselementdetails.aspx?termid=17602</v>
      </c>
      <c r="N799" s="12" t="str">
        <f>HYPERLINK("https://ceds.ed.gov/elementComment.aspx?elementName=Discipline Action Length Difference Reason &amp;elementID=17602", "Click here to submit comment")</f>
        <v>Click here to submit comment</v>
      </c>
    </row>
    <row r="800" spans="1:14" ht="178.5" x14ac:dyDescent="0.25">
      <c r="A800" s="12" t="s">
        <v>3613</v>
      </c>
      <c r="B800" s="12" t="s">
        <v>3614</v>
      </c>
      <c r="C800" s="13" t="s">
        <v>3615</v>
      </c>
      <c r="D800" s="12" t="s">
        <v>3596</v>
      </c>
      <c r="E800" s="11"/>
      <c r="F800" s="11"/>
      <c r="G800" s="11"/>
      <c r="H800" s="11"/>
      <c r="I800" s="12" t="s">
        <v>3616</v>
      </c>
      <c r="J800" s="11"/>
      <c r="K800" s="12" t="s">
        <v>3617</v>
      </c>
      <c r="L800" s="12" t="s">
        <v>258</v>
      </c>
      <c r="M800" s="12" t="str">
        <f>HYPERLINK("https://ceds.ed.gov/cedselementdetails.aspx?termid=17546")</f>
        <v>https://ceds.ed.gov/cedselementdetails.aspx?termid=17546</v>
      </c>
      <c r="N800" s="12" t="str">
        <f>HYPERLINK("https://ceds.ed.gov/elementComment.aspx?elementName=Discipline Method for Firearms Incidents &amp;elementID=17546", "Click here to submit comment")</f>
        <v>Click here to submit comment</v>
      </c>
    </row>
    <row r="801" spans="1:14" ht="51" x14ac:dyDescent="0.25">
      <c r="A801" s="12" t="s">
        <v>3618</v>
      </c>
      <c r="B801" s="12" t="s">
        <v>3619</v>
      </c>
      <c r="C801" s="13" t="s">
        <v>3620</v>
      </c>
      <c r="D801" s="12" t="s">
        <v>3596</v>
      </c>
      <c r="E801" s="11"/>
      <c r="F801" s="11"/>
      <c r="G801" s="11"/>
      <c r="H801" s="11"/>
      <c r="I801" s="12" t="s">
        <v>3621</v>
      </c>
      <c r="J801" s="11"/>
      <c r="K801" s="12" t="s">
        <v>3622</v>
      </c>
      <c r="L801" s="12" t="s">
        <v>258</v>
      </c>
      <c r="M801" s="12" t="str">
        <f>HYPERLINK("https://ceds.ed.gov/cedselementdetails.aspx?termid=17529")</f>
        <v>https://ceds.ed.gov/cedselementdetails.aspx?termid=17529</v>
      </c>
      <c r="N801" s="12" t="str">
        <f>HYPERLINK("https://ceds.ed.gov/elementComment.aspx?elementName=Discipline Method of Children with Disabilities &amp;elementID=17529", "Click here to submit comment")</f>
        <v>Click here to submit comment</v>
      </c>
    </row>
    <row r="802" spans="1:14" ht="140.25" x14ac:dyDescent="0.25">
      <c r="A802" s="12" t="s">
        <v>3623</v>
      </c>
      <c r="B802" s="12" t="s">
        <v>3624</v>
      </c>
      <c r="C802" s="13" t="s">
        <v>3625</v>
      </c>
      <c r="D802" s="12" t="s">
        <v>3591</v>
      </c>
      <c r="E802" s="11"/>
      <c r="F802" s="11"/>
      <c r="G802" s="11"/>
      <c r="H802" s="11"/>
      <c r="I802" s="12" t="s">
        <v>3626</v>
      </c>
      <c r="J802" s="11"/>
      <c r="K802" s="12" t="s">
        <v>3627</v>
      </c>
      <c r="L802" s="12" t="s">
        <v>258</v>
      </c>
      <c r="M802" s="12" t="str">
        <f>HYPERLINK("https://ceds.ed.gov/cedselementdetails.aspx?termid=17536")</f>
        <v>https://ceds.ed.gov/cedselementdetails.aspx?termid=17536</v>
      </c>
      <c r="N802" s="12" t="str">
        <f>HYPERLINK("https://ceds.ed.gov/elementComment.aspx?elementName=Discipline Reason &amp;elementID=17536", "Click here to submit comment")</f>
        <v>Click here to submit comment</v>
      </c>
    </row>
    <row r="803" spans="1:14" ht="102" x14ac:dyDescent="0.25">
      <c r="A803" s="12" t="s">
        <v>3628</v>
      </c>
      <c r="B803" s="12" t="s">
        <v>3629</v>
      </c>
      <c r="C803" s="12" t="s">
        <v>24</v>
      </c>
      <c r="D803" s="12" t="s">
        <v>3630</v>
      </c>
      <c r="E803" s="11"/>
      <c r="F803" s="11"/>
      <c r="G803" s="11"/>
      <c r="H803" s="11"/>
      <c r="I803" s="12" t="s">
        <v>3631</v>
      </c>
      <c r="J803" s="11"/>
      <c r="K803" s="12" t="s">
        <v>3632</v>
      </c>
      <c r="L803" s="11"/>
      <c r="M803" s="12" t="str">
        <f>HYPERLINK("https://ceds.ed.gov/cedselementdetails.aspx?termid=17759")</f>
        <v>https://ceds.ed.gov/cedselementdetails.aspx?termid=17759</v>
      </c>
      <c r="N803" s="12" t="str">
        <f>HYPERLINK("https://ceds.ed.gov/elementComment.aspx?elementName=Dislocated Worker Status &amp;elementID=17759", "Click here to submit comment")</f>
        <v>Click here to submit comment</v>
      </c>
    </row>
    <row r="804" spans="1:14" ht="38.25" x14ac:dyDescent="0.25">
      <c r="A804" s="12" t="s">
        <v>3633</v>
      </c>
      <c r="B804" s="12" t="s">
        <v>3634</v>
      </c>
      <c r="C804" s="12" t="s">
        <v>24</v>
      </c>
      <c r="D804" s="12" t="s">
        <v>3635</v>
      </c>
      <c r="E804" s="11"/>
      <c r="F804" s="11"/>
      <c r="G804" s="11"/>
      <c r="H804" s="11"/>
      <c r="I804" s="12" t="s">
        <v>3636</v>
      </c>
      <c r="J804" s="11"/>
      <c r="K804" s="12" t="s">
        <v>3637</v>
      </c>
      <c r="L804" s="11"/>
      <c r="M804" s="12" t="str">
        <f>HYPERLINK("https://ceds.ed.gov/cedselementdetails.aspx?termid=17603")</f>
        <v>https://ceds.ed.gov/cedselementdetails.aspx?termid=17603</v>
      </c>
      <c r="N804" s="12" t="str">
        <f>HYPERLINK("https://ceds.ed.gov/elementComment.aspx?elementName=Displaced Student Status &amp;elementID=17603", "Click here to submit comment")</f>
        <v>Click here to submit comment</v>
      </c>
    </row>
    <row r="805" spans="1:14" ht="255" x14ac:dyDescent="0.25">
      <c r="A805" s="12" t="s">
        <v>3638</v>
      </c>
      <c r="B805" s="12" t="s">
        <v>3639</v>
      </c>
      <c r="C805" s="13" t="s">
        <v>3640</v>
      </c>
      <c r="D805" s="12" t="s">
        <v>3641</v>
      </c>
      <c r="E805" s="11"/>
      <c r="F805" s="11"/>
      <c r="G805" s="11"/>
      <c r="H805" s="12" t="s">
        <v>3642</v>
      </c>
      <c r="I805" s="12" t="s">
        <v>3643</v>
      </c>
      <c r="J805" s="11"/>
      <c r="K805" s="12" t="s">
        <v>3644</v>
      </c>
      <c r="L805" s="12" t="s">
        <v>3645</v>
      </c>
      <c r="M805" s="12" t="str">
        <f>HYPERLINK("https://ceds.ed.gov/cedselementdetails.aspx?termid=17704")</f>
        <v>https://ceds.ed.gov/cedselementdetails.aspx?termid=17704</v>
      </c>
      <c r="N805" s="12" t="str">
        <f>HYPERLINK("https://ceds.ed.gov/elementComment.aspx?elementName=Distance Education Course Enrollment &amp;elementID=17704", "Click here to submit comment")</f>
        <v>Click here to submit comment</v>
      </c>
    </row>
    <row r="806" spans="1:14" ht="140.25" x14ac:dyDescent="0.25">
      <c r="A806" s="12" t="s">
        <v>3646</v>
      </c>
      <c r="B806" s="12" t="s">
        <v>3647</v>
      </c>
      <c r="C806" s="12" t="s">
        <v>24</v>
      </c>
      <c r="D806" s="12" t="s">
        <v>3648</v>
      </c>
      <c r="E806" s="11"/>
      <c r="F806" s="11"/>
      <c r="G806" s="11"/>
      <c r="H806" s="12" t="s">
        <v>3642</v>
      </c>
      <c r="I806" s="12" t="s">
        <v>3649</v>
      </c>
      <c r="J806" s="11"/>
      <c r="K806" s="12" t="s">
        <v>3650</v>
      </c>
      <c r="L806" s="11"/>
      <c r="M806" s="12" t="str">
        <f>HYPERLINK("https://ceds.ed.gov/cedselementdetails.aspx?termid=18289")</f>
        <v>https://ceds.ed.gov/cedselementdetails.aspx?termid=18289</v>
      </c>
      <c r="N806" s="12" t="str">
        <f>HYPERLINK("https://ceds.ed.gov/elementComment.aspx?elementName=Distance Education Program Enrollment Indicator &amp;elementID=18289", "Click here to submit comment")</f>
        <v>Click here to submit comment</v>
      </c>
    </row>
    <row r="807" spans="1:14" ht="409.5" x14ac:dyDescent="0.25">
      <c r="A807" s="12" t="s">
        <v>3651</v>
      </c>
      <c r="B807" s="12" t="s">
        <v>3652</v>
      </c>
      <c r="C807" s="12" t="s">
        <v>3430</v>
      </c>
      <c r="D807" s="12" t="s">
        <v>3653</v>
      </c>
      <c r="E807" s="12" t="s">
        <v>188</v>
      </c>
      <c r="F807" s="11"/>
      <c r="G807" s="12" t="s">
        <v>1721</v>
      </c>
      <c r="H807" s="11"/>
      <c r="I807" s="12" t="s">
        <v>3654</v>
      </c>
      <c r="J807" s="11"/>
      <c r="K807" s="12" t="s">
        <v>3655</v>
      </c>
      <c r="L807" s="11"/>
      <c r="M807" s="12" t="str">
        <f>HYPERLINK("https://ceds.ed.gov/cedselementdetails.aspx?termid=18905")</f>
        <v>https://ceds.ed.gov/cedselementdetails.aspx?termid=18905</v>
      </c>
      <c r="N807" s="12" t="str">
        <f>HYPERLINK("https://ceds.ed.gov/elementComment.aspx?elementName=Do Not Publish Indicator &amp;elementID=18905", "Click here to submit comment")</f>
        <v>Click here to submit comment</v>
      </c>
    </row>
    <row r="808" spans="1:14" ht="63.75" x14ac:dyDescent="0.25">
      <c r="A808" s="12" t="s">
        <v>3656</v>
      </c>
      <c r="B808" s="12" t="s">
        <v>3657</v>
      </c>
      <c r="C808" s="13" t="s">
        <v>3658</v>
      </c>
      <c r="D808" s="12" t="s">
        <v>3659</v>
      </c>
      <c r="E808" s="11"/>
      <c r="F808" s="11"/>
      <c r="G808" s="11"/>
      <c r="H808" s="11"/>
      <c r="I808" s="12" t="s">
        <v>3660</v>
      </c>
      <c r="J808" s="11"/>
      <c r="K808" s="12" t="s">
        <v>3661</v>
      </c>
      <c r="L808" s="11"/>
      <c r="M808" s="12" t="str">
        <f>HYPERLINK("https://ceds.ed.gov/cedselementdetails.aspx?termid=18290")</f>
        <v>https://ceds.ed.gov/cedselementdetails.aspx?termid=18290</v>
      </c>
      <c r="N808" s="12" t="str">
        <f>HYPERLINK("https://ceds.ed.gov/elementComment.aspx?elementName=Doctoral Candidacy Admit Indicator &amp;elementID=18290", "Click here to submit comment")</f>
        <v>Click here to submit comment</v>
      </c>
    </row>
    <row r="809" spans="1:14" ht="25.5" x14ac:dyDescent="0.25">
      <c r="A809" s="12" t="s">
        <v>3662</v>
      </c>
      <c r="B809" s="12" t="s">
        <v>3663</v>
      </c>
      <c r="C809" s="12" t="s">
        <v>37</v>
      </c>
      <c r="D809" s="12" t="s">
        <v>3659</v>
      </c>
      <c r="E809" s="11"/>
      <c r="F809" s="12" t="s">
        <v>135</v>
      </c>
      <c r="G809" s="11"/>
      <c r="H809" s="11"/>
      <c r="I809" s="12" t="s">
        <v>3664</v>
      </c>
      <c r="J809" s="11"/>
      <c r="K809" s="12" t="s">
        <v>3665</v>
      </c>
      <c r="L809" s="11"/>
      <c r="M809" s="12" t="str">
        <f>HYPERLINK("https://ceds.ed.gov/cedselementdetails.aspx?termid=18291")</f>
        <v>https://ceds.ed.gov/cedselementdetails.aspx?termid=18291</v>
      </c>
      <c r="N809" s="12" t="str">
        <f>HYPERLINK("https://ceds.ed.gov/elementComment.aspx?elementName=Doctoral Candidacy Date &amp;elementID=18291", "Click here to submit comment")</f>
        <v>Click here to submit comment</v>
      </c>
    </row>
    <row r="810" spans="1:14" ht="38.25" x14ac:dyDescent="0.25">
      <c r="A810" s="12" t="s">
        <v>3666</v>
      </c>
      <c r="B810" s="12" t="s">
        <v>3667</v>
      </c>
      <c r="C810" s="12" t="s">
        <v>37</v>
      </c>
      <c r="D810" s="12" t="s">
        <v>3659</v>
      </c>
      <c r="E810" s="11"/>
      <c r="F810" s="12" t="s">
        <v>135</v>
      </c>
      <c r="G810" s="11"/>
      <c r="H810" s="11"/>
      <c r="I810" s="12" t="s">
        <v>3668</v>
      </c>
      <c r="J810" s="11"/>
      <c r="K810" s="12" t="s">
        <v>3669</v>
      </c>
      <c r="L810" s="11"/>
      <c r="M810" s="12" t="str">
        <f>HYPERLINK("https://ceds.ed.gov/cedselementdetails.aspx?termid=18292")</f>
        <v>https://ceds.ed.gov/cedselementdetails.aspx?termid=18292</v>
      </c>
      <c r="N810" s="12" t="str">
        <f>HYPERLINK("https://ceds.ed.gov/elementComment.aspx?elementName=Doctoral Exam Taken Date &amp;elementID=18292", "Click here to submit comment")</f>
        <v>Click here to submit comment</v>
      </c>
    </row>
    <row r="811" spans="1:14" ht="114.75" x14ac:dyDescent="0.25">
      <c r="A811" s="12" t="s">
        <v>3670</v>
      </c>
      <c r="B811" s="12" t="s">
        <v>3671</v>
      </c>
      <c r="C811" s="13" t="s">
        <v>3672</v>
      </c>
      <c r="D811" s="12" t="s">
        <v>3659</v>
      </c>
      <c r="E811" s="11"/>
      <c r="F811" s="11"/>
      <c r="G811" s="11"/>
      <c r="H811" s="11"/>
      <c r="I811" s="12" t="s">
        <v>3673</v>
      </c>
      <c r="J811" s="11"/>
      <c r="K811" s="12" t="s">
        <v>3674</v>
      </c>
      <c r="L811" s="11"/>
      <c r="M811" s="12" t="str">
        <f>HYPERLINK("https://ceds.ed.gov/cedselementdetails.aspx?termid=18293")</f>
        <v>https://ceds.ed.gov/cedselementdetails.aspx?termid=18293</v>
      </c>
      <c r="N811" s="12" t="str">
        <f>HYPERLINK("https://ceds.ed.gov/elementComment.aspx?elementName=Doctoral Exams Required Type &amp;elementID=18293", "Click here to submit comment")</f>
        <v>Click here to submit comment</v>
      </c>
    </row>
    <row r="812" spans="1:14" ht="191.25" x14ac:dyDescent="0.25">
      <c r="A812" s="12" t="s">
        <v>3675</v>
      </c>
      <c r="B812" s="12" t="s">
        <v>3676</v>
      </c>
      <c r="C812" s="13" t="s">
        <v>3677</v>
      </c>
      <c r="D812" s="12" t="s">
        <v>3678</v>
      </c>
      <c r="E812" s="11"/>
      <c r="F812" s="11"/>
      <c r="G812" s="11"/>
      <c r="H812" s="6" t="s">
        <v>3679</v>
      </c>
      <c r="I812" s="12" t="s">
        <v>3680</v>
      </c>
      <c r="J812" s="11"/>
      <c r="K812" s="12" t="s">
        <v>3681</v>
      </c>
      <c r="L812" s="11"/>
      <c r="M812" s="12" t="str">
        <f>HYPERLINK("https://ceds.ed.gov/cedselementdetails.aspx?termid=18622")</f>
        <v>https://ceds.ed.gov/cedselementdetails.aspx?termid=18622</v>
      </c>
      <c r="N812" s="12" t="str">
        <f>HYPERLINK("https://ceds.ed.gov/elementComment.aspx?elementName=DQP Categories of Learning &amp;elementID=18622", "Click here to submit comment")</f>
        <v>Click here to submit comment</v>
      </c>
    </row>
    <row r="813" spans="1:14" ht="51" x14ac:dyDescent="0.25">
      <c r="A813" s="12" t="s">
        <v>3682</v>
      </c>
      <c r="B813" s="12" t="s">
        <v>3683</v>
      </c>
      <c r="C813" s="12" t="s">
        <v>37</v>
      </c>
      <c r="D813" s="12" t="s">
        <v>369</v>
      </c>
      <c r="E813" s="11"/>
      <c r="F813" s="12" t="s">
        <v>1710</v>
      </c>
      <c r="G813" s="11"/>
      <c r="H813" s="11"/>
      <c r="I813" s="12" t="s">
        <v>3684</v>
      </c>
      <c r="J813" s="11"/>
      <c r="K813" s="12" t="s">
        <v>3685</v>
      </c>
      <c r="L813" s="12" t="s">
        <v>65</v>
      </c>
      <c r="M813" s="12" t="str">
        <f>HYPERLINK("https://ceds.ed.gov/cedselementdetails.aspx?termid=17085")</f>
        <v>https://ceds.ed.gov/cedselementdetails.aspx?termid=17085</v>
      </c>
      <c r="N813" s="12" t="str">
        <f>HYPERLINK("https://ceds.ed.gov/elementComment.aspx?elementName=Dual Credit Dual Enrollment Credits Awarded &amp;elementID=17085", "Click here to submit comment")</f>
        <v>Click here to submit comment</v>
      </c>
    </row>
    <row r="814" spans="1:14" ht="25.5" x14ac:dyDescent="0.25">
      <c r="A814" s="12" t="s">
        <v>3686</v>
      </c>
      <c r="B814" s="12" t="s">
        <v>3687</v>
      </c>
      <c r="C814" s="12" t="s">
        <v>37</v>
      </c>
      <c r="D814" s="12" t="s">
        <v>3462</v>
      </c>
      <c r="E814" s="11"/>
      <c r="F814" s="12" t="s">
        <v>1922</v>
      </c>
      <c r="G814" s="11"/>
      <c r="H814" s="11"/>
      <c r="I814" s="12" t="s">
        <v>3688</v>
      </c>
      <c r="J814" s="11"/>
      <c r="K814" s="12" t="s">
        <v>3689</v>
      </c>
      <c r="L814" s="11"/>
      <c r="M814" s="12" t="str">
        <f>HYPERLINK("https://ceds.ed.gov/cedselementdetails.aspx?termid=18697")</f>
        <v>https://ceds.ed.gov/cedselementdetails.aspx?termid=18697</v>
      </c>
      <c r="N814" s="12" t="str">
        <f>HYPERLINK("https://ceds.ed.gov/elementComment.aspx?elementName=Duration Length in Minutes &amp;elementID=18697", "Click here to submit comment")</f>
        <v>Click here to submit comment</v>
      </c>
    </row>
    <row r="815" spans="1:14" ht="38.25" x14ac:dyDescent="0.25">
      <c r="A815" s="12" t="s">
        <v>3690</v>
      </c>
      <c r="B815" s="12" t="s">
        <v>3691</v>
      </c>
      <c r="C815" s="12" t="s">
        <v>37</v>
      </c>
      <c r="D815" s="12" t="s">
        <v>3591</v>
      </c>
      <c r="E815" s="11"/>
      <c r="F815" s="12" t="s">
        <v>1710</v>
      </c>
      <c r="G815" s="11"/>
      <c r="H815" s="11"/>
      <c r="I815" s="12" t="s">
        <v>3692</v>
      </c>
      <c r="J815" s="11"/>
      <c r="K815" s="12" t="s">
        <v>3693</v>
      </c>
      <c r="L815" s="11"/>
      <c r="M815" s="12" t="str">
        <f>HYPERLINK("https://ceds.ed.gov/cedselementdetails.aspx?termid=17502")</f>
        <v>https://ceds.ed.gov/cedselementdetails.aspx?termid=17502</v>
      </c>
      <c r="N815" s="12" t="str">
        <f>HYPERLINK("https://ceds.ed.gov/elementComment.aspx?elementName=Duration of Disciplinary Action &amp;elementID=17502", "Click here to submit comment")</f>
        <v>Click here to submit comment</v>
      </c>
    </row>
    <row r="816" spans="1:14" ht="153" x14ac:dyDescent="0.25">
      <c r="A816" s="12" t="s">
        <v>3694</v>
      </c>
      <c r="B816" s="12" t="s">
        <v>3695</v>
      </c>
      <c r="C816" s="13" t="s">
        <v>3696</v>
      </c>
      <c r="D816" s="12" t="s">
        <v>2281</v>
      </c>
      <c r="E816" s="11"/>
      <c r="F816" s="11"/>
      <c r="G816" s="11"/>
      <c r="H816" s="11"/>
      <c r="I816" s="12" t="s">
        <v>3697</v>
      </c>
      <c r="J816" s="11"/>
      <c r="K816" s="12" t="s">
        <v>3698</v>
      </c>
      <c r="L816" s="12" t="s">
        <v>3474</v>
      </c>
      <c r="M816" s="12" t="str">
        <f>HYPERLINK("https://ceds.ed.gov/cedselementdetails.aspx?termid=17344")</f>
        <v>https://ceds.ed.gov/cedselementdetails.aspx?termid=17344</v>
      </c>
      <c r="N816" s="12" t="str">
        <f>HYPERLINK("https://ceds.ed.gov/elementComment.aspx?elementName=Early Childhood Credential &amp;elementID=17344", "Click here to submit comment")</f>
        <v>Click here to submit comment</v>
      </c>
    </row>
    <row r="817" spans="1:14" ht="38.25" x14ac:dyDescent="0.25">
      <c r="A817" s="12" t="s">
        <v>3699</v>
      </c>
      <c r="B817" s="12" t="s">
        <v>3700</v>
      </c>
      <c r="C817" s="12" t="s">
        <v>24</v>
      </c>
      <c r="D817" s="12" t="s">
        <v>3701</v>
      </c>
      <c r="E817" s="11"/>
      <c r="F817" s="11"/>
      <c r="G817" s="11"/>
      <c r="H817" s="11"/>
      <c r="I817" s="12" t="s">
        <v>3702</v>
      </c>
      <c r="J817" s="11"/>
      <c r="K817" s="12" t="s">
        <v>3703</v>
      </c>
      <c r="L817" s="12" t="s">
        <v>238</v>
      </c>
      <c r="M817" s="12" t="str">
        <f>HYPERLINK("https://ceds.ed.gov/cedselementdetails.aspx?termid=17786")</f>
        <v>https://ceds.ed.gov/cedselementdetails.aspx?termid=17786</v>
      </c>
      <c r="N817" s="12" t="str">
        <f>HYPERLINK("https://ceds.ed.gov/elementComment.aspx?elementName=Early Childhood Degree or Certificate Holder &amp;elementID=17786", "Click here to submit comment")</f>
        <v>Click here to submit comment</v>
      </c>
    </row>
    <row r="818" spans="1:14" ht="51" x14ac:dyDescent="0.25">
      <c r="A818" s="12" t="s">
        <v>3704</v>
      </c>
      <c r="B818" s="12" t="s">
        <v>3705</v>
      </c>
      <c r="C818" s="12" t="s">
        <v>24</v>
      </c>
      <c r="D818" s="12" t="s">
        <v>3706</v>
      </c>
      <c r="E818" s="11"/>
      <c r="F818" s="11"/>
      <c r="G818" s="11"/>
      <c r="H818" s="11"/>
      <c r="I818" s="12" t="s">
        <v>3707</v>
      </c>
      <c r="J818" s="11"/>
      <c r="K818" s="12" t="s">
        <v>3708</v>
      </c>
      <c r="L818" s="11"/>
      <c r="M818" s="12" t="str">
        <f>HYPERLINK("https://ceds.ed.gov/cedselementdetails.aspx?termid=18570")</f>
        <v>https://ceds.ed.gov/cedselementdetails.aspx?termid=18570</v>
      </c>
      <c r="N818" s="12" t="str">
        <f>HYPERLINK("https://ceds.ed.gov/elementComment.aspx?elementName=Early Childhood Education and Assistance Program Eligibility &amp;elementID=18570", "Click here to submit comment")</f>
        <v>Click here to submit comment</v>
      </c>
    </row>
    <row r="819" spans="1:14" ht="178.5" x14ac:dyDescent="0.25">
      <c r="A819" s="12" t="s">
        <v>3709</v>
      </c>
      <c r="B819" s="12" t="s">
        <v>3710</v>
      </c>
      <c r="C819" s="13" t="s">
        <v>3711</v>
      </c>
      <c r="D819" s="12" t="s">
        <v>2419</v>
      </c>
      <c r="E819" s="11"/>
      <c r="F819" s="11"/>
      <c r="G819" s="11"/>
      <c r="H819" s="11"/>
      <c r="I819" s="12" t="s">
        <v>3712</v>
      </c>
      <c r="J819" s="11"/>
      <c r="K819" s="12" t="s">
        <v>3713</v>
      </c>
      <c r="L819" s="12" t="s">
        <v>125</v>
      </c>
      <c r="M819" s="12" t="str">
        <f>HYPERLINK("https://ceds.ed.gov/cedselementdetails.aspx?termid=17829")</f>
        <v>https://ceds.ed.gov/cedselementdetails.aspx?termid=17829</v>
      </c>
      <c r="N819" s="12" t="str">
        <f>HYPERLINK("https://ceds.ed.gov/elementComment.aspx?elementName=Early Childhood Program Enrollment Type &amp;elementID=17829", "Click here to submit comment")</f>
        <v>Click here to submit comment</v>
      </c>
    </row>
    <row r="820" spans="1:14" ht="280.5" x14ac:dyDescent="0.25">
      <c r="A820" s="12" t="s">
        <v>3714</v>
      </c>
      <c r="B820" s="12" t="s">
        <v>3715</v>
      </c>
      <c r="C820" s="13" t="s">
        <v>3716</v>
      </c>
      <c r="D820" s="12" t="s">
        <v>3706</v>
      </c>
      <c r="E820" s="11"/>
      <c r="F820" s="11"/>
      <c r="G820" s="11"/>
      <c r="H820" s="11"/>
      <c r="I820" s="12" t="s">
        <v>3717</v>
      </c>
      <c r="J820" s="11"/>
      <c r="K820" s="12" t="s">
        <v>3718</v>
      </c>
      <c r="L820" s="11"/>
      <c r="M820" s="12" t="str">
        <f>HYPERLINK("https://ceds.ed.gov/cedselementdetails.aspx?termid=18529")</f>
        <v>https://ceds.ed.gov/cedselementdetails.aspx?termid=18529</v>
      </c>
      <c r="N820" s="12" t="str">
        <f>HYPERLINK("https://ceds.ed.gov/elementComment.aspx?elementName=Early Childhood Services Offered &amp;elementID=18529", "Click here to submit comment")</f>
        <v>Click here to submit comment</v>
      </c>
    </row>
    <row r="821" spans="1:14" ht="280.5" x14ac:dyDescent="0.25">
      <c r="A821" s="12" t="s">
        <v>3719</v>
      </c>
      <c r="B821" s="12" t="s">
        <v>3720</v>
      </c>
      <c r="C821" s="13" t="s">
        <v>3716</v>
      </c>
      <c r="D821" s="12" t="s">
        <v>3706</v>
      </c>
      <c r="E821" s="11"/>
      <c r="F821" s="11"/>
      <c r="G821" s="11"/>
      <c r="H821" s="11"/>
      <c r="I821" s="12" t="s">
        <v>3721</v>
      </c>
      <c r="J821" s="11"/>
      <c r="K821" s="12" t="s">
        <v>3722</v>
      </c>
      <c r="L821" s="12" t="s">
        <v>2291</v>
      </c>
      <c r="M821" s="12" t="str">
        <f>HYPERLINK("https://ceds.ed.gov/cedselementdetails.aspx?termid=17321")</f>
        <v>https://ceds.ed.gov/cedselementdetails.aspx?termid=17321</v>
      </c>
      <c r="N821" s="12" t="str">
        <f>HYPERLINK("https://ceds.ed.gov/elementComment.aspx?elementName=Early Childhood Services Received &amp;elementID=17321", "Click here to submit comment")</f>
        <v>Click here to submit comment</v>
      </c>
    </row>
    <row r="822" spans="1:14" ht="153" x14ac:dyDescent="0.25">
      <c r="A822" s="12" t="s">
        <v>3723</v>
      </c>
      <c r="B822" s="12" t="s">
        <v>3724</v>
      </c>
      <c r="C822" s="13" t="s">
        <v>3725</v>
      </c>
      <c r="D822" s="12" t="s">
        <v>3451</v>
      </c>
      <c r="E822" s="11"/>
      <c r="F822" s="11"/>
      <c r="G822" s="11"/>
      <c r="H822" s="11"/>
      <c r="I822" s="12" t="s">
        <v>3726</v>
      </c>
      <c r="J822" s="11"/>
      <c r="K822" s="12" t="s">
        <v>3727</v>
      </c>
      <c r="L822" s="12" t="s">
        <v>3454</v>
      </c>
      <c r="M822" s="12" t="str">
        <f>HYPERLINK("https://ceds.ed.gov/cedselementdetails.aspx?termid=17355")</f>
        <v>https://ceds.ed.gov/cedselementdetails.aspx?termid=17355</v>
      </c>
      <c r="N822" s="12" t="str">
        <f>HYPERLINK("https://ceds.ed.gov/elementComment.aspx?elementName=Early Childhood Setting &amp;elementID=17355", "Click here to submit comment")</f>
        <v>Click here to submit comment</v>
      </c>
    </row>
    <row r="823" spans="1:14" ht="76.5" x14ac:dyDescent="0.25">
      <c r="A823" s="15" t="s">
        <v>3728</v>
      </c>
      <c r="B823" s="15" t="s">
        <v>3729</v>
      </c>
      <c r="C823" s="15" t="s">
        <v>37</v>
      </c>
      <c r="D823" s="15" t="s">
        <v>3730</v>
      </c>
      <c r="E823" s="16"/>
      <c r="F823" s="15" t="s">
        <v>149</v>
      </c>
      <c r="G823" s="16"/>
      <c r="H823" s="12" t="s">
        <v>150</v>
      </c>
      <c r="I823" s="15" t="s">
        <v>3731</v>
      </c>
      <c r="J823" s="16"/>
      <c r="K823" s="15" t="s">
        <v>3732</v>
      </c>
      <c r="L823" s="16"/>
      <c r="M823" s="15" t="str">
        <f>HYPERLINK("https://ceds.ed.gov/cedselementdetails.aspx?termid=18576")</f>
        <v>https://ceds.ed.gov/cedselementdetails.aspx?termid=18576</v>
      </c>
      <c r="N823" s="15" t="str">
        <f>HYPERLINK("https://ceds.ed.gov/elementComment.aspx?elementName=Early Learning Application Identifier &amp;elementID=18576", "Click here to submit comment")</f>
        <v>Click here to submit comment</v>
      </c>
    </row>
    <row r="824" spans="1:14" x14ac:dyDescent="0.25">
      <c r="A824" s="15"/>
      <c r="B824" s="15"/>
      <c r="C824" s="15"/>
      <c r="D824" s="15"/>
      <c r="E824" s="16"/>
      <c r="F824" s="15"/>
      <c r="G824" s="16"/>
      <c r="H824" s="12"/>
      <c r="I824" s="15"/>
      <c r="J824" s="16"/>
      <c r="K824" s="15"/>
      <c r="L824" s="16"/>
      <c r="M824" s="15"/>
      <c r="N824" s="15"/>
    </row>
    <row r="825" spans="1:14" ht="76.5" x14ac:dyDescent="0.25">
      <c r="A825" s="15"/>
      <c r="B825" s="15"/>
      <c r="C825" s="15"/>
      <c r="D825" s="15"/>
      <c r="E825" s="16"/>
      <c r="F825" s="15"/>
      <c r="G825" s="16"/>
      <c r="H825" s="12" t="s">
        <v>153</v>
      </c>
      <c r="I825" s="15"/>
      <c r="J825" s="16"/>
      <c r="K825" s="15"/>
      <c r="L825" s="16"/>
      <c r="M825" s="15"/>
      <c r="N825" s="15"/>
    </row>
    <row r="826" spans="1:14" ht="38.25" x14ac:dyDescent="0.25">
      <c r="A826" s="12" t="s">
        <v>3733</v>
      </c>
      <c r="B826" s="12" t="s">
        <v>3734</v>
      </c>
      <c r="C826" s="12" t="s">
        <v>24</v>
      </c>
      <c r="D826" s="12" t="s">
        <v>3730</v>
      </c>
      <c r="E826" s="11"/>
      <c r="F826" s="11"/>
      <c r="G826" s="11"/>
      <c r="H826" s="11"/>
      <c r="I826" s="12" t="s">
        <v>3735</v>
      </c>
      <c r="J826" s="11"/>
      <c r="K826" s="12" t="s">
        <v>3736</v>
      </c>
      <c r="L826" s="11"/>
      <c r="M826" s="12" t="str">
        <f>HYPERLINK("https://ceds.ed.gov/cedselementdetails.aspx?termid=18578")</f>
        <v>https://ceds.ed.gov/cedselementdetails.aspx?termid=18578</v>
      </c>
      <c r="N826" s="12" t="str">
        <f>HYPERLINK("https://ceds.ed.gov/elementComment.aspx?elementName=Early Learning Application Required Document &amp;elementID=18578", "Click here to submit comment")</f>
        <v>Click here to submit comment</v>
      </c>
    </row>
    <row r="827" spans="1:14" ht="127.5" x14ac:dyDescent="0.25">
      <c r="A827" s="12" t="s">
        <v>3737</v>
      </c>
      <c r="B827" s="12" t="s">
        <v>3738</v>
      </c>
      <c r="C827" s="13" t="s">
        <v>3739</v>
      </c>
      <c r="D827" s="12" t="s">
        <v>3740</v>
      </c>
      <c r="E827" s="11"/>
      <c r="F827" s="12" t="s">
        <v>175</v>
      </c>
      <c r="G827" s="11"/>
      <c r="H827" s="11"/>
      <c r="I827" s="12" t="s">
        <v>3741</v>
      </c>
      <c r="J827" s="11"/>
      <c r="K827" s="12" t="s">
        <v>3742</v>
      </c>
      <c r="L827" s="12" t="s">
        <v>125</v>
      </c>
      <c r="M827" s="12" t="str">
        <f>HYPERLINK("https://ceds.ed.gov/cedselementdetails.aspx?termid=17822")</f>
        <v>https://ceds.ed.gov/cedselementdetails.aspx?termid=17822</v>
      </c>
      <c r="N827" s="12" t="str">
        <f>HYPERLINK("https://ceds.ed.gov/elementComment.aspx?elementName=Early Learning Class Group Curriculum Type &amp;elementID=17822", "Click here to submit comment")</f>
        <v>Click here to submit comment</v>
      </c>
    </row>
    <row r="828" spans="1:14" ht="76.5" x14ac:dyDescent="0.25">
      <c r="A828" s="15" t="s">
        <v>3743</v>
      </c>
      <c r="B828" s="15" t="s">
        <v>3744</v>
      </c>
      <c r="C828" s="15" t="s">
        <v>37</v>
      </c>
      <c r="D828" s="15" t="s">
        <v>3740</v>
      </c>
      <c r="E828" s="16"/>
      <c r="F828" s="15" t="s">
        <v>149</v>
      </c>
      <c r="G828" s="16"/>
      <c r="H828" s="12" t="s">
        <v>150</v>
      </c>
      <c r="I828" s="15" t="s">
        <v>3745</v>
      </c>
      <c r="J828" s="16"/>
      <c r="K828" s="15" t="s">
        <v>3746</v>
      </c>
      <c r="L828" s="15" t="s">
        <v>2298</v>
      </c>
      <c r="M828" s="15" t="str">
        <f>HYPERLINK("https://ceds.ed.gov/cedselementdetails.aspx?termid=17819")</f>
        <v>https://ceds.ed.gov/cedselementdetails.aspx?termid=17819</v>
      </c>
      <c r="N828" s="15" t="str">
        <f>HYPERLINK("https://ceds.ed.gov/elementComment.aspx?elementName=Early Learning Class Group Identifier &amp;elementID=17819", "Click here to submit comment")</f>
        <v>Click here to submit comment</v>
      </c>
    </row>
    <row r="829" spans="1:14" x14ac:dyDescent="0.25">
      <c r="A829" s="15"/>
      <c r="B829" s="15"/>
      <c r="C829" s="15"/>
      <c r="D829" s="15"/>
      <c r="E829" s="16"/>
      <c r="F829" s="15"/>
      <c r="G829" s="16"/>
      <c r="H829" s="12"/>
      <c r="I829" s="15"/>
      <c r="J829" s="16"/>
      <c r="K829" s="15"/>
      <c r="L829" s="15"/>
      <c r="M829" s="15"/>
      <c r="N829" s="15"/>
    </row>
    <row r="830" spans="1:14" ht="76.5" x14ac:dyDescent="0.25">
      <c r="A830" s="15"/>
      <c r="B830" s="15"/>
      <c r="C830" s="15"/>
      <c r="D830" s="15"/>
      <c r="E830" s="16"/>
      <c r="F830" s="15"/>
      <c r="G830" s="16"/>
      <c r="H830" s="12" t="s">
        <v>153</v>
      </c>
      <c r="I830" s="15"/>
      <c r="J830" s="16"/>
      <c r="K830" s="15"/>
      <c r="L830" s="15"/>
      <c r="M830" s="15"/>
      <c r="N830" s="15"/>
    </row>
    <row r="831" spans="1:14" ht="51" x14ac:dyDescent="0.25">
      <c r="A831" s="12" t="s">
        <v>3747</v>
      </c>
      <c r="B831" s="12" t="s">
        <v>3748</v>
      </c>
      <c r="C831" s="12" t="s">
        <v>37</v>
      </c>
      <c r="D831" s="12" t="s">
        <v>3740</v>
      </c>
      <c r="E831" s="11"/>
      <c r="F831" s="12" t="s">
        <v>175</v>
      </c>
      <c r="G831" s="11"/>
      <c r="H831" s="11"/>
      <c r="I831" s="12" t="s">
        <v>3749</v>
      </c>
      <c r="J831" s="11"/>
      <c r="K831" s="12" t="s">
        <v>3750</v>
      </c>
      <c r="L831" s="12" t="s">
        <v>2298</v>
      </c>
      <c r="M831" s="12" t="str">
        <f>HYPERLINK("https://ceds.ed.gov/cedselementdetails.aspx?termid=17820")</f>
        <v>https://ceds.ed.gov/cedselementdetails.aspx?termid=17820</v>
      </c>
      <c r="N831" s="12" t="str">
        <f>HYPERLINK("https://ceds.ed.gov/elementComment.aspx?elementName=Early Learning Class Group Name &amp;elementID=17820", "Click here to submit comment")</f>
        <v>Click here to submit comment</v>
      </c>
    </row>
    <row r="832" spans="1:14" ht="114.75" x14ac:dyDescent="0.25">
      <c r="A832" s="12" t="s">
        <v>3751</v>
      </c>
      <c r="B832" s="12" t="s">
        <v>3752</v>
      </c>
      <c r="C832" s="13" t="s">
        <v>3753</v>
      </c>
      <c r="D832" s="12" t="s">
        <v>2141</v>
      </c>
      <c r="E832" s="11"/>
      <c r="F832" s="11"/>
      <c r="G832" s="11"/>
      <c r="H832" s="11"/>
      <c r="I832" s="12" t="s">
        <v>3754</v>
      </c>
      <c r="J832" s="11"/>
      <c r="K832" s="12" t="s">
        <v>3755</v>
      </c>
      <c r="L832" s="12" t="s">
        <v>238</v>
      </c>
      <c r="M832" s="12" t="str">
        <f>HYPERLINK("https://ceds.ed.gov/cedselementdetails.aspx?termid=17812")</f>
        <v>https://ceds.ed.gov/cedselementdetails.aspx?termid=17812</v>
      </c>
      <c r="N832" s="12" t="str">
        <f>HYPERLINK("https://ceds.ed.gov/elementComment.aspx?elementName=Early Learning Core Knowledge Area &amp;elementID=17812", "Click here to submit comment")</f>
        <v>Click here to submit comment</v>
      </c>
    </row>
    <row r="833" spans="1:14" ht="409.5" x14ac:dyDescent="0.25">
      <c r="A833" s="12" t="s">
        <v>3756</v>
      </c>
      <c r="B833" s="12" t="s">
        <v>3757</v>
      </c>
      <c r="C833" s="13" t="s">
        <v>3758</v>
      </c>
      <c r="D833" s="12" t="s">
        <v>3759</v>
      </c>
      <c r="E833" s="11"/>
      <c r="F833" s="11"/>
      <c r="G833" s="11"/>
      <c r="H833" s="11"/>
      <c r="I833" s="12" t="s">
        <v>3760</v>
      </c>
      <c r="J833" s="11"/>
      <c r="K833" s="12" t="s">
        <v>3761</v>
      </c>
      <c r="L833" s="11"/>
      <c r="M833" s="12" t="str">
        <f>HYPERLINK("https://ceds.ed.gov/cedselementdetails.aspx?termid=18581")</f>
        <v>https://ceds.ed.gov/cedselementdetails.aspx?termid=18581</v>
      </c>
      <c r="N833" s="12" t="str">
        <f>HYPERLINK("https://ceds.ed.gov/elementComment.aspx?elementName=Early Learning Education Staff Classification &amp;elementID=18581", "Click here to submit comment")</f>
        <v>Click here to submit comment</v>
      </c>
    </row>
    <row r="834" spans="1:14" ht="318.75" x14ac:dyDescent="0.25">
      <c r="A834" s="12" t="s">
        <v>3762</v>
      </c>
      <c r="B834" s="12" t="s">
        <v>3763</v>
      </c>
      <c r="C834" s="13" t="s">
        <v>3764</v>
      </c>
      <c r="D834" s="12" t="s">
        <v>3759</v>
      </c>
      <c r="E834" s="11"/>
      <c r="F834" s="11"/>
      <c r="G834" s="11"/>
      <c r="H834" s="11"/>
      <c r="I834" s="12" t="s">
        <v>3765</v>
      </c>
      <c r="J834" s="11"/>
      <c r="K834" s="12" t="s">
        <v>3766</v>
      </c>
      <c r="L834" s="11"/>
      <c r="M834" s="12" t="str">
        <f>HYPERLINK("https://ceds.ed.gov/cedselementdetails.aspx?termid=18613")</f>
        <v>https://ceds.ed.gov/cedselementdetails.aspx?termid=18613</v>
      </c>
      <c r="N834" s="12" t="str">
        <f>HYPERLINK("https://ceds.ed.gov/elementComment.aspx?elementName=Early Learning Employment Separation Reason &amp;elementID=18613", "Click here to submit comment")</f>
        <v>Click here to submit comment</v>
      </c>
    </row>
    <row r="835" spans="1:14" ht="76.5" x14ac:dyDescent="0.25">
      <c r="A835" s="15" t="s">
        <v>3767</v>
      </c>
      <c r="B835" s="15" t="s">
        <v>3768</v>
      </c>
      <c r="C835" s="15" t="s">
        <v>37</v>
      </c>
      <c r="D835" s="15" t="s">
        <v>3730</v>
      </c>
      <c r="E835" s="16"/>
      <c r="F835" s="15" t="s">
        <v>149</v>
      </c>
      <c r="G835" s="16"/>
      <c r="H835" s="12" t="s">
        <v>150</v>
      </c>
      <c r="I835" s="15" t="s">
        <v>3769</v>
      </c>
      <c r="J835" s="16"/>
      <c r="K835" s="15" t="s">
        <v>3770</v>
      </c>
      <c r="L835" s="16"/>
      <c r="M835" s="15" t="str">
        <f>HYPERLINK("https://ceds.ed.gov/cedselementdetails.aspx?termid=18572")</f>
        <v>https://ceds.ed.gov/cedselementdetails.aspx?termid=18572</v>
      </c>
      <c r="N835" s="15" t="str">
        <f>HYPERLINK("https://ceds.ed.gov/elementComment.aspx?elementName=Early Learning Enrollment Application Document Identifier &amp;elementID=18572", "Click here to submit comment")</f>
        <v>Click here to submit comment</v>
      </c>
    </row>
    <row r="836" spans="1:14" x14ac:dyDescent="0.25">
      <c r="A836" s="15"/>
      <c r="B836" s="15"/>
      <c r="C836" s="15"/>
      <c r="D836" s="15"/>
      <c r="E836" s="16"/>
      <c r="F836" s="15"/>
      <c r="G836" s="16"/>
      <c r="H836" s="12"/>
      <c r="I836" s="15"/>
      <c r="J836" s="16"/>
      <c r="K836" s="15"/>
      <c r="L836" s="16"/>
      <c r="M836" s="15"/>
      <c r="N836" s="15"/>
    </row>
    <row r="837" spans="1:14" ht="76.5" x14ac:dyDescent="0.25">
      <c r="A837" s="15"/>
      <c r="B837" s="15"/>
      <c r="C837" s="15"/>
      <c r="D837" s="15"/>
      <c r="E837" s="16"/>
      <c r="F837" s="15"/>
      <c r="G837" s="16"/>
      <c r="H837" s="12" t="s">
        <v>153</v>
      </c>
      <c r="I837" s="15"/>
      <c r="J837" s="16"/>
      <c r="K837" s="15"/>
      <c r="L837" s="16"/>
      <c r="M837" s="15"/>
      <c r="N837" s="15"/>
    </row>
    <row r="838" spans="1:14" ht="25.5" x14ac:dyDescent="0.25">
      <c r="A838" s="12" t="s">
        <v>3771</v>
      </c>
      <c r="B838" s="12" t="s">
        <v>3772</v>
      </c>
      <c r="C838" s="12" t="s">
        <v>37</v>
      </c>
      <c r="D838" s="12" t="s">
        <v>3730</v>
      </c>
      <c r="E838" s="11"/>
      <c r="F838" s="12" t="s">
        <v>175</v>
      </c>
      <c r="G838" s="11"/>
      <c r="H838" s="11"/>
      <c r="I838" s="12" t="s">
        <v>3773</v>
      </c>
      <c r="J838" s="11"/>
      <c r="K838" s="12" t="s">
        <v>3774</v>
      </c>
      <c r="L838" s="11"/>
      <c r="M838" s="12" t="str">
        <f>HYPERLINK("https://ceds.ed.gov/cedselementdetails.aspx?termid=18573")</f>
        <v>https://ceds.ed.gov/cedselementdetails.aspx?termid=18573</v>
      </c>
      <c r="N838" s="12" t="str">
        <f>HYPERLINK("https://ceds.ed.gov/elementComment.aspx?elementName=Early Learning Enrollment Application Document Name &amp;elementID=18573", "Click here to submit comment")</f>
        <v>Click here to submit comment</v>
      </c>
    </row>
    <row r="839" spans="1:14" ht="25.5" x14ac:dyDescent="0.25">
      <c r="A839" s="12" t="s">
        <v>3775</v>
      </c>
      <c r="B839" s="12" t="s">
        <v>3776</v>
      </c>
      <c r="C839" s="12" t="s">
        <v>37</v>
      </c>
      <c r="D839" s="12" t="s">
        <v>3730</v>
      </c>
      <c r="E839" s="11"/>
      <c r="F839" s="12" t="s">
        <v>874</v>
      </c>
      <c r="G839" s="11"/>
      <c r="H839" s="11"/>
      <c r="I839" s="12" t="s">
        <v>3777</v>
      </c>
      <c r="J839" s="11"/>
      <c r="K839" s="12" t="s">
        <v>3778</v>
      </c>
      <c r="L839" s="11"/>
      <c r="M839" s="12" t="str">
        <f>HYPERLINK("https://ceds.ed.gov/cedselementdetails.aspx?termid=18574")</f>
        <v>https://ceds.ed.gov/cedselementdetails.aspx?termid=18574</v>
      </c>
      <c r="N839" s="12" t="str">
        <f>HYPERLINK("https://ceds.ed.gov/elementComment.aspx?elementName=Early Learning Enrollment Application Document Type &amp;elementID=18574", "Click here to submit comment")</f>
        <v>Click here to submit comment</v>
      </c>
    </row>
    <row r="840" spans="1:14" ht="25.5" x14ac:dyDescent="0.25">
      <c r="A840" s="12" t="s">
        <v>3779</v>
      </c>
      <c r="B840" s="12" t="s">
        <v>3780</v>
      </c>
      <c r="C840" s="12" t="s">
        <v>37</v>
      </c>
      <c r="D840" s="12" t="s">
        <v>3730</v>
      </c>
      <c r="E840" s="11"/>
      <c r="F840" s="12" t="s">
        <v>135</v>
      </c>
      <c r="G840" s="11"/>
      <c r="H840" s="11"/>
      <c r="I840" s="12" t="s">
        <v>3781</v>
      </c>
      <c r="J840" s="11"/>
      <c r="K840" s="12" t="s">
        <v>3782</v>
      </c>
      <c r="L840" s="11"/>
      <c r="M840" s="12" t="str">
        <f>HYPERLINK("https://ceds.ed.gov/cedselementdetails.aspx?termid=18571")</f>
        <v>https://ceds.ed.gov/cedselementdetails.aspx?termid=18571</v>
      </c>
      <c r="N840" s="12" t="str">
        <f>HYPERLINK("https://ceds.ed.gov/elementComment.aspx?elementName=Early Learning Enrollment Application Verification Date &amp;elementID=18571", "Click here to submit comment")</f>
        <v>Click here to submit comment</v>
      </c>
    </row>
    <row r="841" spans="1:14" ht="25.5" x14ac:dyDescent="0.25">
      <c r="A841" s="12" t="s">
        <v>3783</v>
      </c>
      <c r="B841" s="12" t="s">
        <v>3784</v>
      </c>
      <c r="C841" s="12" t="s">
        <v>37</v>
      </c>
      <c r="D841" s="12" t="s">
        <v>3730</v>
      </c>
      <c r="E841" s="11"/>
      <c r="F841" s="12" t="s">
        <v>874</v>
      </c>
      <c r="G841" s="11"/>
      <c r="H841" s="11"/>
      <c r="I841" s="12" t="s">
        <v>3785</v>
      </c>
      <c r="J841" s="11"/>
      <c r="K841" s="12" t="s">
        <v>3786</v>
      </c>
      <c r="L841" s="11"/>
      <c r="M841" s="12" t="str">
        <f>HYPERLINK("https://ceds.ed.gov/cedselementdetails.aspx?termid=18579")</f>
        <v>https://ceds.ed.gov/cedselementdetails.aspx?termid=18579</v>
      </c>
      <c r="N841" s="12" t="str">
        <f>HYPERLINK("https://ceds.ed.gov/elementComment.aspx?elementName=Early Learning Enrollment Application Verification Reason Type &amp;elementID=18579", "Click here to submit comment")</f>
        <v>Click here to submit comment</v>
      </c>
    </row>
    <row r="842" spans="1:14" ht="409.5" x14ac:dyDescent="0.25">
      <c r="A842" s="12" t="s">
        <v>3787</v>
      </c>
      <c r="B842" s="12" t="s">
        <v>3788</v>
      </c>
      <c r="C842" s="13" t="s">
        <v>3789</v>
      </c>
      <c r="D842" s="12" t="s">
        <v>3790</v>
      </c>
      <c r="E842" s="11"/>
      <c r="F842" s="11"/>
      <c r="G842" s="11"/>
      <c r="H842" s="11"/>
      <c r="I842" s="12" t="s">
        <v>3791</v>
      </c>
      <c r="J842" s="11"/>
      <c r="K842" s="12" t="s">
        <v>3792</v>
      </c>
      <c r="L842" s="11"/>
      <c r="M842" s="12" t="str">
        <f>HYPERLINK("https://ceds.ed.gov/cedselementdetails.aspx?termid=18294")</f>
        <v>https://ceds.ed.gov/cedselementdetails.aspx?termid=18294</v>
      </c>
      <c r="N842" s="12" t="str">
        <f>HYPERLINK("https://ceds.ed.gov/elementComment.aspx?elementName=Early Learning Federal Funding Type &amp;elementID=18294", "Click here to submit comment")</f>
        <v>Click here to submit comment</v>
      </c>
    </row>
    <row r="843" spans="1:14" ht="25.5" x14ac:dyDescent="0.25">
      <c r="A843" s="12" t="s">
        <v>3793</v>
      </c>
      <c r="B843" s="12" t="s">
        <v>3794</v>
      </c>
      <c r="C843" s="12" t="s">
        <v>37</v>
      </c>
      <c r="D843" s="12" t="s">
        <v>3740</v>
      </c>
      <c r="E843" s="11"/>
      <c r="F843" s="12" t="s">
        <v>370</v>
      </c>
      <c r="G843" s="11"/>
      <c r="H843" s="11"/>
      <c r="I843" s="12" t="s">
        <v>3795</v>
      </c>
      <c r="J843" s="11"/>
      <c r="K843" s="12" t="s">
        <v>3796</v>
      </c>
      <c r="L843" s="11"/>
      <c r="M843" s="12" t="str">
        <f>HYPERLINK("https://ceds.ed.gov/cedselementdetails.aspx?termid=18295")</f>
        <v>https://ceds.ed.gov/cedselementdetails.aspx?termid=18295</v>
      </c>
      <c r="N843" s="12" t="str">
        <f>HYPERLINK("https://ceds.ed.gov/elementComment.aspx?elementName=Early Learning Group Size &amp;elementID=18295", "Click here to submit comment")</f>
        <v>Click here to submit comment</v>
      </c>
    </row>
    <row r="844" spans="1:14" ht="114.75" x14ac:dyDescent="0.25">
      <c r="A844" s="12" t="s">
        <v>3797</v>
      </c>
      <c r="B844" s="12" t="s">
        <v>3798</v>
      </c>
      <c r="C844" s="13" t="s">
        <v>3799</v>
      </c>
      <c r="D844" s="12" t="s">
        <v>3740</v>
      </c>
      <c r="E844" s="11"/>
      <c r="F844" s="11"/>
      <c r="G844" s="11"/>
      <c r="H844" s="11"/>
      <c r="I844" s="12" t="s">
        <v>3800</v>
      </c>
      <c r="J844" s="11"/>
      <c r="K844" s="12" t="s">
        <v>3801</v>
      </c>
      <c r="L844" s="12" t="s">
        <v>125</v>
      </c>
      <c r="M844" s="12" t="str">
        <f>HYPERLINK("https://ceds.ed.gov/cedselementdetails.aspx?termid=17823")</f>
        <v>https://ceds.ed.gov/cedselementdetails.aspx?termid=17823</v>
      </c>
      <c r="N844" s="12" t="str">
        <f>HYPERLINK("https://ceds.ed.gov/elementComment.aspx?elementName=Early Learning Group Size Standards Met &amp;elementID=17823", "Click here to submit comment")</f>
        <v>Click here to submit comment</v>
      </c>
    </row>
    <row r="845" spans="1:14" ht="140.25" x14ac:dyDescent="0.25">
      <c r="A845" s="12" t="s">
        <v>3802</v>
      </c>
      <c r="B845" s="12" t="s">
        <v>3803</v>
      </c>
      <c r="C845" s="13" t="s">
        <v>3804</v>
      </c>
      <c r="D845" s="12" t="s">
        <v>1738</v>
      </c>
      <c r="E845" s="11"/>
      <c r="F845" s="11"/>
      <c r="G845" s="11"/>
      <c r="H845" s="11"/>
      <c r="I845" s="12" t="s">
        <v>3805</v>
      </c>
      <c r="J845" s="11"/>
      <c r="K845" s="12" t="s">
        <v>3806</v>
      </c>
      <c r="L845" s="11"/>
      <c r="M845" s="12" t="str">
        <f>HYPERLINK("https://ceds.ed.gov/cedselementdetails.aspx?termid=18582")</f>
        <v>https://ceds.ed.gov/cedselementdetails.aspx?termid=18582</v>
      </c>
      <c r="N845" s="12" t="str">
        <f>HYPERLINK("https://ceds.ed.gov/elementComment.aspx?elementName=Early Learning Local Revenue Source &amp;elementID=18582", "Click here to submit comment")</f>
        <v>Click here to submit comment</v>
      </c>
    </row>
    <row r="846" spans="1:14" ht="51" x14ac:dyDescent="0.25">
      <c r="A846" s="12" t="s">
        <v>3807</v>
      </c>
      <c r="B846" s="12" t="s">
        <v>3808</v>
      </c>
      <c r="C846" s="12" t="s">
        <v>37</v>
      </c>
      <c r="D846" s="12" t="s">
        <v>3451</v>
      </c>
      <c r="E846" s="11"/>
      <c r="F846" s="12" t="s">
        <v>370</v>
      </c>
      <c r="G846" s="11"/>
      <c r="H846" s="11"/>
      <c r="I846" s="12" t="s">
        <v>3809</v>
      </c>
      <c r="J846" s="11"/>
      <c r="K846" s="12" t="s">
        <v>3810</v>
      </c>
      <c r="L846" s="12" t="s">
        <v>3811</v>
      </c>
      <c r="M846" s="12" t="str">
        <f>HYPERLINK("https://ceds.ed.gov/cedselementdetails.aspx?termid=18189")</f>
        <v>https://ceds.ed.gov/cedselementdetails.aspx?termid=18189</v>
      </c>
      <c r="N846" s="12" t="str">
        <f>HYPERLINK("https://ceds.ed.gov/elementComment.aspx?elementName=Early Learning Oldest Age Authorized to Serve &amp;elementID=18189", "Click here to submit comment")</f>
        <v>Click here to submit comment</v>
      </c>
    </row>
    <row r="847" spans="1:14" ht="89.25" x14ac:dyDescent="0.25">
      <c r="A847" s="12" t="s">
        <v>3812</v>
      </c>
      <c r="B847" s="12" t="s">
        <v>3813</v>
      </c>
      <c r="C847" s="13" t="s">
        <v>3814</v>
      </c>
      <c r="D847" s="12" t="s">
        <v>3790</v>
      </c>
      <c r="E847" s="11"/>
      <c r="F847" s="11"/>
      <c r="G847" s="11"/>
      <c r="H847" s="11"/>
      <c r="I847" s="12" t="s">
        <v>3815</v>
      </c>
      <c r="J847" s="11"/>
      <c r="K847" s="12" t="s">
        <v>3816</v>
      </c>
      <c r="L847" s="11"/>
      <c r="M847" s="12" t="str">
        <f>HYPERLINK("https://ceds.ed.gov/cedselementdetails.aspx?termid=18302")</f>
        <v>https://ceds.ed.gov/cedselementdetails.aspx?termid=18302</v>
      </c>
      <c r="N847" s="12" t="str">
        <f>HYPERLINK("https://ceds.ed.gov/elementComment.aspx?elementName=Early Learning Other Federal Funding Sources &amp;elementID=18302", "Click here to submit comment")</f>
        <v>Click here to submit comment</v>
      </c>
    </row>
    <row r="848" spans="1:14" ht="63.75" x14ac:dyDescent="0.25">
      <c r="A848" s="12" t="s">
        <v>3817</v>
      </c>
      <c r="B848" s="12" t="s">
        <v>3818</v>
      </c>
      <c r="C848" s="13" t="s">
        <v>3819</v>
      </c>
      <c r="D848" s="12" t="s">
        <v>2306</v>
      </c>
      <c r="E848" s="11"/>
      <c r="F848" s="11"/>
      <c r="G848" s="11"/>
      <c r="H848" s="11"/>
      <c r="I848" s="12" t="s">
        <v>3820</v>
      </c>
      <c r="J848" s="11"/>
      <c r="K848" s="12" t="s">
        <v>3821</v>
      </c>
      <c r="L848" s="11"/>
      <c r="M848" s="12" t="str">
        <f>HYPERLINK("https://ceds.ed.gov/cedselementdetails.aspx?termid=18303")</f>
        <v>https://ceds.ed.gov/cedselementdetails.aspx?termid=18303</v>
      </c>
      <c r="N848" s="12" t="str">
        <f>HYPERLINK("https://ceds.ed.gov/elementComment.aspx?elementName=Early Learning Outcome Measurement Level &amp;elementID=18303", "Click here to submit comment")</f>
        <v>Click here to submit comment</v>
      </c>
    </row>
    <row r="849" spans="1:14" ht="63.75" x14ac:dyDescent="0.25">
      <c r="A849" s="12" t="s">
        <v>3822</v>
      </c>
      <c r="B849" s="12" t="s">
        <v>3823</v>
      </c>
      <c r="C849" s="13" t="s">
        <v>3824</v>
      </c>
      <c r="D849" s="12" t="s">
        <v>2306</v>
      </c>
      <c r="E849" s="11"/>
      <c r="F849" s="11"/>
      <c r="G849" s="11"/>
      <c r="H849" s="11"/>
      <c r="I849" s="12" t="s">
        <v>3825</v>
      </c>
      <c r="J849" s="11"/>
      <c r="K849" s="12" t="s">
        <v>3826</v>
      </c>
      <c r="L849" s="11"/>
      <c r="M849" s="12" t="str">
        <f>HYPERLINK("https://ceds.ed.gov/cedselementdetails.aspx?termid=18475")</f>
        <v>https://ceds.ed.gov/cedselementdetails.aspx?termid=18475</v>
      </c>
      <c r="N849" s="12" t="str">
        <f>HYPERLINK("https://ceds.ed.gov/elementComment.aspx?elementName=Early Learning Outcome Time Point &amp;elementID=18475", "Click here to submit comment")</f>
        <v>Click here to submit comment</v>
      </c>
    </row>
    <row r="850" spans="1:14" ht="153" x14ac:dyDescent="0.25">
      <c r="A850" s="12" t="s">
        <v>3827</v>
      </c>
      <c r="B850" s="12" t="s">
        <v>3828</v>
      </c>
      <c r="C850" s="13" t="s">
        <v>3829</v>
      </c>
      <c r="D850" s="12" t="s">
        <v>2141</v>
      </c>
      <c r="E850" s="11"/>
      <c r="F850" s="11"/>
      <c r="G850" s="11"/>
      <c r="H850" s="11"/>
      <c r="I850" s="12" t="s">
        <v>3830</v>
      </c>
      <c r="J850" s="11"/>
      <c r="K850" s="12" t="s">
        <v>3831</v>
      </c>
      <c r="L850" s="11"/>
      <c r="M850" s="12" t="str">
        <f>HYPERLINK("https://ceds.ed.gov/cedselementdetails.aspx?termid=18304")</f>
        <v>https://ceds.ed.gov/cedselementdetails.aspx?termid=18304</v>
      </c>
      <c r="N850" s="12" t="str">
        <f>HYPERLINK("https://ceds.ed.gov/elementComment.aspx?elementName=Early Learning Professional Development Topic Area &amp;elementID=18304", "Click here to submit comment")</f>
        <v>Click here to submit comment</v>
      </c>
    </row>
    <row r="851" spans="1:14" ht="51" x14ac:dyDescent="0.25">
      <c r="A851" s="12" t="s">
        <v>3832</v>
      </c>
      <c r="B851" s="12" t="s">
        <v>3833</v>
      </c>
      <c r="C851" s="12" t="s">
        <v>37</v>
      </c>
      <c r="D851" s="12" t="s">
        <v>3834</v>
      </c>
      <c r="E851" s="11"/>
      <c r="F851" s="12" t="s">
        <v>3835</v>
      </c>
      <c r="G851" s="11"/>
      <c r="H851" s="11"/>
      <c r="I851" s="12" t="s">
        <v>3836</v>
      </c>
      <c r="J851" s="11"/>
      <c r="K851" s="12" t="s">
        <v>3837</v>
      </c>
      <c r="L851" s="12" t="s">
        <v>2346</v>
      </c>
      <c r="M851" s="12" t="str">
        <f>HYPERLINK("https://ceds.ed.gov/cedselementdetails.aspx?termid=17824")</f>
        <v>https://ceds.ed.gov/cedselementdetails.aspx?termid=17824</v>
      </c>
      <c r="N851" s="12" t="str">
        <f>HYPERLINK("https://ceds.ed.gov/elementComment.aspx?elementName=Early Learning Program Annual Operating Weeks &amp;elementID=17824", "Click here to submit comment")</f>
        <v>Click here to submit comment</v>
      </c>
    </row>
    <row r="852" spans="1:14" ht="38.25" x14ac:dyDescent="0.25">
      <c r="A852" s="12" t="s">
        <v>3838</v>
      </c>
      <c r="B852" s="12" t="s">
        <v>3839</v>
      </c>
      <c r="C852" s="12" t="s">
        <v>24</v>
      </c>
      <c r="D852" s="12" t="s">
        <v>3840</v>
      </c>
      <c r="E852" s="11"/>
      <c r="F852" s="11"/>
      <c r="G852" s="11"/>
      <c r="H852" s="11"/>
      <c r="I852" s="12" t="s">
        <v>3841</v>
      </c>
      <c r="J852" s="11"/>
      <c r="K852" s="12" t="s">
        <v>3842</v>
      </c>
      <c r="L852" s="12" t="s">
        <v>125</v>
      </c>
      <c r="M852" s="12" t="str">
        <f>HYPERLINK("https://ceds.ed.gov/cedselementdetails.aspx?termid=17848")</f>
        <v>https://ceds.ed.gov/cedselementdetails.aspx?termid=17848</v>
      </c>
      <c r="N852" s="12" t="str">
        <f>HYPERLINK("https://ceds.ed.gov/elementComment.aspx?elementName=Early Learning Program Developmental Screening Status &amp;elementID=17848", "Click here to submit comment")</f>
        <v>Click here to submit comment</v>
      </c>
    </row>
    <row r="853" spans="1:14" ht="229.5" x14ac:dyDescent="0.25">
      <c r="A853" s="12" t="s">
        <v>3843</v>
      </c>
      <c r="B853" s="12" t="s">
        <v>3844</v>
      </c>
      <c r="C853" s="13" t="s">
        <v>3845</v>
      </c>
      <c r="D853" s="12" t="s">
        <v>3846</v>
      </c>
      <c r="E853" s="11"/>
      <c r="F853" s="11"/>
      <c r="G853" s="11"/>
      <c r="H853" s="11"/>
      <c r="I853" s="12" t="s">
        <v>3847</v>
      </c>
      <c r="J853" s="11"/>
      <c r="K853" s="12" t="s">
        <v>3848</v>
      </c>
      <c r="L853" s="12" t="s">
        <v>3500</v>
      </c>
      <c r="M853" s="12" t="str">
        <f>HYPERLINK("https://ceds.ed.gov/cedselementdetails.aspx?termid=17304")</f>
        <v>https://ceds.ed.gov/cedselementdetails.aspx?termid=17304</v>
      </c>
      <c r="N853" s="12" t="str">
        <f>HYPERLINK("https://ceds.ed.gov/elementComment.aspx?elementName=Early Learning Program Eligibility Category &amp;elementID=17304", "Click here to submit comment")</f>
        <v>Click here to submit comment</v>
      </c>
    </row>
    <row r="854" spans="1:14" ht="25.5" x14ac:dyDescent="0.25">
      <c r="A854" s="12" t="s">
        <v>3849</v>
      </c>
      <c r="B854" s="12" t="s">
        <v>3850</v>
      </c>
      <c r="C854" s="12" t="s">
        <v>37</v>
      </c>
      <c r="D854" s="12" t="s">
        <v>3846</v>
      </c>
      <c r="E854" s="11"/>
      <c r="F854" s="12" t="s">
        <v>135</v>
      </c>
      <c r="G854" s="11"/>
      <c r="H854" s="11"/>
      <c r="I854" s="12" t="s">
        <v>3851</v>
      </c>
      <c r="J854" s="11"/>
      <c r="K854" s="12" t="s">
        <v>3852</v>
      </c>
      <c r="L854" s="11"/>
      <c r="M854" s="12" t="str">
        <f>HYPERLINK("https://ceds.ed.gov/cedselementdetails.aspx?termid=18305")</f>
        <v>https://ceds.ed.gov/cedselementdetails.aspx?termid=18305</v>
      </c>
      <c r="N854" s="12" t="str">
        <f>HYPERLINK("https://ceds.ed.gov/elementComment.aspx?elementName=Early Learning Program Eligibility Expiration Date &amp;elementID=18305", "Click here to submit comment")</f>
        <v>Click here to submit comment</v>
      </c>
    </row>
    <row r="855" spans="1:14" ht="63.75" x14ac:dyDescent="0.25">
      <c r="A855" s="12" t="s">
        <v>3853</v>
      </c>
      <c r="B855" s="12" t="s">
        <v>3854</v>
      </c>
      <c r="C855" s="13" t="s">
        <v>3855</v>
      </c>
      <c r="D855" s="12" t="s">
        <v>3846</v>
      </c>
      <c r="E855" s="11"/>
      <c r="F855" s="11"/>
      <c r="G855" s="11"/>
      <c r="H855" s="11"/>
      <c r="I855" s="12" t="s">
        <v>3856</v>
      </c>
      <c r="J855" s="11"/>
      <c r="K855" s="12" t="s">
        <v>3857</v>
      </c>
      <c r="L855" s="11"/>
      <c r="M855" s="12" t="str">
        <f>HYPERLINK("https://ceds.ed.gov/cedselementdetails.aspx?termid=18306")</f>
        <v>https://ceds.ed.gov/cedselementdetails.aspx?termid=18306</v>
      </c>
      <c r="N855" s="12" t="str">
        <f>HYPERLINK("https://ceds.ed.gov/elementComment.aspx?elementName=Early Learning Program Eligibility Status &amp;elementID=18306", "Click here to submit comment")</f>
        <v>Click here to submit comment</v>
      </c>
    </row>
    <row r="856" spans="1:14" ht="25.5" x14ac:dyDescent="0.25">
      <c r="A856" s="12" t="s">
        <v>3858</v>
      </c>
      <c r="B856" s="12" t="s">
        <v>3859</v>
      </c>
      <c r="C856" s="12" t="s">
        <v>37</v>
      </c>
      <c r="D856" s="12" t="s">
        <v>3846</v>
      </c>
      <c r="E856" s="11"/>
      <c r="F856" s="12" t="s">
        <v>135</v>
      </c>
      <c r="G856" s="11"/>
      <c r="H856" s="11"/>
      <c r="I856" s="12" t="s">
        <v>3860</v>
      </c>
      <c r="J856" s="11"/>
      <c r="K856" s="12" t="s">
        <v>3861</v>
      </c>
      <c r="L856" s="11"/>
      <c r="M856" s="12" t="str">
        <f>HYPERLINK("https://ceds.ed.gov/cedselementdetails.aspx?termid=18307")</f>
        <v>https://ceds.ed.gov/cedselementdetails.aspx?termid=18307</v>
      </c>
      <c r="N856" s="12" t="str">
        <f>HYPERLINK("https://ceds.ed.gov/elementComment.aspx?elementName=Early Learning Program Eligibility Status Date &amp;elementID=18307", "Click here to submit comment")</f>
        <v>Click here to submit comment</v>
      </c>
    </row>
    <row r="857" spans="1:14" ht="38.25" x14ac:dyDescent="0.25">
      <c r="A857" s="12" t="s">
        <v>3862</v>
      </c>
      <c r="B857" s="12" t="s">
        <v>3863</v>
      </c>
      <c r="C857" s="12" t="s">
        <v>24</v>
      </c>
      <c r="D857" s="12" t="s">
        <v>2798</v>
      </c>
      <c r="E857" s="11"/>
      <c r="F857" s="11"/>
      <c r="G857" s="11"/>
      <c r="H857" s="11"/>
      <c r="I857" s="12" t="s">
        <v>3864</v>
      </c>
      <c r="J857" s="11"/>
      <c r="K857" s="12" t="s">
        <v>3865</v>
      </c>
      <c r="L857" s="12" t="s">
        <v>125</v>
      </c>
      <c r="M857" s="12" t="str">
        <f>HYPERLINK("https://ceds.ed.gov/cedselementdetails.aspx?termid=17838")</f>
        <v>https://ceds.ed.gov/cedselementdetails.aspx?termid=17838</v>
      </c>
      <c r="N857" s="12" t="str">
        <f>HYPERLINK("https://ceds.ed.gov/elementComment.aspx?elementName=Early Learning Program License Revocation Status &amp;elementID=17838", "Click here to submit comment")</f>
        <v>Click here to submit comment</v>
      </c>
    </row>
    <row r="858" spans="1:14" ht="38.25" x14ac:dyDescent="0.25">
      <c r="A858" s="12" t="s">
        <v>3866</v>
      </c>
      <c r="B858" s="12" t="s">
        <v>3867</v>
      </c>
      <c r="C858" s="12" t="s">
        <v>24</v>
      </c>
      <c r="D858" s="12" t="s">
        <v>2798</v>
      </c>
      <c r="E858" s="11"/>
      <c r="F858" s="11"/>
      <c r="G858" s="11"/>
      <c r="H858" s="11"/>
      <c r="I858" s="12" t="s">
        <v>3868</v>
      </c>
      <c r="J858" s="11"/>
      <c r="K858" s="12" t="s">
        <v>3869</v>
      </c>
      <c r="L858" s="12" t="s">
        <v>125</v>
      </c>
      <c r="M858" s="12" t="str">
        <f>HYPERLINK("https://ceds.ed.gov/cedselementdetails.aspx?termid=17837")</f>
        <v>https://ceds.ed.gov/cedselementdetails.aspx?termid=17837</v>
      </c>
      <c r="N858" s="12" t="str">
        <f>HYPERLINK("https://ceds.ed.gov/elementComment.aspx?elementName=Early Learning Program License Suspension Status &amp;elementID=17837", "Click here to submit comment")</f>
        <v>Click here to submit comment</v>
      </c>
    </row>
    <row r="859" spans="1:14" ht="63.75" x14ac:dyDescent="0.25">
      <c r="A859" s="12" t="s">
        <v>3870</v>
      </c>
      <c r="B859" s="12" t="s">
        <v>3871</v>
      </c>
      <c r="C859" s="13" t="s">
        <v>3872</v>
      </c>
      <c r="D859" s="12" t="s">
        <v>2798</v>
      </c>
      <c r="E859" s="11"/>
      <c r="F859" s="11"/>
      <c r="G859" s="11"/>
      <c r="H859" s="11"/>
      <c r="I859" s="12" t="s">
        <v>3873</v>
      </c>
      <c r="J859" s="11"/>
      <c r="K859" s="12" t="s">
        <v>3874</v>
      </c>
      <c r="L859" s="12" t="s">
        <v>125</v>
      </c>
      <c r="M859" s="12" t="str">
        <f>HYPERLINK("https://ceds.ed.gov/cedselementdetails.aspx?termid=17828")</f>
        <v>https://ceds.ed.gov/cedselementdetails.aspx?termid=17828</v>
      </c>
      <c r="N859" s="12" t="str">
        <f>HYPERLINK("https://ceds.ed.gov/elementComment.aspx?elementName=Early Learning Program Licensing Status &amp;elementID=17828", "Click here to submit comment")</f>
        <v>Click here to submit comment</v>
      </c>
    </row>
    <row r="860" spans="1:14" ht="25.5" x14ac:dyDescent="0.25">
      <c r="A860" s="12" t="s">
        <v>3875</v>
      </c>
      <c r="B860" s="12" t="s">
        <v>3876</v>
      </c>
      <c r="C860" s="12" t="s">
        <v>37</v>
      </c>
      <c r="D860" s="12" t="s">
        <v>3548</v>
      </c>
      <c r="E860" s="11"/>
      <c r="F860" s="12" t="s">
        <v>2094</v>
      </c>
      <c r="G860" s="11"/>
      <c r="H860" s="11"/>
      <c r="I860" s="12" t="s">
        <v>3877</v>
      </c>
      <c r="J860" s="11"/>
      <c r="K860" s="12" t="s">
        <v>3878</v>
      </c>
      <c r="L860" s="12" t="s">
        <v>2346</v>
      </c>
      <c r="M860" s="12" t="str">
        <f>HYPERLINK("https://ceds.ed.gov/cedselementdetails.aspx?termid=17864")</f>
        <v>https://ceds.ed.gov/cedselementdetails.aspx?termid=17864</v>
      </c>
      <c r="N860" s="12" t="str">
        <f>HYPERLINK("https://ceds.ed.gov/elementComment.aspx?elementName=Early Learning Program Year &amp;elementID=17864", "Click here to submit comment")</f>
        <v>Click here to submit comment</v>
      </c>
    </row>
    <row r="861" spans="1:14" ht="409.5" x14ac:dyDescent="0.25">
      <c r="A861" s="12" t="s">
        <v>3879</v>
      </c>
      <c r="B861" s="12" t="s">
        <v>3880</v>
      </c>
      <c r="C861" s="13" t="s">
        <v>3881</v>
      </c>
      <c r="D861" s="12" t="s">
        <v>3759</v>
      </c>
      <c r="E861" s="11"/>
      <c r="F861" s="11"/>
      <c r="G861" s="11"/>
      <c r="H861" s="11"/>
      <c r="I861" s="12" t="s">
        <v>3882</v>
      </c>
      <c r="J861" s="11"/>
      <c r="K861" s="12" t="s">
        <v>3883</v>
      </c>
      <c r="L861" s="11"/>
      <c r="M861" s="12" t="str">
        <f>HYPERLINK("https://ceds.ed.gov/cedselementdetails.aspx?termid=18617")</f>
        <v>https://ceds.ed.gov/cedselementdetails.aspx?termid=18617</v>
      </c>
      <c r="N861" s="12" t="str">
        <f>HYPERLINK("https://ceds.ed.gov/elementComment.aspx?elementName=Early Learning Service Professional Staff Classification &amp;elementID=18617", "Click here to submit comment")</f>
        <v>Click here to submit comment</v>
      </c>
    </row>
    <row r="862" spans="1:14" ht="102" x14ac:dyDescent="0.25">
      <c r="A862" s="12" t="s">
        <v>3884</v>
      </c>
      <c r="B862" s="12" t="s">
        <v>3885</v>
      </c>
      <c r="C862" s="13" t="s">
        <v>3886</v>
      </c>
      <c r="D862" s="12" t="s">
        <v>3706</v>
      </c>
      <c r="E862" s="11"/>
      <c r="F862" s="11"/>
      <c r="G862" s="11"/>
      <c r="H862" s="11"/>
      <c r="I862" s="12" t="s">
        <v>3887</v>
      </c>
      <c r="J862" s="11"/>
      <c r="K862" s="12" t="s">
        <v>3888</v>
      </c>
      <c r="L862" s="11"/>
      <c r="M862" s="12" t="str">
        <f>HYPERLINK("https://ceds.ed.gov/cedselementdetails.aspx?termid=18583")</f>
        <v>https://ceds.ed.gov/cedselementdetails.aspx?termid=18583</v>
      </c>
      <c r="N862" s="12" t="str">
        <f>HYPERLINK("https://ceds.ed.gov/elementComment.aspx?elementName=Early Learning Service Type &amp;elementID=18583", "Click here to submit comment")</f>
        <v>Click here to submit comment</v>
      </c>
    </row>
    <row r="863" spans="1:14" ht="51" x14ac:dyDescent="0.25">
      <c r="A863" s="12" t="s">
        <v>3889</v>
      </c>
      <c r="B863" s="12" t="s">
        <v>3890</v>
      </c>
      <c r="C863" s="12" t="s">
        <v>37</v>
      </c>
      <c r="D863" s="12" t="s">
        <v>3701</v>
      </c>
      <c r="E863" s="11"/>
      <c r="F863" s="12" t="s">
        <v>1710</v>
      </c>
      <c r="G863" s="11"/>
      <c r="H863" s="11"/>
      <c r="I863" s="12" t="s">
        <v>3891</v>
      </c>
      <c r="J863" s="11"/>
      <c r="K863" s="12" t="s">
        <v>3892</v>
      </c>
      <c r="L863" s="12" t="s">
        <v>238</v>
      </c>
      <c r="M863" s="12" t="str">
        <f>HYPERLINK("https://ceds.ed.gov/cedselementdetails.aspx?termid=17791")</f>
        <v>https://ceds.ed.gov/cedselementdetails.aspx?termid=17791</v>
      </c>
      <c r="N863" s="12" t="str">
        <f>HYPERLINK("https://ceds.ed.gov/elementComment.aspx?elementName=Early Learning Staff Total College Credits Earned &amp;elementID=17791", "Click here to submit comment")</f>
        <v>Click here to submit comment</v>
      </c>
    </row>
    <row r="864" spans="1:14" ht="331.5" x14ac:dyDescent="0.25">
      <c r="A864" s="12" t="s">
        <v>3893</v>
      </c>
      <c r="B864" s="12" t="s">
        <v>3894</v>
      </c>
      <c r="C864" s="13" t="s">
        <v>3895</v>
      </c>
      <c r="D864" s="12" t="s">
        <v>1738</v>
      </c>
      <c r="E864" s="11"/>
      <c r="F864" s="11"/>
      <c r="G864" s="11"/>
      <c r="H864" s="11"/>
      <c r="I864" s="12" t="s">
        <v>3896</v>
      </c>
      <c r="J864" s="11"/>
      <c r="K864" s="12" t="s">
        <v>3897</v>
      </c>
      <c r="L864" s="11"/>
      <c r="M864" s="12" t="str">
        <f>HYPERLINK("https://ceds.ed.gov/cedselementdetails.aspx?termid=18584")</f>
        <v>https://ceds.ed.gov/cedselementdetails.aspx?termid=18584</v>
      </c>
      <c r="N864" s="12" t="str">
        <f>HYPERLINK("https://ceds.ed.gov/elementComment.aspx?elementName=Early Learning State Revenue Source &amp;elementID=18584", "Click here to submit comment")</f>
        <v>Click here to submit comment</v>
      </c>
    </row>
    <row r="865" spans="1:14" ht="127.5" x14ac:dyDescent="0.25">
      <c r="A865" s="12" t="s">
        <v>3898</v>
      </c>
      <c r="B865" s="12" t="s">
        <v>3899</v>
      </c>
      <c r="C865" s="13" t="s">
        <v>3900</v>
      </c>
      <c r="D865" s="12" t="s">
        <v>3901</v>
      </c>
      <c r="E865" s="11"/>
      <c r="F865" s="11"/>
      <c r="G865" s="11"/>
      <c r="H865" s="11"/>
      <c r="I865" s="12" t="s">
        <v>3902</v>
      </c>
      <c r="J865" s="11"/>
      <c r="K865" s="12" t="s">
        <v>3903</v>
      </c>
      <c r="L865" s="11"/>
      <c r="M865" s="12" t="str">
        <f>HYPERLINK("https://ceds.ed.gov/cedselementdetails.aspx?termid=18585")</f>
        <v>https://ceds.ed.gov/cedselementdetails.aspx?termid=18585</v>
      </c>
      <c r="N865" s="12" t="str">
        <f>HYPERLINK("https://ceds.ed.gov/elementComment.aspx?elementName=Early Learning Trainer Core Knowledge Area &amp;elementID=18585", "Click here to submit comment")</f>
        <v>Click here to submit comment</v>
      </c>
    </row>
    <row r="866" spans="1:14" ht="51" x14ac:dyDescent="0.25">
      <c r="A866" s="12" t="s">
        <v>3904</v>
      </c>
      <c r="B866" s="12" t="s">
        <v>3905</v>
      </c>
      <c r="C866" s="12" t="s">
        <v>37</v>
      </c>
      <c r="D866" s="12" t="s">
        <v>3451</v>
      </c>
      <c r="E866" s="11"/>
      <c r="F866" s="12" t="s">
        <v>370</v>
      </c>
      <c r="G866" s="11"/>
      <c r="H866" s="11"/>
      <c r="I866" s="12" t="s">
        <v>3906</v>
      </c>
      <c r="J866" s="11"/>
      <c r="K866" s="12" t="s">
        <v>3907</v>
      </c>
      <c r="L866" s="12" t="s">
        <v>3811</v>
      </c>
      <c r="M866" s="12" t="str">
        <f>HYPERLINK("https://ceds.ed.gov/cedselementdetails.aspx?termid=17626")</f>
        <v>https://ceds.ed.gov/cedselementdetails.aspx?termid=17626</v>
      </c>
      <c r="N866" s="12" t="str">
        <f>HYPERLINK("https://ceds.ed.gov/elementComment.aspx?elementName=Early Learning Youngest Age Authorized to Serve &amp;elementID=17626", "Click here to submit comment")</f>
        <v>Click here to submit comment</v>
      </c>
    </row>
    <row r="867" spans="1:14" ht="51" x14ac:dyDescent="0.25">
      <c r="A867" s="12" t="s">
        <v>3908</v>
      </c>
      <c r="B867" s="12" t="s">
        <v>3909</v>
      </c>
      <c r="C867" s="12" t="s">
        <v>24</v>
      </c>
      <c r="D867" s="12" t="s">
        <v>3910</v>
      </c>
      <c r="E867" s="11"/>
      <c r="F867" s="11"/>
      <c r="G867" s="11"/>
      <c r="H867" s="11"/>
      <c r="I867" s="12" t="s">
        <v>3911</v>
      </c>
      <c r="J867" s="11"/>
      <c r="K867" s="12" t="s">
        <v>3912</v>
      </c>
      <c r="L867" s="12" t="s">
        <v>2157</v>
      </c>
      <c r="M867" s="12" t="str">
        <f>HYPERLINK("https://ceds.ed.gov/cedselementdetails.aspx?termid=17086")</f>
        <v>https://ceds.ed.gov/cedselementdetails.aspx?termid=17086</v>
      </c>
      <c r="N867" s="12" t="str">
        <f>HYPERLINK("https://ceds.ed.gov/elementComment.aspx?elementName=Economic Disadvantage Status &amp;elementID=17086", "Click here to submit comment")</f>
        <v>Click here to submit comment</v>
      </c>
    </row>
    <row r="868" spans="1:14" ht="255" x14ac:dyDescent="0.25">
      <c r="A868" s="12" t="s">
        <v>3913</v>
      </c>
      <c r="B868" s="12" t="s">
        <v>3914</v>
      </c>
      <c r="C868" s="13" t="s">
        <v>3915</v>
      </c>
      <c r="D868" s="12" t="s">
        <v>3916</v>
      </c>
      <c r="E868" s="11"/>
      <c r="F868" s="11"/>
      <c r="G868" s="11"/>
      <c r="H868" s="11"/>
      <c r="I868" s="12" t="s">
        <v>3917</v>
      </c>
      <c r="J868" s="12" t="s">
        <v>3918</v>
      </c>
      <c r="K868" s="12" t="s">
        <v>3919</v>
      </c>
      <c r="L868" s="12" t="s">
        <v>3920</v>
      </c>
      <c r="M868" s="12" t="str">
        <f>HYPERLINK("https://ceds.ed.gov/cedselementdetails.aspx?termid=17862")</f>
        <v>https://ceds.ed.gov/cedselementdetails.aspx?termid=17862</v>
      </c>
      <c r="N868" s="12" t="str">
        <f>HYPERLINK("https://ceds.ed.gov/elementComment.aspx?elementName=Economic Research Service Rural-Urban Continuum Code &amp;elementID=17862", "Click here to submit comment")</f>
        <v>Click here to submit comment</v>
      </c>
    </row>
    <row r="869" spans="1:14" ht="76.5" x14ac:dyDescent="0.25">
      <c r="A869" s="12" t="s">
        <v>3921</v>
      </c>
      <c r="B869" s="12" t="s">
        <v>3922</v>
      </c>
      <c r="C869" s="13" t="s">
        <v>3923</v>
      </c>
      <c r="D869" s="12" t="s">
        <v>3924</v>
      </c>
      <c r="E869" s="11"/>
      <c r="F869" s="11"/>
      <c r="G869" s="11"/>
      <c r="H869" s="11"/>
      <c r="I869" s="12" t="s">
        <v>3925</v>
      </c>
      <c r="J869" s="11"/>
      <c r="K869" s="12" t="s">
        <v>3926</v>
      </c>
      <c r="L869" s="11"/>
      <c r="M869" s="12" t="str">
        <f>HYPERLINK("https://ceds.ed.gov/cedselementdetails.aspx?termid=18586")</f>
        <v>https://ceds.ed.gov/cedselementdetails.aspx?termid=18586</v>
      </c>
      <c r="N869" s="12" t="str">
        <f>HYPERLINK("https://ceds.ed.gov/elementComment.aspx?elementName=Education Verification Method &amp;elementID=18586", "Click here to submit comment")</f>
        <v>Click here to submit comment</v>
      </c>
    </row>
    <row r="870" spans="1:14" ht="51" x14ac:dyDescent="0.25">
      <c r="A870" s="12" t="s">
        <v>3927</v>
      </c>
      <c r="B870" s="12" t="s">
        <v>3928</v>
      </c>
      <c r="C870" s="12" t="s">
        <v>24</v>
      </c>
      <c r="D870" s="12" t="s">
        <v>3591</v>
      </c>
      <c r="E870" s="11"/>
      <c r="F870" s="11"/>
      <c r="G870" s="11"/>
      <c r="H870" s="11"/>
      <c r="I870" s="12" t="s">
        <v>3929</v>
      </c>
      <c r="J870" s="11"/>
      <c r="K870" s="12" t="s">
        <v>3930</v>
      </c>
      <c r="L870" s="11"/>
      <c r="M870" s="12" t="str">
        <f>HYPERLINK("https://ceds.ed.gov/cedselementdetails.aspx?termid=17570")</f>
        <v>https://ceds.ed.gov/cedselementdetails.aspx?termid=17570</v>
      </c>
      <c r="N870" s="12" t="str">
        <f>HYPERLINK("https://ceds.ed.gov/elementComment.aspx?elementName=Educational Services After Removal &amp;elementID=17570", "Click here to submit comment")</f>
        <v>Click here to submit comment</v>
      </c>
    </row>
    <row r="871" spans="1:14" ht="409.5" x14ac:dyDescent="0.25">
      <c r="A871" s="12" t="s">
        <v>3931</v>
      </c>
      <c r="B871" s="12" t="s">
        <v>3932</v>
      </c>
      <c r="C871" s="12" t="s">
        <v>37</v>
      </c>
      <c r="D871" s="12" t="s">
        <v>3933</v>
      </c>
      <c r="E871" s="11"/>
      <c r="F871" s="12" t="s">
        <v>3934</v>
      </c>
      <c r="G871" s="11"/>
      <c r="H871" s="11"/>
      <c r="I871" s="12" t="s">
        <v>3935</v>
      </c>
      <c r="J871" s="12" t="s">
        <v>3936</v>
      </c>
      <c r="K871" s="12" t="s">
        <v>3937</v>
      </c>
      <c r="L871" s="12" t="s">
        <v>72</v>
      </c>
      <c r="M871" s="12" t="str">
        <f>HYPERLINK("https://ceds.ed.gov/cedselementdetails.aspx?termid=17088")</f>
        <v>https://ceds.ed.gov/cedselementdetails.aspx?termid=17088</v>
      </c>
      <c r="N871" s="12" t="str">
        <f>HYPERLINK("https://ceds.ed.gov/elementComment.aspx?elementName=Electronic Mail Address &amp;elementID=17088", "Click here to submit comment")</f>
        <v>Click here to submit comment</v>
      </c>
    </row>
    <row r="872" spans="1:14" ht="409.5" x14ac:dyDescent="0.25">
      <c r="A872" s="12" t="s">
        <v>3938</v>
      </c>
      <c r="B872" s="12" t="s">
        <v>3939</v>
      </c>
      <c r="C872" s="13" t="s">
        <v>3940</v>
      </c>
      <c r="D872" s="12" t="s">
        <v>3933</v>
      </c>
      <c r="E872" s="11"/>
      <c r="F872" s="11"/>
      <c r="G872" s="11"/>
      <c r="H872" s="11"/>
      <c r="I872" s="12" t="s">
        <v>3941</v>
      </c>
      <c r="J872" s="12" t="s">
        <v>3942</v>
      </c>
      <c r="K872" s="12" t="s">
        <v>3943</v>
      </c>
      <c r="L872" s="12" t="s">
        <v>72</v>
      </c>
      <c r="M872" s="12" t="str">
        <f>HYPERLINK("https://ceds.ed.gov/cedselementdetails.aspx?termid=17089")</f>
        <v>https://ceds.ed.gov/cedselementdetails.aspx?termid=17089</v>
      </c>
      <c r="N872" s="12" t="str">
        <f>HYPERLINK("https://ceds.ed.gov/elementComment.aspx?elementName=Electronic Mail Address Type &amp;elementID=17089", "Click here to submit comment")</f>
        <v>Click here to submit comment</v>
      </c>
    </row>
    <row r="873" spans="1:14" ht="89.25" x14ac:dyDescent="0.25">
      <c r="A873" s="12" t="s">
        <v>3944</v>
      </c>
      <c r="B873" s="12" t="s">
        <v>3945</v>
      </c>
      <c r="C873" s="13" t="s">
        <v>3946</v>
      </c>
      <c r="D873" s="12" t="s">
        <v>241</v>
      </c>
      <c r="E873" s="11"/>
      <c r="F873" s="11"/>
      <c r="G873" s="11"/>
      <c r="H873" s="11"/>
      <c r="I873" s="12" t="s">
        <v>3947</v>
      </c>
      <c r="J873" s="11"/>
      <c r="K873" s="12" t="s">
        <v>3948</v>
      </c>
      <c r="L873" s="12" t="s">
        <v>258</v>
      </c>
      <c r="M873" s="12" t="str">
        <f>HYPERLINK("https://ceds.ed.gov/cedselementdetails.aspx?termid=17091")</f>
        <v>https://ceds.ed.gov/cedselementdetails.aspx?termid=17091</v>
      </c>
      <c r="N873" s="12" t="str">
        <f>HYPERLINK("https://ceds.ed.gov/elementComment.aspx?elementName=Elementary-Middle Additional Indicator Status &amp;elementID=17091", "Click here to submit comment")</f>
        <v>Click here to submit comment</v>
      </c>
    </row>
    <row r="874" spans="1:14" ht="25.5" x14ac:dyDescent="0.25">
      <c r="A874" s="12" t="s">
        <v>3949</v>
      </c>
      <c r="B874" s="12" t="s">
        <v>3950</v>
      </c>
      <c r="C874" s="12" t="s">
        <v>37</v>
      </c>
      <c r="D874" s="12" t="s">
        <v>3951</v>
      </c>
      <c r="E874" s="11"/>
      <c r="F874" s="12" t="s">
        <v>135</v>
      </c>
      <c r="G874" s="11"/>
      <c r="H874" s="11"/>
      <c r="I874" s="12" t="s">
        <v>3952</v>
      </c>
      <c r="J874" s="11"/>
      <c r="K874" s="12" t="s">
        <v>3953</v>
      </c>
      <c r="L874" s="11"/>
      <c r="M874" s="12" t="str">
        <f>HYPERLINK("https://ceds.ed.gov/cedselementdetails.aspx?termid=18712")</f>
        <v>https://ceds.ed.gov/cedselementdetails.aspx?termid=18712</v>
      </c>
      <c r="N874" s="12" t="str">
        <f>HYPERLINK("https://ceds.ed.gov/elementComment.aspx?elementName=Eligibility Evaluation Date &amp;elementID=18712", "Click here to submit comment")</f>
        <v>Click here to submit comment</v>
      </c>
    </row>
    <row r="875" spans="1:14" ht="25.5" x14ac:dyDescent="0.25">
      <c r="A875" s="12" t="s">
        <v>3954</v>
      </c>
      <c r="B875" s="12" t="s">
        <v>3955</v>
      </c>
      <c r="C875" s="12" t="s">
        <v>37</v>
      </c>
      <c r="D875" s="12" t="s">
        <v>3951</v>
      </c>
      <c r="E875" s="11"/>
      <c r="F875" s="12" t="s">
        <v>382</v>
      </c>
      <c r="G875" s="11"/>
      <c r="H875" s="11"/>
      <c r="I875" s="12" t="s">
        <v>3956</v>
      </c>
      <c r="J875" s="11"/>
      <c r="K875" s="12" t="s">
        <v>3957</v>
      </c>
      <c r="L875" s="11"/>
      <c r="M875" s="12" t="str">
        <f>HYPERLINK("https://ceds.ed.gov/cedselementdetails.aspx?termid=18711")</f>
        <v>https://ceds.ed.gov/cedselementdetails.aspx?termid=18711</v>
      </c>
      <c r="N875" s="12" t="str">
        <f>HYPERLINK("https://ceds.ed.gov/elementComment.aspx?elementName=Eligibility Evaluation Description &amp;elementID=18711", "Click here to submit comment")</f>
        <v>Click here to submit comment</v>
      </c>
    </row>
    <row r="876" spans="1:14" ht="38.25" x14ac:dyDescent="0.25">
      <c r="A876" s="12" t="s">
        <v>3958</v>
      </c>
      <c r="B876" s="12" t="s">
        <v>3959</v>
      </c>
      <c r="C876" s="12" t="s">
        <v>37</v>
      </c>
      <c r="D876" s="12" t="s">
        <v>3951</v>
      </c>
      <c r="E876" s="11"/>
      <c r="F876" s="12" t="s">
        <v>382</v>
      </c>
      <c r="G876" s="11"/>
      <c r="H876" s="11"/>
      <c r="I876" s="12" t="s">
        <v>3960</v>
      </c>
      <c r="J876" s="11"/>
      <c r="K876" s="12" t="s">
        <v>3961</v>
      </c>
      <c r="L876" s="11"/>
      <c r="M876" s="12" t="str">
        <f>HYPERLINK("https://ceds.ed.gov/cedselementdetails.aspx?termid=18713")</f>
        <v>https://ceds.ed.gov/cedselementdetails.aspx?termid=18713</v>
      </c>
      <c r="N876" s="12" t="str">
        <f>HYPERLINK("https://ceds.ed.gov/elementComment.aspx?elementName=Eligibility Parent Observations Explanation &amp;elementID=18713", "Click here to submit comment")</f>
        <v>Click here to submit comment</v>
      </c>
    </row>
    <row r="877" spans="1:14" ht="25.5" x14ac:dyDescent="0.25">
      <c r="A877" s="12" t="s">
        <v>3962</v>
      </c>
      <c r="B877" s="12" t="s">
        <v>3963</v>
      </c>
      <c r="C877" s="12" t="s">
        <v>37</v>
      </c>
      <c r="D877" s="12" t="s">
        <v>3706</v>
      </c>
      <c r="E877" s="11"/>
      <c r="F877" s="12" t="s">
        <v>874</v>
      </c>
      <c r="G877" s="11"/>
      <c r="H877" s="11"/>
      <c r="I877" s="12" t="s">
        <v>3964</v>
      </c>
      <c r="J877" s="11"/>
      <c r="K877" s="12" t="s">
        <v>3965</v>
      </c>
      <c r="L877" s="11"/>
      <c r="M877" s="12" t="str">
        <f>HYPERLINK("https://ceds.ed.gov/cedselementdetails.aspx?termid=18597")</f>
        <v>https://ceds.ed.gov/cedselementdetails.aspx?termid=18597</v>
      </c>
      <c r="N877" s="12" t="str">
        <f>HYPERLINK("https://ceds.ed.gov/elementComment.aspx?elementName=Eligibility Priority Points &amp;elementID=18597", "Click here to submit comment")</f>
        <v>Click here to submit comment</v>
      </c>
    </row>
    <row r="878" spans="1:14" ht="63.75" x14ac:dyDescent="0.25">
      <c r="A878" s="12" t="s">
        <v>3966</v>
      </c>
      <c r="B878" s="12" t="s">
        <v>3967</v>
      </c>
      <c r="C878" s="13" t="s">
        <v>3968</v>
      </c>
      <c r="D878" s="12" t="s">
        <v>3910</v>
      </c>
      <c r="E878" s="11"/>
      <c r="F878" s="11"/>
      <c r="G878" s="11"/>
      <c r="H878" s="11"/>
      <c r="I878" s="12" t="s">
        <v>3969</v>
      </c>
      <c r="J878" s="11"/>
      <c r="K878" s="12" t="s">
        <v>3970</v>
      </c>
      <c r="L878" s="12" t="s">
        <v>72</v>
      </c>
      <c r="M878" s="12" t="str">
        <f>HYPERLINK("https://ceds.ed.gov/cedselementdetails.aspx?termid=17092")</f>
        <v>https://ceds.ed.gov/cedselementdetails.aspx?termid=17092</v>
      </c>
      <c r="N878" s="12" t="str">
        <f>HYPERLINK("https://ceds.ed.gov/elementComment.aspx?elementName=Eligibility Status for School Food Service Programs &amp;elementID=17092", "Click here to submit comment")</f>
        <v>Click here to submit comment</v>
      </c>
    </row>
    <row r="879" spans="1:14" ht="51" x14ac:dyDescent="0.25">
      <c r="A879" s="12" t="s">
        <v>3971</v>
      </c>
      <c r="B879" s="12" t="s">
        <v>3972</v>
      </c>
      <c r="C879" s="12" t="s">
        <v>24</v>
      </c>
      <c r="D879" s="12" t="s">
        <v>3973</v>
      </c>
      <c r="E879" s="11"/>
      <c r="F879" s="11"/>
      <c r="G879" s="11"/>
      <c r="H879" s="11"/>
      <c r="I879" s="12" t="s">
        <v>3974</v>
      </c>
      <c r="J879" s="11"/>
      <c r="K879" s="12" t="s">
        <v>3975</v>
      </c>
      <c r="L879" s="11"/>
      <c r="M879" s="12" t="str">
        <f>HYPERLINK("https://ceds.ed.gov/cedselementdetails.aspx?termid=18308")</f>
        <v>https://ceds.ed.gov/cedselementdetails.aspx?termid=18308</v>
      </c>
      <c r="N879" s="12" t="str">
        <f>HYPERLINK("https://ceds.ed.gov/elementComment.aspx?elementName=Emergency Contact Indicator &amp;elementID=18308", "Click here to submit comment")</f>
        <v>Click here to submit comment</v>
      </c>
    </row>
    <row r="880" spans="1:14" ht="204" x14ac:dyDescent="0.25">
      <c r="A880" s="12" t="s">
        <v>3976</v>
      </c>
      <c r="B880" s="12" t="s">
        <v>3977</v>
      </c>
      <c r="C880" s="12" t="s">
        <v>3978</v>
      </c>
      <c r="D880" s="12" t="s">
        <v>3979</v>
      </c>
      <c r="E880" s="11"/>
      <c r="F880" s="11"/>
      <c r="G880" s="11"/>
      <c r="H880" s="12" t="s">
        <v>3980</v>
      </c>
      <c r="I880" s="12" t="s">
        <v>3981</v>
      </c>
      <c r="J880" s="11"/>
      <c r="K880" s="12" t="s">
        <v>3982</v>
      </c>
      <c r="L880" s="12" t="s">
        <v>3983</v>
      </c>
      <c r="M880" s="12" t="str">
        <f>HYPERLINK("https://ceds.ed.gov/cedselementdetails.aspx?termid=17990")</f>
        <v>https://ceds.ed.gov/cedselementdetails.aspx?termid=17990</v>
      </c>
      <c r="N880" s="12" t="str">
        <f>HYPERLINK("https://ceds.ed.gov/elementComment.aspx?elementName=Employed After Exit &amp;elementID=17990", "Click here to submit comment")</f>
        <v>Click here to submit comment</v>
      </c>
    </row>
    <row r="881" spans="1:14" ht="165.75" x14ac:dyDescent="0.25">
      <c r="A881" s="12" t="s">
        <v>3984</v>
      </c>
      <c r="B881" s="12" t="s">
        <v>3985</v>
      </c>
      <c r="C881" s="12" t="s">
        <v>3978</v>
      </c>
      <c r="D881" s="12" t="s">
        <v>3986</v>
      </c>
      <c r="E881" s="11"/>
      <c r="F881" s="11"/>
      <c r="G881" s="11"/>
      <c r="H881" s="12" t="s">
        <v>3987</v>
      </c>
      <c r="I881" s="12" t="s">
        <v>3988</v>
      </c>
      <c r="J881" s="11"/>
      <c r="K881" s="12" t="s">
        <v>3989</v>
      </c>
      <c r="L881" s="11"/>
      <c r="M881" s="12" t="str">
        <f>HYPERLINK("https://ceds.ed.gov/cedselementdetails.aspx?termid=18309")</f>
        <v>https://ceds.ed.gov/cedselementdetails.aspx?termid=18309</v>
      </c>
      <c r="N881" s="12" t="str">
        <f>HYPERLINK("https://ceds.ed.gov/elementComment.aspx?elementName=Employed Prior to Enrollment &amp;elementID=18309", "Click here to submit comment")</f>
        <v>Click here to submit comment</v>
      </c>
    </row>
    <row r="882" spans="1:14" ht="165.75" x14ac:dyDescent="0.25">
      <c r="A882" s="12" t="s">
        <v>3990</v>
      </c>
      <c r="B882" s="12" t="s">
        <v>3991</v>
      </c>
      <c r="C882" s="12" t="s">
        <v>3978</v>
      </c>
      <c r="D882" s="12" t="s">
        <v>3979</v>
      </c>
      <c r="E882" s="11"/>
      <c r="F882" s="11"/>
      <c r="G882" s="11"/>
      <c r="H882" s="12" t="s">
        <v>3992</v>
      </c>
      <c r="I882" s="12" t="s">
        <v>3993</v>
      </c>
      <c r="J882" s="11"/>
      <c r="K882" s="12" t="s">
        <v>3994</v>
      </c>
      <c r="L882" s="12" t="s">
        <v>3983</v>
      </c>
      <c r="M882" s="12" t="str">
        <f>HYPERLINK("https://ceds.ed.gov/cedselementdetails.aspx?termid=17989")</f>
        <v>https://ceds.ed.gov/cedselementdetails.aspx?termid=17989</v>
      </c>
      <c r="N882" s="12" t="str">
        <f>HYPERLINK("https://ceds.ed.gov/elementComment.aspx?elementName=Employed While Enrolled &amp;elementID=17989", "Click here to submit comment")</f>
        <v>Click here to submit comment</v>
      </c>
    </row>
    <row r="883" spans="1:14" ht="204" x14ac:dyDescent="0.25">
      <c r="A883" s="12" t="s">
        <v>3995</v>
      </c>
      <c r="B883" s="12" t="s">
        <v>3996</v>
      </c>
      <c r="C883" s="12" t="s">
        <v>37</v>
      </c>
      <c r="D883" s="12" t="s">
        <v>3997</v>
      </c>
      <c r="E883" s="11"/>
      <c r="F883" s="12" t="s">
        <v>135</v>
      </c>
      <c r="G883" s="11"/>
      <c r="H883" s="12" t="s">
        <v>160</v>
      </c>
      <c r="I883" s="12" t="s">
        <v>3998</v>
      </c>
      <c r="J883" s="11"/>
      <c r="K883" s="12" t="s">
        <v>3999</v>
      </c>
      <c r="L883" s="12" t="s">
        <v>238</v>
      </c>
      <c r="M883" s="12" t="str">
        <f>HYPERLINK("https://ceds.ed.gov/cedselementdetails.aspx?termid=17794")</f>
        <v>https://ceds.ed.gov/cedselementdetails.aspx?termid=17794</v>
      </c>
      <c r="N883" s="12" t="str">
        <f>HYPERLINK("https://ceds.ed.gov/elementComment.aspx?elementName=Employment End Date &amp;elementID=17794", "Click here to submit comment")</f>
        <v>Click here to submit comment</v>
      </c>
    </row>
    <row r="884" spans="1:14" ht="409.5" x14ac:dyDescent="0.25">
      <c r="A884" s="12" t="s">
        <v>4000</v>
      </c>
      <c r="B884" s="12" t="s">
        <v>4001</v>
      </c>
      <c r="C884" s="13" t="s">
        <v>4002</v>
      </c>
      <c r="D884" s="12" t="s">
        <v>3986</v>
      </c>
      <c r="E884" s="11"/>
      <c r="F884" s="11"/>
      <c r="G884" s="11"/>
      <c r="H884" s="12" t="s">
        <v>4003</v>
      </c>
      <c r="I884" s="12" t="s">
        <v>4004</v>
      </c>
      <c r="J884" s="11"/>
      <c r="K884" s="12" t="s">
        <v>4005</v>
      </c>
      <c r="L884" s="11"/>
      <c r="M884" s="12" t="str">
        <f>HYPERLINK("https://ceds.ed.gov/cedselementdetails.aspx?termid=17992")</f>
        <v>https://ceds.ed.gov/cedselementdetails.aspx?termid=17992</v>
      </c>
      <c r="N884" s="12" t="str">
        <f>HYPERLINK("https://ceds.ed.gov/elementComment.aspx?elementName=Employment Location &amp;elementID=17992", "Click here to submit comment")</f>
        <v>Click here to submit comment</v>
      </c>
    </row>
    <row r="885" spans="1:14" ht="153" x14ac:dyDescent="0.25">
      <c r="A885" s="12" t="s">
        <v>4006</v>
      </c>
      <c r="B885" s="12" t="s">
        <v>4007</v>
      </c>
      <c r="C885" s="12" t="s">
        <v>3259</v>
      </c>
      <c r="D885" s="12" t="s">
        <v>4008</v>
      </c>
      <c r="E885" s="11"/>
      <c r="F885" s="12" t="s">
        <v>3260</v>
      </c>
      <c r="G885" s="11"/>
      <c r="H885" s="11"/>
      <c r="I885" s="12" t="s">
        <v>4009</v>
      </c>
      <c r="J885" s="11"/>
      <c r="K885" s="12" t="s">
        <v>4010</v>
      </c>
      <c r="L885" s="11"/>
      <c r="M885" s="12" t="str">
        <f>HYPERLINK("https://ceds.ed.gov/cedselementdetails.aspx?termid=18070")</f>
        <v>https://ceds.ed.gov/cedselementdetails.aspx?termid=18070</v>
      </c>
      <c r="N885" s="12" t="str">
        <f>HYPERLINK("https://ceds.ed.gov/elementComment.aspx?elementName=Employment NAICS Code &amp;elementID=18070", "Click here to submit comment")</f>
        <v>Click here to submit comment</v>
      </c>
    </row>
    <row r="886" spans="1:14" ht="204" x14ac:dyDescent="0.25">
      <c r="A886" s="12" t="s">
        <v>4011</v>
      </c>
      <c r="B886" s="12" t="s">
        <v>4012</v>
      </c>
      <c r="C886" s="13" t="s">
        <v>4013</v>
      </c>
      <c r="D886" s="12" t="s">
        <v>3986</v>
      </c>
      <c r="E886" s="11"/>
      <c r="F886" s="11"/>
      <c r="G886" s="11"/>
      <c r="H886" s="12" t="s">
        <v>4014</v>
      </c>
      <c r="I886" s="12" t="s">
        <v>4015</v>
      </c>
      <c r="J886" s="11"/>
      <c r="K886" s="12" t="s">
        <v>4016</v>
      </c>
      <c r="L886" s="11"/>
      <c r="M886" s="12" t="str">
        <f>HYPERLINK("https://ceds.ed.gov/cedselementdetails.aspx?termid=17996")</f>
        <v>https://ceds.ed.gov/cedselementdetails.aspx?termid=17996</v>
      </c>
      <c r="N886" s="12" t="str">
        <f>HYPERLINK("https://ceds.ed.gov/elementComment.aspx?elementName=Employment Record Administrative Data Source &amp;elementID=17996", "Click here to submit comment")</f>
        <v>Click here to submit comment</v>
      </c>
    </row>
    <row r="887" spans="1:14" ht="267.75" x14ac:dyDescent="0.25">
      <c r="A887" s="12" t="s">
        <v>4017</v>
      </c>
      <c r="B887" s="12" t="s">
        <v>4018</v>
      </c>
      <c r="C887" s="12" t="s">
        <v>37</v>
      </c>
      <c r="D887" s="12" t="s">
        <v>3986</v>
      </c>
      <c r="E887" s="11"/>
      <c r="F887" s="12" t="s">
        <v>135</v>
      </c>
      <c r="G887" s="11"/>
      <c r="H887" s="12" t="s">
        <v>4019</v>
      </c>
      <c r="I887" s="12" t="s">
        <v>4020</v>
      </c>
      <c r="J887" s="11"/>
      <c r="K887" s="12" t="s">
        <v>4021</v>
      </c>
      <c r="L887" s="11"/>
      <c r="M887" s="12" t="str">
        <f>HYPERLINK("https://ceds.ed.gov/cedselementdetails.aspx?termid=17995")</f>
        <v>https://ceds.ed.gov/cedselementdetails.aspx?termid=17995</v>
      </c>
      <c r="N887" s="12" t="str">
        <f>HYPERLINK("https://ceds.ed.gov/elementComment.aspx?elementName=Employment Record Reference Period End Date &amp;elementID=17995", "Click here to submit comment")</f>
        <v>Click here to submit comment</v>
      </c>
    </row>
    <row r="888" spans="1:14" ht="267.75" x14ac:dyDescent="0.25">
      <c r="A888" s="12" t="s">
        <v>4022</v>
      </c>
      <c r="B888" s="12" t="s">
        <v>4023</v>
      </c>
      <c r="C888" s="12" t="s">
        <v>37</v>
      </c>
      <c r="D888" s="12" t="s">
        <v>3986</v>
      </c>
      <c r="E888" s="11"/>
      <c r="F888" s="12" t="s">
        <v>135</v>
      </c>
      <c r="G888" s="11"/>
      <c r="H888" s="12" t="s">
        <v>4024</v>
      </c>
      <c r="I888" s="12" t="s">
        <v>4025</v>
      </c>
      <c r="J888" s="11"/>
      <c r="K888" s="12" t="s">
        <v>4026</v>
      </c>
      <c r="L888" s="11"/>
      <c r="M888" s="12" t="str">
        <f>HYPERLINK("https://ceds.ed.gov/cedselementdetails.aspx?termid=17994")</f>
        <v>https://ceds.ed.gov/cedselementdetails.aspx?termid=17994</v>
      </c>
      <c r="N888" s="12" t="str">
        <f>HYPERLINK("https://ceds.ed.gov/elementComment.aspx?elementName=Employment Record Reference Period Start Date &amp;elementID=17994", "Click here to submit comment")</f>
        <v>Click here to submit comment</v>
      </c>
    </row>
    <row r="889" spans="1:14" ht="318.75" x14ac:dyDescent="0.25">
      <c r="A889" s="12" t="s">
        <v>4027</v>
      </c>
      <c r="B889" s="12" t="s">
        <v>3763</v>
      </c>
      <c r="C889" s="13" t="s">
        <v>3764</v>
      </c>
      <c r="D889" s="12" t="s">
        <v>4028</v>
      </c>
      <c r="E889" s="12" t="s">
        <v>195</v>
      </c>
      <c r="F889" s="11"/>
      <c r="G889" s="12" t="s">
        <v>2856</v>
      </c>
      <c r="H889" s="11"/>
      <c r="I889" s="12" t="s">
        <v>4029</v>
      </c>
      <c r="J889" s="11"/>
      <c r="K889" s="12" t="s">
        <v>4030</v>
      </c>
      <c r="L889" s="11"/>
      <c r="M889" s="12" t="str">
        <f>HYPERLINK("https://ceds.ed.gov/cedselementdetails.aspx?termid=17613")</f>
        <v>https://ceds.ed.gov/cedselementdetails.aspx?termid=17613</v>
      </c>
      <c r="N889" s="12" t="str">
        <f>HYPERLINK("https://ceds.ed.gov/elementComment.aspx?elementName=Employment Separation Reason &amp;elementID=17613", "Click here to submit comment")</f>
        <v>Click here to submit comment</v>
      </c>
    </row>
    <row r="890" spans="1:14" ht="63.75" x14ac:dyDescent="0.25">
      <c r="A890" s="12" t="s">
        <v>4031</v>
      </c>
      <c r="B890" s="12" t="s">
        <v>4032</v>
      </c>
      <c r="C890" s="13" t="s">
        <v>4033</v>
      </c>
      <c r="D890" s="12" t="s">
        <v>4034</v>
      </c>
      <c r="E890" s="11"/>
      <c r="F890" s="11"/>
      <c r="G890" s="11"/>
      <c r="H890" s="11"/>
      <c r="I890" s="12" t="s">
        <v>4035</v>
      </c>
      <c r="J890" s="11"/>
      <c r="K890" s="12" t="s">
        <v>4036</v>
      </c>
      <c r="L890" s="11"/>
      <c r="M890" s="12" t="str">
        <f>HYPERLINK("https://ceds.ed.gov/cedselementdetails.aspx?termid=17614")</f>
        <v>https://ceds.ed.gov/cedselementdetails.aspx?termid=17614</v>
      </c>
      <c r="N890" s="12" t="str">
        <f>HYPERLINK("https://ceds.ed.gov/elementComment.aspx?elementName=Employment Separation Type &amp;elementID=17614", "Click here to submit comment")</f>
        <v>Click here to submit comment</v>
      </c>
    </row>
    <row r="891" spans="1:14" ht="204" x14ac:dyDescent="0.25">
      <c r="A891" s="12" t="s">
        <v>4037</v>
      </c>
      <c r="B891" s="12" t="s">
        <v>4038</v>
      </c>
      <c r="C891" s="12" t="s">
        <v>37</v>
      </c>
      <c r="D891" s="12" t="s">
        <v>3997</v>
      </c>
      <c r="E891" s="11"/>
      <c r="F891" s="12" t="s">
        <v>135</v>
      </c>
      <c r="G891" s="11"/>
      <c r="H891" s="11"/>
      <c r="I891" s="12" t="s">
        <v>4039</v>
      </c>
      <c r="J891" s="11"/>
      <c r="K891" s="12" t="s">
        <v>4040</v>
      </c>
      <c r="L891" s="12" t="s">
        <v>4041</v>
      </c>
      <c r="M891" s="12" t="str">
        <f>HYPERLINK("https://ceds.ed.gov/cedselementdetails.aspx?termid=17345")</f>
        <v>https://ceds.ed.gov/cedselementdetails.aspx?termid=17345</v>
      </c>
      <c r="N891" s="12" t="str">
        <f>HYPERLINK("https://ceds.ed.gov/elementComment.aspx?elementName=Employment Start Date &amp;elementID=17345", "Click here to submit comment")</f>
        <v>Click here to submit comment</v>
      </c>
    </row>
    <row r="892" spans="1:14" ht="178.5" x14ac:dyDescent="0.25">
      <c r="A892" s="12" t="s">
        <v>4042</v>
      </c>
      <c r="B892" s="12" t="s">
        <v>342</v>
      </c>
      <c r="C892" s="13" t="s">
        <v>4043</v>
      </c>
      <c r="D892" s="12" t="s">
        <v>4034</v>
      </c>
      <c r="E892" s="11"/>
      <c r="F892" s="11"/>
      <c r="G892" s="11"/>
      <c r="H892" s="11"/>
      <c r="I892" s="12" t="s">
        <v>4044</v>
      </c>
      <c r="J892" s="11"/>
      <c r="K892" s="12" t="s">
        <v>4045</v>
      </c>
      <c r="L892" s="12" t="s">
        <v>3474</v>
      </c>
      <c r="M892" s="12" t="str">
        <f>HYPERLINK("https://ceds.ed.gov/cedselementdetails.aspx?termid=17346")</f>
        <v>https://ceds.ed.gov/cedselementdetails.aspx?termid=17346</v>
      </c>
      <c r="N892" s="12" t="str">
        <f>HYPERLINK("https://ceds.ed.gov/elementComment.aspx?elementName=Employment Status &amp;elementID=17346", "Click here to submit comment")</f>
        <v>Click here to submit comment</v>
      </c>
    </row>
    <row r="893" spans="1:14" ht="51" x14ac:dyDescent="0.25">
      <c r="A893" s="12" t="s">
        <v>4046</v>
      </c>
      <c r="B893" s="12" t="s">
        <v>4047</v>
      </c>
      <c r="C893" s="13" t="s">
        <v>4048</v>
      </c>
      <c r="D893" s="12" t="s">
        <v>4049</v>
      </c>
      <c r="E893" s="11"/>
      <c r="F893" s="11"/>
      <c r="G893" s="11"/>
      <c r="H893" s="11"/>
      <c r="I893" s="12" t="s">
        <v>4050</v>
      </c>
      <c r="J893" s="11"/>
      <c r="K893" s="12" t="s">
        <v>4051</v>
      </c>
      <c r="L893" s="11"/>
      <c r="M893" s="12" t="str">
        <f>HYPERLINK("https://ceds.ed.gov/cedselementdetails.aspx?termid=18310")</f>
        <v>https://ceds.ed.gov/cedselementdetails.aspx?termid=18310</v>
      </c>
      <c r="N893" s="12" t="str">
        <f>HYPERLINK("https://ceds.ed.gov/elementComment.aspx?elementName=Employment Status While Enrolled &amp;elementID=18310", "Click here to submit comment")</f>
        <v>Click here to submit comment</v>
      </c>
    </row>
    <row r="894" spans="1:14" ht="38.25" x14ac:dyDescent="0.25">
      <c r="A894" s="12" t="s">
        <v>4052</v>
      </c>
      <c r="B894" s="12" t="s">
        <v>4053</v>
      </c>
      <c r="C894" s="13" t="s">
        <v>4054</v>
      </c>
      <c r="D894" s="12" t="s">
        <v>69</v>
      </c>
      <c r="E894" s="11"/>
      <c r="F894" s="11"/>
      <c r="G894" s="11"/>
      <c r="H894" s="11"/>
      <c r="I894" s="12" t="s">
        <v>4055</v>
      </c>
      <c r="J894" s="11"/>
      <c r="K894" s="12" t="s">
        <v>4056</v>
      </c>
      <c r="L894" s="12" t="s">
        <v>28</v>
      </c>
      <c r="M894" s="12" t="str">
        <f>HYPERLINK("https://ceds.ed.gov/cedselementdetails.aspx?termid=17093")</f>
        <v>https://ceds.ed.gov/cedselementdetails.aspx?termid=17093</v>
      </c>
      <c r="N894" s="12" t="str">
        <f>HYPERLINK("https://ceds.ed.gov/elementComment.aspx?elementName=End of Term Status &amp;elementID=17093", "Click here to submit comment")</f>
        <v>Click here to submit comment</v>
      </c>
    </row>
    <row r="895" spans="1:14" ht="38.25" x14ac:dyDescent="0.25">
      <c r="A895" s="12" t="s">
        <v>4057</v>
      </c>
      <c r="B895" s="12" t="s">
        <v>4058</v>
      </c>
      <c r="C895" s="12" t="s">
        <v>37</v>
      </c>
      <c r="D895" s="12" t="s">
        <v>4059</v>
      </c>
      <c r="E895" s="11"/>
      <c r="F895" s="11"/>
      <c r="G895" s="11"/>
      <c r="H895" s="11"/>
      <c r="I895" s="12" t="s">
        <v>4060</v>
      </c>
      <c r="J895" s="11"/>
      <c r="K895" s="12" t="s">
        <v>4061</v>
      </c>
      <c r="L895" s="11"/>
      <c r="M895" s="12" t="str">
        <f>HYPERLINK("https://ceds.ed.gov/cedselementdetails.aspx?termid=18901")</f>
        <v>https://ceds.ed.gov/cedselementdetails.aspx?termid=18901</v>
      </c>
      <c r="N895" s="12" t="str">
        <f>HYPERLINK("https://ceds.ed.gov/elementComment.aspx?elementName=End Time &amp;elementID=18901", "Click here to submit comment")</f>
        <v>Click here to submit comment</v>
      </c>
    </row>
    <row r="896" spans="1:14" ht="51" x14ac:dyDescent="0.25">
      <c r="A896" s="12" t="s">
        <v>4062</v>
      </c>
      <c r="B896" s="12" t="s">
        <v>4063</v>
      </c>
      <c r="C896" s="12" t="s">
        <v>37</v>
      </c>
      <c r="D896" s="11"/>
      <c r="E896" s="12" t="s">
        <v>4064</v>
      </c>
      <c r="F896" s="12" t="s">
        <v>135</v>
      </c>
      <c r="G896" s="12" t="s">
        <v>4065</v>
      </c>
      <c r="H896" s="12" t="s">
        <v>160</v>
      </c>
      <c r="I896" s="12" t="s">
        <v>4066</v>
      </c>
      <c r="J896" s="12" t="s">
        <v>4067</v>
      </c>
      <c r="K896" s="12" t="s">
        <v>4068</v>
      </c>
      <c r="L896" s="12" t="s">
        <v>258</v>
      </c>
      <c r="M896" s="12" t="str">
        <f>HYPERLINK("https://ceds.ed.gov/cedselementdetails.aspx?termid=17562")</f>
        <v>https://ceds.ed.gov/cedselementdetails.aspx?termid=17562</v>
      </c>
      <c r="N896" s="12" t="str">
        <f>HYPERLINK("https://ceds.ed.gov/elementComment.aspx?elementName=English Learner Exit Date &amp;elementID=17562", "Click here to submit comment")</f>
        <v>Click here to submit comment</v>
      </c>
    </row>
    <row r="897" spans="1:14" ht="369.75" x14ac:dyDescent="0.25">
      <c r="A897" s="12" t="s">
        <v>4069</v>
      </c>
      <c r="B897" s="12" t="s">
        <v>4070</v>
      </c>
      <c r="C897" s="12" t="s">
        <v>24</v>
      </c>
      <c r="D897" s="12" t="s">
        <v>4071</v>
      </c>
      <c r="E897" s="11"/>
      <c r="F897" s="11"/>
      <c r="G897" s="11"/>
      <c r="H897" s="12" t="s">
        <v>4072</v>
      </c>
      <c r="I897" s="12" t="s">
        <v>4073</v>
      </c>
      <c r="J897" s="12" t="s">
        <v>4074</v>
      </c>
      <c r="K897" s="12" t="s">
        <v>4075</v>
      </c>
      <c r="L897" s="12" t="s">
        <v>2157</v>
      </c>
      <c r="M897" s="12" t="str">
        <f>HYPERLINK("https://ceds.ed.gov/cedselementdetails.aspx?termid=17180")</f>
        <v>https://ceds.ed.gov/cedselementdetails.aspx?termid=17180</v>
      </c>
      <c r="N897" s="12" t="str">
        <f>HYPERLINK("https://ceds.ed.gov/elementComment.aspx?elementName=English Learner Status &amp;elementID=17180", "Click here to submit comment")</f>
        <v>Click here to submit comment</v>
      </c>
    </row>
    <row r="898" spans="1:14" ht="51" x14ac:dyDescent="0.25">
      <c r="A898" s="12" t="s">
        <v>4076</v>
      </c>
      <c r="B898" s="12" t="s">
        <v>4077</v>
      </c>
      <c r="C898" s="12" t="s">
        <v>37</v>
      </c>
      <c r="D898" s="12" t="s">
        <v>4078</v>
      </c>
      <c r="E898" s="11"/>
      <c r="F898" s="12" t="s">
        <v>135</v>
      </c>
      <c r="G898" s="11"/>
      <c r="H898" s="11"/>
      <c r="I898" s="12" t="s">
        <v>4079</v>
      </c>
      <c r="J898" s="11"/>
      <c r="K898" s="12" t="s">
        <v>4080</v>
      </c>
      <c r="L898" s="12" t="s">
        <v>467</v>
      </c>
      <c r="M898" s="12" t="str">
        <f>HYPERLINK("https://ceds.ed.gov/cedselementdetails.aspx?termid=17324")</f>
        <v>https://ceds.ed.gov/cedselementdetails.aspx?termid=17324</v>
      </c>
      <c r="N898" s="12" t="str">
        <f>HYPERLINK("https://ceds.ed.gov/elementComment.aspx?elementName=Enrollment Date &amp;elementID=17324", "Click here to submit comment")</f>
        <v>Click here to submit comment</v>
      </c>
    </row>
    <row r="899" spans="1:14" ht="127.5" x14ac:dyDescent="0.25">
      <c r="A899" s="12" t="s">
        <v>4081</v>
      </c>
      <c r="B899" s="12" t="s">
        <v>4082</v>
      </c>
      <c r="C899" s="12" t="s">
        <v>37</v>
      </c>
      <c r="D899" s="12" t="s">
        <v>4083</v>
      </c>
      <c r="E899" s="11"/>
      <c r="F899" s="12" t="s">
        <v>135</v>
      </c>
      <c r="G899" s="11"/>
      <c r="H899" s="11"/>
      <c r="I899" s="12" t="s">
        <v>4084</v>
      </c>
      <c r="J899" s="11"/>
      <c r="K899" s="12" t="s">
        <v>4085</v>
      </c>
      <c r="L899" s="12" t="s">
        <v>4086</v>
      </c>
      <c r="M899" s="12" t="str">
        <f>HYPERLINK("https://ceds.ed.gov/cedselementdetails.aspx?termid=17097")</f>
        <v>https://ceds.ed.gov/cedselementdetails.aspx?termid=17097</v>
      </c>
      <c r="N899" s="12" t="str">
        <f>HYPERLINK("https://ceds.ed.gov/elementComment.aspx?elementName=Enrollment Entry Date &amp;elementID=17097", "Click here to submit comment")</f>
        <v>Click here to submit comment</v>
      </c>
    </row>
    <row r="900" spans="1:14" ht="114.75" x14ac:dyDescent="0.25">
      <c r="A900" s="12" t="s">
        <v>4087</v>
      </c>
      <c r="B900" s="12" t="s">
        <v>4088</v>
      </c>
      <c r="C900" s="12" t="s">
        <v>37</v>
      </c>
      <c r="D900" s="12" t="s">
        <v>4089</v>
      </c>
      <c r="E900" s="11"/>
      <c r="F900" s="12" t="s">
        <v>135</v>
      </c>
      <c r="G900" s="11"/>
      <c r="H900" s="12" t="s">
        <v>160</v>
      </c>
      <c r="I900" s="12" t="s">
        <v>4090</v>
      </c>
      <c r="J900" s="11"/>
      <c r="K900" s="12" t="s">
        <v>4091</v>
      </c>
      <c r="L900" s="12" t="s">
        <v>65</v>
      </c>
      <c r="M900" s="12" t="str">
        <f>HYPERLINK("https://ceds.ed.gov/cedselementdetails.aspx?termid=17107")</f>
        <v>https://ceds.ed.gov/cedselementdetails.aspx?termid=17107</v>
      </c>
      <c r="N900" s="12" t="str">
        <f>HYPERLINK("https://ceds.ed.gov/elementComment.aspx?elementName=Enrollment Exit Date &amp;elementID=17107", "Click here to submit comment")</f>
        <v>Click here to submit comment</v>
      </c>
    </row>
    <row r="901" spans="1:14" ht="216.75" x14ac:dyDescent="0.25">
      <c r="A901" s="12" t="s">
        <v>4092</v>
      </c>
      <c r="B901" s="12" t="s">
        <v>4093</v>
      </c>
      <c r="C901" s="13" t="s">
        <v>45</v>
      </c>
      <c r="D901" s="12" t="s">
        <v>4094</v>
      </c>
      <c r="E901" s="11"/>
      <c r="F901" s="11"/>
      <c r="G901" s="11"/>
      <c r="H901" s="11"/>
      <c r="I901" s="12" t="s">
        <v>4095</v>
      </c>
      <c r="J901" s="11"/>
      <c r="K901" s="12" t="s">
        <v>4096</v>
      </c>
      <c r="L901" s="12" t="s">
        <v>225</v>
      </c>
      <c r="M901" s="12" t="str">
        <f>HYPERLINK("https://ceds.ed.gov/cedselementdetails.aspx?termid=17360")</f>
        <v>https://ceds.ed.gov/cedselementdetails.aspx?termid=17360</v>
      </c>
      <c r="N901" s="12" t="str">
        <f>HYPERLINK("https://ceds.ed.gov/elementComment.aspx?elementName=Enrollment in Postsecondary Award Type &amp;elementID=17360", "Click here to submit comment")</f>
        <v>Click here to submit comment</v>
      </c>
    </row>
    <row r="902" spans="1:14" ht="63.75" x14ac:dyDescent="0.25">
      <c r="A902" s="12" t="s">
        <v>4097</v>
      </c>
      <c r="B902" s="12" t="s">
        <v>4098</v>
      </c>
      <c r="C902" s="13" t="s">
        <v>4099</v>
      </c>
      <c r="D902" s="12" t="s">
        <v>3635</v>
      </c>
      <c r="E902" s="11"/>
      <c r="F902" s="11"/>
      <c r="G902" s="11"/>
      <c r="H902" s="11"/>
      <c r="I902" s="12" t="s">
        <v>4100</v>
      </c>
      <c r="J902" s="11"/>
      <c r="K902" s="12" t="s">
        <v>4101</v>
      </c>
      <c r="L902" s="12" t="s">
        <v>258</v>
      </c>
      <c r="M902" s="12" t="str">
        <f>HYPERLINK("https://ceds.ed.gov/cedselementdetails.aspx?termid=17094")</f>
        <v>https://ceds.ed.gov/cedselementdetails.aspx?termid=17094</v>
      </c>
      <c r="N902" s="12" t="str">
        <f>HYPERLINK("https://ceds.ed.gov/elementComment.aspx?elementName=Enrollment Status &amp;elementID=17094", "Click here to submit comment")</f>
        <v>Click here to submit comment</v>
      </c>
    </row>
    <row r="903" spans="1:14" ht="63.75" x14ac:dyDescent="0.25">
      <c r="A903" s="12" t="s">
        <v>4102</v>
      </c>
      <c r="B903" s="12" t="s">
        <v>4103</v>
      </c>
      <c r="C903" s="12" t="s">
        <v>37</v>
      </c>
      <c r="D903" s="12" t="s">
        <v>2402</v>
      </c>
      <c r="E903" s="11"/>
      <c r="F903" s="12" t="s">
        <v>135</v>
      </c>
      <c r="G903" s="11"/>
      <c r="H903" s="11"/>
      <c r="I903" s="12" t="s">
        <v>4104</v>
      </c>
      <c r="J903" s="11"/>
      <c r="K903" s="12" t="s">
        <v>4105</v>
      </c>
      <c r="L903" s="12" t="s">
        <v>4106</v>
      </c>
      <c r="M903" s="12" t="str">
        <f>HYPERLINK("https://ceds.ed.gov/cedselementdetails.aspx?termid=17098")</f>
        <v>https://ceds.ed.gov/cedselementdetails.aspx?termid=17098</v>
      </c>
      <c r="N903" s="12" t="str">
        <f>HYPERLINK("https://ceds.ed.gov/elementComment.aspx?elementName=Entry Date into Postsecondary &amp;elementID=17098", "Click here to submit comment")</f>
        <v>Click here to submit comment</v>
      </c>
    </row>
    <row r="904" spans="1:14" ht="293.25" x14ac:dyDescent="0.25">
      <c r="A904" s="12" t="s">
        <v>4107</v>
      </c>
      <c r="B904" s="12" t="s">
        <v>4108</v>
      </c>
      <c r="C904" s="13" t="s">
        <v>4109</v>
      </c>
      <c r="D904" s="12" t="s">
        <v>4110</v>
      </c>
      <c r="E904" s="12" t="s">
        <v>195</v>
      </c>
      <c r="F904" s="11"/>
      <c r="G904" s="12" t="s">
        <v>2266</v>
      </c>
      <c r="H904" s="11"/>
      <c r="I904" s="12" t="s">
        <v>4111</v>
      </c>
      <c r="J904" s="11"/>
      <c r="K904" s="12" t="s">
        <v>4112</v>
      </c>
      <c r="L904" s="12" t="s">
        <v>2157</v>
      </c>
      <c r="M904" s="12" t="str">
        <f>HYPERLINK("https://ceds.ed.gov/cedselementdetails.aspx?termid=17100")</f>
        <v>https://ceds.ed.gov/cedselementdetails.aspx?termid=17100</v>
      </c>
      <c r="N904" s="12" t="str">
        <f>HYPERLINK("https://ceds.ed.gov/elementComment.aspx?elementName=Entry Grade Level &amp;elementID=17100", "Click here to submit comment")</f>
        <v>Click here to submit comment</v>
      </c>
    </row>
    <row r="905" spans="1:14" ht="409.5" x14ac:dyDescent="0.25">
      <c r="A905" s="12" t="s">
        <v>4113</v>
      </c>
      <c r="B905" s="12" t="s">
        <v>4114</v>
      </c>
      <c r="C905" s="13" t="s">
        <v>4115</v>
      </c>
      <c r="D905" s="12" t="s">
        <v>3635</v>
      </c>
      <c r="E905" s="11"/>
      <c r="F905" s="11"/>
      <c r="G905" s="11"/>
      <c r="H905" s="11"/>
      <c r="I905" s="12" t="s">
        <v>4116</v>
      </c>
      <c r="J905" s="11"/>
      <c r="K905" s="12" t="s">
        <v>4117</v>
      </c>
      <c r="L905" s="12" t="s">
        <v>72</v>
      </c>
      <c r="M905" s="12" t="str">
        <f>HYPERLINK("https://ceds.ed.gov/cedselementdetails.aspx?termid=17099")</f>
        <v>https://ceds.ed.gov/cedselementdetails.aspx?termid=17099</v>
      </c>
      <c r="N905" s="12" t="str">
        <f>HYPERLINK("https://ceds.ed.gov/elementComment.aspx?elementName=Entry Type &amp;elementID=17099", "Click here to submit comment")</f>
        <v>Click here to submit comment</v>
      </c>
    </row>
    <row r="906" spans="1:14" ht="280.5" x14ac:dyDescent="0.25">
      <c r="A906" s="12" t="s">
        <v>4118</v>
      </c>
      <c r="B906" s="12" t="s">
        <v>4119</v>
      </c>
      <c r="C906" s="13" t="s">
        <v>4120</v>
      </c>
      <c r="D906" s="12" t="s">
        <v>4110</v>
      </c>
      <c r="E906" s="11"/>
      <c r="F906" s="11"/>
      <c r="G906" s="11"/>
      <c r="H906" s="11"/>
      <c r="I906" s="12" t="s">
        <v>4121</v>
      </c>
      <c r="J906" s="11"/>
      <c r="K906" s="12" t="s">
        <v>4122</v>
      </c>
      <c r="L906" s="11"/>
      <c r="M906" s="12" t="str">
        <f>HYPERLINK("https://ceds.ed.gov/cedselementdetails.aspx?termid=18177")</f>
        <v>https://ceds.ed.gov/cedselementdetails.aspx?termid=18177</v>
      </c>
      <c r="N906" s="12" t="str">
        <f>HYPERLINK("https://ceds.ed.gov/elementComment.aspx?elementName=Exit Grade Level &amp;elementID=18177", "Click here to submit comment")</f>
        <v>Click here to submit comment</v>
      </c>
    </row>
    <row r="907" spans="1:14" ht="38.25" x14ac:dyDescent="0.25">
      <c r="A907" s="12" t="s">
        <v>4123</v>
      </c>
      <c r="B907" s="12" t="s">
        <v>4124</v>
      </c>
      <c r="C907" s="13" t="s">
        <v>4125</v>
      </c>
      <c r="D907" s="12" t="s">
        <v>4126</v>
      </c>
      <c r="E907" s="11"/>
      <c r="F907" s="11"/>
      <c r="G907" s="11"/>
      <c r="H907" s="11"/>
      <c r="I907" s="12" t="s">
        <v>4127</v>
      </c>
      <c r="J907" s="11"/>
      <c r="K907" s="12" t="s">
        <v>4128</v>
      </c>
      <c r="L907" s="12" t="s">
        <v>3056</v>
      </c>
      <c r="M907" s="12" t="str">
        <f>HYPERLINK("https://ceds.ed.gov/cedselementdetails.aspx?termid=17108")</f>
        <v>https://ceds.ed.gov/cedselementdetails.aspx?termid=17108</v>
      </c>
      <c r="N907" s="12" t="str">
        <f>HYPERLINK("https://ceds.ed.gov/elementComment.aspx?elementName=Exit or Withdrawal Status &amp;elementID=17108", "Click here to submit comment")</f>
        <v>Click here to submit comment</v>
      </c>
    </row>
    <row r="908" spans="1:14" ht="409.6" customHeight="1" x14ac:dyDescent="0.25">
      <c r="A908" s="15" t="s">
        <v>4129</v>
      </c>
      <c r="B908" s="15" t="s">
        <v>4130</v>
      </c>
      <c r="C908" s="17" t="s">
        <v>4131</v>
      </c>
      <c r="D908" s="15" t="s">
        <v>3635</v>
      </c>
      <c r="E908" s="15" t="s">
        <v>195</v>
      </c>
      <c r="F908" s="16"/>
      <c r="G908" s="15" t="s">
        <v>4132</v>
      </c>
      <c r="H908" s="12" t="s">
        <v>4133</v>
      </c>
      <c r="I908" s="15" t="s">
        <v>4134</v>
      </c>
      <c r="J908" s="16"/>
      <c r="K908" s="15" t="s">
        <v>4135</v>
      </c>
      <c r="L908" s="15" t="s">
        <v>4136</v>
      </c>
      <c r="M908" s="15" t="str">
        <f>HYPERLINK("https://ceds.ed.gov/cedselementdetails.aspx?termid=17110")</f>
        <v>https://ceds.ed.gov/cedselementdetails.aspx?termid=17110</v>
      </c>
      <c r="N908" s="15" t="str">
        <f>HYPERLINK("https://ceds.ed.gov/elementComment.aspx?elementName=Exit or Withdrawal Type &amp;elementID=17110", "Click here to submit comment")</f>
        <v>Click here to submit comment</v>
      </c>
    </row>
    <row r="909" spans="1:14" ht="38.25" x14ac:dyDescent="0.25">
      <c r="A909" s="15"/>
      <c r="B909" s="15"/>
      <c r="C909" s="15"/>
      <c r="D909" s="15"/>
      <c r="E909" s="15"/>
      <c r="F909" s="16"/>
      <c r="G909" s="15"/>
      <c r="H909" s="12" t="s">
        <v>4137</v>
      </c>
      <c r="I909" s="15"/>
      <c r="J909" s="16"/>
      <c r="K909" s="15"/>
      <c r="L909" s="15"/>
      <c r="M909" s="15"/>
      <c r="N909" s="15"/>
    </row>
    <row r="910" spans="1:14" ht="51" x14ac:dyDescent="0.25">
      <c r="A910" s="15"/>
      <c r="B910" s="15"/>
      <c r="C910" s="15"/>
      <c r="D910" s="15"/>
      <c r="E910" s="15"/>
      <c r="F910" s="16"/>
      <c r="G910" s="15"/>
      <c r="H910" s="12" t="s">
        <v>4138</v>
      </c>
      <c r="I910" s="15"/>
      <c r="J910" s="16"/>
      <c r="K910" s="15"/>
      <c r="L910" s="15"/>
      <c r="M910" s="15"/>
      <c r="N910" s="15"/>
    </row>
    <row r="911" spans="1:14" ht="89.25" x14ac:dyDescent="0.25">
      <c r="A911" s="15"/>
      <c r="B911" s="15"/>
      <c r="C911" s="15"/>
      <c r="D911" s="15"/>
      <c r="E911" s="15"/>
      <c r="F911" s="16"/>
      <c r="G911" s="15"/>
      <c r="H911" s="12" t="s">
        <v>4139</v>
      </c>
      <c r="I911" s="15"/>
      <c r="J911" s="16"/>
      <c r="K911" s="15"/>
      <c r="L911" s="15"/>
      <c r="M911" s="15"/>
      <c r="N911" s="15"/>
    </row>
    <row r="912" spans="1:14" ht="102" x14ac:dyDescent="0.25">
      <c r="A912" s="15"/>
      <c r="B912" s="15"/>
      <c r="C912" s="15"/>
      <c r="D912" s="15"/>
      <c r="E912" s="15"/>
      <c r="F912" s="16"/>
      <c r="G912" s="15"/>
      <c r="H912" s="12" t="s">
        <v>4140</v>
      </c>
      <c r="I912" s="15"/>
      <c r="J912" s="16"/>
      <c r="K912" s="15"/>
      <c r="L912" s="15"/>
      <c r="M912" s="15"/>
      <c r="N912" s="15"/>
    </row>
    <row r="913" spans="1:14" ht="409.5" x14ac:dyDescent="0.25">
      <c r="A913" s="12" t="s">
        <v>4141</v>
      </c>
      <c r="B913" s="12" t="s">
        <v>4142</v>
      </c>
      <c r="C913" s="13" t="s">
        <v>4143</v>
      </c>
      <c r="D913" s="12" t="s">
        <v>4144</v>
      </c>
      <c r="E913" s="11"/>
      <c r="F913" s="11"/>
      <c r="G913" s="11"/>
      <c r="H913" s="11"/>
      <c r="I913" s="12" t="s">
        <v>4145</v>
      </c>
      <c r="J913" s="11"/>
      <c r="K913" s="12" t="s">
        <v>4146</v>
      </c>
      <c r="L913" s="11"/>
      <c r="M913" s="12" t="str">
        <f>HYPERLINK("https://ceds.ed.gov/cedselementdetails.aspx?termid=17222")</f>
        <v>https://ceds.ed.gov/cedselementdetails.aspx?termid=17222</v>
      </c>
      <c r="N913" s="12" t="str">
        <f>HYPERLINK("https://ceds.ed.gov/elementComment.aspx?elementName=Exit Reason &amp;elementID=17222", "Click here to submit comment")</f>
        <v>Click here to submit comment</v>
      </c>
    </row>
    <row r="914" spans="1:14" ht="76.5" x14ac:dyDescent="0.25">
      <c r="A914" s="15" t="s">
        <v>4147</v>
      </c>
      <c r="B914" s="15" t="s">
        <v>4148</v>
      </c>
      <c r="C914" s="15" t="s">
        <v>37</v>
      </c>
      <c r="D914" s="15" t="s">
        <v>4149</v>
      </c>
      <c r="E914" s="16"/>
      <c r="F914" s="15" t="s">
        <v>149</v>
      </c>
      <c r="G914" s="16"/>
      <c r="H914" s="12" t="s">
        <v>150</v>
      </c>
      <c r="I914" s="15" t="s">
        <v>4150</v>
      </c>
      <c r="J914" s="16"/>
      <c r="K914" s="15" t="s">
        <v>4151</v>
      </c>
      <c r="L914" s="16"/>
      <c r="M914" s="15" t="str">
        <f>HYPERLINK("https://ceds.ed.gov/cedselementdetails.aspx?termid=17495")</f>
        <v>https://ceds.ed.gov/cedselementdetails.aspx?termid=17495</v>
      </c>
      <c r="N914" s="15" t="str">
        <f>HYPERLINK("https://ceds.ed.gov/elementComment.aspx?elementName=Facilities Identifier &amp;elementID=17495", "Click here to submit comment")</f>
        <v>Click here to submit comment</v>
      </c>
    </row>
    <row r="915" spans="1:14" x14ac:dyDescent="0.25">
      <c r="A915" s="15"/>
      <c r="B915" s="15"/>
      <c r="C915" s="15"/>
      <c r="D915" s="15"/>
      <c r="E915" s="16"/>
      <c r="F915" s="15"/>
      <c r="G915" s="16"/>
      <c r="H915" s="12"/>
      <c r="I915" s="15"/>
      <c r="J915" s="16"/>
      <c r="K915" s="15"/>
      <c r="L915" s="16"/>
      <c r="M915" s="15"/>
      <c r="N915" s="15"/>
    </row>
    <row r="916" spans="1:14" ht="76.5" x14ac:dyDescent="0.25">
      <c r="A916" s="15"/>
      <c r="B916" s="15"/>
      <c r="C916" s="15"/>
      <c r="D916" s="15"/>
      <c r="E916" s="16"/>
      <c r="F916" s="15"/>
      <c r="G916" s="16"/>
      <c r="H916" s="12" t="s">
        <v>153</v>
      </c>
      <c r="I916" s="15"/>
      <c r="J916" s="16"/>
      <c r="K916" s="15"/>
      <c r="L916" s="16"/>
      <c r="M916" s="15"/>
      <c r="N916" s="15"/>
    </row>
    <row r="917" spans="1:14" ht="293.25" x14ac:dyDescent="0.25">
      <c r="A917" s="12" t="s">
        <v>4152</v>
      </c>
      <c r="B917" s="12" t="s">
        <v>4153</v>
      </c>
      <c r="C917" s="13" t="s">
        <v>4154</v>
      </c>
      <c r="D917" s="12" t="s">
        <v>1834</v>
      </c>
      <c r="E917" s="11"/>
      <c r="F917" s="11"/>
      <c r="G917" s="11"/>
      <c r="H917" s="11"/>
      <c r="I917" s="12" t="s">
        <v>4155</v>
      </c>
      <c r="J917" s="11"/>
      <c r="K917" s="12" t="s">
        <v>4156</v>
      </c>
      <c r="L917" s="11"/>
      <c r="M917" s="12" t="str">
        <f>HYPERLINK("https://ceds.ed.gov/cedselementdetails.aspx?termid=18852")</f>
        <v>https://ceds.ed.gov/cedselementdetails.aspx?termid=18852</v>
      </c>
      <c r="N917" s="12" t="str">
        <f>HYPERLINK("https://ceds.ed.gov/elementComment.aspx?elementName=Facilities Management Emergency Type &amp;elementID=18852", "Click here to submit comment")</f>
        <v>Click here to submit comment</v>
      </c>
    </row>
    <row r="918" spans="1:14" ht="51" x14ac:dyDescent="0.25">
      <c r="A918" s="12" t="s">
        <v>4157</v>
      </c>
      <c r="B918" s="12" t="s">
        <v>4158</v>
      </c>
      <c r="C918" s="13" t="s">
        <v>4159</v>
      </c>
      <c r="D918" s="12" t="s">
        <v>1834</v>
      </c>
      <c r="E918" s="11"/>
      <c r="F918" s="11"/>
      <c r="G918" s="11"/>
      <c r="H918" s="11"/>
      <c r="I918" s="12" t="s">
        <v>4160</v>
      </c>
      <c r="J918" s="11"/>
      <c r="K918" s="12" t="s">
        <v>4161</v>
      </c>
      <c r="L918" s="11"/>
      <c r="M918" s="12" t="str">
        <f>HYPERLINK("https://ceds.ed.gov/cedselementdetails.aspx?termid=18866")</f>
        <v>https://ceds.ed.gov/cedselementdetails.aspx?termid=18866</v>
      </c>
      <c r="N918" s="12" t="str">
        <f>HYPERLINK("https://ceds.ed.gov/elementComment.aspx?elementName=Facilities Mandate Authority Type &amp;elementID=18866", "Click here to submit comment")</f>
        <v>Click here to submit comment</v>
      </c>
    </row>
    <row r="919" spans="1:14" ht="25.5" x14ac:dyDescent="0.25">
      <c r="A919" s="12" t="s">
        <v>4162</v>
      </c>
      <c r="B919" s="12" t="s">
        <v>4163</v>
      </c>
      <c r="C919" s="12" t="s">
        <v>37</v>
      </c>
      <c r="D919" s="12" t="s">
        <v>1834</v>
      </c>
      <c r="E919" s="11"/>
      <c r="F919" s="12" t="s">
        <v>62</v>
      </c>
      <c r="G919" s="11"/>
      <c r="H919" s="11"/>
      <c r="I919" s="12" t="s">
        <v>4164</v>
      </c>
      <c r="J919" s="11"/>
      <c r="K919" s="12" t="s">
        <v>4165</v>
      </c>
      <c r="L919" s="11"/>
      <c r="M919" s="12" t="str">
        <f>HYPERLINK("https://ceds.ed.gov/cedselementdetails.aspx?termid=18863")</f>
        <v>https://ceds.ed.gov/cedselementdetails.aspx?termid=18863</v>
      </c>
      <c r="N919" s="12" t="str">
        <f>HYPERLINK("https://ceds.ed.gov/elementComment.aspx?elementName=Facilities Plan Description &amp;elementID=18863", "Click here to submit comment")</f>
        <v>Click here to submit comment</v>
      </c>
    </row>
    <row r="920" spans="1:14" ht="114.75" x14ac:dyDescent="0.25">
      <c r="A920" s="12" t="s">
        <v>4166</v>
      </c>
      <c r="B920" s="12" t="s">
        <v>4167</v>
      </c>
      <c r="C920" s="13" t="s">
        <v>4168</v>
      </c>
      <c r="D920" s="12" t="s">
        <v>1834</v>
      </c>
      <c r="E920" s="11"/>
      <c r="F920" s="11"/>
      <c r="G920" s="11"/>
      <c r="H920" s="11"/>
      <c r="I920" s="12" t="s">
        <v>4169</v>
      </c>
      <c r="J920" s="11"/>
      <c r="K920" s="12" t="s">
        <v>4170</v>
      </c>
      <c r="L920" s="11"/>
      <c r="M920" s="12" t="str">
        <f>HYPERLINK("https://ceds.ed.gov/cedselementdetails.aspx?termid=18864")</f>
        <v>https://ceds.ed.gov/cedselementdetails.aspx?termid=18864</v>
      </c>
      <c r="N920" s="12" t="str">
        <f>HYPERLINK("https://ceds.ed.gov/elementComment.aspx?elementName=Facilities Plan Type &amp;elementID=18864", "Click here to submit comment")</f>
        <v>Click here to submit comment</v>
      </c>
    </row>
    <row r="921" spans="1:14" ht="25.5" x14ac:dyDescent="0.25">
      <c r="A921" s="12" t="s">
        <v>4171</v>
      </c>
      <c r="B921" s="12" t="s">
        <v>4172</v>
      </c>
      <c r="C921" s="12" t="s">
        <v>37</v>
      </c>
      <c r="D921" s="12" t="s">
        <v>1776</v>
      </c>
      <c r="E921" s="11"/>
      <c r="F921" s="12" t="s">
        <v>135</v>
      </c>
      <c r="G921" s="11"/>
      <c r="H921" s="11"/>
      <c r="I921" s="12" t="s">
        <v>4173</v>
      </c>
      <c r="J921" s="11"/>
      <c r="K921" s="12" t="s">
        <v>4174</v>
      </c>
      <c r="L921" s="11"/>
      <c r="M921" s="12" t="str">
        <f>HYPERLINK("https://ceds.ed.gov/cedselementdetails.aspx?termid=18749")</f>
        <v>https://ceds.ed.gov/cedselementdetails.aspx?termid=18749</v>
      </c>
      <c r="N921" s="12" t="str">
        <f>HYPERLINK("https://ceds.ed.gov/elementComment.aspx?elementName=Facility Acquisition Date &amp;elementID=18749", "Click here to submit comment")</f>
        <v>Click here to submit comment</v>
      </c>
    </row>
    <row r="922" spans="1:14" ht="25.5" x14ac:dyDescent="0.25">
      <c r="A922" s="12" t="s">
        <v>4175</v>
      </c>
      <c r="B922" s="12" t="s">
        <v>4176</v>
      </c>
      <c r="C922" s="12" t="s">
        <v>37</v>
      </c>
      <c r="D922" s="12" t="s">
        <v>1776</v>
      </c>
      <c r="E922" s="11"/>
      <c r="F922" s="12" t="s">
        <v>2094</v>
      </c>
      <c r="G922" s="11"/>
      <c r="H922" s="11"/>
      <c r="I922" s="12" t="s">
        <v>4177</v>
      </c>
      <c r="J922" s="11"/>
      <c r="K922" s="12" t="s">
        <v>4178</v>
      </c>
      <c r="L922" s="11"/>
      <c r="M922" s="12" t="str">
        <f>HYPERLINK("https://ceds.ed.gov/cedselementdetails.aspx?termid=18750")</f>
        <v>https://ceds.ed.gov/cedselementdetails.aspx?termid=18750</v>
      </c>
      <c r="N922" s="12" t="str">
        <f>HYPERLINK("https://ceds.ed.gov/elementComment.aspx?elementName=Facility Addition Year &amp;elementID=18750", "Click here to submit comment")</f>
        <v>Click here to submit comment</v>
      </c>
    </row>
    <row r="923" spans="1:14" ht="127.5" x14ac:dyDescent="0.25">
      <c r="A923" s="12" t="s">
        <v>4179</v>
      </c>
      <c r="B923" s="12" t="s">
        <v>4180</v>
      </c>
      <c r="C923" s="13" t="s">
        <v>4181</v>
      </c>
      <c r="D923" s="12" t="s">
        <v>1792</v>
      </c>
      <c r="E923" s="11"/>
      <c r="F923" s="11"/>
      <c r="G923" s="11"/>
      <c r="H923" s="11"/>
      <c r="I923" s="12" t="s">
        <v>4182</v>
      </c>
      <c r="J923" s="11"/>
      <c r="K923" s="12" t="s">
        <v>4183</v>
      </c>
      <c r="L923" s="11"/>
      <c r="M923" s="12" t="str">
        <f>HYPERLINK("https://ceds.ed.gov/cedselementdetails.aspx?termid=18777")</f>
        <v>https://ceds.ed.gov/cedselementdetails.aspx?termid=18777</v>
      </c>
      <c r="N923" s="12" t="str">
        <f>HYPERLINK("https://ceds.ed.gov/elementComment.aspx?elementName=Facility Applicable Federal Mandate Type &amp;elementID=18777", "Click here to submit comment")</f>
        <v>Click here to submit comment</v>
      </c>
    </row>
    <row r="924" spans="1:14" ht="51" x14ac:dyDescent="0.25">
      <c r="A924" s="12" t="s">
        <v>4184</v>
      </c>
      <c r="B924" s="12" t="s">
        <v>4185</v>
      </c>
      <c r="C924" s="12" t="s">
        <v>37</v>
      </c>
      <c r="D924" s="12" t="s">
        <v>1834</v>
      </c>
      <c r="E924" s="11"/>
      <c r="F924" s="12" t="s">
        <v>135</v>
      </c>
      <c r="G924" s="11"/>
      <c r="H924" s="11"/>
      <c r="I924" s="12" t="s">
        <v>4186</v>
      </c>
      <c r="J924" s="11"/>
      <c r="K924" s="12" t="s">
        <v>4187</v>
      </c>
      <c r="L924" s="11"/>
      <c r="M924" s="12" t="str">
        <f>HYPERLINK("https://ceds.ed.gov/cedselementdetails.aspx?termid=18862")</f>
        <v>https://ceds.ed.gov/cedselementdetails.aspx?termid=18862</v>
      </c>
      <c r="N924" s="12" t="str">
        <f>HYPERLINK("https://ceds.ed.gov/elementComment.aspx?elementName=Facility Audit Date &amp;elementID=18862", "Click here to submit comment")</f>
        <v>Click here to submit comment</v>
      </c>
    </row>
    <row r="925" spans="1:14" ht="127.5" x14ac:dyDescent="0.25">
      <c r="A925" s="12" t="s">
        <v>4188</v>
      </c>
      <c r="B925" s="12" t="s">
        <v>4189</v>
      </c>
      <c r="C925" s="13" t="s">
        <v>4190</v>
      </c>
      <c r="D925" s="12" t="s">
        <v>1834</v>
      </c>
      <c r="E925" s="11"/>
      <c r="F925" s="11"/>
      <c r="G925" s="11"/>
      <c r="H925" s="11"/>
      <c r="I925" s="12" t="s">
        <v>4191</v>
      </c>
      <c r="J925" s="11"/>
      <c r="K925" s="12" t="s">
        <v>4192</v>
      </c>
      <c r="L925" s="11"/>
      <c r="M925" s="12" t="str">
        <f>HYPERLINK("https://ceds.ed.gov/cedselementdetails.aspx?termid=18845")</f>
        <v>https://ceds.ed.gov/cedselementdetails.aspx?termid=18845</v>
      </c>
      <c r="N925" s="12" t="str">
        <f>HYPERLINK("https://ceds.ed.gov/elementComment.aspx?elementName=Facility Audit Type &amp;elementID=18845", "Click here to submit comment")</f>
        <v>Click here to submit comment</v>
      </c>
    </row>
    <row r="926" spans="1:14" ht="38.25" x14ac:dyDescent="0.25">
      <c r="A926" s="12" t="s">
        <v>4193</v>
      </c>
      <c r="B926" s="12" t="s">
        <v>4194</v>
      </c>
      <c r="C926" s="12" t="s">
        <v>37</v>
      </c>
      <c r="D926" s="12" t="s">
        <v>1776</v>
      </c>
      <c r="E926" s="11"/>
      <c r="F926" s="12" t="s">
        <v>175</v>
      </c>
      <c r="G926" s="11"/>
      <c r="H926" s="11"/>
      <c r="I926" s="12" t="s">
        <v>4195</v>
      </c>
      <c r="J926" s="12" t="s">
        <v>4196</v>
      </c>
      <c r="K926" s="12" t="s">
        <v>4197</v>
      </c>
      <c r="L926" s="11"/>
      <c r="M926" s="12" t="str">
        <f>HYPERLINK("https://ceds.ed.gov/cedselementdetails.aspx?termid=18755")</f>
        <v>https://ceds.ed.gov/cedselementdetails.aspx?termid=18755</v>
      </c>
      <c r="N926" s="12" t="str">
        <f>HYPERLINK("https://ceds.ed.gov/elementComment.aspx?elementName=Facility Block Number Area &amp;elementID=18755", "Click here to submit comment")</f>
        <v>Click here to submit comment</v>
      </c>
    </row>
    <row r="927" spans="1:14" ht="25.5" x14ac:dyDescent="0.25">
      <c r="A927" s="12" t="s">
        <v>4198</v>
      </c>
      <c r="B927" s="12" t="s">
        <v>4199</v>
      </c>
      <c r="C927" s="12" t="s">
        <v>37</v>
      </c>
      <c r="D927" s="12" t="s">
        <v>1776</v>
      </c>
      <c r="E927" s="11"/>
      <c r="F927" s="12" t="s">
        <v>175</v>
      </c>
      <c r="G927" s="11"/>
      <c r="H927" s="11"/>
      <c r="I927" s="12" t="s">
        <v>4200</v>
      </c>
      <c r="J927" s="11"/>
      <c r="K927" s="12" t="s">
        <v>4201</v>
      </c>
      <c r="L927" s="11"/>
      <c r="M927" s="12" t="str">
        <f>HYPERLINK("https://ceds.ed.gov/cedselementdetails.aspx?termid=18172")</f>
        <v>https://ceds.ed.gov/cedselementdetails.aspx?termid=18172</v>
      </c>
      <c r="N927" s="12" t="str">
        <f>HYPERLINK("https://ceds.ed.gov/elementComment.aspx?elementName=Facility Building Name &amp;elementID=18172", "Click here to submit comment")</f>
        <v>Click here to submit comment</v>
      </c>
    </row>
    <row r="928" spans="1:14" ht="38.25" x14ac:dyDescent="0.25">
      <c r="A928" s="12" t="s">
        <v>4202</v>
      </c>
      <c r="B928" s="12" t="s">
        <v>4203</v>
      </c>
      <c r="C928" s="13" t="s">
        <v>4204</v>
      </c>
      <c r="D928" s="12" t="s">
        <v>1776</v>
      </c>
      <c r="E928" s="11"/>
      <c r="F928" s="11"/>
      <c r="G928" s="11"/>
      <c r="H928" s="11"/>
      <c r="I928" s="12" t="s">
        <v>4205</v>
      </c>
      <c r="J928" s="11"/>
      <c r="K928" s="12" t="s">
        <v>4206</v>
      </c>
      <c r="L928" s="11"/>
      <c r="M928" s="12" t="str">
        <f>HYPERLINK("https://ceds.ed.gov/cedselementdetails.aspx?termid=18751")</f>
        <v>https://ceds.ed.gov/cedselementdetails.aspx?termid=18751</v>
      </c>
      <c r="N928" s="12" t="str">
        <f>HYPERLINK("https://ceds.ed.gov/elementComment.aspx?elementName=Facility Building Permanency &amp;elementID=18751", "Click here to submit comment")</f>
        <v>Click here to submit comment</v>
      </c>
    </row>
    <row r="929" spans="1:14" ht="76.5" x14ac:dyDescent="0.25">
      <c r="A929" s="12" t="s">
        <v>4207</v>
      </c>
      <c r="B929" s="12" t="s">
        <v>4208</v>
      </c>
      <c r="C929" s="13" t="s">
        <v>4209</v>
      </c>
      <c r="D929" s="12" t="s">
        <v>1834</v>
      </c>
      <c r="E929" s="11"/>
      <c r="F929" s="11"/>
      <c r="G929" s="11"/>
      <c r="H929" s="11"/>
      <c r="I929" s="12" t="s">
        <v>4210</v>
      </c>
      <c r="J929" s="11"/>
      <c r="K929" s="12" t="s">
        <v>4211</v>
      </c>
      <c r="L929" s="11"/>
      <c r="M929" s="12" t="str">
        <f>HYPERLINK("https://ceds.ed.gov/cedselementdetails.aspx?termid=18853")</f>
        <v>https://ceds.ed.gov/cedselementdetails.aspx?termid=18853</v>
      </c>
      <c r="N929" s="12" t="str">
        <f>HYPERLINK("https://ceds.ed.gov/elementComment.aspx?elementName=Facility Capital Program Management Type &amp;elementID=18853", "Click here to submit comment")</f>
        <v>Click here to submit comment</v>
      </c>
    </row>
    <row r="930" spans="1:14" ht="25.5" x14ac:dyDescent="0.25">
      <c r="A930" s="12" t="s">
        <v>4212</v>
      </c>
      <c r="B930" s="12" t="s">
        <v>4213</v>
      </c>
      <c r="C930" s="12" t="s">
        <v>37</v>
      </c>
      <c r="D930" s="12" t="s">
        <v>1776</v>
      </c>
      <c r="E930" s="11"/>
      <c r="F930" s="12" t="s">
        <v>4214</v>
      </c>
      <c r="G930" s="11"/>
      <c r="H930" s="11"/>
      <c r="I930" s="12" t="s">
        <v>4215</v>
      </c>
      <c r="J930" s="11"/>
      <c r="K930" s="12" t="s">
        <v>4216</v>
      </c>
      <c r="L930" s="11"/>
      <c r="M930" s="12" t="str">
        <f>HYPERLINK("https://ceds.ed.gov/cedselementdetails.aspx?termid=18760")</f>
        <v>https://ceds.ed.gov/cedselementdetails.aspx?termid=18760</v>
      </c>
      <c r="N930" s="12" t="str">
        <f>HYPERLINK("https://ceds.ed.gov/elementComment.aspx?elementName=Facility Census Tract &amp;elementID=18760", "Click here to submit comment")</f>
        <v>Click here to submit comment</v>
      </c>
    </row>
    <row r="931" spans="1:14" ht="114.75" x14ac:dyDescent="0.25">
      <c r="A931" s="12" t="s">
        <v>4217</v>
      </c>
      <c r="B931" s="12" t="s">
        <v>4218</v>
      </c>
      <c r="C931" s="13" t="s">
        <v>4219</v>
      </c>
      <c r="D931" s="12" t="s">
        <v>1834</v>
      </c>
      <c r="E931" s="11"/>
      <c r="F931" s="11"/>
      <c r="G931" s="11"/>
      <c r="H931" s="11"/>
      <c r="I931" s="12" t="s">
        <v>4220</v>
      </c>
      <c r="J931" s="11"/>
      <c r="K931" s="12" t="s">
        <v>4221</v>
      </c>
      <c r="L931" s="11"/>
      <c r="M931" s="12" t="str">
        <f>HYPERLINK("https://ceds.ed.gov/cedselementdetails.aspx?termid=18848")</f>
        <v>https://ceds.ed.gov/cedselementdetails.aspx?termid=18848</v>
      </c>
      <c r="N931" s="12" t="str">
        <f>HYPERLINK("https://ceds.ed.gov/elementComment.aspx?elementName=Facility Compliance Agency Type &amp;elementID=18848", "Click here to submit comment")</f>
        <v>Click here to submit comment</v>
      </c>
    </row>
    <row r="932" spans="1:14" ht="51" x14ac:dyDescent="0.25">
      <c r="A932" s="12" t="s">
        <v>4222</v>
      </c>
      <c r="B932" s="12" t="s">
        <v>4223</v>
      </c>
      <c r="C932" s="12" t="s">
        <v>37</v>
      </c>
      <c r="D932" s="12" t="s">
        <v>1786</v>
      </c>
      <c r="E932" s="11"/>
      <c r="F932" s="12" t="s">
        <v>135</v>
      </c>
      <c r="G932" s="11"/>
      <c r="H932" s="11"/>
      <c r="I932" s="12" t="s">
        <v>4224</v>
      </c>
      <c r="J932" s="11"/>
      <c r="K932" s="12" t="s">
        <v>4225</v>
      </c>
      <c r="L932" s="11"/>
      <c r="M932" s="12" t="str">
        <f>HYPERLINK("https://ceds.ed.gov/cedselementdetails.aspx?termid=18818")</f>
        <v>https://ceds.ed.gov/cedselementdetails.aspx?termid=18818</v>
      </c>
      <c r="N932" s="12" t="str">
        <f>HYPERLINK("https://ceds.ed.gov/elementComment.aspx?elementName=Facility Compliance Determination Date &amp;elementID=18818", "Click here to submit comment")</f>
        <v>Click here to submit comment</v>
      </c>
    </row>
    <row r="933" spans="1:14" ht="51" x14ac:dyDescent="0.25">
      <c r="A933" s="12" t="s">
        <v>4226</v>
      </c>
      <c r="B933" s="12" t="s">
        <v>4227</v>
      </c>
      <c r="C933" s="12" t="s">
        <v>37</v>
      </c>
      <c r="D933" s="12" t="s">
        <v>1786</v>
      </c>
      <c r="E933" s="11"/>
      <c r="F933" s="12" t="s">
        <v>62</v>
      </c>
      <c r="G933" s="11"/>
      <c r="H933" s="11"/>
      <c r="I933" s="12" t="s">
        <v>4228</v>
      </c>
      <c r="J933" s="11"/>
      <c r="K933" s="12" t="s">
        <v>4229</v>
      </c>
      <c r="L933" s="11"/>
      <c r="M933" s="12" t="str">
        <f>HYPERLINK("https://ceds.ed.gov/cedselementdetails.aspx?termid=18819")</f>
        <v>https://ceds.ed.gov/cedselementdetails.aspx?termid=18819</v>
      </c>
      <c r="N933" s="12" t="str">
        <f>HYPERLINK("https://ceds.ed.gov/elementComment.aspx?elementName=Facility Compliance Name &amp;elementID=18819", "Click here to submit comment")</f>
        <v>Click here to submit comment</v>
      </c>
    </row>
    <row r="934" spans="1:14" ht="89.25" x14ac:dyDescent="0.25">
      <c r="A934" s="12" t="s">
        <v>4230</v>
      </c>
      <c r="B934" s="12" t="s">
        <v>4231</v>
      </c>
      <c r="C934" s="13" t="s">
        <v>4232</v>
      </c>
      <c r="D934" s="12" t="s">
        <v>1792</v>
      </c>
      <c r="E934" s="11"/>
      <c r="F934" s="11"/>
      <c r="G934" s="11"/>
      <c r="H934" s="11"/>
      <c r="I934" s="12" t="s">
        <v>4233</v>
      </c>
      <c r="J934" s="11"/>
      <c r="K934" s="12" t="s">
        <v>4234</v>
      </c>
      <c r="L934" s="11"/>
      <c r="M934" s="12" t="str">
        <f>HYPERLINK("https://ceds.ed.gov/cedselementdetails.aspx?termid=18773")</f>
        <v>https://ceds.ed.gov/cedselementdetails.aspx?termid=18773</v>
      </c>
      <c r="N934" s="12" t="str">
        <f>HYPERLINK("https://ceds.ed.gov/elementComment.aspx?elementName=Facility Compliance Status &amp;elementID=18773", "Click here to submit comment")</f>
        <v>Click here to submit comment</v>
      </c>
    </row>
    <row r="935" spans="1:14" ht="38.25" x14ac:dyDescent="0.25">
      <c r="A935" s="12" t="s">
        <v>4235</v>
      </c>
      <c r="B935" s="12" t="s">
        <v>4236</v>
      </c>
      <c r="C935" s="12" t="s">
        <v>37</v>
      </c>
      <c r="D935" s="12" t="s">
        <v>1786</v>
      </c>
      <c r="E935" s="11"/>
      <c r="F935" s="12" t="s">
        <v>62</v>
      </c>
      <c r="G935" s="11"/>
      <c r="H935" s="11"/>
      <c r="I935" s="12" t="s">
        <v>4237</v>
      </c>
      <c r="J935" s="11"/>
      <c r="K935" s="12" t="s">
        <v>4238</v>
      </c>
      <c r="L935" s="11"/>
      <c r="M935" s="12" t="str">
        <f>HYPERLINK("https://ceds.ed.gov/cedselementdetails.aspx?termid=18820")</f>
        <v>https://ceds.ed.gov/cedselementdetails.aspx?termid=18820</v>
      </c>
      <c r="N935" s="12" t="str">
        <f>HYPERLINK("https://ceds.ed.gov/elementComment.aspx?elementName=Facility Component Deficiency Description &amp;elementID=18820", "Click here to submit comment")</f>
        <v>Click here to submit comment</v>
      </c>
    </row>
    <row r="936" spans="1:14" ht="51" x14ac:dyDescent="0.25">
      <c r="A936" s="12" t="s">
        <v>4239</v>
      </c>
      <c r="B936" s="12" t="s">
        <v>4240</v>
      </c>
      <c r="C936" s="12" t="s">
        <v>37</v>
      </c>
      <c r="D936" s="12" t="s">
        <v>1786</v>
      </c>
      <c r="E936" s="11"/>
      <c r="F936" s="12" t="s">
        <v>97</v>
      </c>
      <c r="G936" s="11"/>
      <c r="H936" s="11"/>
      <c r="I936" s="12" t="s">
        <v>4241</v>
      </c>
      <c r="J936" s="11"/>
      <c r="K936" s="12" t="s">
        <v>4242</v>
      </c>
      <c r="L936" s="11"/>
      <c r="M936" s="12" t="str">
        <f>HYPERLINK("https://ceds.ed.gov/cedselementdetails.aspx?termid=18821")</f>
        <v>https://ceds.ed.gov/cedselementdetails.aspx?termid=18821</v>
      </c>
      <c r="N936" s="12" t="str">
        <f>HYPERLINK("https://ceds.ed.gov/elementComment.aspx?elementName=Facility Component Identification Code &amp;elementID=18821", "Click here to submit comment")</f>
        <v>Click here to submit comment</v>
      </c>
    </row>
    <row r="937" spans="1:14" ht="38.25" x14ac:dyDescent="0.25">
      <c r="A937" s="12" t="s">
        <v>4243</v>
      </c>
      <c r="B937" s="12" t="s">
        <v>4244</v>
      </c>
      <c r="C937" s="12" t="s">
        <v>37</v>
      </c>
      <c r="D937" s="12" t="s">
        <v>1776</v>
      </c>
      <c r="E937" s="11"/>
      <c r="F937" s="12" t="s">
        <v>135</v>
      </c>
      <c r="G937" s="11"/>
      <c r="H937" s="11"/>
      <c r="I937" s="12" t="s">
        <v>4245</v>
      </c>
      <c r="J937" s="11"/>
      <c r="K937" s="12" t="s">
        <v>4246</v>
      </c>
      <c r="L937" s="11"/>
      <c r="M937" s="12" t="str">
        <f>HYPERLINK("https://ceds.ed.gov/cedselementdetails.aspx?termid=18761")</f>
        <v>https://ceds.ed.gov/cedselementdetails.aspx?termid=18761</v>
      </c>
      <c r="N937" s="12" t="str">
        <f>HYPERLINK("https://ceds.ed.gov/elementComment.aspx?elementName=Facility Construction Date &amp;elementID=18761", "Click here to submit comment")</f>
        <v>Click here to submit comment</v>
      </c>
    </row>
    <row r="938" spans="1:14" ht="38.25" x14ac:dyDescent="0.25">
      <c r="A938" s="12" t="s">
        <v>4247</v>
      </c>
      <c r="B938" s="12" t="s">
        <v>4248</v>
      </c>
      <c r="C938" s="13" t="s">
        <v>4249</v>
      </c>
      <c r="D938" s="12" t="s">
        <v>1776</v>
      </c>
      <c r="E938" s="11"/>
      <c r="F938" s="11"/>
      <c r="G938" s="11"/>
      <c r="H938" s="11"/>
      <c r="I938" s="12" t="s">
        <v>4250</v>
      </c>
      <c r="J938" s="11"/>
      <c r="K938" s="12" t="s">
        <v>4251</v>
      </c>
      <c r="L938" s="11"/>
      <c r="M938" s="12" t="str">
        <f>HYPERLINK("https://ceds.ed.gov/cedselementdetails.aspx?termid=18762")</f>
        <v>https://ceds.ed.gov/cedselementdetails.aspx?termid=18762</v>
      </c>
      <c r="N938" s="12" t="str">
        <f>HYPERLINK("https://ceds.ed.gov/elementComment.aspx?elementName=Facility Construction Date Type &amp;elementID=18762", "Click here to submit comment")</f>
        <v>Click here to submit comment</v>
      </c>
    </row>
    <row r="939" spans="1:14" ht="140.25" x14ac:dyDescent="0.25">
      <c r="A939" s="12" t="s">
        <v>4252</v>
      </c>
      <c r="B939" s="12" t="s">
        <v>4253</v>
      </c>
      <c r="C939" s="13" t="s">
        <v>4254</v>
      </c>
      <c r="D939" s="12" t="s">
        <v>1776</v>
      </c>
      <c r="E939" s="11"/>
      <c r="F939" s="11"/>
      <c r="G939" s="11"/>
      <c r="H939" s="11"/>
      <c r="I939" s="12" t="s">
        <v>4255</v>
      </c>
      <c r="J939" s="11"/>
      <c r="K939" s="12" t="s">
        <v>4256</v>
      </c>
      <c r="L939" s="11"/>
      <c r="M939" s="12" t="str">
        <f>HYPERLINK("https://ceds.ed.gov/cedselementdetails.aspx?termid=18763")</f>
        <v>https://ceds.ed.gov/cedselementdetails.aspx?termid=18763</v>
      </c>
      <c r="N939" s="12" t="str">
        <f>HYPERLINK("https://ceds.ed.gov/elementComment.aspx?elementName=Facility Construction Material Type &amp;elementID=18763", "Click here to submit comment")</f>
        <v>Click here to submit comment</v>
      </c>
    </row>
    <row r="940" spans="1:14" ht="25.5" x14ac:dyDescent="0.25">
      <c r="A940" s="12" t="s">
        <v>4257</v>
      </c>
      <c r="B940" s="12" t="s">
        <v>4258</v>
      </c>
      <c r="C940" s="12" t="s">
        <v>37</v>
      </c>
      <c r="D940" s="12" t="s">
        <v>1776</v>
      </c>
      <c r="E940" s="11"/>
      <c r="F940" s="12" t="s">
        <v>2094</v>
      </c>
      <c r="G940" s="11"/>
      <c r="H940" s="11"/>
      <c r="I940" s="12" t="s">
        <v>4259</v>
      </c>
      <c r="J940" s="11"/>
      <c r="K940" s="12" t="s">
        <v>4260</v>
      </c>
      <c r="L940" s="11"/>
      <c r="M940" s="12" t="str">
        <f>HYPERLINK("https://ceds.ed.gov/cedselementdetails.aspx?termid=18752")</f>
        <v>https://ceds.ed.gov/cedselementdetails.aspx?termid=18752</v>
      </c>
      <c r="N940" s="12" t="str">
        <f>HYPERLINK("https://ceds.ed.gov/elementComment.aspx?elementName=Facility Construction Year &amp;elementID=18752", "Click here to submit comment")</f>
        <v>Click here to submit comment</v>
      </c>
    </row>
    <row r="941" spans="1:14" ht="63.75" x14ac:dyDescent="0.25">
      <c r="A941" s="12" t="s">
        <v>4261</v>
      </c>
      <c r="B941" s="12" t="s">
        <v>4262</v>
      </c>
      <c r="C941" s="12" t="s">
        <v>37</v>
      </c>
      <c r="D941" s="12" t="s">
        <v>1716</v>
      </c>
      <c r="E941" s="11"/>
      <c r="F941" s="12" t="s">
        <v>1922</v>
      </c>
      <c r="G941" s="11"/>
      <c r="H941" s="11"/>
      <c r="I941" s="12" t="s">
        <v>4263</v>
      </c>
      <c r="J941" s="11"/>
      <c r="K941" s="12" t="s">
        <v>4264</v>
      </c>
      <c r="L941" s="11"/>
      <c r="M941" s="12" t="str">
        <f>HYPERLINK("https://ceds.ed.gov/cedselementdetails.aspx?termid=18885")</f>
        <v>https://ceds.ed.gov/cedselementdetails.aspx?termid=18885</v>
      </c>
      <c r="N941" s="12" t="str">
        <f>HYPERLINK("https://ceds.ed.gov/elementComment.aspx?elementName=Facility Enrollment Capacity &amp;elementID=18885", "Click here to submit comment")</f>
        <v>Click here to submit comment</v>
      </c>
    </row>
    <row r="942" spans="1:14" ht="38.25" x14ac:dyDescent="0.25">
      <c r="A942" s="12" t="s">
        <v>4265</v>
      </c>
      <c r="B942" s="12" t="s">
        <v>4266</v>
      </c>
      <c r="C942" s="12" t="s">
        <v>37</v>
      </c>
      <c r="D942" s="12" t="s">
        <v>1786</v>
      </c>
      <c r="E942" s="11"/>
      <c r="F942" s="12" t="s">
        <v>1710</v>
      </c>
      <c r="G942" s="11"/>
      <c r="H942" s="11"/>
      <c r="I942" s="12" t="s">
        <v>4267</v>
      </c>
      <c r="J942" s="11"/>
      <c r="K942" s="12" t="s">
        <v>4268</v>
      </c>
      <c r="L942" s="11"/>
      <c r="M942" s="12" t="str">
        <f>HYPERLINK("https://ceds.ed.gov/cedselementdetails.aspx?termid=18822")</f>
        <v>https://ceds.ed.gov/cedselementdetails.aspx?termid=18822</v>
      </c>
      <c r="N942" s="12" t="str">
        <f>HYPERLINK("https://ceds.ed.gov/elementComment.aspx?elementName=Facility Estimated Cost to Eliminate Deferred Maintenance &amp;elementID=18822", "Click here to submit comment")</f>
        <v>Click here to submit comment</v>
      </c>
    </row>
    <row r="943" spans="1:14" ht="38.25" x14ac:dyDescent="0.25">
      <c r="A943" s="12" t="s">
        <v>4269</v>
      </c>
      <c r="B943" s="12" t="s">
        <v>4270</v>
      </c>
      <c r="C943" s="12" t="s">
        <v>37</v>
      </c>
      <c r="D943" s="12" t="s">
        <v>1776</v>
      </c>
      <c r="E943" s="11"/>
      <c r="F943" s="12" t="s">
        <v>1922</v>
      </c>
      <c r="G943" s="11"/>
      <c r="H943" s="11"/>
      <c r="I943" s="12" t="s">
        <v>4271</v>
      </c>
      <c r="J943" s="11"/>
      <c r="K943" s="12" t="s">
        <v>4272</v>
      </c>
      <c r="L943" s="11"/>
      <c r="M943" s="12" t="str">
        <f>HYPERLINK("https://ceds.ed.gov/cedselementdetails.aspx?termid=18764")</f>
        <v>https://ceds.ed.gov/cedselementdetails.aspx?termid=18764</v>
      </c>
      <c r="N943" s="12" t="str">
        <f>HYPERLINK("https://ceds.ed.gov/elementComment.aspx?elementName=Facility Expected Life &amp;elementID=18764", "Click here to submit comment")</f>
        <v>Click here to submit comment</v>
      </c>
    </row>
    <row r="944" spans="1:14" ht="191.25" x14ac:dyDescent="0.25">
      <c r="A944" s="12" t="s">
        <v>4273</v>
      </c>
      <c r="B944" s="12" t="s">
        <v>4274</v>
      </c>
      <c r="C944" s="13" t="s">
        <v>4275</v>
      </c>
      <c r="D944" s="12" t="s">
        <v>1792</v>
      </c>
      <c r="E944" s="11"/>
      <c r="F944" s="11"/>
      <c r="G944" s="11"/>
      <c r="H944" s="11"/>
      <c r="I944" s="12" t="s">
        <v>4276</v>
      </c>
      <c r="J944" s="11"/>
      <c r="K944" s="12" t="s">
        <v>4277</v>
      </c>
      <c r="L944" s="11"/>
      <c r="M944" s="12" t="str">
        <f>HYPERLINK("https://ceds.ed.gov/cedselementdetails.aspx?termid=18778")</f>
        <v>https://ceds.ed.gov/cedselementdetails.aspx?termid=18778</v>
      </c>
      <c r="N944" s="12" t="str">
        <f>HYPERLINK("https://ceds.ed.gov/elementComment.aspx?elementName=Facility Federal Mandate Interest Type &amp;elementID=18778", "Click here to submit comment")</f>
        <v>Click here to submit comment</v>
      </c>
    </row>
    <row r="945" spans="1:14" ht="51" x14ac:dyDescent="0.25">
      <c r="A945" s="12" t="s">
        <v>4278</v>
      </c>
      <c r="B945" s="12" t="s">
        <v>4279</v>
      </c>
      <c r="C945" s="13" t="s">
        <v>4280</v>
      </c>
      <c r="D945" s="12" t="s">
        <v>4281</v>
      </c>
      <c r="E945" s="11"/>
      <c r="F945" s="11"/>
      <c r="G945" s="11"/>
      <c r="H945" s="11"/>
      <c r="I945" s="12" t="s">
        <v>4282</v>
      </c>
      <c r="J945" s="11"/>
      <c r="K945" s="12" t="s">
        <v>4283</v>
      </c>
      <c r="L945" s="11"/>
      <c r="M945" s="12" t="str">
        <f>HYPERLINK("https://ceds.ed.gov/cedselementdetails.aspx?termid=18867")</f>
        <v>https://ceds.ed.gov/cedselementdetails.aspx?termid=18867</v>
      </c>
      <c r="N945" s="12" t="str">
        <f>HYPERLINK("https://ceds.ed.gov/elementComment.aspx?elementName=Facility Financing Fee Type &amp;elementID=18867", "Click here to submit comment")</f>
        <v>Click here to submit comment</v>
      </c>
    </row>
    <row r="946" spans="1:14" ht="89.25" x14ac:dyDescent="0.25">
      <c r="A946" s="12" t="s">
        <v>4284</v>
      </c>
      <c r="B946" s="12" t="s">
        <v>4285</v>
      </c>
      <c r="C946" s="13" t="s">
        <v>4286</v>
      </c>
      <c r="D946" s="12" t="s">
        <v>1786</v>
      </c>
      <c r="E946" s="11"/>
      <c r="F946" s="11"/>
      <c r="G946" s="11"/>
      <c r="H946" s="11"/>
      <c r="I946" s="12" t="s">
        <v>4287</v>
      </c>
      <c r="J946" s="11"/>
      <c r="K946" s="12" t="s">
        <v>4288</v>
      </c>
      <c r="L946" s="11"/>
      <c r="M946" s="12" t="str">
        <f>HYPERLINK("https://ceds.ed.gov/cedselementdetails.aspx?termid=18801")</f>
        <v>https://ceds.ed.gov/cedselementdetails.aspx?termid=18801</v>
      </c>
      <c r="N946" s="12" t="str">
        <f>HYPERLINK("https://ceds.ed.gov/elementComment.aspx?elementName=Facility Furnishings Type &amp;elementID=18801", "Click here to submit comment")</f>
        <v>Click here to submit comment</v>
      </c>
    </row>
    <row r="947" spans="1:14" ht="38.25" x14ac:dyDescent="0.25">
      <c r="A947" s="12" t="s">
        <v>4289</v>
      </c>
      <c r="B947" s="12" t="s">
        <v>4290</v>
      </c>
      <c r="C947" s="12" t="s">
        <v>37</v>
      </c>
      <c r="D947" s="12" t="s">
        <v>1786</v>
      </c>
      <c r="E947" s="11"/>
      <c r="F947" s="12" t="s">
        <v>135</v>
      </c>
      <c r="G947" s="11"/>
      <c r="H947" s="11"/>
      <c r="I947" s="12" t="s">
        <v>4291</v>
      </c>
      <c r="J947" s="11"/>
      <c r="K947" s="12" t="s">
        <v>4292</v>
      </c>
      <c r="L947" s="11"/>
      <c r="M947" s="12" t="str">
        <f>HYPERLINK("https://ceds.ed.gov/cedselementdetails.aspx?termid=18823")</f>
        <v>https://ceds.ed.gov/cedselementdetails.aspx?termid=18823</v>
      </c>
      <c r="N947" s="12" t="str">
        <f>HYPERLINK("https://ceds.ed.gov/elementComment.aspx?elementName=Facility Hazardous Condition Expected Remediation Date &amp;elementID=18823", "Click here to submit comment")</f>
        <v>Click here to submit comment</v>
      </c>
    </row>
    <row r="948" spans="1:14" ht="382.5" x14ac:dyDescent="0.25">
      <c r="A948" s="12" t="s">
        <v>4293</v>
      </c>
      <c r="B948" s="12" t="s">
        <v>4294</v>
      </c>
      <c r="C948" s="13" t="s">
        <v>4295</v>
      </c>
      <c r="D948" s="12" t="s">
        <v>1834</v>
      </c>
      <c r="E948" s="11"/>
      <c r="F948" s="11"/>
      <c r="G948" s="11"/>
      <c r="H948" s="11"/>
      <c r="I948" s="12" t="s">
        <v>4296</v>
      </c>
      <c r="J948" s="11"/>
      <c r="K948" s="12" t="s">
        <v>4297</v>
      </c>
      <c r="L948" s="11"/>
      <c r="M948" s="12" t="str">
        <f>HYPERLINK("https://ceds.ed.gov/cedselementdetails.aspx?termid=18855")</f>
        <v>https://ceds.ed.gov/cedselementdetails.aspx?termid=18855</v>
      </c>
      <c r="N948" s="12" t="str">
        <f>HYPERLINK("https://ceds.ed.gov/elementComment.aspx?elementName=Facility Hazardous Materials or Condition Type &amp;elementID=18855", "Click here to submit comment")</f>
        <v>Click here to submit comment</v>
      </c>
    </row>
    <row r="949" spans="1:14" ht="38.25" x14ac:dyDescent="0.25">
      <c r="A949" s="12" t="s">
        <v>4298</v>
      </c>
      <c r="B949" s="12" t="s">
        <v>4299</v>
      </c>
      <c r="C949" s="12" t="s">
        <v>37</v>
      </c>
      <c r="D949" s="12" t="s">
        <v>1786</v>
      </c>
      <c r="E949" s="11"/>
      <c r="F949" s="12" t="s">
        <v>1468</v>
      </c>
      <c r="G949" s="11"/>
      <c r="H949" s="11"/>
      <c r="I949" s="12" t="s">
        <v>4300</v>
      </c>
      <c r="J949" s="11"/>
      <c r="K949" s="12" t="s">
        <v>4301</v>
      </c>
      <c r="L949" s="11"/>
      <c r="M949" s="12" t="str">
        <f>HYPERLINK("https://ceds.ed.gov/cedselementdetails.aspx?termid=18827")</f>
        <v>https://ceds.ed.gov/cedselementdetails.aspx?termid=18827</v>
      </c>
      <c r="N949" s="12" t="str">
        <f>HYPERLINK("https://ceds.ed.gov/elementComment.aspx?elementName=Facility Inspection Score Result Description &amp;elementID=18827", "Click here to submit comment")</f>
        <v>Click here to submit comment</v>
      </c>
    </row>
    <row r="950" spans="1:14" ht="25.5" x14ac:dyDescent="0.25">
      <c r="A950" s="12" t="s">
        <v>4302</v>
      </c>
      <c r="B950" s="12" t="s">
        <v>4303</v>
      </c>
      <c r="C950" s="12" t="s">
        <v>37</v>
      </c>
      <c r="D950" s="12" t="s">
        <v>1786</v>
      </c>
      <c r="E950" s="11"/>
      <c r="F950" s="12" t="s">
        <v>62</v>
      </c>
      <c r="G950" s="11"/>
      <c r="H950" s="11"/>
      <c r="I950" s="12" t="s">
        <v>4304</v>
      </c>
      <c r="J950" s="11"/>
      <c r="K950" s="12" t="s">
        <v>4305</v>
      </c>
      <c r="L950" s="11"/>
      <c r="M950" s="12" t="str">
        <f>HYPERLINK("https://ceds.ed.gov/cedselementdetails.aspx?termid=18828")</f>
        <v>https://ceds.ed.gov/cedselementdetails.aspx?termid=18828</v>
      </c>
      <c r="N950" s="12" t="str">
        <f>HYPERLINK("https://ceds.ed.gov/elementComment.aspx?elementName=Facility Inspection Violation Description &amp;elementID=18828", "Click here to submit comment")</f>
        <v>Click here to submit comment</v>
      </c>
    </row>
    <row r="951" spans="1:14" ht="63.75" x14ac:dyDescent="0.25">
      <c r="A951" s="12" t="s">
        <v>4306</v>
      </c>
      <c r="B951" s="12" t="s">
        <v>4307</v>
      </c>
      <c r="C951" s="13" t="s">
        <v>4308</v>
      </c>
      <c r="D951" s="12" t="s">
        <v>1834</v>
      </c>
      <c r="E951" s="11"/>
      <c r="F951" s="11"/>
      <c r="G951" s="11"/>
      <c r="H951" s="11"/>
      <c r="I951" s="12" t="s">
        <v>4309</v>
      </c>
      <c r="J951" s="11"/>
      <c r="K951" s="12" t="s">
        <v>4310</v>
      </c>
      <c r="L951" s="11"/>
      <c r="M951" s="12" t="str">
        <f>HYPERLINK("https://ceds.ed.gov/cedselementdetails.aspx?termid=18856")</f>
        <v>https://ceds.ed.gov/cedselementdetails.aspx?termid=18856</v>
      </c>
      <c r="N951" s="12" t="str">
        <f>HYPERLINK("https://ceds.ed.gov/elementComment.aspx?elementName=Facility Joint Development Type &amp;elementID=18856", "Click here to submit comment")</f>
        <v>Click here to submit comment</v>
      </c>
    </row>
    <row r="952" spans="1:14" ht="25.5" x14ac:dyDescent="0.25">
      <c r="A952" s="12" t="s">
        <v>4311</v>
      </c>
      <c r="B952" s="12" t="s">
        <v>4312</v>
      </c>
      <c r="C952" s="12" t="s">
        <v>37</v>
      </c>
      <c r="D952" s="12" t="s">
        <v>4281</v>
      </c>
      <c r="E952" s="11"/>
      <c r="F952" s="12" t="s">
        <v>1710</v>
      </c>
      <c r="G952" s="11"/>
      <c r="H952" s="11"/>
      <c r="I952" s="12" t="s">
        <v>4313</v>
      </c>
      <c r="J952" s="11"/>
      <c r="K952" s="12" t="s">
        <v>4314</v>
      </c>
      <c r="L952" s="11"/>
      <c r="M952" s="12" t="str">
        <f>HYPERLINK("https://ceds.ed.gov/cedselementdetails.aspx?termid=18868")</f>
        <v>https://ceds.ed.gov/cedselementdetails.aspx?termid=18868</v>
      </c>
      <c r="N952" s="12" t="str">
        <f>HYPERLINK("https://ceds.ed.gov/elementComment.aspx?elementName=Facility Lease Amount &amp;elementID=18868", "Click here to submit comment")</f>
        <v>Click here to submit comment</v>
      </c>
    </row>
    <row r="953" spans="1:14" ht="51" x14ac:dyDescent="0.25">
      <c r="A953" s="12" t="s">
        <v>4315</v>
      </c>
      <c r="B953" s="12" t="s">
        <v>4316</v>
      </c>
      <c r="C953" s="13" t="s">
        <v>4317</v>
      </c>
      <c r="D953" s="12" t="s">
        <v>4281</v>
      </c>
      <c r="E953" s="11"/>
      <c r="F953" s="11"/>
      <c r="G953" s="11"/>
      <c r="H953" s="11"/>
      <c r="I953" s="12" t="s">
        <v>4318</v>
      </c>
      <c r="J953" s="11"/>
      <c r="K953" s="12" t="s">
        <v>4319</v>
      </c>
      <c r="L953" s="11"/>
      <c r="M953" s="12" t="str">
        <f>HYPERLINK("https://ceds.ed.gov/cedselementdetails.aspx?termid=18869")</f>
        <v>https://ceds.ed.gov/cedselementdetails.aspx?termid=18869</v>
      </c>
      <c r="N953" s="12" t="str">
        <f>HYPERLINK("https://ceds.ed.gov/elementComment.aspx?elementName=Facility Lease Amount Category &amp;elementID=18869", "Click here to submit comment")</f>
        <v>Click here to submit comment</v>
      </c>
    </row>
    <row r="954" spans="1:14" ht="89.25" x14ac:dyDescent="0.25">
      <c r="A954" s="12" t="s">
        <v>4320</v>
      </c>
      <c r="B954" s="12" t="s">
        <v>4321</v>
      </c>
      <c r="C954" s="13" t="s">
        <v>4322</v>
      </c>
      <c r="D954" s="12" t="s">
        <v>4281</v>
      </c>
      <c r="E954" s="11"/>
      <c r="F954" s="11"/>
      <c r="G954" s="11"/>
      <c r="H954" s="11"/>
      <c r="I954" s="12" t="s">
        <v>4323</v>
      </c>
      <c r="J954" s="11"/>
      <c r="K954" s="12" t="s">
        <v>4324</v>
      </c>
      <c r="L954" s="11"/>
      <c r="M954" s="12" t="str">
        <f>HYPERLINK("https://ceds.ed.gov/cedselementdetails.aspx?termid=18870")</f>
        <v>https://ceds.ed.gov/cedselementdetails.aspx?termid=18870</v>
      </c>
      <c r="N954" s="12" t="str">
        <f>HYPERLINK("https://ceds.ed.gov/elementComment.aspx?elementName=Facility Lease Type &amp;elementID=18870", "Click here to submit comment")</f>
        <v>Click here to submit comment</v>
      </c>
    </row>
    <row r="955" spans="1:14" ht="51" x14ac:dyDescent="0.25">
      <c r="A955" s="12" t="s">
        <v>4325</v>
      </c>
      <c r="B955" s="12" t="s">
        <v>4326</v>
      </c>
      <c r="C955" s="13" t="s">
        <v>4327</v>
      </c>
      <c r="D955" s="12" t="s">
        <v>2798</v>
      </c>
      <c r="E955" s="11"/>
      <c r="F955" s="11"/>
      <c r="G955" s="11"/>
      <c r="H955" s="11"/>
      <c r="I955" s="12" t="s">
        <v>4328</v>
      </c>
      <c r="J955" s="11"/>
      <c r="K955" s="12" t="s">
        <v>4329</v>
      </c>
      <c r="L955" s="12" t="s">
        <v>3920</v>
      </c>
      <c r="M955" s="12" t="str">
        <f>HYPERLINK("https://ceds.ed.gov/cedselementdetails.aspx?termid=17985")</f>
        <v>https://ceds.ed.gov/cedselementdetails.aspx?termid=17985</v>
      </c>
      <c r="N955" s="12" t="str">
        <f>HYPERLINK("https://ceds.ed.gov/elementComment.aspx?elementName=Facility Licensing Status &amp;elementID=17985", "Click here to submit comment")</f>
        <v>Click here to submit comment</v>
      </c>
    </row>
    <row r="956" spans="1:14" ht="25.5" x14ac:dyDescent="0.25">
      <c r="A956" s="12" t="s">
        <v>4330</v>
      </c>
      <c r="B956" s="12" t="s">
        <v>4331</v>
      </c>
      <c r="C956" s="12" t="s">
        <v>37</v>
      </c>
      <c r="D956" s="12" t="s">
        <v>1792</v>
      </c>
      <c r="E956" s="11"/>
      <c r="F956" s="12" t="s">
        <v>175</v>
      </c>
      <c r="G956" s="11"/>
      <c r="H956" s="11"/>
      <c r="I956" s="12" t="s">
        <v>4332</v>
      </c>
      <c r="J956" s="11"/>
      <c r="K956" s="12" t="s">
        <v>4333</v>
      </c>
      <c r="L956" s="11"/>
      <c r="M956" s="12" t="str">
        <f>HYPERLINK("https://ceds.ed.gov/cedselementdetails.aspx?termid=18789")</f>
        <v>https://ceds.ed.gov/cedselementdetails.aspx?termid=18789</v>
      </c>
      <c r="N956" s="12" t="str">
        <f>HYPERLINK("https://ceds.ed.gov/elementComment.aspx?elementName=Facility Location of Hazardous Materials &amp;elementID=18789", "Click here to submit comment")</f>
        <v>Click here to submit comment</v>
      </c>
    </row>
    <row r="957" spans="1:14" ht="76.5" x14ac:dyDescent="0.25">
      <c r="A957" s="12" t="s">
        <v>4334</v>
      </c>
      <c r="B957" s="12" t="s">
        <v>4335</v>
      </c>
      <c r="C957" s="13" t="s">
        <v>4336</v>
      </c>
      <c r="D957" s="12" t="s">
        <v>1834</v>
      </c>
      <c r="E957" s="11"/>
      <c r="F957" s="11"/>
      <c r="G957" s="11"/>
      <c r="H957" s="11"/>
      <c r="I957" s="12" t="s">
        <v>4337</v>
      </c>
      <c r="J957" s="11"/>
      <c r="K957" s="12" t="s">
        <v>4338</v>
      </c>
      <c r="L957" s="11"/>
      <c r="M957" s="12" t="str">
        <f>HYPERLINK("https://ceds.ed.gov/cedselementdetails.aspx?termid=18857")</f>
        <v>https://ceds.ed.gov/cedselementdetails.aspx?termid=18857</v>
      </c>
      <c r="N957" s="12" t="str">
        <f>HYPERLINK("https://ceds.ed.gov/elementComment.aspx?elementName=Facility Maintenance Standard Type &amp;elementID=18857", "Click here to submit comment")</f>
        <v>Click here to submit comment</v>
      </c>
    </row>
    <row r="958" spans="1:14" ht="38.25" x14ac:dyDescent="0.25">
      <c r="A958" s="12" t="s">
        <v>4339</v>
      </c>
      <c r="B958" s="12" t="s">
        <v>4340</v>
      </c>
      <c r="C958" s="12" t="s">
        <v>37</v>
      </c>
      <c r="D958" s="12" t="s">
        <v>4281</v>
      </c>
      <c r="E958" s="11"/>
      <c r="F958" s="12" t="s">
        <v>1710</v>
      </c>
      <c r="G958" s="11"/>
      <c r="H958" s="11"/>
      <c r="I958" s="12" t="s">
        <v>4341</v>
      </c>
      <c r="J958" s="11"/>
      <c r="K958" s="12" t="s">
        <v>4342</v>
      </c>
      <c r="L958" s="11"/>
      <c r="M958" s="12" t="str">
        <f>HYPERLINK("https://ceds.ed.gov/cedselementdetails.aspx?termid=18871")</f>
        <v>https://ceds.ed.gov/cedselementdetails.aspx?termid=18871</v>
      </c>
      <c r="N958" s="12" t="str">
        <f>HYPERLINK("https://ceds.ed.gov/elementComment.aspx?elementName=Facility Mortgage Interest Amount &amp;elementID=18871", "Click here to submit comment")</f>
        <v>Click here to submit comment</v>
      </c>
    </row>
    <row r="959" spans="1:14" ht="165.75" x14ac:dyDescent="0.25">
      <c r="A959" s="12" t="s">
        <v>4343</v>
      </c>
      <c r="B959" s="12" t="s">
        <v>4344</v>
      </c>
      <c r="C959" s="13" t="s">
        <v>4345</v>
      </c>
      <c r="D959" s="12" t="s">
        <v>4281</v>
      </c>
      <c r="E959" s="11"/>
      <c r="F959" s="11"/>
      <c r="G959" s="11"/>
      <c r="H959" s="11"/>
      <c r="I959" s="12" t="s">
        <v>4346</v>
      </c>
      <c r="J959" s="11"/>
      <c r="K959" s="12" t="s">
        <v>4347</v>
      </c>
      <c r="L959" s="11"/>
      <c r="M959" s="12" t="str">
        <f>HYPERLINK("https://ceds.ed.gov/cedselementdetails.aspx?termid=18872")</f>
        <v>https://ceds.ed.gov/cedselementdetails.aspx?termid=18872</v>
      </c>
      <c r="N959" s="12" t="str">
        <f>HYPERLINK("https://ceds.ed.gov/elementComment.aspx?elementName=Facility Mortgage Interest Type &amp;elementID=18872", "Click here to submit comment")</f>
        <v>Click here to submit comment</v>
      </c>
    </row>
    <row r="960" spans="1:14" ht="51" x14ac:dyDescent="0.25">
      <c r="A960" s="12" t="s">
        <v>4348</v>
      </c>
      <c r="B960" s="12" t="s">
        <v>4349</v>
      </c>
      <c r="C960" s="13" t="s">
        <v>4350</v>
      </c>
      <c r="D960" s="12" t="s">
        <v>4281</v>
      </c>
      <c r="E960" s="11"/>
      <c r="F960" s="11"/>
      <c r="G960" s="11"/>
      <c r="H960" s="11"/>
      <c r="I960" s="12" t="s">
        <v>4351</v>
      </c>
      <c r="J960" s="11"/>
      <c r="K960" s="12" t="s">
        <v>4352</v>
      </c>
      <c r="L960" s="11"/>
      <c r="M960" s="12" t="str">
        <f>HYPERLINK("https://ceds.ed.gov/cedselementdetails.aspx?termid=18873")</f>
        <v>https://ceds.ed.gov/cedselementdetails.aspx?termid=18873</v>
      </c>
      <c r="N960" s="12" t="str">
        <f>HYPERLINK("https://ceds.ed.gov/elementComment.aspx?elementName=Facility Mortgage Type &amp;elementID=18873", "Click here to submit comment")</f>
        <v>Click here to submit comment</v>
      </c>
    </row>
    <row r="961" spans="1:14" ht="89.25" x14ac:dyDescent="0.25">
      <c r="A961" s="12" t="s">
        <v>4353</v>
      </c>
      <c r="B961" s="12" t="s">
        <v>4354</v>
      </c>
      <c r="C961" s="13" t="s">
        <v>4355</v>
      </c>
      <c r="D961" s="12" t="s">
        <v>1834</v>
      </c>
      <c r="E961" s="11"/>
      <c r="F961" s="11"/>
      <c r="G961" s="11"/>
      <c r="H961" s="11"/>
      <c r="I961" s="12" t="s">
        <v>4356</v>
      </c>
      <c r="J961" s="11"/>
      <c r="K961" s="12" t="s">
        <v>4357</v>
      </c>
      <c r="L961" s="11"/>
      <c r="M961" s="12" t="str">
        <f>HYPERLINK("https://ceds.ed.gov/cedselementdetails.aspx?termid=18858")</f>
        <v>https://ceds.ed.gov/cedselementdetails.aspx?termid=18858</v>
      </c>
      <c r="N961" s="12" t="str">
        <f>HYPERLINK("https://ceds.ed.gov/elementComment.aspx?elementName=Facility Naturally Occurring Hazard Type &amp;elementID=18858", "Click here to submit comment")</f>
        <v>Click here to submit comment</v>
      </c>
    </row>
    <row r="962" spans="1:14" ht="63.75" x14ac:dyDescent="0.25">
      <c r="A962" s="12" t="s">
        <v>4358</v>
      </c>
      <c r="B962" s="12" t="s">
        <v>4359</v>
      </c>
      <c r="C962" s="12" t="s">
        <v>37</v>
      </c>
      <c r="D962" s="12" t="s">
        <v>1792</v>
      </c>
      <c r="E962" s="11"/>
      <c r="F962" s="12" t="s">
        <v>382</v>
      </c>
      <c r="G962" s="11"/>
      <c r="H962" s="11"/>
      <c r="I962" s="12" t="s">
        <v>4360</v>
      </c>
      <c r="J962" s="11"/>
      <c r="K962" s="12" t="s">
        <v>4361</v>
      </c>
      <c r="L962" s="11"/>
      <c r="M962" s="12" t="str">
        <f>HYPERLINK("https://ceds.ed.gov/cedselementdetails.aspx?termid=18791")</f>
        <v>https://ceds.ed.gov/cedselementdetails.aspx?termid=18791</v>
      </c>
      <c r="N962" s="12" t="str">
        <f>HYPERLINK("https://ceds.ed.gov/elementComment.aspx?elementName=Facility Nearby Environmental Hazard Description &amp;elementID=18791", "Click here to submit comment")</f>
        <v>Click here to submit comment</v>
      </c>
    </row>
    <row r="963" spans="1:14" ht="102" x14ac:dyDescent="0.25">
      <c r="A963" s="12" t="s">
        <v>4362</v>
      </c>
      <c r="B963" s="12" t="s">
        <v>4363</v>
      </c>
      <c r="C963" s="13" t="s">
        <v>4364</v>
      </c>
      <c r="D963" s="12" t="s">
        <v>1834</v>
      </c>
      <c r="E963" s="11"/>
      <c r="F963" s="11"/>
      <c r="G963" s="11"/>
      <c r="H963" s="11"/>
      <c r="I963" s="12" t="s">
        <v>4365</v>
      </c>
      <c r="J963" s="11"/>
      <c r="K963" s="12" t="s">
        <v>4366</v>
      </c>
      <c r="L963" s="11"/>
      <c r="M963" s="12" t="str">
        <f>HYPERLINK("https://ceds.ed.gov/cedselementdetails.aspx?termid=18854")</f>
        <v>https://ceds.ed.gov/cedselementdetails.aspx?termid=18854</v>
      </c>
      <c r="N963" s="12" t="str">
        <f>HYPERLINK("https://ceds.ed.gov/elementComment.aspx?elementName=Facility Operations Management Type &amp;elementID=18854", "Click here to submit comment")</f>
        <v>Click here to submit comment</v>
      </c>
    </row>
    <row r="964" spans="1:14" ht="38.25" x14ac:dyDescent="0.25">
      <c r="A964" s="12" t="s">
        <v>4367</v>
      </c>
      <c r="B964" s="12" t="s">
        <v>4368</v>
      </c>
      <c r="C964" s="12" t="s">
        <v>24</v>
      </c>
      <c r="D964" s="12" t="s">
        <v>1776</v>
      </c>
      <c r="E964" s="11"/>
      <c r="F964" s="11"/>
      <c r="G964" s="11"/>
      <c r="H964" s="11"/>
      <c r="I964" s="12" t="s">
        <v>4369</v>
      </c>
      <c r="J964" s="11"/>
      <c r="K964" s="12" t="s">
        <v>4370</v>
      </c>
      <c r="L964" s="11"/>
      <c r="M964" s="12" t="str">
        <f>HYPERLINK("https://ceds.ed.gov/cedselementdetails.aspx?termid=18887")</f>
        <v>https://ceds.ed.gov/cedselementdetails.aspx?termid=18887</v>
      </c>
      <c r="N964" s="12" t="str">
        <f>HYPERLINK("https://ceds.ed.gov/elementComment.aspx?elementName=Facility Ownership Indicator &amp;elementID=18887", "Click here to submit comment")</f>
        <v>Click here to submit comment</v>
      </c>
    </row>
    <row r="965" spans="1:14" ht="51" x14ac:dyDescent="0.25">
      <c r="A965" s="12" t="s">
        <v>4371</v>
      </c>
      <c r="B965" s="12" t="s">
        <v>4372</v>
      </c>
      <c r="C965" s="13" t="s">
        <v>4373</v>
      </c>
      <c r="D965" s="12" t="s">
        <v>4374</v>
      </c>
      <c r="E965" s="11"/>
      <c r="F965" s="11"/>
      <c r="G965" s="11"/>
      <c r="H965" s="11"/>
      <c r="I965" s="12" t="s">
        <v>4375</v>
      </c>
      <c r="J965" s="11"/>
      <c r="K965" s="12" t="s">
        <v>4376</v>
      </c>
      <c r="L965" s="12" t="s">
        <v>125</v>
      </c>
      <c r="M965" s="12" t="str">
        <f>HYPERLINK("https://ceds.ed.gov/cedselementdetails.aspx?termid=17834")</f>
        <v>https://ceds.ed.gov/cedselementdetails.aspx?termid=17834</v>
      </c>
      <c r="N965" s="12" t="str">
        <f>HYPERLINK("https://ceds.ed.gov/elementComment.aspx?elementName=Facility Profit Status &amp;elementID=17834", "Click here to submit comment")</f>
        <v>Click here to submit comment</v>
      </c>
    </row>
    <row r="966" spans="1:14" ht="38.25" x14ac:dyDescent="0.25">
      <c r="A966" s="12" t="s">
        <v>4377</v>
      </c>
      <c r="B966" s="12" t="s">
        <v>4378</v>
      </c>
      <c r="C966" s="12" t="s">
        <v>37</v>
      </c>
      <c r="D966" s="12" t="s">
        <v>1776</v>
      </c>
      <c r="E966" s="11"/>
      <c r="F966" s="12" t="s">
        <v>1710</v>
      </c>
      <c r="G966" s="11"/>
      <c r="H966" s="11"/>
      <c r="I966" s="12" t="s">
        <v>4379</v>
      </c>
      <c r="J966" s="11"/>
      <c r="K966" s="12" t="s">
        <v>4380</v>
      </c>
      <c r="L966" s="11"/>
      <c r="M966" s="12" t="str">
        <f>HYPERLINK("https://ceds.ed.gov/cedselementdetails.aspx?termid=18765")</f>
        <v>https://ceds.ed.gov/cedselementdetails.aspx?termid=18765</v>
      </c>
      <c r="N966" s="12" t="str">
        <f>HYPERLINK("https://ceds.ed.gov/elementComment.aspx?elementName=Facility Replacement Value &amp;elementID=18765", "Click here to submit comment")</f>
        <v>Click here to submit comment</v>
      </c>
    </row>
    <row r="967" spans="1:14" ht="63.75" x14ac:dyDescent="0.25">
      <c r="A967" s="12" t="s">
        <v>4381</v>
      </c>
      <c r="B967" s="12" t="s">
        <v>4382</v>
      </c>
      <c r="C967" s="12" t="s">
        <v>37</v>
      </c>
      <c r="D967" s="12" t="s">
        <v>1776</v>
      </c>
      <c r="E967" s="11"/>
      <c r="F967" s="12" t="s">
        <v>4383</v>
      </c>
      <c r="G967" s="11"/>
      <c r="H967" s="11"/>
      <c r="I967" s="12" t="s">
        <v>4384</v>
      </c>
      <c r="J967" s="11"/>
      <c r="K967" s="12" t="s">
        <v>4385</v>
      </c>
      <c r="L967" s="11"/>
      <c r="M967" s="12" t="str">
        <f>HYPERLINK("https://ceds.ed.gov/cedselementdetails.aspx?termid=18754")</f>
        <v>https://ceds.ed.gov/cedselementdetails.aspx?termid=18754</v>
      </c>
      <c r="N967" s="12" t="str">
        <f>HYPERLINK("https://ceds.ed.gov/elementComment.aspx?elementName=Facility Site Area &amp;elementID=18754", "Click here to submit comment")</f>
        <v>Click here to submit comment</v>
      </c>
    </row>
    <row r="968" spans="1:14" ht="38.25" x14ac:dyDescent="0.25">
      <c r="A968" s="12" t="s">
        <v>4386</v>
      </c>
      <c r="B968" s="12" t="s">
        <v>4387</v>
      </c>
      <c r="C968" s="12" t="s">
        <v>37</v>
      </c>
      <c r="D968" s="12" t="s">
        <v>1776</v>
      </c>
      <c r="E968" s="11"/>
      <c r="F968" s="12" t="s">
        <v>1307</v>
      </c>
      <c r="G968" s="11"/>
      <c r="H968" s="11"/>
      <c r="I968" s="12" t="s">
        <v>4388</v>
      </c>
      <c r="J968" s="11"/>
      <c r="K968" s="12" t="s">
        <v>4389</v>
      </c>
      <c r="L968" s="11"/>
      <c r="M968" s="12" t="str">
        <f>HYPERLINK("https://ceds.ed.gov/cedselementdetails.aspx?termid=18767")</f>
        <v>https://ceds.ed.gov/cedselementdetails.aspx?termid=18767</v>
      </c>
      <c r="N968" s="12" t="str">
        <f>HYPERLINK("https://ceds.ed.gov/elementComment.aspx?elementName=Facility Site Identifier &amp;elementID=18767", "Click here to submit comment")</f>
        <v>Click here to submit comment</v>
      </c>
    </row>
    <row r="969" spans="1:14" ht="204" x14ac:dyDescent="0.25">
      <c r="A969" s="12" t="s">
        <v>4390</v>
      </c>
      <c r="B969" s="12" t="s">
        <v>4391</v>
      </c>
      <c r="C969" s="13" t="s">
        <v>4392</v>
      </c>
      <c r="D969" s="12" t="s">
        <v>1776</v>
      </c>
      <c r="E969" s="11"/>
      <c r="F969" s="11"/>
      <c r="G969" s="11"/>
      <c r="H969" s="11"/>
      <c r="I969" s="12" t="s">
        <v>4393</v>
      </c>
      <c r="J969" s="11"/>
      <c r="K969" s="12" t="s">
        <v>4394</v>
      </c>
      <c r="L969" s="11"/>
      <c r="M969" s="12" t="str">
        <f>HYPERLINK("https://ceds.ed.gov/cedselementdetails.aspx?termid=18768")</f>
        <v>https://ceds.ed.gov/cedselementdetails.aspx?termid=18768</v>
      </c>
      <c r="N969" s="12" t="str">
        <f>HYPERLINK("https://ceds.ed.gov/elementComment.aspx?elementName=Facility Site Improvement Location Type &amp;elementID=18768", "Click here to submit comment")</f>
        <v>Click here to submit comment</v>
      </c>
    </row>
    <row r="970" spans="1:14" ht="229.5" x14ac:dyDescent="0.25">
      <c r="A970" s="12" t="s">
        <v>4395</v>
      </c>
      <c r="B970" s="12" t="s">
        <v>4396</v>
      </c>
      <c r="C970" s="13" t="s">
        <v>4397</v>
      </c>
      <c r="D970" s="12" t="s">
        <v>1786</v>
      </c>
      <c r="E970" s="11"/>
      <c r="F970" s="11"/>
      <c r="G970" s="11"/>
      <c r="H970" s="11"/>
      <c r="I970" s="12" t="s">
        <v>4398</v>
      </c>
      <c r="J970" s="11"/>
      <c r="K970" s="12" t="s">
        <v>4399</v>
      </c>
      <c r="L970" s="11"/>
      <c r="M970" s="12" t="str">
        <f>HYPERLINK("https://ceds.ed.gov/cedselementdetails.aspx?termid=18811")</f>
        <v>https://ceds.ed.gov/cedselementdetails.aspx?termid=18811</v>
      </c>
      <c r="N970" s="12" t="str">
        <f>HYPERLINK("https://ceds.ed.gov/elementComment.aspx?elementName=Facility Site Outdoor Area Type &amp;elementID=18811", "Click here to submit comment")</f>
        <v>Click here to submit comment</v>
      </c>
    </row>
    <row r="971" spans="1:14" ht="38.25" x14ac:dyDescent="0.25">
      <c r="A971" s="12" t="s">
        <v>4400</v>
      </c>
      <c r="B971" s="12" t="s">
        <v>4401</v>
      </c>
      <c r="C971" s="12" t="s">
        <v>37</v>
      </c>
      <c r="D971" s="12" t="s">
        <v>1786</v>
      </c>
      <c r="E971" s="11"/>
      <c r="F971" s="12" t="s">
        <v>129</v>
      </c>
      <c r="G971" s="11"/>
      <c r="H971" s="11"/>
      <c r="I971" s="12" t="s">
        <v>4402</v>
      </c>
      <c r="J971" s="11"/>
      <c r="K971" s="12" t="s">
        <v>4403</v>
      </c>
      <c r="L971" s="11"/>
      <c r="M971" s="12" t="str">
        <f>HYPERLINK("https://ceds.ed.gov/cedselementdetails.aspx?termid=18174")</f>
        <v>https://ceds.ed.gov/cedselementdetails.aspx?termid=18174</v>
      </c>
      <c r="N971" s="12" t="str">
        <f>HYPERLINK("https://ceds.ed.gov/elementComment.aspx?elementName=Facility Space Description &amp;elementID=18174", "Click here to submit comment")</f>
        <v>Click here to submit comment</v>
      </c>
    </row>
    <row r="972" spans="1:14" ht="216.75" x14ac:dyDescent="0.25">
      <c r="A972" s="12" t="s">
        <v>4404</v>
      </c>
      <c r="B972" s="12" t="s">
        <v>4405</v>
      </c>
      <c r="C972" s="13" t="s">
        <v>4406</v>
      </c>
      <c r="D972" s="12" t="s">
        <v>1716</v>
      </c>
      <c r="E972" s="11"/>
      <c r="F972" s="11"/>
      <c r="G972" s="11"/>
      <c r="H972" s="11"/>
      <c r="I972" s="12" t="s">
        <v>4407</v>
      </c>
      <c r="J972" s="11"/>
      <c r="K972" s="12" t="s">
        <v>4408</v>
      </c>
      <c r="L972" s="11"/>
      <c r="M972" s="12" t="str">
        <f>HYPERLINK("https://ceds.ed.gov/cedselementdetails.aspx?termid=18175")</f>
        <v>https://ceds.ed.gov/cedselementdetails.aspx?termid=18175</v>
      </c>
      <c r="N972" s="12" t="str">
        <f>HYPERLINK("https://ceds.ed.gov/elementComment.aspx?elementName=Facility Space Use Type &amp;elementID=18175", "Click here to submit comment")</f>
        <v>Click here to submit comment</v>
      </c>
    </row>
    <row r="973" spans="1:14" ht="114.75" x14ac:dyDescent="0.25">
      <c r="A973" s="12" t="s">
        <v>4409</v>
      </c>
      <c r="B973" s="12" t="s">
        <v>4410</v>
      </c>
      <c r="C973" s="13" t="s">
        <v>4411</v>
      </c>
      <c r="D973" s="12" t="s">
        <v>1834</v>
      </c>
      <c r="E973" s="11"/>
      <c r="F973" s="11"/>
      <c r="G973" s="11"/>
      <c r="H973" s="11"/>
      <c r="I973" s="12" t="s">
        <v>4412</v>
      </c>
      <c r="J973" s="11"/>
      <c r="K973" s="12" t="s">
        <v>4413</v>
      </c>
      <c r="L973" s="11"/>
      <c r="M973" s="12" t="str">
        <f>HYPERLINK("https://ceds.ed.gov/cedselementdetails.aspx?termid=18865")</f>
        <v>https://ceds.ed.gov/cedselementdetails.aspx?termid=18865</v>
      </c>
      <c r="N973" s="12" t="str">
        <f>HYPERLINK("https://ceds.ed.gov/elementComment.aspx?elementName=Facility Standard Type &amp;elementID=18865", "Click here to submit comment")</f>
        <v>Click here to submit comment</v>
      </c>
    </row>
    <row r="974" spans="1:14" ht="191.25" x14ac:dyDescent="0.25">
      <c r="A974" s="12" t="s">
        <v>4414</v>
      </c>
      <c r="B974" s="12" t="s">
        <v>4415</v>
      </c>
      <c r="C974" s="13" t="s">
        <v>4416</v>
      </c>
      <c r="D974" s="12" t="s">
        <v>1792</v>
      </c>
      <c r="E974" s="11"/>
      <c r="F974" s="11"/>
      <c r="G974" s="11"/>
      <c r="H974" s="11"/>
      <c r="I974" s="12" t="s">
        <v>4417</v>
      </c>
      <c r="J974" s="11"/>
      <c r="K974" s="12" t="s">
        <v>4418</v>
      </c>
      <c r="L974" s="11"/>
      <c r="M974" s="12" t="str">
        <f>HYPERLINK("https://ceds.ed.gov/cedselementdetails.aspx?termid=18786")</f>
        <v>https://ceds.ed.gov/cedselementdetails.aspx?termid=18786</v>
      </c>
      <c r="N974" s="12" t="str">
        <f>HYPERLINK("https://ceds.ed.gov/elementComment.aspx?elementName=Facility State or Local Mandate Interest Type &amp;elementID=18786", "Click here to submit comment")</f>
        <v>Click here to submit comment</v>
      </c>
    </row>
    <row r="975" spans="1:14" ht="38.25" x14ac:dyDescent="0.25">
      <c r="A975" s="12" t="s">
        <v>4419</v>
      </c>
      <c r="B975" s="12" t="s">
        <v>4420</v>
      </c>
      <c r="C975" s="12" t="s">
        <v>37</v>
      </c>
      <c r="D975" s="12" t="s">
        <v>1792</v>
      </c>
      <c r="E975" s="11"/>
      <c r="F975" s="12" t="s">
        <v>175</v>
      </c>
      <c r="G975" s="11"/>
      <c r="H975" s="11"/>
      <c r="I975" s="12" t="s">
        <v>4421</v>
      </c>
      <c r="J975" s="11"/>
      <c r="K975" s="12" t="s">
        <v>4422</v>
      </c>
      <c r="L975" s="11"/>
      <c r="M975" s="12" t="str">
        <f>HYPERLINK("https://ceds.ed.gov/cedselementdetails.aspx?termid=18787")</f>
        <v>https://ceds.ed.gov/cedselementdetails.aspx?termid=18787</v>
      </c>
      <c r="N975" s="12" t="str">
        <f>HYPERLINK("https://ceds.ed.gov/elementComment.aspx?elementName=Facility State or Local Mandate Name &amp;elementID=18787", "Click here to submit comment")</f>
        <v>Click here to submit comment</v>
      </c>
    </row>
    <row r="976" spans="1:14" ht="216.75" x14ac:dyDescent="0.25">
      <c r="A976" s="12" t="s">
        <v>4423</v>
      </c>
      <c r="B976" s="12" t="s">
        <v>4424</v>
      </c>
      <c r="C976" s="13" t="s">
        <v>4425</v>
      </c>
      <c r="D976" s="12" t="s">
        <v>1792</v>
      </c>
      <c r="E976" s="11"/>
      <c r="F976" s="11"/>
      <c r="G976" s="11"/>
      <c r="H976" s="11"/>
      <c r="I976" s="12" t="s">
        <v>4426</v>
      </c>
      <c r="J976" s="11"/>
      <c r="K976" s="12" t="s">
        <v>4427</v>
      </c>
      <c r="L976" s="11"/>
      <c r="M976" s="12" t="str">
        <f>HYPERLINK("https://ceds.ed.gov/cedselementdetails.aspx?termid=18774")</f>
        <v>https://ceds.ed.gov/cedselementdetails.aspx?termid=18774</v>
      </c>
      <c r="N976" s="12" t="str">
        <f>HYPERLINK("https://ceds.ed.gov/elementComment.aspx?elementName=Facility System or Component Condition &amp;elementID=18774", "Click here to submit comment")</f>
        <v>Click here to submit comment</v>
      </c>
    </row>
    <row r="977" spans="1:14" ht="25.5" x14ac:dyDescent="0.25">
      <c r="A977" s="12" t="s">
        <v>4428</v>
      </c>
      <c r="B977" s="12" t="s">
        <v>4429</v>
      </c>
      <c r="C977" s="12" t="s">
        <v>37</v>
      </c>
      <c r="D977" s="12" t="s">
        <v>4281</v>
      </c>
      <c r="E977" s="11"/>
      <c r="F977" s="12" t="s">
        <v>1710</v>
      </c>
      <c r="G977" s="11"/>
      <c r="H977" s="11"/>
      <c r="I977" s="12" t="s">
        <v>4430</v>
      </c>
      <c r="J977" s="11"/>
      <c r="K977" s="12" t="s">
        <v>4431</v>
      </c>
      <c r="L977" s="11"/>
      <c r="M977" s="12" t="str">
        <f>HYPERLINK("https://ceds.ed.gov/cedselementdetails.aspx?termid=18877")</f>
        <v>https://ceds.ed.gov/cedselementdetails.aspx?termid=18877</v>
      </c>
      <c r="N977" s="12" t="str">
        <f>HYPERLINK("https://ceds.ed.gov/elementComment.aspx?elementName=Facility Total Assessed Value &amp;elementID=18877", "Click here to submit comment")</f>
        <v>Click here to submit comment</v>
      </c>
    </row>
    <row r="978" spans="1:14" ht="38.25" x14ac:dyDescent="0.25">
      <c r="A978" s="12" t="s">
        <v>4432</v>
      </c>
      <c r="B978" s="12" t="s">
        <v>4433</v>
      </c>
      <c r="C978" s="13" t="s">
        <v>4434</v>
      </c>
      <c r="D978" s="12" t="s">
        <v>1834</v>
      </c>
      <c r="E978" s="11"/>
      <c r="F978" s="11"/>
      <c r="G978" s="11"/>
      <c r="H978" s="11"/>
      <c r="I978" s="12" t="s">
        <v>4435</v>
      </c>
      <c r="J978" s="11"/>
      <c r="K978" s="12" t="s">
        <v>4436</v>
      </c>
      <c r="L978" s="11"/>
      <c r="M978" s="12" t="str">
        <f>HYPERLINK("https://ceds.ed.gov/cedselementdetails.aspx?termid=18859")</f>
        <v>https://ceds.ed.gov/cedselementdetails.aspx?termid=18859</v>
      </c>
      <c r="N978" s="12" t="str">
        <f>HYPERLINK("https://ceds.ed.gov/elementComment.aspx?elementName=Facility Utility Provider Type &amp;elementID=18859", "Click here to submit comment")</f>
        <v>Click here to submit comment</v>
      </c>
    </row>
    <row r="979" spans="1:14" ht="140.25" x14ac:dyDescent="0.25">
      <c r="A979" s="12" t="s">
        <v>4437</v>
      </c>
      <c r="B979" s="12" t="s">
        <v>4438</v>
      </c>
      <c r="C979" s="13" t="s">
        <v>4439</v>
      </c>
      <c r="D979" s="12" t="s">
        <v>1834</v>
      </c>
      <c r="E979" s="11"/>
      <c r="F979" s="11"/>
      <c r="G979" s="11"/>
      <c r="H979" s="11"/>
      <c r="I979" s="12" t="s">
        <v>4440</v>
      </c>
      <c r="J979" s="11"/>
      <c r="K979" s="12" t="s">
        <v>4441</v>
      </c>
      <c r="L979" s="11"/>
      <c r="M979" s="12" t="str">
        <f>HYPERLINK("https://ceds.ed.gov/cedselementdetails.aspx?termid=18860")</f>
        <v>https://ceds.ed.gov/cedselementdetails.aspx?termid=18860</v>
      </c>
      <c r="N979" s="12" t="str">
        <f>HYPERLINK("https://ceds.ed.gov/elementComment.aspx?elementName=Facility Utility Type &amp;elementID=18860", "Click here to submit comment")</f>
        <v>Click here to submit comment</v>
      </c>
    </row>
    <row r="980" spans="1:14" ht="102" x14ac:dyDescent="0.25">
      <c r="A980" s="12" t="s">
        <v>4442</v>
      </c>
      <c r="B980" s="12" t="s">
        <v>4443</v>
      </c>
      <c r="C980" s="13" t="s">
        <v>4444</v>
      </c>
      <c r="D980" s="12" t="s">
        <v>4445</v>
      </c>
      <c r="E980" s="11"/>
      <c r="F980" s="11"/>
      <c r="G980" s="11"/>
      <c r="H980" s="11"/>
      <c r="I980" s="12" t="s">
        <v>4446</v>
      </c>
      <c r="J980" s="11"/>
      <c r="K980" s="12" t="s">
        <v>4447</v>
      </c>
      <c r="L980" s="12" t="s">
        <v>583</v>
      </c>
      <c r="M980" s="12" t="str">
        <f>HYPERLINK("https://ceds.ed.gov/cedselementdetails.aspx?termid=17582")</f>
        <v>https://ceds.ed.gov/cedselementdetails.aspx?termid=17582</v>
      </c>
      <c r="N980" s="12" t="str">
        <f>HYPERLINK("https://ceds.ed.gov/elementComment.aspx?elementName=Faculty and Administration Performance Level &amp;elementID=17582", "Click here to submit comment")</f>
        <v>Click here to submit comment</v>
      </c>
    </row>
    <row r="981" spans="1:14" ht="306" x14ac:dyDescent="0.25">
      <c r="A981" s="12" t="s">
        <v>4448</v>
      </c>
      <c r="B981" s="12" t="s">
        <v>4449</v>
      </c>
      <c r="C981" s="12" t="s">
        <v>24</v>
      </c>
      <c r="D981" s="12" t="s">
        <v>76</v>
      </c>
      <c r="E981" s="11"/>
      <c r="F981" s="11"/>
      <c r="G981" s="11"/>
      <c r="H981" s="12" t="s">
        <v>4450</v>
      </c>
      <c r="I981" s="12" t="s">
        <v>4451</v>
      </c>
      <c r="J981" s="11"/>
      <c r="K981" s="12" t="s">
        <v>4452</v>
      </c>
      <c r="L981" s="12" t="s">
        <v>80</v>
      </c>
      <c r="M981" s="12" t="str">
        <f>HYPERLINK("https://ceds.ed.gov/cedselementdetails.aspx?termid=17711")</f>
        <v>https://ceds.ed.gov/cedselementdetails.aspx?termid=17711</v>
      </c>
      <c r="N981" s="12" t="str">
        <f>HYPERLINK("https://ceds.ed.gov/elementComment.aspx?elementName=Faculty Status &amp;elementID=17711", "Click here to submit comment")</f>
        <v>Click here to submit comment</v>
      </c>
    </row>
    <row r="982" spans="1:14" ht="89.25" x14ac:dyDescent="0.25">
      <c r="A982" s="12" t="s">
        <v>4453</v>
      </c>
      <c r="B982" s="12" t="s">
        <v>4454</v>
      </c>
      <c r="C982" s="12" t="s">
        <v>24</v>
      </c>
      <c r="D982" s="12" t="s">
        <v>2897</v>
      </c>
      <c r="E982" s="11"/>
      <c r="F982" s="11"/>
      <c r="G982" s="11"/>
      <c r="H982" s="11"/>
      <c r="I982" s="12" t="s">
        <v>4455</v>
      </c>
      <c r="J982" s="11"/>
      <c r="K982" s="12" t="s">
        <v>4456</v>
      </c>
      <c r="L982" s="11"/>
      <c r="M982" s="12" t="str">
        <f>HYPERLINK("https://ceds.ed.gov/cedselementdetails.aspx?termid=18311")</f>
        <v>https://ceds.ed.gov/cedselementdetails.aspx?termid=18311</v>
      </c>
      <c r="N982" s="12" t="str">
        <f>HYPERLINK("https://ceds.ed.gov/elementComment.aspx?elementName=Family and Consumer Sciences Course Indicator &amp;elementID=18311", "Click here to submit comment")</f>
        <v>Click here to submit comment</v>
      </c>
    </row>
    <row r="983" spans="1:14" ht="76.5" x14ac:dyDescent="0.25">
      <c r="A983" s="15" t="s">
        <v>4457</v>
      </c>
      <c r="B983" s="15" t="s">
        <v>4458</v>
      </c>
      <c r="C983" s="15" t="s">
        <v>37</v>
      </c>
      <c r="D983" s="15" t="s">
        <v>4459</v>
      </c>
      <c r="E983" s="16"/>
      <c r="F983" s="15" t="s">
        <v>149</v>
      </c>
      <c r="G983" s="16"/>
      <c r="H983" s="12" t="s">
        <v>150</v>
      </c>
      <c r="I983" s="15" t="s">
        <v>4460</v>
      </c>
      <c r="J983" s="16"/>
      <c r="K983" s="15" t="s">
        <v>4461</v>
      </c>
      <c r="L983" s="15" t="s">
        <v>2298</v>
      </c>
      <c r="M983" s="15" t="str">
        <f>HYPERLINK("https://ceds.ed.gov/cedselementdetails.aspx?termid=17784")</f>
        <v>https://ceds.ed.gov/cedselementdetails.aspx?termid=17784</v>
      </c>
      <c r="N983" s="15" t="str">
        <f>HYPERLINK("https://ceds.ed.gov/elementComment.aspx?elementName=Family Identifier &amp;elementID=17784", "Click here to submit comment")</f>
        <v>Click here to submit comment</v>
      </c>
    </row>
    <row r="984" spans="1:14" x14ac:dyDescent="0.25">
      <c r="A984" s="15"/>
      <c r="B984" s="15"/>
      <c r="C984" s="15"/>
      <c r="D984" s="15"/>
      <c r="E984" s="16"/>
      <c r="F984" s="15"/>
      <c r="G984" s="16"/>
      <c r="H984" s="12"/>
      <c r="I984" s="15"/>
      <c r="J984" s="16"/>
      <c r="K984" s="15"/>
      <c r="L984" s="15"/>
      <c r="M984" s="15"/>
      <c r="N984" s="15"/>
    </row>
    <row r="985" spans="1:14" ht="76.5" x14ac:dyDescent="0.25">
      <c r="A985" s="15"/>
      <c r="B985" s="15"/>
      <c r="C985" s="15"/>
      <c r="D985" s="15"/>
      <c r="E985" s="16"/>
      <c r="F985" s="15"/>
      <c r="G985" s="16"/>
      <c r="H985" s="12" t="s">
        <v>153</v>
      </c>
      <c r="I985" s="15"/>
      <c r="J985" s="16"/>
      <c r="K985" s="15"/>
      <c r="L985" s="15"/>
      <c r="M985" s="15"/>
      <c r="N985" s="15"/>
    </row>
    <row r="986" spans="1:14" ht="369.75" x14ac:dyDescent="0.25">
      <c r="A986" s="12" t="s">
        <v>4462</v>
      </c>
      <c r="B986" s="12" t="s">
        <v>4463</v>
      </c>
      <c r="C986" s="12" t="s">
        <v>37</v>
      </c>
      <c r="D986" s="12" t="s">
        <v>4464</v>
      </c>
      <c r="E986" s="11"/>
      <c r="F986" s="12" t="s">
        <v>1710</v>
      </c>
      <c r="G986" s="11"/>
      <c r="H986" s="12" t="s">
        <v>4465</v>
      </c>
      <c r="I986" s="12" t="s">
        <v>4466</v>
      </c>
      <c r="J986" s="11"/>
      <c r="K986" s="12" t="s">
        <v>4467</v>
      </c>
      <c r="L986" s="12" t="s">
        <v>467</v>
      </c>
      <c r="M986" s="12" t="str">
        <f>HYPERLINK("https://ceds.ed.gov/cedselementdetails.aspx?termid=17331")</f>
        <v>https://ceds.ed.gov/cedselementdetails.aspx?termid=17331</v>
      </c>
      <c r="N986" s="12" t="str">
        <f>HYPERLINK("https://ceds.ed.gov/elementComment.aspx?elementName=Family Income &amp;elementID=17331", "Click here to submit comment")</f>
        <v>Click here to submit comment</v>
      </c>
    </row>
    <row r="987" spans="1:14" ht="114.75" x14ac:dyDescent="0.25">
      <c r="A987" s="12" t="s">
        <v>4468</v>
      </c>
      <c r="B987" s="12" t="s">
        <v>4469</v>
      </c>
      <c r="C987" s="12" t="s">
        <v>37</v>
      </c>
      <c r="D987" s="12" t="s">
        <v>4470</v>
      </c>
      <c r="E987" s="11"/>
      <c r="F987" s="12" t="s">
        <v>4471</v>
      </c>
      <c r="G987" s="11"/>
      <c r="H987" s="11"/>
      <c r="I987" s="12" t="s">
        <v>4472</v>
      </c>
      <c r="J987" s="11"/>
      <c r="K987" s="12" t="s">
        <v>4473</v>
      </c>
      <c r="L987" s="12" t="s">
        <v>258</v>
      </c>
      <c r="M987" s="12" t="str">
        <f>HYPERLINK("https://ceds.ed.gov/cedselementdetails.aspx?termid=17538")</f>
        <v>https://ceds.ed.gov/cedselementdetails.aspx?termid=17538</v>
      </c>
      <c r="N987" s="12" t="str">
        <f>HYPERLINK("https://ceds.ed.gov/elementComment.aspx?elementName=Federal Program Code &amp;elementID=17538", "Click here to submit comment")</f>
        <v>Click here to submit comment</v>
      </c>
    </row>
    <row r="988" spans="1:14" ht="89.25" x14ac:dyDescent="0.25">
      <c r="A988" s="12" t="s">
        <v>4474</v>
      </c>
      <c r="B988" s="12" t="s">
        <v>4475</v>
      </c>
      <c r="C988" s="12" t="s">
        <v>37</v>
      </c>
      <c r="D988" s="12" t="s">
        <v>4476</v>
      </c>
      <c r="E988" s="11"/>
      <c r="F988" s="12" t="s">
        <v>1710</v>
      </c>
      <c r="G988" s="11"/>
      <c r="H988" s="11"/>
      <c r="I988" s="12" t="s">
        <v>4477</v>
      </c>
      <c r="J988" s="11"/>
      <c r="K988" s="12" t="s">
        <v>4478</v>
      </c>
      <c r="L988" s="12" t="s">
        <v>258</v>
      </c>
      <c r="M988" s="12" t="str">
        <f>HYPERLINK("https://ceds.ed.gov/cedselementdetails.aspx?termid=17540")</f>
        <v>https://ceds.ed.gov/cedselementdetails.aspx?termid=17540</v>
      </c>
      <c r="N988" s="12" t="str">
        <f>HYPERLINK("https://ceds.ed.gov/elementComment.aspx?elementName=Federal Programs Funding Allocation &amp;elementID=17540", "Click here to submit comment")</f>
        <v>Click here to submit comment</v>
      </c>
    </row>
    <row r="989" spans="1:14" ht="102" x14ac:dyDescent="0.25">
      <c r="A989" s="12" t="s">
        <v>4479</v>
      </c>
      <c r="B989" s="12" t="s">
        <v>4480</v>
      </c>
      <c r="C989" s="13" t="s">
        <v>4481</v>
      </c>
      <c r="D989" s="12" t="s">
        <v>3442</v>
      </c>
      <c r="E989" s="11"/>
      <c r="F989" s="11"/>
      <c r="G989" s="11"/>
      <c r="H989" s="11"/>
      <c r="I989" s="12" t="s">
        <v>4482</v>
      </c>
      <c r="J989" s="11"/>
      <c r="K989" s="12" t="s">
        <v>4483</v>
      </c>
      <c r="L989" s="11"/>
      <c r="M989" s="12" t="str">
        <f>HYPERLINK("https://ceds.ed.gov/cedselementdetails.aspx?termid=17539")</f>
        <v>https://ceds.ed.gov/cedselementdetails.aspx?termid=17539</v>
      </c>
      <c r="N989" s="12" t="str">
        <f>HYPERLINK("https://ceds.ed.gov/elementComment.aspx?elementName=Federal Programs Funding Allocation Type &amp;elementID=17539", "Click here to submit comment")</f>
        <v>Click here to submit comment</v>
      </c>
    </row>
    <row r="990" spans="1:14" ht="102" x14ac:dyDescent="0.25">
      <c r="A990" s="12" t="s">
        <v>4484</v>
      </c>
      <c r="B990" s="12" t="s">
        <v>4485</v>
      </c>
      <c r="C990" s="12" t="s">
        <v>4486</v>
      </c>
      <c r="D990" s="12" t="s">
        <v>2229</v>
      </c>
      <c r="E990" s="11"/>
      <c r="F990" s="12" t="s">
        <v>4487</v>
      </c>
      <c r="G990" s="11"/>
      <c r="H990" s="11"/>
      <c r="I990" s="12" t="s">
        <v>4488</v>
      </c>
      <c r="J990" s="11"/>
      <c r="K990" s="12" t="s">
        <v>4489</v>
      </c>
      <c r="L990" s="12" t="s">
        <v>278</v>
      </c>
      <c r="M990" s="12" t="str">
        <f>HYPERLINK("https://ceds.ed.gov/cedselementdetails.aspx?termid=17111")</f>
        <v>https://ceds.ed.gov/cedselementdetails.aspx?termid=17111</v>
      </c>
      <c r="N990" s="12" t="str">
        <f>HYPERLINK("https://ceds.ed.gov/elementComment.aspx?elementName=Federal School Code &amp;elementID=17111", "Click here to submit comment")</f>
        <v>Click here to submit comment</v>
      </c>
    </row>
    <row r="991" spans="1:14" ht="114.75" x14ac:dyDescent="0.25">
      <c r="A991" s="12" t="s">
        <v>4490</v>
      </c>
      <c r="B991" s="12" t="s">
        <v>4491</v>
      </c>
      <c r="C991" s="13" t="s">
        <v>4492</v>
      </c>
      <c r="D991" s="12" t="s">
        <v>4493</v>
      </c>
      <c r="E991" s="11"/>
      <c r="F991" s="11"/>
      <c r="G991" s="11"/>
      <c r="H991" s="11"/>
      <c r="I991" s="12" t="s">
        <v>4494</v>
      </c>
      <c r="J991" s="11"/>
      <c r="K991" s="12" t="s">
        <v>4495</v>
      </c>
      <c r="L991" s="11"/>
      <c r="M991" s="12" t="str">
        <f>HYPERLINK("https://ceds.ed.gov/cedselementdetails.aspx?termid=18312")</f>
        <v>https://ceds.ed.gov/cedselementdetails.aspx?termid=18312</v>
      </c>
      <c r="N991" s="12" t="str">
        <f>HYPERLINK("https://ceds.ed.gov/elementComment.aspx?elementName=Financial Account Category &amp;elementID=18312", "Click here to submit comment")</f>
        <v>Click here to submit comment</v>
      </c>
    </row>
    <row r="992" spans="1:14" ht="114.75" x14ac:dyDescent="0.25">
      <c r="A992" s="12" t="s">
        <v>4496</v>
      </c>
      <c r="B992" s="12" t="s">
        <v>4497</v>
      </c>
      <c r="C992" s="12" t="s">
        <v>37</v>
      </c>
      <c r="D992" s="12" t="s">
        <v>4493</v>
      </c>
      <c r="E992" s="11"/>
      <c r="F992" s="12" t="s">
        <v>129</v>
      </c>
      <c r="G992" s="11"/>
      <c r="H992" s="11"/>
      <c r="I992" s="12" t="s">
        <v>4498</v>
      </c>
      <c r="J992" s="11"/>
      <c r="K992" s="12" t="s">
        <v>4499</v>
      </c>
      <c r="L992" s="11"/>
      <c r="M992" s="12" t="str">
        <f>HYPERLINK("https://ceds.ed.gov/cedselementdetails.aspx?termid=18313")</f>
        <v>https://ceds.ed.gov/cedselementdetails.aspx?termid=18313</v>
      </c>
      <c r="N992" s="12" t="str">
        <f>HYPERLINK("https://ceds.ed.gov/elementComment.aspx?elementName=Financial Account Description &amp;elementID=18313", "Click here to submit comment")</f>
        <v>Click here to submit comment</v>
      </c>
    </row>
    <row r="993" spans="1:14" ht="409.5" x14ac:dyDescent="0.25">
      <c r="A993" s="12" t="s">
        <v>4500</v>
      </c>
      <c r="B993" s="12" t="s">
        <v>4501</v>
      </c>
      <c r="C993" s="13" t="s">
        <v>4502</v>
      </c>
      <c r="D993" s="12" t="s">
        <v>4503</v>
      </c>
      <c r="E993" s="11"/>
      <c r="F993" s="11"/>
      <c r="G993" s="11"/>
      <c r="H993" s="6" t="s">
        <v>4504</v>
      </c>
      <c r="I993" s="12" t="s">
        <v>4505</v>
      </c>
      <c r="J993" s="11"/>
      <c r="K993" s="12" t="s">
        <v>4506</v>
      </c>
      <c r="L993" s="11"/>
      <c r="M993" s="12" t="str">
        <f>HYPERLINK("https://ceds.ed.gov/cedselementdetails.aspx?termid=18320")</f>
        <v>https://ceds.ed.gov/cedselementdetails.aspx?termid=18320</v>
      </c>
      <c r="N993" s="12" t="str">
        <f>HYPERLINK("https://ceds.ed.gov/elementComment.aspx?elementName=Financial Account K12 Balance Sheet Code &amp;elementID=18320", "Click here to submit comment")</f>
        <v>Click here to submit comment</v>
      </c>
    </row>
    <row r="994" spans="1:14" ht="127.5" x14ac:dyDescent="0.25">
      <c r="A994" s="12" t="s">
        <v>4507</v>
      </c>
      <c r="B994" s="12" t="s">
        <v>4508</v>
      </c>
      <c r="C994" s="13" t="s">
        <v>4509</v>
      </c>
      <c r="D994" s="12" t="s">
        <v>4503</v>
      </c>
      <c r="E994" s="11"/>
      <c r="F994" s="11"/>
      <c r="G994" s="11"/>
      <c r="H994" s="6" t="s">
        <v>4504</v>
      </c>
      <c r="I994" s="12" t="s">
        <v>4510</v>
      </c>
      <c r="J994" s="11"/>
      <c r="K994" s="12" t="s">
        <v>4511</v>
      </c>
      <c r="L994" s="11"/>
      <c r="M994" s="12" t="str">
        <f>HYPERLINK("https://ceds.ed.gov/cedselementdetails.aspx?termid=18314")</f>
        <v>https://ceds.ed.gov/cedselementdetails.aspx?termid=18314</v>
      </c>
      <c r="N994" s="12" t="str">
        <f>HYPERLINK("https://ceds.ed.gov/elementComment.aspx?elementName=Financial Account K12 Fund Classification &amp;elementID=18314", "Click here to submit comment")</f>
        <v>Click here to submit comment</v>
      </c>
    </row>
    <row r="995" spans="1:14" ht="178.5" x14ac:dyDescent="0.25">
      <c r="A995" s="12" t="s">
        <v>4512</v>
      </c>
      <c r="B995" s="12" t="s">
        <v>4513</v>
      </c>
      <c r="C995" s="13" t="s">
        <v>4514</v>
      </c>
      <c r="D995" s="12" t="s">
        <v>4503</v>
      </c>
      <c r="E995" s="11"/>
      <c r="F995" s="11"/>
      <c r="G995" s="11"/>
      <c r="H995" s="6" t="s">
        <v>4504</v>
      </c>
      <c r="I995" s="12" t="s">
        <v>4515</v>
      </c>
      <c r="J995" s="11"/>
      <c r="K995" s="12" t="s">
        <v>4516</v>
      </c>
      <c r="L995" s="11"/>
      <c r="M995" s="12" t="str">
        <f>HYPERLINK("https://ceds.ed.gov/cedselementdetails.aspx?termid=18316")</f>
        <v>https://ceds.ed.gov/cedselementdetails.aspx?termid=18316</v>
      </c>
      <c r="N995" s="12" t="str">
        <f>HYPERLINK("https://ceds.ed.gov/elementComment.aspx?elementName=Financial Account K12 Program Code &amp;elementID=18316", "Click here to submit comment")</f>
        <v>Click here to submit comment</v>
      </c>
    </row>
    <row r="996" spans="1:14" ht="15" customHeight="1" x14ac:dyDescent="0.25">
      <c r="A996" s="15" t="s">
        <v>4517</v>
      </c>
      <c r="B996" s="15" t="s">
        <v>4518</v>
      </c>
      <c r="C996" s="17" t="s">
        <v>4519</v>
      </c>
      <c r="D996" s="15" t="s">
        <v>4520</v>
      </c>
      <c r="E996" s="16"/>
      <c r="F996" s="16"/>
      <c r="G996" s="16"/>
      <c r="H996" s="6" t="s">
        <v>4504</v>
      </c>
      <c r="I996" s="15" t="s">
        <v>4521</v>
      </c>
      <c r="J996" s="16"/>
      <c r="K996" s="15" t="s">
        <v>4522</v>
      </c>
      <c r="L996" s="16"/>
      <c r="M996" s="15" t="str">
        <f>HYPERLINK("https://ceds.ed.gov/cedselementdetails.aspx?termid=18440")</f>
        <v>https://ceds.ed.gov/cedselementdetails.aspx?termid=18440</v>
      </c>
      <c r="N996" s="15" t="str">
        <f>HYPERLINK("https://ceds.ed.gov/elementComment.aspx?elementName=Financial Account K12 Revenue Code &amp;elementID=18440", "Click here to submit comment")</f>
        <v>Click here to submit comment</v>
      </c>
    </row>
    <row r="997" spans="1:14" x14ac:dyDescent="0.25">
      <c r="A997" s="15"/>
      <c r="B997" s="15"/>
      <c r="C997" s="15"/>
      <c r="D997" s="15"/>
      <c r="E997" s="16"/>
      <c r="F997" s="16"/>
      <c r="G997" s="16"/>
      <c r="H997" s="12"/>
      <c r="I997" s="15"/>
      <c r="J997" s="16"/>
      <c r="K997" s="15"/>
      <c r="L997" s="16"/>
      <c r="M997" s="15"/>
      <c r="N997" s="15"/>
    </row>
    <row r="998" spans="1:14" ht="25.5" x14ac:dyDescent="0.25">
      <c r="A998" s="15"/>
      <c r="B998" s="15"/>
      <c r="C998" s="15"/>
      <c r="D998" s="15"/>
      <c r="E998" s="16"/>
      <c r="F998" s="16"/>
      <c r="G998" s="16"/>
      <c r="H998" s="12" t="s">
        <v>4523</v>
      </c>
      <c r="I998" s="15"/>
      <c r="J998" s="16"/>
      <c r="K998" s="15"/>
      <c r="L998" s="16"/>
      <c r="M998" s="15"/>
      <c r="N998" s="15"/>
    </row>
    <row r="999" spans="1:14" ht="114.75" x14ac:dyDescent="0.25">
      <c r="A999" s="12" t="s">
        <v>4524</v>
      </c>
      <c r="B999" s="12" t="s">
        <v>4525</v>
      </c>
      <c r="C999" s="12" t="s">
        <v>37</v>
      </c>
      <c r="D999" s="12" t="s">
        <v>4493</v>
      </c>
      <c r="E999" s="11"/>
      <c r="F999" s="12" t="s">
        <v>874</v>
      </c>
      <c r="G999" s="11"/>
      <c r="H999" s="11"/>
      <c r="I999" s="12" t="s">
        <v>4526</v>
      </c>
      <c r="J999" s="11"/>
      <c r="K999" s="12" t="s">
        <v>4527</v>
      </c>
      <c r="L999" s="11"/>
      <c r="M999" s="12" t="str">
        <f>HYPERLINK("https://ceds.ed.gov/cedselementdetails.aspx?termid=18315")</f>
        <v>https://ceds.ed.gov/cedselementdetails.aspx?termid=18315</v>
      </c>
      <c r="N999" s="12" t="str">
        <f>HYPERLINK("https://ceds.ed.gov/elementComment.aspx?elementName=Financial Account Name &amp;elementID=18315", "Click here to submit comment")</f>
        <v>Click here to submit comment</v>
      </c>
    </row>
    <row r="1000" spans="1:14" ht="114.75" x14ac:dyDescent="0.25">
      <c r="A1000" s="12" t="s">
        <v>4528</v>
      </c>
      <c r="B1000" s="12" t="s">
        <v>4529</v>
      </c>
      <c r="C1000" s="12" t="s">
        <v>37</v>
      </c>
      <c r="D1000" s="12" t="s">
        <v>4493</v>
      </c>
      <c r="E1000" s="11"/>
      <c r="F1000" s="12" t="s">
        <v>97</v>
      </c>
      <c r="G1000" s="11"/>
      <c r="H1000" s="11"/>
      <c r="I1000" s="12" t="s">
        <v>4530</v>
      </c>
      <c r="J1000" s="11"/>
      <c r="K1000" s="12" t="s">
        <v>4531</v>
      </c>
      <c r="L1000" s="11"/>
      <c r="M1000" s="12" t="str">
        <f>HYPERLINK("https://ceds.ed.gov/cedselementdetails.aspx?termid=18530")</f>
        <v>https://ceds.ed.gov/cedselementdetails.aspx?termid=18530</v>
      </c>
      <c r="N1000" s="12" t="str">
        <f>HYPERLINK("https://ceds.ed.gov/elementComment.aspx?elementName=Financial Account Number &amp;elementID=18530", "Click here to submit comment")</f>
        <v>Click here to submit comment</v>
      </c>
    </row>
    <row r="1001" spans="1:14" ht="114.75" x14ac:dyDescent="0.25">
      <c r="A1001" s="12" t="s">
        <v>4532</v>
      </c>
      <c r="B1001" s="12" t="s">
        <v>4533</v>
      </c>
      <c r="C1001" s="12" t="s">
        <v>37</v>
      </c>
      <c r="D1001" s="12" t="s">
        <v>4493</v>
      </c>
      <c r="E1001" s="11"/>
      <c r="F1001" s="12" t="s">
        <v>874</v>
      </c>
      <c r="G1001" s="11"/>
      <c r="H1001" s="11"/>
      <c r="I1001" s="12" t="s">
        <v>4534</v>
      </c>
      <c r="J1001" s="11"/>
      <c r="K1001" s="12" t="s">
        <v>4535</v>
      </c>
      <c r="L1001" s="11"/>
      <c r="M1001" s="12" t="str">
        <f>HYPERLINK("https://ceds.ed.gov/cedselementdetails.aspx?termid=18626")</f>
        <v>https://ceds.ed.gov/cedselementdetails.aspx?termid=18626</v>
      </c>
      <c r="N1001" s="12" t="str">
        <f>HYPERLINK("https://ceds.ed.gov/elementComment.aspx?elementName=Financial Account Program Name &amp;elementID=18626", "Click here to submit comment")</f>
        <v>Click here to submit comment</v>
      </c>
    </row>
    <row r="1002" spans="1:14" ht="114.75" x14ac:dyDescent="0.25">
      <c r="A1002" s="12" t="s">
        <v>4536</v>
      </c>
      <c r="B1002" s="12" t="s">
        <v>4537</v>
      </c>
      <c r="C1002" s="12" t="s">
        <v>37</v>
      </c>
      <c r="D1002" s="12" t="s">
        <v>4493</v>
      </c>
      <c r="E1002" s="11"/>
      <c r="F1002" s="12" t="s">
        <v>97</v>
      </c>
      <c r="G1002" s="11"/>
      <c r="H1002" s="11"/>
      <c r="I1002" s="12" t="s">
        <v>4538</v>
      </c>
      <c r="J1002" s="11"/>
      <c r="K1002" s="12" t="s">
        <v>4539</v>
      </c>
      <c r="L1002" s="11"/>
      <c r="M1002" s="12" t="str">
        <f>HYPERLINK("https://ceds.ed.gov/cedselementdetails.aspx?termid=18627")</f>
        <v>https://ceds.ed.gov/cedselementdetails.aspx?termid=18627</v>
      </c>
      <c r="N1002" s="12" t="str">
        <f>HYPERLINK("https://ceds.ed.gov/elementComment.aspx?elementName=Financial Account Program Number &amp;elementID=18627", "Click here to submit comment")</f>
        <v>Click here to submit comment</v>
      </c>
    </row>
    <row r="1003" spans="1:14" ht="114.75" x14ac:dyDescent="0.25">
      <c r="A1003" s="12" t="s">
        <v>4540</v>
      </c>
      <c r="B1003" s="12" t="s">
        <v>4541</v>
      </c>
      <c r="C1003" s="12" t="s">
        <v>37</v>
      </c>
      <c r="D1003" s="12" t="s">
        <v>4493</v>
      </c>
      <c r="E1003" s="11"/>
      <c r="F1003" s="12" t="s">
        <v>135</v>
      </c>
      <c r="G1003" s="11"/>
      <c r="H1003" s="11"/>
      <c r="I1003" s="12" t="s">
        <v>4542</v>
      </c>
      <c r="J1003" s="11"/>
      <c r="K1003" s="12" t="s">
        <v>4543</v>
      </c>
      <c r="L1003" s="11"/>
      <c r="M1003" s="12" t="str">
        <f>HYPERLINK("https://ceds.ed.gov/cedselementdetails.aspx?termid=18629")</f>
        <v>https://ceds.ed.gov/cedselementdetails.aspx?termid=18629</v>
      </c>
      <c r="N1003" s="12" t="str">
        <f>HYPERLINK("https://ceds.ed.gov/elementComment.aspx?elementName=Financial Accounting Date &amp;elementID=18629", "Click here to submit comment")</f>
        <v>Click here to submit comment</v>
      </c>
    </row>
    <row r="1004" spans="1:14" ht="114.75" x14ac:dyDescent="0.25">
      <c r="A1004" s="12" t="s">
        <v>4544</v>
      </c>
      <c r="B1004" s="12" t="s">
        <v>4545</v>
      </c>
      <c r="C1004" s="12" t="s">
        <v>37</v>
      </c>
      <c r="D1004" s="12" t="s">
        <v>4493</v>
      </c>
      <c r="E1004" s="11"/>
      <c r="F1004" s="12" t="s">
        <v>1710</v>
      </c>
      <c r="G1004" s="11"/>
      <c r="H1004" s="11"/>
      <c r="I1004" s="12" t="s">
        <v>4546</v>
      </c>
      <c r="J1004" s="11"/>
      <c r="K1004" s="12" t="s">
        <v>4547</v>
      </c>
      <c r="L1004" s="11"/>
      <c r="M1004" s="12" t="str">
        <f>HYPERLINK("https://ceds.ed.gov/cedselementdetails.aspx?termid=18317")</f>
        <v>https://ceds.ed.gov/cedselementdetails.aspx?termid=18317</v>
      </c>
      <c r="N1004" s="12" t="str">
        <f>HYPERLINK("https://ceds.ed.gov/elementComment.aspx?elementName=Financial Accounting Period Actual Value &amp;elementID=18317", "Click here to submit comment")</f>
        <v>Click here to submit comment</v>
      </c>
    </row>
    <row r="1005" spans="1:14" ht="114.75" x14ac:dyDescent="0.25">
      <c r="A1005" s="12" t="s">
        <v>4548</v>
      </c>
      <c r="B1005" s="12" t="s">
        <v>4549</v>
      </c>
      <c r="C1005" s="12" t="s">
        <v>37</v>
      </c>
      <c r="D1005" s="12" t="s">
        <v>4493</v>
      </c>
      <c r="E1005" s="11"/>
      <c r="F1005" s="12" t="s">
        <v>1710</v>
      </c>
      <c r="G1005" s="11"/>
      <c r="H1005" s="11"/>
      <c r="I1005" s="12" t="s">
        <v>4550</v>
      </c>
      <c r="J1005" s="11"/>
      <c r="K1005" s="12" t="s">
        <v>4551</v>
      </c>
      <c r="L1005" s="11"/>
      <c r="M1005" s="12" t="str">
        <f>HYPERLINK("https://ceds.ed.gov/cedselementdetails.aspx?termid=18318")</f>
        <v>https://ceds.ed.gov/cedselementdetails.aspx?termid=18318</v>
      </c>
      <c r="N1005" s="12" t="str">
        <f>HYPERLINK("https://ceds.ed.gov/elementComment.aspx?elementName=Financial Accounting Period Budgeted Value &amp;elementID=18318", "Click here to submit comment")</f>
        <v>Click here to submit comment</v>
      </c>
    </row>
    <row r="1006" spans="1:14" ht="114.75" x14ac:dyDescent="0.25">
      <c r="A1006" s="12" t="s">
        <v>4552</v>
      </c>
      <c r="B1006" s="12" t="s">
        <v>4553</v>
      </c>
      <c r="C1006" s="12" t="s">
        <v>37</v>
      </c>
      <c r="D1006" s="12" t="s">
        <v>4493</v>
      </c>
      <c r="E1006" s="11"/>
      <c r="F1006" s="12" t="s">
        <v>1710</v>
      </c>
      <c r="G1006" s="11"/>
      <c r="H1006" s="12" t="s">
        <v>4554</v>
      </c>
      <c r="I1006" s="12" t="s">
        <v>4555</v>
      </c>
      <c r="J1006" s="11"/>
      <c r="K1006" s="12" t="s">
        <v>4556</v>
      </c>
      <c r="L1006" s="11"/>
      <c r="M1006" s="12" t="str">
        <f>HYPERLINK("https://ceds.ed.gov/cedselementdetails.aspx?termid=18625")</f>
        <v>https://ceds.ed.gov/cedselementdetails.aspx?termid=18625</v>
      </c>
      <c r="N1006" s="12" t="str">
        <f>HYPERLINK("https://ceds.ed.gov/elementComment.aspx?elementName=Financial Accounting Period Encumbered Value &amp;elementID=18625", "Click here to submit comment")</f>
        <v>Click here to submit comment</v>
      </c>
    </row>
    <row r="1007" spans="1:14" ht="114.75" x14ac:dyDescent="0.25">
      <c r="A1007" s="12" t="s">
        <v>4557</v>
      </c>
      <c r="B1007" s="12" t="s">
        <v>4558</v>
      </c>
      <c r="C1007" s="12" t="s">
        <v>37</v>
      </c>
      <c r="D1007" s="12" t="s">
        <v>4493</v>
      </c>
      <c r="E1007" s="11"/>
      <c r="F1007" s="12" t="s">
        <v>1710</v>
      </c>
      <c r="G1007" s="11"/>
      <c r="H1007" s="12" t="s">
        <v>4559</v>
      </c>
      <c r="I1007" s="12" t="s">
        <v>4560</v>
      </c>
      <c r="J1007" s="11"/>
      <c r="K1007" s="12" t="s">
        <v>4561</v>
      </c>
      <c r="L1007" s="11"/>
      <c r="M1007" s="12" t="str">
        <f>HYPERLINK("https://ceds.ed.gov/cedselementdetails.aspx?termid=18628")</f>
        <v>https://ceds.ed.gov/cedselementdetails.aspx?termid=18628</v>
      </c>
      <c r="N1007" s="12" t="str">
        <f>HYPERLINK("https://ceds.ed.gov/elementComment.aspx?elementName=Financial Accounting Value &amp;elementID=18628", "Click here to submit comment")</f>
        <v>Click here to submit comment</v>
      </c>
    </row>
    <row r="1008" spans="1:14" ht="24.75" customHeight="1" x14ac:dyDescent="0.25">
      <c r="A1008" s="15" t="s">
        <v>4562</v>
      </c>
      <c r="B1008" s="15" t="s">
        <v>4563</v>
      </c>
      <c r="C1008" s="15" t="s">
        <v>24</v>
      </c>
      <c r="D1008" s="15" t="s">
        <v>4564</v>
      </c>
      <c r="E1008" s="16"/>
      <c r="F1008" s="16"/>
      <c r="G1008" s="16"/>
      <c r="H1008" s="12" t="s">
        <v>4565</v>
      </c>
      <c r="I1008" s="15" t="s">
        <v>4566</v>
      </c>
      <c r="J1008" s="16"/>
      <c r="K1008" s="15" t="s">
        <v>4567</v>
      </c>
      <c r="L1008" s="15" t="s">
        <v>291</v>
      </c>
      <c r="M1008" s="15" t="str">
        <f>HYPERLINK("https://ceds.ed.gov/cedselementdetails.aspx?termid=17745")</f>
        <v>https://ceds.ed.gov/cedselementdetails.aspx?termid=17745</v>
      </c>
      <c r="N1008" s="15" t="str">
        <f>HYPERLINK("https://ceds.ed.gov/elementComment.aspx?elementName=Financial Aid Applicant &amp;elementID=17745", "Click here to submit comment")</f>
        <v>Click here to submit comment</v>
      </c>
    </row>
    <row r="1009" spans="1:14" ht="25.5" x14ac:dyDescent="0.25">
      <c r="A1009" s="15"/>
      <c r="B1009" s="15"/>
      <c r="C1009" s="15"/>
      <c r="D1009" s="15"/>
      <c r="E1009" s="16"/>
      <c r="F1009" s="16"/>
      <c r="G1009" s="16"/>
      <c r="H1009" s="12" t="s">
        <v>4568</v>
      </c>
      <c r="I1009" s="15"/>
      <c r="J1009" s="16"/>
      <c r="K1009" s="15"/>
      <c r="L1009" s="15"/>
      <c r="M1009" s="15"/>
      <c r="N1009" s="15"/>
    </row>
    <row r="1010" spans="1:14" ht="102" x14ac:dyDescent="0.25">
      <c r="A1010" s="12" t="s">
        <v>4569</v>
      </c>
      <c r="B1010" s="12" t="s">
        <v>4570</v>
      </c>
      <c r="C1010" s="13" t="s">
        <v>4571</v>
      </c>
      <c r="D1010" s="12" t="s">
        <v>4564</v>
      </c>
      <c r="E1010" s="11"/>
      <c r="F1010" s="11"/>
      <c r="G1010" s="11"/>
      <c r="H1010" s="12" t="s">
        <v>4572</v>
      </c>
      <c r="I1010" s="12" t="s">
        <v>4573</v>
      </c>
      <c r="J1010" s="11"/>
      <c r="K1010" s="12" t="s">
        <v>4574</v>
      </c>
      <c r="L1010" s="12" t="s">
        <v>291</v>
      </c>
      <c r="M1010" s="12" t="str">
        <f>HYPERLINK("https://ceds.ed.gov/cedselementdetails.aspx?termid=18186")</f>
        <v>https://ceds.ed.gov/cedselementdetails.aspx?termid=18186</v>
      </c>
      <c r="N1010" s="12" t="str">
        <f>HYPERLINK("https://ceds.ed.gov/elementComment.aspx?elementName=Financial Aid Application Type &amp;elementID=18186", "Click here to submit comment")</f>
        <v>Click here to submit comment</v>
      </c>
    </row>
    <row r="1011" spans="1:14" ht="37.5" customHeight="1" x14ac:dyDescent="0.25">
      <c r="A1011" s="15" t="s">
        <v>4575</v>
      </c>
      <c r="B1011" s="15" t="s">
        <v>4576</v>
      </c>
      <c r="C1011" s="15" t="s">
        <v>37</v>
      </c>
      <c r="D1011" s="15" t="s">
        <v>4564</v>
      </c>
      <c r="E1011" s="16"/>
      <c r="F1011" s="15" t="s">
        <v>1710</v>
      </c>
      <c r="G1011" s="16"/>
      <c r="H1011" s="12" t="s">
        <v>4577</v>
      </c>
      <c r="I1011" s="15" t="s">
        <v>4578</v>
      </c>
      <c r="J1011" s="16"/>
      <c r="K1011" s="15" t="s">
        <v>4579</v>
      </c>
      <c r="L1011" s="15" t="s">
        <v>4580</v>
      </c>
      <c r="M1011" s="15" t="str">
        <f>HYPERLINK("https://ceds.ed.gov/cedselementdetails.aspx?termid=17112")</f>
        <v>https://ceds.ed.gov/cedselementdetails.aspx?termid=17112</v>
      </c>
      <c r="N1011" s="15" t="str">
        <f>HYPERLINK("https://ceds.ed.gov/elementComment.aspx?elementName=Financial Aid Award Amount &amp;elementID=17112", "Click here to submit comment")</f>
        <v>Click here to submit comment</v>
      </c>
    </row>
    <row r="1012" spans="1:14" ht="25.5" x14ac:dyDescent="0.25">
      <c r="A1012" s="15"/>
      <c r="B1012" s="15"/>
      <c r="C1012" s="15"/>
      <c r="D1012" s="15"/>
      <c r="E1012" s="16"/>
      <c r="F1012" s="15"/>
      <c r="G1012" s="16"/>
      <c r="H1012" s="12" t="s">
        <v>4581</v>
      </c>
      <c r="I1012" s="15"/>
      <c r="J1012" s="16"/>
      <c r="K1012" s="15"/>
      <c r="L1012" s="15"/>
      <c r="M1012" s="15"/>
      <c r="N1012" s="15"/>
    </row>
    <row r="1013" spans="1:14" ht="37.5" customHeight="1" x14ac:dyDescent="0.25">
      <c r="A1013" s="15" t="s">
        <v>4582</v>
      </c>
      <c r="B1013" s="15" t="s">
        <v>4583</v>
      </c>
      <c r="C1013" s="17" t="s">
        <v>4584</v>
      </c>
      <c r="D1013" s="15" t="s">
        <v>4564</v>
      </c>
      <c r="E1013" s="16"/>
      <c r="F1013" s="16"/>
      <c r="G1013" s="16"/>
      <c r="H1013" s="12" t="s">
        <v>4585</v>
      </c>
      <c r="I1013" s="15" t="s">
        <v>4586</v>
      </c>
      <c r="J1013" s="16"/>
      <c r="K1013" s="15" t="s">
        <v>4587</v>
      </c>
      <c r="L1013" s="15" t="s">
        <v>4580</v>
      </c>
      <c r="M1013" s="15" t="str">
        <f>HYPERLINK("https://ceds.ed.gov/cedselementdetails.aspx?termid=17362")</f>
        <v>https://ceds.ed.gov/cedselementdetails.aspx?termid=17362</v>
      </c>
      <c r="N1013" s="15" t="str">
        <f>HYPERLINK("https://ceds.ed.gov/elementComment.aspx?elementName=Financial Aid Award Status &amp;elementID=17362", "Click here to submit comment")</f>
        <v>Click here to submit comment</v>
      </c>
    </row>
    <row r="1014" spans="1:14" ht="25.5" x14ac:dyDescent="0.25">
      <c r="A1014" s="15"/>
      <c r="B1014" s="15"/>
      <c r="C1014" s="15"/>
      <c r="D1014" s="15"/>
      <c r="E1014" s="16"/>
      <c r="F1014" s="16"/>
      <c r="G1014" s="16"/>
      <c r="H1014" s="12" t="s">
        <v>4588</v>
      </c>
      <c r="I1014" s="15"/>
      <c r="J1014" s="16"/>
      <c r="K1014" s="15"/>
      <c r="L1014" s="15"/>
      <c r="M1014" s="15"/>
      <c r="N1014" s="15"/>
    </row>
    <row r="1015" spans="1:14" ht="381.75" customHeight="1" x14ac:dyDescent="0.25">
      <c r="A1015" s="15" t="s">
        <v>4589</v>
      </c>
      <c r="B1015" s="15" t="s">
        <v>4590</v>
      </c>
      <c r="C1015" s="17" t="s">
        <v>4591</v>
      </c>
      <c r="D1015" s="15" t="s">
        <v>4564</v>
      </c>
      <c r="E1015" s="16"/>
      <c r="F1015" s="16"/>
      <c r="G1015" s="16"/>
      <c r="H1015" s="12" t="s">
        <v>4592</v>
      </c>
      <c r="I1015" s="15" t="s">
        <v>4593</v>
      </c>
      <c r="J1015" s="16"/>
      <c r="K1015" s="15" t="s">
        <v>4594</v>
      </c>
      <c r="L1015" s="15" t="s">
        <v>4580</v>
      </c>
      <c r="M1015" s="15" t="str">
        <f>HYPERLINK("https://ceds.ed.gov/cedselementdetails.aspx?termid=17113")</f>
        <v>https://ceds.ed.gov/cedselementdetails.aspx?termid=17113</v>
      </c>
      <c r="N1015" s="15" t="str">
        <f>HYPERLINK("https://ceds.ed.gov/elementComment.aspx?elementName=Financial Aid Award Type &amp;elementID=17113", "Click here to submit comment")</f>
        <v>Click here to submit comment</v>
      </c>
    </row>
    <row r="1016" spans="1:14" ht="25.5" x14ac:dyDescent="0.25">
      <c r="A1016" s="15"/>
      <c r="B1016" s="15"/>
      <c r="C1016" s="15"/>
      <c r="D1016" s="15"/>
      <c r="E1016" s="16"/>
      <c r="F1016" s="16"/>
      <c r="G1016" s="16"/>
      <c r="H1016" s="12" t="s">
        <v>4581</v>
      </c>
      <c r="I1016" s="15"/>
      <c r="J1016" s="16"/>
      <c r="K1016" s="15"/>
      <c r="L1016" s="15"/>
      <c r="M1016" s="15"/>
      <c r="N1016" s="15"/>
    </row>
    <row r="1017" spans="1:14" ht="114.75" x14ac:dyDescent="0.25">
      <c r="A1017" s="12" t="s">
        <v>4595</v>
      </c>
      <c r="B1017" s="12" t="s">
        <v>4596</v>
      </c>
      <c r="C1017" s="12" t="s">
        <v>37</v>
      </c>
      <c r="D1017" s="12" t="s">
        <v>4564</v>
      </c>
      <c r="E1017" s="11"/>
      <c r="F1017" s="12" t="s">
        <v>1710</v>
      </c>
      <c r="G1017" s="11"/>
      <c r="H1017" s="11"/>
      <c r="I1017" s="12" t="s">
        <v>4597</v>
      </c>
      <c r="J1017" s="11"/>
      <c r="K1017" s="12" t="s">
        <v>4598</v>
      </c>
      <c r="L1017" s="11"/>
      <c r="M1017" s="12" t="str">
        <f>HYPERLINK("https://ceds.ed.gov/cedselementdetails.aspx?termid=18319")</f>
        <v>https://ceds.ed.gov/cedselementdetails.aspx?termid=18319</v>
      </c>
      <c r="N1017" s="12" t="str">
        <f>HYPERLINK("https://ceds.ed.gov/elementComment.aspx?elementName=Financial Aid Income Level &amp;elementID=18319", "Click here to submit comment")</f>
        <v>Click here to submit comment</v>
      </c>
    </row>
    <row r="1018" spans="1:14" ht="89.25" x14ac:dyDescent="0.25">
      <c r="A1018" s="12" t="s">
        <v>4599</v>
      </c>
      <c r="B1018" s="12" t="s">
        <v>4600</v>
      </c>
      <c r="C1018" s="13" t="s">
        <v>4601</v>
      </c>
      <c r="D1018" s="12" t="s">
        <v>4564</v>
      </c>
      <c r="E1018" s="11"/>
      <c r="F1018" s="11"/>
      <c r="G1018" s="11"/>
      <c r="H1018" s="11"/>
      <c r="I1018" s="12" t="s">
        <v>4602</v>
      </c>
      <c r="J1018" s="11"/>
      <c r="K1018" s="12" t="s">
        <v>4603</v>
      </c>
      <c r="L1018" s="12" t="s">
        <v>2944</v>
      </c>
      <c r="M1018" s="12" t="str">
        <f>HYPERLINK("https://ceds.ed.gov/cedselementdetails.aspx?termid=18588")</f>
        <v>https://ceds.ed.gov/cedselementdetails.aspx?termid=18588</v>
      </c>
      <c r="N1018" s="12" t="str">
        <f>HYPERLINK("https://ceds.ed.gov/elementComment.aspx?elementName=Financial Aid Veteran’s Benefit Status &amp;elementID=18588", "Click here to submit comment")</f>
        <v>Click here to submit comment</v>
      </c>
    </row>
    <row r="1019" spans="1:14" ht="51" x14ac:dyDescent="0.25">
      <c r="A1019" s="12" t="s">
        <v>4604</v>
      </c>
      <c r="B1019" s="12" t="s">
        <v>4605</v>
      </c>
      <c r="C1019" s="13" t="s">
        <v>4606</v>
      </c>
      <c r="D1019" s="12" t="s">
        <v>4564</v>
      </c>
      <c r="E1019" s="11"/>
      <c r="F1019" s="11"/>
      <c r="G1019" s="11"/>
      <c r="H1019" s="11"/>
      <c r="I1019" s="12" t="s">
        <v>4607</v>
      </c>
      <c r="J1019" s="11"/>
      <c r="K1019" s="12" t="s">
        <v>4608</v>
      </c>
      <c r="L1019" s="12" t="s">
        <v>278</v>
      </c>
      <c r="M1019" s="12" t="str">
        <f>HYPERLINK("https://ceds.ed.gov/cedselementdetails.aspx?termid=18589")</f>
        <v>https://ceds.ed.gov/cedselementdetails.aspx?termid=18589</v>
      </c>
      <c r="N1019" s="12" t="str">
        <f>HYPERLINK("https://ceds.ed.gov/elementComment.aspx?elementName=Financial Aid Veteran’s Benefit Type &amp;elementID=18589", "Click here to submit comment")</f>
        <v>Click here to submit comment</v>
      </c>
    </row>
    <row r="1020" spans="1:14" ht="51" x14ac:dyDescent="0.25">
      <c r="A1020" s="12" t="s">
        <v>4609</v>
      </c>
      <c r="B1020" s="12" t="s">
        <v>4610</v>
      </c>
      <c r="C1020" s="12" t="s">
        <v>37</v>
      </c>
      <c r="D1020" s="12" t="s">
        <v>4564</v>
      </c>
      <c r="E1020" s="11"/>
      <c r="F1020" s="12" t="s">
        <v>91</v>
      </c>
      <c r="G1020" s="11"/>
      <c r="H1020" s="11"/>
      <c r="I1020" s="12" t="s">
        <v>4611</v>
      </c>
      <c r="J1020" s="11"/>
      <c r="K1020" s="12" t="s">
        <v>4612</v>
      </c>
      <c r="L1020" s="12" t="s">
        <v>3530</v>
      </c>
      <c r="M1020" s="12" t="str">
        <f>HYPERLINK("https://ceds.ed.gov/cedselementdetails.aspx?termid=18590")</f>
        <v>https://ceds.ed.gov/cedselementdetails.aspx?termid=18590</v>
      </c>
      <c r="N1020" s="12" t="str">
        <f>HYPERLINK("https://ceds.ed.gov/elementComment.aspx?elementName=Financial Aid Year Designator &amp;elementID=18590", "Click here to submit comment")</f>
        <v>Click here to submit comment</v>
      </c>
    </row>
    <row r="1021" spans="1:14" ht="409.5" x14ac:dyDescent="0.25">
      <c r="A1021" s="12" t="s">
        <v>4613</v>
      </c>
      <c r="B1021" s="12" t="s">
        <v>4614</v>
      </c>
      <c r="C1021" s="13" t="s">
        <v>4615</v>
      </c>
      <c r="D1021" s="12" t="s">
        <v>4503</v>
      </c>
      <c r="E1021" s="11"/>
      <c r="F1021" s="11"/>
      <c r="G1021" s="11"/>
      <c r="H1021" s="6" t="s">
        <v>4504</v>
      </c>
      <c r="I1021" s="12" t="s">
        <v>4616</v>
      </c>
      <c r="J1021" s="11"/>
      <c r="K1021" s="12" t="s">
        <v>4617</v>
      </c>
      <c r="L1021" s="11"/>
      <c r="M1021" s="12" t="str">
        <f>HYPERLINK("https://ceds.ed.gov/cedselementdetails.aspx?termid=18321")</f>
        <v>https://ceds.ed.gov/cedselementdetails.aspx?termid=18321</v>
      </c>
      <c r="N1021" s="12" t="str">
        <f>HYPERLINK("https://ceds.ed.gov/elementComment.aspx?elementName=Financial Expenditure K12 Function Code &amp;elementID=18321", "Click here to submit comment")</f>
        <v>Click here to submit comment</v>
      </c>
    </row>
    <row r="1022" spans="1:14" ht="153" x14ac:dyDescent="0.25">
      <c r="A1022" s="12" t="s">
        <v>4618</v>
      </c>
      <c r="B1022" s="12" t="s">
        <v>4619</v>
      </c>
      <c r="C1022" s="13" t="s">
        <v>4620</v>
      </c>
      <c r="D1022" s="12" t="s">
        <v>4503</v>
      </c>
      <c r="E1022" s="11"/>
      <c r="F1022" s="11"/>
      <c r="G1022" s="11"/>
      <c r="H1022" s="6" t="s">
        <v>4504</v>
      </c>
      <c r="I1022" s="12" t="s">
        <v>4621</v>
      </c>
      <c r="J1022" s="11"/>
      <c r="K1022" s="12" t="s">
        <v>4622</v>
      </c>
      <c r="L1022" s="11"/>
      <c r="M1022" s="12" t="str">
        <f>HYPERLINK("https://ceds.ed.gov/cedselementdetails.aspx?termid=18531")</f>
        <v>https://ceds.ed.gov/cedselementdetails.aspx?termid=18531</v>
      </c>
      <c r="N1022" s="12" t="str">
        <f>HYPERLINK("https://ceds.ed.gov/elementComment.aspx?elementName=Financial Expenditure K12 Level of Instruction Code &amp;elementID=18531", "Click here to submit comment")</f>
        <v>Click here to submit comment</v>
      </c>
    </row>
    <row r="1023" spans="1:14" ht="409.5" x14ac:dyDescent="0.25">
      <c r="A1023" s="12" t="s">
        <v>4623</v>
      </c>
      <c r="B1023" s="12" t="s">
        <v>4624</v>
      </c>
      <c r="C1023" s="13" t="s">
        <v>4625</v>
      </c>
      <c r="D1023" s="12" t="s">
        <v>4503</v>
      </c>
      <c r="E1023" s="11"/>
      <c r="F1023" s="11"/>
      <c r="G1023" s="11"/>
      <c r="H1023" s="6" t="s">
        <v>4504</v>
      </c>
      <c r="I1023" s="12" t="s">
        <v>4626</v>
      </c>
      <c r="J1023" s="11"/>
      <c r="K1023" s="12" t="s">
        <v>4627</v>
      </c>
      <c r="L1023" s="11"/>
      <c r="M1023" s="12" t="str">
        <f>HYPERLINK("https://ceds.ed.gov/cedselementdetails.aspx?termid=18322")</f>
        <v>https://ceds.ed.gov/cedselementdetails.aspx?termid=18322</v>
      </c>
      <c r="N1023" s="12" t="str">
        <f>HYPERLINK("https://ceds.ed.gov/elementComment.aspx?elementName=Financial Expenditure K12 Object Code &amp;elementID=18322", "Click here to submit comment")</f>
        <v>Click here to submit comment</v>
      </c>
    </row>
    <row r="1024" spans="1:14" ht="75" x14ac:dyDescent="0.25">
      <c r="A1024" s="15" t="s">
        <v>4628</v>
      </c>
      <c r="B1024" s="15" t="s">
        <v>4629</v>
      </c>
      <c r="C1024" s="15" t="s">
        <v>37</v>
      </c>
      <c r="D1024" s="15" t="s">
        <v>4503</v>
      </c>
      <c r="E1024" s="16"/>
      <c r="F1024" s="15" t="s">
        <v>165</v>
      </c>
      <c r="G1024" s="16"/>
      <c r="H1024" s="6" t="s">
        <v>4630</v>
      </c>
      <c r="I1024" s="15" t="s">
        <v>4631</v>
      </c>
      <c r="J1024" s="16"/>
      <c r="K1024" s="15" t="s">
        <v>4632</v>
      </c>
      <c r="L1024" s="16"/>
      <c r="M1024" s="15" t="str">
        <f>HYPERLINK("https://ceds.ed.gov/cedselementdetails.aspx?termid=18532")</f>
        <v>https://ceds.ed.gov/cedselementdetails.aspx?termid=18532</v>
      </c>
      <c r="N1024" s="15" t="str">
        <f>HYPERLINK("https://ceds.ed.gov/elementComment.aspx?elementName=Financial Expenditure K12 Project Reporting Code &amp;elementID=18532", "Click here to submit comment")</f>
        <v>Click here to submit comment</v>
      </c>
    </row>
    <row r="1025" spans="1:14" x14ac:dyDescent="0.25">
      <c r="A1025" s="15"/>
      <c r="B1025" s="15"/>
      <c r="C1025" s="15"/>
      <c r="D1025" s="15"/>
      <c r="E1025" s="16"/>
      <c r="F1025" s="15"/>
      <c r="G1025" s="16"/>
      <c r="H1025" s="11"/>
      <c r="I1025" s="15"/>
      <c r="J1025" s="16"/>
      <c r="K1025" s="15"/>
      <c r="L1025" s="16"/>
      <c r="M1025" s="15"/>
      <c r="N1025" s="15"/>
    </row>
    <row r="1026" spans="1:14" ht="38.25" x14ac:dyDescent="0.25">
      <c r="A1026" s="15"/>
      <c r="B1026" s="15"/>
      <c r="C1026" s="15"/>
      <c r="D1026" s="15"/>
      <c r="E1026" s="16"/>
      <c r="F1026" s="15"/>
      <c r="G1026" s="16"/>
      <c r="H1026" s="12" t="s">
        <v>4633</v>
      </c>
      <c r="I1026" s="15"/>
      <c r="J1026" s="16"/>
      <c r="K1026" s="15"/>
      <c r="L1026" s="16"/>
      <c r="M1026" s="15"/>
      <c r="N1026" s="15"/>
    </row>
    <row r="1027" spans="1:14" x14ac:dyDescent="0.25">
      <c r="A1027" s="15"/>
      <c r="B1027" s="15"/>
      <c r="C1027" s="15"/>
      <c r="D1027" s="15"/>
      <c r="E1027" s="16"/>
      <c r="F1027" s="15"/>
      <c r="G1027" s="16"/>
      <c r="H1027" s="11"/>
      <c r="I1027" s="15"/>
      <c r="J1027" s="16"/>
      <c r="K1027" s="15"/>
      <c r="L1027" s="16"/>
      <c r="M1027" s="15"/>
      <c r="N1027" s="15"/>
    </row>
    <row r="1028" spans="1:14" ht="38.25" x14ac:dyDescent="0.25">
      <c r="A1028" s="15"/>
      <c r="B1028" s="15"/>
      <c r="C1028" s="15"/>
      <c r="D1028" s="15"/>
      <c r="E1028" s="16"/>
      <c r="F1028" s="15"/>
      <c r="G1028" s="16"/>
      <c r="H1028" s="12" t="s">
        <v>4634</v>
      </c>
      <c r="I1028" s="15"/>
      <c r="J1028" s="16"/>
      <c r="K1028" s="15"/>
      <c r="L1028" s="16"/>
      <c r="M1028" s="15"/>
      <c r="N1028" s="15"/>
    </row>
    <row r="1029" spans="1:14" x14ac:dyDescent="0.25">
      <c r="A1029" s="15"/>
      <c r="B1029" s="15"/>
      <c r="C1029" s="15"/>
      <c r="D1029" s="15"/>
      <c r="E1029" s="16"/>
      <c r="F1029" s="15"/>
      <c r="G1029" s="16"/>
      <c r="H1029" s="11"/>
      <c r="I1029" s="15"/>
      <c r="J1029" s="16"/>
      <c r="K1029" s="15"/>
      <c r="L1029" s="16"/>
      <c r="M1029" s="15"/>
      <c r="N1029" s="15"/>
    </row>
    <row r="1030" spans="1:14" ht="51" x14ac:dyDescent="0.25">
      <c r="A1030" s="15"/>
      <c r="B1030" s="15"/>
      <c r="C1030" s="15"/>
      <c r="D1030" s="15"/>
      <c r="E1030" s="16"/>
      <c r="F1030" s="15"/>
      <c r="G1030" s="16"/>
      <c r="H1030" s="12" t="s">
        <v>4635</v>
      </c>
      <c r="I1030" s="15"/>
      <c r="J1030" s="16"/>
      <c r="K1030" s="15"/>
      <c r="L1030" s="16"/>
      <c r="M1030" s="15"/>
      <c r="N1030" s="15"/>
    </row>
    <row r="1031" spans="1:14" x14ac:dyDescent="0.25">
      <c r="A1031" s="15"/>
      <c r="B1031" s="15"/>
      <c r="C1031" s="15"/>
      <c r="D1031" s="15"/>
      <c r="E1031" s="16"/>
      <c r="F1031" s="15"/>
      <c r="G1031" s="16"/>
      <c r="H1031" s="12"/>
      <c r="I1031" s="15"/>
      <c r="J1031" s="16"/>
      <c r="K1031" s="15"/>
      <c r="L1031" s="16"/>
      <c r="M1031" s="15"/>
      <c r="N1031" s="15"/>
    </row>
    <row r="1032" spans="1:14" ht="25.5" x14ac:dyDescent="0.25">
      <c r="A1032" s="15"/>
      <c r="B1032" s="15"/>
      <c r="C1032" s="15"/>
      <c r="D1032" s="15"/>
      <c r="E1032" s="16"/>
      <c r="F1032" s="15"/>
      <c r="G1032" s="16"/>
      <c r="H1032" s="12" t="s">
        <v>4636</v>
      </c>
      <c r="I1032" s="15"/>
      <c r="J1032" s="16"/>
      <c r="K1032" s="15"/>
      <c r="L1032" s="16"/>
      <c r="M1032" s="15"/>
      <c r="N1032" s="15"/>
    </row>
    <row r="1033" spans="1:14" ht="51" x14ac:dyDescent="0.25">
      <c r="A1033" s="12" t="s">
        <v>4637</v>
      </c>
      <c r="B1033" s="12" t="s">
        <v>4638</v>
      </c>
      <c r="C1033" s="12" t="s">
        <v>37</v>
      </c>
      <c r="D1033" s="12" t="s">
        <v>4564</v>
      </c>
      <c r="E1033" s="11"/>
      <c r="F1033" s="12" t="s">
        <v>1710</v>
      </c>
      <c r="G1033" s="11"/>
      <c r="H1033" s="12" t="s">
        <v>4639</v>
      </c>
      <c r="I1033" s="12" t="s">
        <v>4640</v>
      </c>
      <c r="J1033" s="11"/>
      <c r="K1033" s="12" t="s">
        <v>4641</v>
      </c>
      <c r="L1033" s="12" t="s">
        <v>291</v>
      </c>
      <c r="M1033" s="12" t="str">
        <f>HYPERLINK("https://ceds.ed.gov/cedselementdetails.aspx?termid=17747")</f>
        <v>https://ceds.ed.gov/cedselementdetails.aspx?termid=17747</v>
      </c>
      <c r="N1033" s="12" t="str">
        <f>HYPERLINK("https://ceds.ed.gov/elementComment.aspx?elementName=Financial Need &amp;elementID=17747", "Click here to submit comment")</f>
        <v>Click here to submit comment</v>
      </c>
    </row>
    <row r="1034" spans="1:14" ht="38.25" x14ac:dyDescent="0.25">
      <c r="A1034" s="12" t="s">
        <v>4642</v>
      </c>
      <c r="B1034" s="12" t="s">
        <v>4643</v>
      </c>
      <c r="C1034" s="13" t="s">
        <v>4644</v>
      </c>
      <c r="D1034" s="12" t="s">
        <v>4564</v>
      </c>
      <c r="E1034" s="11"/>
      <c r="F1034" s="11"/>
      <c r="G1034" s="11"/>
      <c r="H1034" s="12" t="s">
        <v>4645</v>
      </c>
      <c r="I1034" s="12" t="s">
        <v>4646</v>
      </c>
      <c r="J1034" s="11"/>
      <c r="K1034" s="12" t="s">
        <v>4647</v>
      </c>
      <c r="L1034" s="12" t="s">
        <v>291</v>
      </c>
      <c r="M1034" s="12" t="str">
        <f>HYPERLINK("https://ceds.ed.gov/cedselementdetails.aspx?termid=18188")</f>
        <v>https://ceds.ed.gov/cedselementdetails.aspx?termid=18188</v>
      </c>
      <c r="N1034" s="12" t="str">
        <f>HYPERLINK("https://ceds.ed.gov/elementComment.aspx?elementName=Financial Need Determination Methodology &amp;elementID=18188", "Click here to submit comment")</f>
        <v>Click here to submit comment</v>
      </c>
    </row>
    <row r="1035" spans="1:14" ht="76.5" x14ac:dyDescent="0.25">
      <c r="A1035" s="12" t="s">
        <v>4648</v>
      </c>
      <c r="B1035" s="12" t="s">
        <v>4649</v>
      </c>
      <c r="C1035" s="13" t="s">
        <v>4650</v>
      </c>
      <c r="D1035" s="12" t="s">
        <v>4651</v>
      </c>
      <c r="E1035" s="11"/>
      <c r="F1035" s="11"/>
      <c r="G1035" s="11"/>
      <c r="H1035" s="11"/>
      <c r="I1035" s="12" t="s">
        <v>4652</v>
      </c>
      <c r="J1035" s="11"/>
      <c r="K1035" s="12" t="s">
        <v>4653</v>
      </c>
      <c r="L1035" s="12" t="s">
        <v>258</v>
      </c>
      <c r="M1035" s="12" t="str">
        <f>HYPERLINK("https://ceds.ed.gov/cedselementdetails.aspx?termid=17548")</f>
        <v>https://ceds.ed.gov/cedselementdetails.aspx?termid=17548</v>
      </c>
      <c r="N1035" s="12" t="str">
        <f>HYPERLINK("https://ceds.ed.gov/elementComment.aspx?elementName=Firearm Type &amp;elementID=17548", "Click here to submit comment")</f>
        <v>Click here to submit comment</v>
      </c>
    </row>
    <row r="1036" spans="1:14" ht="25.5" x14ac:dyDescent="0.25">
      <c r="A1036" s="12" t="s">
        <v>4654</v>
      </c>
      <c r="B1036" s="12" t="s">
        <v>4655</v>
      </c>
      <c r="C1036" s="12" t="s">
        <v>37</v>
      </c>
      <c r="D1036" s="12" t="s">
        <v>2141</v>
      </c>
      <c r="E1036" s="11"/>
      <c r="F1036" s="12" t="s">
        <v>135</v>
      </c>
      <c r="G1036" s="11"/>
      <c r="H1036" s="11"/>
      <c r="I1036" s="12" t="s">
        <v>4656</v>
      </c>
      <c r="J1036" s="11"/>
      <c r="K1036" s="12" t="s">
        <v>4657</v>
      </c>
      <c r="L1036" s="12" t="s">
        <v>238</v>
      </c>
      <c r="M1036" s="12" t="str">
        <f>HYPERLINK("https://ceds.ed.gov/cedselementdetails.aspx?termid=18066")</f>
        <v>https://ceds.ed.gov/cedselementdetails.aspx?termid=18066</v>
      </c>
      <c r="N1036" s="12" t="str">
        <f>HYPERLINK("https://ceds.ed.gov/elementComment.aspx?elementName=First Aid Certification Expiration Date &amp;elementID=18066", "Click here to submit comment")</f>
        <v>Click here to submit comment</v>
      </c>
    </row>
    <row r="1037" spans="1:14" ht="38.25" x14ac:dyDescent="0.25">
      <c r="A1037" s="12" t="s">
        <v>4658</v>
      </c>
      <c r="B1037" s="12" t="s">
        <v>4659</v>
      </c>
      <c r="C1037" s="12" t="s">
        <v>37</v>
      </c>
      <c r="D1037" s="12" t="s">
        <v>4660</v>
      </c>
      <c r="E1037" s="11"/>
      <c r="F1037" s="12" t="s">
        <v>135</v>
      </c>
      <c r="G1037" s="11"/>
      <c r="H1037" s="11"/>
      <c r="I1037" s="12" t="s">
        <v>4661</v>
      </c>
      <c r="J1037" s="11"/>
      <c r="K1037" s="12" t="s">
        <v>4662</v>
      </c>
      <c r="L1037" s="11"/>
      <c r="M1037" s="12" t="str">
        <f>HYPERLINK("https://ceds.ed.gov/cedselementdetails.aspx?termid=17520")</f>
        <v>https://ceds.ed.gov/cedselementdetails.aspx?termid=17520</v>
      </c>
      <c r="N1037" s="12" t="str">
        <f>HYPERLINK("https://ceds.ed.gov/elementComment.aspx?elementName=First Entry Date into a US School &amp;elementID=17520", "Click here to submit comment")</f>
        <v>Click here to submit comment</v>
      </c>
    </row>
    <row r="1038" spans="1:14" ht="25.5" x14ac:dyDescent="0.25">
      <c r="A1038" s="12" t="s">
        <v>4663</v>
      </c>
      <c r="B1038" s="12" t="s">
        <v>4664</v>
      </c>
      <c r="C1038" s="12" t="s">
        <v>37</v>
      </c>
      <c r="D1038" s="12" t="s">
        <v>3457</v>
      </c>
      <c r="E1038" s="11"/>
      <c r="F1038" s="12" t="s">
        <v>135</v>
      </c>
      <c r="G1038" s="11"/>
      <c r="H1038" s="11"/>
      <c r="I1038" s="12" t="s">
        <v>4665</v>
      </c>
      <c r="J1038" s="11"/>
      <c r="K1038" s="12" t="s">
        <v>4666</v>
      </c>
      <c r="L1038" s="11"/>
      <c r="M1038" s="12" t="str">
        <f>HYPERLINK("https://ceds.ed.gov/cedselementdetails.aspx?termid=17488")</f>
        <v>https://ceds.ed.gov/cedselementdetails.aspx?termid=17488</v>
      </c>
      <c r="N1038" s="12" t="str">
        <f>HYPERLINK("https://ceds.ed.gov/elementComment.aspx?elementName=First Instruction Date &amp;elementID=17488", "Click here to submit comment")</f>
        <v>Click here to submit comment</v>
      </c>
    </row>
    <row r="1039" spans="1:14" ht="409.5" x14ac:dyDescent="0.25">
      <c r="A1039" s="12" t="s">
        <v>4667</v>
      </c>
      <c r="B1039" s="12" t="s">
        <v>4668</v>
      </c>
      <c r="C1039" s="12" t="s">
        <v>37</v>
      </c>
      <c r="D1039" s="12" t="s">
        <v>4669</v>
      </c>
      <c r="E1039" s="11"/>
      <c r="F1039" s="12" t="s">
        <v>1468</v>
      </c>
      <c r="G1039" s="11"/>
      <c r="H1039" s="12" t="s">
        <v>4670</v>
      </c>
      <c r="I1039" s="12" t="s">
        <v>4671</v>
      </c>
      <c r="J1039" s="11"/>
      <c r="K1039" s="12" t="s">
        <v>4672</v>
      </c>
      <c r="L1039" s="12" t="s">
        <v>4673</v>
      </c>
      <c r="M1039" s="12" t="str">
        <f>HYPERLINK("https://ceds.ed.gov/cedselementdetails.aspx?termid=17115")</f>
        <v>https://ceds.ed.gov/cedselementdetails.aspx?termid=17115</v>
      </c>
      <c r="N1039" s="12" t="str">
        <f>HYPERLINK("https://ceds.ed.gov/elementComment.aspx?elementName=First Name &amp;elementID=17115", "Click here to submit comment")</f>
        <v>Click here to submit comment</v>
      </c>
    </row>
    <row r="1040" spans="1:14" ht="153" x14ac:dyDescent="0.25">
      <c r="A1040" s="12" t="s">
        <v>4674</v>
      </c>
      <c r="B1040" s="12" t="s">
        <v>4675</v>
      </c>
      <c r="C1040" s="12" t="s">
        <v>24</v>
      </c>
      <c r="D1040" s="12" t="s">
        <v>2402</v>
      </c>
      <c r="E1040" s="11"/>
      <c r="F1040" s="11"/>
      <c r="G1040" s="11"/>
      <c r="H1040" s="11"/>
      <c r="I1040" s="12" t="s">
        <v>4676</v>
      </c>
      <c r="J1040" s="11"/>
      <c r="K1040" s="12" t="s">
        <v>4677</v>
      </c>
      <c r="L1040" s="12" t="s">
        <v>225</v>
      </c>
      <c r="M1040" s="12" t="str">
        <f>HYPERLINK("https://ceds.ed.gov/cedselementdetails.aspx?termid=17117")</f>
        <v>https://ceds.ed.gov/cedselementdetails.aspx?termid=17117</v>
      </c>
      <c r="N1040" s="12" t="str">
        <f>HYPERLINK("https://ceds.ed.gov/elementComment.aspx?elementName=First Time Postsecondary Student &amp;elementID=17117", "Click here to submit comment")</f>
        <v>Click here to submit comment</v>
      </c>
    </row>
    <row r="1041" spans="1:14" ht="114.75" x14ac:dyDescent="0.25">
      <c r="A1041" s="12" t="s">
        <v>4678</v>
      </c>
      <c r="B1041" s="12" t="s">
        <v>4679</v>
      </c>
      <c r="C1041" s="12" t="s">
        <v>37</v>
      </c>
      <c r="D1041" s="12" t="s">
        <v>4493</v>
      </c>
      <c r="E1041" s="11"/>
      <c r="F1041" s="12" t="s">
        <v>135</v>
      </c>
      <c r="G1041" s="11"/>
      <c r="H1041" s="11"/>
      <c r="I1041" s="12" t="s">
        <v>4680</v>
      </c>
      <c r="J1041" s="11"/>
      <c r="K1041" s="12" t="s">
        <v>4681</v>
      </c>
      <c r="L1041" s="11"/>
      <c r="M1041" s="12" t="str">
        <f>HYPERLINK("https://ceds.ed.gov/cedselementdetails.aspx?termid=18623")</f>
        <v>https://ceds.ed.gov/cedselementdetails.aspx?termid=18623</v>
      </c>
      <c r="N1041" s="12" t="str">
        <f>HYPERLINK("https://ceds.ed.gov/elementComment.aspx?elementName=Fiscal Period Begin Date &amp;elementID=18623", "Click here to submit comment")</f>
        <v>Click here to submit comment</v>
      </c>
    </row>
    <row r="1042" spans="1:14" ht="114.75" x14ac:dyDescent="0.25">
      <c r="A1042" s="12" t="s">
        <v>4682</v>
      </c>
      <c r="B1042" s="12" t="s">
        <v>4683</v>
      </c>
      <c r="C1042" s="12" t="s">
        <v>37</v>
      </c>
      <c r="D1042" s="12" t="s">
        <v>4493</v>
      </c>
      <c r="E1042" s="11"/>
      <c r="F1042" s="12" t="s">
        <v>135</v>
      </c>
      <c r="G1042" s="11"/>
      <c r="H1042" s="12" t="s">
        <v>160</v>
      </c>
      <c r="I1042" s="12" t="s">
        <v>4684</v>
      </c>
      <c r="J1042" s="11"/>
      <c r="K1042" s="12" t="s">
        <v>4685</v>
      </c>
      <c r="L1042" s="11"/>
      <c r="M1042" s="12" t="str">
        <f>HYPERLINK("https://ceds.ed.gov/cedselementdetails.aspx?termid=18624")</f>
        <v>https://ceds.ed.gov/cedselementdetails.aspx?termid=18624</v>
      </c>
      <c r="N1042" s="12" t="str">
        <f>HYPERLINK("https://ceds.ed.gov/elementComment.aspx?elementName=Fiscal Period End Date &amp;elementID=18624", "Click here to submit comment")</f>
        <v>Click here to submit comment</v>
      </c>
    </row>
    <row r="1043" spans="1:14" ht="114.75" x14ac:dyDescent="0.25">
      <c r="A1043" s="12" t="s">
        <v>4686</v>
      </c>
      <c r="B1043" s="12" t="s">
        <v>4687</v>
      </c>
      <c r="C1043" s="12" t="s">
        <v>37</v>
      </c>
      <c r="D1043" s="12" t="s">
        <v>4493</v>
      </c>
      <c r="E1043" s="11"/>
      <c r="F1043" s="12" t="s">
        <v>2094</v>
      </c>
      <c r="G1043" s="11"/>
      <c r="H1043" s="11"/>
      <c r="I1043" s="12" t="s">
        <v>4688</v>
      </c>
      <c r="J1043" s="11"/>
      <c r="K1043" s="12" t="s">
        <v>4689</v>
      </c>
      <c r="L1043" s="11"/>
      <c r="M1043" s="12" t="str">
        <f>HYPERLINK("https://ceds.ed.gov/cedselementdetails.aspx?termid=18620")</f>
        <v>https://ceds.ed.gov/cedselementdetails.aspx?termid=18620</v>
      </c>
      <c r="N1043" s="12" t="str">
        <f>HYPERLINK("https://ceds.ed.gov/elementComment.aspx?elementName=Fiscal Year &amp;elementID=18620", "Click here to submit comment")</f>
        <v>Click here to submit comment</v>
      </c>
    </row>
    <row r="1044" spans="1:14" ht="51" x14ac:dyDescent="0.25">
      <c r="A1044" s="12" t="s">
        <v>4690</v>
      </c>
      <c r="B1044" s="12" t="s">
        <v>4691</v>
      </c>
      <c r="C1044" s="12" t="s">
        <v>24</v>
      </c>
      <c r="D1044" s="12" t="s">
        <v>3641</v>
      </c>
      <c r="E1044" s="11"/>
      <c r="F1044" s="11"/>
      <c r="G1044" s="11"/>
      <c r="H1044" s="11"/>
      <c r="I1044" s="12" t="s">
        <v>4692</v>
      </c>
      <c r="J1044" s="11"/>
      <c r="K1044" s="12" t="s">
        <v>4693</v>
      </c>
      <c r="L1044" s="12" t="s">
        <v>291</v>
      </c>
      <c r="M1044" s="12" t="str">
        <f>HYPERLINK("https://ceds.ed.gov/cedselementdetails.aspx?termid=17743")</f>
        <v>https://ceds.ed.gov/cedselementdetails.aspx?termid=17743</v>
      </c>
      <c r="N1044" s="12" t="str">
        <f>HYPERLINK("https://ceds.ed.gov/elementComment.aspx?elementName=Fraternity Participation Status &amp;elementID=17743", "Click here to submit comment")</f>
        <v>Click here to submit comment</v>
      </c>
    </row>
    <row r="1045" spans="1:14" ht="25.5" x14ac:dyDescent="0.25">
      <c r="A1045" s="12" t="s">
        <v>4694</v>
      </c>
      <c r="B1045" s="12" t="s">
        <v>4695</v>
      </c>
      <c r="C1045" s="12" t="s">
        <v>37</v>
      </c>
      <c r="D1045" s="12" t="s">
        <v>3462</v>
      </c>
      <c r="E1045" s="11"/>
      <c r="F1045" s="12" t="s">
        <v>1922</v>
      </c>
      <c r="G1045" s="11"/>
      <c r="H1045" s="11"/>
      <c r="I1045" s="12" t="s">
        <v>4696</v>
      </c>
      <c r="J1045" s="11"/>
      <c r="K1045" s="12" t="s">
        <v>4697</v>
      </c>
      <c r="L1045" s="11"/>
      <c r="M1045" s="12" t="str">
        <f>HYPERLINK("https://ceds.ed.gov/cedselementdetails.aspx?termid=18695")</f>
        <v>https://ceds.ed.gov/cedselementdetails.aspx?termid=18695</v>
      </c>
      <c r="N1045" s="12" t="str">
        <f>HYPERLINK("https://ceds.ed.gov/elementComment.aspx?elementName=Frequency Instances Per Cycle &amp;elementID=18695", "Click here to submit comment")</f>
        <v>Click here to submit comment</v>
      </c>
    </row>
    <row r="1046" spans="1:14" ht="63.75" x14ac:dyDescent="0.25">
      <c r="A1046" s="12" t="s">
        <v>4698</v>
      </c>
      <c r="B1046" s="12" t="s">
        <v>4699</v>
      </c>
      <c r="C1046" s="12" t="s">
        <v>37</v>
      </c>
      <c r="D1046" s="12" t="s">
        <v>3462</v>
      </c>
      <c r="E1046" s="11"/>
      <c r="F1046" s="12" t="s">
        <v>1922</v>
      </c>
      <c r="G1046" s="11"/>
      <c r="H1046" s="11"/>
      <c r="I1046" s="12" t="s">
        <v>4700</v>
      </c>
      <c r="J1046" s="11"/>
      <c r="K1046" s="12" t="s">
        <v>4701</v>
      </c>
      <c r="L1046" s="11"/>
      <c r="M1046" s="12" t="str">
        <f>HYPERLINK("https://ceds.ed.gov/cedselementdetails.aspx?termid=18696")</f>
        <v>https://ceds.ed.gov/cedselementdetails.aspx?termid=18696</v>
      </c>
      <c r="N1046" s="12" t="str">
        <f>HYPERLINK("https://ceds.ed.gov/elementComment.aspx?elementName=Frequency Length &amp;elementID=18696", "Click here to submit comment")</f>
        <v>Click here to submit comment</v>
      </c>
    </row>
    <row r="1047" spans="1:14" ht="89.25" x14ac:dyDescent="0.25">
      <c r="A1047" s="12" t="s">
        <v>4702</v>
      </c>
      <c r="B1047" s="12" t="s">
        <v>4703</v>
      </c>
      <c r="C1047" s="13" t="s">
        <v>4704</v>
      </c>
      <c r="D1047" s="12" t="s">
        <v>3706</v>
      </c>
      <c r="E1047" s="11"/>
      <c r="F1047" s="11"/>
      <c r="G1047" s="11"/>
      <c r="H1047" s="11"/>
      <c r="I1047" s="12" t="s">
        <v>4705</v>
      </c>
      <c r="J1047" s="11"/>
      <c r="K1047" s="12" t="s">
        <v>4706</v>
      </c>
      <c r="L1047" s="11"/>
      <c r="M1047" s="12" t="str">
        <f>HYPERLINK("https://ceds.ed.gov/cedselementdetails.aspx?termid=18323")</f>
        <v>https://ceds.ed.gov/cedselementdetails.aspx?termid=18323</v>
      </c>
      <c r="N1047" s="12" t="str">
        <f>HYPERLINK("https://ceds.ed.gov/elementComment.aspx?elementName=Frequency of Service &amp;elementID=18323", "Click here to submit comment")</f>
        <v>Click here to submit comment</v>
      </c>
    </row>
    <row r="1048" spans="1:14" ht="89.25" x14ac:dyDescent="0.25">
      <c r="A1048" s="12" t="s">
        <v>4707</v>
      </c>
      <c r="B1048" s="12" t="s">
        <v>4708</v>
      </c>
      <c r="C1048" s="13" t="s">
        <v>4709</v>
      </c>
      <c r="D1048" s="12" t="s">
        <v>3462</v>
      </c>
      <c r="E1048" s="11"/>
      <c r="F1048" s="11"/>
      <c r="G1048" s="11"/>
      <c r="H1048" s="11"/>
      <c r="I1048" s="12" t="s">
        <v>4710</v>
      </c>
      <c r="J1048" s="11"/>
      <c r="K1048" s="12" t="s">
        <v>4711</v>
      </c>
      <c r="L1048" s="11"/>
      <c r="M1048" s="12" t="str">
        <f>HYPERLINK("https://ceds.ed.gov/cedselementdetails.aspx?termid=18694")</f>
        <v>https://ceds.ed.gov/cedselementdetails.aspx?termid=18694</v>
      </c>
      <c r="N1048" s="12" t="str">
        <f>HYPERLINK("https://ceds.ed.gov/elementComment.aspx?elementName=Frequency Unit &amp;elementID=18694", "Click here to submit comment")</f>
        <v>Click here to submit comment</v>
      </c>
    </row>
    <row r="1049" spans="1:14" ht="63.75" x14ac:dyDescent="0.25">
      <c r="A1049" s="12" t="s">
        <v>4712</v>
      </c>
      <c r="B1049" s="12" t="s">
        <v>4713</v>
      </c>
      <c r="C1049" s="12" t="s">
        <v>37</v>
      </c>
      <c r="D1049" s="12" t="s">
        <v>4714</v>
      </c>
      <c r="E1049" s="12" t="s">
        <v>188</v>
      </c>
      <c r="F1049" s="12" t="s">
        <v>4715</v>
      </c>
      <c r="G1049" s="12" t="s">
        <v>1721</v>
      </c>
      <c r="H1049" s="11"/>
      <c r="I1049" s="12" t="s">
        <v>4716</v>
      </c>
      <c r="J1049" s="11"/>
      <c r="K1049" s="12" t="s">
        <v>4717</v>
      </c>
      <c r="L1049" s="11"/>
      <c r="M1049" s="12" t="str">
        <f>HYPERLINK("https://ceds.ed.gov/cedselementdetails.aspx?termid=18906")</f>
        <v>https://ceds.ed.gov/cedselementdetails.aspx?termid=18906</v>
      </c>
      <c r="N1049" s="12" t="str">
        <f>HYPERLINK("https://ceds.ed.gov/elementComment.aspx?elementName=Full Time Equivalency &amp;elementID=18906", "Click here to submit comment")</f>
        <v>Click here to submit comment</v>
      </c>
    </row>
    <row r="1050" spans="1:14" ht="38.25" x14ac:dyDescent="0.25">
      <c r="A1050" s="12" t="s">
        <v>4718</v>
      </c>
      <c r="B1050" s="12" t="s">
        <v>4719</v>
      </c>
      <c r="C1050" s="12" t="s">
        <v>24</v>
      </c>
      <c r="D1050" s="12" t="s">
        <v>3591</v>
      </c>
      <c r="E1050" s="11"/>
      <c r="F1050" s="11"/>
      <c r="G1050" s="11"/>
      <c r="H1050" s="11"/>
      <c r="I1050" s="12" t="s">
        <v>4720</v>
      </c>
      <c r="J1050" s="11"/>
      <c r="K1050" s="12" t="s">
        <v>4721</v>
      </c>
      <c r="L1050" s="11"/>
      <c r="M1050" s="12" t="str">
        <f>HYPERLINK("https://ceds.ed.gov/cedselementdetails.aspx?termid=17504")</f>
        <v>https://ceds.ed.gov/cedselementdetails.aspx?termid=17504</v>
      </c>
      <c r="N1050" s="12" t="str">
        <f>HYPERLINK("https://ceds.ed.gov/elementComment.aspx?elementName=Full Year Expulsion &amp;elementID=17504", "Click here to submit comment")</f>
        <v>Click here to submit comment</v>
      </c>
    </row>
    <row r="1051" spans="1:14" ht="369.75" x14ac:dyDescent="0.25">
      <c r="A1051" s="12" t="s">
        <v>4722</v>
      </c>
      <c r="B1051" s="12" t="s">
        <v>4723</v>
      </c>
      <c r="C1051" s="13" t="s">
        <v>4724</v>
      </c>
      <c r="D1051" s="12" t="s">
        <v>4725</v>
      </c>
      <c r="E1051" s="12" t="s">
        <v>195</v>
      </c>
      <c r="F1051" s="11"/>
      <c r="G1051" s="12" t="s">
        <v>2856</v>
      </c>
      <c r="H1051" s="11"/>
      <c r="I1051" s="12" t="s">
        <v>4726</v>
      </c>
      <c r="J1051" s="11"/>
      <c r="K1051" s="12" t="s">
        <v>4727</v>
      </c>
      <c r="L1051" s="12" t="s">
        <v>3920</v>
      </c>
      <c r="M1051" s="12" t="str">
        <f>HYPERLINK("https://ceds.ed.gov/cedselementdetails.aspx?termid=17866")</f>
        <v>https://ceds.ed.gov/cedselementdetails.aspx?termid=17866</v>
      </c>
      <c r="N1051" s="12" t="str">
        <f>HYPERLINK("https://ceds.ed.gov/elementComment.aspx?elementName=Full-Time Employee Benefits &amp;elementID=17866", "Click here to submit comment")</f>
        <v>Click here to submit comment</v>
      </c>
    </row>
    <row r="1052" spans="1:14" ht="127.5" x14ac:dyDescent="0.25">
      <c r="A1052" s="12" t="s">
        <v>4728</v>
      </c>
      <c r="B1052" s="12" t="s">
        <v>4729</v>
      </c>
      <c r="C1052" s="13" t="s">
        <v>4730</v>
      </c>
      <c r="D1052" s="12" t="s">
        <v>76</v>
      </c>
      <c r="E1052" s="11"/>
      <c r="F1052" s="11"/>
      <c r="G1052" s="11"/>
      <c r="H1052" s="12" t="s">
        <v>4731</v>
      </c>
      <c r="I1052" s="12" t="s">
        <v>4732</v>
      </c>
      <c r="J1052" s="11"/>
      <c r="K1052" s="12" t="s">
        <v>4733</v>
      </c>
      <c r="L1052" s="12" t="s">
        <v>80</v>
      </c>
      <c r="M1052" s="12" t="str">
        <f>HYPERLINK("https://ceds.ed.gov/cedselementdetails.aspx?termid=17713")</f>
        <v>https://ceds.ed.gov/cedselementdetails.aspx?termid=17713</v>
      </c>
      <c r="N1052" s="12" t="str">
        <f>HYPERLINK("https://ceds.ed.gov/elementComment.aspx?elementName=Full-time Status &amp;elementID=17713", "Click here to submit comment")</f>
        <v>Click here to submit comment</v>
      </c>
    </row>
    <row r="1053" spans="1:14" ht="38.25" x14ac:dyDescent="0.25">
      <c r="A1053" s="12" t="s">
        <v>4734</v>
      </c>
      <c r="B1053" s="12" t="s">
        <v>4735</v>
      </c>
      <c r="C1053" s="12" t="s">
        <v>37</v>
      </c>
      <c r="D1053" s="12" t="s">
        <v>4736</v>
      </c>
      <c r="E1053" s="11"/>
      <c r="F1053" s="12" t="s">
        <v>1710</v>
      </c>
      <c r="G1053" s="11"/>
      <c r="H1053" s="11"/>
      <c r="I1053" s="12" t="s">
        <v>4737</v>
      </c>
      <c r="J1053" s="11"/>
      <c r="K1053" s="12" t="s">
        <v>4738</v>
      </c>
      <c r="L1053" s="12" t="s">
        <v>245</v>
      </c>
      <c r="M1053" s="12" t="str">
        <f>HYPERLINK("https://ceds.ed.gov/cedselementdetails.aspx?termid=17442")</f>
        <v>https://ceds.ed.gov/cedselementdetails.aspx?termid=17442</v>
      </c>
      <c r="N1053" s="12" t="str">
        <f>HYPERLINK("https://ceds.ed.gov/elementComment.aspx?elementName=Funds Transfer Amount &amp;elementID=17442", "Click here to submit comment")</f>
        <v>Click here to submit comment</v>
      </c>
    </row>
    <row r="1054" spans="1:14" ht="38.25" x14ac:dyDescent="0.25">
      <c r="A1054" s="12" t="s">
        <v>4739</v>
      </c>
      <c r="B1054" s="12" t="s">
        <v>4740</v>
      </c>
      <c r="C1054" s="12" t="s">
        <v>24</v>
      </c>
      <c r="D1054" s="12" t="s">
        <v>3635</v>
      </c>
      <c r="E1054" s="11"/>
      <c r="F1054" s="11"/>
      <c r="G1054" s="11"/>
      <c r="H1054" s="11"/>
      <c r="I1054" s="12" t="s">
        <v>4741</v>
      </c>
      <c r="J1054" s="11"/>
      <c r="K1054" s="12" t="s">
        <v>4742</v>
      </c>
      <c r="L1054" s="12" t="s">
        <v>28</v>
      </c>
      <c r="M1054" s="12" t="str">
        <f>HYPERLINK("https://ceds.ed.gov/cedselementdetails.aspx?termid=17120")</f>
        <v>https://ceds.ed.gov/cedselementdetails.aspx?termid=17120</v>
      </c>
      <c r="N1054" s="12" t="str">
        <f>HYPERLINK("https://ceds.ed.gov/elementComment.aspx?elementName=GED Preparation Program Participation Status &amp;elementID=17120", "Click here to submit comment")</f>
        <v>Click here to submit comment</v>
      </c>
    </row>
    <row r="1055" spans="1:14" ht="381.75" customHeight="1" x14ac:dyDescent="0.25">
      <c r="A1055" s="15" t="s">
        <v>4743</v>
      </c>
      <c r="B1055" s="15" t="s">
        <v>4744</v>
      </c>
      <c r="C1055" s="15" t="s">
        <v>37</v>
      </c>
      <c r="D1055" s="15" t="s">
        <v>4745</v>
      </c>
      <c r="E1055" s="16"/>
      <c r="F1055" s="15" t="s">
        <v>3096</v>
      </c>
      <c r="G1055" s="16"/>
      <c r="H1055" s="12" t="s">
        <v>4746</v>
      </c>
      <c r="I1055" s="15" t="s">
        <v>4747</v>
      </c>
      <c r="J1055" s="16"/>
      <c r="K1055" s="15" t="s">
        <v>4748</v>
      </c>
      <c r="L1055" s="15" t="s">
        <v>4749</v>
      </c>
      <c r="M1055" s="15" t="str">
        <f>HYPERLINK("https://ceds.ed.gov/cedselementdetails.aspx?termid=17121")</f>
        <v>https://ceds.ed.gov/cedselementdetails.aspx?termid=17121</v>
      </c>
      <c r="N1055" s="15" t="str">
        <f>HYPERLINK("https://ceds.ed.gov/elementComment.aspx?elementName=Generation Code or Suffix &amp;elementID=17121", "Click here to submit comment")</f>
        <v>Click here to submit comment</v>
      </c>
    </row>
    <row r="1056" spans="1:14" ht="63.75" x14ac:dyDescent="0.25">
      <c r="A1056" s="15"/>
      <c r="B1056" s="15"/>
      <c r="C1056" s="15"/>
      <c r="D1056" s="15"/>
      <c r="E1056" s="16"/>
      <c r="F1056" s="15"/>
      <c r="G1056" s="16"/>
      <c r="H1056" s="12" t="s">
        <v>4750</v>
      </c>
      <c r="I1056" s="15"/>
      <c r="J1056" s="16"/>
      <c r="K1056" s="15"/>
      <c r="L1056" s="15"/>
      <c r="M1056" s="15"/>
      <c r="N1056" s="15"/>
    </row>
    <row r="1057" spans="1:14" ht="51" x14ac:dyDescent="0.25">
      <c r="A1057" s="12" t="s">
        <v>4751</v>
      </c>
      <c r="B1057" s="12" t="s">
        <v>4752</v>
      </c>
      <c r="C1057" s="12" t="s">
        <v>3430</v>
      </c>
      <c r="D1057" s="12" t="s">
        <v>3635</v>
      </c>
      <c r="E1057" s="11"/>
      <c r="F1057" s="11"/>
      <c r="G1057" s="11"/>
      <c r="H1057" s="11"/>
      <c r="I1057" s="12" t="s">
        <v>4753</v>
      </c>
      <c r="J1057" s="11"/>
      <c r="K1057" s="12" t="s">
        <v>4754</v>
      </c>
      <c r="L1057" s="12" t="s">
        <v>72</v>
      </c>
      <c r="M1057" s="12" t="str">
        <f>HYPERLINK("https://ceds.ed.gov/cedselementdetails.aspx?termid=17122")</f>
        <v>https://ceds.ed.gov/cedselementdetails.aspx?termid=17122</v>
      </c>
      <c r="N1057" s="12" t="str">
        <f>HYPERLINK("https://ceds.ed.gov/elementComment.aspx?elementName=Gifted and Talented Indicator &amp;elementID=17122", "Click here to submit comment")</f>
        <v>Click here to submit comment</v>
      </c>
    </row>
    <row r="1058" spans="1:14" ht="63.75" x14ac:dyDescent="0.25">
      <c r="A1058" s="12" t="s">
        <v>4755</v>
      </c>
      <c r="B1058" s="12" t="s">
        <v>4756</v>
      </c>
      <c r="C1058" s="12" t="s">
        <v>37</v>
      </c>
      <c r="D1058" s="12" t="s">
        <v>4757</v>
      </c>
      <c r="E1058" s="11"/>
      <c r="F1058" s="12" t="s">
        <v>382</v>
      </c>
      <c r="G1058" s="11"/>
      <c r="H1058" s="11"/>
      <c r="I1058" s="12" t="s">
        <v>4758</v>
      </c>
      <c r="J1058" s="11"/>
      <c r="K1058" s="12" t="s">
        <v>4759</v>
      </c>
      <c r="L1058" s="11"/>
      <c r="M1058" s="12" t="str">
        <f>HYPERLINK("https://ceds.ed.gov/cedselementdetails.aspx?termid=18671")</f>
        <v>https://ceds.ed.gov/cedselementdetails.aspx?termid=18671</v>
      </c>
      <c r="N1058" s="12" t="str">
        <f>HYPERLINK("https://ceds.ed.gov/elementComment.aspx?elementName=Goal Current Performance Description &amp;elementID=18671", "Click here to submit comment")</f>
        <v>Click here to submit comment</v>
      </c>
    </row>
    <row r="1059" spans="1:14" ht="127.5" x14ac:dyDescent="0.25">
      <c r="A1059" s="12" t="s">
        <v>4760</v>
      </c>
      <c r="B1059" s="12" t="s">
        <v>4761</v>
      </c>
      <c r="C1059" s="12" t="s">
        <v>37</v>
      </c>
      <c r="D1059" s="12" t="s">
        <v>4762</v>
      </c>
      <c r="E1059" s="11"/>
      <c r="F1059" s="12" t="s">
        <v>129</v>
      </c>
      <c r="G1059" s="11"/>
      <c r="H1059" s="11"/>
      <c r="I1059" s="12" t="s">
        <v>4763</v>
      </c>
      <c r="J1059" s="11"/>
      <c r="K1059" s="12" t="s">
        <v>4764</v>
      </c>
      <c r="L1059" s="11"/>
      <c r="M1059" s="12" t="str">
        <f>HYPERLINK("https://ceds.ed.gov/cedselementdetails.aspx?termid=17903")</f>
        <v>https://ceds.ed.gov/cedselementdetails.aspx?termid=17903</v>
      </c>
      <c r="N1059" s="12" t="str">
        <f>HYPERLINK("https://ceds.ed.gov/elementComment.aspx?elementName=Goal Description &amp;elementID=17903", "Click here to submit comment")</f>
        <v>Click here to submit comment</v>
      </c>
    </row>
    <row r="1060" spans="1:14" ht="127.5" x14ac:dyDescent="0.25">
      <c r="A1060" s="12" t="s">
        <v>4765</v>
      </c>
      <c r="B1060" s="12" t="s">
        <v>4766</v>
      </c>
      <c r="C1060" s="12" t="s">
        <v>37</v>
      </c>
      <c r="D1060" s="12" t="s">
        <v>4762</v>
      </c>
      <c r="E1060" s="11"/>
      <c r="F1060" s="12" t="s">
        <v>135</v>
      </c>
      <c r="G1060" s="11"/>
      <c r="H1060" s="12" t="s">
        <v>4767</v>
      </c>
      <c r="I1060" s="12" t="s">
        <v>4768</v>
      </c>
      <c r="J1060" s="11"/>
      <c r="K1060" s="12" t="s">
        <v>4769</v>
      </c>
      <c r="L1060" s="11"/>
      <c r="M1060" s="12" t="str">
        <f>HYPERLINK("https://ceds.ed.gov/cedselementdetails.aspx?termid=18170")</f>
        <v>https://ceds.ed.gov/cedselementdetails.aspx?termid=18170</v>
      </c>
      <c r="N1060" s="12" t="str">
        <f>HYPERLINK("https://ceds.ed.gov/elementComment.aspx?elementName=Goal End Date &amp;elementID=18170", "Click here to submit comment")</f>
        <v>Click here to submit comment</v>
      </c>
    </row>
    <row r="1061" spans="1:14" ht="38.25" x14ac:dyDescent="0.25">
      <c r="A1061" s="12" t="s">
        <v>4770</v>
      </c>
      <c r="B1061" s="12" t="s">
        <v>4771</v>
      </c>
      <c r="C1061" s="12" t="s">
        <v>37</v>
      </c>
      <c r="D1061" s="12" t="s">
        <v>4772</v>
      </c>
      <c r="E1061" s="11"/>
      <c r="F1061" s="12" t="s">
        <v>4773</v>
      </c>
      <c r="G1061" s="11"/>
      <c r="H1061" s="11"/>
      <c r="I1061" s="12" t="s">
        <v>4774</v>
      </c>
      <c r="J1061" s="11"/>
      <c r="K1061" s="12" t="s">
        <v>4775</v>
      </c>
      <c r="L1061" s="11"/>
      <c r="M1061" s="12" t="str">
        <f>HYPERLINK("https://ceds.ed.gov/cedselementdetails.aspx?termid=18672")</f>
        <v>https://ceds.ed.gov/cedselementdetails.aspx?termid=18672</v>
      </c>
      <c r="N1061" s="12" t="str">
        <f>HYPERLINK("https://ceds.ed.gov/elementComment.aspx?elementName=Goal Measurement Criterion Accuracy Percent &amp;elementID=18672", "Click here to submit comment")</f>
        <v>Click here to submit comment</v>
      </c>
    </row>
    <row r="1062" spans="1:14" ht="38.25" x14ac:dyDescent="0.25">
      <c r="A1062" s="12" t="s">
        <v>4776</v>
      </c>
      <c r="B1062" s="12" t="s">
        <v>4777</v>
      </c>
      <c r="C1062" s="12" t="s">
        <v>37</v>
      </c>
      <c r="D1062" s="12" t="s">
        <v>4772</v>
      </c>
      <c r="E1062" s="11"/>
      <c r="F1062" s="12" t="s">
        <v>1922</v>
      </c>
      <c r="G1062" s="11"/>
      <c r="H1062" s="11"/>
      <c r="I1062" s="12" t="s">
        <v>4778</v>
      </c>
      <c r="J1062" s="11"/>
      <c r="K1062" s="12" t="s">
        <v>4779</v>
      </c>
      <c r="L1062" s="11"/>
      <c r="M1062" s="12" t="str">
        <f>HYPERLINK("https://ceds.ed.gov/cedselementdetails.aspx?termid=18673")</f>
        <v>https://ceds.ed.gov/cedselementdetails.aspx?termid=18673</v>
      </c>
      <c r="N1062" s="12" t="str">
        <f>HYPERLINK("https://ceds.ed.gov/elementComment.aspx?elementName=Goal Measurement Criterion Attempts Count &amp;elementID=18673", "Click here to submit comment")</f>
        <v>Click here to submit comment</v>
      </c>
    </row>
    <row r="1063" spans="1:14" ht="25.5" x14ac:dyDescent="0.25">
      <c r="A1063" s="12" t="s">
        <v>4780</v>
      </c>
      <c r="B1063" s="12" t="s">
        <v>4781</v>
      </c>
      <c r="C1063" s="12" t="s">
        <v>37</v>
      </c>
      <c r="D1063" s="12" t="s">
        <v>4772</v>
      </c>
      <c r="E1063" s="11"/>
      <c r="F1063" s="12" t="s">
        <v>175</v>
      </c>
      <c r="G1063" s="11"/>
      <c r="H1063" s="11"/>
      <c r="I1063" s="12" t="s">
        <v>4782</v>
      </c>
      <c r="J1063" s="11"/>
      <c r="K1063" s="12" t="s">
        <v>4783</v>
      </c>
      <c r="L1063" s="11"/>
      <c r="M1063" s="12" t="str">
        <f>HYPERLINK("https://ceds.ed.gov/cedselementdetails.aspx?termid=18674")</f>
        <v>https://ceds.ed.gov/cedselementdetails.aspx?termid=18674</v>
      </c>
      <c r="N1063" s="12" t="str">
        <f>HYPERLINK("https://ceds.ed.gov/elementComment.aspx?elementName=Goal Measurement Criterion Metric &amp;elementID=18674", "Click here to submit comment")</f>
        <v>Click here to submit comment</v>
      </c>
    </row>
    <row r="1064" spans="1:14" ht="38.25" x14ac:dyDescent="0.25">
      <c r="A1064" s="12" t="s">
        <v>4784</v>
      </c>
      <c r="B1064" s="12" t="s">
        <v>4785</v>
      </c>
      <c r="C1064" s="12" t="s">
        <v>37</v>
      </c>
      <c r="D1064" s="12" t="s">
        <v>4772</v>
      </c>
      <c r="E1064" s="11"/>
      <c r="F1064" s="12" t="s">
        <v>1922</v>
      </c>
      <c r="G1064" s="11"/>
      <c r="H1064" s="11"/>
      <c r="I1064" s="12" t="s">
        <v>4786</v>
      </c>
      <c r="J1064" s="11"/>
      <c r="K1064" s="12" t="s">
        <v>4787</v>
      </c>
      <c r="L1064" s="11"/>
      <c r="M1064" s="12" t="str">
        <f>HYPERLINK("https://ceds.ed.gov/cedselementdetails.aspx?termid=18675")</f>
        <v>https://ceds.ed.gov/cedselementdetails.aspx?termid=18675</v>
      </c>
      <c r="N1064" s="12" t="str">
        <f>HYPERLINK("https://ceds.ed.gov/elementComment.aspx?elementName=Goal Measurement Criterion Success Count &amp;elementID=18675", "Click here to submit comment")</f>
        <v>Click here to submit comment</v>
      </c>
    </row>
    <row r="1065" spans="1:14" ht="38.25" x14ac:dyDescent="0.25">
      <c r="A1065" s="12" t="s">
        <v>4788</v>
      </c>
      <c r="B1065" s="12" t="s">
        <v>4789</v>
      </c>
      <c r="C1065" s="12" t="s">
        <v>37</v>
      </c>
      <c r="D1065" s="12" t="s">
        <v>4772</v>
      </c>
      <c r="E1065" s="11"/>
      <c r="F1065" s="12" t="s">
        <v>382</v>
      </c>
      <c r="G1065" s="11"/>
      <c r="H1065" s="11"/>
      <c r="I1065" s="12" t="s">
        <v>4790</v>
      </c>
      <c r="J1065" s="11"/>
      <c r="K1065" s="12" t="s">
        <v>4791</v>
      </c>
      <c r="L1065" s="11"/>
      <c r="M1065" s="12" t="str">
        <f>HYPERLINK("https://ceds.ed.gov/cedselementdetails.aspx?termid=18676")</f>
        <v>https://ceds.ed.gov/cedselementdetails.aspx?termid=18676</v>
      </c>
      <c r="N1065" s="12" t="str">
        <f>HYPERLINK("https://ceds.ed.gov/elementComment.aspx?elementName=Goal Measurement Description &amp;elementID=18676", "Click here to submit comment")</f>
        <v>Click here to submit comment</v>
      </c>
    </row>
    <row r="1066" spans="1:14" ht="25.5" x14ac:dyDescent="0.25">
      <c r="A1066" s="12" t="s">
        <v>4792</v>
      </c>
      <c r="B1066" s="12" t="s">
        <v>4793</v>
      </c>
      <c r="C1066" s="12" t="s">
        <v>37</v>
      </c>
      <c r="D1066" s="12" t="s">
        <v>4772</v>
      </c>
      <c r="E1066" s="11"/>
      <c r="F1066" s="12" t="s">
        <v>382</v>
      </c>
      <c r="G1066" s="11"/>
      <c r="H1066" s="11"/>
      <c r="I1066" s="12" t="s">
        <v>4794</v>
      </c>
      <c r="J1066" s="11"/>
      <c r="K1066" s="12" t="s">
        <v>4795</v>
      </c>
      <c r="L1066" s="11"/>
      <c r="M1066" s="12" t="str">
        <f>HYPERLINK("https://ceds.ed.gov/cedselementdetails.aspx?termid=18677")</f>
        <v>https://ceds.ed.gov/cedselementdetails.aspx?termid=18677</v>
      </c>
      <c r="N1066" s="12" t="str">
        <f>HYPERLINK("https://ceds.ed.gov/elementComment.aspx?elementName=Goal Measurement Schedule &amp;elementID=18677", "Click here to submit comment")</f>
        <v>Click here to submit comment</v>
      </c>
    </row>
    <row r="1067" spans="1:14" ht="63.75" x14ac:dyDescent="0.25">
      <c r="A1067" s="12" t="s">
        <v>4796</v>
      </c>
      <c r="B1067" s="12" t="s">
        <v>4797</v>
      </c>
      <c r="C1067" s="13" t="s">
        <v>4798</v>
      </c>
      <c r="D1067" s="12" t="s">
        <v>4772</v>
      </c>
      <c r="E1067" s="11"/>
      <c r="F1067" s="11"/>
      <c r="G1067" s="11"/>
      <c r="H1067" s="11"/>
      <c r="I1067" s="12" t="s">
        <v>4799</v>
      </c>
      <c r="J1067" s="11"/>
      <c r="K1067" s="12" t="s">
        <v>4800</v>
      </c>
      <c r="L1067" s="11"/>
      <c r="M1067" s="12" t="str">
        <f>HYPERLINK("https://ceds.ed.gov/cedselementdetails.aspx?termid=18678")</f>
        <v>https://ceds.ed.gov/cedselementdetails.aspx?termid=18678</v>
      </c>
      <c r="N1067" s="12" t="str">
        <f>HYPERLINK("https://ceds.ed.gov/elementComment.aspx?elementName=Goal Measurement Type &amp;elementID=18678", "Click here to submit comment")</f>
        <v>Click here to submit comment</v>
      </c>
    </row>
    <row r="1068" spans="1:14" ht="127.5" x14ac:dyDescent="0.25">
      <c r="A1068" s="12" t="s">
        <v>4801</v>
      </c>
      <c r="B1068" s="12" t="s">
        <v>4802</v>
      </c>
      <c r="C1068" s="12" t="s">
        <v>37</v>
      </c>
      <c r="D1068" s="12" t="s">
        <v>4762</v>
      </c>
      <c r="E1068" s="11"/>
      <c r="F1068" s="12" t="s">
        <v>135</v>
      </c>
      <c r="G1068" s="11"/>
      <c r="H1068" s="11"/>
      <c r="I1068" s="12" t="s">
        <v>4803</v>
      </c>
      <c r="J1068" s="11"/>
      <c r="K1068" s="12" t="s">
        <v>4804</v>
      </c>
      <c r="L1068" s="11"/>
      <c r="M1068" s="12" t="str">
        <f>HYPERLINK("https://ceds.ed.gov/cedselementdetails.aspx?termid=18169")</f>
        <v>https://ceds.ed.gov/cedselementdetails.aspx?termid=18169</v>
      </c>
      <c r="N1068" s="12" t="str">
        <f>HYPERLINK("https://ceds.ed.gov/elementComment.aspx?elementName=Goal Start Date &amp;elementID=18169", "Click here to submit comment")</f>
        <v>Click here to submit comment</v>
      </c>
    </row>
    <row r="1069" spans="1:14" ht="25.5" x14ac:dyDescent="0.25">
      <c r="A1069" s="12" t="s">
        <v>4805</v>
      </c>
      <c r="B1069" s="12" t="s">
        <v>4806</v>
      </c>
      <c r="C1069" s="12" t="s">
        <v>37</v>
      </c>
      <c r="D1069" s="12" t="s">
        <v>4807</v>
      </c>
      <c r="E1069" s="11"/>
      <c r="F1069" s="12" t="s">
        <v>382</v>
      </c>
      <c r="G1069" s="11"/>
      <c r="H1069" s="11"/>
      <c r="I1069" s="12" t="s">
        <v>4808</v>
      </c>
      <c r="J1069" s="11"/>
      <c r="K1069" s="12" t="s">
        <v>4809</v>
      </c>
      <c r="L1069" s="11"/>
      <c r="M1069" s="12" t="str">
        <f>HYPERLINK("https://ceds.ed.gov/cedselementdetails.aspx?termid=18684")</f>
        <v>https://ceds.ed.gov/cedselementdetails.aspx?termid=18684</v>
      </c>
      <c r="N1069" s="12" t="str">
        <f>HYPERLINK("https://ceds.ed.gov/elementComment.aspx?elementName=Goal Status &amp;elementID=18684", "Click here to submit comment")</f>
        <v>Click here to submit comment</v>
      </c>
    </row>
    <row r="1070" spans="1:14" ht="76.5" x14ac:dyDescent="0.25">
      <c r="A1070" s="12" t="s">
        <v>4810</v>
      </c>
      <c r="B1070" s="12" t="s">
        <v>4811</v>
      </c>
      <c r="C1070" s="13" t="s">
        <v>4812</v>
      </c>
      <c r="D1070" s="12" t="s">
        <v>4807</v>
      </c>
      <c r="E1070" s="11"/>
      <c r="F1070" s="11"/>
      <c r="G1070" s="11"/>
      <c r="H1070" s="11"/>
      <c r="I1070" s="12" t="s">
        <v>4813</v>
      </c>
      <c r="J1070" s="11"/>
      <c r="K1070" s="12" t="s">
        <v>4814</v>
      </c>
      <c r="L1070" s="11"/>
      <c r="M1070" s="12" t="str">
        <f>HYPERLINK("https://ceds.ed.gov/cedselementdetails.aspx?termid=18683")</f>
        <v>https://ceds.ed.gov/cedselementdetails.aspx?termid=18683</v>
      </c>
      <c r="N1070" s="12" t="str">
        <f>HYPERLINK("https://ceds.ed.gov/elementComment.aspx?elementName=Goal Status Type &amp;elementID=18683", "Click here to submit comment")</f>
        <v>Click here to submit comment</v>
      </c>
    </row>
    <row r="1071" spans="1:14" ht="127.5" x14ac:dyDescent="0.25">
      <c r="A1071" s="12" t="s">
        <v>4815</v>
      </c>
      <c r="B1071" s="12" t="s">
        <v>4816</v>
      </c>
      <c r="C1071" s="12" t="s">
        <v>37</v>
      </c>
      <c r="D1071" s="12" t="s">
        <v>4762</v>
      </c>
      <c r="E1071" s="11"/>
      <c r="F1071" s="12" t="s">
        <v>129</v>
      </c>
      <c r="G1071" s="11"/>
      <c r="H1071" s="11"/>
      <c r="I1071" s="12" t="s">
        <v>4817</v>
      </c>
      <c r="J1071" s="11"/>
      <c r="K1071" s="12" t="s">
        <v>4818</v>
      </c>
      <c r="L1071" s="11"/>
      <c r="M1071" s="12" t="str">
        <f>HYPERLINK("https://ceds.ed.gov/cedselementdetails.aspx?termid=17902")</f>
        <v>https://ceds.ed.gov/cedselementdetails.aspx?termid=17902</v>
      </c>
      <c r="N1071" s="12" t="str">
        <f>HYPERLINK("https://ceds.ed.gov/elementComment.aspx?elementName=Goal Success Criteria &amp;elementID=17902", "Click here to submit comment")</f>
        <v>Click here to submit comment</v>
      </c>
    </row>
    <row r="1072" spans="1:14" ht="165.75" x14ac:dyDescent="0.25">
      <c r="A1072" s="12" t="s">
        <v>4819</v>
      </c>
      <c r="B1072" s="12" t="s">
        <v>4820</v>
      </c>
      <c r="C1072" s="13" t="s">
        <v>4821</v>
      </c>
      <c r="D1072" s="12" t="s">
        <v>301</v>
      </c>
      <c r="E1072" s="11"/>
      <c r="F1072" s="11"/>
      <c r="G1072" s="11"/>
      <c r="H1072" s="11"/>
      <c r="I1072" s="12" t="s">
        <v>4822</v>
      </c>
      <c r="J1072" s="11"/>
      <c r="K1072" s="12" t="s">
        <v>4823</v>
      </c>
      <c r="L1072" s="11"/>
      <c r="M1072" s="12" t="str">
        <f>HYPERLINK("https://ceds.ed.gov/cedselementdetails.aspx?termid=17767")</f>
        <v>https://ceds.ed.gov/cedselementdetails.aspx?termid=17767</v>
      </c>
      <c r="N1072" s="12" t="str">
        <f>HYPERLINK("https://ceds.ed.gov/elementComment.aspx?elementName=Goals for Attending Adult Education &amp;elementID=17767", "Click here to submit comment")</f>
        <v>Click here to submit comment</v>
      </c>
    </row>
    <row r="1073" spans="1:14" ht="293.25" x14ac:dyDescent="0.25">
      <c r="A1073" s="12" t="s">
        <v>4824</v>
      </c>
      <c r="B1073" s="12" t="s">
        <v>4825</v>
      </c>
      <c r="C1073" s="13" t="s">
        <v>4826</v>
      </c>
      <c r="D1073" s="12" t="s">
        <v>1346</v>
      </c>
      <c r="E1073" s="11"/>
      <c r="F1073" s="11"/>
      <c r="G1073" s="11"/>
      <c r="H1073" s="11"/>
      <c r="I1073" s="12" t="s">
        <v>4827</v>
      </c>
      <c r="J1073" s="11"/>
      <c r="K1073" s="12" t="s">
        <v>4828</v>
      </c>
      <c r="L1073" s="12" t="s">
        <v>4829</v>
      </c>
      <c r="M1073" s="12" t="str">
        <f>HYPERLINK("https://ceds.ed.gov/cedselementdetails.aspx?termid=17126")</f>
        <v>https://ceds.ed.gov/cedselementdetails.aspx?termid=17126</v>
      </c>
      <c r="N1073" s="12" t="str">
        <f>HYPERLINK("https://ceds.ed.gov/elementComment.aspx?elementName=Grade Level When Assessed &amp;elementID=17126", "Click here to submit comment")</f>
        <v>Click here to submit comment</v>
      </c>
    </row>
    <row r="1074" spans="1:14" ht="280.5" x14ac:dyDescent="0.25">
      <c r="A1074" s="12" t="s">
        <v>4830</v>
      </c>
      <c r="B1074" s="12" t="s">
        <v>4831</v>
      </c>
      <c r="C1074" s="13" t="s">
        <v>4120</v>
      </c>
      <c r="D1074" s="12" t="s">
        <v>4832</v>
      </c>
      <c r="E1074" s="11"/>
      <c r="F1074" s="11"/>
      <c r="G1074" s="11"/>
      <c r="H1074" s="11"/>
      <c r="I1074" s="12" t="s">
        <v>4833</v>
      </c>
      <c r="J1074" s="11"/>
      <c r="K1074" s="12" t="s">
        <v>4834</v>
      </c>
      <c r="L1074" s="12" t="s">
        <v>72</v>
      </c>
      <c r="M1074" s="12" t="str">
        <f>HYPERLINK("https://ceds.ed.gov/cedselementdetails.aspx?termid=17125")</f>
        <v>https://ceds.ed.gov/cedselementdetails.aspx?termid=17125</v>
      </c>
      <c r="N1074" s="12" t="str">
        <f>HYPERLINK("https://ceds.ed.gov/elementComment.aspx?elementName=Grade Level When Course Taken &amp;elementID=17125", "Click here to submit comment")</f>
        <v>Click here to submit comment</v>
      </c>
    </row>
    <row r="1075" spans="1:14" ht="331.5" x14ac:dyDescent="0.25">
      <c r="A1075" s="12" t="s">
        <v>4835</v>
      </c>
      <c r="B1075" s="12" t="s">
        <v>4836</v>
      </c>
      <c r="C1075" s="13" t="s">
        <v>4837</v>
      </c>
      <c r="D1075" s="12" t="s">
        <v>4838</v>
      </c>
      <c r="E1075" s="12" t="s">
        <v>188</v>
      </c>
      <c r="F1075" s="11"/>
      <c r="G1075" s="12" t="s">
        <v>1721</v>
      </c>
      <c r="H1075" s="11"/>
      <c r="I1075" s="12" t="s">
        <v>4839</v>
      </c>
      <c r="J1075" s="11"/>
      <c r="K1075" s="12" t="s">
        <v>4840</v>
      </c>
      <c r="L1075" s="11"/>
      <c r="M1075" s="12" t="str">
        <f>HYPERLINK("https://ceds.ed.gov/cedselementdetails.aspx?termid=18907")</f>
        <v>https://ceds.ed.gov/cedselementdetails.aspx?termid=18907</v>
      </c>
      <c r="N1075" s="12" t="str">
        <f>HYPERLINK("https://ceds.ed.gov/elementComment.aspx?elementName=Grade Levels Approved &amp;elementID=18907", "Click here to submit comment")</f>
        <v>Click here to submit comment</v>
      </c>
    </row>
    <row r="1076" spans="1:14" ht="25.5" x14ac:dyDescent="0.25">
      <c r="A1076" s="12" t="s">
        <v>4841</v>
      </c>
      <c r="B1076" s="12" t="s">
        <v>4842</v>
      </c>
      <c r="C1076" s="12" t="s">
        <v>37</v>
      </c>
      <c r="D1076" s="12" t="s">
        <v>369</v>
      </c>
      <c r="E1076" s="11"/>
      <c r="F1076" s="12" t="s">
        <v>1112</v>
      </c>
      <c r="G1076" s="11"/>
      <c r="H1076" s="11"/>
      <c r="I1076" s="12" t="s">
        <v>4843</v>
      </c>
      <c r="J1076" s="11"/>
      <c r="K1076" s="12" t="s">
        <v>4844</v>
      </c>
      <c r="L1076" s="12" t="s">
        <v>65</v>
      </c>
      <c r="M1076" s="12" t="str">
        <f>HYPERLINK("https://ceds.ed.gov/cedselementdetails.aspx?termid=17127")</f>
        <v>https://ceds.ed.gov/cedselementdetails.aspx?termid=17127</v>
      </c>
      <c r="N1076" s="12" t="str">
        <f>HYPERLINK("https://ceds.ed.gov/elementComment.aspx?elementName=Grade Point Average &amp;elementID=17127", "Click here to submit comment")</f>
        <v>Click here to submit comment</v>
      </c>
    </row>
    <row r="1077" spans="1:14" ht="140.25" x14ac:dyDescent="0.25">
      <c r="A1077" s="12" t="s">
        <v>4845</v>
      </c>
      <c r="B1077" s="12" t="s">
        <v>4846</v>
      </c>
      <c r="C1077" s="12" t="s">
        <v>37</v>
      </c>
      <c r="D1077" s="12" t="s">
        <v>4847</v>
      </c>
      <c r="E1077" s="11"/>
      <c r="F1077" s="12" t="s">
        <v>1112</v>
      </c>
      <c r="G1077" s="11"/>
      <c r="H1077" s="12" t="s">
        <v>4848</v>
      </c>
      <c r="I1077" s="12" t="s">
        <v>4849</v>
      </c>
      <c r="J1077" s="12" t="s">
        <v>4850</v>
      </c>
      <c r="K1077" s="12" t="s">
        <v>4851</v>
      </c>
      <c r="L1077" s="12" t="s">
        <v>4852</v>
      </c>
      <c r="M1077" s="12" t="str">
        <f>HYPERLINK("https://ceds.ed.gov/cedselementdetails.aspx?termid=17128")</f>
        <v>https://ceds.ed.gov/cedselementdetails.aspx?termid=17128</v>
      </c>
      <c r="N1077" s="12" t="str">
        <f>HYPERLINK("https://ceds.ed.gov/elementComment.aspx?elementName=Grade Point Average Cumulative &amp;elementID=17128", "Click here to submit comment")</f>
        <v>Click here to submit comment</v>
      </c>
    </row>
    <row r="1078" spans="1:14" ht="89.25" x14ac:dyDescent="0.25">
      <c r="A1078" s="12" t="s">
        <v>4853</v>
      </c>
      <c r="B1078" s="12" t="s">
        <v>4854</v>
      </c>
      <c r="C1078" s="13" t="s">
        <v>4855</v>
      </c>
      <c r="D1078" s="12" t="s">
        <v>287</v>
      </c>
      <c r="E1078" s="11"/>
      <c r="F1078" s="11"/>
      <c r="G1078" s="11"/>
      <c r="H1078" s="12" t="s">
        <v>4856</v>
      </c>
      <c r="I1078" s="12" t="s">
        <v>4857</v>
      </c>
      <c r="J1078" s="12" t="s">
        <v>4858</v>
      </c>
      <c r="K1078" s="12" t="s">
        <v>4859</v>
      </c>
      <c r="L1078" s="12" t="s">
        <v>291</v>
      </c>
      <c r="M1078" s="12" t="str">
        <f>HYPERLINK("https://ceds.ed.gov/cedselementdetails.aspx?termid=17739")</f>
        <v>https://ceds.ed.gov/cedselementdetails.aspx?termid=17739</v>
      </c>
      <c r="N1078" s="12" t="str">
        <f>HYPERLINK("https://ceds.ed.gov/elementComment.aspx?elementName=Grade Point Average Domain &amp;elementID=17739", "Click here to submit comment")</f>
        <v>Click here to submit comment</v>
      </c>
    </row>
    <row r="1079" spans="1:14" ht="63.75" x14ac:dyDescent="0.25">
      <c r="A1079" s="12" t="s">
        <v>4860</v>
      </c>
      <c r="B1079" s="12" t="s">
        <v>4861</v>
      </c>
      <c r="C1079" s="12" t="s">
        <v>37</v>
      </c>
      <c r="D1079" s="12" t="s">
        <v>69</v>
      </c>
      <c r="E1079" s="11"/>
      <c r="F1079" s="12" t="s">
        <v>1112</v>
      </c>
      <c r="G1079" s="11"/>
      <c r="H1079" s="11"/>
      <c r="I1079" s="12" t="s">
        <v>4862</v>
      </c>
      <c r="J1079" s="12" t="s">
        <v>4863</v>
      </c>
      <c r="K1079" s="12" t="s">
        <v>4864</v>
      </c>
      <c r="L1079" s="12" t="s">
        <v>72</v>
      </c>
      <c r="M1079" s="12" t="str">
        <f>HYPERLINK("https://ceds.ed.gov/cedselementdetails.aspx?termid=17129")</f>
        <v>https://ceds.ed.gov/cedselementdetails.aspx?termid=17129</v>
      </c>
      <c r="N1079" s="12" t="str">
        <f>HYPERLINK("https://ceds.ed.gov/elementComment.aspx?elementName=Grade Point Average Given Session &amp;elementID=17129", "Click here to submit comment")</f>
        <v>Click here to submit comment</v>
      </c>
    </row>
    <row r="1080" spans="1:14" ht="89.25" x14ac:dyDescent="0.25">
      <c r="A1080" s="12" t="s">
        <v>4865</v>
      </c>
      <c r="B1080" s="12" t="s">
        <v>4866</v>
      </c>
      <c r="C1080" s="13" t="s">
        <v>4867</v>
      </c>
      <c r="D1080" s="12" t="s">
        <v>4868</v>
      </c>
      <c r="E1080" s="12" t="s">
        <v>195</v>
      </c>
      <c r="F1080" s="11"/>
      <c r="G1080" s="12" t="s">
        <v>4869</v>
      </c>
      <c r="H1080" s="11"/>
      <c r="I1080" s="12" t="s">
        <v>4870</v>
      </c>
      <c r="J1080" s="12" t="s">
        <v>4871</v>
      </c>
      <c r="K1080" s="12" t="s">
        <v>4872</v>
      </c>
      <c r="L1080" s="12" t="s">
        <v>4873</v>
      </c>
      <c r="M1080" s="12" t="str">
        <f>HYPERLINK("https://ceds.ed.gov/cedselementdetails.aspx?termid=17123")</f>
        <v>https://ceds.ed.gov/cedselementdetails.aspx?termid=17123</v>
      </c>
      <c r="N1080" s="12" t="str">
        <f>HYPERLINK("https://ceds.ed.gov/elementComment.aspx?elementName=Grade Point Average Weighted Indicator &amp;elementID=17123", "Click here to submit comment")</f>
        <v>Click here to submit comment</v>
      </c>
    </row>
    <row r="1081" spans="1:14" ht="76.5" x14ac:dyDescent="0.25">
      <c r="A1081" s="12" t="s">
        <v>4874</v>
      </c>
      <c r="B1081" s="12" t="s">
        <v>4875</v>
      </c>
      <c r="C1081" s="12" t="s">
        <v>37</v>
      </c>
      <c r="D1081" s="12" t="s">
        <v>69</v>
      </c>
      <c r="E1081" s="11"/>
      <c r="F1081" s="12" t="s">
        <v>1710</v>
      </c>
      <c r="G1081" s="11"/>
      <c r="H1081" s="11"/>
      <c r="I1081" s="12" t="s">
        <v>4876</v>
      </c>
      <c r="J1081" s="11"/>
      <c r="K1081" s="12" t="s">
        <v>4877</v>
      </c>
      <c r="L1081" s="12" t="s">
        <v>72</v>
      </c>
      <c r="M1081" s="12" t="str">
        <f>HYPERLINK("https://ceds.ed.gov/cedselementdetails.aspx?termid=17130")</f>
        <v>https://ceds.ed.gov/cedselementdetails.aspx?termid=17130</v>
      </c>
      <c r="N1081" s="12" t="str">
        <f>HYPERLINK("https://ceds.ed.gov/elementComment.aspx?elementName=Grade Points Earned Cumulative &amp;elementID=17130", "Click here to submit comment")</f>
        <v>Click here to submit comment</v>
      </c>
    </row>
    <row r="1082" spans="1:14" ht="165.75" x14ac:dyDescent="0.25">
      <c r="A1082" s="12" t="s">
        <v>4878</v>
      </c>
      <c r="B1082" s="12" t="s">
        <v>4879</v>
      </c>
      <c r="C1082" s="12" t="s">
        <v>37</v>
      </c>
      <c r="D1082" s="12" t="s">
        <v>4880</v>
      </c>
      <c r="E1082" s="11"/>
      <c r="F1082" s="12" t="s">
        <v>874</v>
      </c>
      <c r="G1082" s="11"/>
      <c r="H1082" s="12" t="s">
        <v>4881</v>
      </c>
      <c r="I1082" s="12" t="s">
        <v>4882</v>
      </c>
      <c r="J1082" s="11"/>
      <c r="K1082" s="12" t="s">
        <v>4883</v>
      </c>
      <c r="L1082" s="11"/>
      <c r="M1082" s="12" t="str">
        <f>HYPERLINK("https://ceds.ed.gov/cedselementdetails.aspx?termid=17609")</f>
        <v>https://ceds.ed.gov/cedselementdetails.aspx?termid=17609</v>
      </c>
      <c r="N1082" s="12" t="str">
        <f>HYPERLINK("https://ceds.ed.gov/elementComment.aspx?elementName=Grade Value Qualifier &amp;elementID=17609", "Click here to submit comment")</f>
        <v>Click here to submit comment</v>
      </c>
    </row>
    <row r="1083" spans="1:14" ht="331.5" x14ac:dyDescent="0.25">
      <c r="A1083" s="12" t="s">
        <v>4884</v>
      </c>
      <c r="B1083" s="12" t="s">
        <v>4885</v>
      </c>
      <c r="C1083" s="13" t="s">
        <v>4837</v>
      </c>
      <c r="D1083" s="12" t="s">
        <v>4886</v>
      </c>
      <c r="E1083" s="12" t="s">
        <v>195</v>
      </c>
      <c r="F1083" s="11"/>
      <c r="G1083" s="12" t="s">
        <v>4887</v>
      </c>
      <c r="H1083" s="11"/>
      <c r="I1083" s="12" t="s">
        <v>4888</v>
      </c>
      <c r="J1083" s="11"/>
      <c r="K1083" s="12" t="s">
        <v>4889</v>
      </c>
      <c r="L1083" s="12" t="s">
        <v>72</v>
      </c>
      <c r="M1083" s="12" t="str">
        <f>HYPERLINK("https://ceds.ed.gov/cedselementdetails.aspx?termid=17131")</f>
        <v>https://ceds.ed.gov/cedselementdetails.aspx?termid=17131</v>
      </c>
      <c r="N1083" s="12" t="str">
        <f>HYPERLINK("https://ceds.ed.gov/elementComment.aspx?elementName=Grades Offered &amp;elementID=17131", "Click here to submit comment")</f>
        <v>Click here to submit comment</v>
      </c>
    </row>
    <row r="1084" spans="1:14" ht="165.75" x14ac:dyDescent="0.25">
      <c r="A1084" s="12" t="s">
        <v>4890</v>
      </c>
      <c r="B1084" s="12" t="s">
        <v>4891</v>
      </c>
      <c r="C1084" s="13" t="s">
        <v>4892</v>
      </c>
      <c r="D1084" s="12" t="s">
        <v>76</v>
      </c>
      <c r="E1084" s="11"/>
      <c r="F1084" s="11"/>
      <c r="G1084" s="11"/>
      <c r="H1084" s="12" t="s">
        <v>2811</v>
      </c>
      <c r="I1084" s="12" t="s">
        <v>4893</v>
      </c>
      <c r="J1084" s="11"/>
      <c r="K1084" s="12" t="s">
        <v>4894</v>
      </c>
      <c r="L1084" s="12" t="s">
        <v>80</v>
      </c>
      <c r="M1084" s="12" t="str">
        <f>HYPERLINK("https://ceds.ed.gov/cedselementdetails.aspx?termid=17721")</f>
        <v>https://ceds.ed.gov/cedselementdetails.aspx?termid=17721</v>
      </c>
      <c r="N1084" s="12" t="str">
        <f>HYPERLINK("https://ceds.ed.gov/elementComment.aspx?elementName=Graduate Assistant IPEDS Occupation Category &amp;elementID=17721", "Click here to submit comment")</f>
        <v>Click here to submit comment</v>
      </c>
    </row>
    <row r="1085" spans="1:14" ht="127.5" x14ac:dyDescent="0.25">
      <c r="A1085" s="12" t="s">
        <v>4895</v>
      </c>
      <c r="B1085" s="12" t="s">
        <v>4896</v>
      </c>
      <c r="C1085" s="12" t="s">
        <v>24</v>
      </c>
      <c r="D1085" s="12" t="s">
        <v>76</v>
      </c>
      <c r="E1085" s="11"/>
      <c r="F1085" s="11"/>
      <c r="G1085" s="11"/>
      <c r="H1085" s="12" t="s">
        <v>432</v>
      </c>
      <c r="I1085" s="12" t="s">
        <v>4897</v>
      </c>
      <c r="J1085" s="11"/>
      <c r="K1085" s="12" t="s">
        <v>4898</v>
      </c>
      <c r="L1085" s="12" t="s">
        <v>80</v>
      </c>
      <c r="M1085" s="12" t="str">
        <f>HYPERLINK("https://ceds.ed.gov/cedselementdetails.aspx?termid=17720")</f>
        <v>https://ceds.ed.gov/cedselementdetails.aspx?termid=17720</v>
      </c>
      <c r="N1085" s="12" t="str">
        <f>HYPERLINK("https://ceds.ed.gov/elementComment.aspx?elementName=Graduate Assistant Status &amp;elementID=17720", "Click here to submit comment")</f>
        <v>Click here to submit comment</v>
      </c>
    </row>
    <row r="1086" spans="1:14" ht="76.5" x14ac:dyDescent="0.25">
      <c r="A1086" s="12" t="s">
        <v>4899</v>
      </c>
      <c r="B1086" s="12" t="s">
        <v>4900</v>
      </c>
      <c r="C1086" s="13" t="s">
        <v>4901</v>
      </c>
      <c r="D1086" s="12" t="s">
        <v>3659</v>
      </c>
      <c r="E1086" s="11"/>
      <c r="F1086" s="11"/>
      <c r="G1086" s="11"/>
      <c r="H1086" s="11"/>
      <c r="I1086" s="12" t="s">
        <v>4902</v>
      </c>
      <c r="J1086" s="11"/>
      <c r="K1086" s="12" t="s">
        <v>4903</v>
      </c>
      <c r="L1086" s="11"/>
      <c r="M1086" s="12" t="str">
        <f>HYPERLINK("https://ceds.ed.gov/cedselementdetails.aspx?termid=18324")</f>
        <v>https://ceds.ed.gov/cedselementdetails.aspx?termid=18324</v>
      </c>
      <c r="N1086" s="12" t="str">
        <f>HYPERLINK("https://ceds.ed.gov/elementComment.aspx?elementName=Graduate or Doctoral Exam Results Status &amp;elementID=18324", "Click here to submit comment")</f>
        <v>Click here to submit comment</v>
      </c>
    </row>
    <row r="1087" spans="1:14" ht="25.5" x14ac:dyDescent="0.25">
      <c r="A1087" s="12" t="s">
        <v>4904</v>
      </c>
      <c r="B1087" s="12" t="s">
        <v>4905</v>
      </c>
      <c r="C1087" s="12" t="s">
        <v>37</v>
      </c>
      <c r="D1087" s="12" t="s">
        <v>69</v>
      </c>
      <c r="E1087" s="11"/>
      <c r="F1087" s="12" t="s">
        <v>2094</v>
      </c>
      <c r="G1087" s="11"/>
      <c r="H1087" s="11"/>
      <c r="I1087" s="12" t="s">
        <v>4906</v>
      </c>
      <c r="J1087" s="11"/>
      <c r="K1087" s="12" t="s">
        <v>4907</v>
      </c>
      <c r="L1087" s="11"/>
      <c r="M1087" s="12" t="str">
        <f>HYPERLINK("https://ceds.ed.gov/cedselementdetails.aspx?termid=17132")</f>
        <v>https://ceds.ed.gov/cedselementdetails.aspx?termid=17132</v>
      </c>
      <c r="N1087" s="12" t="str">
        <f>HYPERLINK("https://ceds.ed.gov/elementComment.aspx?elementName=Graduation Rate Survey Cohort Year &amp;elementID=17132", "Click here to submit comment")</f>
        <v>Click here to submit comment</v>
      </c>
    </row>
    <row r="1088" spans="1:14" ht="51" x14ac:dyDescent="0.25">
      <c r="A1088" s="12" t="s">
        <v>4908</v>
      </c>
      <c r="B1088" s="12" t="s">
        <v>4909</v>
      </c>
      <c r="C1088" s="12" t="s">
        <v>24</v>
      </c>
      <c r="D1088" s="12" t="s">
        <v>69</v>
      </c>
      <c r="E1088" s="11"/>
      <c r="F1088" s="11"/>
      <c r="G1088" s="11"/>
      <c r="H1088" s="11"/>
      <c r="I1088" s="12" t="s">
        <v>4910</v>
      </c>
      <c r="J1088" s="11"/>
      <c r="K1088" s="12" t="s">
        <v>4911</v>
      </c>
      <c r="L1088" s="12" t="s">
        <v>4912</v>
      </c>
      <c r="M1088" s="12" t="str">
        <f>HYPERLINK("https://ceds.ed.gov/cedselementdetails.aspx?termid=17133")</f>
        <v>https://ceds.ed.gov/cedselementdetails.aspx?termid=17133</v>
      </c>
      <c r="N1088" s="12" t="str">
        <f>HYPERLINK("https://ceds.ed.gov/elementComment.aspx?elementName=Graduation Rate Survey Indicator &amp;elementID=17133", "Click here to submit comment")</f>
        <v>Click here to submit comment</v>
      </c>
    </row>
    <row r="1089" spans="1:14" ht="89.25" x14ac:dyDescent="0.25">
      <c r="A1089" s="12" t="s">
        <v>4913</v>
      </c>
      <c r="B1089" s="12" t="s">
        <v>4914</v>
      </c>
      <c r="C1089" s="13" t="s">
        <v>4915</v>
      </c>
      <c r="D1089" s="12" t="s">
        <v>241</v>
      </c>
      <c r="E1089" s="11"/>
      <c r="F1089" s="11"/>
      <c r="G1089" s="11"/>
      <c r="H1089" s="11"/>
      <c r="I1089" s="12" t="s">
        <v>4916</v>
      </c>
      <c r="J1089" s="11"/>
      <c r="K1089" s="12" t="s">
        <v>4917</v>
      </c>
      <c r="L1089" s="12" t="s">
        <v>258</v>
      </c>
      <c r="M1089" s="12" t="str">
        <f>HYPERLINK("https://ceds.ed.gov/cedselementdetails.aspx?termid=17134")</f>
        <v>https://ceds.ed.gov/cedselementdetails.aspx?termid=17134</v>
      </c>
      <c r="N1089" s="12" t="str">
        <f>HYPERLINK("https://ceds.ed.gov/elementComment.aspx?elementName=Gun Free Schools Act Reporting Status &amp;elementID=17134", "Click here to submit comment")</f>
        <v>Click here to submit comment</v>
      </c>
    </row>
    <row r="1090" spans="1:14" ht="51" x14ac:dyDescent="0.25">
      <c r="A1090" s="12" t="s">
        <v>4918</v>
      </c>
      <c r="B1090" s="12" t="s">
        <v>4919</v>
      </c>
      <c r="C1090" s="12" t="s">
        <v>24</v>
      </c>
      <c r="D1090" s="12" t="s">
        <v>1732</v>
      </c>
      <c r="E1090" s="11"/>
      <c r="F1090" s="11"/>
      <c r="G1090" s="11"/>
      <c r="H1090" s="11"/>
      <c r="I1090" s="12" t="s">
        <v>4920</v>
      </c>
      <c r="J1090" s="11"/>
      <c r="K1090" s="12" t="s">
        <v>4921</v>
      </c>
      <c r="L1090" s="12" t="s">
        <v>28</v>
      </c>
      <c r="M1090" s="12" t="str">
        <f>HYPERLINK("https://ceds.ed.gov/cedselementdetails.aspx?termid=17135")</f>
        <v>https://ceds.ed.gov/cedselementdetails.aspx?termid=17135</v>
      </c>
      <c r="N1090" s="12" t="str">
        <f>HYPERLINK("https://ceds.ed.gov/elementComment.aspx?elementName=Harassment or Bullying Policy Status &amp;elementID=17135", "Click here to submit comment")</f>
        <v>Click here to submit comment</v>
      </c>
    </row>
    <row r="1091" spans="1:14" ht="25.5" x14ac:dyDescent="0.25">
      <c r="A1091" s="12" t="s">
        <v>4922</v>
      </c>
      <c r="B1091" s="12" t="s">
        <v>4923</v>
      </c>
      <c r="C1091" s="12" t="s">
        <v>37</v>
      </c>
      <c r="D1091" s="12" t="s">
        <v>1786</v>
      </c>
      <c r="E1091" s="11"/>
      <c r="F1091" s="12" t="s">
        <v>62</v>
      </c>
      <c r="G1091" s="11"/>
      <c r="H1091" s="11"/>
      <c r="I1091" s="12" t="s">
        <v>4924</v>
      </c>
      <c r="J1091" s="11"/>
      <c r="K1091" s="12" t="s">
        <v>4925</v>
      </c>
      <c r="L1091" s="11"/>
      <c r="M1091" s="12" t="str">
        <f>HYPERLINK("https://ceds.ed.gov/cedselementdetails.aspx?termid=18825")</f>
        <v>https://ceds.ed.gov/cedselementdetails.aspx?termid=18825</v>
      </c>
      <c r="N1091" s="12" t="str">
        <f>HYPERLINK("https://ceds.ed.gov/elementComment.aspx?elementName=Hazardous Material or Condition Description &amp;elementID=18825", "Click here to submit comment")</f>
        <v>Click here to submit comment</v>
      </c>
    </row>
    <row r="1092" spans="1:14" ht="38.25" x14ac:dyDescent="0.25">
      <c r="A1092" s="12" t="s">
        <v>4926</v>
      </c>
      <c r="B1092" s="12" t="s">
        <v>4927</v>
      </c>
      <c r="C1092" s="12" t="s">
        <v>37</v>
      </c>
      <c r="D1092" s="12" t="s">
        <v>1786</v>
      </c>
      <c r="E1092" s="11"/>
      <c r="F1092" s="12" t="s">
        <v>135</v>
      </c>
      <c r="G1092" s="11"/>
      <c r="H1092" s="11"/>
      <c r="I1092" s="12" t="s">
        <v>4928</v>
      </c>
      <c r="J1092" s="11"/>
      <c r="K1092" s="12" t="s">
        <v>4929</v>
      </c>
      <c r="L1092" s="11"/>
      <c r="M1092" s="12" t="str">
        <f>HYPERLINK("https://ceds.ed.gov/cedselementdetails.aspx?termid=18826")</f>
        <v>https://ceds.ed.gov/cedselementdetails.aspx?termid=18826</v>
      </c>
      <c r="N1092" s="12" t="str">
        <f>HYPERLINK("https://ceds.ed.gov/elementComment.aspx?elementName=Hazardous Material or Condition Testing Date &amp;elementID=18826", "Click here to submit comment")</f>
        <v>Click here to submit comment</v>
      </c>
    </row>
    <row r="1093" spans="1:14" ht="38.25" x14ac:dyDescent="0.25">
      <c r="A1093" s="12" t="s">
        <v>4930</v>
      </c>
      <c r="B1093" s="12" t="s">
        <v>4931</v>
      </c>
      <c r="C1093" s="12" t="s">
        <v>37</v>
      </c>
      <c r="D1093" s="12" t="s">
        <v>381</v>
      </c>
      <c r="E1093" s="11"/>
      <c r="F1093" s="12" t="s">
        <v>129</v>
      </c>
      <c r="G1093" s="11"/>
      <c r="H1093" s="11"/>
      <c r="I1093" s="12" t="s">
        <v>4932</v>
      </c>
      <c r="J1093" s="11"/>
      <c r="K1093" s="12" t="s">
        <v>4933</v>
      </c>
      <c r="L1093" s="11"/>
      <c r="M1093" s="12" t="str">
        <f>HYPERLINK("https://ceds.ed.gov/cedselementdetails.aspx?termid=18325")</f>
        <v>https://ceds.ed.gov/cedselementdetails.aspx?termid=18325</v>
      </c>
      <c r="N1093" s="12" t="str">
        <f>HYPERLINK("https://ceds.ed.gov/elementComment.aspx?elementName=Health Screening Equipment Used &amp;elementID=18325", "Click here to submit comment")</f>
        <v>Click here to submit comment</v>
      </c>
    </row>
    <row r="1094" spans="1:14" ht="38.25" x14ac:dyDescent="0.25">
      <c r="A1094" s="12" t="s">
        <v>4934</v>
      </c>
      <c r="B1094" s="12" t="s">
        <v>4935</v>
      </c>
      <c r="C1094" s="12" t="s">
        <v>37</v>
      </c>
      <c r="D1094" s="12" t="s">
        <v>381</v>
      </c>
      <c r="E1094" s="11"/>
      <c r="F1094" s="12" t="s">
        <v>382</v>
      </c>
      <c r="G1094" s="11"/>
      <c r="H1094" s="11"/>
      <c r="I1094" s="12" t="s">
        <v>4936</v>
      </c>
      <c r="J1094" s="11"/>
      <c r="K1094" s="12" t="s">
        <v>4937</v>
      </c>
      <c r="L1094" s="11"/>
      <c r="M1094" s="12" t="str">
        <f>HYPERLINK("https://ceds.ed.gov/cedselementdetails.aspx?termid=18326")</f>
        <v>https://ceds.ed.gov/cedselementdetails.aspx?termid=18326</v>
      </c>
      <c r="N1094" s="12" t="str">
        <f>HYPERLINK("https://ceds.ed.gov/elementComment.aspx?elementName=Health Screening Follow-up Recommendation &amp;elementID=18326", "Click here to submit comment")</f>
        <v>Click here to submit comment</v>
      </c>
    </row>
    <row r="1095" spans="1:14" ht="51" x14ac:dyDescent="0.25">
      <c r="A1095" s="12" t="s">
        <v>4938</v>
      </c>
      <c r="B1095" s="12" t="s">
        <v>4939</v>
      </c>
      <c r="C1095" s="12" t="s">
        <v>37</v>
      </c>
      <c r="D1095" s="12" t="s">
        <v>4940</v>
      </c>
      <c r="E1095" s="11"/>
      <c r="F1095" s="12" t="s">
        <v>135</v>
      </c>
      <c r="G1095" s="11"/>
      <c r="H1095" s="11"/>
      <c r="I1095" s="12" t="s">
        <v>4941</v>
      </c>
      <c r="J1095" s="11"/>
      <c r="K1095" s="12" t="s">
        <v>4942</v>
      </c>
      <c r="L1095" s="11"/>
      <c r="M1095" s="12" t="str">
        <f>HYPERLINK("https://ceds.ed.gov/cedselementdetails.aspx?termid=17681")</f>
        <v>https://ceds.ed.gov/cedselementdetails.aspx?termid=17681</v>
      </c>
      <c r="N1095" s="12" t="str">
        <f>HYPERLINK("https://ceds.ed.gov/elementComment.aspx?elementName=Hearing Screening Date &amp;elementID=17681", "Click here to submit comment")</f>
        <v>Click here to submit comment</v>
      </c>
    </row>
    <row r="1096" spans="1:14" ht="51" x14ac:dyDescent="0.25">
      <c r="A1096" s="12" t="s">
        <v>4943</v>
      </c>
      <c r="B1096" s="12" t="s">
        <v>4944</v>
      </c>
      <c r="C1096" s="13" t="s">
        <v>4945</v>
      </c>
      <c r="D1096" s="12" t="s">
        <v>4940</v>
      </c>
      <c r="E1096" s="11"/>
      <c r="F1096" s="11"/>
      <c r="G1096" s="11"/>
      <c r="H1096" s="11"/>
      <c r="I1096" s="12" t="s">
        <v>4946</v>
      </c>
      <c r="J1096" s="11"/>
      <c r="K1096" s="12" t="s">
        <v>4947</v>
      </c>
      <c r="L1096" s="12" t="s">
        <v>2291</v>
      </c>
      <c r="M1096" s="12" t="str">
        <f>HYPERLINK("https://ceds.ed.gov/cedselementdetails.aspx?termid=17309")</f>
        <v>https://ceds.ed.gov/cedselementdetails.aspx?termid=17309</v>
      </c>
      <c r="N1096" s="12" t="str">
        <f>HYPERLINK("https://ceds.ed.gov/elementComment.aspx?elementName=Hearing Screening Status &amp;elementID=17309", "Click here to submit comment")</f>
        <v>Click here to submit comment</v>
      </c>
    </row>
    <row r="1097" spans="1:14" ht="165.75" x14ac:dyDescent="0.25">
      <c r="A1097" s="12" t="s">
        <v>4948</v>
      </c>
      <c r="B1097" s="12" t="s">
        <v>4949</v>
      </c>
      <c r="C1097" s="12" t="s">
        <v>24</v>
      </c>
      <c r="D1097" s="12" t="s">
        <v>4950</v>
      </c>
      <c r="E1097" s="11"/>
      <c r="F1097" s="11"/>
      <c r="G1097" s="11"/>
      <c r="H1097" s="11"/>
      <c r="I1097" s="12" t="s">
        <v>4951</v>
      </c>
      <c r="J1097" s="11"/>
      <c r="K1097" s="12" t="s">
        <v>4952</v>
      </c>
      <c r="L1097" s="12" t="s">
        <v>1713</v>
      </c>
      <c r="M1097" s="12" t="str">
        <f>HYPERLINK("https://ceds.ed.gov/cedselementdetails.aspx?termid=17137")</f>
        <v>https://ceds.ed.gov/cedselementdetails.aspx?termid=17137</v>
      </c>
      <c r="N1097" s="12" t="str">
        <f>HYPERLINK("https://ceds.ed.gov/elementComment.aspx?elementName=High School Course Requirement &amp;elementID=17137", "Click here to submit comment")</f>
        <v>Click here to submit comment</v>
      </c>
    </row>
    <row r="1098" spans="1:14" ht="153" x14ac:dyDescent="0.25">
      <c r="A1098" s="12" t="s">
        <v>4953</v>
      </c>
      <c r="B1098" s="12" t="s">
        <v>4954</v>
      </c>
      <c r="C1098" s="13" t="s">
        <v>4955</v>
      </c>
      <c r="D1098" s="12" t="s">
        <v>4956</v>
      </c>
      <c r="E1098" s="11"/>
      <c r="F1098" s="11"/>
      <c r="G1098" s="11"/>
      <c r="H1098" s="11"/>
      <c r="I1098" s="12" t="s">
        <v>4957</v>
      </c>
      <c r="J1098" s="11"/>
      <c r="K1098" s="12" t="s">
        <v>4958</v>
      </c>
      <c r="L1098" s="11"/>
      <c r="M1098" s="12" t="str">
        <f>HYPERLINK("https://ceds.ed.gov/cedselementdetails.aspx?termid=17689")</f>
        <v>https://ceds.ed.gov/cedselementdetails.aspx?termid=17689</v>
      </c>
      <c r="N1098" s="12" t="str">
        <f>HYPERLINK("https://ceds.ed.gov/elementComment.aspx?elementName=High School Diploma Distinction Type &amp;elementID=17689", "Click here to submit comment")</f>
        <v>Click here to submit comment</v>
      </c>
    </row>
    <row r="1099" spans="1:14" ht="216.75" x14ac:dyDescent="0.25">
      <c r="A1099" s="12" t="s">
        <v>4959</v>
      </c>
      <c r="B1099" s="12" t="s">
        <v>4960</v>
      </c>
      <c r="C1099" s="13" t="s">
        <v>4961</v>
      </c>
      <c r="D1099" s="12" t="s">
        <v>4962</v>
      </c>
      <c r="E1099" s="11"/>
      <c r="F1099" s="11"/>
      <c r="G1099" s="11"/>
      <c r="H1099" s="12" t="s">
        <v>4963</v>
      </c>
      <c r="I1099" s="12" t="s">
        <v>4964</v>
      </c>
      <c r="J1099" s="11"/>
      <c r="K1099" s="12" t="s">
        <v>4965</v>
      </c>
      <c r="L1099" s="12" t="s">
        <v>4966</v>
      </c>
      <c r="M1099" s="12" t="str">
        <f>HYPERLINK("https://ceds.ed.gov/cedselementdetails.aspx?termid=17138")</f>
        <v>https://ceds.ed.gov/cedselementdetails.aspx?termid=17138</v>
      </c>
      <c r="N1099" s="12" t="str">
        <f>HYPERLINK("https://ceds.ed.gov/elementComment.aspx?elementName=High School Diploma Type &amp;elementID=17138", "Click here to submit comment")</f>
        <v>Click here to submit comment</v>
      </c>
    </row>
    <row r="1100" spans="1:14" ht="102" x14ac:dyDescent="0.25">
      <c r="A1100" s="12" t="s">
        <v>4967</v>
      </c>
      <c r="B1100" s="12" t="s">
        <v>4968</v>
      </c>
      <c r="C1100" s="13" t="s">
        <v>4969</v>
      </c>
      <c r="D1100" s="12" t="s">
        <v>241</v>
      </c>
      <c r="E1100" s="11"/>
      <c r="F1100" s="11"/>
      <c r="G1100" s="11"/>
      <c r="H1100" s="11"/>
      <c r="I1100" s="12" t="s">
        <v>4970</v>
      </c>
      <c r="J1100" s="11"/>
      <c r="K1100" s="12" t="s">
        <v>4971</v>
      </c>
      <c r="L1100" s="12" t="s">
        <v>258</v>
      </c>
      <c r="M1100" s="12" t="str">
        <f>HYPERLINK("https://ceds.ed.gov/cedselementdetails.aspx?termid=17140")</f>
        <v>https://ceds.ed.gov/cedselementdetails.aspx?termid=17140</v>
      </c>
      <c r="N1100" s="12" t="str">
        <f>HYPERLINK("https://ceds.ed.gov/elementComment.aspx?elementName=High School Graduation Rate Indicator Status &amp;elementID=17140", "Click here to submit comment")</f>
        <v>Click here to submit comment</v>
      </c>
    </row>
    <row r="1101" spans="1:14" ht="63.75" x14ac:dyDescent="0.25">
      <c r="A1101" s="15" t="s">
        <v>4972</v>
      </c>
      <c r="B1101" s="15" t="s">
        <v>4973</v>
      </c>
      <c r="C1101" s="15" t="s">
        <v>37</v>
      </c>
      <c r="D1101" s="15" t="s">
        <v>287</v>
      </c>
      <c r="E1101" s="16"/>
      <c r="F1101" s="15" t="s">
        <v>869</v>
      </c>
      <c r="G1101" s="16"/>
      <c r="H1101" s="12" t="s">
        <v>4974</v>
      </c>
      <c r="I1101" s="15" t="s">
        <v>4975</v>
      </c>
      <c r="J1101" s="16"/>
      <c r="K1101" s="15" t="s">
        <v>4976</v>
      </c>
      <c r="L1101" s="15" t="s">
        <v>291</v>
      </c>
      <c r="M1101" s="15" t="str">
        <f>HYPERLINK("https://ceds.ed.gov/cedselementdetails.aspx?termid=17740")</f>
        <v>https://ceds.ed.gov/cedselementdetails.aspx?termid=17740</v>
      </c>
      <c r="N1101" s="15" t="str">
        <f>HYPERLINK("https://ceds.ed.gov/elementComment.aspx?elementName=High School Percentile &amp;elementID=17740", "Click here to submit comment")</f>
        <v>Click here to submit comment</v>
      </c>
    </row>
    <row r="1102" spans="1:14" ht="38.25" x14ac:dyDescent="0.25">
      <c r="A1102" s="15"/>
      <c r="B1102" s="15"/>
      <c r="C1102" s="15"/>
      <c r="D1102" s="15"/>
      <c r="E1102" s="16"/>
      <c r="F1102" s="15"/>
      <c r="G1102" s="16"/>
      <c r="H1102" s="12" t="s">
        <v>4977</v>
      </c>
      <c r="I1102" s="15"/>
      <c r="J1102" s="16"/>
      <c r="K1102" s="15"/>
      <c r="L1102" s="15"/>
      <c r="M1102" s="15"/>
      <c r="N1102" s="15"/>
    </row>
    <row r="1103" spans="1:14" ht="63.75" x14ac:dyDescent="0.25">
      <c r="A1103" s="12" t="s">
        <v>4978</v>
      </c>
      <c r="B1103" s="12" t="s">
        <v>4979</v>
      </c>
      <c r="C1103" s="12" t="s">
        <v>37</v>
      </c>
      <c r="D1103" s="12" t="s">
        <v>4980</v>
      </c>
      <c r="E1103" s="11"/>
      <c r="F1103" s="12" t="s">
        <v>370</v>
      </c>
      <c r="G1103" s="11"/>
      <c r="H1103" s="11"/>
      <c r="I1103" s="12" t="s">
        <v>4981</v>
      </c>
      <c r="J1103" s="11"/>
      <c r="K1103" s="12" t="s">
        <v>4982</v>
      </c>
      <c r="L1103" s="12" t="s">
        <v>4983</v>
      </c>
      <c r="M1103" s="12" t="str">
        <f>HYPERLINK("https://ceds.ed.gov/cedselementdetails.aspx?termid=17041")</f>
        <v>https://ceds.ed.gov/cedselementdetails.aspx?termid=17041</v>
      </c>
      <c r="N1103" s="12" t="str">
        <f>HYPERLINK("https://ceds.ed.gov/elementComment.aspx?elementName=High School Student Class Rank &amp;elementID=17041", "Click here to submit comment")</f>
        <v>Click here to submit comment</v>
      </c>
    </row>
    <row r="1104" spans="1:14" ht="89.25" x14ac:dyDescent="0.25">
      <c r="A1104" s="12" t="s">
        <v>4984</v>
      </c>
      <c r="B1104" s="12" t="s">
        <v>4985</v>
      </c>
      <c r="C1104" s="13" t="s">
        <v>4986</v>
      </c>
      <c r="D1104" s="12" t="s">
        <v>3924</v>
      </c>
      <c r="E1104" s="11"/>
      <c r="F1104" s="11"/>
      <c r="G1104" s="11"/>
      <c r="H1104" s="11"/>
      <c r="I1104" s="12" t="s">
        <v>4987</v>
      </c>
      <c r="J1104" s="11"/>
      <c r="K1104" s="12" t="s">
        <v>4988</v>
      </c>
      <c r="L1104" s="12" t="s">
        <v>238</v>
      </c>
      <c r="M1104" s="12" t="str">
        <f>HYPERLINK("https://ceds.ed.gov/cedselementdetails.aspx?termid=17817")</f>
        <v>https://ceds.ed.gov/cedselementdetails.aspx?termid=17817</v>
      </c>
      <c r="N1104" s="12" t="str">
        <f>HYPERLINK("https://ceds.ed.gov/elementComment.aspx?elementName=Higher Education Institution Accreditation Status &amp;elementID=17817", "Click here to submit comment")</f>
        <v>Click here to submit comment</v>
      </c>
    </row>
    <row r="1105" spans="1:14" ht="409.5" x14ac:dyDescent="0.25">
      <c r="A1105" s="12" t="s">
        <v>4989</v>
      </c>
      <c r="B1105" s="12" t="s">
        <v>4990</v>
      </c>
      <c r="C1105" s="13" t="s">
        <v>2501</v>
      </c>
      <c r="D1105" s="12" t="s">
        <v>4991</v>
      </c>
      <c r="E1105" s="11"/>
      <c r="F1105" s="11"/>
      <c r="G1105" s="11"/>
      <c r="H1105" s="11"/>
      <c r="I1105" s="12" t="s">
        <v>4992</v>
      </c>
      <c r="J1105" s="11"/>
      <c r="K1105" s="12" t="s">
        <v>4993</v>
      </c>
      <c r="L1105" s="12" t="s">
        <v>4994</v>
      </c>
      <c r="M1105" s="12" t="str">
        <f>HYPERLINK("https://ceds.ed.gov/cedselementdetails.aspx?termid=17141")</f>
        <v>https://ceds.ed.gov/cedselementdetails.aspx?termid=17141</v>
      </c>
      <c r="N1105" s="12" t="str">
        <f>HYPERLINK("https://ceds.ed.gov/elementComment.aspx?elementName=Highest Level of Education Completed &amp;elementID=17141", "Click here to submit comment")</f>
        <v>Click here to submit comment</v>
      </c>
    </row>
    <row r="1106" spans="1:14" ht="38.25" x14ac:dyDescent="0.25">
      <c r="A1106" s="12" t="s">
        <v>4995</v>
      </c>
      <c r="B1106" s="12" t="s">
        <v>4996</v>
      </c>
      <c r="C1106" s="13" t="s">
        <v>4997</v>
      </c>
      <c r="D1106" s="12" t="s">
        <v>4998</v>
      </c>
      <c r="E1106" s="11"/>
      <c r="F1106" s="11"/>
      <c r="G1106" s="11"/>
      <c r="H1106" s="11"/>
      <c r="I1106" s="12" t="s">
        <v>4999</v>
      </c>
      <c r="J1106" s="11"/>
      <c r="K1106" s="12" t="s">
        <v>5000</v>
      </c>
      <c r="L1106" s="12" t="s">
        <v>258</v>
      </c>
      <c r="M1106" s="12" t="str">
        <f>HYPERLINK("https://ceds.ed.gov/cedselementdetails.aspx?termid=17142")</f>
        <v>https://ceds.ed.gov/cedselementdetails.aspx?termid=17142</v>
      </c>
      <c r="N1106" s="12" t="str">
        <f>HYPERLINK("https://ceds.ed.gov/elementComment.aspx?elementName=Highly Qualified Teacher Indicator &amp;elementID=17142", "Click here to submit comment")</f>
        <v>Click here to submit comment</v>
      </c>
    </row>
    <row r="1107" spans="1:14" ht="140.25" x14ac:dyDescent="0.25">
      <c r="A1107" s="12" t="s">
        <v>5001</v>
      </c>
      <c r="B1107" s="12" t="s">
        <v>5002</v>
      </c>
      <c r="C1107" s="12" t="s">
        <v>37</v>
      </c>
      <c r="D1107" s="12" t="s">
        <v>5003</v>
      </c>
      <c r="E1107" s="11"/>
      <c r="F1107" s="12" t="s">
        <v>135</v>
      </c>
      <c r="G1107" s="11"/>
      <c r="H1107" s="12" t="s">
        <v>5004</v>
      </c>
      <c r="I1107" s="12" t="s">
        <v>5005</v>
      </c>
      <c r="J1107" s="11"/>
      <c r="K1107" s="12" t="s">
        <v>5006</v>
      </c>
      <c r="L1107" s="12" t="s">
        <v>5007</v>
      </c>
      <c r="M1107" s="12" t="str">
        <f>HYPERLINK("https://ceds.ed.gov/cedselementdetails.aspx?termid=17143")</f>
        <v>https://ceds.ed.gov/cedselementdetails.aspx?termid=17143</v>
      </c>
      <c r="N1107" s="12" t="str">
        <f>HYPERLINK("https://ceds.ed.gov/elementComment.aspx?elementName=Hire Date &amp;elementID=17143", "Click here to submit comment")</f>
        <v>Click here to submit comment</v>
      </c>
    </row>
    <row r="1108" spans="1:14" ht="145.5" customHeight="1" x14ac:dyDescent="0.25">
      <c r="A1108" s="15" t="s">
        <v>5008</v>
      </c>
      <c r="B1108" s="15" t="s">
        <v>5009</v>
      </c>
      <c r="C1108" s="17" t="s">
        <v>420</v>
      </c>
      <c r="D1108" s="15" t="s">
        <v>421</v>
      </c>
      <c r="E1108" s="16"/>
      <c r="F1108" s="16"/>
      <c r="G1108" s="16"/>
      <c r="H1108" s="12" t="s">
        <v>422</v>
      </c>
      <c r="I1108" s="15" t="s">
        <v>5010</v>
      </c>
      <c r="J1108" s="16"/>
      <c r="K1108" s="15" t="s">
        <v>5011</v>
      </c>
      <c r="L1108" s="15" t="s">
        <v>426</v>
      </c>
      <c r="M1108" s="15" t="str">
        <f>HYPERLINK("https://ceds.ed.gov/cedselementdetails.aspx?termid=17144")</f>
        <v>https://ceds.ed.gov/cedselementdetails.aspx?termid=17144</v>
      </c>
      <c r="N1108" s="15" t="str">
        <f>HYPERLINK("https://ceds.ed.gov/elementComment.aspx?elementName=Hispanic or Latino Ethnicity &amp;elementID=17144", "Click here to submit comment")</f>
        <v>Click here to submit comment</v>
      </c>
    </row>
    <row r="1109" spans="1:14" x14ac:dyDescent="0.25">
      <c r="A1109" s="15"/>
      <c r="B1109" s="15"/>
      <c r="C1109" s="15"/>
      <c r="D1109" s="15"/>
      <c r="E1109" s="16"/>
      <c r="F1109" s="16"/>
      <c r="G1109" s="16"/>
      <c r="H1109" s="11"/>
      <c r="I1109" s="15"/>
      <c r="J1109" s="16"/>
      <c r="K1109" s="15"/>
      <c r="L1109" s="15"/>
      <c r="M1109" s="15"/>
      <c r="N1109" s="15"/>
    </row>
    <row r="1110" spans="1:14" x14ac:dyDescent="0.25">
      <c r="A1110" s="15"/>
      <c r="B1110" s="15"/>
      <c r="C1110" s="15"/>
      <c r="D1110" s="15"/>
      <c r="E1110" s="16"/>
      <c r="F1110" s="16"/>
      <c r="G1110" s="16"/>
      <c r="H1110" s="12" t="s">
        <v>427</v>
      </c>
      <c r="I1110" s="15"/>
      <c r="J1110" s="16"/>
      <c r="K1110" s="15"/>
      <c r="L1110" s="15"/>
      <c r="M1110" s="15"/>
      <c r="N1110" s="15"/>
    </row>
    <row r="1111" spans="1:14" ht="25.5" x14ac:dyDescent="0.25">
      <c r="A1111" s="15"/>
      <c r="B1111" s="15"/>
      <c r="C1111" s="15"/>
      <c r="D1111" s="15"/>
      <c r="E1111" s="16"/>
      <c r="F1111" s="16"/>
      <c r="G1111" s="16"/>
      <c r="H1111" s="12" t="s">
        <v>428</v>
      </c>
      <c r="I1111" s="15"/>
      <c r="J1111" s="16"/>
      <c r="K1111" s="15"/>
      <c r="L1111" s="15"/>
      <c r="M1111" s="15"/>
      <c r="N1111" s="15"/>
    </row>
    <row r="1112" spans="1:14" x14ac:dyDescent="0.25">
      <c r="A1112" s="15"/>
      <c r="B1112" s="15"/>
      <c r="C1112" s="15"/>
      <c r="D1112" s="15"/>
      <c r="E1112" s="16"/>
      <c r="F1112" s="16"/>
      <c r="G1112" s="16"/>
      <c r="H1112" s="12" t="s">
        <v>429</v>
      </c>
      <c r="I1112" s="15"/>
      <c r="J1112" s="16"/>
      <c r="K1112" s="15"/>
      <c r="L1112" s="15"/>
      <c r="M1112" s="15"/>
      <c r="N1112" s="15"/>
    </row>
    <row r="1113" spans="1:14" ht="102" x14ac:dyDescent="0.25">
      <c r="A1113" s="12" t="s">
        <v>5012</v>
      </c>
      <c r="B1113" s="12" t="s">
        <v>5013</v>
      </c>
      <c r="C1113" s="13" t="s">
        <v>5014</v>
      </c>
      <c r="D1113" s="12" t="s">
        <v>5015</v>
      </c>
      <c r="E1113" s="12" t="s">
        <v>195</v>
      </c>
      <c r="F1113" s="11"/>
      <c r="G1113" s="12" t="s">
        <v>5016</v>
      </c>
      <c r="H1113" s="11"/>
      <c r="I1113" s="12" t="s">
        <v>5017</v>
      </c>
      <c r="J1113" s="11"/>
      <c r="K1113" s="12" t="s">
        <v>5018</v>
      </c>
      <c r="L1113" s="12" t="s">
        <v>258</v>
      </c>
      <c r="M1113" s="12" t="str">
        <f>HYPERLINK("https://ceds.ed.gov/cedselementdetails.aspx?termid=17146")</f>
        <v>https://ceds.ed.gov/cedselementdetails.aspx?termid=17146</v>
      </c>
      <c r="N1113" s="12" t="str">
        <f>HYPERLINK("https://ceds.ed.gov/elementComment.aspx?elementName=Homeless Primary Nighttime Residence &amp;elementID=17146", "Click here to submit comment")</f>
        <v>Click here to submit comment</v>
      </c>
    </row>
    <row r="1114" spans="1:14" ht="38.25" x14ac:dyDescent="0.25">
      <c r="A1114" s="12" t="s">
        <v>5019</v>
      </c>
      <c r="B1114" s="12" t="s">
        <v>5020</v>
      </c>
      <c r="C1114" s="12" t="s">
        <v>24</v>
      </c>
      <c r="D1114" s="12" t="s">
        <v>5021</v>
      </c>
      <c r="E1114" s="11"/>
      <c r="F1114" s="11"/>
      <c r="G1114" s="11"/>
      <c r="H1114" s="11"/>
      <c r="I1114" s="12" t="s">
        <v>5022</v>
      </c>
      <c r="J1114" s="11"/>
      <c r="K1114" s="12" t="s">
        <v>5023</v>
      </c>
      <c r="L1114" s="11"/>
      <c r="M1114" s="12" t="str">
        <f>HYPERLINK("https://ceds.ed.gov/cedselementdetails.aspx?termid=17147")</f>
        <v>https://ceds.ed.gov/cedselementdetails.aspx?termid=17147</v>
      </c>
      <c r="N1114" s="12" t="str">
        <f>HYPERLINK("https://ceds.ed.gov/elementComment.aspx?elementName=Homeless Serviced Indicator &amp;elementID=17147", "Click here to submit comment")</f>
        <v>Click here to submit comment</v>
      </c>
    </row>
    <row r="1115" spans="1:14" ht="38.25" x14ac:dyDescent="0.25">
      <c r="A1115" s="12" t="s">
        <v>5024</v>
      </c>
      <c r="B1115" s="12" t="s">
        <v>5025</v>
      </c>
      <c r="C1115" s="12" t="s">
        <v>24</v>
      </c>
      <c r="D1115" s="12" t="s">
        <v>5026</v>
      </c>
      <c r="E1115" s="11"/>
      <c r="F1115" s="11"/>
      <c r="G1115" s="11"/>
      <c r="H1115" s="11"/>
      <c r="I1115" s="12" t="s">
        <v>5027</v>
      </c>
      <c r="J1115" s="11"/>
      <c r="K1115" s="12" t="s">
        <v>5028</v>
      </c>
      <c r="L1115" s="12" t="s">
        <v>258</v>
      </c>
      <c r="M1115" s="12" t="str">
        <f>HYPERLINK("https://ceds.ed.gov/cedselementdetails.aspx?termid=17148")</f>
        <v>https://ceds.ed.gov/cedselementdetails.aspx?termid=17148</v>
      </c>
      <c r="N1115" s="12" t="str">
        <f>HYPERLINK("https://ceds.ed.gov/elementComment.aspx?elementName=Homeless Unaccompanied Youth Status &amp;elementID=17148", "Click here to submit comment")</f>
        <v>Click here to submit comment</v>
      </c>
    </row>
    <row r="1116" spans="1:14" ht="318.75" x14ac:dyDescent="0.25">
      <c r="A1116" s="12" t="s">
        <v>5029</v>
      </c>
      <c r="B1116" s="12" t="s">
        <v>5030</v>
      </c>
      <c r="C1116" s="12" t="s">
        <v>24</v>
      </c>
      <c r="D1116" s="12" t="s">
        <v>5031</v>
      </c>
      <c r="E1116" s="11"/>
      <c r="F1116" s="11"/>
      <c r="G1116" s="11"/>
      <c r="H1116" s="11"/>
      <c r="I1116" s="12" t="s">
        <v>5032</v>
      </c>
      <c r="J1116" s="11"/>
      <c r="K1116" s="12" t="s">
        <v>5033</v>
      </c>
      <c r="L1116" s="12" t="s">
        <v>5034</v>
      </c>
      <c r="M1116" s="12" t="str">
        <f>HYPERLINK("https://ceds.ed.gov/cedselementdetails.aspx?termid=17149")</f>
        <v>https://ceds.ed.gov/cedselementdetails.aspx?termid=17149</v>
      </c>
      <c r="N1116" s="12" t="str">
        <f>HYPERLINK("https://ceds.ed.gov/elementComment.aspx?elementName=Homelessness Status &amp;elementID=17149", "Click here to submit comment")</f>
        <v>Click here to submit comment</v>
      </c>
    </row>
    <row r="1117" spans="1:14" ht="38.25" x14ac:dyDescent="0.25">
      <c r="A1117" s="12" t="s">
        <v>5035</v>
      </c>
      <c r="B1117" s="12" t="s">
        <v>5036</v>
      </c>
      <c r="C1117" s="12" t="s">
        <v>37</v>
      </c>
      <c r="D1117" s="12" t="s">
        <v>69</v>
      </c>
      <c r="E1117" s="11"/>
      <c r="F1117" s="12" t="s">
        <v>62</v>
      </c>
      <c r="G1117" s="11"/>
      <c r="H1117" s="11"/>
      <c r="I1117" s="12" t="s">
        <v>5037</v>
      </c>
      <c r="J1117" s="11"/>
      <c r="K1117" s="12" t="s">
        <v>5038</v>
      </c>
      <c r="L1117" s="12" t="s">
        <v>72</v>
      </c>
      <c r="M1117" s="12" t="str">
        <f>HYPERLINK("https://ceds.ed.gov/cedselementdetails.aspx?termid=17150")</f>
        <v>https://ceds.ed.gov/cedselementdetails.aspx?termid=17150</v>
      </c>
      <c r="N1117" s="12" t="str">
        <f>HYPERLINK("https://ceds.ed.gov/elementComment.aspx?elementName=Honors Description &amp;elementID=17150", "Click here to submit comment")</f>
        <v>Click here to submit comment</v>
      </c>
    </row>
    <row r="1118" spans="1:14" ht="25.5" x14ac:dyDescent="0.25">
      <c r="A1118" s="12" t="s">
        <v>5039</v>
      </c>
      <c r="B1118" s="12" t="s">
        <v>5040</v>
      </c>
      <c r="C1118" s="12" t="s">
        <v>37</v>
      </c>
      <c r="D1118" s="12" t="s">
        <v>3759</v>
      </c>
      <c r="E1118" s="11"/>
      <c r="F1118" s="12" t="s">
        <v>1710</v>
      </c>
      <c r="G1118" s="11"/>
      <c r="H1118" s="11"/>
      <c r="I1118" s="12" t="s">
        <v>5041</v>
      </c>
      <c r="J1118" s="11"/>
      <c r="K1118" s="12" t="s">
        <v>5042</v>
      </c>
      <c r="L1118" s="12" t="s">
        <v>238</v>
      </c>
      <c r="M1118" s="12" t="str">
        <f>HYPERLINK("https://ceds.ed.gov/cedselementdetails.aspx?termid=17796")</f>
        <v>https://ceds.ed.gov/cedselementdetails.aspx?termid=17796</v>
      </c>
      <c r="N1118" s="12" t="str">
        <f>HYPERLINK("https://ceds.ed.gov/elementComment.aspx?elementName=Hourly Wage &amp;elementID=17796", "Click here to submit comment")</f>
        <v>Click here to submit comment</v>
      </c>
    </row>
    <row r="1119" spans="1:14" ht="51" x14ac:dyDescent="0.25">
      <c r="A1119" s="12" t="s">
        <v>5043</v>
      </c>
      <c r="B1119" s="12" t="s">
        <v>5044</v>
      </c>
      <c r="C1119" s="12" t="s">
        <v>37</v>
      </c>
      <c r="D1119" s="12" t="s">
        <v>3451</v>
      </c>
      <c r="E1119" s="11"/>
      <c r="F1119" s="12" t="s">
        <v>1710</v>
      </c>
      <c r="G1119" s="11"/>
      <c r="H1119" s="11"/>
      <c r="I1119" s="12" t="s">
        <v>5045</v>
      </c>
      <c r="J1119" s="11"/>
      <c r="K1119" s="12" t="s">
        <v>5046</v>
      </c>
      <c r="L1119" s="12" t="s">
        <v>3454</v>
      </c>
      <c r="M1119" s="12" t="str">
        <f>HYPERLINK("https://ceds.ed.gov/cedselementdetails.aspx?termid=17353")</f>
        <v>https://ceds.ed.gov/cedselementdetails.aspx?termid=17353</v>
      </c>
      <c r="N1119" s="12" t="str">
        <f>HYPERLINK("https://ceds.ed.gov/elementComment.aspx?elementName=Hours Available Per Day &amp;elementID=17353", "Click here to submit comment")</f>
        <v>Click here to submit comment</v>
      </c>
    </row>
    <row r="1120" spans="1:14" ht="25.5" x14ac:dyDescent="0.25">
      <c r="A1120" s="12" t="s">
        <v>5047</v>
      </c>
      <c r="B1120" s="12" t="s">
        <v>5048</v>
      </c>
      <c r="C1120" s="12" t="s">
        <v>37</v>
      </c>
      <c r="D1120" s="12" t="s">
        <v>3759</v>
      </c>
      <c r="E1120" s="11"/>
      <c r="F1120" s="12" t="s">
        <v>1710</v>
      </c>
      <c r="G1120" s="11"/>
      <c r="H1120" s="11"/>
      <c r="I1120" s="12" t="s">
        <v>5049</v>
      </c>
      <c r="J1120" s="11"/>
      <c r="K1120" s="12" t="s">
        <v>5050</v>
      </c>
      <c r="L1120" s="12" t="s">
        <v>238</v>
      </c>
      <c r="M1120" s="12" t="str">
        <f>HYPERLINK("https://ceds.ed.gov/cedselementdetails.aspx?termid=17795")</f>
        <v>https://ceds.ed.gov/cedselementdetails.aspx?termid=17795</v>
      </c>
      <c r="N1120" s="12" t="str">
        <f>HYPERLINK("https://ceds.ed.gov/elementComment.aspx?elementName=Hours Worked Per Week &amp;elementID=17795", "Click here to submit comment")</f>
        <v>Click here to submit comment</v>
      </c>
    </row>
    <row r="1121" spans="1:14" ht="267.75" x14ac:dyDescent="0.25">
      <c r="A1121" s="12" t="s">
        <v>5051</v>
      </c>
      <c r="B1121" s="12" t="s">
        <v>5052</v>
      </c>
      <c r="C1121" s="13" t="s">
        <v>5053</v>
      </c>
      <c r="D1121" s="12" t="s">
        <v>5054</v>
      </c>
      <c r="E1121" s="11"/>
      <c r="F1121" s="11"/>
      <c r="G1121" s="11"/>
      <c r="H1121" s="12" t="s">
        <v>5055</v>
      </c>
      <c r="I1121" s="12" t="s">
        <v>5056</v>
      </c>
      <c r="J1121" s="11"/>
      <c r="K1121" s="12" t="s">
        <v>5057</v>
      </c>
      <c r="L1121" s="11"/>
      <c r="M1121" s="12" t="str">
        <f>HYPERLINK("https://ceds.ed.gov/cedselementdetails.aspx?termid=18714")</f>
        <v>https://ceds.ed.gov/cedselementdetails.aspx?termid=18714</v>
      </c>
      <c r="N1121" s="12" t="str">
        <f>HYPERLINK("https://ceds.ed.gov/elementComment.aspx?elementName=IDEA Disability Type &amp;elementID=18714", "Click here to submit comment")</f>
        <v>Click here to submit comment</v>
      </c>
    </row>
    <row r="1122" spans="1:14" ht="140.25" x14ac:dyDescent="0.25">
      <c r="A1122" s="12" t="s">
        <v>5058</v>
      </c>
      <c r="B1122" s="12" t="s">
        <v>5059</v>
      </c>
      <c r="C1122" s="13" t="s">
        <v>5060</v>
      </c>
      <c r="D1122" s="12" t="s">
        <v>3596</v>
      </c>
      <c r="E1122" s="11"/>
      <c r="F1122" s="11"/>
      <c r="G1122" s="11"/>
      <c r="H1122" s="11"/>
      <c r="I1122" s="12" t="s">
        <v>5061</v>
      </c>
      <c r="J1122" s="11"/>
      <c r="K1122" s="12" t="s">
        <v>5062</v>
      </c>
      <c r="L1122" s="12" t="s">
        <v>258</v>
      </c>
      <c r="M1122" s="12" t="str">
        <f>HYPERLINK("https://ceds.ed.gov/cedselementdetails.aspx?termid=17547")</f>
        <v>https://ceds.ed.gov/cedselementdetails.aspx?termid=17547</v>
      </c>
      <c r="N1122" s="12" t="str">
        <f>HYPERLINK("https://ceds.ed.gov/elementComment.aspx?elementName=IDEA Discipline Method for Firearms Incidents &amp;elementID=17547", "Click here to submit comment")</f>
        <v>Click here to submit comment</v>
      </c>
    </row>
    <row r="1123" spans="1:14" ht="204" x14ac:dyDescent="0.25">
      <c r="A1123" s="12" t="s">
        <v>5063</v>
      </c>
      <c r="B1123" s="12" t="s">
        <v>5064</v>
      </c>
      <c r="C1123" s="13" t="s">
        <v>5065</v>
      </c>
      <c r="D1123" s="12" t="s">
        <v>5066</v>
      </c>
      <c r="E1123" s="11"/>
      <c r="F1123" s="11"/>
      <c r="G1123" s="11"/>
      <c r="H1123" s="11"/>
      <c r="I1123" s="12" t="s">
        <v>5067</v>
      </c>
      <c r="J1123" s="11"/>
      <c r="K1123" s="12" t="s">
        <v>5068</v>
      </c>
      <c r="L1123" s="12" t="s">
        <v>258</v>
      </c>
      <c r="M1123" s="12" t="str">
        <f>HYPERLINK("https://ceds.ed.gov/cedselementdetails.aspx?termid=17550")</f>
        <v>https://ceds.ed.gov/cedselementdetails.aspx?termid=17550</v>
      </c>
      <c r="N1123" s="12" t="str">
        <f>HYPERLINK("https://ceds.ed.gov/elementComment.aspx?elementName=IDEA Educational Environment for Early Childhood &amp;elementID=17550", "Click here to submit comment")</f>
        <v>Click here to submit comment</v>
      </c>
    </row>
    <row r="1124" spans="1:14" ht="153" x14ac:dyDescent="0.25">
      <c r="A1124" s="12" t="s">
        <v>5069</v>
      </c>
      <c r="B1124" s="12" t="s">
        <v>5070</v>
      </c>
      <c r="C1124" s="13" t="s">
        <v>5071</v>
      </c>
      <c r="D1124" s="12" t="s">
        <v>5072</v>
      </c>
      <c r="E1124" s="11"/>
      <c r="F1124" s="11"/>
      <c r="G1124" s="11"/>
      <c r="H1124" s="11"/>
      <c r="I1124" s="12" t="s">
        <v>5073</v>
      </c>
      <c r="J1124" s="11"/>
      <c r="K1124" s="12" t="s">
        <v>5074</v>
      </c>
      <c r="L1124" s="12" t="s">
        <v>258</v>
      </c>
      <c r="M1124" s="12" t="str">
        <f>HYPERLINK("https://ceds.ed.gov/cedselementdetails.aspx?termid=17526")</f>
        <v>https://ceds.ed.gov/cedselementdetails.aspx?termid=17526</v>
      </c>
      <c r="N1124" s="12" t="str">
        <f>HYPERLINK("https://ceds.ed.gov/elementComment.aspx?elementName=IDEA Educational Environment for School Age &amp;elementID=17526", "Click here to submit comment")</f>
        <v>Click here to submit comment</v>
      </c>
    </row>
    <row r="1125" spans="1:14" ht="242.25" x14ac:dyDescent="0.25">
      <c r="A1125" s="12" t="s">
        <v>5075</v>
      </c>
      <c r="B1125" s="12" t="s">
        <v>5076</v>
      </c>
      <c r="C1125" s="13" t="s">
        <v>5077</v>
      </c>
      <c r="D1125" s="12" t="s">
        <v>3951</v>
      </c>
      <c r="E1125" s="11"/>
      <c r="F1125" s="11"/>
      <c r="G1125" s="11"/>
      <c r="H1125" s="11"/>
      <c r="I1125" s="12" t="s">
        <v>5078</v>
      </c>
      <c r="J1125" s="11"/>
      <c r="K1125" s="12" t="s">
        <v>5079</v>
      </c>
      <c r="L1125" s="11"/>
      <c r="M1125" s="12" t="str">
        <f>HYPERLINK("https://ceds.ed.gov/cedselementdetails.aspx?termid=18710")</f>
        <v>https://ceds.ed.gov/cedselementdetails.aspx?termid=18710</v>
      </c>
      <c r="N1125" s="12" t="str">
        <f>HYPERLINK("https://ceds.ed.gov/elementComment.aspx?elementName=IDEA Eligibility Evaluation Category &amp;elementID=18710", "Click here to submit comment")</f>
        <v>Click here to submit comment</v>
      </c>
    </row>
    <row r="1126" spans="1:14" ht="51" x14ac:dyDescent="0.25">
      <c r="A1126" s="12" t="s">
        <v>5080</v>
      </c>
      <c r="B1126" s="12" t="s">
        <v>5081</v>
      </c>
      <c r="C1126" s="13" t="s">
        <v>5082</v>
      </c>
      <c r="D1126" s="12" t="s">
        <v>5083</v>
      </c>
      <c r="E1126" s="11"/>
      <c r="F1126" s="11"/>
      <c r="G1126" s="11"/>
      <c r="H1126" s="11"/>
      <c r="I1126" s="12" t="s">
        <v>5084</v>
      </c>
      <c r="J1126" s="11"/>
      <c r="K1126" s="12" t="s">
        <v>5085</v>
      </c>
      <c r="L1126" s="11"/>
      <c r="M1126" s="12" t="str">
        <f>HYPERLINK("https://ceds.ed.gov/cedselementdetails.aspx?termid=18473")</f>
        <v>https://ceds.ed.gov/cedselementdetails.aspx?termid=18473</v>
      </c>
      <c r="N1126" s="12" t="str">
        <f>HYPERLINK("https://ceds.ed.gov/elementComment.aspx?elementName=IDEA IEP Status &amp;elementID=18473", "Click here to submit comment")</f>
        <v>Click here to submit comment</v>
      </c>
    </row>
    <row r="1127" spans="1:14" ht="204" x14ac:dyDescent="0.25">
      <c r="A1127" s="12" t="s">
        <v>5086</v>
      </c>
      <c r="B1127" s="12" t="s">
        <v>5087</v>
      </c>
      <c r="C1127" s="12" t="s">
        <v>24</v>
      </c>
      <c r="D1127" s="12" t="s">
        <v>3586</v>
      </c>
      <c r="E1127" s="11"/>
      <c r="F1127" s="11"/>
      <c r="G1127" s="11"/>
      <c r="H1127" s="11"/>
      <c r="I1127" s="12" t="s">
        <v>5088</v>
      </c>
      <c r="J1127" s="11"/>
      <c r="K1127" s="12" t="s">
        <v>5089</v>
      </c>
      <c r="L1127" s="12" t="s">
        <v>5090</v>
      </c>
      <c r="M1127" s="12" t="str">
        <f>HYPERLINK("https://ceds.ed.gov/cedselementdetails.aspx?termid=17151")</f>
        <v>https://ceds.ed.gov/cedselementdetails.aspx?termid=17151</v>
      </c>
      <c r="N1127" s="12" t="str">
        <f>HYPERLINK("https://ceds.ed.gov/elementComment.aspx?elementName=IDEA Indicator &amp;elementID=17151", "Click here to submit comment")</f>
        <v>Click here to submit comment</v>
      </c>
    </row>
    <row r="1128" spans="1:14" ht="63.75" x14ac:dyDescent="0.25">
      <c r="A1128" s="12" t="s">
        <v>5091</v>
      </c>
      <c r="B1128" s="12" t="s">
        <v>5092</v>
      </c>
      <c r="C1128" s="13" t="s">
        <v>5093</v>
      </c>
      <c r="D1128" s="12" t="s">
        <v>3591</v>
      </c>
      <c r="E1128" s="11"/>
      <c r="F1128" s="11"/>
      <c r="G1128" s="11"/>
      <c r="H1128" s="11"/>
      <c r="I1128" s="12" t="s">
        <v>5094</v>
      </c>
      <c r="J1128" s="11"/>
      <c r="K1128" s="12" t="s">
        <v>5095</v>
      </c>
      <c r="L1128" s="12" t="s">
        <v>258</v>
      </c>
      <c r="M1128" s="12" t="str">
        <f>HYPERLINK("https://ceds.ed.gov/cedselementdetails.aspx?termid=17532")</f>
        <v>https://ceds.ed.gov/cedselementdetails.aspx?termid=17532</v>
      </c>
      <c r="N1128" s="12" t="str">
        <f>HYPERLINK("https://ceds.ed.gov/elementComment.aspx?elementName=IDEA Interim Removal &amp;elementID=17532", "Click here to submit comment")</f>
        <v>Click here to submit comment</v>
      </c>
    </row>
    <row r="1129" spans="1:14" ht="51" x14ac:dyDescent="0.25">
      <c r="A1129" s="12" t="s">
        <v>5096</v>
      </c>
      <c r="B1129" s="12" t="s">
        <v>5097</v>
      </c>
      <c r="C1129" s="13" t="s">
        <v>5098</v>
      </c>
      <c r="D1129" s="12" t="s">
        <v>3591</v>
      </c>
      <c r="E1129" s="11"/>
      <c r="F1129" s="11"/>
      <c r="G1129" s="11"/>
      <c r="H1129" s="11"/>
      <c r="I1129" s="12" t="s">
        <v>5099</v>
      </c>
      <c r="J1129" s="11"/>
      <c r="K1129" s="12" t="s">
        <v>5100</v>
      </c>
      <c r="L1129" s="12" t="s">
        <v>258</v>
      </c>
      <c r="M1129" s="12" t="str">
        <f>HYPERLINK("https://ceds.ed.gov/cedselementdetails.aspx?termid=17530")</f>
        <v>https://ceds.ed.gov/cedselementdetails.aspx?termid=17530</v>
      </c>
      <c r="N1129" s="12" t="str">
        <f>HYPERLINK("https://ceds.ed.gov/elementComment.aspx?elementName=IDEA Interim Removal Reason &amp;elementID=17530", "Click here to submit comment")</f>
        <v>Click here to submit comment</v>
      </c>
    </row>
    <row r="1130" spans="1:14" ht="38.25" x14ac:dyDescent="0.25">
      <c r="A1130" s="12" t="s">
        <v>5101</v>
      </c>
      <c r="B1130" s="12" t="s">
        <v>5102</v>
      </c>
      <c r="C1130" s="12" t="s">
        <v>24</v>
      </c>
      <c r="D1130" s="12" t="s">
        <v>3437</v>
      </c>
      <c r="E1130" s="11"/>
      <c r="F1130" s="11"/>
      <c r="G1130" s="11"/>
      <c r="H1130" s="11"/>
      <c r="I1130" s="12" t="s">
        <v>5103</v>
      </c>
      <c r="J1130" s="11"/>
      <c r="K1130" s="12" t="s">
        <v>5104</v>
      </c>
      <c r="L1130" s="11"/>
      <c r="M1130" s="12" t="str">
        <f>HYPERLINK("https://ceds.ed.gov/cedselementdetails.aspx?termid=18327")</f>
        <v>https://ceds.ed.gov/cedselementdetails.aspx?termid=18327</v>
      </c>
      <c r="N1130" s="12" t="str">
        <f>HYPERLINK("https://ceds.ed.gov/elementComment.aspx?elementName=IDEA Part B 619 Potential Eligibility Indicator &amp;elementID=18327", "Click here to submit comment")</f>
        <v>Click here to submit comment</v>
      </c>
    </row>
    <row r="1131" spans="1:14" ht="51" x14ac:dyDescent="0.25">
      <c r="A1131" s="12" t="s">
        <v>5105</v>
      </c>
      <c r="B1131" s="12" t="s">
        <v>5106</v>
      </c>
      <c r="C1131" s="13" t="s">
        <v>5107</v>
      </c>
      <c r="D1131" s="12" t="s">
        <v>5083</v>
      </c>
      <c r="E1131" s="11"/>
      <c r="F1131" s="11"/>
      <c r="G1131" s="11"/>
      <c r="H1131" s="6" t="s">
        <v>5108</v>
      </c>
      <c r="I1131" s="12" t="s">
        <v>5109</v>
      </c>
      <c r="J1131" s="11"/>
      <c r="K1131" s="12" t="s">
        <v>5110</v>
      </c>
      <c r="L1131" s="11"/>
      <c r="M1131" s="12" t="str">
        <f>HYPERLINK("https://ceds.ed.gov/cedselementdetails.aspx?termid=18637")</f>
        <v>https://ceds.ed.gov/cedselementdetails.aspx?termid=18637</v>
      </c>
      <c r="N1131" s="12" t="str">
        <f>HYPERLINK("https://ceds.ed.gov/elementComment.aspx?elementName=IDEA Part C Eligibility Category &amp;elementID=18637", "Click here to submit comment")</f>
        <v>Click here to submit comment</v>
      </c>
    </row>
    <row r="1132" spans="1:14" ht="63.75" x14ac:dyDescent="0.25">
      <c r="A1132" s="12" t="s">
        <v>5111</v>
      </c>
      <c r="B1132" s="12" t="s">
        <v>5112</v>
      </c>
      <c r="C1132" s="12" t="s">
        <v>37</v>
      </c>
      <c r="D1132" s="12" t="s">
        <v>3437</v>
      </c>
      <c r="E1132" s="11"/>
      <c r="F1132" s="12" t="s">
        <v>135</v>
      </c>
      <c r="G1132" s="11"/>
      <c r="H1132" s="11"/>
      <c r="I1132" s="12" t="s">
        <v>5113</v>
      </c>
      <c r="J1132" s="11"/>
      <c r="K1132" s="12" t="s">
        <v>5114</v>
      </c>
      <c r="L1132" s="11"/>
      <c r="M1132" s="12" t="str">
        <f>HYPERLINK("https://ceds.ed.gov/cedselementdetails.aspx?termid=18472")</f>
        <v>https://ceds.ed.gov/cedselementdetails.aspx?termid=18472</v>
      </c>
      <c r="N1132" s="12" t="str">
        <f>HYPERLINK("https://ceds.ed.gov/elementComment.aspx?elementName=IDEA Part C to Part B Notification Date &amp;elementID=18472", "Click here to submit comment")</f>
        <v>Click here to submit comment</v>
      </c>
    </row>
    <row r="1133" spans="1:14" ht="51" x14ac:dyDescent="0.25">
      <c r="A1133" s="12" t="s">
        <v>5115</v>
      </c>
      <c r="B1133" s="12" t="s">
        <v>5116</v>
      </c>
      <c r="C1133" s="12" t="s">
        <v>37</v>
      </c>
      <c r="D1133" s="12" t="s">
        <v>3437</v>
      </c>
      <c r="E1133" s="11"/>
      <c r="F1133" s="12" t="s">
        <v>135</v>
      </c>
      <c r="G1133" s="11"/>
      <c r="H1133" s="11"/>
      <c r="I1133" s="12" t="s">
        <v>5117</v>
      </c>
      <c r="J1133" s="11"/>
      <c r="K1133" s="12" t="s">
        <v>5118</v>
      </c>
      <c r="L1133" s="11"/>
      <c r="M1133" s="12" t="str">
        <f>HYPERLINK("https://ceds.ed.gov/cedselementdetails.aspx?termid=18331")</f>
        <v>https://ceds.ed.gov/cedselementdetails.aspx?termid=18331</v>
      </c>
      <c r="N1133" s="12" t="str">
        <f>HYPERLINK("https://ceds.ed.gov/elementComment.aspx?elementName=IDEA Part C to Part B Notification Opt Out Date &amp;elementID=18331", "Click here to submit comment")</f>
        <v>Click here to submit comment</v>
      </c>
    </row>
    <row r="1134" spans="1:14" ht="51" x14ac:dyDescent="0.25">
      <c r="A1134" s="12" t="s">
        <v>5119</v>
      </c>
      <c r="B1134" s="12" t="s">
        <v>5120</v>
      </c>
      <c r="C1134" s="12" t="s">
        <v>24</v>
      </c>
      <c r="D1134" s="12" t="s">
        <v>3437</v>
      </c>
      <c r="E1134" s="11"/>
      <c r="F1134" s="11"/>
      <c r="G1134" s="11"/>
      <c r="H1134" s="11"/>
      <c r="I1134" s="12" t="s">
        <v>5121</v>
      </c>
      <c r="J1134" s="11"/>
      <c r="K1134" s="12" t="s">
        <v>5122</v>
      </c>
      <c r="L1134" s="11"/>
      <c r="M1134" s="12" t="str">
        <f>HYPERLINK("https://ceds.ed.gov/cedselementdetails.aspx?termid=18330")</f>
        <v>https://ceds.ed.gov/cedselementdetails.aspx?termid=18330</v>
      </c>
      <c r="N1134" s="12" t="str">
        <f>HYPERLINK("https://ceds.ed.gov/elementComment.aspx?elementName=IDEA Part C to Part B Notification Opt Out Indicator &amp;elementID=18330", "Click here to submit comment")</f>
        <v>Click here to submit comment</v>
      </c>
    </row>
    <row r="1135" spans="1:14" ht="76.5" x14ac:dyDescent="0.25">
      <c r="A1135" s="12" t="s">
        <v>5123</v>
      </c>
      <c r="B1135" s="12" t="s">
        <v>5124</v>
      </c>
      <c r="C1135" s="12" t="s">
        <v>37</v>
      </c>
      <c r="D1135" s="12" t="s">
        <v>5125</v>
      </c>
      <c r="E1135" s="11"/>
      <c r="F1135" s="12" t="s">
        <v>382</v>
      </c>
      <c r="G1135" s="11"/>
      <c r="H1135" s="11"/>
      <c r="I1135" s="12" t="s">
        <v>5126</v>
      </c>
      <c r="J1135" s="11"/>
      <c r="K1135" s="12" t="s">
        <v>5127</v>
      </c>
      <c r="L1135" s="11"/>
      <c r="M1135" s="12" t="str">
        <f>HYPERLINK("https://ceds.ed.gov/cedselementdetails.aspx?termid=18685")</f>
        <v>https://ceds.ed.gov/cedselementdetails.aspx?termid=18685</v>
      </c>
      <c r="N1135" s="12" t="str">
        <f>HYPERLINK("https://ceds.ed.gov/elementComment.aspx?elementName=IDEA Placement Rationale &amp;elementID=18685", "Click here to submit comment")</f>
        <v>Click here to submit comment</v>
      </c>
    </row>
    <row r="1136" spans="1:14" ht="63.75" x14ac:dyDescent="0.25">
      <c r="A1136" s="12" t="s">
        <v>5128</v>
      </c>
      <c r="B1136" s="12" t="s">
        <v>5129</v>
      </c>
      <c r="C1136" s="13" t="s">
        <v>1573</v>
      </c>
      <c r="D1136" s="12" t="s">
        <v>643</v>
      </c>
      <c r="E1136" s="11"/>
      <c r="F1136" s="11"/>
      <c r="G1136" s="11"/>
      <c r="H1136" s="11"/>
      <c r="I1136" s="12" t="s">
        <v>5130</v>
      </c>
      <c r="J1136" s="11"/>
      <c r="K1136" s="12" t="s">
        <v>5131</v>
      </c>
      <c r="L1136" s="11"/>
      <c r="M1136" s="12" t="str">
        <f>HYPERLINK("https://ceds.ed.gov/cedselementdetails.aspx?termid=18141")</f>
        <v>https://ceds.ed.gov/cedselementdetails.aspx?termid=18141</v>
      </c>
      <c r="N1136" s="12" t="str">
        <f>HYPERLINK("https://ceds.ed.gov/elementComment.aspx?elementName=Identification System for Assessment Form Section &amp;elementID=18141", "Click here to submit comment")</f>
        <v>Click here to submit comment</v>
      </c>
    </row>
    <row r="1137" spans="1:14" ht="51" x14ac:dyDescent="0.25">
      <c r="A1137" s="12" t="s">
        <v>5132</v>
      </c>
      <c r="B1137" s="12" t="s">
        <v>5133</v>
      </c>
      <c r="C1137" s="12" t="s">
        <v>37</v>
      </c>
      <c r="D1137" s="12" t="s">
        <v>5134</v>
      </c>
      <c r="E1137" s="11"/>
      <c r="F1137" s="12" t="s">
        <v>382</v>
      </c>
      <c r="G1137" s="11"/>
      <c r="H1137" s="11"/>
      <c r="I1137" s="12" t="s">
        <v>5135</v>
      </c>
      <c r="J1137" s="11"/>
      <c r="K1137" s="12" t="s">
        <v>5136</v>
      </c>
      <c r="L1137" s="11"/>
      <c r="M1137" s="12" t="str">
        <f>HYPERLINK("https://ceds.ed.gov/cedselementdetails.aspx?termid=18668")</f>
        <v>https://ceds.ed.gov/cedselementdetails.aspx?termid=18668</v>
      </c>
      <c r="N1137" s="12" t="str">
        <f>HYPERLINK("https://ceds.ed.gov/elementComment.aspx?elementName=IEP Alternative Assessment Rationale &amp;elementID=18668", "Click here to submit comment")</f>
        <v>Click here to submit comment</v>
      </c>
    </row>
    <row r="1138" spans="1:14" ht="102" x14ac:dyDescent="0.25">
      <c r="A1138" s="12" t="s">
        <v>5137</v>
      </c>
      <c r="B1138" s="12" t="s">
        <v>5138</v>
      </c>
      <c r="C1138" s="13" t="s">
        <v>5139</v>
      </c>
      <c r="D1138" s="12" t="s">
        <v>1669</v>
      </c>
      <c r="E1138" s="11"/>
      <c r="F1138" s="11"/>
      <c r="G1138" s="11"/>
      <c r="H1138" s="11"/>
      <c r="I1138" s="12" t="s">
        <v>5140</v>
      </c>
      <c r="J1138" s="11"/>
      <c r="K1138" s="12" t="s">
        <v>5141</v>
      </c>
      <c r="L1138" s="11"/>
      <c r="M1138" s="12" t="str">
        <f>HYPERLINK("https://ceds.ed.gov/cedselementdetails.aspx?termid=18700")</f>
        <v>https://ceds.ed.gov/cedselementdetails.aspx?termid=18700</v>
      </c>
      <c r="N1138" s="12" t="str">
        <f>HYPERLINK("https://ceds.ed.gov/elementComment.aspx?elementName=IEP Authorization Document Type &amp;elementID=18700", "Click here to submit comment")</f>
        <v>Click here to submit comment</v>
      </c>
    </row>
    <row r="1139" spans="1:14" ht="25.5" x14ac:dyDescent="0.25">
      <c r="A1139" s="12" t="s">
        <v>5142</v>
      </c>
      <c r="B1139" s="12" t="s">
        <v>5143</v>
      </c>
      <c r="C1139" s="12" t="s">
        <v>37</v>
      </c>
      <c r="D1139" s="12" t="s">
        <v>1669</v>
      </c>
      <c r="E1139" s="11"/>
      <c r="F1139" s="12" t="s">
        <v>382</v>
      </c>
      <c r="G1139" s="11"/>
      <c r="H1139" s="11"/>
      <c r="I1139" s="12" t="s">
        <v>5144</v>
      </c>
      <c r="J1139" s="11"/>
      <c r="K1139" s="12" t="s">
        <v>5145</v>
      </c>
      <c r="L1139" s="11"/>
      <c r="M1139" s="12" t="str">
        <f>HYPERLINK("https://ceds.ed.gov/cedselementdetails.aspx?termid=18704")</f>
        <v>https://ceds.ed.gov/cedselementdetails.aspx?termid=18704</v>
      </c>
      <c r="N1139" s="12" t="str">
        <f>HYPERLINK("https://ceds.ed.gov/elementComment.aspx?elementName=IEP Authorization Rejected Portion Description &amp;elementID=18704", "Click here to submit comment")</f>
        <v>Click here to submit comment</v>
      </c>
    </row>
    <row r="1140" spans="1:14" ht="25.5" x14ac:dyDescent="0.25">
      <c r="A1140" s="12" t="s">
        <v>5146</v>
      </c>
      <c r="B1140" s="12" t="s">
        <v>5147</v>
      </c>
      <c r="C1140" s="12" t="s">
        <v>37</v>
      </c>
      <c r="D1140" s="12" t="s">
        <v>1669</v>
      </c>
      <c r="E1140" s="11"/>
      <c r="F1140" s="12" t="s">
        <v>382</v>
      </c>
      <c r="G1140" s="11"/>
      <c r="H1140" s="11"/>
      <c r="I1140" s="12" t="s">
        <v>5148</v>
      </c>
      <c r="J1140" s="11"/>
      <c r="K1140" s="12" t="s">
        <v>5149</v>
      </c>
      <c r="L1140" s="11"/>
      <c r="M1140" s="12" t="str">
        <f>HYPERLINK("https://ceds.ed.gov/cedselementdetails.aspx?termid=18705")</f>
        <v>https://ceds.ed.gov/cedselementdetails.aspx?termid=18705</v>
      </c>
      <c r="N1140" s="12" t="str">
        <f>HYPERLINK("https://ceds.ed.gov/elementComment.aspx?elementName=IEP Authorization Rejected Portion Explanation &amp;elementID=18705", "Click here to submit comment")</f>
        <v>Click here to submit comment</v>
      </c>
    </row>
    <row r="1141" spans="1:14" ht="38.25" x14ac:dyDescent="0.25">
      <c r="A1141" s="12" t="s">
        <v>5150</v>
      </c>
      <c r="B1141" s="12" t="s">
        <v>5151</v>
      </c>
      <c r="C1141" s="13" t="s">
        <v>5152</v>
      </c>
      <c r="D1141" s="12" t="s">
        <v>3951</v>
      </c>
      <c r="E1141" s="11"/>
      <c r="F1141" s="11"/>
      <c r="G1141" s="11"/>
      <c r="H1141" s="11"/>
      <c r="I1141" s="12" t="s">
        <v>5153</v>
      </c>
      <c r="J1141" s="11"/>
      <c r="K1141" s="12" t="s">
        <v>5154</v>
      </c>
      <c r="L1141" s="11"/>
      <c r="M1141" s="12" t="str">
        <f>HYPERLINK("https://ceds.ed.gov/cedselementdetails.aspx?termid=18709")</f>
        <v>https://ceds.ed.gov/cedselementdetails.aspx?termid=18709</v>
      </c>
      <c r="N1141" s="12" t="str">
        <f>HYPERLINK("https://ceds.ed.gov/elementComment.aspx?elementName=IEP Eligibility Evaluation Type &amp;elementID=18709", "Click here to submit comment")</f>
        <v>Click here to submit comment</v>
      </c>
    </row>
    <row r="1142" spans="1:14" ht="63.75" x14ac:dyDescent="0.25">
      <c r="A1142" s="12" t="s">
        <v>5155</v>
      </c>
      <c r="B1142" s="12" t="s">
        <v>5156</v>
      </c>
      <c r="C1142" s="13" t="s">
        <v>5157</v>
      </c>
      <c r="D1142" s="12" t="s">
        <v>4757</v>
      </c>
      <c r="E1142" s="11"/>
      <c r="F1142" s="11"/>
      <c r="G1142" s="11"/>
      <c r="H1142" s="11"/>
      <c r="I1142" s="12" t="s">
        <v>5158</v>
      </c>
      <c r="J1142" s="11"/>
      <c r="K1142" s="12" t="s">
        <v>5159</v>
      </c>
      <c r="L1142" s="11"/>
      <c r="M1142" s="12" t="str">
        <f>HYPERLINK("https://ceds.ed.gov/cedselementdetails.aspx?termid=18679")</f>
        <v>https://ceds.ed.gov/cedselementdetails.aspx?termid=18679</v>
      </c>
      <c r="N1142" s="12" t="str">
        <f>HYPERLINK("https://ceds.ed.gov/elementComment.aspx?elementName=IEP Goal Type &amp;elementID=18679", "Click here to submit comment")</f>
        <v>Click here to submit comment</v>
      </c>
    </row>
    <row r="1143" spans="1:14" ht="25.5" x14ac:dyDescent="0.25">
      <c r="A1143" s="12" t="s">
        <v>5160</v>
      </c>
      <c r="B1143" s="12" t="s">
        <v>5161</v>
      </c>
      <c r="C1143" s="12" t="s">
        <v>37</v>
      </c>
      <c r="D1143" s="12" t="s">
        <v>5162</v>
      </c>
      <c r="E1143" s="11"/>
      <c r="F1143" s="12" t="s">
        <v>382</v>
      </c>
      <c r="G1143" s="11"/>
      <c r="H1143" s="11"/>
      <c r="I1143" s="12" t="s">
        <v>5163</v>
      </c>
      <c r="J1143" s="11"/>
      <c r="K1143" s="12" t="s">
        <v>5164</v>
      </c>
      <c r="L1143" s="11"/>
      <c r="M1143" s="12" t="str">
        <f>HYPERLINK("https://ceds.ed.gov/cedselementdetails.aspx?termid=18686")</f>
        <v>https://ceds.ed.gov/cedselementdetails.aspx?termid=18686</v>
      </c>
      <c r="N1143" s="12" t="str">
        <f>HYPERLINK("https://ceds.ed.gov/elementComment.aspx?elementName=IEP Present Level Academic Description &amp;elementID=18686", "Click here to submit comment")</f>
        <v>Click here to submit comment</v>
      </c>
    </row>
    <row r="1144" spans="1:14" ht="25.5" x14ac:dyDescent="0.25">
      <c r="A1144" s="12" t="s">
        <v>5165</v>
      </c>
      <c r="B1144" s="12" t="s">
        <v>5166</v>
      </c>
      <c r="C1144" s="12" t="s">
        <v>37</v>
      </c>
      <c r="D1144" s="12" t="s">
        <v>5162</v>
      </c>
      <c r="E1144" s="11"/>
      <c r="F1144" s="12" t="s">
        <v>382</v>
      </c>
      <c r="G1144" s="11"/>
      <c r="H1144" s="11"/>
      <c r="I1144" s="12" t="s">
        <v>5167</v>
      </c>
      <c r="J1144" s="11"/>
      <c r="K1144" s="12" t="s">
        <v>5168</v>
      </c>
      <c r="L1144" s="11"/>
      <c r="M1144" s="12" t="str">
        <f>HYPERLINK("https://ceds.ed.gov/cedselementdetails.aspx?termid=18687")</f>
        <v>https://ceds.ed.gov/cedselementdetails.aspx?termid=18687</v>
      </c>
      <c r="N1144" s="12" t="str">
        <f>HYPERLINK("https://ceds.ed.gov/elementComment.aspx?elementName=IEP Present Level Functional Description &amp;elementID=18687", "Click here to submit comment")</f>
        <v>Click here to submit comment</v>
      </c>
    </row>
    <row r="1145" spans="1:14" ht="38.25" x14ac:dyDescent="0.25">
      <c r="A1145" s="12" t="s">
        <v>5169</v>
      </c>
      <c r="B1145" s="12" t="s">
        <v>5170</v>
      </c>
      <c r="C1145" s="12" t="s">
        <v>37</v>
      </c>
      <c r="D1145" s="12" t="s">
        <v>5162</v>
      </c>
      <c r="E1145" s="11"/>
      <c r="F1145" s="12" t="s">
        <v>382</v>
      </c>
      <c r="G1145" s="11"/>
      <c r="H1145" s="11"/>
      <c r="I1145" s="12" t="s">
        <v>5171</v>
      </c>
      <c r="J1145" s="11"/>
      <c r="K1145" s="12" t="s">
        <v>5172</v>
      </c>
      <c r="L1145" s="11"/>
      <c r="M1145" s="12" t="str">
        <f>HYPERLINK("https://ceds.ed.gov/cedselementdetails.aspx?termid=18688")</f>
        <v>https://ceds.ed.gov/cedselementdetails.aspx?termid=18688</v>
      </c>
      <c r="N1145" s="12" t="str">
        <f>HYPERLINK("https://ceds.ed.gov/elementComment.aspx?elementName=IEP Present Level General Education Description &amp;elementID=18688", "Click here to submit comment")</f>
        <v>Click here to submit comment</v>
      </c>
    </row>
    <row r="1146" spans="1:14" ht="38.25" x14ac:dyDescent="0.25">
      <c r="A1146" s="12" t="s">
        <v>5173</v>
      </c>
      <c r="B1146" s="12" t="s">
        <v>5174</v>
      </c>
      <c r="C1146" s="12" t="s">
        <v>37</v>
      </c>
      <c r="D1146" s="12" t="s">
        <v>5162</v>
      </c>
      <c r="E1146" s="11"/>
      <c r="F1146" s="12" t="s">
        <v>382</v>
      </c>
      <c r="G1146" s="11"/>
      <c r="H1146" s="11"/>
      <c r="I1146" s="12" t="s">
        <v>5175</v>
      </c>
      <c r="J1146" s="11"/>
      <c r="K1146" s="12" t="s">
        <v>5176</v>
      </c>
      <c r="L1146" s="11"/>
      <c r="M1146" s="12" t="str">
        <f>HYPERLINK("https://ceds.ed.gov/cedselementdetails.aspx?termid=18691")</f>
        <v>https://ceds.ed.gov/cedselementdetails.aspx?termid=18691</v>
      </c>
      <c r="N1146" s="12" t="str">
        <f>HYPERLINK("https://ceds.ed.gov/elementComment.aspx?elementName=IEP Present Level Parent Concern Description &amp;elementID=18691", "Click here to submit comment")</f>
        <v>Click here to submit comment</v>
      </c>
    </row>
    <row r="1147" spans="1:14" ht="38.25" x14ac:dyDescent="0.25">
      <c r="A1147" s="12" t="s">
        <v>5177</v>
      </c>
      <c r="B1147" s="12" t="s">
        <v>5178</v>
      </c>
      <c r="C1147" s="12" t="s">
        <v>37</v>
      </c>
      <c r="D1147" s="12" t="s">
        <v>5162</v>
      </c>
      <c r="E1147" s="11"/>
      <c r="F1147" s="12" t="s">
        <v>382</v>
      </c>
      <c r="G1147" s="11"/>
      <c r="H1147" s="11"/>
      <c r="I1147" s="12" t="s">
        <v>5179</v>
      </c>
      <c r="J1147" s="11"/>
      <c r="K1147" s="12" t="s">
        <v>5180</v>
      </c>
      <c r="L1147" s="11"/>
      <c r="M1147" s="12" t="str">
        <f>HYPERLINK("https://ceds.ed.gov/cedselementdetails.aspx?termid=18689")</f>
        <v>https://ceds.ed.gov/cedselementdetails.aspx?termid=18689</v>
      </c>
      <c r="N1147" s="12" t="str">
        <f>HYPERLINK("https://ceds.ed.gov/elementComment.aspx?elementName=IEP Present Level Preschool Description &amp;elementID=18689", "Click here to submit comment")</f>
        <v>Click here to submit comment</v>
      </c>
    </row>
    <row r="1148" spans="1:14" ht="38.25" x14ac:dyDescent="0.25">
      <c r="A1148" s="12" t="s">
        <v>5181</v>
      </c>
      <c r="B1148" s="12" t="s">
        <v>5182</v>
      </c>
      <c r="C1148" s="12" t="s">
        <v>37</v>
      </c>
      <c r="D1148" s="12" t="s">
        <v>5162</v>
      </c>
      <c r="E1148" s="11"/>
      <c r="F1148" s="12" t="s">
        <v>382</v>
      </c>
      <c r="G1148" s="11"/>
      <c r="H1148" s="11"/>
      <c r="I1148" s="12" t="s">
        <v>5183</v>
      </c>
      <c r="J1148" s="11"/>
      <c r="K1148" s="12" t="s">
        <v>5184</v>
      </c>
      <c r="L1148" s="11"/>
      <c r="M1148" s="12" t="str">
        <f>HYPERLINK("https://ceds.ed.gov/cedselementdetails.aspx?termid=18692")</f>
        <v>https://ceds.ed.gov/cedselementdetails.aspx?termid=18692</v>
      </c>
      <c r="N1148" s="12" t="str">
        <f>HYPERLINK("https://ceds.ed.gov/elementComment.aspx?elementName=IEP Present Level Student Concern Description &amp;elementID=18692", "Click here to submit comment")</f>
        <v>Click here to submit comment</v>
      </c>
    </row>
    <row r="1149" spans="1:14" ht="25.5" x14ac:dyDescent="0.25">
      <c r="A1149" s="12" t="s">
        <v>5185</v>
      </c>
      <c r="B1149" s="12" t="s">
        <v>5186</v>
      </c>
      <c r="C1149" s="12" t="s">
        <v>37</v>
      </c>
      <c r="D1149" s="12" t="s">
        <v>5162</v>
      </c>
      <c r="E1149" s="11"/>
      <c r="F1149" s="12" t="s">
        <v>382</v>
      </c>
      <c r="G1149" s="11"/>
      <c r="H1149" s="11"/>
      <c r="I1149" s="12" t="s">
        <v>5187</v>
      </c>
      <c r="J1149" s="11"/>
      <c r="K1149" s="12" t="s">
        <v>5188</v>
      </c>
      <c r="L1149" s="11"/>
      <c r="M1149" s="12" t="str">
        <f>HYPERLINK("https://ceds.ed.gov/cedselementdetails.aspx?termid=18690")</f>
        <v>https://ceds.ed.gov/cedselementdetails.aspx?termid=18690</v>
      </c>
      <c r="N1149" s="12" t="str">
        <f>HYPERLINK("https://ceds.ed.gov/elementComment.aspx?elementName=IEP Present Level Student Strengths Description &amp;elementID=18690", "Click here to submit comment")</f>
        <v>Click here to submit comment</v>
      </c>
    </row>
    <row r="1150" spans="1:14" ht="102" x14ac:dyDescent="0.25">
      <c r="A1150" s="12" t="s">
        <v>5189</v>
      </c>
      <c r="B1150" s="12" t="s">
        <v>5190</v>
      </c>
      <c r="C1150" s="12" t="s">
        <v>37</v>
      </c>
      <c r="D1150" s="12" t="s">
        <v>5191</v>
      </c>
      <c r="E1150" s="11"/>
      <c r="F1150" s="12" t="s">
        <v>382</v>
      </c>
      <c r="G1150" s="11"/>
      <c r="H1150" s="11"/>
      <c r="I1150" s="12" t="s">
        <v>5192</v>
      </c>
      <c r="J1150" s="11"/>
      <c r="K1150" s="12" t="s">
        <v>5193</v>
      </c>
      <c r="L1150" s="11"/>
      <c r="M1150" s="12" t="str">
        <f>HYPERLINK("https://ceds.ed.gov/cedselementdetails.aspx?termid=18663")</f>
        <v>https://ceds.ed.gov/cedselementdetails.aspx?termid=18663</v>
      </c>
      <c r="N1150" s="12" t="str">
        <f>HYPERLINK("https://ceds.ed.gov/elementComment.aspx?elementName=IEP Transfer of Rights Statement &amp;elementID=18663", "Click here to submit comment")</f>
        <v>Click here to submit comment</v>
      </c>
    </row>
    <row r="1151" spans="1:14" ht="63.75" x14ac:dyDescent="0.25">
      <c r="A1151" s="12" t="s">
        <v>5194</v>
      </c>
      <c r="B1151" s="12" t="s">
        <v>5195</v>
      </c>
      <c r="C1151" s="12" t="s">
        <v>37</v>
      </c>
      <c r="D1151" s="12" t="s">
        <v>5196</v>
      </c>
      <c r="E1151" s="11"/>
      <c r="F1151" s="12" t="s">
        <v>135</v>
      </c>
      <c r="G1151" s="11"/>
      <c r="H1151" s="11"/>
      <c r="I1151" s="12" t="s">
        <v>5197</v>
      </c>
      <c r="J1151" s="11"/>
      <c r="K1151" s="12" t="s">
        <v>5198</v>
      </c>
      <c r="L1151" s="12" t="s">
        <v>5199</v>
      </c>
      <c r="M1151" s="12" t="str">
        <f>HYPERLINK("https://ceds.ed.gov/cedselementdetails.aspx?termid=17306")</f>
        <v>https://ceds.ed.gov/cedselementdetails.aspx?termid=17306</v>
      </c>
      <c r="N1151" s="12" t="str">
        <f>HYPERLINK("https://ceds.ed.gov/elementComment.aspx?elementName=Immunization Date &amp;elementID=17306", "Click here to submit comment")</f>
        <v>Click here to submit comment</v>
      </c>
    </row>
    <row r="1152" spans="1:14" ht="51" x14ac:dyDescent="0.25">
      <c r="A1152" s="12" t="s">
        <v>5200</v>
      </c>
      <c r="B1152" s="12" t="s">
        <v>5201</v>
      </c>
      <c r="C1152" s="12" t="s">
        <v>24</v>
      </c>
      <c r="D1152" s="12" t="s">
        <v>3840</v>
      </c>
      <c r="E1152" s="11"/>
      <c r="F1152" s="11"/>
      <c r="G1152" s="11"/>
      <c r="H1152" s="11"/>
      <c r="I1152" s="12" t="s">
        <v>5202</v>
      </c>
      <c r="J1152" s="11"/>
      <c r="K1152" s="12" t="s">
        <v>5203</v>
      </c>
      <c r="L1152" s="12" t="s">
        <v>125</v>
      </c>
      <c r="M1152" s="12" t="str">
        <f>HYPERLINK("https://ceds.ed.gov/cedselementdetails.aspx?termid=17849")</f>
        <v>https://ceds.ed.gov/cedselementdetails.aspx?termid=17849</v>
      </c>
      <c r="N1152" s="12" t="str">
        <f>HYPERLINK("https://ceds.ed.gov/elementComment.aspx?elementName=Immunization Policy &amp;elementID=17849", "Click here to submit comment")</f>
        <v>Click here to submit comment</v>
      </c>
    </row>
    <row r="1153" spans="1:14" ht="38.25" x14ac:dyDescent="0.25">
      <c r="A1153" s="12" t="s">
        <v>5204</v>
      </c>
      <c r="B1153" s="12" t="s">
        <v>5205</v>
      </c>
      <c r="C1153" s="12" t="s">
        <v>24</v>
      </c>
      <c r="D1153" s="12" t="s">
        <v>2793</v>
      </c>
      <c r="E1153" s="11"/>
      <c r="F1153" s="11"/>
      <c r="G1153" s="11"/>
      <c r="H1153" s="11"/>
      <c r="I1153" s="12" t="s">
        <v>5206</v>
      </c>
      <c r="J1153" s="11"/>
      <c r="K1153" s="12" t="s">
        <v>5207</v>
      </c>
      <c r="L1153" s="12" t="s">
        <v>1751</v>
      </c>
      <c r="M1153" s="12" t="str">
        <f>HYPERLINK("https://ceds.ed.gov/cedselementdetails.aspx?termid=17428")</f>
        <v>https://ceds.ed.gov/cedselementdetails.aspx?termid=17428</v>
      </c>
      <c r="N1153" s="12" t="str">
        <f>HYPERLINK("https://ceds.ed.gov/elementComment.aspx?elementName=Immunization Record Flag &amp;elementID=17428", "Click here to submit comment")</f>
        <v>Click here to submit comment</v>
      </c>
    </row>
    <row r="1154" spans="1:14" ht="280.5" x14ac:dyDescent="0.25">
      <c r="A1154" s="12" t="s">
        <v>5208</v>
      </c>
      <c r="B1154" s="12" t="s">
        <v>5209</v>
      </c>
      <c r="C1154" s="13" t="s">
        <v>5210</v>
      </c>
      <c r="D1154" s="12" t="s">
        <v>5196</v>
      </c>
      <c r="E1154" s="11"/>
      <c r="F1154" s="11"/>
      <c r="G1154" s="11"/>
      <c r="H1154" s="11"/>
      <c r="I1154" s="12" t="s">
        <v>5211</v>
      </c>
      <c r="J1154" s="11"/>
      <c r="K1154" s="12" t="s">
        <v>5212</v>
      </c>
      <c r="L1154" s="11"/>
      <c r="M1154" s="12" t="str">
        <f>HYPERLINK("https://ceds.ed.gov/cedselementdetails.aspx?termid=18214")</f>
        <v>https://ceds.ed.gov/cedselementdetails.aspx?termid=18214</v>
      </c>
      <c r="N1154" s="12" t="str">
        <f>HYPERLINK("https://ceds.ed.gov/elementComment.aspx?elementName=Immunization Type &amp;elementID=18214", "Click here to submit comment")</f>
        <v>Click here to submit comment</v>
      </c>
    </row>
    <row r="1155" spans="1:14" ht="409.5" x14ac:dyDescent="0.25">
      <c r="A1155" s="12" t="s">
        <v>5213</v>
      </c>
      <c r="B1155" s="12" t="s">
        <v>5214</v>
      </c>
      <c r="C1155" s="13" t="s">
        <v>5215</v>
      </c>
      <c r="D1155" s="12" t="s">
        <v>4651</v>
      </c>
      <c r="E1155" s="11"/>
      <c r="F1155" s="11"/>
      <c r="G1155" s="11"/>
      <c r="H1155" s="11"/>
      <c r="I1155" s="12" t="s">
        <v>5216</v>
      </c>
      <c r="J1155" s="11"/>
      <c r="K1155" s="12" t="s">
        <v>5217</v>
      </c>
      <c r="L1155" s="11"/>
      <c r="M1155" s="12" t="str">
        <f>HYPERLINK("https://ceds.ed.gov/cedselementdetails.aspx?termid=17500")</f>
        <v>https://ceds.ed.gov/cedselementdetails.aspx?termid=17500</v>
      </c>
      <c r="N1155" s="12" t="str">
        <f>HYPERLINK("https://ceds.ed.gov/elementComment.aspx?elementName=Incident Behavior &amp;elementID=17500", "Click here to submit comment")</f>
        <v>Click here to submit comment</v>
      </c>
    </row>
    <row r="1156" spans="1:14" ht="153" x14ac:dyDescent="0.25">
      <c r="A1156" s="12" t="s">
        <v>5218</v>
      </c>
      <c r="B1156" s="12" t="s">
        <v>5219</v>
      </c>
      <c r="C1156" s="12" t="s">
        <v>37</v>
      </c>
      <c r="D1156" s="12" t="s">
        <v>4651</v>
      </c>
      <c r="E1156" s="11"/>
      <c r="F1156" s="12" t="s">
        <v>97</v>
      </c>
      <c r="G1156" s="11"/>
      <c r="H1156" s="11"/>
      <c r="I1156" s="12" t="s">
        <v>5220</v>
      </c>
      <c r="J1156" s="11"/>
      <c r="K1156" s="12" t="s">
        <v>5221</v>
      </c>
      <c r="L1156" s="11"/>
      <c r="M1156" s="12" t="str">
        <f>HYPERLINK("https://ceds.ed.gov/cedselementdetails.aspx?termid=17496")</f>
        <v>https://ceds.ed.gov/cedselementdetails.aspx?termid=17496</v>
      </c>
      <c r="N1156" s="12" t="str">
        <f>HYPERLINK("https://ceds.ed.gov/elementComment.aspx?elementName=Incident Cost &amp;elementID=17496", "Click here to submit comment")</f>
        <v>Click here to submit comment</v>
      </c>
    </row>
    <row r="1157" spans="1:14" ht="25.5" x14ac:dyDescent="0.25">
      <c r="A1157" s="12" t="s">
        <v>5222</v>
      </c>
      <c r="B1157" s="12" t="s">
        <v>5223</v>
      </c>
      <c r="C1157" s="12" t="s">
        <v>37</v>
      </c>
      <c r="D1157" s="12" t="s">
        <v>4651</v>
      </c>
      <c r="E1157" s="11"/>
      <c r="F1157" s="12" t="s">
        <v>135</v>
      </c>
      <c r="G1157" s="11"/>
      <c r="H1157" s="11"/>
      <c r="I1157" s="12" t="s">
        <v>5224</v>
      </c>
      <c r="J1157" s="11"/>
      <c r="K1157" s="12" t="s">
        <v>5225</v>
      </c>
      <c r="L1157" s="11"/>
      <c r="M1157" s="12" t="str">
        <f>HYPERLINK("https://ceds.ed.gov/cedselementdetails.aspx?termid=17493")</f>
        <v>https://ceds.ed.gov/cedselementdetails.aspx?termid=17493</v>
      </c>
      <c r="N1157" s="12" t="str">
        <f>HYPERLINK("https://ceds.ed.gov/elementComment.aspx?elementName=Incident Date &amp;elementID=17493", "Click here to submit comment")</f>
        <v>Click here to submit comment</v>
      </c>
    </row>
    <row r="1158" spans="1:14" ht="25.5" x14ac:dyDescent="0.25">
      <c r="A1158" s="12" t="s">
        <v>5226</v>
      </c>
      <c r="B1158" s="12" t="s">
        <v>5227</v>
      </c>
      <c r="C1158" s="12" t="s">
        <v>37</v>
      </c>
      <c r="D1158" s="12" t="s">
        <v>4651</v>
      </c>
      <c r="E1158" s="11"/>
      <c r="F1158" s="12" t="s">
        <v>382</v>
      </c>
      <c r="G1158" s="11"/>
      <c r="H1158" s="11"/>
      <c r="I1158" s="12" t="s">
        <v>5228</v>
      </c>
      <c r="J1158" s="11"/>
      <c r="K1158" s="12" t="s">
        <v>5229</v>
      </c>
      <c r="L1158" s="11"/>
      <c r="M1158" s="12" t="str">
        <f>HYPERLINK("https://ceds.ed.gov/cedselementdetails.aspx?termid=17499")</f>
        <v>https://ceds.ed.gov/cedselementdetails.aspx?termid=17499</v>
      </c>
      <c r="N1158" s="12" t="str">
        <f>HYPERLINK("https://ceds.ed.gov/elementComment.aspx?elementName=Incident Description &amp;elementID=17499", "Click here to submit comment")</f>
        <v>Click here to submit comment</v>
      </c>
    </row>
    <row r="1159" spans="1:14" ht="76.5" x14ac:dyDescent="0.25">
      <c r="A1159" s="15" t="s">
        <v>5230</v>
      </c>
      <c r="B1159" s="15" t="s">
        <v>5231</v>
      </c>
      <c r="C1159" s="15" t="s">
        <v>37</v>
      </c>
      <c r="D1159" s="15" t="s">
        <v>4651</v>
      </c>
      <c r="E1159" s="16"/>
      <c r="F1159" s="15" t="s">
        <v>149</v>
      </c>
      <c r="G1159" s="16"/>
      <c r="H1159" s="12" t="s">
        <v>150</v>
      </c>
      <c r="I1159" s="15" t="s">
        <v>5232</v>
      </c>
      <c r="J1159" s="16"/>
      <c r="K1159" s="15" t="s">
        <v>5233</v>
      </c>
      <c r="L1159" s="16"/>
      <c r="M1159" s="15" t="str">
        <f>HYPERLINK("https://ceds.ed.gov/cedselementdetails.aspx?termid=17492")</f>
        <v>https://ceds.ed.gov/cedselementdetails.aspx?termid=17492</v>
      </c>
      <c r="N1159" s="15" t="str">
        <f>HYPERLINK("https://ceds.ed.gov/elementComment.aspx?elementName=Incident Identifier &amp;elementID=17492", "Click here to submit comment")</f>
        <v>Click here to submit comment</v>
      </c>
    </row>
    <row r="1160" spans="1:14" x14ac:dyDescent="0.25">
      <c r="A1160" s="15"/>
      <c r="B1160" s="15"/>
      <c r="C1160" s="15"/>
      <c r="D1160" s="15"/>
      <c r="E1160" s="16"/>
      <c r="F1160" s="15"/>
      <c r="G1160" s="16"/>
      <c r="H1160" s="12"/>
      <c r="I1160" s="15"/>
      <c r="J1160" s="16"/>
      <c r="K1160" s="15"/>
      <c r="L1160" s="16"/>
      <c r="M1160" s="15"/>
      <c r="N1160" s="15"/>
    </row>
    <row r="1161" spans="1:14" ht="76.5" x14ac:dyDescent="0.25">
      <c r="A1161" s="15"/>
      <c r="B1161" s="15"/>
      <c r="C1161" s="15"/>
      <c r="D1161" s="15"/>
      <c r="E1161" s="16"/>
      <c r="F1161" s="15"/>
      <c r="G1161" s="16"/>
      <c r="H1161" s="12" t="s">
        <v>153</v>
      </c>
      <c r="I1161" s="15"/>
      <c r="J1161" s="16"/>
      <c r="K1161" s="15"/>
      <c r="L1161" s="16"/>
      <c r="M1161" s="15"/>
      <c r="N1161" s="15"/>
    </row>
    <row r="1162" spans="1:14" ht="76.5" x14ac:dyDescent="0.25">
      <c r="A1162" s="12" t="s">
        <v>5234</v>
      </c>
      <c r="B1162" s="12" t="s">
        <v>5235</v>
      </c>
      <c r="C1162" s="13" t="s">
        <v>5236</v>
      </c>
      <c r="D1162" s="12" t="s">
        <v>4651</v>
      </c>
      <c r="E1162" s="11"/>
      <c r="F1162" s="11"/>
      <c r="G1162" s="11"/>
      <c r="H1162" s="12" t="s">
        <v>5237</v>
      </c>
      <c r="I1162" s="12" t="s">
        <v>5238</v>
      </c>
      <c r="J1162" s="11"/>
      <c r="K1162" s="12" t="s">
        <v>5239</v>
      </c>
      <c r="L1162" s="11"/>
      <c r="M1162" s="12" t="str">
        <f>HYPERLINK("https://ceds.ed.gov/cedselementdetails.aspx?termid=17501")</f>
        <v>https://ceds.ed.gov/cedselementdetails.aspx?termid=17501</v>
      </c>
      <c r="N1162" s="12" t="str">
        <f>HYPERLINK("https://ceds.ed.gov/elementComment.aspx?elementName=Incident Injury Type &amp;elementID=17501", "Click here to submit comment")</f>
        <v>Click here to submit comment</v>
      </c>
    </row>
    <row r="1163" spans="1:14" ht="369.75" x14ac:dyDescent="0.25">
      <c r="A1163" s="12" t="s">
        <v>5240</v>
      </c>
      <c r="B1163" s="12" t="s">
        <v>5241</v>
      </c>
      <c r="C1163" s="13" t="s">
        <v>5242</v>
      </c>
      <c r="D1163" s="12" t="s">
        <v>4651</v>
      </c>
      <c r="E1163" s="11"/>
      <c r="F1163" s="11"/>
      <c r="G1163" s="11"/>
      <c r="H1163" s="11"/>
      <c r="I1163" s="12" t="s">
        <v>5243</v>
      </c>
      <c r="J1163" s="11"/>
      <c r="K1163" s="12" t="s">
        <v>5244</v>
      </c>
      <c r="L1163" s="11"/>
      <c r="M1163" s="12" t="str">
        <f>HYPERLINK("https://ceds.ed.gov/cedselementdetails.aspx?termid=17610")</f>
        <v>https://ceds.ed.gov/cedselementdetails.aspx?termid=17610</v>
      </c>
      <c r="N1163" s="12" t="str">
        <f>HYPERLINK("https://ceds.ed.gov/elementComment.aspx?elementName=Incident Location &amp;elementID=17610", "Click here to submit comment")</f>
        <v>Click here to submit comment</v>
      </c>
    </row>
    <row r="1164" spans="1:14" ht="51" x14ac:dyDescent="0.25">
      <c r="A1164" s="12" t="s">
        <v>5245</v>
      </c>
      <c r="B1164" s="12" t="s">
        <v>5246</v>
      </c>
      <c r="C1164" s="13" t="s">
        <v>5247</v>
      </c>
      <c r="D1164" s="12" t="s">
        <v>4651</v>
      </c>
      <c r="E1164" s="11"/>
      <c r="F1164" s="11"/>
      <c r="G1164" s="11"/>
      <c r="H1164" s="11"/>
      <c r="I1164" s="12" t="s">
        <v>5248</v>
      </c>
      <c r="J1164" s="11"/>
      <c r="K1164" s="12" t="s">
        <v>5249</v>
      </c>
      <c r="L1164" s="11"/>
      <c r="M1164" s="12" t="str">
        <f>HYPERLINK("https://ceds.ed.gov/cedselementdetails.aspx?termid=18337")</f>
        <v>https://ceds.ed.gov/cedselementdetails.aspx?termid=18337</v>
      </c>
      <c r="N1164" s="12" t="str">
        <f>HYPERLINK("https://ceds.ed.gov/elementComment.aspx?elementName=Incident Multiple Offense Type &amp;elementID=18337", "Click here to submit comment")</f>
        <v>Click here to submit comment</v>
      </c>
    </row>
    <row r="1165" spans="1:14" ht="76.5" x14ac:dyDescent="0.25">
      <c r="A1165" s="15" t="s">
        <v>5250</v>
      </c>
      <c r="B1165" s="15" t="s">
        <v>5251</v>
      </c>
      <c r="C1165" s="15" t="s">
        <v>37</v>
      </c>
      <c r="D1165" s="15" t="s">
        <v>4651</v>
      </c>
      <c r="E1165" s="16"/>
      <c r="F1165" s="15" t="s">
        <v>149</v>
      </c>
      <c r="G1165" s="16"/>
      <c r="H1165" s="12" t="s">
        <v>150</v>
      </c>
      <c r="I1165" s="15" t="s">
        <v>5252</v>
      </c>
      <c r="J1165" s="16"/>
      <c r="K1165" s="15" t="s">
        <v>5253</v>
      </c>
      <c r="L1165" s="16"/>
      <c r="M1165" s="15" t="str">
        <f>HYPERLINK("https://ceds.ed.gov/cedselementdetails.aspx?termid=18338")</f>
        <v>https://ceds.ed.gov/cedselementdetails.aspx?termid=18338</v>
      </c>
      <c r="N1165" s="15" t="str">
        <f>HYPERLINK("https://ceds.ed.gov/elementComment.aspx?elementName=Incident Perpetrator Identifier &amp;elementID=18338", "Click here to submit comment")</f>
        <v>Click here to submit comment</v>
      </c>
    </row>
    <row r="1166" spans="1:14" x14ac:dyDescent="0.25">
      <c r="A1166" s="15"/>
      <c r="B1166" s="15"/>
      <c r="C1166" s="15"/>
      <c r="D1166" s="15"/>
      <c r="E1166" s="16"/>
      <c r="F1166" s="15"/>
      <c r="G1166" s="16"/>
      <c r="H1166" s="12"/>
      <c r="I1166" s="15"/>
      <c r="J1166" s="16"/>
      <c r="K1166" s="15"/>
      <c r="L1166" s="16"/>
      <c r="M1166" s="15"/>
      <c r="N1166" s="15"/>
    </row>
    <row r="1167" spans="1:14" ht="76.5" x14ac:dyDescent="0.25">
      <c r="A1167" s="15"/>
      <c r="B1167" s="15"/>
      <c r="C1167" s="15"/>
      <c r="D1167" s="15"/>
      <c r="E1167" s="16"/>
      <c r="F1167" s="15"/>
      <c r="G1167" s="16"/>
      <c r="H1167" s="12" t="s">
        <v>153</v>
      </c>
      <c r="I1167" s="15"/>
      <c r="J1167" s="16"/>
      <c r="K1167" s="15"/>
      <c r="L1167" s="16"/>
      <c r="M1167" s="15"/>
      <c r="N1167" s="15"/>
    </row>
    <row r="1168" spans="1:14" ht="76.5" x14ac:dyDescent="0.25">
      <c r="A1168" s="12" t="s">
        <v>5254</v>
      </c>
      <c r="B1168" s="12" t="s">
        <v>5255</v>
      </c>
      <c r="C1168" s="13" t="s">
        <v>5236</v>
      </c>
      <c r="D1168" s="12" t="s">
        <v>4651</v>
      </c>
      <c r="E1168" s="11"/>
      <c r="F1168" s="11"/>
      <c r="G1168" s="11"/>
      <c r="H1168" s="11"/>
      <c r="I1168" s="12" t="s">
        <v>5256</v>
      </c>
      <c r="J1168" s="11"/>
      <c r="K1168" s="12" t="s">
        <v>5257</v>
      </c>
      <c r="L1168" s="11"/>
      <c r="M1168" s="12" t="str">
        <f>HYPERLINK("https://ceds.ed.gov/cedselementdetails.aspx?termid=18339")</f>
        <v>https://ceds.ed.gov/cedselementdetails.aspx?termid=18339</v>
      </c>
      <c r="N1168" s="12" t="str">
        <f>HYPERLINK("https://ceds.ed.gov/elementComment.aspx?elementName=Incident Perpetrator Injury Type &amp;elementID=18339", "Click here to submit comment")</f>
        <v>Click here to submit comment</v>
      </c>
    </row>
    <row r="1169" spans="1:14" ht="409.5" x14ac:dyDescent="0.25">
      <c r="A1169" s="12" t="s">
        <v>5258</v>
      </c>
      <c r="B1169" s="12" t="s">
        <v>5259</v>
      </c>
      <c r="C1169" s="13" t="s">
        <v>5260</v>
      </c>
      <c r="D1169" s="12" t="s">
        <v>4651</v>
      </c>
      <c r="E1169" s="11"/>
      <c r="F1169" s="11"/>
      <c r="G1169" s="11"/>
      <c r="H1169" s="11"/>
      <c r="I1169" s="12" t="s">
        <v>5261</v>
      </c>
      <c r="J1169" s="11"/>
      <c r="K1169" s="12" t="s">
        <v>5262</v>
      </c>
      <c r="L1169" s="11"/>
      <c r="M1169" s="12" t="str">
        <f>HYPERLINK("https://ceds.ed.gov/cedselementdetails.aspx?termid=18340")</f>
        <v>https://ceds.ed.gov/cedselementdetails.aspx?termid=18340</v>
      </c>
      <c r="N1169" s="12" t="str">
        <f>HYPERLINK("https://ceds.ed.gov/elementComment.aspx?elementName=Incident Perpetrator Type &amp;elementID=18340", "Click here to submit comment")</f>
        <v>Click here to submit comment</v>
      </c>
    </row>
    <row r="1170" spans="1:14" ht="63.75" x14ac:dyDescent="0.25">
      <c r="A1170" s="12" t="s">
        <v>5263</v>
      </c>
      <c r="B1170" s="12" t="s">
        <v>5264</v>
      </c>
      <c r="C1170" s="13" t="s">
        <v>5265</v>
      </c>
      <c r="D1170" s="12" t="s">
        <v>4651</v>
      </c>
      <c r="E1170" s="11"/>
      <c r="F1170" s="11"/>
      <c r="G1170" s="11"/>
      <c r="H1170" s="11"/>
      <c r="I1170" s="12" t="s">
        <v>5266</v>
      </c>
      <c r="J1170" s="11"/>
      <c r="K1170" s="12" t="s">
        <v>5267</v>
      </c>
      <c r="L1170" s="11"/>
      <c r="M1170" s="12" t="str">
        <f>HYPERLINK("https://ceds.ed.gov/cedselementdetails.aspx?termid=18341")</f>
        <v>https://ceds.ed.gov/cedselementdetails.aspx?termid=18341</v>
      </c>
      <c r="N1170" s="12" t="str">
        <f>HYPERLINK("https://ceds.ed.gov/elementComment.aspx?elementName=Incident Person Role Type &amp;elementID=18341", "Click here to submit comment")</f>
        <v>Click here to submit comment</v>
      </c>
    </row>
    <row r="1171" spans="1:14" ht="63.75" x14ac:dyDescent="0.25">
      <c r="A1171" s="12" t="s">
        <v>5268</v>
      </c>
      <c r="B1171" s="12" t="s">
        <v>5269</v>
      </c>
      <c r="C1171" s="12" t="s">
        <v>37</v>
      </c>
      <c r="D1171" s="12" t="s">
        <v>4651</v>
      </c>
      <c r="E1171" s="11"/>
      <c r="F1171" s="12" t="s">
        <v>874</v>
      </c>
      <c r="G1171" s="11"/>
      <c r="H1171" s="11"/>
      <c r="I1171" s="12" t="s">
        <v>5270</v>
      </c>
      <c r="J1171" s="11"/>
      <c r="K1171" s="12" t="s">
        <v>5271</v>
      </c>
      <c r="L1171" s="11"/>
      <c r="M1171" s="12" t="str">
        <f>HYPERLINK("https://ceds.ed.gov/cedselementdetails.aspx?termid=18342")</f>
        <v>https://ceds.ed.gov/cedselementdetails.aspx?termid=18342</v>
      </c>
      <c r="N1171" s="12" t="str">
        <f>HYPERLINK("https://ceds.ed.gov/elementComment.aspx?elementName=Incident Regulation Violated Description &amp;elementID=18342", "Click here to submit comment")</f>
        <v>Click here to submit comment</v>
      </c>
    </row>
    <row r="1172" spans="1:14" ht="63.75" x14ac:dyDescent="0.25">
      <c r="A1172" s="12" t="s">
        <v>5272</v>
      </c>
      <c r="B1172" s="12" t="s">
        <v>5273</v>
      </c>
      <c r="C1172" s="12" t="s">
        <v>24</v>
      </c>
      <c r="D1172" s="12" t="s">
        <v>4651</v>
      </c>
      <c r="E1172" s="11"/>
      <c r="F1172" s="11"/>
      <c r="G1172" s="11"/>
      <c r="H1172" s="12" t="s">
        <v>5274</v>
      </c>
      <c r="I1172" s="12" t="s">
        <v>5275</v>
      </c>
      <c r="J1172" s="11"/>
      <c r="K1172" s="12" t="s">
        <v>5276</v>
      </c>
      <c r="L1172" s="11"/>
      <c r="M1172" s="12" t="str">
        <f>HYPERLINK("https://ceds.ed.gov/cedselementdetails.aspx?termid=18343")</f>
        <v>https://ceds.ed.gov/cedselementdetails.aspx?termid=18343</v>
      </c>
      <c r="N1172" s="12" t="str">
        <f>HYPERLINK("https://ceds.ed.gov/elementComment.aspx?elementName=Incident Related to Disability Manifestation &amp;elementID=18343", "Click here to submit comment")</f>
        <v>Click here to submit comment</v>
      </c>
    </row>
    <row r="1173" spans="1:14" ht="51" x14ac:dyDescent="0.25">
      <c r="A1173" s="12" t="s">
        <v>5277</v>
      </c>
      <c r="B1173" s="12" t="s">
        <v>5278</v>
      </c>
      <c r="C1173" s="12" t="s">
        <v>24</v>
      </c>
      <c r="D1173" s="12" t="s">
        <v>4651</v>
      </c>
      <c r="E1173" s="11"/>
      <c r="F1173" s="11"/>
      <c r="G1173" s="11"/>
      <c r="H1173" s="11"/>
      <c r="I1173" s="12" t="s">
        <v>5279</v>
      </c>
      <c r="J1173" s="11"/>
      <c r="K1173" s="12" t="s">
        <v>5280</v>
      </c>
      <c r="L1173" s="11"/>
      <c r="M1173" s="12" t="str">
        <f>HYPERLINK("https://ceds.ed.gov/cedselementdetails.aspx?termid=18345")</f>
        <v>https://ceds.ed.gov/cedselementdetails.aspx?termid=18345</v>
      </c>
      <c r="N1173" s="12" t="str">
        <f>HYPERLINK("https://ceds.ed.gov/elementComment.aspx?elementName=Incident Reported to Law Enforcement Indicator &amp;elementID=18345", "Click here to submit comment")</f>
        <v>Click here to submit comment</v>
      </c>
    </row>
    <row r="1174" spans="1:14" ht="409.5" x14ac:dyDescent="0.25">
      <c r="A1174" s="12" t="s">
        <v>5281</v>
      </c>
      <c r="B1174" s="12" t="s">
        <v>5282</v>
      </c>
      <c r="C1174" s="13" t="s">
        <v>5283</v>
      </c>
      <c r="D1174" s="12" t="s">
        <v>4651</v>
      </c>
      <c r="E1174" s="11"/>
      <c r="F1174" s="11"/>
      <c r="G1174" s="11"/>
      <c r="H1174" s="11"/>
      <c r="I1174" s="12" t="s">
        <v>5284</v>
      </c>
      <c r="J1174" s="11"/>
      <c r="K1174" s="12" t="s">
        <v>5285</v>
      </c>
      <c r="L1174" s="11"/>
      <c r="M1174" s="12" t="str">
        <f>HYPERLINK("https://ceds.ed.gov/cedselementdetails.aspx?termid=17497")</f>
        <v>https://ceds.ed.gov/cedselementdetails.aspx?termid=17497</v>
      </c>
      <c r="N1174" s="12" t="str">
        <f>HYPERLINK("https://ceds.ed.gov/elementComment.aspx?elementName=Incident Reporter Type &amp;elementID=17497", "Click here to submit comment")</f>
        <v>Click here to submit comment</v>
      </c>
    </row>
    <row r="1175" spans="1:14" ht="25.5" x14ac:dyDescent="0.25">
      <c r="A1175" s="12" t="s">
        <v>5286</v>
      </c>
      <c r="B1175" s="12" t="s">
        <v>5287</v>
      </c>
      <c r="C1175" s="12" t="s">
        <v>37</v>
      </c>
      <c r="D1175" s="12" t="s">
        <v>4651</v>
      </c>
      <c r="E1175" s="11"/>
      <c r="F1175" s="12" t="s">
        <v>501</v>
      </c>
      <c r="G1175" s="11"/>
      <c r="H1175" s="11"/>
      <c r="I1175" s="12" t="s">
        <v>5288</v>
      </c>
      <c r="J1175" s="11"/>
      <c r="K1175" s="12" t="s">
        <v>5289</v>
      </c>
      <c r="L1175" s="11"/>
      <c r="M1175" s="12" t="str">
        <f>HYPERLINK("https://ceds.ed.gov/cedselementdetails.aspx?termid=17494")</f>
        <v>https://ceds.ed.gov/cedselementdetails.aspx?termid=17494</v>
      </c>
      <c r="N1175" s="12" t="str">
        <f>HYPERLINK("https://ceds.ed.gov/elementComment.aspx?elementName=Incident Time &amp;elementID=17494", "Click here to submit comment")</f>
        <v>Click here to submit comment</v>
      </c>
    </row>
    <row r="1176" spans="1:14" ht="165.75" x14ac:dyDescent="0.25">
      <c r="A1176" s="12" t="s">
        <v>5290</v>
      </c>
      <c r="B1176" s="12" t="s">
        <v>5291</v>
      </c>
      <c r="C1176" s="13" t="s">
        <v>5292</v>
      </c>
      <c r="D1176" s="12" t="s">
        <v>4651</v>
      </c>
      <c r="E1176" s="11"/>
      <c r="F1176" s="11"/>
      <c r="G1176" s="11"/>
      <c r="H1176" s="11"/>
      <c r="I1176" s="12" t="s">
        <v>5293</v>
      </c>
      <c r="J1176" s="11"/>
      <c r="K1176" s="12" t="s">
        <v>5294</v>
      </c>
      <c r="L1176" s="11"/>
      <c r="M1176" s="12" t="str">
        <f>HYPERLINK("https://ceds.ed.gov/cedselementdetails.aspx?termid=17506")</f>
        <v>https://ceds.ed.gov/cedselementdetails.aspx?termid=17506</v>
      </c>
      <c r="N1176" s="12" t="str">
        <f>HYPERLINK("https://ceds.ed.gov/elementComment.aspx?elementName=Incident Time Description Code &amp;elementID=17506", "Click here to submit comment")</f>
        <v>Click here to submit comment</v>
      </c>
    </row>
    <row r="1177" spans="1:14" ht="76.5" x14ac:dyDescent="0.25">
      <c r="A1177" s="15" t="s">
        <v>5295</v>
      </c>
      <c r="B1177" s="15" t="s">
        <v>5296</v>
      </c>
      <c r="C1177" s="15" t="s">
        <v>37</v>
      </c>
      <c r="D1177" s="15" t="s">
        <v>4651</v>
      </c>
      <c r="E1177" s="16"/>
      <c r="F1177" s="15" t="s">
        <v>149</v>
      </c>
      <c r="G1177" s="16"/>
      <c r="H1177" s="12" t="s">
        <v>150</v>
      </c>
      <c r="I1177" s="15" t="s">
        <v>5297</v>
      </c>
      <c r="J1177" s="16"/>
      <c r="K1177" s="15" t="s">
        <v>5298</v>
      </c>
      <c r="L1177" s="16"/>
      <c r="M1177" s="15" t="str">
        <f>HYPERLINK("https://ceds.ed.gov/cedselementdetails.aspx?termid=18346")</f>
        <v>https://ceds.ed.gov/cedselementdetails.aspx?termid=18346</v>
      </c>
      <c r="N1177" s="15" t="str">
        <f>HYPERLINK("https://ceds.ed.gov/elementComment.aspx?elementName=Incident Victim Identifier &amp;elementID=18346", "Click here to submit comment")</f>
        <v>Click here to submit comment</v>
      </c>
    </row>
    <row r="1178" spans="1:14" x14ac:dyDescent="0.25">
      <c r="A1178" s="15"/>
      <c r="B1178" s="15"/>
      <c r="C1178" s="15"/>
      <c r="D1178" s="15"/>
      <c r="E1178" s="16"/>
      <c r="F1178" s="15"/>
      <c r="G1178" s="16"/>
      <c r="H1178" s="12"/>
      <c r="I1178" s="15"/>
      <c r="J1178" s="16"/>
      <c r="K1178" s="15"/>
      <c r="L1178" s="16"/>
      <c r="M1178" s="15"/>
      <c r="N1178" s="15"/>
    </row>
    <row r="1179" spans="1:14" ht="76.5" x14ac:dyDescent="0.25">
      <c r="A1179" s="15"/>
      <c r="B1179" s="15"/>
      <c r="C1179" s="15"/>
      <c r="D1179" s="15"/>
      <c r="E1179" s="16"/>
      <c r="F1179" s="15"/>
      <c r="G1179" s="16"/>
      <c r="H1179" s="12" t="s">
        <v>153</v>
      </c>
      <c r="I1179" s="15"/>
      <c r="J1179" s="16"/>
      <c r="K1179" s="15"/>
      <c r="L1179" s="16"/>
      <c r="M1179" s="15"/>
      <c r="N1179" s="15"/>
    </row>
    <row r="1180" spans="1:14" ht="409.5" x14ac:dyDescent="0.25">
      <c r="A1180" s="12" t="s">
        <v>5299</v>
      </c>
      <c r="B1180" s="12" t="s">
        <v>5300</v>
      </c>
      <c r="C1180" s="13" t="s">
        <v>5260</v>
      </c>
      <c r="D1180" s="12" t="s">
        <v>4651</v>
      </c>
      <c r="E1180" s="11"/>
      <c r="F1180" s="11"/>
      <c r="G1180" s="11"/>
      <c r="H1180" s="11"/>
      <c r="I1180" s="12" t="s">
        <v>5301</v>
      </c>
      <c r="J1180" s="11"/>
      <c r="K1180" s="12" t="s">
        <v>5302</v>
      </c>
      <c r="L1180" s="11"/>
      <c r="M1180" s="12" t="str">
        <f>HYPERLINK("https://ceds.ed.gov/cedselementdetails.aspx?termid=18347")</f>
        <v>https://ceds.ed.gov/cedselementdetails.aspx?termid=18347</v>
      </c>
      <c r="N1180" s="12" t="str">
        <f>HYPERLINK("https://ceds.ed.gov/elementComment.aspx?elementName=Incident Victim Type &amp;elementID=18347", "Click here to submit comment")</f>
        <v>Click here to submit comment</v>
      </c>
    </row>
    <row r="1181" spans="1:14" ht="76.5" x14ac:dyDescent="0.25">
      <c r="A1181" s="15" t="s">
        <v>5303</v>
      </c>
      <c r="B1181" s="15" t="s">
        <v>5304</v>
      </c>
      <c r="C1181" s="15" t="s">
        <v>37</v>
      </c>
      <c r="D1181" s="15" t="s">
        <v>4651</v>
      </c>
      <c r="E1181" s="16"/>
      <c r="F1181" s="15" t="s">
        <v>149</v>
      </c>
      <c r="G1181" s="16"/>
      <c r="H1181" s="12" t="s">
        <v>150</v>
      </c>
      <c r="I1181" s="15" t="s">
        <v>5305</v>
      </c>
      <c r="J1181" s="16"/>
      <c r="K1181" s="15" t="s">
        <v>5306</v>
      </c>
      <c r="L1181" s="16"/>
      <c r="M1181" s="15" t="str">
        <f>HYPERLINK("https://ceds.ed.gov/cedselementdetails.aspx?termid=18348")</f>
        <v>https://ceds.ed.gov/cedselementdetails.aspx?termid=18348</v>
      </c>
      <c r="N1181" s="15" t="str">
        <f>HYPERLINK("https://ceds.ed.gov/elementComment.aspx?elementName=Incident Witness Identifier &amp;elementID=18348", "Click here to submit comment")</f>
        <v>Click here to submit comment</v>
      </c>
    </row>
    <row r="1182" spans="1:14" x14ac:dyDescent="0.25">
      <c r="A1182" s="15"/>
      <c r="B1182" s="15"/>
      <c r="C1182" s="15"/>
      <c r="D1182" s="15"/>
      <c r="E1182" s="16"/>
      <c r="F1182" s="15"/>
      <c r="G1182" s="16"/>
      <c r="H1182" s="12"/>
      <c r="I1182" s="15"/>
      <c r="J1182" s="16"/>
      <c r="K1182" s="15"/>
      <c r="L1182" s="16"/>
      <c r="M1182" s="15"/>
      <c r="N1182" s="15"/>
    </row>
    <row r="1183" spans="1:14" ht="76.5" x14ac:dyDescent="0.25">
      <c r="A1183" s="15"/>
      <c r="B1183" s="15"/>
      <c r="C1183" s="15"/>
      <c r="D1183" s="15"/>
      <c r="E1183" s="16"/>
      <c r="F1183" s="15"/>
      <c r="G1183" s="16"/>
      <c r="H1183" s="12" t="s">
        <v>153</v>
      </c>
      <c r="I1183" s="15"/>
      <c r="J1183" s="16"/>
      <c r="K1183" s="15"/>
      <c r="L1183" s="16"/>
      <c r="M1183" s="15"/>
      <c r="N1183" s="15"/>
    </row>
    <row r="1184" spans="1:14" ht="409.5" x14ac:dyDescent="0.25">
      <c r="A1184" s="12" t="s">
        <v>5307</v>
      </c>
      <c r="B1184" s="12" t="s">
        <v>5308</v>
      </c>
      <c r="C1184" s="13" t="s">
        <v>5260</v>
      </c>
      <c r="D1184" s="12" t="s">
        <v>4651</v>
      </c>
      <c r="E1184" s="11"/>
      <c r="F1184" s="11"/>
      <c r="G1184" s="11"/>
      <c r="H1184" s="11"/>
      <c r="I1184" s="12" t="s">
        <v>5309</v>
      </c>
      <c r="J1184" s="11"/>
      <c r="K1184" s="12" t="s">
        <v>5310</v>
      </c>
      <c r="L1184" s="11"/>
      <c r="M1184" s="12" t="str">
        <f>HYPERLINK("https://ceds.ed.gov/cedselementdetails.aspx?termid=18349")</f>
        <v>https://ceds.ed.gov/cedselementdetails.aspx?termid=18349</v>
      </c>
      <c r="N1184" s="12" t="str">
        <f>HYPERLINK("https://ceds.ed.gov/elementComment.aspx?elementName=Incident Witness Type &amp;elementID=18349", "Click here to submit comment")</f>
        <v>Click here to submit comment</v>
      </c>
    </row>
    <row r="1185" spans="1:14" ht="89.25" x14ac:dyDescent="0.25">
      <c r="A1185" s="12" t="s">
        <v>5311</v>
      </c>
      <c r="B1185" s="12" t="s">
        <v>5312</v>
      </c>
      <c r="C1185" s="12" t="s">
        <v>24</v>
      </c>
      <c r="D1185" s="12" t="s">
        <v>5313</v>
      </c>
      <c r="E1185" s="11"/>
      <c r="F1185" s="11"/>
      <c r="G1185" s="11"/>
      <c r="H1185" s="11"/>
      <c r="I1185" s="12" t="s">
        <v>5314</v>
      </c>
      <c r="J1185" s="11"/>
      <c r="K1185" s="12" t="s">
        <v>5315</v>
      </c>
      <c r="L1185" s="11"/>
      <c r="M1185" s="12" t="str">
        <f>HYPERLINK("https://ceds.ed.gov/cedselementdetails.aspx?termid=18591")</f>
        <v>https://ceds.ed.gov/cedselementdetails.aspx?termid=18591</v>
      </c>
      <c r="N1185" s="12" t="str">
        <f>HYPERLINK("https://ceds.ed.gov/elementComment.aspx?elementName=Included in Counted Family Size &amp;elementID=18591", "Click here to submit comment")</f>
        <v>Click here to submit comment</v>
      </c>
    </row>
    <row r="1186" spans="1:14" ht="127.5" x14ac:dyDescent="0.25">
      <c r="A1186" s="12" t="s">
        <v>5316</v>
      </c>
      <c r="B1186" s="12" t="s">
        <v>5317</v>
      </c>
      <c r="C1186" s="12" t="s">
        <v>24</v>
      </c>
      <c r="D1186" s="12" t="s">
        <v>5318</v>
      </c>
      <c r="E1186" s="11"/>
      <c r="F1186" s="11"/>
      <c r="G1186" s="11"/>
      <c r="H1186" s="11"/>
      <c r="I1186" s="12" t="s">
        <v>5319</v>
      </c>
      <c r="J1186" s="11"/>
      <c r="K1186" s="12" t="s">
        <v>5320</v>
      </c>
      <c r="L1186" s="11"/>
      <c r="M1186" s="12" t="str">
        <f>HYPERLINK("https://ceds.ed.gov/cedselementdetails.aspx?termid=18615")</f>
        <v>https://ceds.ed.gov/cedselementdetails.aspx?termid=18615</v>
      </c>
      <c r="N1186" s="12" t="str">
        <f>HYPERLINK("https://ceds.ed.gov/elementComment.aspx?elementName=Inclusive Setting Indicator &amp;elementID=18615", "Click here to submit comment")</f>
        <v>Click here to submit comment</v>
      </c>
    </row>
    <row r="1187" spans="1:14" ht="38.25" x14ac:dyDescent="0.25">
      <c r="A1187" s="12" t="s">
        <v>5321</v>
      </c>
      <c r="B1187" s="12" t="s">
        <v>5322</v>
      </c>
      <c r="C1187" s="13" t="s">
        <v>5323</v>
      </c>
      <c r="D1187" s="12" t="s">
        <v>4464</v>
      </c>
      <c r="E1187" s="11"/>
      <c r="F1187" s="11"/>
      <c r="G1187" s="11"/>
      <c r="H1187" s="11"/>
      <c r="I1187" s="12" t="s">
        <v>5324</v>
      </c>
      <c r="J1187" s="11"/>
      <c r="K1187" s="12" t="s">
        <v>5325</v>
      </c>
      <c r="L1187" s="11"/>
      <c r="M1187" s="12" t="str">
        <f>HYPERLINK("https://ceds.ed.gov/cedselementdetails.aspx?termid=17333")</f>
        <v>https://ceds.ed.gov/cedselementdetails.aspx?termid=17333</v>
      </c>
      <c r="N1187" s="12" t="str">
        <f>HYPERLINK("https://ceds.ed.gov/elementComment.aspx?elementName=Income Calculation Method &amp;elementID=17333", "Click here to submit comment")</f>
        <v>Click here to submit comment</v>
      </c>
    </row>
    <row r="1188" spans="1:14" ht="102" x14ac:dyDescent="0.25">
      <c r="A1188" s="12" t="s">
        <v>5326</v>
      </c>
      <c r="B1188" s="12" t="s">
        <v>5327</v>
      </c>
      <c r="C1188" s="13" t="s">
        <v>5328</v>
      </c>
      <c r="D1188" s="12" t="s">
        <v>128</v>
      </c>
      <c r="E1188" s="11"/>
      <c r="F1188" s="11"/>
      <c r="G1188" s="11"/>
      <c r="H1188" s="11"/>
      <c r="I1188" s="12" t="s">
        <v>5329</v>
      </c>
      <c r="J1188" s="11"/>
      <c r="K1188" s="12" t="s">
        <v>5330</v>
      </c>
      <c r="L1188" s="12" t="s">
        <v>258</v>
      </c>
      <c r="M1188" s="12" t="str">
        <f>HYPERLINK("https://ceds.ed.gov/cedselementdetails.aspx?termid=17164")</f>
        <v>https://ceds.ed.gov/cedselementdetails.aspx?termid=17164</v>
      </c>
      <c r="N1188" s="12" t="str">
        <f>HYPERLINK("https://ceds.ed.gov/elementComment.aspx?elementName=Increased Learning Time Type &amp;elementID=17164", "Click here to submit comment")</f>
        <v>Click here to submit comment</v>
      </c>
    </row>
    <row r="1189" spans="1:14" ht="25.5" x14ac:dyDescent="0.25">
      <c r="A1189" s="12" t="s">
        <v>5331</v>
      </c>
      <c r="B1189" s="12" t="s">
        <v>5332</v>
      </c>
      <c r="C1189" s="12" t="s">
        <v>37</v>
      </c>
      <c r="D1189" s="12" t="s">
        <v>5333</v>
      </c>
      <c r="E1189" s="11"/>
      <c r="F1189" s="12" t="s">
        <v>1710</v>
      </c>
      <c r="G1189" s="11"/>
      <c r="H1189" s="11"/>
      <c r="I1189" s="12" t="s">
        <v>5334</v>
      </c>
      <c r="J1189" s="11"/>
      <c r="K1189" s="12" t="s">
        <v>5335</v>
      </c>
      <c r="L1189" s="11"/>
      <c r="M1189" s="12" t="str">
        <f>HYPERLINK("https://ceds.ed.gov/cedselementdetails.aspx?termid=18874")</f>
        <v>https://ceds.ed.gov/cedselementdetails.aspx?termid=18874</v>
      </c>
      <c r="N1189" s="12" t="str">
        <f>HYPERLINK("https://ceds.ed.gov/elementComment.aspx?elementName=Indebtedness Amount Allowed &amp;elementID=18874", "Click here to submit comment")</f>
        <v>Click here to submit comment</v>
      </c>
    </row>
    <row r="1190" spans="1:14" ht="38.25" x14ac:dyDescent="0.25">
      <c r="A1190" s="12" t="s">
        <v>5336</v>
      </c>
      <c r="B1190" s="12" t="s">
        <v>5337</v>
      </c>
      <c r="C1190" s="12" t="s">
        <v>37</v>
      </c>
      <c r="D1190" s="12" t="s">
        <v>5338</v>
      </c>
      <c r="E1190" s="11"/>
      <c r="F1190" s="12" t="s">
        <v>382</v>
      </c>
      <c r="G1190" s="11"/>
      <c r="H1190" s="11"/>
      <c r="I1190" s="12" t="s">
        <v>5339</v>
      </c>
      <c r="J1190" s="11"/>
      <c r="K1190" s="12" t="s">
        <v>5340</v>
      </c>
      <c r="L1190" s="11"/>
      <c r="M1190" s="12" t="str">
        <f>HYPERLINK("https://ceds.ed.gov/cedselementdetails.aspx?termid=18667")</f>
        <v>https://ceds.ed.gov/cedselementdetails.aspx?termid=18667</v>
      </c>
      <c r="N1190" s="12" t="str">
        <f>HYPERLINK("https://ceds.ed.gov/elementComment.aspx?elementName=Individualized Program Accommodation Applicability &amp;elementID=18667", "Click here to submit comment")</f>
        <v>Click here to submit comment</v>
      </c>
    </row>
    <row r="1191" spans="1:14" ht="38.25" x14ac:dyDescent="0.25">
      <c r="A1191" s="12" t="s">
        <v>5341</v>
      </c>
      <c r="B1191" s="12" t="s">
        <v>5342</v>
      </c>
      <c r="C1191" s="12" t="s">
        <v>37</v>
      </c>
      <c r="D1191" s="12" t="s">
        <v>5338</v>
      </c>
      <c r="E1191" s="11"/>
      <c r="F1191" s="12" t="s">
        <v>382</v>
      </c>
      <c r="G1191" s="11"/>
      <c r="H1191" s="11"/>
      <c r="I1191" s="12" t="s">
        <v>5343</v>
      </c>
      <c r="J1191" s="11"/>
      <c r="K1191" s="12" t="s">
        <v>5344</v>
      </c>
      <c r="L1191" s="11"/>
      <c r="M1191" s="12" t="str">
        <f>HYPERLINK("https://ceds.ed.gov/cedselementdetails.aspx?termid=18666")</f>
        <v>https://ceds.ed.gov/cedselementdetails.aspx?termid=18666</v>
      </c>
      <c r="N1191" s="12" t="str">
        <f>HYPERLINK("https://ceds.ed.gov/elementComment.aspx?elementName=Individualized Program Accommodation Description &amp;elementID=18666", "Click here to submit comment")</f>
        <v>Click here to submit comment</v>
      </c>
    </row>
    <row r="1192" spans="1:14" ht="63.75" x14ac:dyDescent="0.25">
      <c r="A1192" s="12" t="s">
        <v>5345</v>
      </c>
      <c r="B1192" s="12" t="s">
        <v>5346</v>
      </c>
      <c r="C1192" s="12" t="s">
        <v>37</v>
      </c>
      <c r="D1192" s="12" t="s">
        <v>5347</v>
      </c>
      <c r="E1192" s="11"/>
      <c r="F1192" s="12" t="s">
        <v>135</v>
      </c>
      <c r="G1192" s="11"/>
      <c r="H1192" s="11"/>
      <c r="I1192" s="12" t="s">
        <v>5348</v>
      </c>
      <c r="J1192" s="11"/>
      <c r="K1192" s="12" t="s">
        <v>5349</v>
      </c>
      <c r="L1192" s="11"/>
      <c r="M1192" s="12" t="str">
        <f>HYPERLINK("https://ceds.ed.gov/cedselementdetails.aspx?termid=18197")</f>
        <v>https://ceds.ed.gov/cedselementdetails.aspx?termid=18197</v>
      </c>
      <c r="N1192" s="12" t="str">
        <f>HYPERLINK("https://ceds.ed.gov/elementComment.aspx?elementName=Individualized Program Date &amp;elementID=18197", "Click here to submit comment")</f>
        <v>Click here to submit comment</v>
      </c>
    </row>
    <row r="1193" spans="1:14" ht="102" x14ac:dyDescent="0.25">
      <c r="A1193" s="12" t="s">
        <v>5350</v>
      </c>
      <c r="B1193" s="12" t="s">
        <v>5351</v>
      </c>
      <c r="C1193" s="12" t="s">
        <v>37</v>
      </c>
      <c r="D1193" s="12" t="s">
        <v>5352</v>
      </c>
      <c r="E1193" s="11"/>
      <c r="F1193" s="12" t="s">
        <v>370</v>
      </c>
      <c r="G1193" s="11"/>
      <c r="H1193" s="11"/>
      <c r="I1193" s="12" t="s">
        <v>5353</v>
      </c>
      <c r="J1193" s="11"/>
      <c r="K1193" s="12" t="s">
        <v>5354</v>
      </c>
      <c r="L1193" s="11"/>
      <c r="M1193" s="12" t="str">
        <f>HYPERLINK("https://ceds.ed.gov/cedselementdetails.aspx?termid=18199")</f>
        <v>https://ceds.ed.gov/cedselementdetails.aspx?termid=18199</v>
      </c>
      <c r="N1193" s="12" t="str">
        <f>HYPERLINK("https://ceds.ed.gov/elementComment.aspx?elementName=Individualized Program Inclusion Minutes Per Week &amp;elementID=18199", "Click here to submit comment")</f>
        <v>Click here to submit comment</v>
      </c>
    </row>
    <row r="1194" spans="1:14" ht="102" x14ac:dyDescent="0.25">
      <c r="A1194" s="12" t="s">
        <v>5355</v>
      </c>
      <c r="B1194" s="12" t="s">
        <v>5356</v>
      </c>
      <c r="C1194" s="12" t="s">
        <v>37</v>
      </c>
      <c r="D1194" s="12" t="s">
        <v>5352</v>
      </c>
      <c r="E1194" s="11"/>
      <c r="F1194" s="12" t="s">
        <v>370</v>
      </c>
      <c r="G1194" s="11"/>
      <c r="H1194" s="11"/>
      <c r="I1194" s="12" t="s">
        <v>5357</v>
      </c>
      <c r="J1194" s="11"/>
      <c r="K1194" s="12" t="s">
        <v>5358</v>
      </c>
      <c r="L1194" s="11"/>
      <c r="M1194" s="12" t="str">
        <f>HYPERLINK("https://ceds.ed.gov/cedselementdetails.aspx?termid=18198")</f>
        <v>https://ceds.ed.gov/cedselementdetails.aspx?termid=18198</v>
      </c>
      <c r="N1194" s="12" t="str">
        <f>HYPERLINK("https://ceds.ed.gov/elementComment.aspx?elementName=Individualized Program NonInclusion Minutes Per Week &amp;elementID=18198", "Click here to submit comment")</f>
        <v>Click here to submit comment</v>
      </c>
    </row>
    <row r="1195" spans="1:14" ht="25.5" x14ac:dyDescent="0.25">
      <c r="A1195" s="12" t="s">
        <v>5359</v>
      </c>
      <c r="B1195" s="12" t="s">
        <v>5360</v>
      </c>
      <c r="C1195" s="12" t="s">
        <v>37</v>
      </c>
      <c r="D1195" s="12" t="s">
        <v>3706</v>
      </c>
      <c r="E1195" s="11"/>
      <c r="F1195" s="12" t="s">
        <v>1710</v>
      </c>
      <c r="G1195" s="11"/>
      <c r="H1195" s="11"/>
      <c r="I1195" s="12" t="s">
        <v>5361</v>
      </c>
      <c r="J1195" s="11"/>
      <c r="K1195" s="12" t="s">
        <v>5362</v>
      </c>
      <c r="L1195" s="11"/>
      <c r="M1195" s="12" t="str">
        <f>HYPERLINK("https://ceds.ed.gov/cedselementdetails.aspx?termid=18493")</f>
        <v>https://ceds.ed.gov/cedselementdetails.aspx?termid=18493</v>
      </c>
      <c r="N1195" s="12" t="str">
        <f>HYPERLINK("https://ceds.ed.gov/elementComment.aspx?elementName=Individualized Program Planned Service Duration &amp;elementID=18493", "Click here to submit comment")</f>
        <v>Click here to submit comment</v>
      </c>
    </row>
    <row r="1196" spans="1:14" ht="127.5" x14ac:dyDescent="0.25">
      <c r="A1196" s="12" t="s">
        <v>5363</v>
      </c>
      <c r="B1196" s="12" t="s">
        <v>5364</v>
      </c>
      <c r="C1196" s="13" t="s">
        <v>5365</v>
      </c>
      <c r="D1196" s="12" t="s">
        <v>3706</v>
      </c>
      <c r="E1196" s="11"/>
      <c r="F1196" s="11"/>
      <c r="G1196" s="11"/>
      <c r="H1196" s="11"/>
      <c r="I1196" s="12" t="s">
        <v>5366</v>
      </c>
      <c r="J1196" s="11"/>
      <c r="K1196" s="12" t="s">
        <v>5367</v>
      </c>
      <c r="L1196" s="11"/>
      <c r="M1196" s="12" t="str">
        <f>HYPERLINK("https://ceds.ed.gov/cedselementdetails.aspx?termid=18492")</f>
        <v>https://ceds.ed.gov/cedselementdetails.aspx?termid=18492</v>
      </c>
      <c r="N1196" s="12" t="str">
        <f>HYPERLINK("https://ceds.ed.gov/elementComment.aspx?elementName=Individualized Program Planned Service Frequency &amp;elementID=18492", "Click here to submit comment")</f>
        <v>Click here to submit comment</v>
      </c>
    </row>
    <row r="1197" spans="1:14" ht="25.5" x14ac:dyDescent="0.25">
      <c r="A1197" s="12" t="s">
        <v>5368</v>
      </c>
      <c r="B1197" s="12" t="s">
        <v>5369</v>
      </c>
      <c r="C1197" s="12" t="s">
        <v>37</v>
      </c>
      <c r="D1197" s="12" t="s">
        <v>3706</v>
      </c>
      <c r="E1197" s="11"/>
      <c r="F1197" s="12" t="s">
        <v>135</v>
      </c>
      <c r="G1197" s="11"/>
      <c r="H1197" s="12" t="s">
        <v>5370</v>
      </c>
      <c r="I1197" s="12" t="s">
        <v>5371</v>
      </c>
      <c r="J1197" s="11"/>
      <c r="K1197" s="12" t="s">
        <v>5372</v>
      </c>
      <c r="L1197" s="11"/>
      <c r="M1197" s="12" t="str">
        <f>HYPERLINK("https://ceds.ed.gov/cedselementdetails.aspx?termid=18350")</f>
        <v>https://ceds.ed.gov/cedselementdetails.aspx?termid=18350</v>
      </c>
      <c r="N1197" s="12" t="str">
        <f>HYPERLINK("https://ceds.ed.gov/elementComment.aspx?elementName=Individualized Program Planned Service Start Date &amp;elementID=18350", "Click here to submit comment")</f>
        <v>Click here to submit comment</v>
      </c>
    </row>
    <row r="1198" spans="1:14" ht="242.25" x14ac:dyDescent="0.25">
      <c r="A1198" s="12" t="s">
        <v>5373</v>
      </c>
      <c r="B1198" s="12" t="s">
        <v>5374</v>
      </c>
      <c r="C1198" s="13" t="s">
        <v>5375</v>
      </c>
      <c r="D1198" s="12" t="s">
        <v>3706</v>
      </c>
      <c r="E1198" s="11"/>
      <c r="F1198" s="11"/>
      <c r="G1198" s="11"/>
      <c r="H1198" s="11"/>
      <c r="I1198" s="12" t="s">
        <v>5376</v>
      </c>
      <c r="J1198" s="11"/>
      <c r="K1198" s="12" t="s">
        <v>5377</v>
      </c>
      <c r="L1198" s="11"/>
      <c r="M1198" s="12" t="str">
        <f>HYPERLINK("https://ceds.ed.gov/cedselementdetails.aspx?termid=18352")</f>
        <v>https://ceds.ed.gov/cedselementdetails.aspx?termid=18352</v>
      </c>
      <c r="N1198" s="12" t="str">
        <f>HYPERLINK("https://ceds.ed.gov/elementComment.aspx?elementName=Individualized Program Planned Service Type &amp;elementID=18352", "Click here to submit comment")</f>
        <v>Click here to submit comment</v>
      </c>
    </row>
    <row r="1199" spans="1:14" ht="25.5" x14ac:dyDescent="0.25">
      <c r="A1199" s="12" t="s">
        <v>5378</v>
      </c>
      <c r="B1199" s="12" t="s">
        <v>5379</v>
      </c>
      <c r="C1199" s="12" t="s">
        <v>37</v>
      </c>
      <c r="D1199" s="12" t="s">
        <v>5380</v>
      </c>
      <c r="E1199" s="11"/>
      <c r="F1199" s="12" t="s">
        <v>382</v>
      </c>
      <c r="G1199" s="11"/>
      <c r="H1199" s="11"/>
      <c r="I1199" s="12" t="s">
        <v>5381</v>
      </c>
      <c r="J1199" s="11"/>
      <c r="K1199" s="12" t="s">
        <v>5382</v>
      </c>
      <c r="L1199" s="11"/>
      <c r="M1199" s="12" t="str">
        <f>HYPERLINK("https://ceds.ed.gov/cedselementdetails.aspx?termid=18670")</f>
        <v>https://ceds.ed.gov/cedselementdetails.aspx?termid=18670</v>
      </c>
      <c r="N1199" s="12" t="str">
        <f>HYPERLINK("https://ceds.ed.gov/elementComment.aspx?elementName=Individualized Program Service Plan Amendment Description &amp;elementID=18670", "Click here to submit comment")</f>
        <v>Click here to submit comment</v>
      </c>
    </row>
    <row r="1200" spans="1:14" ht="38.25" x14ac:dyDescent="0.25">
      <c r="A1200" s="12" t="s">
        <v>5383</v>
      </c>
      <c r="B1200" s="12" t="s">
        <v>5384</v>
      </c>
      <c r="C1200" s="12" t="s">
        <v>37</v>
      </c>
      <c r="D1200" s="12" t="s">
        <v>5380</v>
      </c>
      <c r="E1200" s="11"/>
      <c r="F1200" s="12" t="s">
        <v>382</v>
      </c>
      <c r="G1200" s="11"/>
      <c r="H1200" s="11"/>
      <c r="I1200" s="12" t="s">
        <v>5385</v>
      </c>
      <c r="J1200" s="11"/>
      <c r="K1200" s="12" t="s">
        <v>5386</v>
      </c>
      <c r="L1200" s="11"/>
      <c r="M1200" s="12" t="str">
        <f>HYPERLINK("https://ceds.ed.gov/cedselementdetails.aspx?termid=18669")</f>
        <v>https://ceds.ed.gov/cedselementdetails.aspx?termid=18669</v>
      </c>
      <c r="N1200" s="12" t="str">
        <f>HYPERLINK("https://ceds.ed.gov/elementComment.aspx?elementName=Individualized Program Service Plan Amendment Reason Description &amp;elementID=18669", "Click here to submit comment")</f>
        <v>Click here to submit comment</v>
      </c>
    </row>
    <row r="1201" spans="1:14" ht="63.75" x14ac:dyDescent="0.25">
      <c r="A1201" s="12" t="s">
        <v>5387</v>
      </c>
      <c r="B1201" s="12" t="s">
        <v>5388</v>
      </c>
      <c r="C1201" s="12" t="s">
        <v>37</v>
      </c>
      <c r="D1201" s="12" t="s">
        <v>5347</v>
      </c>
      <c r="E1201" s="11"/>
      <c r="F1201" s="12" t="s">
        <v>135</v>
      </c>
      <c r="G1201" s="11"/>
      <c r="H1201" s="11"/>
      <c r="I1201" s="12" t="s">
        <v>5389</v>
      </c>
      <c r="J1201" s="11"/>
      <c r="K1201" s="12" t="s">
        <v>5390</v>
      </c>
      <c r="L1201" s="11"/>
      <c r="M1201" s="12" t="str">
        <f>HYPERLINK("https://ceds.ed.gov/cedselementdetails.aspx?termid=18201")</f>
        <v>https://ceds.ed.gov/cedselementdetails.aspx?termid=18201</v>
      </c>
      <c r="N1201" s="12" t="str">
        <f>HYPERLINK("https://ceds.ed.gov/elementComment.aspx?elementName=Individualized Program Service Plan Date &amp;elementID=18201", "Click here to submit comment")</f>
        <v>Click here to submit comment</v>
      </c>
    </row>
    <row r="1202" spans="1:14" ht="76.5" x14ac:dyDescent="0.25">
      <c r="A1202" s="12" t="s">
        <v>5391</v>
      </c>
      <c r="B1202" s="12" t="s">
        <v>5392</v>
      </c>
      <c r="C1202" s="13" t="s">
        <v>5393</v>
      </c>
      <c r="D1202" s="12" t="s">
        <v>5347</v>
      </c>
      <c r="E1202" s="11"/>
      <c r="F1202" s="11"/>
      <c r="G1202" s="11"/>
      <c r="H1202" s="11"/>
      <c r="I1202" s="12" t="s">
        <v>5394</v>
      </c>
      <c r="J1202" s="11"/>
      <c r="K1202" s="12" t="s">
        <v>5395</v>
      </c>
      <c r="L1202" s="11"/>
      <c r="M1202" s="12" t="str">
        <f>HYPERLINK("https://ceds.ed.gov/cedselementdetails.aspx?termid=18196")</f>
        <v>https://ceds.ed.gov/cedselementdetails.aspx?termid=18196</v>
      </c>
      <c r="N1202" s="12" t="str">
        <f>HYPERLINK("https://ceds.ed.gov/elementComment.aspx?elementName=Individualized Program Service Plan Date Type &amp;elementID=18196", "Click here to submit comment")</f>
        <v>Click here to submit comment</v>
      </c>
    </row>
    <row r="1203" spans="1:14" ht="51" x14ac:dyDescent="0.25">
      <c r="A1203" s="12" t="s">
        <v>5396</v>
      </c>
      <c r="B1203" s="12" t="s">
        <v>5397</v>
      </c>
      <c r="C1203" s="12" t="s">
        <v>37</v>
      </c>
      <c r="D1203" s="12" t="s">
        <v>5191</v>
      </c>
      <c r="E1203" s="11"/>
      <c r="F1203" s="12" t="s">
        <v>135</v>
      </c>
      <c r="G1203" s="11"/>
      <c r="H1203" s="12" t="s">
        <v>160</v>
      </c>
      <c r="I1203" s="12" t="s">
        <v>5398</v>
      </c>
      <c r="J1203" s="11"/>
      <c r="K1203" s="12" t="s">
        <v>5399</v>
      </c>
      <c r="L1203" s="11"/>
      <c r="M1203" s="12" t="str">
        <f>HYPERLINK("https://ceds.ed.gov/cedselementdetails.aspx?termid=18664")</f>
        <v>https://ceds.ed.gov/cedselementdetails.aspx?termid=18664</v>
      </c>
      <c r="N1203" s="12" t="str">
        <f>HYPERLINK("https://ceds.ed.gov/elementComment.aspx?elementName=Individualized Program Service Plan End Date &amp;elementID=18664", "Click here to submit comment")</f>
        <v>Click here to submit comment</v>
      </c>
    </row>
    <row r="1204" spans="1:14" ht="25.5" x14ac:dyDescent="0.25">
      <c r="A1204" s="12" t="s">
        <v>5400</v>
      </c>
      <c r="B1204" s="12" t="s">
        <v>5401</v>
      </c>
      <c r="C1204" s="12" t="s">
        <v>37</v>
      </c>
      <c r="D1204" s="12" t="s">
        <v>5191</v>
      </c>
      <c r="E1204" s="11"/>
      <c r="F1204" s="12" t="s">
        <v>135</v>
      </c>
      <c r="G1204" s="11"/>
      <c r="H1204" s="11"/>
      <c r="I1204" s="12" t="s">
        <v>5402</v>
      </c>
      <c r="J1204" s="11"/>
      <c r="K1204" s="12" t="s">
        <v>5403</v>
      </c>
      <c r="L1204" s="11"/>
      <c r="M1204" s="12" t="str">
        <f>HYPERLINK("https://ceds.ed.gov/cedselementdetails.aspx?termid=18665")</f>
        <v>https://ceds.ed.gov/cedselementdetails.aspx?termid=18665</v>
      </c>
      <c r="N1204" s="12" t="str">
        <f>HYPERLINK("https://ceds.ed.gov/elementComment.aspx?elementName=Individualized Program Service Plan Meeting Date &amp;elementID=18665", "Click here to submit comment")</f>
        <v>Click here to submit comment</v>
      </c>
    </row>
    <row r="1205" spans="1:14" ht="178.5" x14ac:dyDescent="0.25">
      <c r="A1205" s="12" t="s">
        <v>5404</v>
      </c>
      <c r="B1205" s="12" t="s">
        <v>5405</v>
      </c>
      <c r="C1205" s="13" t="s">
        <v>5406</v>
      </c>
      <c r="D1205" s="12" t="s">
        <v>5347</v>
      </c>
      <c r="E1205" s="11"/>
      <c r="F1205" s="11"/>
      <c r="G1205" s="11"/>
      <c r="H1205" s="11"/>
      <c r="I1205" s="12" t="s">
        <v>5407</v>
      </c>
      <c r="J1205" s="11"/>
      <c r="K1205" s="12" t="s">
        <v>5408</v>
      </c>
      <c r="L1205" s="11"/>
      <c r="M1205" s="12" t="str">
        <f>HYPERLINK("https://ceds.ed.gov/cedselementdetails.aspx?termid=18202")</f>
        <v>https://ceds.ed.gov/cedselementdetails.aspx?termid=18202</v>
      </c>
      <c r="N1205" s="12" t="str">
        <f>HYPERLINK("https://ceds.ed.gov/elementComment.aspx?elementName=Individualized Program Service Plan Meeting Location &amp;elementID=18202", "Click here to submit comment")</f>
        <v>Click here to submit comment</v>
      </c>
    </row>
    <row r="1206" spans="1:14" ht="63.75" x14ac:dyDescent="0.25">
      <c r="A1206" s="12" t="s">
        <v>5409</v>
      </c>
      <c r="B1206" s="12" t="s">
        <v>5410</v>
      </c>
      <c r="C1206" s="12" t="s">
        <v>37</v>
      </c>
      <c r="D1206" s="12" t="s">
        <v>5347</v>
      </c>
      <c r="E1206" s="11"/>
      <c r="F1206" s="12" t="s">
        <v>382</v>
      </c>
      <c r="G1206" s="11"/>
      <c r="H1206" s="11"/>
      <c r="I1206" s="12" t="s">
        <v>5411</v>
      </c>
      <c r="J1206" s="11"/>
      <c r="K1206" s="12" t="s">
        <v>5412</v>
      </c>
      <c r="L1206" s="11"/>
      <c r="M1206" s="12" t="str">
        <f>HYPERLINK("https://ceds.ed.gov/cedselementdetails.aspx?termid=18203")</f>
        <v>https://ceds.ed.gov/cedselementdetails.aspx?termid=18203</v>
      </c>
      <c r="N1206" s="12" t="str">
        <f>HYPERLINK("https://ceds.ed.gov/elementComment.aspx?elementName=Individualized Program Service Plan Meeting Participants &amp;elementID=18203", "Click here to submit comment")</f>
        <v>Click here to submit comment</v>
      </c>
    </row>
    <row r="1207" spans="1:14" ht="63.75" x14ac:dyDescent="0.25">
      <c r="A1207" s="12" t="s">
        <v>5413</v>
      </c>
      <c r="B1207" s="12" t="s">
        <v>5414</v>
      </c>
      <c r="C1207" s="12" t="s">
        <v>37</v>
      </c>
      <c r="D1207" s="12" t="s">
        <v>5415</v>
      </c>
      <c r="E1207" s="11"/>
      <c r="F1207" s="12" t="s">
        <v>135</v>
      </c>
      <c r="G1207" s="11"/>
      <c r="H1207" s="11"/>
      <c r="I1207" s="12" t="s">
        <v>5416</v>
      </c>
      <c r="J1207" s="11"/>
      <c r="K1207" s="12" t="s">
        <v>5417</v>
      </c>
      <c r="L1207" s="11"/>
      <c r="M1207" s="12" t="str">
        <f>HYPERLINK("https://ceds.ed.gov/cedselementdetails.aspx?termid=18680")</f>
        <v>https://ceds.ed.gov/cedselementdetails.aspx?termid=18680</v>
      </c>
      <c r="N1207" s="12" t="str">
        <f>HYPERLINK("https://ceds.ed.gov/elementComment.aspx?elementName=Individualized Program Service Plan Progress Report Date &amp;elementID=18680", "Click here to submit comment")</f>
        <v>Click here to submit comment</v>
      </c>
    </row>
    <row r="1208" spans="1:14" ht="63.75" x14ac:dyDescent="0.25">
      <c r="A1208" s="12" t="s">
        <v>5418</v>
      </c>
      <c r="B1208" s="12" t="s">
        <v>5419</v>
      </c>
      <c r="C1208" s="12" t="s">
        <v>37</v>
      </c>
      <c r="D1208" s="12" t="s">
        <v>5415</v>
      </c>
      <c r="E1208" s="11"/>
      <c r="F1208" s="12" t="s">
        <v>382</v>
      </c>
      <c r="G1208" s="11"/>
      <c r="H1208" s="11"/>
      <c r="I1208" s="12" t="s">
        <v>5420</v>
      </c>
      <c r="J1208" s="11"/>
      <c r="K1208" s="12" t="s">
        <v>5421</v>
      </c>
      <c r="L1208" s="11"/>
      <c r="M1208" s="12" t="str">
        <f>HYPERLINK("https://ceds.ed.gov/cedselementdetails.aspx?termid=18681")</f>
        <v>https://ceds.ed.gov/cedselementdetails.aspx?termid=18681</v>
      </c>
      <c r="N1208" s="12" t="str">
        <f>HYPERLINK("https://ceds.ed.gov/elementComment.aspx?elementName=Individualized Program Service Plan Progress Report Description &amp;elementID=18681", "Click here to submit comment")</f>
        <v>Click here to submit comment</v>
      </c>
    </row>
    <row r="1209" spans="1:14" ht="89.25" x14ac:dyDescent="0.25">
      <c r="A1209" s="12" t="s">
        <v>5422</v>
      </c>
      <c r="B1209" s="12" t="s">
        <v>5423</v>
      </c>
      <c r="C1209" s="13" t="s">
        <v>5424</v>
      </c>
      <c r="D1209" s="12" t="s">
        <v>5191</v>
      </c>
      <c r="E1209" s="11"/>
      <c r="F1209" s="11"/>
      <c r="G1209" s="11"/>
      <c r="H1209" s="11"/>
      <c r="I1209" s="12" t="s">
        <v>5425</v>
      </c>
      <c r="J1209" s="11"/>
      <c r="K1209" s="12" t="s">
        <v>5426</v>
      </c>
      <c r="L1209" s="11"/>
      <c r="M1209" s="12" t="str">
        <f>HYPERLINK("https://ceds.ed.gov/cedselementdetails.aspx?termid=18662")</f>
        <v>https://ceds.ed.gov/cedselementdetails.aspx?termid=18662</v>
      </c>
      <c r="N1209" s="12" t="str">
        <f>HYPERLINK("https://ceds.ed.gov/elementComment.aspx?elementName=Individualized Program Service Plan Progress Report Schedule &amp;elementID=18662", "Click here to submit comment")</f>
        <v>Click here to submit comment</v>
      </c>
    </row>
    <row r="1210" spans="1:14" ht="63.75" x14ac:dyDescent="0.25">
      <c r="A1210" s="12" t="s">
        <v>5427</v>
      </c>
      <c r="B1210" s="12" t="s">
        <v>5428</v>
      </c>
      <c r="C1210" s="13" t="s">
        <v>5429</v>
      </c>
      <c r="D1210" s="12" t="s">
        <v>5430</v>
      </c>
      <c r="E1210" s="11"/>
      <c r="F1210" s="11"/>
      <c r="G1210" s="11"/>
      <c r="H1210" s="11"/>
      <c r="I1210" s="12" t="s">
        <v>5431</v>
      </c>
      <c r="J1210" s="11"/>
      <c r="K1210" s="12" t="s">
        <v>5432</v>
      </c>
      <c r="L1210" s="11"/>
      <c r="M1210" s="12" t="str">
        <f>HYPERLINK("https://ceds.ed.gov/cedselementdetails.aspx?termid=18682")</f>
        <v>https://ceds.ed.gov/cedselementdetails.aspx?termid=18682</v>
      </c>
      <c r="N1210" s="12" t="str">
        <f>HYPERLINK("https://ceds.ed.gov/elementComment.aspx?elementName=Individualized Program Service Plan Progress Report Type &amp;elementID=18682", "Click here to submit comment")</f>
        <v>Click here to submit comment</v>
      </c>
    </row>
    <row r="1211" spans="1:14" ht="63.75" x14ac:dyDescent="0.25">
      <c r="A1211" s="12" t="s">
        <v>5433</v>
      </c>
      <c r="B1211" s="12" t="s">
        <v>5434</v>
      </c>
      <c r="C1211" s="12" t="s">
        <v>37</v>
      </c>
      <c r="D1211" s="12" t="s">
        <v>5347</v>
      </c>
      <c r="E1211" s="11"/>
      <c r="F1211" s="12" t="s">
        <v>135</v>
      </c>
      <c r="G1211" s="11"/>
      <c r="H1211" s="11"/>
      <c r="I1211" s="12" t="s">
        <v>5435</v>
      </c>
      <c r="J1211" s="11"/>
      <c r="K1211" s="12" t="s">
        <v>5436</v>
      </c>
      <c r="L1211" s="11"/>
      <c r="M1211" s="12" t="str">
        <f>HYPERLINK("https://ceds.ed.gov/cedselementdetails.aspx?termid=18207")</f>
        <v>https://ceds.ed.gov/cedselementdetails.aspx?termid=18207</v>
      </c>
      <c r="N1211" s="12" t="str">
        <f>HYPERLINK("https://ceds.ed.gov/elementComment.aspx?elementName=Individualized Program Service Plan Reevaluation Date &amp;elementID=18207", "Click here to submit comment")</f>
        <v>Click here to submit comment</v>
      </c>
    </row>
    <row r="1212" spans="1:14" ht="63.75" x14ac:dyDescent="0.25">
      <c r="A1212" s="12" t="s">
        <v>5437</v>
      </c>
      <c r="B1212" s="12" t="s">
        <v>5438</v>
      </c>
      <c r="C1212" s="12" t="s">
        <v>37</v>
      </c>
      <c r="D1212" s="12" t="s">
        <v>5347</v>
      </c>
      <c r="E1212" s="11"/>
      <c r="F1212" s="12" t="s">
        <v>135</v>
      </c>
      <c r="G1212" s="11"/>
      <c r="H1212" s="11"/>
      <c r="I1212" s="12" t="s">
        <v>5439</v>
      </c>
      <c r="J1212" s="11"/>
      <c r="K1212" s="12" t="s">
        <v>5440</v>
      </c>
      <c r="L1212" s="11"/>
      <c r="M1212" s="12" t="str">
        <f>HYPERLINK("https://ceds.ed.gov/cedselementdetails.aspx?termid=18205")</f>
        <v>https://ceds.ed.gov/cedselementdetails.aspx?termid=18205</v>
      </c>
      <c r="N1212" s="12" t="str">
        <f>HYPERLINK("https://ceds.ed.gov/elementComment.aspx?elementName=Individualized Program Service Plan Signature Date &amp;elementID=18205", "Click here to submit comment")</f>
        <v>Click here to submit comment</v>
      </c>
    </row>
    <row r="1213" spans="1:14" ht="63.75" x14ac:dyDescent="0.25">
      <c r="A1213" s="12" t="s">
        <v>5441</v>
      </c>
      <c r="B1213" s="12" t="s">
        <v>5442</v>
      </c>
      <c r="C1213" s="12" t="s">
        <v>37</v>
      </c>
      <c r="D1213" s="12" t="s">
        <v>5347</v>
      </c>
      <c r="E1213" s="11"/>
      <c r="F1213" s="12" t="s">
        <v>382</v>
      </c>
      <c r="G1213" s="11"/>
      <c r="H1213" s="11"/>
      <c r="I1213" s="12" t="s">
        <v>5443</v>
      </c>
      <c r="J1213" s="11"/>
      <c r="K1213" s="12" t="s">
        <v>5444</v>
      </c>
      <c r="L1213" s="11"/>
      <c r="M1213" s="12" t="str">
        <f>HYPERLINK("https://ceds.ed.gov/cedselementdetails.aspx?termid=18204")</f>
        <v>https://ceds.ed.gov/cedselementdetails.aspx?termid=18204</v>
      </c>
      <c r="N1213" s="12" t="str">
        <f>HYPERLINK("https://ceds.ed.gov/elementComment.aspx?elementName=Individualized Program Service Plan Signed By &amp;elementID=18204", "Click here to submit comment")</f>
        <v>Click here to submit comment</v>
      </c>
    </row>
    <row r="1214" spans="1:14" ht="63.75" x14ac:dyDescent="0.25">
      <c r="A1214" s="12" t="s">
        <v>5445</v>
      </c>
      <c r="B1214" s="12" t="s">
        <v>5446</v>
      </c>
      <c r="C1214" s="13" t="s">
        <v>5447</v>
      </c>
      <c r="D1214" s="12" t="s">
        <v>5191</v>
      </c>
      <c r="E1214" s="11"/>
      <c r="F1214" s="11"/>
      <c r="G1214" s="11"/>
      <c r="H1214" s="11"/>
      <c r="I1214" s="12" t="s">
        <v>5448</v>
      </c>
      <c r="J1214" s="11"/>
      <c r="K1214" s="12" t="s">
        <v>5449</v>
      </c>
      <c r="L1214" s="11"/>
      <c r="M1214" s="12" t="str">
        <f>HYPERLINK("https://ceds.ed.gov/cedselementdetails.aspx?termid=18200")</f>
        <v>https://ceds.ed.gov/cedselementdetails.aspx?termid=18200</v>
      </c>
      <c r="N1214" s="12" t="str">
        <f>HYPERLINK("https://ceds.ed.gov/elementComment.aspx?elementName=Individualized Program Transition Plan Type &amp;elementID=18200", "Click here to submit comment")</f>
        <v>Click here to submit comment</v>
      </c>
    </row>
    <row r="1215" spans="1:14" ht="216.75" x14ac:dyDescent="0.25">
      <c r="A1215" s="12" t="s">
        <v>5450</v>
      </c>
      <c r="B1215" s="12" t="s">
        <v>5451</v>
      </c>
      <c r="C1215" s="13" t="s">
        <v>5452</v>
      </c>
      <c r="D1215" s="12" t="s">
        <v>5453</v>
      </c>
      <c r="E1215" s="11"/>
      <c r="F1215" s="11"/>
      <c r="G1215" s="11"/>
      <c r="H1215" s="11"/>
      <c r="I1215" s="12" t="s">
        <v>5454</v>
      </c>
      <c r="J1215" s="11"/>
      <c r="K1215" s="12" t="s">
        <v>5455</v>
      </c>
      <c r="L1215" s="12" t="s">
        <v>467</v>
      </c>
      <c r="M1215" s="12" t="str">
        <f>HYPERLINK("https://ceds.ed.gov/cedselementdetails.aspx?termid=17320")</f>
        <v>https://ceds.ed.gov/cedselementdetails.aspx?termid=17320</v>
      </c>
      <c r="N1215" s="12" t="str">
        <f>HYPERLINK("https://ceds.ed.gov/elementComment.aspx?elementName=Individualized Program Type &amp;elementID=17320", "Click here to submit comment")</f>
        <v>Click here to submit comment</v>
      </c>
    </row>
    <row r="1216" spans="1:14" ht="51" x14ac:dyDescent="0.25">
      <c r="A1216" s="12" t="s">
        <v>5456</v>
      </c>
      <c r="B1216" s="12" t="s">
        <v>5457</v>
      </c>
      <c r="C1216" s="12" t="s">
        <v>37</v>
      </c>
      <c r="D1216" s="12" t="s">
        <v>2402</v>
      </c>
      <c r="E1216" s="11"/>
      <c r="F1216" s="12" t="s">
        <v>97</v>
      </c>
      <c r="G1216" s="11"/>
      <c r="H1216" s="11"/>
      <c r="I1216" s="12" t="s">
        <v>5458</v>
      </c>
      <c r="J1216" s="11"/>
      <c r="K1216" s="12" t="s">
        <v>5459</v>
      </c>
      <c r="L1216" s="12" t="s">
        <v>225</v>
      </c>
      <c r="M1216" s="12" t="str">
        <f>HYPERLINK("https://ceds.ed.gov/cedselementdetails.aspx?termid=17165")</f>
        <v>https://ceds.ed.gov/cedselementdetails.aspx?termid=17165</v>
      </c>
      <c r="N1216" s="12" t="str">
        <f>HYPERLINK("https://ceds.ed.gov/elementComment.aspx?elementName=Initial Enrollment Term &amp;elementID=17165", "Click here to submit comment")</f>
        <v>Click here to submit comment</v>
      </c>
    </row>
    <row r="1217" spans="1:14" ht="38.25" x14ac:dyDescent="0.25">
      <c r="A1217" s="12" t="s">
        <v>5460</v>
      </c>
      <c r="B1217" s="12" t="s">
        <v>5461</v>
      </c>
      <c r="C1217" s="12" t="s">
        <v>37</v>
      </c>
      <c r="D1217" s="12" t="s">
        <v>2798</v>
      </c>
      <c r="E1217" s="11"/>
      <c r="F1217" s="12" t="s">
        <v>135</v>
      </c>
      <c r="G1217" s="11"/>
      <c r="H1217" s="11"/>
      <c r="I1217" s="12" t="s">
        <v>5462</v>
      </c>
      <c r="J1217" s="11"/>
      <c r="K1217" s="12" t="s">
        <v>5463</v>
      </c>
      <c r="L1217" s="12" t="s">
        <v>2801</v>
      </c>
      <c r="M1217" s="12" t="str">
        <f>HYPERLINK("https://ceds.ed.gov/cedselementdetails.aspx?termid=17347")</f>
        <v>https://ceds.ed.gov/cedselementdetails.aspx?termid=17347</v>
      </c>
      <c r="N1217" s="12" t="str">
        <f>HYPERLINK("https://ceds.ed.gov/elementComment.aspx?elementName=Initial License Date &amp;elementID=17347", "Click here to submit comment")</f>
        <v>Click here to submit comment</v>
      </c>
    </row>
    <row r="1218" spans="1:14" ht="38.25" x14ac:dyDescent="0.25">
      <c r="A1218" s="12" t="s">
        <v>5464</v>
      </c>
      <c r="B1218" s="12" t="s">
        <v>5465</v>
      </c>
      <c r="C1218" s="12" t="s">
        <v>37</v>
      </c>
      <c r="D1218" s="12" t="s">
        <v>4736</v>
      </c>
      <c r="E1218" s="11"/>
      <c r="F1218" s="12" t="s">
        <v>1710</v>
      </c>
      <c r="G1218" s="11"/>
      <c r="H1218" s="11"/>
      <c r="I1218" s="12" t="s">
        <v>5466</v>
      </c>
      <c r="J1218" s="11"/>
      <c r="K1218" s="12" t="s">
        <v>5467</v>
      </c>
      <c r="L1218" s="12" t="s">
        <v>245</v>
      </c>
      <c r="M1218" s="12" t="str">
        <f>HYPERLINK("https://ceds.ed.gov/cedselementdetails.aspx?termid=17451")</f>
        <v>https://ceds.ed.gov/cedselementdetails.aspx?termid=17451</v>
      </c>
      <c r="N1218" s="12" t="str">
        <f>HYPERLINK("https://ceds.ed.gov/elementComment.aspx?elementName=Innovative Dollars Spent &amp;elementID=17451", "Click here to submit comment")</f>
        <v>Click here to submit comment</v>
      </c>
    </row>
    <row r="1219" spans="1:14" ht="38.25" x14ac:dyDescent="0.25">
      <c r="A1219" s="12" t="s">
        <v>5468</v>
      </c>
      <c r="B1219" s="12" t="s">
        <v>5469</v>
      </c>
      <c r="C1219" s="12" t="s">
        <v>37</v>
      </c>
      <c r="D1219" s="12" t="s">
        <v>4736</v>
      </c>
      <c r="E1219" s="11"/>
      <c r="F1219" s="12" t="s">
        <v>1710</v>
      </c>
      <c r="G1219" s="11"/>
      <c r="H1219" s="11"/>
      <c r="I1219" s="12" t="s">
        <v>5470</v>
      </c>
      <c r="J1219" s="11"/>
      <c r="K1219" s="12" t="s">
        <v>5471</v>
      </c>
      <c r="L1219" s="12" t="s">
        <v>245</v>
      </c>
      <c r="M1219" s="12" t="str">
        <f>HYPERLINK("https://ceds.ed.gov/cedselementdetails.aspx?termid=17452")</f>
        <v>https://ceds.ed.gov/cedselementdetails.aspx?termid=17452</v>
      </c>
      <c r="N1219" s="12" t="str">
        <f>HYPERLINK("https://ceds.ed.gov/elementComment.aspx?elementName=Innovative Dollars Spent on Strategic Priorities &amp;elementID=17452", "Click here to submit comment")</f>
        <v>Click here to submit comment</v>
      </c>
    </row>
    <row r="1220" spans="1:14" ht="38.25" x14ac:dyDescent="0.25">
      <c r="A1220" s="12" t="s">
        <v>5472</v>
      </c>
      <c r="B1220" s="12" t="s">
        <v>5473</v>
      </c>
      <c r="C1220" s="12" t="s">
        <v>37</v>
      </c>
      <c r="D1220" s="12" t="s">
        <v>4736</v>
      </c>
      <c r="E1220" s="11"/>
      <c r="F1220" s="12" t="s">
        <v>1710</v>
      </c>
      <c r="G1220" s="11"/>
      <c r="H1220" s="11"/>
      <c r="I1220" s="12" t="s">
        <v>5474</v>
      </c>
      <c r="J1220" s="11"/>
      <c r="K1220" s="12" t="s">
        <v>5475</v>
      </c>
      <c r="L1220" s="12" t="s">
        <v>245</v>
      </c>
      <c r="M1220" s="12" t="str">
        <f>HYPERLINK("https://ceds.ed.gov/cedselementdetails.aspx?termid=17454")</f>
        <v>https://ceds.ed.gov/cedselementdetails.aspx?termid=17454</v>
      </c>
      <c r="N1220" s="12" t="str">
        <f>HYPERLINK("https://ceds.ed.gov/elementComment.aspx?elementName=Innovative Programs Funds Received &amp;elementID=17454", "Click here to submit comment")</f>
        <v>Click here to submit comment</v>
      </c>
    </row>
    <row r="1221" spans="1:14" ht="38.25" x14ac:dyDescent="0.25">
      <c r="A1221" s="12" t="s">
        <v>5476</v>
      </c>
      <c r="B1221" s="12" t="s">
        <v>5477</v>
      </c>
      <c r="C1221" s="12" t="s">
        <v>37</v>
      </c>
      <c r="D1221" s="12" t="s">
        <v>1786</v>
      </c>
      <c r="E1221" s="11"/>
      <c r="F1221" s="12" t="s">
        <v>2094</v>
      </c>
      <c r="G1221" s="11"/>
      <c r="H1221" s="11"/>
      <c r="I1221" s="12" t="s">
        <v>5478</v>
      </c>
      <c r="J1221" s="11"/>
      <c r="K1221" s="12" t="s">
        <v>5479</v>
      </c>
      <c r="L1221" s="11"/>
      <c r="M1221" s="12" t="str">
        <f>HYPERLINK("https://ceds.ed.gov/cedselementdetails.aspx?termid=18829")</f>
        <v>https://ceds.ed.gov/cedselementdetails.aspx?termid=18829</v>
      </c>
      <c r="N1221" s="12" t="str">
        <f>HYPERLINK("https://ceds.ed.gov/elementComment.aspx?elementName=Installation Date &amp;elementID=18829", "Click here to submit comment")</f>
        <v>Click here to submit comment</v>
      </c>
    </row>
    <row r="1222" spans="1:14" ht="63.75" x14ac:dyDescent="0.25">
      <c r="A1222" s="12" t="s">
        <v>5480</v>
      </c>
      <c r="B1222" s="12" t="s">
        <v>5481</v>
      </c>
      <c r="C1222" s="12" t="s">
        <v>37</v>
      </c>
      <c r="D1222" s="12" t="s">
        <v>275</v>
      </c>
      <c r="E1222" s="11"/>
      <c r="F1222" s="12" t="s">
        <v>3260</v>
      </c>
      <c r="G1222" s="11"/>
      <c r="H1222" s="11"/>
      <c r="I1222" s="12" t="s">
        <v>5482</v>
      </c>
      <c r="J1222" s="12" t="s">
        <v>5483</v>
      </c>
      <c r="K1222" s="12" t="s">
        <v>5484</v>
      </c>
      <c r="L1222" s="12" t="s">
        <v>225</v>
      </c>
      <c r="M1222" s="12" t="str">
        <f>HYPERLINK("https://ceds.ed.gov/cedselementdetails.aspx?termid=17166")</f>
        <v>https://ceds.ed.gov/cedselementdetails.aspx?termid=17166</v>
      </c>
      <c r="N1222" s="12" t="str">
        <f>HYPERLINK("https://ceds.ed.gov/elementComment.aspx?elementName=Institution IPEDS UnitID &amp;elementID=17166", "Click here to submit comment")</f>
        <v>Click here to submit comment</v>
      </c>
    </row>
    <row r="1223" spans="1:14" ht="127.5" x14ac:dyDescent="0.25">
      <c r="A1223" s="12" t="s">
        <v>5485</v>
      </c>
      <c r="B1223" s="12" t="s">
        <v>5486</v>
      </c>
      <c r="C1223" s="13" t="s">
        <v>5487</v>
      </c>
      <c r="D1223" s="12" t="s">
        <v>5488</v>
      </c>
      <c r="E1223" s="11"/>
      <c r="F1223" s="11"/>
      <c r="G1223" s="11"/>
      <c r="H1223" s="11"/>
      <c r="I1223" s="12" t="s">
        <v>5489</v>
      </c>
      <c r="J1223" s="11"/>
      <c r="K1223" s="12" t="s">
        <v>5490</v>
      </c>
      <c r="L1223" s="11"/>
      <c r="M1223" s="12" t="str">
        <f>HYPERLINK("https://ceds.ed.gov/cedselementdetails.aspx?termid=17167")</f>
        <v>https://ceds.ed.gov/cedselementdetails.aspx?termid=17167</v>
      </c>
      <c r="N1223" s="12" t="str">
        <f>HYPERLINK("https://ceds.ed.gov/elementComment.aspx?elementName=Institution Telephone Number Type &amp;elementID=17167", "Click here to submit comment")</f>
        <v>Click here to submit comment</v>
      </c>
    </row>
    <row r="1224" spans="1:14" ht="89.25" x14ac:dyDescent="0.25">
      <c r="A1224" s="12" t="s">
        <v>5491</v>
      </c>
      <c r="B1224" s="12" t="s">
        <v>5492</v>
      </c>
      <c r="C1224" s="12" t="s">
        <v>24</v>
      </c>
      <c r="D1224" s="12" t="s">
        <v>275</v>
      </c>
      <c r="E1224" s="11"/>
      <c r="F1224" s="11"/>
      <c r="G1224" s="11"/>
      <c r="H1224" s="12" t="s">
        <v>432</v>
      </c>
      <c r="I1224" s="12" t="s">
        <v>5493</v>
      </c>
      <c r="J1224" s="11"/>
      <c r="K1224" s="12" t="s">
        <v>5494</v>
      </c>
      <c r="L1224" s="12" t="s">
        <v>1769</v>
      </c>
      <c r="M1224" s="12" t="str">
        <f>HYPERLINK("https://ceds.ed.gov/cedselementdetails.aspx?termid=17727")</f>
        <v>https://ceds.ed.gov/cedselementdetails.aspx?termid=17727</v>
      </c>
      <c r="N1224" s="12" t="str">
        <f>HYPERLINK("https://ceds.ed.gov/elementComment.aspx?elementName=Institutionally Controlled Housing Status &amp;elementID=17727", "Click here to submit comment")</f>
        <v>Click here to submit comment</v>
      </c>
    </row>
    <row r="1225" spans="1:14" ht="89.25" x14ac:dyDescent="0.25">
      <c r="A1225" s="12" t="s">
        <v>5495</v>
      </c>
      <c r="B1225" s="12" t="s">
        <v>5496</v>
      </c>
      <c r="C1225" s="13" t="s">
        <v>5497</v>
      </c>
      <c r="D1225" s="12" t="s">
        <v>76</v>
      </c>
      <c r="E1225" s="11"/>
      <c r="F1225" s="11"/>
      <c r="G1225" s="11"/>
      <c r="H1225" s="12" t="s">
        <v>5498</v>
      </c>
      <c r="I1225" s="12" t="s">
        <v>5499</v>
      </c>
      <c r="J1225" s="11"/>
      <c r="K1225" s="12" t="s">
        <v>5500</v>
      </c>
      <c r="L1225" s="12" t="s">
        <v>80</v>
      </c>
      <c r="M1225" s="12" t="str">
        <f>HYPERLINK("https://ceds.ed.gov/cedselementdetails.aspx?termid=17719")</f>
        <v>https://ceds.ed.gov/cedselementdetails.aspx?termid=17719</v>
      </c>
      <c r="N1225" s="12" t="str">
        <f>HYPERLINK("https://ceds.ed.gov/elementComment.aspx?elementName=Instruction Credit Type &amp;elementID=17719", "Click here to submit comment")</f>
        <v>Click here to submit comment</v>
      </c>
    </row>
    <row r="1226" spans="1:14" ht="114.75" x14ac:dyDescent="0.25">
      <c r="A1226" s="12" t="s">
        <v>5501</v>
      </c>
      <c r="B1226" s="12" t="s">
        <v>5502</v>
      </c>
      <c r="C1226" s="12" t="s">
        <v>8527</v>
      </c>
      <c r="D1226" s="12" t="s">
        <v>181</v>
      </c>
      <c r="E1226" s="12" t="s">
        <v>195</v>
      </c>
      <c r="F1226" s="11"/>
      <c r="G1226" s="12" t="s">
        <v>1086</v>
      </c>
      <c r="H1226" s="6" t="s">
        <v>1087</v>
      </c>
      <c r="I1226" s="12" t="s">
        <v>5503</v>
      </c>
      <c r="J1226" s="11"/>
      <c r="K1226" s="12" t="s">
        <v>5504</v>
      </c>
      <c r="L1226" s="12" t="s">
        <v>245</v>
      </c>
      <c r="M1226" s="12" t="str">
        <f>HYPERLINK("https://ceds.ed.gov/cedselementdetails.aspx?termid=17438")</f>
        <v>https://ceds.ed.gov/cedselementdetails.aspx?termid=17438</v>
      </c>
      <c r="N1226" s="12" t="str">
        <f>HYPERLINK("https://ceds.ed.gov/elementComment.aspx?elementName=Instruction Language &amp;elementID=17438", "Click here to submit comment")</f>
        <v>Click here to submit comment</v>
      </c>
    </row>
    <row r="1227" spans="1:14" ht="38.25" x14ac:dyDescent="0.25">
      <c r="A1227" s="12" t="s">
        <v>5505</v>
      </c>
      <c r="B1227" s="12" t="s">
        <v>5506</v>
      </c>
      <c r="C1227" s="12" t="s">
        <v>37</v>
      </c>
      <c r="D1227" s="12" t="s">
        <v>3641</v>
      </c>
      <c r="E1227" s="11"/>
      <c r="F1227" s="12" t="s">
        <v>1710</v>
      </c>
      <c r="G1227" s="11"/>
      <c r="H1227" s="11"/>
      <c r="I1227" s="12" t="s">
        <v>5507</v>
      </c>
      <c r="J1227" s="11"/>
      <c r="K1227" s="12" t="s">
        <v>5508</v>
      </c>
      <c r="L1227" s="12" t="s">
        <v>225</v>
      </c>
      <c r="M1227" s="12" t="str">
        <f>HYPERLINK("https://ceds.ed.gov/cedselementdetails.aspx?termid=17168")</f>
        <v>https://ceds.ed.gov/cedselementdetails.aspx?termid=17168</v>
      </c>
      <c r="N1227" s="12" t="str">
        <f>HYPERLINK("https://ceds.ed.gov/elementComment.aspx?elementName=Instructional Activity Hours Attempted &amp;elementID=17168", "Click here to submit comment")</f>
        <v>Click here to submit comment</v>
      </c>
    </row>
    <row r="1228" spans="1:14" ht="63.75" x14ac:dyDescent="0.25">
      <c r="A1228" s="12" t="s">
        <v>5509</v>
      </c>
      <c r="B1228" s="12" t="s">
        <v>5510</v>
      </c>
      <c r="C1228" s="12" t="s">
        <v>37</v>
      </c>
      <c r="D1228" s="12" t="s">
        <v>5511</v>
      </c>
      <c r="E1228" s="11"/>
      <c r="F1228" s="12" t="s">
        <v>1710</v>
      </c>
      <c r="G1228" s="11"/>
      <c r="H1228" s="11"/>
      <c r="I1228" s="12" t="s">
        <v>5512</v>
      </c>
      <c r="J1228" s="11"/>
      <c r="K1228" s="12" t="s">
        <v>5513</v>
      </c>
      <c r="L1228" s="12" t="s">
        <v>5514</v>
      </c>
      <c r="M1228" s="12" t="str">
        <f>HYPERLINK("https://ceds.ed.gov/cedselementdetails.aspx?termid=17361")</f>
        <v>https://ceds.ed.gov/cedselementdetails.aspx?termid=17361</v>
      </c>
      <c r="N1228" s="12" t="str">
        <f>HYPERLINK("https://ceds.ed.gov/elementComment.aspx?elementName=Instructional Activity Hours Completed &amp;elementID=17361", "Click here to submit comment")</f>
        <v>Click here to submit comment</v>
      </c>
    </row>
    <row r="1229" spans="1:14" ht="38.25" x14ac:dyDescent="0.25">
      <c r="A1229" s="12" t="s">
        <v>5515</v>
      </c>
      <c r="B1229" s="12" t="s">
        <v>5516</v>
      </c>
      <c r="C1229" s="13" t="s">
        <v>5517</v>
      </c>
      <c r="D1229" s="12" t="s">
        <v>3641</v>
      </c>
      <c r="E1229" s="11"/>
      <c r="F1229" s="11"/>
      <c r="G1229" s="11"/>
      <c r="H1229" s="11"/>
      <c r="I1229" s="12" t="s">
        <v>5518</v>
      </c>
      <c r="J1229" s="11"/>
      <c r="K1229" s="12" t="s">
        <v>5519</v>
      </c>
      <c r="L1229" s="12" t="s">
        <v>225</v>
      </c>
      <c r="M1229" s="12" t="str">
        <f>HYPERLINK("https://ceds.ed.gov/cedselementdetails.aspx?termid=17169")</f>
        <v>https://ceds.ed.gov/cedselementdetails.aspx?termid=17169</v>
      </c>
      <c r="N1229" s="12" t="str">
        <f>HYPERLINK("https://ceds.ed.gov/elementComment.aspx?elementName=Instructional Activity Hours Type &amp;elementID=17169", "Click here to submit comment")</f>
        <v>Click here to submit comment</v>
      </c>
    </row>
    <row r="1230" spans="1:14" ht="63.75" x14ac:dyDescent="0.25">
      <c r="A1230" s="12" t="s">
        <v>5520</v>
      </c>
      <c r="B1230" s="12" t="s">
        <v>5521</v>
      </c>
      <c r="C1230" s="12" t="s">
        <v>37</v>
      </c>
      <c r="D1230" s="12" t="s">
        <v>3457</v>
      </c>
      <c r="E1230" s="11"/>
      <c r="F1230" s="12" t="s">
        <v>370</v>
      </c>
      <c r="G1230" s="11"/>
      <c r="H1230" s="11"/>
      <c r="I1230" s="12" t="s">
        <v>5522</v>
      </c>
      <c r="J1230" s="11"/>
      <c r="K1230" s="12" t="s">
        <v>5523</v>
      </c>
      <c r="L1230" s="11"/>
      <c r="M1230" s="12" t="str">
        <f>HYPERLINK("https://ceds.ed.gov/cedselementdetails.aspx?termid=17490")</f>
        <v>https://ceds.ed.gov/cedselementdetails.aspx?termid=17490</v>
      </c>
      <c r="N1230" s="12" t="str">
        <f>HYPERLINK("https://ceds.ed.gov/elementComment.aspx?elementName=Instructional Minutes &amp;elementID=17490", "Click here to submit comment")</f>
        <v>Click here to submit comment</v>
      </c>
    </row>
    <row r="1231" spans="1:14" ht="38.25" x14ac:dyDescent="0.25">
      <c r="A1231" s="12" t="s">
        <v>5524</v>
      </c>
      <c r="B1231" s="12" t="s">
        <v>5525</v>
      </c>
      <c r="C1231" s="12" t="s">
        <v>37</v>
      </c>
      <c r="D1231" s="12" t="s">
        <v>1407</v>
      </c>
      <c r="E1231" s="11"/>
      <c r="F1231" s="12" t="s">
        <v>874</v>
      </c>
      <c r="G1231" s="11"/>
      <c r="H1231" s="11"/>
      <c r="I1231" s="12" t="s">
        <v>5526</v>
      </c>
      <c r="J1231" s="11"/>
      <c r="K1231" s="12" t="s">
        <v>5527</v>
      </c>
      <c r="L1231" s="12" t="s">
        <v>727</v>
      </c>
      <c r="M1231" s="12" t="str">
        <f>HYPERLINK("https://ceds.ed.gov/cedselementdetails.aspx?termid=17369")</f>
        <v>https://ceds.ed.gov/cedselementdetails.aspx?termid=17369</v>
      </c>
      <c r="N1231" s="12" t="str">
        <f>HYPERLINK("https://ceds.ed.gov/elementComment.aspx?elementName=Instructional Recommendation &amp;elementID=17369", "Click here to submit comment")</f>
        <v>Click here to submit comment</v>
      </c>
    </row>
    <row r="1232" spans="1:14" ht="76.5" x14ac:dyDescent="0.25">
      <c r="A1232" s="12" t="s">
        <v>5528</v>
      </c>
      <c r="B1232" s="12" t="s">
        <v>5529</v>
      </c>
      <c r="C1232" s="13" t="s">
        <v>5530</v>
      </c>
      <c r="D1232" s="12" t="s">
        <v>76</v>
      </c>
      <c r="E1232" s="11"/>
      <c r="F1232" s="11"/>
      <c r="G1232" s="11"/>
      <c r="H1232" s="12" t="s">
        <v>5531</v>
      </c>
      <c r="I1232" s="12" t="s">
        <v>5532</v>
      </c>
      <c r="J1232" s="11"/>
      <c r="K1232" s="12" t="s">
        <v>5533</v>
      </c>
      <c r="L1232" s="12" t="s">
        <v>80</v>
      </c>
      <c r="M1232" s="12" t="str">
        <f>HYPERLINK("https://ceds.ed.gov/cedselementdetails.aspx?termid=17712")</f>
        <v>https://ceds.ed.gov/cedselementdetails.aspx?termid=17712</v>
      </c>
      <c r="N1232" s="12" t="str">
        <f>HYPERLINK("https://ceds.ed.gov/elementComment.aspx?elementName=Instructional Staff Contract Length &amp;elementID=17712", "Click here to submit comment")</f>
        <v>Click here to submit comment</v>
      </c>
    </row>
    <row r="1233" spans="1:14" ht="76.5" x14ac:dyDescent="0.25">
      <c r="A1233" s="12" t="s">
        <v>5534</v>
      </c>
      <c r="B1233" s="12" t="s">
        <v>5535</v>
      </c>
      <c r="C1233" s="13" t="s">
        <v>5536</v>
      </c>
      <c r="D1233" s="12" t="s">
        <v>76</v>
      </c>
      <c r="E1233" s="11"/>
      <c r="F1233" s="11"/>
      <c r="G1233" s="11"/>
      <c r="H1233" s="12" t="s">
        <v>2811</v>
      </c>
      <c r="I1233" s="12" t="s">
        <v>5537</v>
      </c>
      <c r="J1233" s="11"/>
      <c r="K1233" s="12" t="s">
        <v>5538</v>
      </c>
      <c r="L1233" s="12" t="s">
        <v>80</v>
      </c>
      <c r="M1233" s="12" t="str">
        <f>HYPERLINK("https://ceds.ed.gov/cedselementdetails.aspx?termid=17716")</f>
        <v>https://ceds.ed.gov/cedselementdetails.aspx?termid=17716</v>
      </c>
      <c r="N1233" s="12" t="str">
        <f>HYPERLINK("https://ceds.ed.gov/elementComment.aspx?elementName=Instructional Staff Faculty Tenure Status &amp;elementID=17716", "Click here to submit comment")</f>
        <v>Click here to submit comment</v>
      </c>
    </row>
    <row r="1234" spans="1:14" ht="63.75" x14ac:dyDescent="0.25">
      <c r="A1234" s="12" t="s">
        <v>5539</v>
      </c>
      <c r="B1234" s="12" t="s">
        <v>5540</v>
      </c>
      <c r="C1234" s="12" t="s">
        <v>24</v>
      </c>
      <c r="D1234" s="12" t="s">
        <v>76</v>
      </c>
      <c r="E1234" s="11"/>
      <c r="F1234" s="11"/>
      <c r="G1234" s="11"/>
      <c r="H1234" s="12" t="s">
        <v>4450</v>
      </c>
      <c r="I1234" s="12" t="s">
        <v>5541</v>
      </c>
      <c r="J1234" s="11"/>
      <c r="K1234" s="12" t="s">
        <v>5542</v>
      </c>
      <c r="L1234" s="11"/>
      <c r="M1234" s="12" t="str">
        <f>HYPERLINK("https://ceds.ed.gov/cedselementdetails.aspx?termid=17709")</f>
        <v>https://ceds.ed.gov/cedselementdetails.aspx?termid=17709</v>
      </c>
      <c r="N1234" s="12" t="str">
        <f>HYPERLINK("https://ceds.ed.gov/elementComment.aspx?elementName=Instructional Staff Status &amp;elementID=17709", "Click here to submit comment")</f>
        <v>Click here to submit comment</v>
      </c>
    </row>
    <row r="1235" spans="1:14" ht="153" x14ac:dyDescent="0.25">
      <c r="A1235" s="12" t="s">
        <v>5543</v>
      </c>
      <c r="B1235" s="12" t="s">
        <v>5544</v>
      </c>
      <c r="C1235" s="13" t="s">
        <v>3495</v>
      </c>
      <c r="D1235" s="12" t="s">
        <v>3496</v>
      </c>
      <c r="E1235" s="11"/>
      <c r="F1235" s="11"/>
      <c r="G1235" s="11"/>
      <c r="H1235" s="12" t="s">
        <v>3497</v>
      </c>
      <c r="I1235" s="12" t="s">
        <v>5545</v>
      </c>
      <c r="J1235" s="11"/>
      <c r="K1235" s="12" t="s">
        <v>5546</v>
      </c>
      <c r="L1235" s="12" t="s">
        <v>3500</v>
      </c>
      <c r="M1235" s="12" t="str">
        <f>HYPERLINK("https://ceds.ed.gov/cedselementdetails.aspx?termid=17334")</f>
        <v>https://ceds.ed.gov/cedselementdetails.aspx?termid=17334</v>
      </c>
      <c r="N1235" s="12" t="str">
        <f>HYPERLINK("https://ceds.ed.gov/elementComment.aspx?elementName=Insurance Coverage &amp;elementID=17334", "Click here to submit comment")</f>
        <v>Click here to submit comment</v>
      </c>
    </row>
    <row r="1236" spans="1:14" ht="38.25" x14ac:dyDescent="0.25">
      <c r="A1236" s="12" t="s">
        <v>5547</v>
      </c>
      <c r="B1236" s="12" t="s">
        <v>5548</v>
      </c>
      <c r="C1236" s="12" t="s">
        <v>37</v>
      </c>
      <c r="D1236" s="12" t="s">
        <v>5333</v>
      </c>
      <c r="E1236" s="11"/>
      <c r="F1236" s="12" t="s">
        <v>1710</v>
      </c>
      <c r="G1236" s="11"/>
      <c r="H1236" s="11"/>
      <c r="I1236" s="12" t="s">
        <v>5549</v>
      </c>
      <c r="J1236" s="11"/>
      <c r="K1236" s="12" t="s">
        <v>5550</v>
      </c>
      <c r="L1236" s="11"/>
      <c r="M1236" s="12" t="str">
        <f>HYPERLINK("https://ceds.ed.gov/cedselementdetails.aspx?termid=18875")</f>
        <v>https://ceds.ed.gov/cedselementdetails.aspx?termid=18875</v>
      </c>
      <c r="N1236" s="12" t="str">
        <f>HYPERLINK("https://ceds.ed.gov/elementComment.aspx?elementName=Insurance Deductible &amp;elementID=18875", "Click here to submit comment")</f>
        <v>Click here to submit comment</v>
      </c>
    </row>
    <row r="1237" spans="1:14" ht="76.5" x14ac:dyDescent="0.25">
      <c r="A1237" s="12" t="s">
        <v>5551</v>
      </c>
      <c r="B1237" s="12" t="s">
        <v>5552</v>
      </c>
      <c r="C1237" s="13" t="s">
        <v>5553</v>
      </c>
      <c r="D1237" s="12" t="s">
        <v>1732</v>
      </c>
      <c r="E1237" s="11"/>
      <c r="F1237" s="11"/>
      <c r="G1237" s="11"/>
      <c r="H1237" s="11"/>
      <c r="I1237" s="12" t="s">
        <v>5554</v>
      </c>
      <c r="J1237" s="11"/>
      <c r="K1237" s="12" t="s">
        <v>5555</v>
      </c>
      <c r="L1237" s="12" t="s">
        <v>258</v>
      </c>
      <c r="M1237" s="12" t="str">
        <f>HYPERLINK("https://ceds.ed.gov/cedselementdetails.aspx?termid=17170")</f>
        <v>https://ceds.ed.gov/cedselementdetails.aspx?termid=17170</v>
      </c>
      <c r="N1237" s="12" t="str">
        <f>HYPERLINK("https://ceds.ed.gov/elementComment.aspx?elementName=Integrated Technology Status &amp;elementID=17170", "Click here to submit comment")</f>
        <v>Click here to submit comment</v>
      </c>
    </row>
    <row r="1238" spans="1:14" ht="38.25" x14ac:dyDescent="0.25">
      <c r="A1238" s="12" t="s">
        <v>5556</v>
      </c>
      <c r="B1238" s="12" t="s">
        <v>5557</v>
      </c>
      <c r="C1238" s="12" t="s">
        <v>37</v>
      </c>
      <c r="D1238" s="12" t="s">
        <v>600</v>
      </c>
      <c r="E1238" s="11"/>
      <c r="F1238" s="12" t="s">
        <v>135</v>
      </c>
      <c r="G1238" s="11"/>
      <c r="H1238" s="11"/>
      <c r="I1238" s="12" t="s">
        <v>5558</v>
      </c>
      <c r="J1238" s="11"/>
      <c r="K1238" s="12" t="s">
        <v>5559</v>
      </c>
      <c r="L1238" s="11"/>
      <c r="M1238" s="12" t="str">
        <f>HYPERLINK("https://ceds.ed.gov/cedselementdetails.aspx?termid=18137")</f>
        <v>https://ceds.ed.gov/cedselementdetails.aspx?termid=18137</v>
      </c>
      <c r="N1238" s="12" t="str">
        <f>HYPERLINK("https://ceds.ed.gov/elementComment.aspx?elementName=Intended Administration Start Date &amp;elementID=18137", "Click here to submit comment")</f>
        <v>Click here to submit comment</v>
      </c>
    </row>
    <row r="1239" spans="1:14" ht="51" x14ac:dyDescent="0.25">
      <c r="A1239" s="12" t="s">
        <v>5560</v>
      </c>
      <c r="B1239" s="12" t="s">
        <v>5561</v>
      </c>
      <c r="C1239" s="13" t="s">
        <v>5562</v>
      </c>
      <c r="D1239" s="12" t="s">
        <v>262</v>
      </c>
      <c r="E1239" s="11"/>
      <c r="F1239" s="11"/>
      <c r="G1239" s="11"/>
      <c r="H1239" s="11"/>
      <c r="I1239" s="12" t="s">
        <v>5563</v>
      </c>
      <c r="J1239" s="11"/>
      <c r="K1239" s="12" t="s">
        <v>5564</v>
      </c>
      <c r="L1239" s="12" t="s">
        <v>258</v>
      </c>
      <c r="M1239" s="12" t="str">
        <f>HYPERLINK("https://ceds.ed.gov/cedselementdetails.aspx?termid=17580")</f>
        <v>https://ceds.ed.gov/cedselementdetails.aspx?termid=17580</v>
      </c>
      <c r="N1239" s="12" t="str">
        <f>HYPERLINK("https://ceds.ed.gov/elementComment.aspx?elementName=Internet Access &amp;elementID=17580", "Click here to submit comment")</f>
        <v>Click here to submit comment</v>
      </c>
    </row>
    <row r="1240" spans="1:14" ht="51" x14ac:dyDescent="0.25">
      <c r="A1240" s="12" t="s">
        <v>5565</v>
      </c>
      <c r="B1240" s="12" t="s">
        <v>5566</v>
      </c>
      <c r="C1240" s="12" t="s">
        <v>37</v>
      </c>
      <c r="D1240" s="12" t="s">
        <v>1732</v>
      </c>
      <c r="E1240" s="11"/>
      <c r="F1240" s="12" t="s">
        <v>370</v>
      </c>
      <c r="G1240" s="11"/>
      <c r="H1240" s="11"/>
      <c r="I1240" s="12" t="s">
        <v>5567</v>
      </c>
      <c r="J1240" s="11"/>
      <c r="K1240" s="12" t="s">
        <v>5568</v>
      </c>
      <c r="L1240" s="11"/>
      <c r="M1240" s="12" t="str">
        <f>HYPERLINK("https://ceds.ed.gov/cedselementdetails.aspx?termid=17665")</f>
        <v>https://ceds.ed.gov/cedselementdetails.aspx?termid=17665</v>
      </c>
      <c r="N1240" s="12" t="str">
        <f>HYPERLINK("https://ceds.ed.gov/elementComment.aspx?elementName=Interscholastic Sport Participants - Female Only &amp;elementID=17665", "Click here to submit comment")</f>
        <v>Click here to submit comment</v>
      </c>
    </row>
    <row r="1241" spans="1:14" ht="51" x14ac:dyDescent="0.25">
      <c r="A1241" s="12" t="s">
        <v>5569</v>
      </c>
      <c r="B1241" s="12" t="s">
        <v>5570</v>
      </c>
      <c r="C1241" s="12" t="s">
        <v>37</v>
      </c>
      <c r="D1241" s="12" t="s">
        <v>1732</v>
      </c>
      <c r="E1241" s="11"/>
      <c r="F1241" s="12" t="s">
        <v>370</v>
      </c>
      <c r="G1241" s="11"/>
      <c r="H1241" s="11"/>
      <c r="I1241" s="12" t="s">
        <v>5571</v>
      </c>
      <c r="J1241" s="11"/>
      <c r="K1241" s="12" t="s">
        <v>5572</v>
      </c>
      <c r="L1241" s="11"/>
      <c r="M1241" s="12" t="str">
        <f>HYPERLINK("https://ceds.ed.gov/cedselementdetails.aspx?termid=17664")</f>
        <v>https://ceds.ed.gov/cedselementdetails.aspx?termid=17664</v>
      </c>
      <c r="N1241" s="12" t="str">
        <f>HYPERLINK("https://ceds.ed.gov/elementComment.aspx?elementName=Interscholastic Sport Participants - Male Only &amp;elementID=17664", "Click here to submit comment")</f>
        <v>Click here to submit comment</v>
      </c>
    </row>
    <row r="1242" spans="1:14" ht="63.75" x14ac:dyDescent="0.25">
      <c r="A1242" s="12" t="s">
        <v>5573</v>
      </c>
      <c r="B1242" s="12" t="s">
        <v>5574</v>
      </c>
      <c r="C1242" s="12" t="s">
        <v>37</v>
      </c>
      <c r="D1242" s="12" t="s">
        <v>1732</v>
      </c>
      <c r="E1242" s="11"/>
      <c r="F1242" s="12" t="s">
        <v>370</v>
      </c>
      <c r="G1242" s="11"/>
      <c r="H1242" s="11"/>
      <c r="I1242" s="12" t="s">
        <v>5575</v>
      </c>
      <c r="J1242" s="11"/>
      <c r="K1242" s="12" t="s">
        <v>5576</v>
      </c>
      <c r="L1242" s="11"/>
      <c r="M1242" s="12" t="str">
        <f>HYPERLINK("https://ceds.ed.gov/cedselementdetails.aspx?termid=17661")</f>
        <v>https://ceds.ed.gov/cedselementdetails.aspx?termid=17661</v>
      </c>
      <c r="N1242" s="12" t="str">
        <f>HYPERLINK("https://ceds.ed.gov/elementComment.aspx?elementName=Interscholastic Sports - Female Only &amp;elementID=17661", "Click here to submit comment")</f>
        <v>Click here to submit comment</v>
      </c>
    </row>
    <row r="1243" spans="1:14" ht="63.75" x14ac:dyDescent="0.25">
      <c r="A1243" s="12" t="s">
        <v>5577</v>
      </c>
      <c r="B1243" s="12" t="s">
        <v>5578</v>
      </c>
      <c r="C1243" s="12" t="s">
        <v>37</v>
      </c>
      <c r="D1243" s="12" t="s">
        <v>1732</v>
      </c>
      <c r="E1243" s="11"/>
      <c r="F1243" s="12" t="s">
        <v>370</v>
      </c>
      <c r="G1243" s="11"/>
      <c r="H1243" s="11"/>
      <c r="I1243" s="12" t="s">
        <v>5579</v>
      </c>
      <c r="J1243" s="11"/>
      <c r="K1243" s="12" t="s">
        <v>5580</v>
      </c>
      <c r="L1243" s="11"/>
      <c r="M1243" s="12" t="str">
        <f>HYPERLINK("https://ceds.ed.gov/cedselementdetails.aspx?termid=17660")</f>
        <v>https://ceds.ed.gov/cedselementdetails.aspx?termid=17660</v>
      </c>
      <c r="N1243" s="12" t="str">
        <f>HYPERLINK("https://ceds.ed.gov/elementComment.aspx?elementName=Interscholastic Sports - Male Only &amp;elementID=17660", "Click here to submit comment")</f>
        <v>Click here to submit comment</v>
      </c>
    </row>
    <row r="1244" spans="1:14" ht="76.5" x14ac:dyDescent="0.25">
      <c r="A1244" s="12" t="s">
        <v>5581</v>
      </c>
      <c r="B1244" s="12" t="s">
        <v>5582</v>
      </c>
      <c r="C1244" s="12" t="s">
        <v>37</v>
      </c>
      <c r="D1244" s="12" t="s">
        <v>1732</v>
      </c>
      <c r="E1244" s="11"/>
      <c r="F1244" s="12" t="s">
        <v>370</v>
      </c>
      <c r="G1244" s="11"/>
      <c r="H1244" s="11"/>
      <c r="I1244" s="12" t="s">
        <v>5583</v>
      </c>
      <c r="J1244" s="11"/>
      <c r="K1244" s="12" t="s">
        <v>5584</v>
      </c>
      <c r="L1244" s="11"/>
      <c r="M1244" s="12" t="str">
        <f>HYPERLINK("https://ceds.ed.gov/cedselementdetails.aspx?termid=17663")</f>
        <v>https://ceds.ed.gov/cedselementdetails.aspx?termid=17663</v>
      </c>
      <c r="N1244" s="12" t="str">
        <f>HYPERLINK("https://ceds.ed.gov/elementComment.aspx?elementName=Interscholastic Teams - Female Only &amp;elementID=17663", "Click here to submit comment")</f>
        <v>Click here to submit comment</v>
      </c>
    </row>
    <row r="1245" spans="1:14" ht="76.5" x14ac:dyDescent="0.25">
      <c r="A1245" s="12" t="s">
        <v>5585</v>
      </c>
      <c r="B1245" s="12" t="s">
        <v>5586</v>
      </c>
      <c r="C1245" s="12" t="s">
        <v>37</v>
      </c>
      <c r="D1245" s="12" t="s">
        <v>1732</v>
      </c>
      <c r="E1245" s="11"/>
      <c r="F1245" s="12" t="s">
        <v>370</v>
      </c>
      <c r="G1245" s="11"/>
      <c r="H1245" s="11"/>
      <c r="I1245" s="12" t="s">
        <v>5587</v>
      </c>
      <c r="J1245" s="11"/>
      <c r="K1245" s="12" t="s">
        <v>5588</v>
      </c>
      <c r="L1245" s="11"/>
      <c r="M1245" s="12" t="str">
        <f>HYPERLINK("https://ceds.ed.gov/cedselementdetails.aspx?termid=17662")</f>
        <v>https://ceds.ed.gov/cedselementdetails.aspx?termid=17662</v>
      </c>
      <c r="N1245" s="12" t="str">
        <f>HYPERLINK("https://ceds.ed.gov/elementComment.aspx?elementName=Interscholastic Teams - Male Only &amp;elementID=17662", "Click here to submit comment")</f>
        <v>Click here to submit comment</v>
      </c>
    </row>
    <row r="1246" spans="1:14" ht="114.75" x14ac:dyDescent="0.25">
      <c r="A1246" s="12" t="s">
        <v>5589</v>
      </c>
      <c r="B1246" s="12" t="s">
        <v>5590</v>
      </c>
      <c r="C1246" s="12" t="s">
        <v>37</v>
      </c>
      <c r="D1246" s="12" t="s">
        <v>275</v>
      </c>
      <c r="E1246" s="11"/>
      <c r="F1246" s="12" t="s">
        <v>91</v>
      </c>
      <c r="G1246" s="11"/>
      <c r="H1246" s="11"/>
      <c r="I1246" s="12" t="s">
        <v>5591</v>
      </c>
      <c r="J1246" s="11"/>
      <c r="K1246" s="12" t="s">
        <v>5592</v>
      </c>
      <c r="L1246" s="12" t="s">
        <v>278</v>
      </c>
      <c r="M1246" s="12" t="str">
        <f>HYPERLINK("https://ceds.ed.gov/cedselementdetails.aspx?termid=18592")</f>
        <v>https://ceds.ed.gov/cedselementdetails.aspx?termid=18592</v>
      </c>
      <c r="N1246" s="12" t="str">
        <f>HYPERLINK("https://ceds.ed.gov/elementComment.aspx?elementName=IPEDS Collection Year Designator &amp;elementID=18592", "Click here to submit comment")</f>
        <v>Click here to submit comment</v>
      </c>
    </row>
    <row r="1247" spans="1:14" ht="409.5" x14ac:dyDescent="0.25">
      <c r="A1247" s="12" t="s">
        <v>5593</v>
      </c>
      <c r="B1247" s="12" t="s">
        <v>5594</v>
      </c>
      <c r="C1247" s="13" t="s">
        <v>5595</v>
      </c>
      <c r="D1247" s="12" t="s">
        <v>5596</v>
      </c>
      <c r="E1247" s="11"/>
      <c r="F1247" s="11"/>
      <c r="G1247" s="11"/>
      <c r="H1247" s="11"/>
      <c r="I1247" s="12" t="s">
        <v>5597</v>
      </c>
      <c r="J1247" s="11"/>
      <c r="K1247" s="12" t="s">
        <v>5598</v>
      </c>
      <c r="L1247" s="11"/>
      <c r="M1247" s="12" t="str">
        <f>HYPERLINK("https://ceds.ed.gov/cedselementdetails.aspx?termid=18652")</f>
        <v>https://ceds.ed.gov/cedselementdetails.aspx?termid=18652</v>
      </c>
      <c r="N1247" s="12" t="str">
        <f>HYPERLINK("https://ceds.ed.gov/elementComment.aspx?elementName=IPEDS Finance FASB Financial Position Category &amp;elementID=18652", "Click here to submit comment")</f>
        <v>Click here to submit comment</v>
      </c>
    </row>
    <row r="1248" spans="1:14" ht="178.5" x14ac:dyDescent="0.25">
      <c r="A1248" s="12" t="s">
        <v>5599</v>
      </c>
      <c r="B1248" s="12" t="s">
        <v>5600</v>
      </c>
      <c r="C1248" s="13" t="s">
        <v>5601</v>
      </c>
      <c r="D1248" s="12" t="s">
        <v>5596</v>
      </c>
      <c r="E1248" s="11"/>
      <c r="F1248" s="11"/>
      <c r="G1248" s="11"/>
      <c r="H1248" s="12" t="s">
        <v>5602</v>
      </c>
      <c r="I1248" s="12" t="s">
        <v>5603</v>
      </c>
      <c r="J1248" s="11"/>
      <c r="K1248" s="12" t="s">
        <v>5604</v>
      </c>
      <c r="L1248" s="11"/>
      <c r="M1248" s="12" t="str">
        <f>HYPERLINK("https://ceds.ed.gov/cedselementdetails.aspx?termid=18640")</f>
        <v>https://ceds.ed.gov/cedselementdetails.aspx?termid=18640</v>
      </c>
      <c r="N1248" s="12" t="str">
        <f>HYPERLINK("https://ceds.ed.gov/elementComment.aspx?elementName=IPEDS Finance FASB Functional Expense Category &amp;elementID=18640", "Click here to submit comment")</f>
        <v>Click here to submit comment</v>
      </c>
    </row>
    <row r="1249" spans="1:14" ht="76.5" x14ac:dyDescent="0.25">
      <c r="A1249" s="12" t="s">
        <v>5605</v>
      </c>
      <c r="B1249" s="12" t="s">
        <v>5606</v>
      </c>
      <c r="C1249" s="13" t="s">
        <v>5607</v>
      </c>
      <c r="D1249" s="12" t="s">
        <v>5596</v>
      </c>
      <c r="E1249" s="11"/>
      <c r="F1249" s="11"/>
      <c r="G1249" s="11"/>
      <c r="H1249" s="11"/>
      <c r="I1249" s="12" t="s">
        <v>5608</v>
      </c>
      <c r="J1249" s="11"/>
      <c r="K1249" s="12" t="s">
        <v>5609</v>
      </c>
      <c r="L1249" s="11"/>
      <c r="M1249" s="12" t="str">
        <f>HYPERLINK("https://ceds.ed.gov/cedselementdetails.aspx?termid=18661")</f>
        <v>https://ceds.ed.gov/cedselementdetails.aspx?termid=18661</v>
      </c>
      <c r="N1249" s="12" t="str">
        <f>HYPERLINK("https://ceds.ed.gov/elementComment.aspx?elementName=IPEDS Finance FASB Pell Grant Transactions &amp;elementID=18661", "Click here to submit comment")</f>
        <v>Click here to submit comment</v>
      </c>
    </row>
    <row r="1250" spans="1:14" ht="409.5" x14ac:dyDescent="0.25">
      <c r="A1250" s="12" t="s">
        <v>5610</v>
      </c>
      <c r="B1250" s="12" t="s">
        <v>5611</v>
      </c>
      <c r="C1250" s="13" t="s">
        <v>5612</v>
      </c>
      <c r="D1250" s="12" t="s">
        <v>5596</v>
      </c>
      <c r="E1250" s="11"/>
      <c r="F1250" s="11"/>
      <c r="G1250" s="11"/>
      <c r="H1250" s="11"/>
      <c r="I1250" s="12" t="s">
        <v>5613</v>
      </c>
      <c r="J1250" s="11"/>
      <c r="K1250" s="12" t="s">
        <v>5614</v>
      </c>
      <c r="L1250" s="11"/>
      <c r="M1250" s="12" t="str">
        <f>HYPERLINK("https://ceds.ed.gov/cedselementdetails.aspx?termid=18654")</f>
        <v>https://ceds.ed.gov/cedselementdetails.aspx?termid=18654</v>
      </c>
      <c r="N1250" s="12" t="str">
        <f>HYPERLINK("https://ceds.ed.gov/elementComment.aspx?elementName=IPEDS Finance FASB Revenue Category &amp;elementID=18654", "Click here to submit comment")</f>
        <v>Click here to submit comment</v>
      </c>
    </row>
    <row r="1251" spans="1:14" ht="76.5" x14ac:dyDescent="0.25">
      <c r="A1251" s="12" t="s">
        <v>5615</v>
      </c>
      <c r="B1251" s="12" t="s">
        <v>5616</v>
      </c>
      <c r="C1251" s="13" t="s">
        <v>5617</v>
      </c>
      <c r="D1251" s="12" t="s">
        <v>5596</v>
      </c>
      <c r="E1251" s="11"/>
      <c r="F1251" s="11"/>
      <c r="G1251" s="11"/>
      <c r="H1251" s="11"/>
      <c r="I1251" s="12" t="s">
        <v>5618</v>
      </c>
      <c r="J1251" s="11"/>
      <c r="K1251" s="12" t="s">
        <v>5619</v>
      </c>
      <c r="L1251" s="11"/>
      <c r="M1251" s="12" t="str">
        <f>HYPERLINK("https://ceds.ed.gov/cedselementdetails.aspx?termid=18655")</f>
        <v>https://ceds.ed.gov/cedselementdetails.aspx?termid=18655</v>
      </c>
      <c r="N1251" s="12" t="str">
        <f>HYPERLINK("https://ceds.ed.gov/elementComment.aspx?elementName=IPEDS Finance FASB Revenue Restriction Category &amp;elementID=18655", "Click here to submit comment")</f>
        <v>Click here to submit comment</v>
      </c>
    </row>
    <row r="1252" spans="1:14" ht="216.75" x14ac:dyDescent="0.25">
      <c r="A1252" s="12" t="s">
        <v>5620</v>
      </c>
      <c r="B1252" s="12" t="s">
        <v>5621</v>
      </c>
      <c r="C1252" s="13" t="s">
        <v>5622</v>
      </c>
      <c r="D1252" s="12" t="s">
        <v>5596</v>
      </c>
      <c r="E1252" s="11"/>
      <c r="F1252" s="11"/>
      <c r="G1252" s="11"/>
      <c r="H1252" s="11"/>
      <c r="I1252" s="12" t="s">
        <v>5623</v>
      </c>
      <c r="J1252" s="11"/>
      <c r="K1252" s="12" t="s">
        <v>5624</v>
      </c>
      <c r="L1252" s="11"/>
      <c r="M1252" s="12" t="str">
        <f>HYPERLINK("https://ceds.ed.gov/cedselementdetails.aspx?termid=18659")</f>
        <v>https://ceds.ed.gov/cedselementdetails.aspx?termid=18659</v>
      </c>
      <c r="N1252" s="12" t="str">
        <f>HYPERLINK("https://ceds.ed.gov/elementComment.aspx?elementName=IPEDS Finance FASB Scholarships and Fellowships Revenue Category &amp;elementID=18659", "Click here to submit comment")</f>
        <v>Click here to submit comment</v>
      </c>
    </row>
    <row r="1253" spans="1:14" ht="409.5" x14ac:dyDescent="0.25">
      <c r="A1253" s="12" t="s">
        <v>5625</v>
      </c>
      <c r="B1253" s="12" t="s">
        <v>5626</v>
      </c>
      <c r="C1253" s="13" t="s">
        <v>5627</v>
      </c>
      <c r="D1253" s="12" t="s">
        <v>5596</v>
      </c>
      <c r="E1253" s="11"/>
      <c r="F1253" s="11"/>
      <c r="G1253" s="11"/>
      <c r="H1253" s="11"/>
      <c r="I1253" s="12" t="s">
        <v>5628</v>
      </c>
      <c r="J1253" s="11"/>
      <c r="K1253" s="12" t="s">
        <v>5629</v>
      </c>
      <c r="L1253" s="11"/>
      <c r="M1253" s="12" t="str">
        <f>HYPERLINK("https://ceds.ed.gov/cedselementdetails.aspx?termid=18651")</f>
        <v>https://ceds.ed.gov/cedselementdetails.aspx?termid=18651</v>
      </c>
      <c r="N1253" s="12" t="str">
        <f>HYPERLINK("https://ceds.ed.gov/elementComment.aspx?elementName=IPEDS Finance GASB Financial Position Category &amp;elementID=18651", "Click here to submit comment")</f>
        <v>Click here to submit comment</v>
      </c>
    </row>
    <row r="1254" spans="1:14" ht="178.5" x14ac:dyDescent="0.25">
      <c r="A1254" s="12" t="s">
        <v>5630</v>
      </c>
      <c r="B1254" s="12" t="s">
        <v>5631</v>
      </c>
      <c r="C1254" s="13" t="s">
        <v>5632</v>
      </c>
      <c r="D1254" s="12" t="s">
        <v>5596</v>
      </c>
      <c r="E1254" s="11"/>
      <c r="F1254" s="11"/>
      <c r="G1254" s="11"/>
      <c r="H1254" s="12" t="s">
        <v>5602</v>
      </c>
      <c r="I1254" s="12" t="s">
        <v>5633</v>
      </c>
      <c r="J1254" s="11"/>
      <c r="K1254" s="12" t="s">
        <v>5634</v>
      </c>
      <c r="L1254" s="11"/>
      <c r="M1254" s="12" t="str">
        <f>HYPERLINK("https://ceds.ed.gov/cedselementdetails.aspx?termid=18656")</f>
        <v>https://ceds.ed.gov/cedselementdetails.aspx?termid=18656</v>
      </c>
      <c r="N1254" s="12" t="str">
        <f>HYPERLINK("https://ceds.ed.gov/elementComment.aspx?elementName=IPEDS Finance GASB Functional Expense Category &amp;elementID=18656", "Click here to submit comment")</f>
        <v>Click here to submit comment</v>
      </c>
    </row>
    <row r="1255" spans="1:14" ht="409.5" x14ac:dyDescent="0.25">
      <c r="A1255" s="12" t="s">
        <v>5635</v>
      </c>
      <c r="B1255" s="12" t="s">
        <v>5636</v>
      </c>
      <c r="C1255" s="13" t="s">
        <v>5637</v>
      </c>
      <c r="D1255" s="12" t="s">
        <v>5596</v>
      </c>
      <c r="E1255" s="11"/>
      <c r="F1255" s="11"/>
      <c r="G1255" s="11"/>
      <c r="H1255" s="11"/>
      <c r="I1255" s="12" t="s">
        <v>5638</v>
      </c>
      <c r="J1255" s="11"/>
      <c r="K1255" s="12" t="s">
        <v>5639</v>
      </c>
      <c r="L1255" s="11"/>
      <c r="M1255" s="12" t="str">
        <f>HYPERLINK("https://ceds.ed.gov/cedselementdetails.aspx?termid=18653")</f>
        <v>https://ceds.ed.gov/cedselementdetails.aspx?termid=18653</v>
      </c>
      <c r="N1255" s="12" t="str">
        <f>HYPERLINK("https://ceds.ed.gov/elementComment.aspx?elementName=IPEDS Finance GASB Revenue Category &amp;elementID=18653", "Click here to submit comment")</f>
        <v>Click here to submit comment</v>
      </c>
    </row>
    <row r="1256" spans="1:14" ht="242.25" x14ac:dyDescent="0.25">
      <c r="A1256" s="12" t="s">
        <v>5640</v>
      </c>
      <c r="B1256" s="12" t="s">
        <v>5641</v>
      </c>
      <c r="C1256" s="13" t="s">
        <v>5642</v>
      </c>
      <c r="D1256" s="12" t="s">
        <v>5596</v>
      </c>
      <c r="E1256" s="11"/>
      <c r="F1256" s="11"/>
      <c r="G1256" s="11"/>
      <c r="H1256" s="11"/>
      <c r="I1256" s="12" t="s">
        <v>5643</v>
      </c>
      <c r="J1256" s="11"/>
      <c r="K1256" s="12" t="s">
        <v>5644</v>
      </c>
      <c r="L1256" s="11"/>
      <c r="M1256" s="12" t="str">
        <f>HYPERLINK("https://ceds.ed.gov/cedselementdetails.aspx?termid=18658")</f>
        <v>https://ceds.ed.gov/cedselementdetails.aspx?termid=18658</v>
      </c>
      <c r="N1256" s="12" t="str">
        <f>HYPERLINK("https://ceds.ed.gov/elementComment.aspx?elementName=IPEDS Finance GASB Scholarships and Fellowships Revenue Category &amp;elementID=18658", "Click here to submit comment")</f>
        <v>Click here to submit comment</v>
      </c>
    </row>
    <row r="1257" spans="1:14" ht="89.25" x14ac:dyDescent="0.25">
      <c r="A1257" s="12" t="s">
        <v>5645</v>
      </c>
      <c r="B1257" s="12" t="s">
        <v>5646</v>
      </c>
      <c r="C1257" s="13" t="s">
        <v>5647</v>
      </c>
      <c r="D1257" s="12" t="s">
        <v>5596</v>
      </c>
      <c r="E1257" s="11"/>
      <c r="F1257" s="11"/>
      <c r="G1257" s="11"/>
      <c r="H1257" s="11"/>
      <c r="I1257" s="12" t="s">
        <v>5648</v>
      </c>
      <c r="J1257" s="11"/>
      <c r="K1257" s="12" t="s">
        <v>5649</v>
      </c>
      <c r="L1257" s="11"/>
      <c r="M1257" s="12" t="str">
        <f>HYPERLINK("https://ceds.ed.gov/cedselementdetails.aspx?termid=18660")</f>
        <v>https://ceds.ed.gov/cedselementdetails.aspx?termid=18660</v>
      </c>
      <c r="N1257" s="12" t="str">
        <f>HYPERLINK("https://ceds.ed.gov/elementComment.aspx?elementName=IPEDS Finance Intercollegiate Athletics Expenses &amp;elementID=18660", "Click here to submit comment")</f>
        <v>Click here to submit comment</v>
      </c>
    </row>
    <row r="1258" spans="1:14" ht="102" x14ac:dyDescent="0.25">
      <c r="A1258" s="12" t="s">
        <v>5650</v>
      </c>
      <c r="B1258" s="12" t="s">
        <v>5651</v>
      </c>
      <c r="C1258" s="13" t="s">
        <v>5652</v>
      </c>
      <c r="D1258" s="12" t="s">
        <v>5596</v>
      </c>
      <c r="E1258" s="11"/>
      <c r="F1258" s="11"/>
      <c r="G1258" s="11"/>
      <c r="H1258" s="12" t="s">
        <v>5653</v>
      </c>
      <c r="I1258" s="12" t="s">
        <v>5654</v>
      </c>
      <c r="J1258" s="11"/>
      <c r="K1258" s="12" t="s">
        <v>5655</v>
      </c>
      <c r="L1258" s="11"/>
      <c r="M1258" s="12" t="str">
        <f>HYPERLINK("https://ceds.ed.gov/cedselementdetails.aspx?termid=18657")</f>
        <v>https://ceds.ed.gov/cedselementdetails.aspx?termid=18657</v>
      </c>
      <c r="N1258" s="12" t="str">
        <f>HYPERLINK("https://ceds.ed.gov/elementComment.aspx?elementName=IPEDS Finance Natural Expense Category &amp;elementID=18657", "Click here to submit comment")</f>
        <v>Click here to submit comment</v>
      </c>
    </row>
    <row r="1259" spans="1:14" ht="318.75" x14ac:dyDescent="0.25">
      <c r="A1259" s="12" t="s">
        <v>5656</v>
      </c>
      <c r="B1259" s="12" t="s">
        <v>5657</v>
      </c>
      <c r="C1259" s="13" t="s">
        <v>5658</v>
      </c>
      <c r="D1259" s="12" t="s">
        <v>76</v>
      </c>
      <c r="E1259" s="11"/>
      <c r="F1259" s="11"/>
      <c r="G1259" s="11"/>
      <c r="H1259" s="12" t="s">
        <v>5659</v>
      </c>
      <c r="I1259" s="12" t="s">
        <v>5660</v>
      </c>
      <c r="J1259" s="11"/>
      <c r="K1259" s="12" t="s">
        <v>5661</v>
      </c>
      <c r="L1259" s="12" t="s">
        <v>80</v>
      </c>
      <c r="M1259" s="12" t="str">
        <f>HYPERLINK("https://ceds.ed.gov/cedselementdetails.aspx?termid=17708")</f>
        <v>https://ceds.ed.gov/cedselementdetails.aspx?termid=17708</v>
      </c>
      <c r="N1259" s="12" t="str">
        <f>HYPERLINK("https://ceds.ed.gov/elementComment.aspx?elementName=IPEDS Occupational Category &amp;elementID=17708", "Click here to submit comment")</f>
        <v>Click here to submit comment</v>
      </c>
    </row>
    <row r="1260" spans="1:14" ht="409.5" x14ac:dyDescent="0.25">
      <c r="A1260" s="12" t="s">
        <v>5662</v>
      </c>
      <c r="B1260" s="12" t="s">
        <v>5663</v>
      </c>
      <c r="C1260" s="12" t="s">
        <v>8527</v>
      </c>
      <c r="D1260" s="12" t="s">
        <v>5664</v>
      </c>
      <c r="E1260" s="12" t="s">
        <v>195</v>
      </c>
      <c r="F1260" s="11"/>
      <c r="G1260" s="12" t="s">
        <v>5665</v>
      </c>
      <c r="H1260" s="6" t="s">
        <v>1087</v>
      </c>
      <c r="I1260" s="12" t="s">
        <v>5666</v>
      </c>
      <c r="J1260" s="11"/>
      <c r="K1260" s="12" t="s">
        <v>5667</v>
      </c>
      <c r="L1260" s="12" t="s">
        <v>5668</v>
      </c>
      <c r="M1260" s="12" t="str">
        <f>HYPERLINK("https://ceds.ed.gov/cedselementdetails.aspx?termid=17317")</f>
        <v>https://ceds.ed.gov/cedselementdetails.aspx?termid=17317</v>
      </c>
      <c r="N1260" s="12" t="str">
        <f>HYPERLINK("https://ceds.ed.gov/elementComment.aspx?elementName=ISO 639-2 Language Code &amp;elementID=17317", "Click here to submit comment")</f>
        <v>Click here to submit comment</v>
      </c>
    </row>
    <row r="1261" spans="1:14" ht="409.5" x14ac:dyDescent="0.25">
      <c r="A1261" s="12" t="s">
        <v>5669</v>
      </c>
      <c r="B1261" s="12" t="s">
        <v>5663</v>
      </c>
      <c r="C1261" s="12" t="s">
        <v>8527</v>
      </c>
      <c r="D1261" s="12" t="s">
        <v>5664</v>
      </c>
      <c r="E1261" s="12" t="s">
        <v>195</v>
      </c>
      <c r="F1261" s="11"/>
      <c r="G1261" s="12" t="s">
        <v>5670</v>
      </c>
      <c r="H1261" s="6" t="s">
        <v>5671</v>
      </c>
      <c r="I1261" s="12" t="s">
        <v>5672</v>
      </c>
      <c r="J1261" s="11"/>
      <c r="K1261" s="12" t="s">
        <v>5673</v>
      </c>
      <c r="L1261" s="11"/>
      <c r="M1261" s="12" t="str">
        <f>HYPERLINK("https://ceds.ed.gov/cedselementdetails.aspx?termid=18618")</f>
        <v>https://ceds.ed.gov/cedselementdetails.aspx?termid=18618</v>
      </c>
      <c r="N1261" s="12" t="str">
        <f>HYPERLINK("https://ceds.ed.gov/elementComment.aspx?elementName=ISO 639-3 Language Code &amp;elementID=18618", "Click here to submit comment")</f>
        <v>Click here to submit comment</v>
      </c>
    </row>
    <row r="1262" spans="1:14" ht="409.5" x14ac:dyDescent="0.25">
      <c r="A1262" s="12" t="s">
        <v>5674</v>
      </c>
      <c r="B1262" s="12" t="s">
        <v>5675</v>
      </c>
      <c r="C1262" s="13" t="s">
        <v>5676</v>
      </c>
      <c r="D1262" s="12" t="s">
        <v>5664</v>
      </c>
      <c r="E1262" s="12" t="s">
        <v>195</v>
      </c>
      <c r="F1262" s="11"/>
      <c r="G1262" s="12" t="s">
        <v>2856</v>
      </c>
      <c r="H1262" s="6" t="s">
        <v>5677</v>
      </c>
      <c r="I1262" s="12" t="s">
        <v>5678</v>
      </c>
      <c r="J1262" s="11"/>
      <c r="K1262" s="12" t="s">
        <v>5679</v>
      </c>
      <c r="L1262" s="11"/>
      <c r="M1262" s="12" t="str">
        <f>HYPERLINK("https://ceds.ed.gov/cedselementdetails.aspx?termid=18619")</f>
        <v>https://ceds.ed.gov/cedselementdetails.aspx?termid=18619</v>
      </c>
      <c r="N1262" s="12" t="str">
        <f>HYPERLINK("https://ceds.ed.gov/elementComment.aspx?elementName=ISO 639-5 Language Family &amp;elementID=18619", "Click here to submit comment")</f>
        <v>Click here to submit comment</v>
      </c>
    </row>
    <row r="1263" spans="1:14" ht="38.25" x14ac:dyDescent="0.25">
      <c r="A1263" s="12" t="s">
        <v>5680</v>
      </c>
      <c r="B1263" s="12" t="s">
        <v>5681</v>
      </c>
      <c r="C1263" s="12" t="s">
        <v>24</v>
      </c>
      <c r="D1263" s="12" t="s">
        <v>3759</v>
      </c>
      <c r="E1263" s="11"/>
      <c r="F1263" s="11"/>
      <c r="G1263" s="11"/>
      <c r="H1263" s="11"/>
      <c r="I1263" s="12" t="s">
        <v>5682</v>
      </c>
      <c r="J1263" s="11"/>
      <c r="K1263" s="12" t="s">
        <v>5683</v>
      </c>
      <c r="L1263" s="11"/>
      <c r="M1263" s="12" t="str">
        <f>HYPERLINK("https://ceds.ed.gov/cedselementdetails.aspx?termid=18353")</f>
        <v>https://ceds.ed.gov/cedselementdetails.aspx?termid=18353</v>
      </c>
      <c r="N1263" s="12" t="str">
        <f>HYPERLINK("https://ceds.ed.gov/elementComment.aspx?elementName=Itinerant Provider &amp;elementID=18353", "Click here to submit comment")</f>
        <v>Click here to submit comment</v>
      </c>
    </row>
    <row r="1264" spans="1:14" ht="38.25" x14ac:dyDescent="0.25">
      <c r="A1264" s="12" t="s">
        <v>5684</v>
      </c>
      <c r="B1264" s="12" t="s">
        <v>5685</v>
      </c>
      <c r="C1264" s="12" t="s">
        <v>24</v>
      </c>
      <c r="D1264" s="12" t="s">
        <v>5686</v>
      </c>
      <c r="E1264" s="11"/>
      <c r="F1264" s="11"/>
      <c r="G1264" s="11"/>
      <c r="H1264" s="11"/>
      <c r="I1264" s="12" t="s">
        <v>5687</v>
      </c>
      <c r="J1264" s="11"/>
      <c r="K1264" s="12" t="s">
        <v>5688</v>
      </c>
      <c r="L1264" s="11"/>
      <c r="M1264" s="12" t="str">
        <f>HYPERLINK("https://ceds.ed.gov/cedselementdetails.aspx?termid=17519")</f>
        <v>https://ceds.ed.gov/cedselementdetails.aspx?termid=17519</v>
      </c>
      <c r="N1264" s="12" t="str">
        <f>HYPERLINK("https://ceds.ed.gov/elementComment.aspx?elementName=Itinerant Teacher &amp;elementID=17519", "Click here to submit comment")</f>
        <v>Click here to submit comment</v>
      </c>
    </row>
    <row r="1265" spans="1:14" ht="63.75" x14ac:dyDescent="0.25">
      <c r="A1265" s="12" t="s">
        <v>5689</v>
      </c>
      <c r="B1265" s="12" t="s">
        <v>5690</v>
      </c>
      <c r="C1265" s="13" t="s">
        <v>5691</v>
      </c>
      <c r="D1265" s="12" t="s">
        <v>5692</v>
      </c>
      <c r="E1265" s="11"/>
      <c r="F1265" s="11"/>
      <c r="G1265" s="11"/>
      <c r="H1265" s="11"/>
      <c r="I1265" s="12" t="s">
        <v>5693</v>
      </c>
      <c r="J1265" s="11"/>
      <c r="K1265" s="12" t="s">
        <v>5694</v>
      </c>
      <c r="L1265" s="11"/>
      <c r="M1265" s="12" t="str">
        <f>HYPERLINK("https://ceds.ed.gov/cedselementdetails.aspx?termid=18355")</f>
        <v>https://ceds.ed.gov/cedselementdetails.aspx?termid=18355</v>
      </c>
      <c r="N1265" s="12" t="str">
        <f>HYPERLINK("https://ceds.ed.gov/elementComment.aspx?elementName=K12 End of Course Requirement &amp;elementID=18355", "Click here to submit comment")</f>
        <v>Click here to submit comment</v>
      </c>
    </row>
    <row r="1266" spans="1:14" ht="409.5" x14ac:dyDescent="0.25">
      <c r="A1266" s="12" t="s">
        <v>5695</v>
      </c>
      <c r="B1266" s="12" t="s">
        <v>5696</v>
      </c>
      <c r="C1266" s="13" t="s">
        <v>5697</v>
      </c>
      <c r="D1266" s="12" t="s">
        <v>5686</v>
      </c>
      <c r="E1266" s="12" t="s">
        <v>195</v>
      </c>
      <c r="F1266" s="11"/>
      <c r="G1266" s="12" t="s">
        <v>2266</v>
      </c>
      <c r="H1266" s="11"/>
      <c r="I1266" s="12" t="s">
        <v>5698</v>
      </c>
      <c r="J1266" s="11"/>
      <c r="K1266" s="12" t="s">
        <v>5699</v>
      </c>
      <c r="L1266" s="12" t="s">
        <v>5700</v>
      </c>
      <c r="M1266" s="12" t="str">
        <f>HYPERLINK("https://ceds.ed.gov/cedselementdetails.aspx?termid=17087")</f>
        <v>https://ceds.ed.gov/cedselementdetails.aspx?termid=17087</v>
      </c>
      <c r="N1266" s="12" t="str">
        <f>HYPERLINK("https://ceds.ed.gov/elementComment.aspx?elementName=K12 Staff Classification &amp;elementID=17087", "Click here to submit comment")</f>
        <v>Click here to submit comment</v>
      </c>
    </row>
    <row r="1267" spans="1:14" ht="51" x14ac:dyDescent="0.25">
      <c r="A1267" s="12" t="s">
        <v>5701</v>
      </c>
      <c r="B1267" s="12" t="s">
        <v>5702</v>
      </c>
      <c r="C1267" s="13" t="s">
        <v>5703</v>
      </c>
      <c r="D1267" s="12" t="s">
        <v>5704</v>
      </c>
      <c r="E1267" s="11"/>
      <c r="F1267" s="11"/>
      <c r="G1267" s="11"/>
      <c r="H1267" s="11"/>
      <c r="I1267" s="12" t="s">
        <v>5705</v>
      </c>
      <c r="J1267" s="11"/>
      <c r="K1267" s="12" t="s">
        <v>5706</v>
      </c>
      <c r="L1267" s="12" t="s">
        <v>28</v>
      </c>
      <c r="M1267" s="12" t="str">
        <f>HYPERLINK("https://ceds.ed.gov/cedselementdetails.aspx?termid=17482")</f>
        <v>https://ceds.ed.gov/cedselementdetails.aspx?termid=17482</v>
      </c>
      <c r="N1267" s="12" t="str">
        <f>HYPERLINK("https://ceds.ed.gov/elementComment.aspx?elementName=Kindergarten Daily Length &amp;elementID=17482", "Click here to submit comment")</f>
        <v>Click here to submit comment</v>
      </c>
    </row>
    <row r="1268" spans="1:14" ht="76.5" x14ac:dyDescent="0.25">
      <c r="A1268" s="12" t="s">
        <v>5707</v>
      </c>
      <c r="B1268" s="12" t="s">
        <v>5708</v>
      </c>
      <c r="C1268" s="13" t="s">
        <v>5709</v>
      </c>
      <c r="D1268" s="12" t="s">
        <v>3635</v>
      </c>
      <c r="E1268" s="11"/>
      <c r="F1268" s="11"/>
      <c r="G1268" s="11"/>
      <c r="H1268" s="11"/>
      <c r="I1268" s="12" t="s">
        <v>5710</v>
      </c>
      <c r="J1268" s="11"/>
      <c r="K1268" s="12" t="s">
        <v>5711</v>
      </c>
      <c r="L1268" s="11"/>
      <c r="M1268" s="12" t="str">
        <f>HYPERLINK("https://ceds.ed.gov/cedselementdetails.aspx?termid=17690")</f>
        <v>https://ceds.ed.gov/cedselementdetails.aspx?termid=17690</v>
      </c>
      <c r="N1268" s="12" t="str">
        <f>HYPERLINK("https://ceds.ed.gov/elementComment.aspx?elementName=Kindergarten Program Participation Type &amp;elementID=17690", "Click here to submit comment")</f>
        <v>Click here to submit comment</v>
      </c>
    </row>
    <row r="1269" spans="1:14" ht="51" x14ac:dyDescent="0.25">
      <c r="A1269" s="12" t="s">
        <v>5712</v>
      </c>
      <c r="B1269" s="12" t="s">
        <v>5713</v>
      </c>
      <c r="C1269" s="12" t="s">
        <v>24</v>
      </c>
      <c r="D1269" s="12" t="s">
        <v>5714</v>
      </c>
      <c r="E1269" s="11"/>
      <c r="F1269" s="11"/>
      <c r="G1269" s="11"/>
      <c r="H1269" s="11"/>
      <c r="I1269" s="12" t="s">
        <v>5715</v>
      </c>
      <c r="J1269" s="11"/>
      <c r="K1269" s="12" t="s">
        <v>5716</v>
      </c>
      <c r="L1269" s="11"/>
      <c r="M1269" s="12" t="str">
        <f>HYPERLINK("https://ceds.ed.gov/cedselementdetails.aspx?termid=18190")</f>
        <v>https://ceds.ed.gov/cedselementdetails.aspx?termid=18190</v>
      </c>
      <c r="N1269" s="12" t="str">
        <f>HYPERLINK("https://ceds.ed.gov/elementComment.aspx?elementName=Language Translation Policy &amp;elementID=18190", "Click here to submit comment")</f>
        <v>Click here to submit comment</v>
      </c>
    </row>
    <row r="1270" spans="1:14" ht="409.5" x14ac:dyDescent="0.25">
      <c r="A1270" s="12" t="s">
        <v>5717</v>
      </c>
      <c r="B1270" s="12" t="s">
        <v>5718</v>
      </c>
      <c r="C1270" s="13" t="s">
        <v>5719</v>
      </c>
      <c r="D1270" s="12" t="s">
        <v>5720</v>
      </c>
      <c r="E1270" s="12" t="s">
        <v>195</v>
      </c>
      <c r="F1270" s="11"/>
      <c r="G1270" s="12" t="s">
        <v>2856</v>
      </c>
      <c r="H1270" s="11"/>
      <c r="I1270" s="12" t="s">
        <v>5721</v>
      </c>
      <c r="J1270" s="11"/>
      <c r="K1270" s="12" t="s">
        <v>5722</v>
      </c>
      <c r="L1270" s="12" t="s">
        <v>5668</v>
      </c>
      <c r="M1270" s="12" t="str">
        <f>HYPERLINK("https://ceds.ed.gov/cedselementdetails.aspx?termid=17316")</f>
        <v>https://ceds.ed.gov/cedselementdetails.aspx?termid=17316</v>
      </c>
      <c r="N1270" s="12" t="str">
        <f>HYPERLINK("https://ceds.ed.gov/elementComment.aspx?elementName=Language Type &amp;elementID=17316", "Click here to submit comment")</f>
        <v>Click here to submit comment</v>
      </c>
    </row>
    <row r="1271" spans="1:14" ht="76.5" x14ac:dyDescent="0.25">
      <c r="A1271" s="12" t="s">
        <v>5723</v>
      </c>
      <c r="B1271" s="12" t="s">
        <v>5724</v>
      </c>
      <c r="C1271" s="12" t="s">
        <v>37</v>
      </c>
      <c r="D1271" s="12" t="s">
        <v>3457</v>
      </c>
      <c r="E1271" s="11"/>
      <c r="F1271" s="12" t="s">
        <v>135</v>
      </c>
      <c r="G1271" s="11"/>
      <c r="H1271" s="11"/>
      <c r="I1271" s="12" t="s">
        <v>5725</v>
      </c>
      <c r="J1271" s="11"/>
      <c r="K1271" s="12" t="s">
        <v>5726</v>
      </c>
      <c r="L1271" s="11"/>
      <c r="M1271" s="12" t="str">
        <f>HYPERLINK("https://ceds.ed.gov/cedselementdetails.aspx?termid=17489")</f>
        <v>https://ceds.ed.gov/cedselementdetails.aspx?termid=17489</v>
      </c>
      <c r="N1271" s="12" t="str">
        <f>HYPERLINK("https://ceds.ed.gov/elementComment.aspx?elementName=Last Instruction Date &amp;elementID=17489", "Click here to submit comment")</f>
        <v>Click here to submit comment</v>
      </c>
    </row>
    <row r="1272" spans="1:14" ht="409.6" customHeight="1" x14ac:dyDescent="0.25">
      <c r="A1272" s="15" t="s">
        <v>5727</v>
      </c>
      <c r="B1272" s="15" t="s">
        <v>5728</v>
      </c>
      <c r="C1272" s="15" t="s">
        <v>37</v>
      </c>
      <c r="D1272" s="15" t="s">
        <v>4669</v>
      </c>
      <c r="E1272" s="16"/>
      <c r="F1272" s="15" t="s">
        <v>1468</v>
      </c>
      <c r="G1272" s="16"/>
      <c r="H1272" s="12" t="s">
        <v>4746</v>
      </c>
      <c r="I1272" s="15" t="s">
        <v>5729</v>
      </c>
      <c r="J1272" s="15" t="s">
        <v>5730</v>
      </c>
      <c r="K1272" s="15" t="s">
        <v>5731</v>
      </c>
      <c r="L1272" s="15" t="s">
        <v>4673</v>
      </c>
      <c r="M1272" s="15" t="str">
        <f>HYPERLINK("https://ceds.ed.gov/cedselementdetails.aspx?termid=17172")</f>
        <v>https://ceds.ed.gov/cedselementdetails.aspx?termid=17172</v>
      </c>
      <c r="N1272" s="15" t="str">
        <f>HYPERLINK("https://ceds.ed.gov/elementComment.aspx?elementName=Last or Surname &amp;elementID=17172", "Click here to submit comment")</f>
        <v>Click here to submit comment</v>
      </c>
    </row>
    <row r="1273" spans="1:14" ht="63.75" x14ac:dyDescent="0.25">
      <c r="A1273" s="15"/>
      <c r="B1273" s="15"/>
      <c r="C1273" s="15"/>
      <c r="D1273" s="15"/>
      <c r="E1273" s="16"/>
      <c r="F1273" s="15"/>
      <c r="G1273" s="16"/>
      <c r="H1273" s="12" t="s">
        <v>4750</v>
      </c>
      <c r="I1273" s="15"/>
      <c r="J1273" s="15"/>
      <c r="K1273" s="15"/>
      <c r="L1273" s="15"/>
      <c r="M1273" s="15"/>
      <c r="N1273" s="15"/>
    </row>
    <row r="1274" spans="1:14" ht="25.5" x14ac:dyDescent="0.25">
      <c r="A1274" s="12" t="s">
        <v>5732</v>
      </c>
      <c r="B1274" s="12" t="s">
        <v>5733</v>
      </c>
      <c r="C1274" s="12" t="s">
        <v>37</v>
      </c>
      <c r="D1274" s="12" t="s">
        <v>2793</v>
      </c>
      <c r="E1274" s="11"/>
      <c r="F1274" s="12" t="s">
        <v>135</v>
      </c>
      <c r="G1274" s="11"/>
      <c r="H1274" s="11"/>
      <c r="I1274" s="12" t="s">
        <v>5734</v>
      </c>
      <c r="J1274" s="11"/>
      <c r="K1274" s="12" t="s">
        <v>5735</v>
      </c>
      <c r="L1274" s="12" t="s">
        <v>258</v>
      </c>
      <c r="M1274" s="12" t="str">
        <f>HYPERLINK("https://ceds.ed.gov/cedselementdetails.aspx?termid=17171")</f>
        <v>https://ceds.ed.gov/cedselementdetails.aspx?termid=17171</v>
      </c>
      <c r="N1274" s="12" t="str">
        <f>HYPERLINK("https://ceds.ed.gov/elementComment.aspx?elementName=Last Qualifying Move Date &amp;elementID=17171", "Click here to submit comment")</f>
        <v>Click here to submit comment</v>
      </c>
    </row>
    <row r="1275" spans="1:14" ht="409.5" x14ac:dyDescent="0.25">
      <c r="A1275" s="12" t="s">
        <v>5736</v>
      </c>
      <c r="B1275" s="12" t="s">
        <v>5737</v>
      </c>
      <c r="C1275" s="12" t="s">
        <v>37</v>
      </c>
      <c r="D1275" s="12" t="s">
        <v>5738</v>
      </c>
      <c r="E1275" s="11"/>
      <c r="F1275" s="12" t="s">
        <v>1307</v>
      </c>
      <c r="G1275" s="11"/>
      <c r="H1275" s="11"/>
      <c r="I1275" s="12" t="s">
        <v>5739</v>
      </c>
      <c r="J1275" s="11"/>
      <c r="K1275" s="12" t="s">
        <v>5736</v>
      </c>
      <c r="L1275" s="11"/>
      <c r="M1275" s="12" t="str">
        <f>HYPERLINK("https://ceds.ed.gov/cedselementdetails.aspx?termid=17599")</f>
        <v>https://ceds.ed.gov/cedselementdetails.aspx?termid=17599</v>
      </c>
      <c r="N1275" s="12" t="str">
        <f>HYPERLINK("https://ceds.ed.gov/elementComment.aspx?elementName=Latitude &amp;elementID=17599", "Click here to submit comment")</f>
        <v>Click here to submit comment</v>
      </c>
    </row>
    <row r="1276" spans="1:14" ht="51" x14ac:dyDescent="0.25">
      <c r="A1276" s="12" t="s">
        <v>5740</v>
      </c>
      <c r="B1276" s="12" t="s">
        <v>5741</v>
      </c>
      <c r="C1276" s="12" t="s">
        <v>24</v>
      </c>
      <c r="D1276" s="12" t="s">
        <v>1346</v>
      </c>
      <c r="E1276" s="11"/>
      <c r="F1276" s="11"/>
      <c r="G1276" s="11"/>
      <c r="H1276" s="11"/>
      <c r="I1276" s="12" t="s">
        <v>5742</v>
      </c>
      <c r="J1276" s="11"/>
      <c r="K1276" s="12" t="s">
        <v>5743</v>
      </c>
      <c r="L1276" s="11"/>
      <c r="M1276" s="12" t="str">
        <f>HYPERLINK("https://ceds.ed.gov/cedselementdetails.aspx?termid=18743")</f>
        <v>https://ceds.ed.gov/cedselementdetails.aspx?termid=18743</v>
      </c>
      <c r="N1276" s="12" t="str">
        <f>HYPERLINK("https://ceds.ed.gov/elementComment.aspx?elementName=LEA Full Academic Year &amp;elementID=18743", "Click here to submit comment")</f>
        <v>Click here to submit comment</v>
      </c>
    </row>
    <row r="1277" spans="1:14" ht="76.5" x14ac:dyDescent="0.25">
      <c r="A1277" s="15" t="s">
        <v>5744</v>
      </c>
      <c r="B1277" s="15" t="s">
        <v>5745</v>
      </c>
      <c r="C1277" s="15" t="s">
        <v>37</v>
      </c>
      <c r="D1277" s="15" t="s">
        <v>5746</v>
      </c>
      <c r="E1277" s="16"/>
      <c r="F1277" s="15" t="s">
        <v>149</v>
      </c>
      <c r="G1277" s="16"/>
      <c r="H1277" s="12" t="s">
        <v>150</v>
      </c>
      <c r="I1277" s="15" t="s">
        <v>5747</v>
      </c>
      <c r="J1277" s="16"/>
      <c r="K1277" s="15" t="s">
        <v>5748</v>
      </c>
      <c r="L1277" s="16"/>
      <c r="M1277" s="15" t="str">
        <f>HYPERLINK("https://ceds.ed.gov/cedselementdetails.aspx?termid=18533")</f>
        <v>https://ceds.ed.gov/cedselementdetails.aspx?termid=18533</v>
      </c>
      <c r="N1277" s="15" t="str">
        <f>HYPERLINK("https://ceds.ed.gov/elementComment.aspx?elementName=Learner Action Actor Identifier &amp;elementID=18533", "Click here to submit comment")</f>
        <v>Click here to submit comment</v>
      </c>
    </row>
    <row r="1278" spans="1:14" x14ac:dyDescent="0.25">
      <c r="A1278" s="15"/>
      <c r="B1278" s="15"/>
      <c r="C1278" s="15"/>
      <c r="D1278" s="15"/>
      <c r="E1278" s="16"/>
      <c r="F1278" s="15"/>
      <c r="G1278" s="16"/>
      <c r="H1278" s="12"/>
      <c r="I1278" s="15"/>
      <c r="J1278" s="16"/>
      <c r="K1278" s="15"/>
      <c r="L1278" s="16"/>
      <c r="M1278" s="15"/>
      <c r="N1278" s="15"/>
    </row>
    <row r="1279" spans="1:14" ht="76.5" x14ac:dyDescent="0.25">
      <c r="A1279" s="15"/>
      <c r="B1279" s="15"/>
      <c r="C1279" s="15"/>
      <c r="D1279" s="15"/>
      <c r="E1279" s="16"/>
      <c r="F1279" s="15"/>
      <c r="G1279" s="16"/>
      <c r="H1279" s="12" t="s">
        <v>153</v>
      </c>
      <c r="I1279" s="15"/>
      <c r="J1279" s="16"/>
      <c r="K1279" s="15"/>
      <c r="L1279" s="16"/>
      <c r="M1279" s="15"/>
      <c r="N1279" s="15"/>
    </row>
    <row r="1280" spans="1:14" ht="38.25" x14ac:dyDescent="0.25">
      <c r="A1280" s="12" t="s">
        <v>5749</v>
      </c>
      <c r="B1280" s="12" t="s">
        <v>5750</v>
      </c>
      <c r="C1280" s="12" t="s">
        <v>37</v>
      </c>
      <c r="D1280" s="12" t="s">
        <v>5746</v>
      </c>
      <c r="E1280" s="11"/>
      <c r="F1280" s="12" t="s">
        <v>941</v>
      </c>
      <c r="G1280" s="11"/>
      <c r="H1280" s="11"/>
      <c r="I1280" s="12" t="s">
        <v>5751</v>
      </c>
      <c r="J1280" s="11"/>
      <c r="K1280" s="12" t="s">
        <v>5752</v>
      </c>
      <c r="L1280" s="11"/>
      <c r="M1280" s="12" t="str">
        <f>HYPERLINK("https://ceds.ed.gov/cedselementdetails.aspx?termid=17938")</f>
        <v>https://ceds.ed.gov/cedselementdetails.aspx?termid=17938</v>
      </c>
      <c r="N1280" s="12" t="str">
        <f>HYPERLINK("https://ceds.ed.gov/elementComment.aspx?elementName=Learner Action Date Time &amp;elementID=17938", "Click here to submit comment")</f>
        <v>Click here to submit comment</v>
      </c>
    </row>
    <row r="1281" spans="1:14" ht="38.25" x14ac:dyDescent="0.25">
      <c r="A1281" s="12" t="s">
        <v>5753</v>
      </c>
      <c r="B1281" s="12" t="s">
        <v>5754</v>
      </c>
      <c r="C1281" s="12" t="s">
        <v>37</v>
      </c>
      <c r="D1281" s="12" t="s">
        <v>5746</v>
      </c>
      <c r="E1281" s="11"/>
      <c r="F1281" s="12" t="s">
        <v>129</v>
      </c>
      <c r="G1281" s="11"/>
      <c r="H1281" s="11"/>
      <c r="I1281" s="12" t="s">
        <v>5755</v>
      </c>
      <c r="J1281" s="11"/>
      <c r="K1281" s="12" t="s">
        <v>5756</v>
      </c>
      <c r="L1281" s="11"/>
      <c r="M1281" s="12" t="str">
        <f>HYPERLINK("https://ceds.ed.gov/cedselementdetails.aspx?termid=18534")</f>
        <v>https://ceds.ed.gov/cedselementdetails.aspx?termid=18534</v>
      </c>
      <c r="N1281" s="12" t="str">
        <f>HYPERLINK("https://ceds.ed.gov/elementComment.aspx?elementName=Learner Action Object Description &amp;elementID=18534", "Click here to submit comment")</f>
        <v>Click here to submit comment</v>
      </c>
    </row>
    <row r="1282" spans="1:14" ht="76.5" x14ac:dyDescent="0.25">
      <c r="A1282" s="15" t="s">
        <v>5757</v>
      </c>
      <c r="B1282" s="15" t="s">
        <v>5758</v>
      </c>
      <c r="C1282" s="15" t="s">
        <v>37</v>
      </c>
      <c r="D1282" s="15" t="s">
        <v>5746</v>
      </c>
      <c r="E1282" s="16"/>
      <c r="F1282" s="15" t="s">
        <v>149</v>
      </c>
      <c r="G1282" s="16"/>
      <c r="H1282" s="12" t="s">
        <v>150</v>
      </c>
      <c r="I1282" s="15" t="s">
        <v>5759</v>
      </c>
      <c r="J1282" s="16"/>
      <c r="K1282" s="15" t="s">
        <v>5760</v>
      </c>
      <c r="L1282" s="16"/>
      <c r="M1282" s="15" t="str">
        <f>HYPERLINK("https://ceds.ed.gov/cedselementdetails.aspx?termid=18535")</f>
        <v>https://ceds.ed.gov/cedselementdetails.aspx?termid=18535</v>
      </c>
      <c r="N1282" s="15" t="str">
        <f>HYPERLINK("https://ceds.ed.gov/elementComment.aspx?elementName=Learner Action Object Identifier &amp;elementID=18535", "Click here to submit comment")</f>
        <v>Click here to submit comment</v>
      </c>
    </row>
    <row r="1283" spans="1:14" x14ac:dyDescent="0.25">
      <c r="A1283" s="15"/>
      <c r="B1283" s="15"/>
      <c r="C1283" s="15"/>
      <c r="D1283" s="15"/>
      <c r="E1283" s="16"/>
      <c r="F1283" s="15"/>
      <c r="G1283" s="16"/>
      <c r="H1283" s="12"/>
      <c r="I1283" s="15"/>
      <c r="J1283" s="16"/>
      <c r="K1283" s="15"/>
      <c r="L1283" s="16"/>
      <c r="M1283" s="15"/>
      <c r="N1283" s="15"/>
    </row>
    <row r="1284" spans="1:14" ht="76.5" x14ac:dyDescent="0.25">
      <c r="A1284" s="15"/>
      <c r="B1284" s="15"/>
      <c r="C1284" s="15"/>
      <c r="D1284" s="15"/>
      <c r="E1284" s="16"/>
      <c r="F1284" s="15"/>
      <c r="G1284" s="16"/>
      <c r="H1284" s="12" t="s">
        <v>153</v>
      </c>
      <c r="I1284" s="15"/>
      <c r="J1284" s="16"/>
      <c r="K1284" s="15"/>
      <c r="L1284" s="16"/>
      <c r="M1284" s="15"/>
      <c r="N1284" s="15"/>
    </row>
    <row r="1285" spans="1:14" ht="38.25" x14ac:dyDescent="0.25">
      <c r="A1285" s="12" t="s">
        <v>5761</v>
      </c>
      <c r="B1285" s="12" t="s">
        <v>5762</v>
      </c>
      <c r="C1285" s="12" t="s">
        <v>37</v>
      </c>
      <c r="D1285" s="12" t="s">
        <v>5746</v>
      </c>
      <c r="E1285" s="11"/>
      <c r="F1285" s="12" t="s">
        <v>175</v>
      </c>
      <c r="G1285" s="11"/>
      <c r="H1285" s="11"/>
      <c r="I1285" s="12" t="s">
        <v>5763</v>
      </c>
      <c r="J1285" s="11"/>
      <c r="K1285" s="12" t="s">
        <v>5764</v>
      </c>
      <c r="L1285" s="11"/>
      <c r="M1285" s="12" t="str">
        <f>HYPERLINK("https://ceds.ed.gov/cedselementdetails.aspx?termid=18536")</f>
        <v>https://ceds.ed.gov/cedselementdetails.aspx?termid=18536</v>
      </c>
      <c r="N1285" s="12" t="str">
        <f>HYPERLINK("https://ceds.ed.gov/elementComment.aspx?elementName=Learner Action Object Type &amp;elementID=18536", "Click here to submit comment")</f>
        <v>Click here to submit comment</v>
      </c>
    </row>
    <row r="1286" spans="1:14" ht="395.25" x14ac:dyDescent="0.25">
      <c r="A1286" s="12" t="s">
        <v>5765</v>
      </c>
      <c r="B1286" s="12" t="s">
        <v>5766</v>
      </c>
      <c r="C1286" s="13" t="s">
        <v>5767</v>
      </c>
      <c r="D1286" s="12" t="s">
        <v>5746</v>
      </c>
      <c r="E1286" s="12" t="s">
        <v>195</v>
      </c>
      <c r="F1286" s="11"/>
      <c r="G1286" s="12" t="s">
        <v>5768</v>
      </c>
      <c r="H1286" s="6" t="s">
        <v>5769</v>
      </c>
      <c r="I1286" s="12" t="s">
        <v>5770</v>
      </c>
      <c r="J1286" s="11"/>
      <c r="K1286" s="12" t="s">
        <v>5771</v>
      </c>
      <c r="L1286" s="11"/>
      <c r="M1286" s="12" t="str">
        <f>HYPERLINK("https://ceds.ed.gov/cedselementdetails.aspx?termid=17935")</f>
        <v>https://ceds.ed.gov/cedselementdetails.aspx?termid=17935</v>
      </c>
      <c r="N1286" s="12" t="str">
        <f>HYPERLINK("https://ceds.ed.gov/elementComment.aspx?elementName=Learner Action Type &amp;elementID=17935", "Click here to submit comment")</f>
        <v>Click here to submit comment</v>
      </c>
    </row>
    <row r="1287" spans="1:14" ht="63.75" x14ac:dyDescent="0.25">
      <c r="A1287" s="12" t="s">
        <v>5772</v>
      </c>
      <c r="B1287" s="12" t="s">
        <v>5773</v>
      </c>
      <c r="C1287" s="12" t="s">
        <v>37</v>
      </c>
      <c r="D1287" s="12" t="s">
        <v>5746</v>
      </c>
      <c r="E1287" s="11"/>
      <c r="F1287" s="12" t="s">
        <v>382</v>
      </c>
      <c r="G1287" s="11"/>
      <c r="H1287" s="11"/>
      <c r="I1287" s="12" t="s">
        <v>5774</v>
      </c>
      <c r="J1287" s="11"/>
      <c r="K1287" s="12" t="s">
        <v>5775</v>
      </c>
      <c r="L1287" s="11"/>
      <c r="M1287" s="12" t="str">
        <f>HYPERLINK("https://ceds.ed.gov/cedselementdetails.aspx?termid=17936")</f>
        <v>https://ceds.ed.gov/cedselementdetails.aspx?termid=17936</v>
      </c>
      <c r="N1287" s="12" t="str">
        <f>HYPERLINK("https://ceds.ed.gov/elementComment.aspx?elementName=Learner Action Value &amp;elementID=17936", "Click here to submit comment")</f>
        <v>Click here to submit comment</v>
      </c>
    </row>
    <row r="1288" spans="1:14" ht="51" x14ac:dyDescent="0.25">
      <c r="A1288" s="12" t="s">
        <v>5776</v>
      </c>
      <c r="B1288" s="12" t="s">
        <v>5777</v>
      </c>
      <c r="C1288" s="13" t="s">
        <v>420</v>
      </c>
      <c r="D1288" s="12" t="s">
        <v>5778</v>
      </c>
      <c r="E1288" s="11"/>
      <c r="F1288" s="11"/>
      <c r="G1288" s="11"/>
      <c r="H1288" s="11"/>
      <c r="I1288" s="12" t="s">
        <v>5779</v>
      </c>
      <c r="J1288" s="11"/>
      <c r="K1288" s="12" t="s">
        <v>5780</v>
      </c>
      <c r="L1288" s="11"/>
      <c r="M1288" s="12" t="str">
        <f>HYPERLINK("https://ceds.ed.gov/cedselementdetails.aspx?termid=17950")</f>
        <v>https://ceds.ed.gov/cedselementdetails.aspx?termid=17950</v>
      </c>
      <c r="N1288" s="12" t="str">
        <f>HYPERLINK("https://ceds.ed.gov/elementComment.aspx?elementName=Learner Activity Add to Grade Book Flag &amp;elementID=17950", "Click here to submit comment")</f>
        <v>Click here to submit comment</v>
      </c>
    </row>
    <row r="1289" spans="1:14" ht="25.5" x14ac:dyDescent="0.25">
      <c r="A1289" s="12" t="s">
        <v>5781</v>
      </c>
      <c r="B1289" s="12" t="s">
        <v>5782</v>
      </c>
      <c r="C1289" s="12" t="s">
        <v>37</v>
      </c>
      <c r="D1289" s="12" t="s">
        <v>5778</v>
      </c>
      <c r="E1289" s="11"/>
      <c r="F1289" s="12" t="s">
        <v>135</v>
      </c>
      <c r="G1289" s="11"/>
      <c r="H1289" s="11"/>
      <c r="I1289" s="12" t="s">
        <v>5783</v>
      </c>
      <c r="J1289" s="11"/>
      <c r="K1289" s="12" t="s">
        <v>5784</v>
      </c>
      <c r="L1289" s="11"/>
      <c r="M1289" s="12" t="str">
        <f>HYPERLINK("https://ceds.ed.gov/cedselementdetails.aspx?termid=17944")</f>
        <v>https://ceds.ed.gov/cedselementdetails.aspx?termid=17944</v>
      </c>
      <c r="N1289" s="12" t="str">
        <f>HYPERLINK("https://ceds.ed.gov/elementComment.aspx?elementName=Learner Activity Creation Date &amp;elementID=17944", "Click here to submit comment")</f>
        <v>Click here to submit comment</v>
      </c>
    </row>
    <row r="1290" spans="1:14" ht="38.25" x14ac:dyDescent="0.25">
      <c r="A1290" s="12" t="s">
        <v>5785</v>
      </c>
      <c r="B1290" s="12" t="s">
        <v>5786</v>
      </c>
      <c r="C1290" s="12" t="s">
        <v>37</v>
      </c>
      <c r="D1290" s="12" t="s">
        <v>5778</v>
      </c>
      <c r="E1290" s="11"/>
      <c r="F1290" s="12" t="s">
        <v>129</v>
      </c>
      <c r="G1290" s="11"/>
      <c r="H1290" s="11"/>
      <c r="I1290" s="12" t="s">
        <v>5787</v>
      </c>
      <c r="J1290" s="11"/>
      <c r="K1290" s="12" t="s">
        <v>5788</v>
      </c>
      <c r="L1290" s="11"/>
      <c r="M1290" s="12" t="str">
        <f>HYPERLINK("https://ceds.ed.gov/cedselementdetails.aspx?termid=17941")</f>
        <v>https://ceds.ed.gov/cedselementdetails.aspx?termid=17941</v>
      </c>
      <c r="N1290" s="12" t="str">
        <f>HYPERLINK("https://ceds.ed.gov/elementComment.aspx?elementName=Learner Activity Description &amp;elementID=17941", "Click here to submit comment")</f>
        <v>Click here to submit comment</v>
      </c>
    </row>
    <row r="1291" spans="1:14" ht="25.5" x14ac:dyDescent="0.25">
      <c r="A1291" s="12" t="s">
        <v>5789</v>
      </c>
      <c r="B1291" s="12" t="s">
        <v>5790</v>
      </c>
      <c r="C1291" s="12" t="s">
        <v>37</v>
      </c>
      <c r="D1291" s="12" t="s">
        <v>5778</v>
      </c>
      <c r="E1291" s="11"/>
      <c r="F1291" s="12" t="s">
        <v>135</v>
      </c>
      <c r="G1291" s="11"/>
      <c r="H1291" s="11"/>
      <c r="I1291" s="12" t="s">
        <v>5791</v>
      </c>
      <c r="J1291" s="11"/>
      <c r="K1291" s="12" t="s">
        <v>5792</v>
      </c>
      <c r="L1291" s="11"/>
      <c r="M1291" s="12" t="str">
        <f>HYPERLINK("https://ceds.ed.gov/cedselementdetails.aspx?termid=17947")</f>
        <v>https://ceds.ed.gov/cedselementdetails.aspx?termid=17947</v>
      </c>
      <c r="N1291" s="12" t="str">
        <f>HYPERLINK("https://ceds.ed.gov/elementComment.aspx?elementName=Learner Activity Due Date &amp;elementID=17947", "Click here to submit comment")</f>
        <v>Click here to submit comment</v>
      </c>
    </row>
    <row r="1292" spans="1:14" ht="25.5" x14ac:dyDescent="0.25">
      <c r="A1292" s="12" t="s">
        <v>5793</v>
      </c>
      <c r="B1292" s="12" t="s">
        <v>5794</v>
      </c>
      <c r="C1292" s="12" t="s">
        <v>37</v>
      </c>
      <c r="D1292" s="12" t="s">
        <v>5778</v>
      </c>
      <c r="E1292" s="11"/>
      <c r="F1292" s="12" t="s">
        <v>501</v>
      </c>
      <c r="G1292" s="11"/>
      <c r="H1292" s="11"/>
      <c r="I1292" s="12" t="s">
        <v>5795</v>
      </c>
      <c r="J1292" s="11"/>
      <c r="K1292" s="12" t="s">
        <v>5796</v>
      </c>
      <c r="L1292" s="11"/>
      <c r="M1292" s="12" t="str">
        <f>HYPERLINK("https://ceds.ed.gov/cedselementdetails.aspx?termid=17948")</f>
        <v>https://ceds.ed.gov/cedselementdetails.aspx?termid=17948</v>
      </c>
      <c r="N1292" s="12" t="str">
        <f>HYPERLINK("https://ceds.ed.gov/elementComment.aspx?elementName=Learner Activity Due Time &amp;elementID=17948", "Click here to submit comment")</f>
        <v>Click here to submit comment</v>
      </c>
    </row>
    <row r="1293" spans="1:14" ht="90" x14ac:dyDescent="0.25">
      <c r="A1293" s="12" t="s">
        <v>5797</v>
      </c>
      <c r="B1293" s="12" t="s">
        <v>5798</v>
      </c>
      <c r="C1293" s="12" t="s">
        <v>8527</v>
      </c>
      <c r="D1293" s="12" t="s">
        <v>5778</v>
      </c>
      <c r="E1293" s="12" t="s">
        <v>195</v>
      </c>
      <c r="F1293" s="11"/>
      <c r="G1293" s="12" t="s">
        <v>1086</v>
      </c>
      <c r="H1293" s="6" t="s">
        <v>1087</v>
      </c>
      <c r="I1293" s="12" t="s">
        <v>5799</v>
      </c>
      <c r="J1293" s="11"/>
      <c r="K1293" s="12" t="s">
        <v>5800</v>
      </c>
      <c r="L1293" s="11"/>
      <c r="M1293" s="12" t="str">
        <f>HYPERLINK("https://ceds.ed.gov/cedselementdetails.aspx?termid=17939")</f>
        <v>https://ceds.ed.gov/cedselementdetails.aspx?termid=17939</v>
      </c>
      <c r="N1293" s="12" t="str">
        <f>HYPERLINK("https://ceds.ed.gov/elementComment.aspx?elementName=Learner Activity Language &amp;elementID=17939", "Click here to submit comment")</f>
        <v>Click here to submit comment</v>
      </c>
    </row>
    <row r="1294" spans="1:14" ht="38.25" x14ac:dyDescent="0.25">
      <c r="A1294" s="12" t="s">
        <v>5801</v>
      </c>
      <c r="B1294" s="12" t="s">
        <v>5802</v>
      </c>
      <c r="C1294" s="12" t="s">
        <v>37</v>
      </c>
      <c r="D1294" s="12" t="s">
        <v>5778</v>
      </c>
      <c r="E1294" s="11"/>
      <c r="F1294" s="12" t="s">
        <v>370</v>
      </c>
      <c r="G1294" s="11"/>
      <c r="H1294" s="11"/>
      <c r="I1294" s="12" t="s">
        <v>5803</v>
      </c>
      <c r="J1294" s="11"/>
      <c r="K1294" s="12" t="s">
        <v>5804</v>
      </c>
      <c r="L1294" s="11"/>
      <c r="M1294" s="12" t="str">
        <f>HYPERLINK("https://ceds.ed.gov/cedselementdetails.aspx?termid=17949")</f>
        <v>https://ceds.ed.gov/cedselementdetails.aspx?termid=17949</v>
      </c>
      <c r="N1294" s="12" t="str">
        <f>HYPERLINK("https://ceds.ed.gov/elementComment.aspx?elementName=Learner Activity Maximum Attempts Allowed &amp;elementID=17949", "Click here to submit comment")</f>
        <v>Click here to submit comment</v>
      </c>
    </row>
    <row r="1295" spans="1:14" ht="25.5" x14ac:dyDescent="0.25">
      <c r="A1295" s="12" t="s">
        <v>5805</v>
      </c>
      <c r="B1295" s="12" t="s">
        <v>5806</v>
      </c>
      <c r="C1295" s="12" t="s">
        <v>37</v>
      </c>
      <c r="D1295" s="12" t="s">
        <v>5778</v>
      </c>
      <c r="E1295" s="11"/>
      <c r="F1295" s="12" t="s">
        <v>370</v>
      </c>
      <c r="G1295" s="11"/>
      <c r="H1295" s="12" t="s">
        <v>5807</v>
      </c>
      <c r="I1295" s="12" t="s">
        <v>5808</v>
      </c>
      <c r="J1295" s="11"/>
      <c r="K1295" s="12" t="s">
        <v>5809</v>
      </c>
      <c r="L1295" s="11"/>
      <c r="M1295" s="12" t="str">
        <f>HYPERLINK("https://ceds.ed.gov/cedselementdetails.aspx?termid=17945")</f>
        <v>https://ceds.ed.gov/cedselementdetails.aspx?termid=17945</v>
      </c>
      <c r="N1295" s="12" t="str">
        <f>HYPERLINK("https://ceds.ed.gov/elementComment.aspx?elementName=Learner Activity Maximum Time Allowed &amp;elementID=17945", "Click here to submit comment")</f>
        <v>Click here to submit comment</v>
      </c>
    </row>
    <row r="1296" spans="1:14" ht="76.5" x14ac:dyDescent="0.25">
      <c r="A1296" s="12" t="s">
        <v>5810</v>
      </c>
      <c r="B1296" s="12" t="s">
        <v>5811</v>
      </c>
      <c r="C1296" s="13" t="s">
        <v>5812</v>
      </c>
      <c r="D1296" s="12" t="s">
        <v>5778</v>
      </c>
      <c r="E1296" s="11"/>
      <c r="F1296" s="11"/>
      <c r="G1296" s="11"/>
      <c r="H1296" s="11"/>
      <c r="I1296" s="12" t="s">
        <v>5813</v>
      </c>
      <c r="J1296" s="11"/>
      <c r="K1296" s="12" t="s">
        <v>5814</v>
      </c>
      <c r="L1296" s="11"/>
      <c r="M1296" s="12" t="str">
        <f>HYPERLINK("https://ceds.ed.gov/cedselementdetails.aspx?termid=17946")</f>
        <v>https://ceds.ed.gov/cedselementdetails.aspx?termid=17946</v>
      </c>
      <c r="N1296" s="12" t="str">
        <f>HYPERLINK("https://ceds.ed.gov/elementComment.aspx?elementName=Learner Activity Maximum Time Allowed Unit &amp;elementID=17946", "Click here to submit comment")</f>
        <v>Click here to submit comment</v>
      </c>
    </row>
    <row r="1297" spans="1:14" ht="25.5" x14ac:dyDescent="0.25">
      <c r="A1297" s="12" t="s">
        <v>5815</v>
      </c>
      <c r="B1297" s="12" t="s">
        <v>5816</v>
      </c>
      <c r="C1297" s="12" t="s">
        <v>37</v>
      </c>
      <c r="D1297" s="12" t="s">
        <v>5778</v>
      </c>
      <c r="E1297" s="11"/>
      <c r="F1297" s="12" t="s">
        <v>1710</v>
      </c>
      <c r="G1297" s="11"/>
      <c r="H1297" s="11"/>
      <c r="I1297" s="12" t="s">
        <v>5817</v>
      </c>
      <c r="J1297" s="11"/>
      <c r="K1297" s="12" t="s">
        <v>5818</v>
      </c>
      <c r="L1297" s="11"/>
      <c r="M1297" s="12" t="str">
        <f>HYPERLINK("https://ceds.ed.gov/cedselementdetails.aspx?termid=17953")</f>
        <v>https://ceds.ed.gov/cedselementdetails.aspx?termid=17953</v>
      </c>
      <c r="N1297" s="12" t="str">
        <f>HYPERLINK("https://ceds.ed.gov/elementComment.aspx?elementName=Learner Activity Possible Points &amp;elementID=17953", "Click here to submit comment")</f>
        <v>Click here to submit comment</v>
      </c>
    </row>
    <row r="1298" spans="1:14" ht="89.25" x14ac:dyDescent="0.25">
      <c r="A1298" s="12" t="s">
        <v>5819</v>
      </c>
      <c r="B1298" s="12" t="s">
        <v>5820</v>
      </c>
      <c r="C1298" s="12" t="s">
        <v>37</v>
      </c>
      <c r="D1298" s="12" t="s">
        <v>5778</v>
      </c>
      <c r="E1298" s="11"/>
      <c r="F1298" s="12" t="s">
        <v>129</v>
      </c>
      <c r="G1298" s="11"/>
      <c r="H1298" s="12" t="s">
        <v>5821</v>
      </c>
      <c r="I1298" s="12" t="s">
        <v>5822</v>
      </c>
      <c r="J1298" s="11"/>
      <c r="K1298" s="12" t="s">
        <v>5823</v>
      </c>
      <c r="L1298" s="11"/>
      <c r="M1298" s="12" t="str">
        <f>HYPERLINK("https://ceds.ed.gov/cedselementdetails.aspx?termid=17942")</f>
        <v>https://ceds.ed.gov/cedselementdetails.aspx?termid=17942</v>
      </c>
      <c r="N1298" s="12" t="str">
        <f>HYPERLINK("https://ceds.ed.gov/elementComment.aspx?elementName=Learner Activity Prerequisite &amp;elementID=17942", "Click here to submit comment")</f>
        <v>Click here to submit comment</v>
      </c>
    </row>
    <row r="1299" spans="1:14" ht="38.25" x14ac:dyDescent="0.25">
      <c r="A1299" s="12" t="s">
        <v>5824</v>
      </c>
      <c r="B1299" s="12" t="s">
        <v>5825</v>
      </c>
      <c r="C1299" s="12" t="s">
        <v>37</v>
      </c>
      <c r="D1299" s="12" t="s">
        <v>5778</v>
      </c>
      <c r="E1299" s="11"/>
      <c r="F1299" s="12" t="s">
        <v>135</v>
      </c>
      <c r="G1299" s="11"/>
      <c r="H1299" s="11"/>
      <c r="I1299" s="12" t="s">
        <v>5826</v>
      </c>
      <c r="J1299" s="11"/>
      <c r="K1299" s="12" t="s">
        <v>5827</v>
      </c>
      <c r="L1299" s="11"/>
      <c r="M1299" s="12" t="str">
        <f>HYPERLINK("https://ceds.ed.gov/cedselementdetails.aspx?termid=17951")</f>
        <v>https://ceds.ed.gov/cedselementdetails.aspx?termid=17951</v>
      </c>
      <c r="N1299" s="12" t="str">
        <f>HYPERLINK("https://ceds.ed.gov/elementComment.aspx?elementName=Learner Activity Release Date &amp;elementID=17951", "Click here to submit comment")</f>
        <v>Click here to submit comment</v>
      </c>
    </row>
    <row r="1300" spans="1:14" ht="38.25" x14ac:dyDescent="0.25">
      <c r="A1300" s="12" t="s">
        <v>5828</v>
      </c>
      <c r="B1300" s="12" t="s">
        <v>5829</v>
      </c>
      <c r="C1300" s="12" t="s">
        <v>37</v>
      </c>
      <c r="D1300" s="12" t="s">
        <v>5778</v>
      </c>
      <c r="E1300" s="11"/>
      <c r="F1300" s="12" t="s">
        <v>57</v>
      </c>
      <c r="G1300" s="11"/>
      <c r="H1300" s="11"/>
      <c r="I1300" s="12" t="s">
        <v>5830</v>
      </c>
      <c r="J1300" s="11"/>
      <c r="K1300" s="12" t="s">
        <v>5831</v>
      </c>
      <c r="L1300" s="11"/>
      <c r="M1300" s="12" t="str">
        <f>HYPERLINK("https://ceds.ed.gov/cedselementdetails.aspx?termid=17954")</f>
        <v>https://ceds.ed.gov/cedselementdetails.aspx?termid=17954</v>
      </c>
      <c r="N1300" s="12" t="str">
        <f>HYPERLINK("https://ceds.ed.gov/elementComment.aspx?elementName=Learner Activity Rubric URL &amp;elementID=17954", "Click here to submit comment")</f>
        <v>Click here to submit comment</v>
      </c>
    </row>
    <row r="1301" spans="1:14" ht="38.25" x14ac:dyDescent="0.25">
      <c r="A1301" s="12" t="s">
        <v>5832</v>
      </c>
      <c r="B1301" s="12" t="s">
        <v>5833</v>
      </c>
      <c r="C1301" s="12" t="s">
        <v>37</v>
      </c>
      <c r="D1301" s="12" t="s">
        <v>5778</v>
      </c>
      <c r="E1301" s="11"/>
      <c r="F1301" s="12" t="s">
        <v>97</v>
      </c>
      <c r="G1301" s="11"/>
      <c r="H1301" s="11"/>
      <c r="I1301" s="12" t="s">
        <v>5834</v>
      </c>
      <c r="J1301" s="11"/>
      <c r="K1301" s="12" t="s">
        <v>5835</v>
      </c>
      <c r="L1301" s="11"/>
      <c r="M1301" s="12" t="str">
        <f>HYPERLINK("https://ceds.ed.gov/cedselementdetails.aspx?termid=17940")</f>
        <v>https://ceds.ed.gov/cedselementdetails.aspx?termid=17940</v>
      </c>
      <c r="N1301" s="12" t="str">
        <f>HYPERLINK("https://ceds.ed.gov/elementComment.aspx?elementName=Learner Activity Title &amp;elementID=17940", "Click here to submit comment")</f>
        <v>Click here to submit comment</v>
      </c>
    </row>
    <row r="1302" spans="1:14" ht="63.75" x14ac:dyDescent="0.25">
      <c r="A1302" s="12" t="s">
        <v>5836</v>
      </c>
      <c r="B1302" s="12" t="s">
        <v>5837</v>
      </c>
      <c r="C1302" s="13" t="s">
        <v>5838</v>
      </c>
      <c r="D1302" s="12" t="s">
        <v>5778</v>
      </c>
      <c r="E1302" s="11"/>
      <c r="F1302" s="11"/>
      <c r="G1302" s="11"/>
      <c r="H1302" s="11"/>
      <c r="I1302" s="12" t="s">
        <v>5839</v>
      </c>
      <c r="J1302" s="11"/>
      <c r="K1302" s="12" t="s">
        <v>5840</v>
      </c>
      <c r="L1302" s="11"/>
      <c r="M1302" s="12" t="str">
        <f>HYPERLINK("https://ceds.ed.gov/cedselementdetails.aspx?termid=17943")</f>
        <v>https://ceds.ed.gov/cedselementdetails.aspx?termid=17943</v>
      </c>
      <c r="N1302" s="12" t="str">
        <f>HYPERLINK("https://ceds.ed.gov/elementComment.aspx?elementName=Learner Activity Type &amp;elementID=17943", "Click here to submit comment")</f>
        <v>Click here to submit comment</v>
      </c>
    </row>
    <row r="1303" spans="1:14" ht="25.5" x14ac:dyDescent="0.25">
      <c r="A1303" s="12" t="s">
        <v>5841</v>
      </c>
      <c r="B1303" s="12" t="s">
        <v>5842</v>
      </c>
      <c r="C1303" s="12" t="s">
        <v>37</v>
      </c>
      <c r="D1303" s="12" t="s">
        <v>5778</v>
      </c>
      <c r="E1303" s="11"/>
      <c r="F1303" s="12" t="s">
        <v>869</v>
      </c>
      <c r="G1303" s="11"/>
      <c r="H1303" s="11"/>
      <c r="I1303" s="12" t="s">
        <v>5843</v>
      </c>
      <c r="J1303" s="11"/>
      <c r="K1303" s="12" t="s">
        <v>5844</v>
      </c>
      <c r="L1303" s="11"/>
      <c r="M1303" s="12" t="str">
        <f>HYPERLINK("https://ceds.ed.gov/cedselementdetails.aspx?termid=17952")</f>
        <v>https://ceds.ed.gov/cedselementdetails.aspx?termid=17952</v>
      </c>
      <c r="N1303" s="12" t="str">
        <f>HYPERLINK("https://ceds.ed.gov/elementComment.aspx?elementName=Learner Activity Weight &amp;elementID=17952", "Click here to submit comment")</f>
        <v>Click here to submit comment</v>
      </c>
    </row>
    <row r="1304" spans="1:14" ht="165.75" x14ac:dyDescent="0.25">
      <c r="A1304" s="12" t="s">
        <v>5845</v>
      </c>
      <c r="B1304" s="12" t="s">
        <v>5846</v>
      </c>
      <c r="C1304" s="13" t="s">
        <v>5847</v>
      </c>
      <c r="D1304" s="12" t="s">
        <v>5848</v>
      </c>
      <c r="E1304" s="11"/>
      <c r="F1304" s="11"/>
      <c r="G1304" s="11"/>
      <c r="H1304" s="12" t="s">
        <v>5849</v>
      </c>
      <c r="I1304" s="12" t="s">
        <v>5850</v>
      </c>
      <c r="J1304" s="11"/>
      <c r="K1304" s="12" t="s">
        <v>5851</v>
      </c>
      <c r="L1304" s="11"/>
      <c r="M1304" s="12" t="str">
        <f>HYPERLINK("https://ceds.ed.gov/cedselementdetails.aspx?termid=18358")</f>
        <v>https://ceds.ed.gov/cedselementdetails.aspx?termid=18358</v>
      </c>
      <c r="N1304" s="12" t="str">
        <f>HYPERLINK("https://ceds.ed.gov/elementComment.aspx?elementName=Learning Resource Access API Type &amp;elementID=18358", "Click here to submit comment")</f>
        <v>Click here to submit comment</v>
      </c>
    </row>
    <row r="1305" spans="1:14" ht="51" x14ac:dyDescent="0.25">
      <c r="A1305" s="12" t="s">
        <v>5852</v>
      </c>
      <c r="B1305" s="12" t="s">
        <v>5853</v>
      </c>
      <c r="C1305" s="13" t="s">
        <v>5854</v>
      </c>
      <c r="D1305" s="12" t="s">
        <v>5848</v>
      </c>
      <c r="E1305" s="11"/>
      <c r="F1305" s="11"/>
      <c r="G1305" s="11"/>
      <c r="H1305" s="11"/>
      <c r="I1305" s="12" t="s">
        <v>5855</v>
      </c>
      <c r="J1305" s="11"/>
      <c r="K1305" s="12" t="s">
        <v>5856</v>
      </c>
      <c r="L1305" s="11"/>
      <c r="M1305" s="12" t="str">
        <f>HYPERLINK("https://ceds.ed.gov/cedselementdetails.aspx?termid=18359")</f>
        <v>https://ceds.ed.gov/cedselementdetails.aspx?termid=18359</v>
      </c>
      <c r="N1305" s="12" t="str">
        <f>HYPERLINK("https://ceds.ed.gov/elementComment.aspx?elementName=Learning Resource Access Hazard Type &amp;elementID=18359", "Click here to submit comment")</f>
        <v>Click here to submit comment</v>
      </c>
    </row>
    <row r="1306" spans="1:14" ht="89.25" x14ac:dyDescent="0.25">
      <c r="A1306" s="12" t="s">
        <v>5857</v>
      </c>
      <c r="B1306" s="12" t="s">
        <v>5858</v>
      </c>
      <c r="C1306" s="13" t="s">
        <v>5859</v>
      </c>
      <c r="D1306" s="12" t="s">
        <v>5848</v>
      </c>
      <c r="E1306" s="11"/>
      <c r="F1306" s="11"/>
      <c r="G1306" s="11"/>
      <c r="H1306" s="12" t="s">
        <v>5860</v>
      </c>
      <c r="I1306" s="12" t="s">
        <v>5861</v>
      </c>
      <c r="J1306" s="11"/>
      <c r="K1306" s="12" t="s">
        <v>5862</v>
      </c>
      <c r="L1306" s="11"/>
      <c r="M1306" s="12" t="str">
        <f>HYPERLINK("https://ceds.ed.gov/cedselementdetails.aspx?termid=18360")</f>
        <v>https://ceds.ed.gov/cedselementdetails.aspx?termid=18360</v>
      </c>
      <c r="N1306" s="12" t="str">
        <f>HYPERLINK("https://ceds.ed.gov/elementComment.aspx?elementName=Learning Resource Access Mode Type &amp;elementID=18360", "Click here to submit comment")</f>
        <v>Click here to submit comment</v>
      </c>
    </row>
    <row r="1307" spans="1:14" ht="127.5" x14ac:dyDescent="0.25">
      <c r="A1307" s="12" t="s">
        <v>5863</v>
      </c>
      <c r="B1307" s="12" t="s">
        <v>5864</v>
      </c>
      <c r="C1307" s="13" t="s">
        <v>5865</v>
      </c>
      <c r="D1307" s="12" t="s">
        <v>5848</v>
      </c>
      <c r="E1307" s="11"/>
      <c r="F1307" s="11"/>
      <c r="G1307" s="11"/>
      <c r="H1307" s="11"/>
      <c r="I1307" s="12" t="s">
        <v>5866</v>
      </c>
      <c r="J1307" s="11"/>
      <c r="K1307" s="12" t="s">
        <v>5867</v>
      </c>
      <c r="L1307" s="11"/>
      <c r="M1307" s="12" t="str">
        <f>HYPERLINK("https://ceds.ed.gov/cedselementdetails.aspx?termid=18537")</f>
        <v>https://ceds.ed.gov/cedselementdetails.aspx?termid=18537</v>
      </c>
      <c r="N1307" s="12" t="str">
        <f>HYPERLINK("https://ceds.ed.gov/elementComment.aspx?elementName=Learning Resource Access Rights URL &amp;elementID=18537", "Click here to submit comment")</f>
        <v>Click here to submit comment</v>
      </c>
    </row>
    <row r="1308" spans="1:14" ht="38.25" x14ac:dyDescent="0.25">
      <c r="A1308" s="12" t="s">
        <v>5868</v>
      </c>
      <c r="B1308" s="12" t="s">
        <v>5869</v>
      </c>
      <c r="C1308" s="12" t="s">
        <v>37</v>
      </c>
      <c r="D1308" s="12" t="s">
        <v>5848</v>
      </c>
      <c r="E1308" s="11"/>
      <c r="F1308" s="12" t="s">
        <v>57</v>
      </c>
      <c r="G1308" s="11"/>
      <c r="H1308" s="11"/>
      <c r="I1308" s="12" t="s">
        <v>5870</v>
      </c>
      <c r="J1308" s="11"/>
      <c r="K1308" s="12" t="s">
        <v>5871</v>
      </c>
      <c r="L1308" s="11"/>
      <c r="M1308" s="12" t="str">
        <f>HYPERLINK("https://ceds.ed.gov/cedselementdetails.aspx?termid=18361")</f>
        <v>https://ceds.ed.gov/cedselementdetails.aspx?termid=18361</v>
      </c>
      <c r="N1308" s="12" t="str">
        <f>HYPERLINK("https://ceds.ed.gov/elementComment.aspx?elementName=Learning Resource Adaptation URL &amp;elementID=18361", "Click here to submit comment")</f>
        <v>Click here to submit comment</v>
      </c>
    </row>
    <row r="1309" spans="1:14" ht="25.5" x14ac:dyDescent="0.25">
      <c r="A1309" s="12" t="s">
        <v>5872</v>
      </c>
      <c r="B1309" s="12" t="s">
        <v>5873</v>
      </c>
      <c r="C1309" s="12" t="s">
        <v>37</v>
      </c>
      <c r="D1309" s="12" t="s">
        <v>5848</v>
      </c>
      <c r="E1309" s="11"/>
      <c r="F1309" s="12" t="s">
        <v>57</v>
      </c>
      <c r="G1309" s="11"/>
      <c r="H1309" s="11"/>
      <c r="I1309" s="12" t="s">
        <v>5874</v>
      </c>
      <c r="J1309" s="11"/>
      <c r="K1309" s="12" t="s">
        <v>5875</v>
      </c>
      <c r="L1309" s="11"/>
      <c r="M1309" s="12" t="str">
        <f>HYPERLINK("https://ceds.ed.gov/cedselementdetails.aspx?termid=18367")</f>
        <v>https://ceds.ed.gov/cedselementdetails.aspx?termid=18367</v>
      </c>
      <c r="N1309" s="12" t="str">
        <f>HYPERLINK("https://ceds.ed.gov/elementComment.aspx?elementName=Learning Resource Adapted From URL &amp;elementID=18367", "Click here to submit comment")</f>
        <v>Click here to submit comment</v>
      </c>
    </row>
    <row r="1310" spans="1:14" ht="51" x14ac:dyDescent="0.25">
      <c r="A1310" s="12" t="s">
        <v>5876</v>
      </c>
      <c r="B1310" s="12" t="s">
        <v>5877</v>
      </c>
      <c r="C1310" s="12" t="s">
        <v>24</v>
      </c>
      <c r="D1310" s="12" t="s">
        <v>5848</v>
      </c>
      <c r="E1310" s="11"/>
      <c r="F1310" s="11"/>
      <c r="G1310" s="11"/>
      <c r="H1310" s="12" t="s">
        <v>5878</v>
      </c>
      <c r="I1310" s="12" t="s">
        <v>5879</v>
      </c>
      <c r="J1310" s="11"/>
      <c r="K1310" s="12" t="s">
        <v>5880</v>
      </c>
      <c r="L1310" s="11"/>
      <c r="M1310" s="12" t="str">
        <f>HYPERLINK("https://ceds.ed.gov/cedselementdetails.aspx?termid=18362")</f>
        <v>https://ceds.ed.gov/cedselementdetails.aspx?termid=18362</v>
      </c>
      <c r="N1310" s="12" t="str">
        <f>HYPERLINK("https://ceds.ed.gov/elementComment.aspx?elementName=Learning Resource Assistive Technologies Compatible Indicator &amp;elementID=18362", "Click here to submit comment")</f>
        <v>Click here to submit comment</v>
      </c>
    </row>
    <row r="1311" spans="1:14" ht="25.5" x14ac:dyDescent="0.25">
      <c r="A1311" s="12" t="s">
        <v>5881</v>
      </c>
      <c r="B1311" s="12" t="s">
        <v>5882</v>
      </c>
      <c r="C1311" s="12" t="s">
        <v>37</v>
      </c>
      <c r="D1311" s="12" t="s">
        <v>5848</v>
      </c>
      <c r="E1311" s="11"/>
      <c r="F1311" s="12" t="s">
        <v>3934</v>
      </c>
      <c r="G1311" s="11"/>
      <c r="H1311" s="11"/>
      <c r="I1311" s="12" t="s">
        <v>5883</v>
      </c>
      <c r="J1311" s="11"/>
      <c r="K1311" s="12" t="s">
        <v>5884</v>
      </c>
      <c r="L1311" s="11"/>
      <c r="M1311" s="12" t="str">
        <f>HYPERLINK("https://ceds.ed.gov/cedselementdetails.aspx?termid=18544")</f>
        <v>https://ceds.ed.gov/cedselementdetails.aspx?termid=18544</v>
      </c>
      <c r="N1311" s="12" t="str">
        <f>HYPERLINK("https://ceds.ed.gov/elementComment.aspx?elementName=Learning Resource Author Email &amp;elementID=18544", "Click here to submit comment")</f>
        <v>Click here to submit comment</v>
      </c>
    </row>
    <row r="1312" spans="1:14" ht="38.25" x14ac:dyDescent="0.25">
      <c r="A1312" s="12" t="s">
        <v>5885</v>
      </c>
      <c r="B1312" s="12" t="s">
        <v>5886</v>
      </c>
      <c r="C1312" s="13" t="s">
        <v>5887</v>
      </c>
      <c r="D1312" s="12" t="s">
        <v>5848</v>
      </c>
      <c r="E1312" s="11"/>
      <c r="F1312" s="11"/>
      <c r="G1312" s="11"/>
      <c r="H1312" s="11"/>
      <c r="I1312" s="12" t="s">
        <v>5888</v>
      </c>
      <c r="J1312" s="11"/>
      <c r="K1312" s="12" t="s">
        <v>5889</v>
      </c>
      <c r="L1312" s="11"/>
      <c r="M1312" s="12" t="str">
        <f>HYPERLINK("https://ceds.ed.gov/cedselementdetails.aspx?termid=18540")</f>
        <v>https://ceds.ed.gov/cedselementdetails.aspx?termid=18540</v>
      </c>
      <c r="N1312" s="12" t="str">
        <f>HYPERLINK("https://ceds.ed.gov/elementComment.aspx?elementName=Learning Resource Author Type &amp;elementID=18540", "Click here to submit comment")</f>
        <v>Click here to submit comment</v>
      </c>
    </row>
    <row r="1313" spans="1:14" ht="25.5" x14ac:dyDescent="0.25">
      <c r="A1313" s="12" t="s">
        <v>5890</v>
      </c>
      <c r="B1313" s="12" t="s">
        <v>5891</v>
      </c>
      <c r="C1313" s="12" t="s">
        <v>37</v>
      </c>
      <c r="D1313" s="12" t="s">
        <v>5848</v>
      </c>
      <c r="E1313" s="11"/>
      <c r="F1313" s="12" t="s">
        <v>57</v>
      </c>
      <c r="G1313" s="11"/>
      <c r="H1313" s="11"/>
      <c r="I1313" s="12" t="s">
        <v>5892</v>
      </c>
      <c r="J1313" s="11"/>
      <c r="K1313" s="12" t="s">
        <v>5893</v>
      </c>
      <c r="L1313" s="11"/>
      <c r="M1313" s="12" t="str">
        <f>HYPERLINK("https://ceds.ed.gov/cedselementdetails.aspx?termid=18541")</f>
        <v>https://ceds.ed.gov/cedselementdetails.aspx?termid=18541</v>
      </c>
      <c r="N1313" s="12" t="str">
        <f>HYPERLINK("https://ceds.ed.gov/elementComment.aspx?elementName=Learning Resource Author URL &amp;elementID=18541", "Click here to submit comment")</f>
        <v>Click here to submit comment</v>
      </c>
    </row>
    <row r="1314" spans="1:14" ht="38.25" x14ac:dyDescent="0.25">
      <c r="A1314" s="12" t="s">
        <v>5894</v>
      </c>
      <c r="B1314" s="12" t="s">
        <v>5895</v>
      </c>
      <c r="C1314" s="12" t="s">
        <v>37</v>
      </c>
      <c r="D1314" s="12" t="s">
        <v>5848</v>
      </c>
      <c r="E1314" s="11"/>
      <c r="F1314" s="12" t="s">
        <v>57</v>
      </c>
      <c r="G1314" s="11"/>
      <c r="H1314" s="12" t="s">
        <v>5896</v>
      </c>
      <c r="I1314" s="12" t="s">
        <v>5897</v>
      </c>
      <c r="J1314" s="11"/>
      <c r="K1314" s="12" t="s">
        <v>5898</v>
      </c>
      <c r="L1314" s="11"/>
      <c r="M1314" s="12" t="str">
        <f>HYPERLINK("https://ceds.ed.gov/cedselementdetails.aspx?termid=17923")</f>
        <v>https://ceds.ed.gov/cedselementdetails.aspx?termid=17923</v>
      </c>
      <c r="N1314" s="12" t="str">
        <f>HYPERLINK("https://ceds.ed.gov/elementComment.aspx?elementName=Learning Resource Based on URL &amp;elementID=17923", "Click here to submit comment")</f>
        <v>Click here to submit comment</v>
      </c>
    </row>
    <row r="1315" spans="1:14" ht="114.75" x14ac:dyDescent="0.25">
      <c r="A1315" s="12" t="s">
        <v>5899</v>
      </c>
      <c r="B1315" s="12" t="s">
        <v>5900</v>
      </c>
      <c r="C1315" s="13" t="s">
        <v>5901</v>
      </c>
      <c r="D1315" s="12" t="s">
        <v>5848</v>
      </c>
      <c r="E1315" s="11"/>
      <c r="F1315" s="11"/>
      <c r="G1315" s="11"/>
      <c r="H1315" s="11"/>
      <c r="I1315" s="12" t="s">
        <v>5902</v>
      </c>
      <c r="J1315" s="11"/>
      <c r="K1315" s="12" t="s">
        <v>5903</v>
      </c>
      <c r="L1315" s="11"/>
      <c r="M1315" s="12" t="str">
        <f>HYPERLINK("https://ceds.ed.gov/cedselementdetails.aspx?termid=18363")</f>
        <v>https://ceds.ed.gov/cedselementdetails.aspx?termid=18363</v>
      </c>
      <c r="N1315" s="12" t="str">
        <f>HYPERLINK("https://ceds.ed.gov/elementComment.aspx?elementName=Learning Resource Book Format Type &amp;elementID=18363", "Click here to submit comment")</f>
        <v>Click here to submit comment</v>
      </c>
    </row>
    <row r="1316" spans="1:14" ht="102" x14ac:dyDescent="0.25">
      <c r="A1316" s="12" t="s">
        <v>5904</v>
      </c>
      <c r="B1316" s="12" t="s">
        <v>5905</v>
      </c>
      <c r="C1316" s="13" t="s">
        <v>5906</v>
      </c>
      <c r="D1316" s="12" t="s">
        <v>5848</v>
      </c>
      <c r="E1316" s="11"/>
      <c r="F1316" s="11"/>
      <c r="G1316" s="11"/>
      <c r="H1316" s="12" t="s">
        <v>5907</v>
      </c>
      <c r="I1316" s="12" t="s">
        <v>5908</v>
      </c>
      <c r="J1316" s="11"/>
      <c r="K1316" s="12" t="s">
        <v>5909</v>
      </c>
      <c r="L1316" s="11"/>
      <c r="M1316" s="12" t="str">
        <f>HYPERLINK("https://ceds.ed.gov/cedselementdetails.aspx?termid=17879")</f>
        <v>https://ceds.ed.gov/cedselementdetails.aspx?termid=17879</v>
      </c>
      <c r="N1316" s="12" t="str">
        <f>HYPERLINK("https://ceds.ed.gov/elementComment.aspx?elementName=Learning Resource Competency Alignment Type &amp;elementID=17879", "Click here to submit comment")</f>
        <v>Click here to submit comment</v>
      </c>
    </row>
    <row r="1317" spans="1:14" ht="38.25" x14ac:dyDescent="0.25">
      <c r="A1317" s="12" t="s">
        <v>5910</v>
      </c>
      <c r="B1317" s="12" t="s">
        <v>5911</v>
      </c>
      <c r="C1317" s="12" t="s">
        <v>37</v>
      </c>
      <c r="D1317" s="12" t="s">
        <v>5848</v>
      </c>
      <c r="E1317" s="11"/>
      <c r="F1317" s="12" t="s">
        <v>129</v>
      </c>
      <c r="G1317" s="11"/>
      <c r="H1317" s="11"/>
      <c r="I1317" s="12" t="s">
        <v>5912</v>
      </c>
      <c r="J1317" s="11"/>
      <c r="K1317" s="12" t="s">
        <v>5913</v>
      </c>
      <c r="L1317" s="11"/>
      <c r="M1317" s="12" t="str">
        <f>HYPERLINK("https://ceds.ed.gov/cedselementdetails.aspx?termid=18159")</f>
        <v>https://ceds.ed.gov/cedselementdetails.aspx?termid=18159</v>
      </c>
      <c r="N1317" s="12" t="str">
        <f>HYPERLINK("https://ceds.ed.gov/elementComment.aspx?elementName=Learning Resource Concept Keyword &amp;elementID=18159", "Click here to submit comment")</f>
        <v>Click here to submit comment</v>
      </c>
    </row>
    <row r="1318" spans="1:14" ht="76.5" x14ac:dyDescent="0.25">
      <c r="A1318" s="12" t="s">
        <v>5914</v>
      </c>
      <c r="B1318" s="12" t="s">
        <v>5915</v>
      </c>
      <c r="C1318" s="13" t="s">
        <v>5916</v>
      </c>
      <c r="D1318" s="12" t="s">
        <v>5848</v>
      </c>
      <c r="E1318" s="11"/>
      <c r="F1318" s="11"/>
      <c r="G1318" s="11"/>
      <c r="H1318" s="11"/>
      <c r="I1318" s="12" t="s">
        <v>5917</v>
      </c>
      <c r="J1318" s="11"/>
      <c r="K1318" s="12" t="s">
        <v>5918</v>
      </c>
      <c r="L1318" s="11"/>
      <c r="M1318" s="12" t="str">
        <f>HYPERLINK("https://ceds.ed.gov/cedselementdetails.aspx?termid=18364")</f>
        <v>https://ceds.ed.gov/cedselementdetails.aspx?termid=18364</v>
      </c>
      <c r="N1318" s="12" t="str">
        <f>HYPERLINK("https://ceds.ed.gov/elementComment.aspx?elementName=Learning Resource Control Flexibility Type &amp;elementID=18364", "Click here to submit comment")</f>
        <v>Click here to submit comment</v>
      </c>
    </row>
    <row r="1319" spans="1:14" ht="38.25" x14ac:dyDescent="0.25">
      <c r="A1319" s="12" t="s">
        <v>5919</v>
      </c>
      <c r="B1319" s="12" t="s">
        <v>5920</v>
      </c>
      <c r="C1319" s="12" t="s">
        <v>37</v>
      </c>
      <c r="D1319" s="12" t="s">
        <v>5848</v>
      </c>
      <c r="E1319" s="11"/>
      <c r="F1319" s="12" t="s">
        <v>175</v>
      </c>
      <c r="G1319" s="11"/>
      <c r="H1319" s="11"/>
      <c r="I1319" s="12" t="s">
        <v>5921</v>
      </c>
      <c r="J1319" s="11"/>
      <c r="K1319" s="12" t="s">
        <v>5922</v>
      </c>
      <c r="L1319" s="11"/>
      <c r="M1319" s="12" t="str">
        <f>HYPERLINK("https://ceds.ed.gov/cedselementdetails.aspx?termid=18157")</f>
        <v>https://ceds.ed.gov/cedselementdetails.aspx?termid=18157</v>
      </c>
      <c r="N1319" s="12" t="str">
        <f>HYPERLINK("https://ceds.ed.gov/elementComment.aspx?elementName=Learning Resource Copyright Holder Name &amp;elementID=18157", "Click here to submit comment")</f>
        <v>Click here to submit comment</v>
      </c>
    </row>
    <row r="1320" spans="1:14" ht="25.5" x14ac:dyDescent="0.25">
      <c r="A1320" s="12" t="s">
        <v>5923</v>
      </c>
      <c r="B1320" s="12" t="s">
        <v>5924</v>
      </c>
      <c r="C1320" s="12" t="s">
        <v>37</v>
      </c>
      <c r="D1320" s="12" t="s">
        <v>5848</v>
      </c>
      <c r="E1320" s="11"/>
      <c r="F1320" s="12" t="s">
        <v>2094</v>
      </c>
      <c r="G1320" s="11"/>
      <c r="H1320" s="11"/>
      <c r="I1320" s="12" t="s">
        <v>5925</v>
      </c>
      <c r="J1320" s="11"/>
      <c r="K1320" s="12" t="s">
        <v>5926</v>
      </c>
      <c r="L1320" s="11"/>
      <c r="M1320" s="12" t="str">
        <f>HYPERLINK("https://ceds.ed.gov/cedselementdetails.aspx?termid=18158")</f>
        <v>https://ceds.ed.gov/cedselementdetails.aspx?termid=18158</v>
      </c>
      <c r="N1320" s="12" t="str">
        <f>HYPERLINK("https://ceds.ed.gov/elementComment.aspx?elementName=Learning Resource Copyright Year &amp;elementID=18158", "Click here to submit comment")</f>
        <v>Click here to submit comment</v>
      </c>
    </row>
    <row r="1321" spans="1:14" ht="25.5" x14ac:dyDescent="0.25">
      <c r="A1321" s="12" t="s">
        <v>5927</v>
      </c>
      <c r="B1321" s="12" t="s">
        <v>5928</v>
      </c>
      <c r="C1321" s="12" t="s">
        <v>37</v>
      </c>
      <c r="D1321" s="12" t="s">
        <v>5848</v>
      </c>
      <c r="E1321" s="11"/>
      <c r="F1321" s="12" t="s">
        <v>175</v>
      </c>
      <c r="G1321" s="11"/>
      <c r="H1321" s="11"/>
      <c r="I1321" s="12" t="s">
        <v>5929</v>
      </c>
      <c r="J1321" s="11"/>
      <c r="K1321" s="12" t="s">
        <v>5930</v>
      </c>
      <c r="L1321" s="11"/>
      <c r="M1321" s="12" t="str">
        <f>HYPERLINK("https://ceds.ed.gov/cedselementdetails.aspx?termid=17918")</f>
        <v>https://ceds.ed.gov/cedselementdetails.aspx?termid=17918</v>
      </c>
      <c r="N1321" s="12" t="str">
        <f>HYPERLINK("https://ceds.ed.gov/elementComment.aspx?elementName=Learning Resource Creator &amp;elementID=17918", "Click here to submit comment")</f>
        <v>Click here to submit comment</v>
      </c>
    </row>
    <row r="1322" spans="1:14" ht="25.5" x14ac:dyDescent="0.25">
      <c r="A1322" s="12" t="s">
        <v>5931</v>
      </c>
      <c r="B1322" s="12" t="s">
        <v>5932</v>
      </c>
      <c r="C1322" s="12" t="s">
        <v>37</v>
      </c>
      <c r="D1322" s="12" t="s">
        <v>5848</v>
      </c>
      <c r="E1322" s="11"/>
      <c r="F1322" s="12" t="s">
        <v>135</v>
      </c>
      <c r="G1322" s="11"/>
      <c r="H1322" s="11"/>
      <c r="I1322" s="12" t="s">
        <v>5933</v>
      </c>
      <c r="J1322" s="11"/>
      <c r="K1322" s="12" t="s">
        <v>5934</v>
      </c>
      <c r="L1322" s="11"/>
      <c r="M1322" s="12" t="str">
        <f>HYPERLINK("https://ceds.ed.gov/cedselementdetails.aspx?termid=17916")</f>
        <v>https://ceds.ed.gov/cedselementdetails.aspx?termid=17916</v>
      </c>
      <c r="N1322" s="12" t="str">
        <f>HYPERLINK("https://ceds.ed.gov/elementComment.aspx?elementName=Learning Resource Date Created &amp;elementID=17916", "Click here to submit comment")</f>
        <v>Click here to submit comment</v>
      </c>
    </row>
    <row r="1323" spans="1:14" ht="25.5" x14ac:dyDescent="0.25">
      <c r="A1323" s="12" t="s">
        <v>5935</v>
      </c>
      <c r="B1323" s="12" t="s">
        <v>5936</v>
      </c>
      <c r="C1323" s="12" t="s">
        <v>37</v>
      </c>
      <c r="D1323" s="12" t="s">
        <v>5848</v>
      </c>
      <c r="E1323" s="11"/>
      <c r="F1323" s="12" t="s">
        <v>135</v>
      </c>
      <c r="G1323" s="11"/>
      <c r="H1323" s="11"/>
      <c r="I1323" s="12" t="s">
        <v>5937</v>
      </c>
      <c r="J1323" s="11"/>
      <c r="K1323" s="12" t="s">
        <v>5938</v>
      </c>
      <c r="L1323" s="11"/>
      <c r="M1323" s="12" t="str">
        <f>HYPERLINK("https://ceds.ed.gov/cedselementdetails.aspx?termid=18542")</f>
        <v>https://ceds.ed.gov/cedselementdetails.aspx?termid=18542</v>
      </c>
      <c r="N1323" s="12" t="str">
        <f>HYPERLINK("https://ceds.ed.gov/elementComment.aspx?elementName=Learning Resource Date Modified &amp;elementID=18542", "Click here to submit comment")</f>
        <v>Click here to submit comment</v>
      </c>
    </row>
    <row r="1324" spans="1:14" ht="25.5" x14ac:dyDescent="0.25">
      <c r="A1324" s="12" t="s">
        <v>5939</v>
      </c>
      <c r="B1324" s="12" t="s">
        <v>5940</v>
      </c>
      <c r="C1324" s="12" t="s">
        <v>37</v>
      </c>
      <c r="D1324" s="12" t="s">
        <v>5848</v>
      </c>
      <c r="E1324" s="11"/>
      <c r="F1324" s="12" t="s">
        <v>129</v>
      </c>
      <c r="G1324" s="11"/>
      <c r="H1324" s="11"/>
      <c r="I1324" s="12" t="s">
        <v>5941</v>
      </c>
      <c r="J1324" s="11"/>
      <c r="K1324" s="12" t="s">
        <v>5942</v>
      </c>
      <c r="L1324" s="11"/>
      <c r="M1324" s="12" t="str">
        <f>HYPERLINK("https://ceds.ed.gov/cedselementdetails.aspx?termid=18156")</f>
        <v>https://ceds.ed.gov/cedselementdetails.aspx?termid=18156</v>
      </c>
      <c r="N1324" s="12" t="str">
        <f>HYPERLINK("https://ceds.ed.gov/elementComment.aspx?elementName=Learning Resource Description &amp;elementID=18156", "Click here to submit comment")</f>
        <v>Click here to submit comment</v>
      </c>
    </row>
    <row r="1325" spans="1:14" ht="63.75" x14ac:dyDescent="0.25">
      <c r="A1325" s="12" t="s">
        <v>5943</v>
      </c>
      <c r="B1325" s="12" t="s">
        <v>5944</v>
      </c>
      <c r="C1325" s="12" t="s">
        <v>5945</v>
      </c>
      <c r="D1325" s="12" t="s">
        <v>5848</v>
      </c>
      <c r="E1325" s="11"/>
      <c r="F1325" s="11"/>
      <c r="G1325" s="11"/>
      <c r="H1325" s="11"/>
      <c r="I1325" s="12" t="s">
        <v>5946</v>
      </c>
      <c r="J1325" s="11"/>
      <c r="K1325" s="12" t="s">
        <v>5947</v>
      </c>
      <c r="L1325" s="11"/>
      <c r="M1325" s="12" t="str">
        <f>HYPERLINK("https://ceds.ed.gov/cedselementdetails.aspx?termid=18365")</f>
        <v>https://ceds.ed.gov/cedselementdetails.aspx?termid=18365</v>
      </c>
      <c r="N1325" s="12" t="str">
        <f>HYPERLINK("https://ceds.ed.gov/elementComment.aspx?elementName=Learning Resource Digital Media Sub Type &amp;elementID=18365", "Click here to submit comment")</f>
        <v>Click here to submit comment</v>
      </c>
    </row>
    <row r="1326" spans="1:14" ht="127.5" x14ac:dyDescent="0.25">
      <c r="A1326" s="12" t="s">
        <v>5948</v>
      </c>
      <c r="B1326" s="12" t="s">
        <v>5949</v>
      </c>
      <c r="C1326" s="13" t="s">
        <v>5950</v>
      </c>
      <c r="D1326" s="12" t="s">
        <v>5848</v>
      </c>
      <c r="E1326" s="11"/>
      <c r="F1326" s="11"/>
      <c r="G1326" s="11"/>
      <c r="H1326" s="11"/>
      <c r="I1326" s="12" t="s">
        <v>5951</v>
      </c>
      <c r="J1326" s="11"/>
      <c r="K1326" s="12" t="s">
        <v>5952</v>
      </c>
      <c r="L1326" s="11"/>
      <c r="M1326" s="12" t="str">
        <f>HYPERLINK("https://ceds.ed.gov/cedselementdetails.aspx?termid=18366")</f>
        <v>https://ceds.ed.gov/cedselementdetails.aspx?termid=18366</v>
      </c>
      <c r="N1326" s="12" t="str">
        <f>HYPERLINK("https://ceds.ed.gov/elementComment.aspx?elementName=Learning Resource Digital Media Type &amp;elementID=18366", "Click here to submit comment")</f>
        <v>Click here to submit comment</v>
      </c>
    </row>
    <row r="1327" spans="1:14" ht="369.75" x14ac:dyDescent="0.25">
      <c r="A1327" s="12" t="s">
        <v>5953</v>
      </c>
      <c r="B1327" s="12" t="s">
        <v>5954</v>
      </c>
      <c r="C1327" s="13" t="s">
        <v>2896</v>
      </c>
      <c r="D1327" s="12" t="s">
        <v>5848</v>
      </c>
      <c r="E1327" s="11"/>
      <c r="F1327" s="11"/>
      <c r="G1327" s="11"/>
      <c r="H1327" s="11"/>
      <c r="I1327" s="12" t="s">
        <v>5955</v>
      </c>
      <c r="J1327" s="11"/>
      <c r="K1327" s="12" t="s">
        <v>5956</v>
      </c>
      <c r="L1327" s="11"/>
      <c r="M1327" s="12" t="str">
        <f>HYPERLINK("https://ceds.ed.gov/cedselementdetails.aspx?termid=18212")</f>
        <v>https://ceds.ed.gov/cedselementdetails.aspx?termid=18212</v>
      </c>
      <c r="N1327" s="12" t="str">
        <f>HYPERLINK("https://ceds.ed.gov/elementComment.aspx?elementName=Learning Resource Education Level  &amp;elementID=18212", "Click here to submit comment")</f>
        <v>Click here to submit comment</v>
      </c>
    </row>
    <row r="1328" spans="1:14" ht="89.25" x14ac:dyDescent="0.25">
      <c r="A1328" s="12" t="s">
        <v>5957</v>
      </c>
      <c r="B1328" s="12" t="s">
        <v>5958</v>
      </c>
      <c r="C1328" s="13" t="s">
        <v>5959</v>
      </c>
      <c r="D1328" s="12" t="s">
        <v>5848</v>
      </c>
      <c r="E1328" s="11"/>
      <c r="F1328" s="11"/>
      <c r="G1328" s="11"/>
      <c r="H1328" s="11"/>
      <c r="I1328" s="12" t="s">
        <v>5960</v>
      </c>
      <c r="J1328" s="11"/>
      <c r="K1328" s="12" t="s">
        <v>5961</v>
      </c>
      <c r="L1328" s="11"/>
      <c r="M1328" s="12" t="str">
        <f>HYPERLINK("https://ceds.ed.gov/cedselementdetails.aspx?termid=18005")</f>
        <v>https://ceds.ed.gov/cedselementdetails.aspx?termid=18005</v>
      </c>
      <c r="N1328" s="12" t="str">
        <f>HYPERLINK("https://ceds.ed.gov/elementComment.aspx?elementName=Learning Resource Educational Use &amp;elementID=18005", "Click here to submit comment")</f>
        <v>Click here to submit comment</v>
      </c>
    </row>
    <row r="1329" spans="1:14" ht="127.5" x14ac:dyDescent="0.25">
      <c r="A1329" s="12" t="s">
        <v>5962</v>
      </c>
      <c r="B1329" s="12" t="s">
        <v>5963</v>
      </c>
      <c r="C1329" s="13" t="s">
        <v>5964</v>
      </c>
      <c r="D1329" s="12" t="s">
        <v>5848</v>
      </c>
      <c r="E1329" s="11"/>
      <c r="F1329" s="11"/>
      <c r="G1329" s="11"/>
      <c r="H1329" s="11"/>
      <c r="I1329" s="12" t="s">
        <v>5965</v>
      </c>
      <c r="J1329" s="11"/>
      <c r="K1329" s="12" t="s">
        <v>5966</v>
      </c>
      <c r="L1329" s="11"/>
      <c r="M1329" s="12" t="str">
        <f>HYPERLINK("https://ceds.ed.gov/cedselementdetails.aspx?termid=17924")</f>
        <v>https://ceds.ed.gov/cedselementdetails.aspx?termid=17924</v>
      </c>
      <c r="N1329" s="12" t="str">
        <f>HYPERLINK("https://ceds.ed.gov/elementComment.aspx?elementName=Learning Resource Intended End User Role &amp;elementID=17924", "Click here to submit comment")</f>
        <v>Click here to submit comment</v>
      </c>
    </row>
    <row r="1330" spans="1:14" ht="114.75" x14ac:dyDescent="0.25">
      <c r="A1330" s="12" t="s">
        <v>5967</v>
      </c>
      <c r="B1330" s="12" t="s">
        <v>5968</v>
      </c>
      <c r="C1330" s="13" t="s">
        <v>5969</v>
      </c>
      <c r="D1330" s="12" t="s">
        <v>5848</v>
      </c>
      <c r="E1330" s="11"/>
      <c r="F1330" s="11"/>
      <c r="G1330" s="11"/>
      <c r="H1330" s="11"/>
      <c r="I1330" s="12" t="s">
        <v>5970</v>
      </c>
      <c r="J1330" s="11"/>
      <c r="K1330" s="12" t="s">
        <v>5971</v>
      </c>
      <c r="L1330" s="11"/>
      <c r="M1330" s="12" t="str">
        <f>HYPERLINK("https://ceds.ed.gov/cedselementdetails.aspx?termid=18543")</f>
        <v>https://ceds.ed.gov/cedselementdetails.aspx?termid=18543</v>
      </c>
      <c r="N1330" s="12" t="str">
        <f>HYPERLINK("https://ceds.ed.gov/elementComment.aspx?elementName=Learning Resource Interaction Mode &amp;elementID=18543", "Click here to submit comment")</f>
        <v>Click here to submit comment</v>
      </c>
    </row>
    <row r="1331" spans="1:14" ht="51" x14ac:dyDescent="0.25">
      <c r="A1331" s="12" t="s">
        <v>5972</v>
      </c>
      <c r="B1331" s="12" t="s">
        <v>5973</v>
      </c>
      <c r="C1331" s="13" t="s">
        <v>5974</v>
      </c>
      <c r="D1331" s="12" t="s">
        <v>5848</v>
      </c>
      <c r="E1331" s="11"/>
      <c r="F1331" s="11"/>
      <c r="G1331" s="11"/>
      <c r="H1331" s="11"/>
      <c r="I1331" s="12" t="s">
        <v>5975</v>
      </c>
      <c r="J1331" s="11"/>
      <c r="K1331" s="12" t="s">
        <v>5976</v>
      </c>
      <c r="L1331" s="11"/>
      <c r="M1331" s="12" t="str">
        <f>HYPERLINK("https://ceds.ed.gov/cedselementdetails.aspx?termid=17928")</f>
        <v>https://ceds.ed.gov/cedselementdetails.aspx?termid=17928</v>
      </c>
      <c r="N1331" s="12" t="str">
        <f>HYPERLINK("https://ceds.ed.gov/elementComment.aspx?elementName=Learning Resource Interactivity Type &amp;elementID=17928", "Click here to submit comment")</f>
        <v>Click here to submit comment</v>
      </c>
    </row>
    <row r="1332" spans="1:14" ht="90" x14ac:dyDescent="0.25">
      <c r="A1332" s="15" t="s">
        <v>5977</v>
      </c>
      <c r="B1332" s="15" t="s">
        <v>5978</v>
      </c>
      <c r="C1332" s="15" t="s">
        <v>8527</v>
      </c>
      <c r="D1332" s="15" t="s">
        <v>5848</v>
      </c>
      <c r="E1332" s="15" t="s">
        <v>195</v>
      </c>
      <c r="F1332" s="16"/>
      <c r="G1332" s="15" t="s">
        <v>1086</v>
      </c>
      <c r="H1332" s="6" t="s">
        <v>1087</v>
      </c>
      <c r="I1332" s="15" t="s">
        <v>5979</v>
      </c>
      <c r="J1332" s="16"/>
      <c r="K1332" s="15" t="s">
        <v>5980</v>
      </c>
      <c r="L1332" s="16"/>
      <c r="M1332" s="15" t="str">
        <f>HYPERLINK("https://ceds.ed.gov/cedselementdetails.aspx?termid=17920")</f>
        <v>https://ceds.ed.gov/cedselementdetails.aspx?termid=17920</v>
      </c>
      <c r="N1332" s="15" t="str">
        <f>HYPERLINK("https://ceds.ed.gov/elementComment.aspx?elementName=Learning Resource Language &amp;elementID=17920", "Click here to submit comment")</f>
        <v>Click here to submit comment</v>
      </c>
    </row>
    <row r="1333" spans="1:14" ht="63.75" x14ac:dyDescent="0.25">
      <c r="A1333" s="15"/>
      <c r="B1333" s="15"/>
      <c r="C1333" s="15"/>
      <c r="D1333" s="15"/>
      <c r="E1333" s="15"/>
      <c r="F1333" s="16"/>
      <c r="G1333" s="15"/>
      <c r="H1333" s="12" t="s">
        <v>5981</v>
      </c>
      <c r="I1333" s="15"/>
      <c r="J1333" s="16"/>
      <c r="K1333" s="15"/>
      <c r="L1333" s="16"/>
      <c r="M1333" s="15"/>
      <c r="N1333" s="15"/>
    </row>
    <row r="1334" spans="1:14" ht="38.25" x14ac:dyDescent="0.25">
      <c r="A1334" s="12" t="s">
        <v>5982</v>
      </c>
      <c r="B1334" s="12" t="s">
        <v>5983</v>
      </c>
      <c r="C1334" s="12" t="s">
        <v>37</v>
      </c>
      <c r="D1334" s="12" t="s">
        <v>5848</v>
      </c>
      <c r="E1334" s="11"/>
      <c r="F1334" s="12" t="s">
        <v>57</v>
      </c>
      <c r="G1334" s="11"/>
      <c r="H1334" s="12" t="s">
        <v>5984</v>
      </c>
      <c r="I1334" s="12" t="s">
        <v>5985</v>
      </c>
      <c r="J1334" s="11"/>
      <c r="K1334" s="12" t="s">
        <v>5986</v>
      </c>
      <c r="L1334" s="11"/>
      <c r="M1334" s="12" t="str">
        <f>HYPERLINK("https://ceds.ed.gov/cedselementdetails.aspx?termid=17922")</f>
        <v>https://ceds.ed.gov/cedselementdetails.aspx?termid=17922</v>
      </c>
      <c r="N1334" s="12" t="str">
        <f>HYPERLINK("https://ceds.ed.gov/elementComment.aspx?elementName=Learning Resource License URL &amp;elementID=17922", "Click here to submit comment")</f>
        <v>Click here to submit comment</v>
      </c>
    </row>
    <row r="1335" spans="1:14" ht="280.5" x14ac:dyDescent="0.25">
      <c r="A1335" s="12" t="s">
        <v>5987</v>
      </c>
      <c r="B1335" s="12" t="s">
        <v>5988</v>
      </c>
      <c r="C1335" s="13" t="s">
        <v>5989</v>
      </c>
      <c r="D1335" s="12" t="s">
        <v>5848</v>
      </c>
      <c r="E1335" s="11"/>
      <c r="F1335" s="11"/>
      <c r="G1335" s="11"/>
      <c r="H1335" s="12" t="s">
        <v>5990</v>
      </c>
      <c r="I1335" s="12" t="s">
        <v>5991</v>
      </c>
      <c r="J1335" s="11"/>
      <c r="K1335" s="12" t="s">
        <v>5992</v>
      </c>
      <c r="L1335" s="11"/>
      <c r="M1335" s="12" t="str">
        <f>HYPERLINK("https://ceds.ed.gov/cedselementdetails.aspx?termid=18368")</f>
        <v>https://ceds.ed.gov/cedselementdetails.aspx?termid=18368</v>
      </c>
      <c r="N1335" s="12" t="str">
        <f>HYPERLINK("https://ceds.ed.gov/elementComment.aspx?elementName=Learning Resource Media Feature Type &amp;elementID=18368", "Click here to submit comment")</f>
        <v>Click here to submit comment</v>
      </c>
    </row>
    <row r="1336" spans="1:14" ht="51" x14ac:dyDescent="0.25">
      <c r="A1336" s="12" t="s">
        <v>5993</v>
      </c>
      <c r="B1336" s="12" t="s">
        <v>5994</v>
      </c>
      <c r="C1336" s="12" t="s">
        <v>37</v>
      </c>
      <c r="D1336" s="12" t="s">
        <v>5995</v>
      </c>
      <c r="E1336" s="11"/>
      <c r="F1336" s="12" t="s">
        <v>370</v>
      </c>
      <c r="G1336" s="11"/>
      <c r="H1336" s="11"/>
      <c r="I1336" s="12" t="s">
        <v>5996</v>
      </c>
      <c r="J1336" s="11"/>
      <c r="K1336" s="12" t="s">
        <v>5997</v>
      </c>
      <c r="L1336" s="11"/>
      <c r="M1336" s="12" t="str">
        <f>HYPERLINK("https://ceds.ed.gov/cedselementdetails.aspx?termid=18369")</f>
        <v>https://ceds.ed.gov/cedselementdetails.aspx?termid=18369</v>
      </c>
      <c r="N1336" s="12" t="str">
        <f>HYPERLINK("https://ceds.ed.gov/elementComment.aspx?elementName=Learning Resource Peer Rating Sample Size &amp;elementID=18369", "Click here to submit comment")</f>
        <v>Click here to submit comment</v>
      </c>
    </row>
    <row r="1337" spans="1:14" ht="63.75" x14ac:dyDescent="0.25">
      <c r="A1337" s="12" t="s">
        <v>5998</v>
      </c>
      <c r="B1337" s="12" t="s">
        <v>5999</v>
      </c>
      <c r="C1337" s="12" t="s">
        <v>37</v>
      </c>
      <c r="D1337" s="12" t="s">
        <v>5995</v>
      </c>
      <c r="E1337" s="11"/>
      <c r="F1337" s="12" t="s">
        <v>1112</v>
      </c>
      <c r="G1337" s="11"/>
      <c r="H1337" s="11"/>
      <c r="I1337" s="12" t="s">
        <v>6000</v>
      </c>
      <c r="J1337" s="11"/>
      <c r="K1337" s="12" t="s">
        <v>6001</v>
      </c>
      <c r="L1337" s="11"/>
      <c r="M1337" s="12" t="str">
        <f>HYPERLINK("https://ceds.ed.gov/cedselementdetails.aspx?termid=18161")</f>
        <v>https://ceds.ed.gov/cedselementdetails.aspx?termid=18161</v>
      </c>
      <c r="N1337" s="12" t="str">
        <f>HYPERLINK("https://ceds.ed.gov/elementComment.aspx?elementName=Learning Resource Peer Rating Value &amp;elementID=18161", "Click here to submit comment")</f>
        <v>Click here to submit comment</v>
      </c>
    </row>
    <row r="1338" spans="1:14" ht="409.5" x14ac:dyDescent="0.25">
      <c r="A1338" s="12" t="s">
        <v>6002</v>
      </c>
      <c r="B1338" s="12" t="s">
        <v>6003</v>
      </c>
      <c r="C1338" s="13" t="s">
        <v>6004</v>
      </c>
      <c r="D1338" s="12" t="s">
        <v>5848</v>
      </c>
      <c r="E1338" s="11"/>
      <c r="F1338" s="11"/>
      <c r="G1338" s="11"/>
      <c r="H1338" s="11"/>
      <c r="I1338" s="12" t="s">
        <v>6005</v>
      </c>
      <c r="J1338" s="11"/>
      <c r="K1338" s="12" t="s">
        <v>6006</v>
      </c>
      <c r="L1338" s="11"/>
      <c r="M1338" s="12" t="str">
        <f>HYPERLINK("https://ceds.ed.gov/cedselementdetails.aspx?termid=18370")</f>
        <v>https://ceds.ed.gov/cedselementdetails.aspx?termid=18370</v>
      </c>
      <c r="N1338" s="12" t="str">
        <f>HYPERLINK("https://ceds.ed.gov/elementComment.aspx?elementName=Learning Resource Physical Media Type &amp;elementID=18370", "Click here to submit comment")</f>
        <v>Click here to submit comment</v>
      </c>
    </row>
    <row r="1339" spans="1:14" ht="51" x14ac:dyDescent="0.25">
      <c r="A1339" s="12" t="s">
        <v>6007</v>
      </c>
      <c r="B1339" s="12" t="s">
        <v>6008</v>
      </c>
      <c r="C1339" s="12" t="s">
        <v>37</v>
      </c>
      <c r="D1339" s="12" t="s">
        <v>609</v>
      </c>
      <c r="E1339" s="11"/>
      <c r="F1339" s="12" t="s">
        <v>135</v>
      </c>
      <c r="G1339" s="11"/>
      <c r="H1339" s="11"/>
      <c r="I1339" s="12" t="s">
        <v>6009</v>
      </c>
      <c r="J1339" s="11"/>
      <c r="K1339" s="12" t="s">
        <v>6010</v>
      </c>
      <c r="L1339" s="11"/>
      <c r="M1339" s="12" t="str">
        <f>HYPERLINK("https://ceds.ed.gov/cedselementdetails.aspx?termid=18135")</f>
        <v>https://ceds.ed.gov/cedselementdetails.aspx?termid=18135</v>
      </c>
      <c r="N1339" s="12" t="str">
        <f>HYPERLINK("https://ceds.ed.gov/elementComment.aspx?elementName=Learning Resource Published Date &amp;elementID=18135", "Click here to submit comment")</f>
        <v>Click here to submit comment</v>
      </c>
    </row>
    <row r="1340" spans="1:14" ht="25.5" x14ac:dyDescent="0.25">
      <c r="A1340" s="12" t="s">
        <v>6011</v>
      </c>
      <c r="B1340" s="12" t="s">
        <v>6012</v>
      </c>
      <c r="C1340" s="12" t="s">
        <v>37</v>
      </c>
      <c r="D1340" s="12" t="s">
        <v>5848</v>
      </c>
      <c r="E1340" s="11"/>
      <c r="F1340" s="12" t="s">
        <v>3934</v>
      </c>
      <c r="G1340" s="11"/>
      <c r="H1340" s="11"/>
      <c r="I1340" s="12" t="s">
        <v>6013</v>
      </c>
      <c r="J1340" s="11"/>
      <c r="K1340" s="12" t="s">
        <v>6014</v>
      </c>
      <c r="L1340" s="11"/>
      <c r="M1340" s="12" t="str">
        <f>HYPERLINK("https://ceds.ed.gov/cedselementdetails.aspx?termid=18545")</f>
        <v>https://ceds.ed.gov/cedselementdetails.aspx?termid=18545</v>
      </c>
      <c r="N1340" s="12" t="str">
        <f>HYPERLINK("https://ceds.ed.gov/elementComment.aspx?elementName=Learning Resource Publisher Email &amp;elementID=18545", "Click here to submit comment")</f>
        <v>Click here to submit comment</v>
      </c>
    </row>
    <row r="1341" spans="1:14" ht="25.5" x14ac:dyDescent="0.25">
      <c r="A1341" s="12" t="s">
        <v>6015</v>
      </c>
      <c r="B1341" s="12" t="s">
        <v>6016</v>
      </c>
      <c r="C1341" s="12" t="s">
        <v>37</v>
      </c>
      <c r="D1341" s="12" t="s">
        <v>5848</v>
      </c>
      <c r="E1341" s="11"/>
      <c r="F1341" s="12" t="s">
        <v>175</v>
      </c>
      <c r="G1341" s="11"/>
      <c r="H1341" s="11"/>
      <c r="I1341" s="12" t="s">
        <v>6017</v>
      </c>
      <c r="J1341" s="11"/>
      <c r="K1341" s="12" t="s">
        <v>6018</v>
      </c>
      <c r="L1341" s="11"/>
      <c r="M1341" s="12" t="str">
        <f>HYPERLINK("https://ceds.ed.gov/cedselementdetails.aspx?termid=17919")</f>
        <v>https://ceds.ed.gov/cedselementdetails.aspx?termid=17919</v>
      </c>
      <c r="N1341" s="12" t="str">
        <f>HYPERLINK("https://ceds.ed.gov/elementComment.aspx?elementName=Learning Resource Publisher Name &amp;elementID=17919", "Click here to submit comment")</f>
        <v>Click here to submit comment</v>
      </c>
    </row>
    <row r="1342" spans="1:14" ht="25.5" x14ac:dyDescent="0.25">
      <c r="A1342" s="12" t="s">
        <v>6019</v>
      </c>
      <c r="B1342" s="12" t="s">
        <v>6020</v>
      </c>
      <c r="C1342" s="12" t="s">
        <v>37</v>
      </c>
      <c r="D1342" s="12" t="s">
        <v>5848</v>
      </c>
      <c r="E1342" s="11"/>
      <c r="F1342" s="12" t="s">
        <v>57</v>
      </c>
      <c r="G1342" s="11"/>
      <c r="H1342" s="11"/>
      <c r="I1342" s="12" t="s">
        <v>6021</v>
      </c>
      <c r="J1342" s="11"/>
      <c r="K1342" s="12" t="s">
        <v>6022</v>
      </c>
      <c r="L1342" s="11"/>
      <c r="M1342" s="12" t="str">
        <f>HYPERLINK("https://ceds.ed.gov/cedselementdetails.aspx?termid=18547")</f>
        <v>https://ceds.ed.gov/cedselementdetails.aspx?termid=18547</v>
      </c>
      <c r="N1342" s="12" t="str">
        <f>HYPERLINK("https://ceds.ed.gov/elementComment.aspx?elementName=Learning Resource Publisher URL &amp;elementID=18547", "Click here to submit comment")</f>
        <v>Click here to submit comment</v>
      </c>
    </row>
    <row r="1343" spans="1:14" ht="165.75" x14ac:dyDescent="0.25">
      <c r="A1343" s="12" t="s">
        <v>6023</v>
      </c>
      <c r="B1343" s="12" t="s">
        <v>6024</v>
      </c>
      <c r="C1343" s="12" t="s">
        <v>37</v>
      </c>
      <c r="D1343" s="12" t="s">
        <v>5848</v>
      </c>
      <c r="E1343" s="11"/>
      <c r="F1343" s="12" t="s">
        <v>97</v>
      </c>
      <c r="G1343" s="11"/>
      <c r="H1343" s="12" t="s">
        <v>6025</v>
      </c>
      <c r="I1343" s="12" t="s">
        <v>6026</v>
      </c>
      <c r="J1343" s="11"/>
      <c r="K1343" s="12" t="s">
        <v>6027</v>
      </c>
      <c r="L1343" s="11"/>
      <c r="M1343" s="12" t="str">
        <f>HYPERLINK("https://ceds.ed.gov/cedselementdetails.aspx?termid=17914")</f>
        <v>https://ceds.ed.gov/cedselementdetails.aspx?termid=17914</v>
      </c>
      <c r="N1343" s="12" t="str">
        <f>HYPERLINK("https://ceds.ed.gov/elementComment.aspx?elementName=Learning Resource Subject Code &amp;elementID=17914", "Click here to submit comment")</f>
        <v>Click here to submit comment</v>
      </c>
    </row>
    <row r="1344" spans="1:14" ht="191.25" x14ac:dyDescent="0.25">
      <c r="A1344" s="12" t="s">
        <v>6028</v>
      </c>
      <c r="B1344" s="12" t="s">
        <v>6029</v>
      </c>
      <c r="C1344" s="12" t="s">
        <v>37</v>
      </c>
      <c r="D1344" s="12" t="s">
        <v>5848</v>
      </c>
      <c r="E1344" s="11"/>
      <c r="F1344" s="12" t="s">
        <v>97</v>
      </c>
      <c r="G1344" s="11"/>
      <c r="H1344" s="12" t="s">
        <v>6030</v>
      </c>
      <c r="I1344" s="12" t="s">
        <v>6031</v>
      </c>
      <c r="J1344" s="11"/>
      <c r="K1344" s="12" t="s">
        <v>6032</v>
      </c>
      <c r="L1344" s="11"/>
      <c r="M1344" s="12" t="str">
        <f>HYPERLINK("https://ceds.ed.gov/cedselementdetails.aspx?termid=17915")</f>
        <v>https://ceds.ed.gov/cedselementdetails.aspx?termid=17915</v>
      </c>
      <c r="N1344" s="12" t="str">
        <f>HYPERLINK("https://ceds.ed.gov/elementComment.aspx?elementName=Learning Resource Subject Code System &amp;elementID=17915", "Click here to submit comment")</f>
        <v>Click here to submit comment</v>
      </c>
    </row>
    <row r="1345" spans="1:14" ht="25.5" x14ac:dyDescent="0.25">
      <c r="A1345" s="12" t="s">
        <v>6033</v>
      </c>
      <c r="B1345" s="12" t="s">
        <v>6034</v>
      </c>
      <c r="C1345" s="12" t="s">
        <v>37</v>
      </c>
      <c r="D1345" s="12" t="s">
        <v>5848</v>
      </c>
      <c r="E1345" s="11"/>
      <c r="F1345" s="12" t="s">
        <v>97</v>
      </c>
      <c r="G1345" s="11"/>
      <c r="H1345" s="11"/>
      <c r="I1345" s="12" t="s">
        <v>6035</v>
      </c>
      <c r="J1345" s="11"/>
      <c r="K1345" s="12" t="s">
        <v>6036</v>
      </c>
      <c r="L1345" s="11"/>
      <c r="M1345" s="12" t="str">
        <f>HYPERLINK("https://ceds.ed.gov/cedselementdetails.aspx?termid=17913")</f>
        <v>https://ceds.ed.gov/cedselementdetails.aspx?termid=17913</v>
      </c>
      <c r="N1345" s="12" t="str">
        <f>HYPERLINK("https://ceds.ed.gov/elementComment.aspx?elementName=Learning Resource Subject Name &amp;elementID=17913", "Click here to submit comment")</f>
        <v>Click here to submit comment</v>
      </c>
    </row>
    <row r="1346" spans="1:14" ht="25.5" x14ac:dyDescent="0.25">
      <c r="A1346" s="12" t="s">
        <v>6037</v>
      </c>
      <c r="B1346" s="12" t="s">
        <v>6038</v>
      </c>
      <c r="C1346" s="12" t="s">
        <v>37</v>
      </c>
      <c r="D1346" s="12" t="s">
        <v>5848</v>
      </c>
      <c r="E1346" s="11"/>
      <c r="F1346" s="12" t="s">
        <v>97</v>
      </c>
      <c r="G1346" s="11"/>
      <c r="H1346" s="11"/>
      <c r="I1346" s="12" t="s">
        <v>6039</v>
      </c>
      <c r="J1346" s="11"/>
      <c r="K1346" s="12" t="s">
        <v>6040</v>
      </c>
      <c r="L1346" s="11"/>
      <c r="M1346" s="12" t="str">
        <f>HYPERLINK("https://ceds.ed.gov/cedselementdetails.aspx?termid=17931")</f>
        <v>https://ceds.ed.gov/cedselementdetails.aspx?termid=17931</v>
      </c>
      <c r="N1346" s="12" t="str">
        <f>HYPERLINK("https://ceds.ed.gov/elementComment.aspx?elementName=Learning Resource Text Complexity System &amp;elementID=17931", "Click here to submit comment")</f>
        <v>Click here to submit comment</v>
      </c>
    </row>
    <row r="1347" spans="1:14" ht="38.25" x14ac:dyDescent="0.25">
      <c r="A1347" s="12" t="s">
        <v>6041</v>
      </c>
      <c r="B1347" s="12" t="s">
        <v>6042</v>
      </c>
      <c r="C1347" s="12" t="s">
        <v>37</v>
      </c>
      <c r="D1347" s="12" t="s">
        <v>5848</v>
      </c>
      <c r="E1347" s="11"/>
      <c r="F1347" s="12" t="s">
        <v>97</v>
      </c>
      <c r="G1347" s="11"/>
      <c r="H1347" s="11"/>
      <c r="I1347" s="12" t="s">
        <v>6043</v>
      </c>
      <c r="J1347" s="11"/>
      <c r="K1347" s="12" t="s">
        <v>6044</v>
      </c>
      <c r="L1347" s="11"/>
      <c r="M1347" s="12" t="str">
        <f>HYPERLINK("https://ceds.ed.gov/cedselementdetails.aspx?termid=17930")</f>
        <v>https://ceds.ed.gov/cedselementdetails.aspx?termid=17930</v>
      </c>
      <c r="N1347" s="12" t="str">
        <f>HYPERLINK("https://ceds.ed.gov/elementComment.aspx?elementName=Learning Resource Text Complexity Value &amp;elementID=17930", "Click here to submit comment")</f>
        <v>Click here to submit comment</v>
      </c>
    </row>
    <row r="1348" spans="1:14" ht="38.25" x14ac:dyDescent="0.25">
      <c r="A1348" s="12" t="s">
        <v>6045</v>
      </c>
      <c r="B1348" s="12" t="s">
        <v>6046</v>
      </c>
      <c r="C1348" s="12" t="s">
        <v>37</v>
      </c>
      <c r="D1348" s="12" t="s">
        <v>5848</v>
      </c>
      <c r="E1348" s="11"/>
      <c r="F1348" s="12" t="s">
        <v>3202</v>
      </c>
      <c r="G1348" s="11"/>
      <c r="H1348" s="11"/>
      <c r="I1348" s="12" t="s">
        <v>6047</v>
      </c>
      <c r="J1348" s="11"/>
      <c r="K1348" s="12" t="s">
        <v>6048</v>
      </c>
      <c r="L1348" s="11"/>
      <c r="M1348" s="12" t="str">
        <f>HYPERLINK("https://ceds.ed.gov/cedselementdetails.aspx?termid=17925")</f>
        <v>https://ceds.ed.gov/cedselementdetails.aspx?termid=17925</v>
      </c>
      <c r="N1348" s="12" t="str">
        <f>HYPERLINK("https://ceds.ed.gov/elementComment.aspx?elementName=Learning Resource Time Required &amp;elementID=17925", "Click here to submit comment")</f>
        <v>Click here to submit comment</v>
      </c>
    </row>
    <row r="1349" spans="1:14" ht="25.5" x14ac:dyDescent="0.25">
      <c r="A1349" s="12" t="s">
        <v>6049</v>
      </c>
      <c r="B1349" s="12" t="s">
        <v>6050</v>
      </c>
      <c r="C1349" s="12" t="s">
        <v>37</v>
      </c>
      <c r="D1349" s="12" t="s">
        <v>5848</v>
      </c>
      <c r="E1349" s="11"/>
      <c r="F1349" s="12" t="s">
        <v>97</v>
      </c>
      <c r="G1349" s="11"/>
      <c r="H1349" s="11"/>
      <c r="I1349" s="12" t="s">
        <v>6051</v>
      </c>
      <c r="J1349" s="11"/>
      <c r="K1349" s="12" t="s">
        <v>6052</v>
      </c>
      <c r="L1349" s="11"/>
      <c r="M1349" s="12" t="str">
        <f>HYPERLINK("https://ceds.ed.gov/cedselementdetails.aspx?termid=17912")</f>
        <v>https://ceds.ed.gov/cedselementdetails.aspx?termid=17912</v>
      </c>
      <c r="N1349" s="12" t="str">
        <f>HYPERLINK("https://ceds.ed.gov/elementComment.aspx?elementName=Learning Resource Title &amp;elementID=17912", "Click here to submit comment")</f>
        <v>Click here to submit comment</v>
      </c>
    </row>
    <row r="1350" spans="1:14" ht="293.25" x14ac:dyDescent="0.25">
      <c r="A1350" s="12" t="s">
        <v>6053</v>
      </c>
      <c r="B1350" s="12" t="s">
        <v>6054</v>
      </c>
      <c r="C1350" s="13" t="s">
        <v>6055</v>
      </c>
      <c r="D1350" s="12" t="s">
        <v>5848</v>
      </c>
      <c r="E1350" s="11"/>
      <c r="F1350" s="11"/>
      <c r="G1350" s="11"/>
      <c r="H1350" s="12" t="s">
        <v>6056</v>
      </c>
      <c r="I1350" s="12" t="s">
        <v>6057</v>
      </c>
      <c r="J1350" s="11"/>
      <c r="K1350" s="12" t="s">
        <v>6058</v>
      </c>
      <c r="L1350" s="11"/>
      <c r="M1350" s="12" t="str">
        <f>HYPERLINK("https://ceds.ed.gov/cedselementdetails.aspx?termid=17929")</f>
        <v>https://ceds.ed.gov/cedselementdetails.aspx?termid=17929</v>
      </c>
      <c r="N1350" s="12" t="str">
        <f>HYPERLINK("https://ceds.ed.gov/elementComment.aspx?elementName=Learning Resource Type &amp;elementID=17929", "Click here to submit comment")</f>
        <v>Click here to submit comment</v>
      </c>
    </row>
    <row r="1351" spans="1:14" ht="25.5" x14ac:dyDescent="0.25">
      <c r="A1351" s="12" t="s">
        <v>6059</v>
      </c>
      <c r="B1351" s="12" t="s">
        <v>6060</v>
      </c>
      <c r="C1351" s="12" t="s">
        <v>37</v>
      </c>
      <c r="D1351" s="12" t="s">
        <v>5848</v>
      </c>
      <c r="E1351" s="11"/>
      <c r="F1351" s="12" t="s">
        <v>370</v>
      </c>
      <c r="G1351" s="11"/>
      <c r="H1351" s="11"/>
      <c r="I1351" s="12" t="s">
        <v>6061</v>
      </c>
      <c r="J1351" s="11"/>
      <c r="K1351" s="12" t="s">
        <v>6062</v>
      </c>
      <c r="L1351" s="11"/>
      <c r="M1351" s="12" t="str">
        <f>HYPERLINK("https://ceds.ed.gov/cedselementdetails.aspx?termid=17927")</f>
        <v>https://ceds.ed.gov/cedselementdetails.aspx?termid=17927</v>
      </c>
      <c r="N1351" s="12" t="str">
        <f>HYPERLINK("https://ceds.ed.gov/elementComment.aspx?elementName=Learning Resource Typical Age Range Maximum &amp;elementID=17927", "Click here to submit comment")</f>
        <v>Click here to submit comment</v>
      </c>
    </row>
    <row r="1352" spans="1:14" ht="25.5" x14ac:dyDescent="0.25">
      <c r="A1352" s="12" t="s">
        <v>6063</v>
      </c>
      <c r="B1352" s="12" t="s">
        <v>6064</v>
      </c>
      <c r="C1352" s="12" t="s">
        <v>37</v>
      </c>
      <c r="D1352" s="12" t="s">
        <v>5848</v>
      </c>
      <c r="E1352" s="11"/>
      <c r="F1352" s="12" t="s">
        <v>370</v>
      </c>
      <c r="G1352" s="11"/>
      <c r="H1352" s="11"/>
      <c r="I1352" s="12" t="s">
        <v>6065</v>
      </c>
      <c r="J1352" s="11"/>
      <c r="K1352" s="12" t="s">
        <v>6066</v>
      </c>
      <c r="L1352" s="11"/>
      <c r="M1352" s="12" t="str">
        <f>HYPERLINK("https://ceds.ed.gov/cedselementdetails.aspx?termid=17926")</f>
        <v>https://ceds.ed.gov/cedselementdetails.aspx?termid=17926</v>
      </c>
      <c r="N1352" s="12" t="str">
        <f>HYPERLINK("https://ceds.ed.gov/elementComment.aspx?elementName=Learning Resource Typical Age Range Minimum &amp;elementID=17926", "Click here to submit comment")</f>
        <v>Click here to submit comment</v>
      </c>
    </row>
    <row r="1353" spans="1:14" ht="51" x14ac:dyDescent="0.25">
      <c r="A1353" s="12" t="s">
        <v>6067</v>
      </c>
      <c r="B1353" s="12" t="s">
        <v>6068</v>
      </c>
      <c r="C1353" s="12" t="s">
        <v>37</v>
      </c>
      <c r="D1353" s="12" t="s">
        <v>5848</v>
      </c>
      <c r="E1353" s="11"/>
      <c r="F1353" s="12" t="s">
        <v>57</v>
      </c>
      <c r="G1353" s="11"/>
      <c r="H1353" s="11"/>
      <c r="I1353" s="12" t="s">
        <v>6069</v>
      </c>
      <c r="J1353" s="11"/>
      <c r="K1353" s="12" t="s">
        <v>6070</v>
      </c>
      <c r="L1353" s="11"/>
      <c r="M1353" s="12" t="str">
        <f>HYPERLINK("https://ceds.ed.gov/cedselementdetails.aspx?termid=17911")</f>
        <v>https://ceds.ed.gov/cedselementdetails.aspx?termid=17911</v>
      </c>
      <c r="N1353" s="12" t="str">
        <f>HYPERLINK("https://ceds.ed.gov/elementComment.aspx?elementName=Learning Resource URL &amp;elementID=17911", "Click here to submit comment")</f>
        <v>Click here to submit comment</v>
      </c>
    </row>
    <row r="1354" spans="1:14" ht="25.5" x14ac:dyDescent="0.25">
      <c r="A1354" s="12" t="s">
        <v>6071</v>
      </c>
      <c r="B1354" s="12" t="s">
        <v>6072</v>
      </c>
      <c r="C1354" s="12" t="s">
        <v>37</v>
      </c>
      <c r="D1354" s="12" t="s">
        <v>5848</v>
      </c>
      <c r="E1354" s="11"/>
      <c r="F1354" s="12" t="s">
        <v>97</v>
      </c>
      <c r="G1354" s="11"/>
      <c r="H1354" s="11"/>
      <c r="I1354" s="12" t="s">
        <v>6073</v>
      </c>
      <c r="J1354" s="11"/>
      <c r="K1354" s="12" t="s">
        <v>6074</v>
      </c>
      <c r="L1354" s="11"/>
      <c r="M1354" s="12" t="str">
        <f>HYPERLINK("https://ceds.ed.gov/cedselementdetails.aspx?termid=18182")</f>
        <v>https://ceds.ed.gov/cedselementdetails.aspx?termid=18182</v>
      </c>
      <c r="N1354" s="12" t="str">
        <f>HYPERLINK("https://ceds.ed.gov/elementComment.aspx?elementName=Learning Resource Version &amp;elementID=18182", "Click here to submit comment")</f>
        <v>Click here to submit comment</v>
      </c>
    </row>
    <row r="1355" spans="1:14" ht="293.25" x14ac:dyDescent="0.25">
      <c r="A1355" s="12" t="s">
        <v>6075</v>
      </c>
      <c r="B1355" s="12" t="s">
        <v>6076</v>
      </c>
      <c r="C1355" s="13" t="s">
        <v>6077</v>
      </c>
      <c r="D1355" s="12" t="s">
        <v>6078</v>
      </c>
      <c r="E1355" s="11"/>
      <c r="F1355" s="11"/>
      <c r="G1355" s="11"/>
      <c r="H1355" s="11"/>
      <c r="I1355" s="12" t="s">
        <v>6079</v>
      </c>
      <c r="J1355" s="11"/>
      <c r="K1355" s="12" t="s">
        <v>6080</v>
      </c>
      <c r="L1355" s="11"/>
      <c r="M1355" s="12" t="str">
        <f>HYPERLINK("https://ceds.ed.gov/cedselementdetails.aspx?termid=17617")</f>
        <v>https://ceds.ed.gov/cedselementdetails.aspx?termid=17617</v>
      </c>
      <c r="N1355" s="12" t="str">
        <f>HYPERLINK("https://ceds.ed.gov/elementComment.aspx?elementName=Leave Event Type &amp;elementID=17617", "Click here to submit comment")</f>
        <v>Click here to submit comment</v>
      </c>
    </row>
    <row r="1356" spans="1:14" ht="63.75" x14ac:dyDescent="0.25">
      <c r="A1356" s="12" t="s">
        <v>6081</v>
      </c>
      <c r="B1356" s="12" t="s">
        <v>6082</v>
      </c>
      <c r="C1356" s="13" t="s">
        <v>6083</v>
      </c>
      <c r="D1356" s="12" t="s">
        <v>6084</v>
      </c>
      <c r="E1356" s="11"/>
      <c r="F1356" s="11"/>
      <c r="G1356" s="11"/>
      <c r="H1356" s="11"/>
      <c r="I1356" s="12" t="s">
        <v>6085</v>
      </c>
      <c r="J1356" s="11"/>
      <c r="K1356" s="12" t="s">
        <v>6086</v>
      </c>
      <c r="L1356" s="12" t="s">
        <v>2232</v>
      </c>
      <c r="M1356" s="12" t="str">
        <f>HYPERLINK("https://ceds.ed.gov/cedselementdetails.aspx?termid=17178")</f>
        <v>https://ceds.ed.gov/cedselementdetails.aspx?termid=17178</v>
      </c>
      <c r="N1356" s="12" t="str">
        <f>HYPERLINK("https://ceds.ed.gov/elementComment.aspx?elementName=Level of Institution &amp;elementID=17178", "Click here to submit comment")</f>
        <v>Click here to submit comment</v>
      </c>
    </row>
    <row r="1357" spans="1:14" ht="89.25" x14ac:dyDescent="0.25">
      <c r="A1357" s="12" t="s">
        <v>6087</v>
      </c>
      <c r="B1357" s="12" t="s">
        <v>6088</v>
      </c>
      <c r="C1357" s="13" t="s">
        <v>6089</v>
      </c>
      <c r="D1357" s="12" t="s">
        <v>3701</v>
      </c>
      <c r="E1357" s="11"/>
      <c r="F1357" s="11"/>
      <c r="G1357" s="11"/>
      <c r="H1357" s="11"/>
      <c r="I1357" s="12" t="s">
        <v>6090</v>
      </c>
      <c r="J1357" s="11"/>
      <c r="K1357" s="12" t="s">
        <v>6091</v>
      </c>
      <c r="L1357" s="12" t="s">
        <v>4041</v>
      </c>
      <c r="M1357" s="12" t="str">
        <f>HYPERLINK("https://ceds.ed.gov/cedselementdetails.aspx?termid=17340")</f>
        <v>https://ceds.ed.gov/cedselementdetails.aspx?termid=17340</v>
      </c>
      <c r="N1357" s="12" t="str">
        <f>HYPERLINK("https://ceds.ed.gov/elementComment.aspx?elementName=Level of Specialization in Early Learning &amp;elementID=17340", "Click here to submit comment")</f>
        <v>Click here to submit comment</v>
      </c>
    </row>
    <row r="1358" spans="1:14" ht="51" x14ac:dyDescent="0.25">
      <c r="A1358" s="12" t="s">
        <v>6092</v>
      </c>
      <c r="B1358" s="12" t="s">
        <v>6093</v>
      </c>
      <c r="C1358" s="13" t="s">
        <v>408</v>
      </c>
      <c r="D1358" s="12" t="s">
        <v>2798</v>
      </c>
      <c r="E1358" s="11"/>
      <c r="F1358" s="11"/>
      <c r="G1358" s="11"/>
      <c r="H1358" s="11"/>
      <c r="I1358" s="12" t="s">
        <v>6094</v>
      </c>
      <c r="J1358" s="11"/>
      <c r="K1358" s="12" t="s">
        <v>6095</v>
      </c>
      <c r="L1358" s="12" t="s">
        <v>2801</v>
      </c>
      <c r="M1358" s="12" t="str">
        <f>HYPERLINK("https://ceds.ed.gov/cedselementdetails.aspx?termid=17349")</f>
        <v>https://ceds.ed.gov/cedselementdetails.aspx?termid=17349</v>
      </c>
      <c r="N1358" s="12" t="str">
        <f>HYPERLINK("https://ceds.ed.gov/elementComment.aspx?elementName=License Exempt &amp;elementID=17349", "Click here to submit comment")</f>
        <v>Click here to submit comment</v>
      </c>
    </row>
    <row r="1359" spans="1:14" ht="51" x14ac:dyDescent="0.25">
      <c r="A1359" s="12" t="s">
        <v>6096</v>
      </c>
      <c r="B1359" s="12" t="s">
        <v>6097</v>
      </c>
      <c r="C1359" s="12" t="s">
        <v>37</v>
      </c>
      <c r="D1359" s="12" t="s">
        <v>1786</v>
      </c>
      <c r="E1359" s="11"/>
      <c r="F1359" s="12" t="s">
        <v>1710</v>
      </c>
      <c r="G1359" s="11"/>
      <c r="H1359" s="11"/>
      <c r="I1359" s="12" t="s">
        <v>6098</v>
      </c>
      <c r="J1359" s="11"/>
      <c r="K1359" s="12" t="s">
        <v>6099</v>
      </c>
      <c r="L1359" s="11"/>
      <c r="M1359" s="12" t="str">
        <f>HYPERLINK("https://ceds.ed.gov/cedselementdetails.aspx?termid=18830")</f>
        <v>https://ceds.ed.gov/cedselementdetails.aspx?termid=18830</v>
      </c>
      <c r="N1359" s="12" t="str">
        <f>HYPERLINK("https://ceds.ed.gov/elementComment.aspx?elementName=Life-cycle Cost &amp;elementID=18830", "Click here to submit comment")</f>
        <v>Click here to submit comment</v>
      </c>
    </row>
    <row r="1360" spans="1:14" ht="127.5" x14ac:dyDescent="0.25">
      <c r="A1360" s="12" t="s">
        <v>6100</v>
      </c>
      <c r="B1360" s="12" t="s">
        <v>6101</v>
      </c>
      <c r="C1360" s="13" t="s">
        <v>6102</v>
      </c>
      <c r="D1360" s="12" t="s">
        <v>2126</v>
      </c>
      <c r="E1360" s="11"/>
      <c r="F1360" s="11"/>
      <c r="G1360" s="11"/>
      <c r="H1360" s="11"/>
      <c r="I1360" s="12" t="s">
        <v>6103</v>
      </c>
      <c r="J1360" s="12" t="s">
        <v>6104</v>
      </c>
      <c r="K1360" s="12" t="s">
        <v>6105</v>
      </c>
      <c r="L1360" s="12" t="s">
        <v>65</v>
      </c>
      <c r="M1360" s="12" t="str">
        <f>HYPERLINK("https://ceds.ed.gov/cedselementdetails.aspx?termid=17179")</f>
        <v>https://ceds.ed.gov/cedselementdetails.aspx?termid=17179</v>
      </c>
      <c r="N1360" s="12" t="str">
        <f>HYPERLINK("https://ceds.ed.gov/elementComment.aspx?elementName=Limited English Proficiency - Postsecondary &amp;elementID=17179", "Click here to submit comment")</f>
        <v>Click here to submit comment</v>
      </c>
    </row>
    <row r="1361" spans="1:14" ht="191.25" x14ac:dyDescent="0.25">
      <c r="A1361" s="12" t="s">
        <v>6106</v>
      </c>
      <c r="B1361" s="12" t="s">
        <v>6107</v>
      </c>
      <c r="C1361" s="13" t="s">
        <v>6108</v>
      </c>
      <c r="D1361" s="12" t="s">
        <v>69</v>
      </c>
      <c r="E1361" s="11"/>
      <c r="F1361" s="11"/>
      <c r="G1361" s="11"/>
      <c r="H1361" s="11"/>
      <c r="I1361" s="12" t="s">
        <v>6109</v>
      </c>
      <c r="J1361" s="11"/>
      <c r="K1361" s="12" t="s">
        <v>6110</v>
      </c>
      <c r="L1361" s="12" t="s">
        <v>245</v>
      </c>
      <c r="M1361" s="12" t="str">
        <f>HYPERLINK("https://ceds.ed.gov/cedselementdetails.aspx?termid=17456")</f>
        <v>https://ceds.ed.gov/cedselementdetails.aspx?termid=17456</v>
      </c>
      <c r="N1361" s="12" t="str">
        <f>HYPERLINK("https://ceds.ed.gov/elementComment.aspx?elementName=Literacy Assessment Administered Type &amp;elementID=17456", "Click here to submit comment")</f>
        <v>Click here to submit comment</v>
      </c>
    </row>
    <row r="1362" spans="1:14" ht="51" x14ac:dyDescent="0.25">
      <c r="A1362" s="12" t="s">
        <v>6111</v>
      </c>
      <c r="B1362" s="12" t="s">
        <v>6112</v>
      </c>
      <c r="C1362" s="12" t="s">
        <v>24</v>
      </c>
      <c r="D1362" s="12" t="s">
        <v>69</v>
      </c>
      <c r="E1362" s="11"/>
      <c r="F1362" s="11"/>
      <c r="G1362" s="11"/>
      <c r="H1362" s="11"/>
      <c r="I1362" s="12" t="s">
        <v>6113</v>
      </c>
      <c r="J1362" s="11"/>
      <c r="K1362" s="12" t="s">
        <v>6114</v>
      </c>
      <c r="L1362" s="12" t="s">
        <v>245</v>
      </c>
      <c r="M1362" s="12" t="str">
        <f>HYPERLINK("https://ceds.ed.gov/cedselementdetails.aspx?termid=17457")</f>
        <v>https://ceds.ed.gov/cedselementdetails.aspx?termid=17457</v>
      </c>
      <c r="N1362" s="12" t="str">
        <f>HYPERLINK("https://ceds.ed.gov/elementComment.aspx?elementName=Literacy Goal Met Status &amp;elementID=17457", "Click here to submit comment")</f>
        <v>Click here to submit comment</v>
      </c>
    </row>
    <row r="1363" spans="1:14" ht="38.25" x14ac:dyDescent="0.25">
      <c r="A1363" s="12" t="s">
        <v>6115</v>
      </c>
      <c r="B1363" s="12" t="s">
        <v>6116</v>
      </c>
      <c r="C1363" s="12" t="s">
        <v>24</v>
      </c>
      <c r="D1363" s="12" t="s">
        <v>69</v>
      </c>
      <c r="E1363" s="11"/>
      <c r="F1363" s="11"/>
      <c r="G1363" s="11"/>
      <c r="H1363" s="11"/>
      <c r="I1363" s="12" t="s">
        <v>6117</v>
      </c>
      <c r="J1363" s="11"/>
      <c r="K1363" s="12" t="s">
        <v>6118</v>
      </c>
      <c r="L1363" s="12" t="s">
        <v>245</v>
      </c>
      <c r="M1363" s="12" t="str">
        <f>HYPERLINK("https://ceds.ed.gov/cedselementdetails.aspx?termid=17458")</f>
        <v>https://ceds.ed.gov/cedselementdetails.aspx?termid=17458</v>
      </c>
      <c r="N1363" s="12" t="str">
        <f>HYPERLINK("https://ceds.ed.gov/elementComment.aspx?elementName=Literacy Post Test Status &amp;elementID=17458", "Click here to submit comment")</f>
        <v>Click here to submit comment</v>
      </c>
    </row>
    <row r="1364" spans="1:14" ht="38.25" x14ac:dyDescent="0.25">
      <c r="A1364" s="12" t="s">
        <v>6119</v>
      </c>
      <c r="B1364" s="12" t="s">
        <v>6120</v>
      </c>
      <c r="C1364" s="12" t="s">
        <v>24</v>
      </c>
      <c r="D1364" s="12" t="s">
        <v>69</v>
      </c>
      <c r="E1364" s="11"/>
      <c r="F1364" s="11"/>
      <c r="G1364" s="11"/>
      <c r="H1364" s="11"/>
      <c r="I1364" s="12" t="s">
        <v>6121</v>
      </c>
      <c r="J1364" s="11"/>
      <c r="K1364" s="12" t="s">
        <v>6122</v>
      </c>
      <c r="L1364" s="12" t="s">
        <v>245</v>
      </c>
      <c r="M1364" s="12" t="str">
        <f>HYPERLINK("https://ceds.ed.gov/cedselementdetails.aspx?termid=17459")</f>
        <v>https://ceds.ed.gov/cedselementdetails.aspx?termid=17459</v>
      </c>
      <c r="N1364" s="12" t="str">
        <f>HYPERLINK("https://ceds.ed.gov/elementComment.aspx?elementName=Literacy Pre Test Status &amp;elementID=17459", "Click here to submit comment")</f>
        <v>Click here to submit comment</v>
      </c>
    </row>
    <row r="1365" spans="1:14" ht="51" x14ac:dyDescent="0.25">
      <c r="A1365" s="12" t="s">
        <v>6123</v>
      </c>
      <c r="B1365" s="12" t="s">
        <v>6124</v>
      </c>
      <c r="C1365" s="13" t="s">
        <v>6125</v>
      </c>
      <c r="D1365" s="12" t="s">
        <v>6126</v>
      </c>
      <c r="E1365" s="11"/>
      <c r="F1365" s="11"/>
      <c r="G1365" s="11"/>
      <c r="H1365" s="11"/>
      <c r="I1365" s="12" t="s">
        <v>6127</v>
      </c>
      <c r="J1365" s="12" t="s">
        <v>6128</v>
      </c>
      <c r="K1365" s="12" t="s">
        <v>6129</v>
      </c>
      <c r="L1365" s="12" t="s">
        <v>245</v>
      </c>
      <c r="M1365" s="12" t="str">
        <f>HYPERLINK("https://ceds.ed.gov/cedselementdetails.aspx?termid=17441")</f>
        <v>https://ceds.ed.gov/cedselementdetails.aspx?termid=17441</v>
      </c>
      <c r="N1365" s="12" t="str">
        <f>HYPERLINK("https://ceds.ed.gov/elementComment.aspx?elementName=Local Education Agency Funds Transfer Type &amp;elementID=17441", "Click here to submit comment")</f>
        <v>Click here to submit comment</v>
      </c>
    </row>
    <row r="1366" spans="1:14" ht="191.25" x14ac:dyDescent="0.25">
      <c r="A1366" s="12" t="s">
        <v>6130</v>
      </c>
      <c r="B1366" s="12" t="s">
        <v>6131</v>
      </c>
      <c r="C1366" s="13" t="s">
        <v>6132</v>
      </c>
      <c r="D1366" s="12" t="s">
        <v>6133</v>
      </c>
      <c r="E1366" s="11"/>
      <c r="F1366" s="11"/>
      <c r="G1366" s="11"/>
      <c r="H1366" s="11"/>
      <c r="I1366" s="12" t="s">
        <v>6134</v>
      </c>
      <c r="J1366" s="12" t="s">
        <v>6135</v>
      </c>
      <c r="K1366" s="12" t="s">
        <v>6136</v>
      </c>
      <c r="L1366" s="12" t="s">
        <v>6137</v>
      </c>
      <c r="M1366" s="12" t="str">
        <f>HYPERLINK("https://ceds.ed.gov/cedselementdetails.aspx?termid=17159")</f>
        <v>https://ceds.ed.gov/cedselementdetails.aspx?termid=17159</v>
      </c>
      <c r="N1366" s="12" t="str">
        <f>HYPERLINK("https://ceds.ed.gov/elementComment.aspx?elementName=Local Education Agency Identification System &amp;elementID=17159", "Click here to submit comment")</f>
        <v>Click here to submit comment</v>
      </c>
    </row>
    <row r="1367" spans="1:14" ht="76.5" x14ac:dyDescent="0.25">
      <c r="A1367" s="15" t="s">
        <v>6138</v>
      </c>
      <c r="B1367" s="15" t="s">
        <v>6139</v>
      </c>
      <c r="C1367" s="15" t="s">
        <v>37</v>
      </c>
      <c r="D1367" s="15" t="s">
        <v>6133</v>
      </c>
      <c r="E1367" s="16"/>
      <c r="F1367" s="15" t="s">
        <v>149</v>
      </c>
      <c r="G1367" s="16"/>
      <c r="H1367" s="12" t="s">
        <v>150</v>
      </c>
      <c r="I1367" s="15" t="s">
        <v>6140</v>
      </c>
      <c r="J1367" s="15" t="s">
        <v>6141</v>
      </c>
      <c r="K1367" s="15" t="s">
        <v>6142</v>
      </c>
      <c r="L1367" s="15" t="s">
        <v>6137</v>
      </c>
      <c r="M1367" s="15" t="str">
        <f>HYPERLINK("https://ceds.ed.gov/cedselementdetails.aspx?termid=17153")</f>
        <v>https://ceds.ed.gov/cedselementdetails.aspx?termid=17153</v>
      </c>
      <c r="N1367" s="15" t="str">
        <f>HYPERLINK("https://ceds.ed.gov/elementComment.aspx?elementName=Local Education Agency Identifier &amp;elementID=17153", "Click here to submit comment")</f>
        <v>Click here to submit comment</v>
      </c>
    </row>
    <row r="1368" spans="1:14" x14ac:dyDescent="0.25">
      <c r="A1368" s="15"/>
      <c r="B1368" s="15"/>
      <c r="C1368" s="15"/>
      <c r="D1368" s="15"/>
      <c r="E1368" s="16"/>
      <c r="F1368" s="15"/>
      <c r="G1368" s="16"/>
      <c r="H1368" s="12"/>
      <c r="I1368" s="15"/>
      <c r="J1368" s="15"/>
      <c r="K1368" s="15"/>
      <c r="L1368" s="15"/>
      <c r="M1368" s="15"/>
      <c r="N1368" s="15"/>
    </row>
    <row r="1369" spans="1:14" ht="76.5" x14ac:dyDescent="0.25">
      <c r="A1369" s="15"/>
      <c r="B1369" s="15"/>
      <c r="C1369" s="15"/>
      <c r="D1369" s="15"/>
      <c r="E1369" s="16"/>
      <c r="F1369" s="15"/>
      <c r="G1369" s="16"/>
      <c r="H1369" s="12" t="s">
        <v>153</v>
      </c>
      <c r="I1369" s="15"/>
      <c r="J1369" s="15"/>
      <c r="K1369" s="15"/>
      <c r="L1369" s="15"/>
      <c r="M1369" s="15"/>
      <c r="N1369" s="15"/>
    </row>
    <row r="1370" spans="1:14" ht="76.5" x14ac:dyDescent="0.25">
      <c r="A1370" s="12" t="s">
        <v>6143</v>
      </c>
      <c r="B1370" s="12" t="s">
        <v>6144</v>
      </c>
      <c r="C1370" s="13" t="s">
        <v>6145</v>
      </c>
      <c r="D1370" s="12" t="s">
        <v>115</v>
      </c>
      <c r="E1370" s="11"/>
      <c r="F1370" s="11"/>
      <c r="G1370" s="11"/>
      <c r="H1370" s="11"/>
      <c r="I1370" s="12" t="s">
        <v>6146</v>
      </c>
      <c r="J1370" s="12" t="s">
        <v>6147</v>
      </c>
      <c r="K1370" s="12" t="s">
        <v>6148</v>
      </c>
      <c r="L1370" s="12" t="s">
        <v>258</v>
      </c>
      <c r="M1370" s="12" t="str">
        <f>HYPERLINK("https://ceds.ed.gov/cedselementdetails.aspx?termid=17173")</f>
        <v>https://ceds.ed.gov/cedselementdetails.aspx?termid=17173</v>
      </c>
      <c r="N1370" s="12" t="str">
        <f>HYPERLINK("https://ceds.ed.gov/elementComment.aspx?elementName=Local Education Agency Improvement Status &amp;elementID=17173", "Click here to submit comment")</f>
        <v>Click here to submit comment</v>
      </c>
    </row>
    <row r="1371" spans="1:14" ht="114.75" x14ac:dyDescent="0.25">
      <c r="A1371" s="12" t="s">
        <v>6149</v>
      </c>
      <c r="B1371" s="12" t="s">
        <v>6150</v>
      </c>
      <c r="C1371" s="13" t="s">
        <v>6151</v>
      </c>
      <c r="D1371" s="12" t="s">
        <v>6152</v>
      </c>
      <c r="E1371" s="11"/>
      <c r="F1371" s="11"/>
      <c r="G1371" s="11"/>
      <c r="H1371" s="11"/>
      <c r="I1371" s="12" t="s">
        <v>6153</v>
      </c>
      <c r="J1371" s="12" t="s">
        <v>6154</v>
      </c>
      <c r="K1371" s="12" t="s">
        <v>6155</v>
      </c>
      <c r="L1371" s="12" t="s">
        <v>258</v>
      </c>
      <c r="M1371" s="12" t="str">
        <f>HYPERLINK("https://ceds.ed.gov/cedselementdetails.aspx?termid=17174")</f>
        <v>https://ceds.ed.gov/cedselementdetails.aspx?termid=17174</v>
      </c>
      <c r="N1371" s="12" t="str">
        <f>HYPERLINK("https://ceds.ed.gov/elementComment.aspx?elementName=Local Education Agency Operational Status &amp;elementID=17174", "Click here to submit comment")</f>
        <v>Click here to submit comment</v>
      </c>
    </row>
    <row r="1372" spans="1:14" ht="25.5" x14ac:dyDescent="0.25">
      <c r="A1372" s="12" t="s">
        <v>6156</v>
      </c>
      <c r="B1372" s="12" t="s">
        <v>6157</v>
      </c>
      <c r="C1372" s="12" t="s">
        <v>37</v>
      </c>
      <c r="D1372" s="12" t="s">
        <v>6152</v>
      </c>
      <c r="E1372" s="11"/>
      <c r="F1372" s="12" t="s">
        <v>6158</v>
      </c>
      <c r="G1372" s="11"/>
      <c r="H1372" s="11"/>
      <c r="I1372" s="12" t="s">
        <v>6159</v>
      </c>
      <c r="J1372" s="12" t="s">
        <v>6160</v>
      </c>
      <c r="K1372" s="12" t="s">
        <v>6161</v>
      </c>
      <c r="L1372" s="12" t="s">
        <v>258</v>
      </c>
      <c r="M1372" s="12" t="str">
        <f>HYPERLINK("https://ceds.ed.gov/cedselementdetails.aspx?termid=17175")</f>
        <v>https://ceds.ed.gov/cedselementdetails.aspx?termid=17175</v>
      </c>
      <c r="N1372" s="12" t="str">
        <f>HYPERLINK("https://ceds.ed.gov/elementComment.aspx?elementName=Local Education Agency Supervisory Union Identification Number &amp;elementID=17175", "Click here to submit comment")</f>
        <v>Click here to submit comment</v>
      </c>
    </row>
    <row r="1373" spans="1:14" ht="38.25" x14ac:dyDescent="0.25">
      <c r="A1373" s="12" t="s">
        <v>6162</v>
      </c>
      <c r="B1373" s="12" t="s">
        <v>6163</v>
      </c>
      <c r="C1373" s="12" t="s">
        <v>24</v>
      </c>
      <c r="D1373" s="12" t="s">
        <v>6126</v>
      </c>
      <c r="E1373" s="11"/>
      <c r="F1373" s="11"/>
      <c r="G1373" s="11"/>
      <c r="H1373" s="11"/>
      <c r="I1373" s="12" t="s">
        <v>6164</v>
      </c>
      <c r="J1373" s="12" t="s">
        <v>6165</v>
      </c>
      <c r="K1373" s="12" t="s">
        <v>6166</v>
      </c>
      <c r="L1373" s="12" t="s">
        <v>245</v>
      </c>
      <c r="M1373" s="12" t="str">
        <f>HYPERLINK("https://ceds.ed.gov/cedselementdetails.aspx?termid=17436")</f>
        <v>https://ceds.ed.gov/cedselementdetails.aspx?termid=17436</v>
      </c>
      <c r="N1373" s="12" t="str">
        <f>HYPERLINK("https://ceds.ed.gov/elementComment.aspx?elementName=Local Education Agency Transferability of Funds &amp;elementID=17436", "Click here to submit comment")</f>
        <v>Click here to submit comment</v>
      </c>
    </row>
    <row r="1374" spans="1:14" ht="190.5" customHeight="1" x14ac:dyDescent="0.25">
      <c r="A1374" s="15" t="s">
        <v>6167</v>
      </c>
      <c r="B1374" s="15" t="s">
        <v>6168</v>
      </c>
      <c r="C1374" s="17" t="s">
        <v>6169</v>
      </c>
      <c r="D1374" s="15" t="s">
        <v>6152</v>
      </c>
      <c r="E1374" s="16"/>
      <c r="F1374" s="16"/>
      <c r="G1374" s="16"/>
      <c r="H1374" s="12" t="s">
        <v>6170</v>
      </c>
      <c r="I1374" s="15" t="s">
        <v>6171</v>
      </c>
      <c r="J1374" s="16"/>
      <c r="K1374" s="15" t="s">
        <v>6172</v>
      </c>
      <c r="L1374" s="15" t="s">
        <v>258</v>
      </c>
      <c r="M1374" s="15" t="str">
        <f>HYPERLINK("https://ceds.ed.gov/cedselementdetails.aspx?termid=17528")</f>
        <v>https://ceds.ed.gov/cedselementdetails.aspx?termid=17528</v>
      </c>
      <c r="N1374" s="15" t="str">
        <f>HYPERLINK("https://ceds.ed.gov/elementComment.aspx?elementName=Local Education Agency Type &amp;elementID=17528", "Click here to submit comment")</f>
        <v>Click here to submit comment</v>
      </c>
    </row>
    <row r="1375" spans="1:14" ht="38.25" x14ac:dyDescent="0.25">
      <c r="A1375" s="15"/>
      <c r="B1375" s="15"/>
      <c r="C1375" s="15"/>
      <c r="D1375" s="15"/>
      <c r="E1375" s="16"/>
      <c r="F1375" s="16"/>
      <c r="G1375" s="16"/>
      <c r="H1375" s="12" t="s">
        <v>6173</v>
      </c>
      <c r="I1375" s="15"/>
      <c r="J1375" s="16"/>
      <c r="K1375" s="15"/>
      <c r="L1375" s="15"/>
      <c r="M1375" s="15"/>
      <c r="N1375" s="15"/>
    </row>
    <row r="1376" spans="1:14" ht="409.5" x14ac:dyDescent="0.25">
      <c r="A1376" s="12" t="s">
        <v>6174</v>
      </c>
      <c r="B1376" s="12" t="s">
        <v>6175</v>
      </c>
      <c r="C1376" s="12" t="s">
        <v>37</v>
      </c>
      <c r="D1376" s="12" t="s">
        <v>5738</v>
      </c>
      <c r="E1376" s="11"/>
      <c r="F1376" s="12" t="s">
        <v>1307</v>
      </c>
      <c r="G1376" s="11"/>
      <c r="H1376" s="11"/>
      <c r="I1376" s="12" t="s">
        <v>6176</v>
      </c>
      <c r="J1376" s="11"/>
      <c r="K1376" s="12" t="s">
        <v>6174</v>
      </c>
      <c r="L1376" s="11"/>
      <c r="M1376" s="12" t="str">
        <f>HYPERLINK("https://ceds.ed.gov/cedselementdetails.aspx?termid=17600")</f>
        <v>https://ceds.ed.gov/cedselementdetails.aspx?termid=17600</v>
      </c>
      <c r="N1376" s="12" t="str">
        <f>HYPERLINK("https://ceds.ed.gov/elementComment.aspx?elementName=Longitude &amp;elementID=17600", "Click here to submit comment")</f>
        <v>Click here to submit comment</v>
      </c>
    </row>
    <row r="1377" spans="1:14" ht="140.25" x14ac:dyDescent="0.25">
      <c r="A1377" s="12" t="s">
        <v>6177</v>
      </c>
      <c r="B1377" s="12" t="s">
        <v>6178</v>
      </c>
      <c r="C1377" s="12" t="s">
        <v>24</v>
      </c>
      <c r="D1377" s="12" t="s">
        <v>3630</v>
      </c>
      <c r="E1377" s="11"/>
      <c r="F1377" s="11"/>
      <c r="G1377" s="11"/>
      <c r="H1377" s="11"/>
      <c r="I1377" s="12" t="s">
        <v>6179</v>
      </c>
      <c r="J1377" s="11"/>
      <c r="K1377" s="12" t="s">
        <v>6180</v>
      </c>
      <c r="L1377" s="11"/>
      <c r="M1377" s="12" t="str">
        <f>HYPERLINK("https://ceds.ed.gov/cedselementdetails.aspx?termid=17758")</f>
        <v>https://ceds.ed.gov/cedselementdetails.aspx?termid=17758</v>
      </c>
      <c r="N1377" s="12" t="str">
        <f>HYPERLINK("https://ceds.ed.gov/elementComment.aspx?elementName=Low-income Status &amp;elementID=17758", "Click here to submit comment")</f>
        <v>Click here to submit comment</v>
      </c>
    </row>
    <row r="1378" spans="1:14" ht="114.75" x14ac:dyDescent="0.25">
      <c r="A1378" s="12" t="s">
        <v>6181</v>
      </c>
      <c r="B1378" s="12" t="s">
        <v>6182</v>
      </c>
      <c r="C1378" s="13" t="s">
        <v>6183</v>
      </c>
      <c r="D1378" s="12" t="s">
        <v>262</v>
      </c>
      <c r="E1378" s="11"/>
      <c r="F1378" s="11"/>
      <c r="G1378" s="11"/>
      <c r="H1378" s="11"/>
      <c r="I1378" s="12" t="s">
        <v>6184</v>
      </c>
      <c r="J1378" s="11"/>
      <c r="K1378" s="12" t="s">
        <v>6185</v>
      </c>
      <c r="L1378" s="12" t="s">
        <v>72</v>
      </c>
      <c r="M1378" s="12" t="str">
        <f>HYPERLINK("https://ceds.ed.gov/cedselementdetails.aspx?termid=17181")</f>
        <v>https://ceds.ed.gov/cedselementdetails.aspx?termid=17181</v>
      </c>
      <c r="N1378" s="12" t="str">
        <f>HYPERLINK("https://ceds.ed.gov/elementComment.aspx?elementName=Magnet or Special Program Emphasis School &amp;elementID=17181", "Click here to submit comment")</f>
        <v>Click here to submit comment</v>
      </c>
    </row>
    <row r="1379" spans="1:14" ht="140.25" x14ac:dyDescent="0.25">
      <c r="A1379" s="12" t="s">
        <v>6186</v>
      </c>
      <c r="B1379" s="12" t="s">
        <v>6187</v>
      </c>
      <c r="C1379" s="12" t="s">
        <v>37</v>
      </c>
      <c r="D1379" s="12" t="s">
        <v>6188</v>
      </c>
      <c r="E1379" s="11"/>
      <c r="F1379" s="12" t="s">
        <v>97</v>
      </c>
      <c r="G1379" s="11"/>
      <c r="H1379" s="11"/>
      <c r="I1379" s="12" t="s">
        <v>6189</v>
      </c>
      <c r="J1379" s="11"/>
      <c r="K1379" s="12" t="s">
        <v>6190</v>
      </c>
      <c r="L1379" s="12" t="s">
        <v>72</v>
      </c>
      <c r="M1379" s="12" t="str">
        <f>HYPERLINK("https://ceds.ed.gov/cedselementdetails.aspx?termid=17182")</f>
        <v>https://ceds.ed.gov/cedselementdetails.aspx?termid=17182</v>
      </c>
      <c r="N1379" s="12" t="str">
        <f>HYPERLINK("https://ceds.ed.gov/elementComment.aspx?elementName=Marking Period Name &amp;elementID=17182", "Click here to submit comment")</f>
        <v>Click here to submit comment</v>
      </c>
    </row>
    <row r="1380" spans="1:14" ht="140.25" x14ac:dyDescent="0.25">
      <c r="A1380" s="12" t="s">
        <v>6191</v>
      </c>
      <c r="B1380" s="12" t="s">
        <v>6192</v>
      </c>
      <c r="C1380" s="13" t="s">
        <v>6193</v>
      </c>
      <c r="D1380" s="12" t="s">
        <v>2126</v>
      </c>
      <c r="E1380" s="11"/>
      <c r="F1380" s="11"/>
      <c r="G1380" s="11"/>
      <c r="H1380" s="11"/>
      <c r="I1380" s="12" t="s">
        <v>6194</v>
      </c>
      <c r="J1380" s="11"/>
      <c r="K1380" s="12" t="s">
        <v>6195</v>
      </c>
      <c r="L1380" s="11"/>
      <c r="M1380" s="12" t="str">
        <f>HYPERLINK("https://ceds.ed.gov/cedselementdetails.aspx?termid=18194")</f>
        <v>https://ceds.ed.gov/cedselementdetails.aspx?termid=18194</v>
      </c>
      <c r="N1380" s="12" t="str">
        <f>HYPERLINK("https://ceds.ed.gov/elementComment.aspx?elementName=Maternal Guardian Education &amp;elementID=18194", "Click here to submit comment")</f>
        <v>Click here to submit comment</v>
      </c>
    </row>
    <row r="1381" spans="1:14" ht="51" x14ac:dyDescent="0.25">
      <c r="A1381" s="12" t="s">
        <v>6196</v>
      </c>
      <c r="B1381" s="12" t="s">
        <v>6197</v>
      </c>
      <c r="C1381" s="13" t="s">
        <v>6198</v>
      </c>
      <c r="D1381" s="12" t="s">
        <v>381</v>
      </c>
      <c r="E1381" s="11"/>
      <c r="F1381" s="11"/>
      <c r="G1381" s="11"/>
      <c r="H1381" s="11"/>
      <c r="I1381" s="12" t="s">
        <v>6199</v>
      </c>
      <c r="J1381" s="11"/>
      <c r="K1381" s="12" t="s">
        <v>6200</v>
      </c>
      <c r="L1381" s="12" t="s">
        <v>1751</v>
      </c>
      <c r="M1381" s="12" t="str">
        <f>HYPERLINK("https://ceds.ed.gov/cedselementdetails.aspx?termid=17429")</f>
        <v>https://ceds.ed.gov/cedselementdetails.aspx?termid=17429</v>
      </c>
      <c r="N1381" s="12" t="str">
        <f>HYPERLINK("https://ceds.ed.gov/elementComment.aspx?elementName=Medical Alert Indicator &amp;elementID=17429", "Click here to submit comment")</f>
        <v>Click here to submit comment</v>
      </c>
    </row>
    <row r="1382" spans="1:14" ht="127.5" x14ac:dyDescent="0.25">
      <c r="A1382" s="12" t="s">
        <v>6201</v>
      </c>
      <c r="B1382" s="12" t="s">
        <v>6202</v>
      </c>
      <c r="C1382" s="12" t="s">
        <v>24</v>
      </c>
      <c r="D1382" s="12" t="s">
        <v>76</v>
      </c>
      <c r="E1382" s="11"/>
      <c r="F1382" s="11"/>
      <c r="G1382" s="11"/>
      <c r="H1382" s="12" t="s">
        <v>4450</v>
      </c>
      <c r="I1382" s="12" t="s">
        <v>6203</v>
      </c>
      <c r="J1382" s="11"/>
      <c r="K1382" s="12" t="s">
        <v>6204</v>
      </c>
      <c r="L1382" s="12" t="s">
        <v>80</v>
      </c>
      <c r="M1382" s="12" t="str">
        <f>HYPERLINK("https://ceds.ed.gov/cedselementdetails.aspx?termid=17710")</f>
        <v>https://ceds.ed.gov/cedselementdetails.aspx?termid=17710</v>
      </c>
      <c r="N1382" s="12" t="str">
        <f>HYPERLINK("https://ceds.ed.gov/elementComment.aspx?elementName=Medical School Staff Status &amp;elementID=17710", "Click here to submit comment")</f>
        <v>Click here to submit comment</v>
      </c>
    </row>
    <row r="1383" spans="1:14" ht="51" x14ac:dyDescent="0.25">
      <c r="A1383" s="12" t="s">
        <v>6205</v>
      </c>
      <c r="B1383" s="12" t="s">
        <v>6206</v>
      </c>
      <c r="C1383" s="12" t="s">
        <v>37</v>
      </c>
      <c r="D1383" s="12" t="s">
        <v>6207</v>
      </c>
      <c r="E1383" s="11"/>
      <c r="F1383" s="12" t="s">
        <v>135</v>
      </c>
      <c r="G1383" s="11"/>
      <c r="H1383" s="12" t="s">
        <v>160</v>
      </c>
      <c r="I1383" s="12" t="s">
        <v>6208</v>
      </c>
      <c r="J1383" s="11"/>
      <c r="K1383" s="12" t="s">
        <v>6209</v>
      </c>
      <c r="L1383" s="11"/>
      <c r="M1383" s="12" t="str">
        <f>HYPERLINK("https://ceds.ed.gov/cedselementdetails.aspx?termid=18593")</f>
        <v>https://ceds.ed.gov/cedselementdetails.aspx?termid=18593</v>
      </c>
      <c r="N1383" s="12" t="str">
        <f>HYPERLINK("https://ceds.ed.gov/elementComment.aspx?elementName=Memorandum of Understanding End Date &amp;elementID=18593", "Click here to submit comment")</f>
        <v>Click here to submit comment</v>
      </c>
    </row>
    <row r="1384" spans="1:14" ht="51" x14ac:dyDescent="0.25">
      <c r="A1384" s="12" t="s">
        <v>6210</v>
      </c>
      <c r="B1384" s="12" t="s">
        <v>6211</v>
      </c>
      <c r="C1384" s="12" t="s">
        <v>37</v>
      </c>
      <c r="D1384" s="12" t="s">
        <v>6207</v>
      </c>
      <c r="E1384" s="11"/>
      <c r="F1384" s="12" t="s">
        <v>135</v>
      </c>
      <c r="G1384" s="11"/>
      <c r="H1384" s="11"/>
      <c r="I1384" s="12" t="s">
        <v>6212</v>
      </c>
      <c r="J1384" s="11"/>
      <c r="K1384" s="12" t="s">
        <v>6213</v>
      </c>
      <c r="L1384" s="11"/>
      <c r="M1384" s="12" t="str">
        <f>HYPERLINK("https://ceds.ed.gov/cedselementdetails.aspx?termid=18594")</f>
        <v>https://ceds.ed.gov/cedselementdetails.aspx?termid=18594</v>
      </c>
      <c r="N1384" s="12" t="str">
        <f>HYPERLINK("https://ceds.ed.gov/elementComment.aspx?elementName=Memorandum of Understanding Start Date &amp;elementID=18594", "Click here to submit comment")</f>
        <v>Click here to submit comment</v>
      </c>
    </row>
    <row r="1385" spans="1:14" ht="38.25" x14ac:dyDescent="0.25">
      <c r="A1385" s="12" t="s">
        <v>6214</v>
      </c>
      <c r="B1385" s="12" t="s">
        <v>6215</v>
      </c>
      <c r="C1385" s="13" t="s">
        <v>6216</v>
      </c>
      <c r="D1385" s="12" t="s">
        <v>5083</v>
      </c>
      <c r="E1385" s="11"/>
      <c r="F1385" s="12" t="s">
        <v>175</v>
      </c>
      <c r="G1385" s="11"/>
      <c r="H1385" s="11"/>
      <c r="I1385" s="12" t="s">
        <v>6217</v>
      </c>
      <c r="J1385" s="11"/>
      <c r="K1385" s="12" t="s">
        <v>6218</v>
      </c>
      <c r="L1385" s="11"/>
      <c r="M1385" s="12" t="str">
        <f>HYPERLINK("https://ceds.ed.gov/cedselementdetails.aspx?termid=18482")</f>
        <v>https://ceds.ed.gov/cedselementdetails.aspx?termid=18482</v>
      </c>
      <c r="N1385" s="12" t="str">
        <f>HYPERLINK("https://ceds.ed.gov/elementComment.aspx?elementName=Method of Service Delivery &amp;elementID=18482", "Click here to submit comment")</f>
        <v>Click here to submit comment</v>
      </c>
    </row>
    <row r="1386" spans="1:14" ht="140.25" x14ac:dyDescent="0.25">
      <c r="A1386" s="12" t="s">
        <v>6219</v>
      </c>
      <c r="B1386" s="12" t="s">
        <v>6220</v>
      </c>
      <c r="C1386" s="12" t="s">
        <v>37</v>
      </c>
      <c r="D1386" s="12" t="s">
        <v>6188</v>
      </c>
      <c r="E1386" s="11"/>
      <c r="F1386" s="12" t="s">
        <v>2870</v>
      </c>
      <c r="G1386" s="11"/>
      <c r="H1386" s="11"/>
      <c r="I1386" s="12" t="s">
        <v>6221</v>
      </c>
      <c r="J1386" s="11"/>
      <c r="K1386" s="12" t="s">
        <v>6222</v>
      </c>
      <c r="L1386" s="12" t="s">
        <v>72</v>
      </c>
      <c r="M1386" s="12" t="str">
        <f>HYPERLINK("https://ceds.ed.gov/cedselementdetails.aspx?termid=17183")</f>
        <v>https://ceds.ed.gov/cedselementdetails.aspx?termid=17183</v>
      </c>
      <c r="N1386" s="12" t="str">
        <f>HYPERLINK("https://ceds.ed.gov/elementComment.aspx?elementName=Mid Term Mark &amp;elementID=17183", "Click here to submit comment")</f>
        <v>Click here to submit comment</v>
      </c>
    </row>
    <row r="1387" spans="1:14" ht="409.6" customHeight="1" x14ac:dyDescent="0.25">
      <c r="A1387" s="15" t="s">
        <v>6223</v>
      </c>
      <c r="B1387" s="15" t="s">
        <v>6224</v>
      </c>
      <c r="C1387" s="15" t="s">
        <v>37</v>
      </c>
      <c r="D1387" s="15" t="s">
        <v>6225</v>
      </c>
      <c r="E1387" s="16"/>
      <c r="F1387" s="15" t="s">
        <v>1468</v>
      </c>
      <c r="G1387" s="16"/>
      <c r="H1387" s="12" t="s">
        <v>4746</v>
      </c>
      <c r="I1387" s="15" t="s">
        <v>6226</v>
      </c>
      <c r="J1387" s="16"/>
      <c r="K1387" s="15" t="s">
        <v>6227</v>
      </c>
      <c r="L1387" s="15" t="s">
        <v>4673</v>
      </c>
      <c r="M1387" s="15" t="str">
        <f>HYPERLINK("https://ceds.ed.gov/cedselementdetails.aspx?termid=17184")</f>
        <v>https://ceds.ed.gov/cedselementdetails.aspx?termid=17184</v>
      </c>
      <c r="N1387" s="15" t="str">
        <f>HYPERLINK("https://ceds.ed.gov/elementComment.aspx?elementName=Middle Name &amp;elementID=17184", "Click here to submit comment")</f>
        <v>Click here to submit comment</v>
      </c>
    </row>
    <row r="1388" spans="1:14" ht="63.75" x14ac:dyDescent="0.25">
      <c r="A1388" s="15"/>
      <c r="B1388" s="15"/>
      <c r="C1388" s="15"/>
      <c r="D1388" s="15"/>
      <c r="E1388" s="16"/>
      <c r="F1388" s="15"/>
      <c r="G1388" s="16"/>
      <c r="H1388" s="12" t="s">
        <v>4750</v>
      </c>
      <c r="I1388" s="15"/>
      <c r="J1388" s="16"/>
      <c r="K1388" s="15"/>
      <c r="L1388" s="15"/>
      <c r="M1388" s="15"/>
      <c r="N1388" s="15"/>
    </row>
    <row r="1389" spans="1:14" ht="51" x14ac:dyDescent="0.25">
      <c r="A1389" s="12" t="s">
        <v>6228</v>
      </c>
      <c r="B1389" s="12" t="s">
        <v>6229</v>
      </c>
      <c r="C1389" s="12" t="s">
        <v>24</v>
      </c>
      <c r="D1389" s="12" t="s">
        <v>2793</v>
      </c>
      <c r="E1389" s="11"/>
      <c r="F1389" s="11"/>
      <c r="G1389" s="11"/>
      <c r="H1389" s="11"/>
      <c r="I1389" s="12" t="s">
        <v>6230</v>
      </c>
      <c r="J1389" s="12" t="s">
        <v>6231</v>
      </c>
      <c r="K1389" s="12" t="s">
        <v>6232</v>
      </c>
      <c r="L1389" s="12" t="s">
        <v>258</v>
      </c>
      <c r="M1389" s="12" t="str">
        <f>HYPERLINK("https://ceds.ed.gov/cedselementdetails.aspx?termid=17555")</f>
        <v>https://ceds.ed.gov/cedselementdetails.aspx?termid=17555</v>
      </c>
      <c r="N1389" s="12" t="str">
        <f>HYPERLINK("https://ceds.ed.gov/elementComment.aspx?elementName=Migrant Education Program Continuation of Services Status &amp;elementID=17555", "Click here to submit comment")</f>
        <v>Click here to submit comment</v>
      </c>
    </row>
    <row r="1390" spans="1:14" ht="89.25" x14ac:dyDescent="0.25">
      <c r="A1390" s="12" t="s">
        <v>6233</v>
      </c>
      <c r="B1390" s="12" t="s">
        <v>6234</v>
      </c>
      <c r="C1390" s="12" t="s">
        <v>37</v>
      </c>
      <c r="D1390" s="12" t="s">
        <v>2793</v>
      </c>
      <c r="E1390" s="11"/>
      <c r="F1390" s="12" t="s">
        <v>135</v>
      </c>
      <c r="G1390" s="11"/>
      <c r="H1390" s="11"/>
      <c r="I1390" s="12" t="s">
        <v>6235</v>
      </c>
      <c r="J1390" s="12" t="s">
        <v>6236</v>
      </c>
      <c r="K1390" s="12" t="s">
        <v>6237</v>
      </c>
      <c r="L1390" s="12" t="s">
        <v>1751</v>
      </c>
      <c r="M1390" s="12" t="str">
        <f>HYPERLINK("https://ceds.ed.gov/cedselementdetails.aspx?termid=17420")</f>
        <v>https://ceds.ed.gov/cedselementdetails.aspx?termid=17420</v>
      </c>
      <c r="N1390" s="12" t="str">
        <f>HYPERLINK("https://ceds.ed.gov/elementComment.aspx?elementName=Migrant Education Program Eligibility Expiration Date &amp;elementID=17420", "Click here to submit comment")</f>
        <v>Click here to submit comment</v>
      </c>
    </row>
    <row r="1391" spans="1:14" ht="114.75" x14ac:dyDescent="0.25">
      <c r="A1391" s="12" t="s">
        <v>6238</v>
      </c>
      <c r="B1391" s="12" t="s">
        <v>6239</v>
      </c>
      <c r="C1391" s="13" t="s">
        <v>6240</v>
      </c>
      <c r="D1391" s="12" t="s">
        <v>2793</v>
      </c>
      <c r="E1391" s="11"/>
      <c r="F1391" s="11"/>
      <c r="G1391" s="11"/>
      <c r="H1391" s="11"/>
      <c r="I1391" s="12" t="s">
        <v>6241</v>
      </c>
      <c r="J1391" s="12" t="s">
        <v>6242</v>
      </c>
      <c r="K1391" s="12" t="s">
        <v>6243</v>
      </c>
      <c r="L1391" s="12" t="s">
        <v>1751</v>
      </c>
      <c r="M1391" s="12" t="str">
        <f>HYPERLINK("https://ceds.ed.gov/cedselementdetails.aspx?termid=17427")</f>
        <v>https://ceds.ed.gov/cedselementdetails.aspx?termid=17427</v>
      </c>
      <c r="N1391" s="12" t="str">
        <f>HYPERLINK("https://ceds.ed.gov/elementComment.aspx?elementName=Migrant Education Program Enrollment Type &amp;elementID=17427", "Click here to submit comment")</f>
        <v>Click here to submit comment</v>
      </c>
    </row>
    <row r="1392" spans="1:14" ht="38.25" x14ac:dyDescent="0.25">
      <c r="A1392" s="12" t="s">
        <v>6244</v>
      </c>
      <c r="B1392" s="12" t="s">
        <v>6245</v>
      </c>
      <c r="C1392" s="12" t="s">
        <v>24</v>
      </c>
      <c r="D1392" s="12" t="s">
        <v>2793</v>
      </c>
      <c r="E1392" s="11"/>
      <c r="F1392" s="11"/>
      <c r="G1392" s="11"/>
      <c r="H1392" s="11"/>
      <c r="I1392" s="12" t="s">
        <v>6246</v>
      </c>
      <c r="J1392" s="12" t="s">
        <v>6247</v>
      </c>
      <c r="K1392" s="12" t="s">
        <v>6248</v>
      </c>
      <c r="L1392" s="12" t="s">
        <v>258</v>
      </c>
      <c r="M1392" s="12" t="str">
        <f>HYPERLINK("https://ceds.ed.gov/cedselementdetails.aspx?termid=17185")</f>
        <v>https://ceds.ed.gov/cedselementdetails.aspx?termid=17185</v>
      </c>
      <c r="N1392" s="12" t="str">
        <f>HYPERLINK("https://ceds.ed.gov/elementComment.aspx?elementName=Migrant Education Program Participation Status &amp;elementID=17185", "Click here to submit comment")</f>
        <v>Click here to submit comment</v>
      </c>
    </row>
    <row r="1393" spans="1:14" ht="51" x14ac:dyDescent="0.25">
      <c r="A1393" s="12" t="s">
        <v>6249</v>
      </c>
      <c r="B1393" s="12" t="s">
        <v>6250</v>
      </c>
      <c r="C1393" s="12" t="s">
        <v>24</v>
      </c>
      <c r="D1393" s="12" t="s">
        <v>2804</v>
      </c>
      <c r="E1393" s="11"/>
      <c r="F1393" s="11"/>
      <c r="G1393" s="11"/>
      <c r="H1393" s="11"/>
      <c r="I1393" s="12" t="s">
        <v>6251</v>
      </c>
      <c r="J1393" s="12" t="s">
        <v>6252</v>
      </c>
      <c r="K1393" s="12" t="s">
        <v>6253</v>
      </c>
      <c r="L1393" s="12" t="s">
        <v>258</v>
      </c>
      <c r="M1393" s="12" t="str">
        <f>HYPERLINK("https://ceds.ed.gov/cedselementdetails.aspx?termid=17534")</f>
        <v>https://ceds.ed.gov/cedselementdetails.aspx?termid=17534</v>
      </c>
      <c r="N1393" s="12" t="str">
        <f>HYPERLINK("https://ceds.ed.gov/elementComment.aspx?elementName=Migrant Education Program Personnel Indicator &amp;elementID=17534", "Click here to submit comment")</f>
        <v>Click here to submit comment</v>
      </c>
    </row>
    <row r="1394" spans="1:14" ht="51" x14ac:dyDescent="0.25">
      <c r="A1394" s="12" t="s">
        <v>6254</v>
      </c>
      <c r="B1394" s="12" t="s">
        <v>6255</v>
      </c>
      <c r="C1394" s="13" t="s">
        <v>6256</v>
      </c>
      <c r="D1394" s="12" t="s">
        <v>2793</v>
      </c>
      <c r="E1394" s="11"/>
      <c r="F1394" s="11"/>
      <c r="G1394" s="11"/>
      <c r="H1394" s="11"/>
      <c r="I1394" s="12" t="s">
        <v>6257</v>
      </c>
      <c r="J1394" s="12" t="s">
        <v>6258</v>
      </c>
      <c r="K1394" s="12" t="s">
        <v>6259</v>
      </c>
      <c r="L1394" s="12" t="s">
        <v>1751</v>
      </c>
      <c r="M1394" s="12" t="str">
        <f>HYPERLINK("https://ceds.ed.gov/cedselementdetails.aspx?termid=17430")</f>
        <v>https://ceds.ed.gov/cedselementdetails.aspx?termid=17430</v>
      </c>
      <c r="N1394" s="12" t="str">
        <f>HYPERLINK("https://ceds.ed.gov/elementComment.aspx?elementName=Migrant Education Program Project Based &amp;elementID=17430", "Click here to submit comment")</f>
        <v>Click here to submit comment</v>
      </c>
    </row>
    <row r="1395" spans="1:14" ht="102" x14ac:dyDescent="0.25">
      <c r="A1395" s="12" t="s">
        <v>6260</v>
      </c>
      <c r="B1395" s="12" t="s">
        <v>6261</v>
      </c>
      <c r="C1395" s="13" t="s">
        <v>6262</v>
      </c>
      <c r="D1395" s="12" t="s">
        <v>5704</v>
      </c>
      <c r="E1395" s="11"/>
      <c r="F1395" s="11"/>
      <c r="G1395" s="11"/>
      <c r="H1395" s="11"/>
      <c r="I1395" s="12" t="s">
        <v>6263</v>
      </c>
      <c r="J1395" s="12" t="s">
        <v>6264</v>
      </c>
      <c r="K1395" s="12" t="s">
        <v>6265</v>
      </c>
      <c r="L1395" s="12" t="s">
        <v>245</v>
      </c>
      <c r="M1395" s="12" t="str">
        <f>HYPERLINK("https://ceds.ed.gov/cedselementdetails.aspx?termid=17453")</f>
        <v>https://ceds.ed.gov/cedselementdetails.aspx?termid=17453</v>
      </c>
      <c r="N1395" s="12" t="str">
        <f>HYPERLINK("https://ceds.ed.gov/elementComment.aspx?elementName=Migrant Education Program Project Type &amp;elementID=17453", "Click here to submit comment")</f>
        <v>Click here to submit comment</v>
      </c>
    </row>
    <row r="1396" spans="1:14" ht="114.75" x14ac:dyDescent="0.25">
      <c r="A1396" s="12" t="s">
        <v>6266</v>
      </c>
      <c r="B1396" s="12" t="s">
        <v>6267</v>
      </c>
      <c r="C1396" s="13" t="s">
        <v>6268</v>
      </c>
      <c r="D1396" s="12" t="s">
        <v>2793</v>
      </c>
      <c r="E1396" s="11"/>
      <c r="F1396" s="11"/>
      <c r="G1396" s="11"/>
      <c r="H1396" s="11"/>
      <c r="I1396" s="12" t="s">
        <v>6269</v>
      </c>
      <c r="J1396" s="12" t="s">
        <v>6270</v>
      </c>
      <c r="K1396" s="12" t="s">
        <v>6271</v>
      </c>
      <c r="L1396" s="12" t="s">
        <v>258</v>
      </c>
      <c r="M1396" s="12" t="str">
        <f>HYPERLINK("https://ceds.ed.gov/cedselementdetails.aspx?termid=17186")</f>
        <v>https://ceds.ed.gov/cedselementdetails.aspx?termid=17186</v>
      </c>
      <c r="N1396" s="12" t="str">
        <f>HYPERLINK("https://ceds.ed.gov/elementComment.aspx?elementName=Migrant Education Program Services Type &amp;elementID=17186", "Click here to submit comment")</f>
        <v>Click here to submit comment</v>
      </c>
    </row>
    <row r="1397" spans="1:14" ht="51" x14ac:dyDescent="0.25">
      <c r="A1397" s="12" t="s">
        <v>6272</v>
      </c>
      <c r="B1397" s="12" t="s">
        <v>6273</v>
      </c>
      <c r="C1397" s="13" t="s">
        <v>6274</v>
      </c>
      <c r="D1397" s="12" t="s">
        <v>5704</v>
      </c>
      <c r="E1397" s="11"/>
      <c r="F1397" s="11"/>
      <c r="G1397" s="11"/>
      <c r="H1397" s="11"/>
      <c r="I1397" s="12" t="s">
        <v>6275</v>
      </c>
      <c r="J1397" s="12" t="s">
        <v>6276</v>
      </c>
      <c r="K1397" s="12" t="s">
        <v>6277</v>
      </c>
      <c r="L1397" s="12" t="s">
        <v>258</v>
      </c>
      <c r="M1397" s="12" t="str">
        <f>HYPERLINK("https://ceds.ed.gov/cedselementdetails.aspx?termid=17187")</f>
        <v>https://ceds.ed.gov/cedselementdetails.aspx?termid=17187</v>
      </c>
      <c r="N1397" s="12" t="str">
        <f>HYPERLINK("https://ceds.ed.gov/elementComment.aspx?elementName=Migrant Education Program Session Type &amp;elementID=17187", "Click here to submit comment")</f>
        <v>Click here to submit comment</v>
      </c>
    </row>
    <row r="1398" spans="1:14" ht="102" x14ac:dyDescent="0.25">
      <c r="A1398" s="12" t="s">
        <v>6278</v>
      </c>
      <c r="B1398" s="12" t="s">
        <v>6279</v>
      </c>
      <c r="C1398" s="13" t="s">
        <v>6280</v>
      </c>
      <c r="D1398" s="12" t="s">
        <v>5686</v>
      </c>
      <c r="E1398" s="11"/>
      <c r="F1398" s="11"/>
      <c r="G1398" s="11"/>
      <c r="H1398" s="12" t="s">
        <v>6281</v>
      </c>
      <c r="I1398" s="12" t="s">
        <v>6282</v>
      </c>
      <c r="J1398" s="12" t="s">
        <v>6283</v>
      </c>
      <c r="K1398" s="12" t="s">
        <v>6284</v>
      </c>
      <c r="L1398" s="12" t="s">
        <v>258</v>
      </c>
      <c r="M1398" s="12" t="str">
        <f>HYPERLINK("https://ceds.ed.gov/cedselementdetails.aspx?termid=17188")</f>
        <v>https://ceds.ed.gov/cedselementdetails.aspx?termid=17188</v>
      </c>
      <c r="N1398" s="12" t="str">
        <f>HYPERLINK("https://ceds.ed.gov/elementComment.aspx?elementName=Migrant Education Program Staff Category &amp;elementID=17188", "Click here to submit comment")</f>
        <v>Click here to submit comment</v>
      </c>
    </row>
    <row r="1399" spans="1:14" ht="89.25" x14ac:dyDescent="0.25">
      <c r="A1399" s="12" t="s">
        <v>6285</v>
      </c>
      <c r="B1399" s="12" t="s">
        <v>6286</v>
      </c>
      <c r="C1399" s="12" t="s">
        <v>24</v>
      </c>
      <c r="D1399" s="12" t="s">
        <v>2793</v>
      </c>
      <c r="E1399" s="11"/>
      <c r="F1399" s="11"/>
      <c r="G1399" s="11"/>
      <c r="H1399" s="11"/>
      <c r="I1399" s="12" t="s">
        <v>6287</v>
      </c>
      <c r="J1399" s="11"/>
      <c r="K1399" s="12" t="s">
        <v>6288</v>
      </c>
      <c r="L1399" s="12" t="s">
        <v>258</v>
      </c>
      <c r="M1399" s="12" t="str">
        <f>HYPERLINK("https://ceds.ed.gov/cedselementdetails.aspx?termid=17554")</f>
        <v>https://ceds.ed.gov/cedselementdetails.aspx?termid=17554</v>
      </c>
      <c r="N1399" s="12" t="str">
        <f>HYPERLINK("https://ceds.ed.gov/elementComment.aspx?elementName=Migrant Prioritized for Services &amp;elementID=17554", "Click here to submit comment")</f>
        <v>Click here to submit comment</v>
      </c>
    </row>
    <row r="1400" spans="1:14" ht="204" x14ac:dyDescent="0.25">
      <c r="A1400" s="12" t="s">
        <v>6289</v>
      </c>
      <c r="B1400" s="12" t="s">
        <v>6290</v>
      </c>
      <c r="C1400" s="12" t="s">
        <v>24</v>
      </c>
      <c r="D1400" s="12" t="s">
        <v>6291</v>
      </c>
      <c r="E1400" s="11"/>
      <c r="F1400" s="11"/>
      <c r="G1400" s="11"/>
      <c r="H1400" s="11"/>
      <c r="I1400" s="12" t="s">
        <v>6292</v>
      </c>
      <c r="J1400" s="11"/>
      <c r="K1400" s="12" t="s">
        <v>6293</v>
      </c>
      <c r="L1400" s="12" t="s">
        <v>2157</v>
      </c>
      <c r="M1400" s="12" t="str">
        <f>HYPERLINK("https://ceds.ed.gov/cedselementdetails.aspx?termid=17189")</f>
        <v>https://ceds.ed.gov/cedselementdetails.aspx?termid=17189</v>
      </c>
      <c r="N1400" s="12" t="str">
        <f>HYPERLINK("https://ceds.ed.gov/elementComment.aspx?elementName=Migrant Status &amp;elementID=17189", "Click here to submit comment")</f>
        <v>Click here to submit comment</v>
      </c>
    </row>
    <row r="1401" spans="1:14" ht="153" x14ac:dyDescent="0.25">
      <c r="A1401" s="12" t="s">
        <v>6294</v>
      </c>
      <c r="B1401" s="12" t="s">
        <v>6295</v>
      </c>
      <c r="C1401" s="12" t="s">
        <v>37</v>
      </c>
      <c r="D1401" s="12" t="s">
        <v>2793</v>
      </c>
      <c r="E1401" s="11"/>
      <c r="F1401" s="12" t="s">
        <v>135</v>
      </c>
      <c r="G1401" s="11"/>
      <c r="H1401" s="11"/>
      <c r="I1401" s="12" t="s">
        <v>6296</v>
      </c>
      <c r="J1401" s="11"/>
      <c r="K1401" s="12" t="s">
        <v>6297</v>
      </c>
      <c r="L1401" s="12" t="s">
        <v>1751</v>
      </c>
      <c r="M1401" s="12" t="str">
        <f>HYPERLINK("https://ceds.ed.gov/cedselementdetails.aspx?termid=17422")</f>
        <v>https://ceds.ed.gov/cedselementdetails.aspx?termid=17422</v>
      </c>
      <c r="N1401" s="12" t="str">
        <f>HYPERLINK("https://ceds.ed.gov/elementComment.aspx?elementName=Migrant Student Qualifying Arrival Date &amp;elementID=17422", "Click here to submit comment")</f>
        <v>Click here to submit comment</v>
      </c>
    </row>
    <row r="1402" spans="1:14" ht="89.25" x14ac:dyDescent="0.25">
      <c r="A1402" s="12" t="s">
        <v>6298</v>
      </c>
      <c r="B1402" s="12" t="s">
        <v>6299</v>
      </c>
      <c r="C1402" s="13" t="s">
        <v>6300</v>
      </c>
      <c r="D1402" s="12" t="s">
        <v>6301</v>
      </c>
      <c r="E1402" s="11"/>
      <c r="F1402" s="11"/>
      <c r="G1402" s="11"/>
      <c r="H1402" s="11"/>
      <c r="I1402" s="12" t="s">
        <v>6302</v>
      </c>
      <c r="J1402" s="11"/>
      <c r="K1402" s="12" t="s">
        <v>6303</v>
      </c>
      <c r="L1402" s="11"/>
      <c r="M1402" s="12" t="str">
        <f>HYPERLINK("https://ceds.ed.gov/cedselementdetails.aspx?termid=18556")</f>
        <v>https://ceds.ed.gov/cedselementdetails.aspx?termid=18556</v>
      </c>
      <c r="N1402" s="12" t="str">
        <f>HYPERLINK("https://ceds.ed.gov/elementComment.aspx?elementName=Military Active Student Indicator &amp;elementID=18556", "Click here to submit comment")</f>
        <v>Click here to submit comment</v>
      </c>
    </row>
    <row r="1403" spans="1:14" ht="369.75" x14ac:dyDescent="0.25">
      <c r="A1403" s="12" t="s">
        <v>6304</v>
      </c>
      <c r="B1403" s="12" t="s">
        <v>6305</v>
      </c>
      <c r="C1403" s="13" t="s">
        <v>6306</v>
      </c>
      <c r="D1403" s="12" t="s">
        <v>6307</v>
      </c>
      <c r="E1403" s="12" t="s">
        <v>195</v>
      </c>
      <c r="F1403" s="11"/>
      <c r="G1403" s="12" t="s">
        <v>6308</v>
      </c>
      <c r="H1403" s="11"/>
      <c r="I1403" s="12" t="s">
        <v>6309</v>
      </c>
      <c r="J1403" s="11"/>
      <c r="K1403" s="12" t="s">
        <v>6310</v>
      </c>
      <c r="L1403" s="11"/>
      <c r="M1403" s="12" t="str">
        <f>HYPERLINK("https://ceds.ed.gov/cedselementdetails.aspx?termid=18621")</f>
        <v>https://ceds.ed.gov/cedselementdetails.aspx?termid=18621</v>
      </c>
      <c r="N1403" s="12" t="str">
        <f>HYPERLINK("https://ceds.ed.gov/elementComment.aspx?elementName=Military Branch &amp;elementID=18621", "Click here to submit comment")</f>
        <v>Click here to submit comment</v>
      </c>
    </row>
    <row r="1404" spans="1:14" ht="89.25" x14ac:dyDescent="0.25">
      <c r="A1404" s="12" t="s">
        <v>6311</v>
      </c>
      <c r="B1404" s="12" t="s">
        <v>6312</v>
      </c>
      <c r="C1404" s="13" t="s">
        <v>6313</v>
      </c>
      <c r="D1404" s="12" t="s">
        <v>2338</v>
      </c>
      <c r="E1404" s="11"/>
      <c r="F1404" s="11"/>
      <c r="G1404" s="11"/>
      <c r="H1404" s="11"/>
      <c r="I1404" s="12" t="s">
        <v>6314</v>
      </c>
      <c r="J1404" s="11"/>
      <c r="K1404" s="12" t="s">
        <v>6315</v>
      </c>
      <c r="L1404" s="11"/>
      <c r="M1404" s="12" t="str">
        <f>HYPERLINK("https://ceds.ed.gov/cedselementdetails.aspx?termid=18555")</f>
        <v>https://ceds.ed.gov/cedselementdetails.aspx?termid=18555</v>
      </c>
      <c r="N1404" s="12" t="str">
        <f>HYPERLINK("https://ceds.ed.gov/elementComment.aspx?elementName=Military Connected Student Indicator &amp;elementID=18555", "Click here to submit comment")</f>
        <v>Click here to submit comment</v>
      </c>
    </row>
    <row r="1405" spans="1:14" ht="153" x14ac:dyDescent="0.25">
      <c r="A1405" s="12" t="s">
        <v>6316</v>
      </c>
      <c r="B1405" s="12" t="s">
        <v>6317</v>
      </c>
      <c r="C1405" s="12" t="s">
        <v>24</v>
      </c>
      <c r="D1405" s="12" t="s">
        <v>3986</v>
      </c>
      <c r="E1405" s="11"/>
      <c r="F1405" s="11"/>
      <c r="G1405" s="11"/>
      <c r="H1405" s="12" t="s">
        <v>6318</v>
      </c>
      <c r="I1405" s="12" t="s">
        <v>6319</v>
      </c>
      <c r="J1405" s="11"/>
      <c r="K1405" s="12" t="s">
        <v>6320</v>
      </c>
      <c r="L1405" s="11"/>
      <c r="M1405" s="12" t="str">
        <f>HYPERLINK("https://ceds.ed.gov/cedselementdetails.aspx?termid=18381")</f>
        <v>https://ceds.ed.gov/cedselementdetails.aspx?termid=18381</v>
      </c>
      <c r="N1405" s="12" t="str">
        <f>HYPERLINK("https://ceds.ed.gov/elementComment.aspx?elementName=Military Enlistment After Exit &amp;elementID=18381", "Click here to submit comment")</f>
        <v>Click here to submit comment</v>
      </c>
    </row>
    <row r="1406" spans="1:14" ht="89.25" x14ac:dyDescent="0.25">
      <c r="A1406" s="12" t="s">
        <v>6321</v>
      </c>
      <c r="B1406" s="12" t="s">
        <v>6322</v>
      </c>
      <c r="C1406" s="13" t="s">
        <v>6323</v>
      </c>
      <c r="D1406" s="12" t="s">
        <v>6301</v>
      </c>
      <c r="E1406" s="11"/>
      <c r="F1406" s="11"/>
      <c r="G1406" s="11"/>
      <c r="H1406" s="11"/>
      <c r="I1406" s="12" t="s">
        <v>6324</v>
      </c>
      <c r="J1406" s="11"/>
      <c r="K1406" s="12" t="s">
        <v>6325</v>
      </c>
      <c r="L1406" s="11"/>
      <c r="M1406" s="12" t="str">
        <f>HYPERLINK("https://ceds.ed.gov/cedselementdetails.aspx?termid=18557")</f>
        <v>https://ceds.ed.gov/cedselementdetails.aspx?termid=18557</v>
      </c>
      <c r="N1406" s="12" t="str">
        <f>HYPERLINK("https://ceds.ed.gov/elementComment.aspx?elementName=Military Veteran Student Indicator &amp;elementID=18557", "Click here to submit comment")</f>
        <v>Click here to submit comment</v>
      </c>
    </row>
    <row r="1407" spans="1:14" ht="25.5" x14ac:dyDescent="0.25">
      <c r="A1407" s="12" t="s">
        <v>6326</v>
      </c>
      <c r="B1407" s="12" t="s">
        <v>6327</v>
      </c>
      <c r="C1407" s="12" t="s">
        <v>37</v>
      </c>
      <c r="D1407" s="12" t="s">
        <v>3457</v>
      </c>
      <c r="E1407" s="11"/>
      <c r="F1407" s="12" t="s">
        <v>370</v>
      </c>
      <c r="G1407" s="11"/>
      <c r="H1407" s="11"/>
      <c r="I1407" s="12" t="s">
        <v>6328</v>
      </c>
      <c r="J1407" s="11"/>
      <c r="K1407" s="12" t="s">
        <v>6329</v>
      </c>
      <c r="L1407" s="11"/>
      <c r="M1407" s="12" t="str">
        <f>HYPERLINK("https://ceds.ed.gov/cedselementdetails.aspx?termid=17491")</f>
        <v>https://ceds.ed.gov/cedselementdetails.aspx?termid=17491</v>
      </c>
      <c r="N1407" s="12" t="str">
        <f>HYPERLINK("https://ceds.ed.gov/elementComment.aspx?elementName=Minutes Per Day &amp;elementID=17491", "Click here to submit comment")</f>
        <v>Click here to submit comment</v>
      </c>
    </row>
    <row r="1408" spans="1:14" ht="51" x14ac:dyDescent="0.25">
      <c r="A1408" s="12" t="s">
        <v>6330</v>
      </c>
      <c r="B1408" s="12" t="s">
        <v>6331</v>
      </c>
      <c r="C1408" s="12" t="s">
        <v>37</v>
      </c>
      <c r="D1408" s="12" t="s">
        <v>6332</v>
      </c>
      <c r="E1408" s="11"/>
      <c r="F1408" s="12" t="s">
        <v>135</v>
      </c>
      <c r="G1408" s="11"/>
      <c r="H1408" s="12" t="s">
        <v>160</v>
      </c>
      <c r="I1408" s="12" t="s">
        <v>6333</v>
      </c>
      <c r="J1408" s="11"/>
      <c r="K1408" s="12" t="s">
        <v>6334</v>
      </c>
      <c r="L1408" s="11"/>
      <c r="M1408" s="12" t="str">
        <f>HYPERLINK("https://ceds.ed.gov/cedselementdetails.aspx?termid=18298")</f>
        <v>https://ceds.ed.gov/cedselementdetails.aspx?termid=18298</v>
      </c>
      <c r="N1408" s="12" t="str">
        <f>HYPERLINK("https://ceds.ed.gov/elementComment.aspx?elementName=Monitoring Visit End Date &amp;elementID=18298", "Click here to submit comment")</f>
        <v>Click here to submit comment</v>
      </c>
    </row>
    <row r="1409" spans="1:14" ht="25.5" x14ac:dyDescent="0.25">
      <c r="A1409" s="12" t="s">
        <v>6335</v>
      </c>
      <c r="B1409" s="12" t="s">
        <v>6336</v>
      </c>
      <c r="C1409" s="12" t="s">
        <v>37</v>
      </c>
      <c r="D1409" s="12" t="s">
        <v>6332</v>
      </c>
      <c r="E1409" s="11"/>
      <c r="F1409" s="12" t="s">
        <v>135</v>
      </c>
      <c r="G1409" s="11"/>
      <c r="H1409" s="11"/>
      <c r="I1409" s="12" t="s">
        <v>6337</v>
      </c>
      <c r="J1409" s="11"/>
      <c r="K1409" s="12" t="s">
        <v>6338</v>
      </c>
      <c r="L1409" s="11"/>
      <c r="M1409" s="12" t="str">
        <f>HYPERLINK("https://ceds.ed.gov/cedselementdetails.aspx?termid=18297")</f>
        <v>https://ceds.ed.gov/cedselementdetails.aspx?termid=18297</v>
      </c>
      <c r="N1409" s="12" t="str">
        <f>HYPERLINK("https://ceds.ed.gov/elementComment.aspx?elementName=Monitoring Visit Start Date &amp;elementID=18297", "Click here to submit comment")</f>
        <v>Click here to submit comment</v>
      </c>
    </row>
    <row r="1410" spans="1:14" ht="38.25" x14ac:dyDescent="0.25">
      <c r="A1410" s="12" t="s">
        <v>6339</v>
      </c>
      <c r="B1410" s="12" t="s">
        <v>6340</v>
      </c>
      <c r="C1410" s="12" t="s">
        <v>24</v>
      </c>
      <c r="D1410" s="12" t="s">
        <v>2793</v>
      </c>
      <c r="E1410" s="11"/>
      <c r="F1410" s="11"/>
      <c r="G1410" s="11"/>
      <c r="H1410" s="11"/>
      <c r="I1410" s="12" t="s">
        <v>6341</v>
      </c>
      <c r="J1410" s="11"/>
      <c r="K1410" s="12" t="s">
        <v>6342</v>
      </c>
      <c r="L1410" s="12" t="s">
        <v>1751</v>
      </c>
      <c r="M1410" s="12" t="str">
        <f>HYPERLINK("https://ceds.ed.gov/cedselementdetails.aspx?termid=17421")</f>
        <v>https://ceds.ed.gov/cedselementdetails.aspx?termid=17421</v>
      </c>
      <c r="N1410" s="12" t="str">
        <f>HYPERLINK("https://ceds.ed.gov/elementComment.aspx?elementName=Multiple Birth Indicator &amp;elementID=17421", "Click here to submit comment")</f>
        <v>Click here to submit comment</v>
      </c>
    </row>
    <row r="1411" spans="1:14" ht="89.25" x14ac:dyDescent="0.25">
      <c r="A1411" s="12" t="s">
        <v>6343</v>
      </c>
      <c r="B1411" s="12" t="s">
        <v>6344</v>
      </c>
      <c r="C1411" s="13" t="s">
        <v>6345</v>
      </c>
      <c r="D1411" s="12" t="s">
        <v>724</v>
      </c>
      <c r="E1411" s="11"/>
      <c r="F1411" s="11"/>
      <c r="G1411" s="11"/>
      <c r="H1411" s="11"/>
      <c r="I1411" s="12" t="s">
        <v>6346</v>
      </c>
      <c r="J1411" s="11"/>
      <c r="K1411" s="12" t="s">
        <v>6347</v>
      </c>
      <c r="L1411" s="11"/>
      <c r="M1411" s="12" t="str">
        <f>HYPERLINK("https://ceds.ed.gov/cedselementdetails.aspx?termid=18166")</f>
        <v>https://ceds.ed.gov/cedselementdetails.aspx?termid=18166</v>
      </c>
      <c r="N1411" s="12" t="str">
        <f>HYPERLINK("https://ceds.ed.gov/elementComment.aspx?elementName=NAEP Aspects of Reading &amp;elementID=18166", "Click here to submit comment")</f>
        <v>Click here to submit comment</v>
      </c>
    </row>
    <row r="1412" spans="1:14" ht="51" x14ac:dyDescent="0.25">
      <c r="A1412" s="12" t="s">
        <v>6348</v>
      </c>
      <c r="B1412" s="12" t="s">
        <v>6349</v>
      </c>
      <c r="C1412" s="13" t="s">
        <v>6350</v>
      </c>
      <c r="D1412" s="12" t="s">
        <v>724</v>
      </c>
      <c r="E1412" s="11"/>
      <c r="F1412" s="11"/>
      <c r="G1412" s="11"/>
      <c r="H1412" s="11"/>
      <c r="I1412" s="12" t="s">
        <v>6351</v>
      </c>
      <c r="J1412" s="11"/>
      <c r="K1412" s="12" t="s">
        <v>6352</v>
      </c>
      <c r="L1412" s="11"/>
      <c r="M1412" s="12" t="str">
        <f>HYPERLINK("https://ceds.ed.gov/cedselementdetails.aspx?termid=18072")</f>
        <v>https://ceds.ed.gov/cedselementdetails.aspx?termid=18072</v>
      </c>
      <c r="N1412" s="12" t="str">
        <f>HYPERLINK("https://ceds.ed.gov/elementComment.aspx?elementName=NAEP Mathematical Complexity Level &amp;elementID=18072", "Click here to submit comment")</f>
        <v>Click here to submit comment</v>
      </c>
    </row>
    <row r="1413" spans="1:14" ht="216.75" x14ac:dyDescent="0.25">
      <c r="A1413" s="12" t="s">
        <v>6353</v>
      </c>
      <c r="B1413" s="12" t="s">
        <v>6354</v>
      </c>
      <c r="C1413" s="12" t="s">
        <v>37</v>
      </c>
      <c r="D1413" s="12" t="s">
        <v>6355</v>
      </c>
      <c r="E1413" s="11"/>
      <c r="F1413" s="12" t="s">
        <v>175</v>
      </c>
      <c r="G1413" s="11"/>
      <c r="H1413" s="11"/>
      <c r="I1413" s="12" t="s">
        <v>6356</v>
      </c>
      <c r="J1413" s="11"/>
      <c r="K1413" s="12" t="s">
        <v>6357</v>
      </c>
      <c r="L1413" s="12" t="s">
        <v>6358</v>
      </c>
      <c r="M1413" s="12" t="str">
        <f>HYPERLINK("https://ceds.ed.gov/cedselementdetails.aspx?termid=17191")</f>
        <v>https://ceds.ed.gov/cedselementdetails.aspx?termid=17191</v>
      </c>
      <c r="N1413" s="12" t="str">
        <f>HYPERLINK("https://ceds.ed.gov/elementComment.aspx?elementName=Name of Institution &amp;elementID=17191", "Click here to submit comment")</f>
        <v>Click here to submit comment</v>
      </c>
    </row>
    <row r="1414" spans="1:14" ht="51" x14ac:dyDescent="0.25">
      <c r="A1414" s="12" t="s">
        <v>6359</v>
      </c>
      <c r="B1414" s="12" t="s">
        <v>6360</v>
      </c>
      <c r="C1414" s="12" t="s">
        <v>37</v>
      </c>
      <c r="D1414" s="12" t="s">
        <v>3298</v>
      </c>
      <c r="E1414" s="11"/>
      <c r="F1414" s="12" t="s">
        <v>175</v>
      </c>
      <c r="G1414" s="11"/>
      <c r="H1414" s="11"/>
      <c r="I1414" s="12" t="s">
        <v>6361</v>
      </c>
      <c r="J1414" s="11"/>
      <c r="K1414" s="12" t="s">
        <v>6362</v>
      </c>
      <c r="L1414" s="12" t="s">
        <v>238</v>
      </c>
      <c r="M1414" s="12" t="str">
        <f>HYPERLINK("https://ceds.ed.gov/cedselementdetails.aspx?termid=18064")</f>
        <v>https://ceds.ed.gov/cedselementdetails.aspx?termid=18064</v>
      </c>
      <c r="N1414" s="12" t="str">
        <f>HYPERLINK("https://ceds.ed.gov/elementComment.aspx?elementName=Name of Professional Credential or License &amp;elementID=18064", "Click here to submit comment")</f>
        <v>Click here to submit comment</v>
      </c>
    </row>
    <row r="1415" spans="1:14" ht="89.25" x14ac:dyDescent="0.25">
      <c r="A1415" s="12" t="s">
        <v>6363</v>
      </c>
      <c r="B1415" s="12" t="s">
        <v>6364</v>
      </c>
      <c r="C1415" s="12" t="s">
        <v>24</v>
      </c>
      <c r="D1415" s="12" t="s">
        <v>2897</v>
      </c>
      <c r="E1415" s="11"/>
      <c r="F1415" s="11"/>
      <c r="G1415" s="11"/>
      <c r="H1415" s="11"/>
      <c r="I1415" s="12" t="s">
        <v>6365</v>
      </c>
      <c r="J1415" s="12" t="s">
        <v>6366</v>
      </c>
      <c r="K1415" s="12" t="s">
        <v>6367</v>
      </c>
      <c r="L1415" s="11"/>
      <c r="M1415" s="12" t="str">
        <f>HYPERLINK("https://ceds.ed.gov/cedselementdetails.aspx?termid=18382")</f>
        <v>https://ceds.ed.gov/cedselementdetails.aspx?termid=18382</v>
      </c>
      <c r="N1415" s="12" t="str">
        <f>HYPERLINK("https://ceds.ed.gov/elementComment.aspx?elementName=National Collegiate Athletic Association Eligibility &amp;elementID=18382", "Click here to submit comment")</f>
        <v>Click here to submit comment</v>
      </c>
    </row>
    <row r="1416" spans="1:14" ht="51" x14ac:dyDescent="0.25">
      <c r="A1416" s="12" t="s">
        <v>6368</v>
      </c>
      <c r="B1416" s="12" t="s">
        <v>6369</v>
      </c>
      <c r="C1416" s="12" t="s">
        <v>24</v>
      </c>
      <c r="D1416" s="12" t="s">
        <v>3910</v>
      </c>
      <c r="E1416" s="11"/>
      <c r="F1416" s="11"/>
      <c r="G1416" s="11"/>
      <c r="H1416" s="12" t="s">
        <v>6370</v>
      </c>
      <c r="I1416" s="12" t="s">
        <v>6371</v>
      </c>
      <c r="J1416" s="11"/>
      <c r="K1416" s="12" t="s">
        <v>6372</v>
      </c>
      <c r="L1416" s="12" t="s">
        <v>258</v>
      </c>
      <c r="M1416" s="12" t="str">
        <f>HYPERLINK("https://ceds.ed.gov/cedselementdetails.aspx?termid=18635")</f>
        <v>https://ceds.ed.gov/cedselementdetails.aspx?termid=18635</v>
      </c>
      <c r="N1416" s="12" t="str">
        <f>HYPERLINK("https://ceds.ed.gov/elementComment.aspx?elementName=National School Lunch Program Direct Certification Indicator &amp;elementID=18635", "Click here to submit comment")</f>
        <v>Click here to submit comment</v>
      </c>
    </row>
    <row r="1417" spans="1:14" ht="102" x14ac:dyDescent="0.25">
      <c r="A1417" s="12" t="s">
        <v>6373</v>
      </c>
      <c r="B1417" s="12" t="s">
        <v>6374</v>
      </c>
      <c r="C1417" s="13" t="s">
        <v>6375</v>
      </c>
      <c r="D1417" s="12" t="s">
        <v>128</v>
      </c>
      <c r="E1417" s="11"/>
      <c r="F1417" s="11"/>
      <c r="G1417" s="11"/>
      <c r="H1417" s="11"/>
      <c r="I1417" s="12" t="s">
        <v>6376</v>
      </c>
      <c r="J1417" s="11"/>
      <c r="K1417" s="12" t="s">
        <v>6377</v>
      </c>
      <c r="L1417" s="11"/>
      <c r="M1417" s="12" t="str">
        <f>HYPERLINK("https://ceds.ed.gov/cedselementdetails.aspx?termid=18748")</f>
        <v>https://ceds.ed.gov/cedselementdetails.aspx?termid=18748</v>
      </c>
      <c r="N1417" s="12" t="str">
        <f>HYPERLINK("https://ceds.ed.gov/elementComment.aspx?elementName=National School Lunch Program Status &amp;elementID=18748", "Click here to submit comment")</f>
        <v>Click here to submit comment</v>
      </c>
    </row>
    <row r="1418" spans="1:14" ht="145.5" customHeight="1" x14ac:dyDescent="0.25">
      <c r="A1418" s="15" t="s">
        <v>6378</v>
      </c>
      <c r="B1418" s="15" t="s">
        <v>6379</v>
      </c>
      <c r="C1418" s="17" t="s">
        <v>420</v>
      </c>
      <c r="D1418" s="15" t="s">
        <v>421</v>
      </c>
      <c r="E1418" s="16"/>
      <c r="F1418" s="16"/>
      <c r="G1418" s="16"/>
      <c r="H1418" s="12" t="s">
        <v>422</v>
      </c>
      <c r="I1418" s="15" t="s">
        <v>6380</v>
      </c>
      <c r="J1418" s="15" t="s">
        <v>6381</v>
      </c>
      <c r="K1418" s="15" t="s">
        <v>6382</v>
      </c>
      <c r="L1418" s="15" t="s">
        <v>426</v>
      </c>
      <c r="M1418" s="15" t="str">
        <f>HYPERLINK("https://ceds.ed.gov/cedselementdetails.aspx?termid=17658")</f>
        <v>https://ceds.ed.gov/cedselementdetails.aspx?termid=17658</v>
      </c>
      <c r="N1418" s="15" t="str">
        <f>HYPERLINK("https://ceds.ed.gov/elementComment.aspx?elementName=Native Hawaiian or Other Pacific Islander &amp;elementID=17658", "Click here to submit comment")</f>
        <v>Click here to submit comment</v>
      </c>
    </row>
    <row r="1419" spans="1:14" x14ac:dyDescent="0.25">
      <c r="A1419" s="15"/>
      <c r="B1419" s="15"/>
      <c r="C1419" s="15"/>
      <c r="D1419" s="15"/>
      <c r="E1419" s="16"/>
      <c r="F1419" s="16"/>
      <c r="G1419" s="16"/>
      <c r="H1419" s="11"/>
      <c r="I1419" s="15"/>
      <c r="J1419" s="15"/>
      <c r="K1419" s="15"/>
      <c r="L1419" s="15"/>
      <c r="M1419" s="15"/>
      <c r="N1419" s="15"/>
    </row>
    <row r="1420" spans="1:14" x14ac:dyDescent="0.25">
      <c r="A1420" s="15"/>
      <c r="B1420" s="15"/>
      <c r="C1420" s="15"/>
      <c r="D1420" s="15"/>
      <c r="E1420" s="16"/>
      <c r="F1420" s="16"/>
      <c r="G1420" s="16"/>
      <c r="H1420" s="12" t="s">
        <v>427</v>
      </c>
      <c r="I1420" s="15"/>
      <c r="J1420" s="15"/>
      <c r="K1420" s="15"/>
      <c r="L1420" s="15"/>
      <c r="M1420" s="15"/>
      <c r="N1420" s="15"/>
    </row>
    <row r="1421" spans="1:14" ht="25.5" x14ac:dyDescent="0.25">
      <c r="A1421" s="15"/>
      <c r="B1421" s="15"/>
      <c r="C1421" s="15"/>
      <c r="D1421" s="15"/>
      <c r="E1421" s="16"/>
      <c r="F1421" s="16"/>
      <c r="G1421" s="16"/>
      <c r="H1421" s="12" t="s">
        <v>428</v>
      </c>
      <c r="I1421" s="15"/>
      <c r="J1421" s="15"/>
      <c r="K1421" s="15"/>
      <c r="L1421" s="15"/>
      <c r="M1421" s="15"/>
      <c r="N1421" s="15"/>
    </row>
    <row r="1422" spans="1:14" x14ac:dyDescent="0.25">
      <c r="A1422" s="15"/>
      <c r="B1422" s="15"/>
      <c r="C1422" s="15"/>
      <c r="D1422" s="15"/>
      <c r="E1422" s="16"/>
      <c r="F1422" s="16"/>
      <c r="G1422" s="16"/>
      <c r="H1422" s="12" t="s">
        <v>429</v>
      </c>
      <c r="I1422" s="15"/>
      <c r="J1422" s="15"/>
      <c r="K1422" s="15"/>
      <c r="L1422" s="15"/>
      <c r="M1422" s="15"/>
      <c r="N1422" s="15"/>
    </row>
    <row r="1423" spans="1:14" ht="76.5" x14ac:dyDescent="0.25">
      <c r="A1423" s="12" t="s">
        <v>6383</v>
      </c>
      <c r="B1423" s="12" t="s">
        <v>6384</v>
      </c>
      <c r="C1423" s="12" t="s">
        <v>6385</v>
      </c>
      <c r="D1423" s="12" t="s">
        <v>376</v>
      </c>
      <c r="E1423" s="11"/>
      <c r="F1423" s="11"/>
      <c r="G1423" s="11"/>
      <c r="H1423" s="11"/>
      <c r="I1423" s="12" t="s">
        <v>6386</v>
      </c>
      <c r="J1423" s="11"/>
      <c r="K1423" s="12" t="s">
        <v>6387</v>
      </c>
      <c r="L1423" s="11"/>
      <c r="M1423" s="12" t="str">
        <f>HYPERLINK("https://ceds.ed.gov/cedselementdetails.aspx?termid=18383")</f>
        <v>https://ceds.ed.gov/cedselementdetails.aspx?termid=18383</v>
      </c>
      <c r="N1423" s="12" t="str">
        <f>HYPERLINK("https://ceds.ed.gov/elementComment.aspx?elementName=NCES College Course Map Code &amp;elementID=18383", "Click here to submit comment")</f>
        <v>Click here to submit comment</v>
      </c>
    </row>
    <row r="1424" spans="1:14" ht="63.75" x14ac:dyDescent="0.25">
      <c r="A1424" s="15" t="s">
        <v>6388</v>
      </c>
      <c r="B1424" s="15" t="s">
        <v>6389</v>
      </c>
      <c r="C1424" s="15" t="s">
        <v>24</v>
      </c>
      <c r="D1424" s="15" t="s">
        <v>6390</v>
      </c>
      <c r="E1424" s="15" t="s">
        <v>195</v>
      </c>
      <c r="F1424" s="16"/>
      <c r="G1424" s="15" t="s">
        <v>6391</v>
      </c>
      <c r="H1424" s="12" t="s">
        <v>6392</v>
      </c>
      <c r="I1424" s="15" t="s">
        <v>6393</v>
      </c>
      <c r="J1424" s="16"/>
      <c r="K1424" s="15" t="s">
        <v>6394</v>
      </c>
      <c r="L1424" s="15" t="s">
        <v>258</v>
      </c>
      <c r="M1424" s="15" t="str">
        <f>HYPERLINK("https://ceds.ed.gov/cedselementdetails.aspx?termid=17636")</f>
        <v>https://ceds.ed.gov/cedselementdetails.aspx?termid=17636</v>
      </c>
      <c r="N1424" s="15" t="str">
        <f>HYPERLINK("https://ceds.ed.gov/elementComment.aspx?elementName=Neglected or Delinquent Academic Achievement Indicator &amp;elementID=17636", "Click here to submit comment")</f>
        <v>Click here to submit comment</v>
      </c>
    </row>
    <row r="1425" spans="1:14" ht="63.75" x14ac:dyDescent="0.25">
      <c r="A1425" s="15"/>
      <c r="B1425" s="15"/>
      <c r="C1425" s="15"/>
      <c r="D1425" s="15"/>
      <c r="E1425" s="15"/>
      <c r="F1425" s="16"/>
      <c r="G1425" s="15"/>
      <c r="H1425" s="12" t="s">
        <v>6395</v>
      </c>
      <c r="I1425" s="15"/>
      <c r="J1425" s="16"/>
      <c r="K1425" s="15"/>
      <c r="L1425" s="15"/>
      <c r="M1425" s="15"/>
      <c r="N1425" s="15"/>
    </row>
    <row r="1426" spans="1:14" ht="63.75" x14ac:dyDescent="0.25">
      <c r="A1426" s="15" t="s">
        <v>6396</v>
      </c>
      <c r="B1426" s="15" t="s">
        <v>6397</v>
      </c>
      <c r="C1426" s="15" t="s">
        <v>24</v>
      </c>
      <c r="D1426" s="15" t="s">
        <v>6390</v>
      </c>
      <c r="E1426" s="15" t="s">
        <v>195</v>
      </c>
      <c r="F1426" s="16"/>
      <c r="G1426" s="15" t="s">
        <v>6391</v>
      </c>
      <c r="H1426" s="12" t="s">
        <v>6392</v>
      </c>
      <c r="I1426" s="15" t="s">
        <v>6398</v>
      </c>
      <c r="J1426" s="16"/>
      <c r="K1426" s="15" t="s">
        <v>6399</v>
      </c>
      <c r="L1426" s="15" t="s">
        <v>258</v>
      </c>
      <c r="M1426" s="15" t="str">
        <f>HYPERLINK("https://ceds.ed.gov/cedselementdetails.aspx?termid=17638")</f>
        <v>https://ceds.ed.gov/cedselementdetails.aspx?termid=17638</v>
      </c>
      <c r="N1426" s="15" t="str">
        <f>HYPERLINK("https://ceds.ed.gov/elementComment.aspx?elementName=Neglected or Delinquent Academic Outcome Indicator &amp;elementID=17638", "Click here to submit comment")</f>
        <v>Click here to submit comment</v>
      </c>
    </row>
    <row r="1427" spans="1:14" ht="63.75" x14ac:dyDescent="0.25">
      <c r="A1427" s="15"/>
      <c r="B1427" s="15"/>
      <c r="C1427" s="15"/>
      <c r="D1427" s="15"/>
      <c r="E1427" s="15"/>
      <c r="F1427" s="16"/>
      <c r="G1427" s="15"/>
      <c r="H1427" s="12" t="s">
        <v>6395</v>
      </c>
      <c r="I1427" s="15"/>
      <c r="J1427" s="16"/>
      <c r="K1427" s="15"/>
      <c r="L1427" s="15"/>
      <c r="M1427" s="15"/>
      <c r="N1427" s="15"/>
    </row>
    <row r="1428" spans="1:14" ht="38.25" x14ac:dyDescent="0.25">
      <c r="A1428" s="12" t="s">
        <v>6400</v>
      </c>
      <c r="B1428" s="12" t="s">
        <v>6401</v>
      </c>
      <c r="C1428" s="12" t="s">
        <v>24</v>
      </c>
      <c r="D1428" s="12" t="s">
        <v>6390</v>
      </c>
      <c r="E1428" s="11"/>
      <c r="F1428" s="11"/>
      <c r="G1428" s="11"/>
      <c r="H1428" s="11"/>
      <c r="I1428" s="12" t="s">
        <v>6402</v>
      </c>
      <c r="J1428" s="11"/>
      <c r="K1428" s="12" t="s">
        <v>6403</v>
      </c>
      <c r="L1428" s="12" t="s">
        <v>245</v>
      </c>
      <c r="M1428" s="12" t="str">
        <f>HYPERLINK("https://ceds.ed.gov/cedselementdetails.aspx?termid=17475")</f>
        <v>https://ceds.ed.gov/cedselementdetails.aspx?termid=17475</v>
      </c>
      <c r="N1428" s="12" t="str">
        <f>HYPERLINK("https://ceds.ed.gov/elementComment.aspx?elementName=Neglected or Delinquent Obtained Employment &amp;elementID=17475", "Click here to submit comment")</f>
        <v>Click here to submit comment</v>
      </c>
    </row>
    <row r="1429" spans="1:14" ht="89.25" x14ac:dyDescent="0.25">
      <c r="A1429" s="12" t="s">
        <v>6404</v>
      </c>
      <c r="B1429" s="12" t="s">
        <v>6405</v>
      </c>
      <c r="C1429" s="13" t="s">
        <v>6406</v>
      </c>
      <c r="D1429" s="12" t="s">
        <v>6390</v>
      </c>
      <c r="E1429" s="11"/>
      <c r="F1429" s="11"/>
      <c r="G1429" s="11"/>
      <c r="H1429" s="11"/>
      <c r="I1429" s="12" t="s">
        <v>6407</v>
      </c>
      <c r="J1429" s="11"/>
      <c r="K1429" s="12" t="s">
        <v>6408</v>
      </c>
      <c r="L1429" s="12" t="s">
        <v>258</v>
      </c>
      <c r="M1429" s="12" t="str">
        <f>HYPERLINK("https://ceds.ed.gov/cedselementdetails.aspx?termid=17194")</f>
        <v>https://ceds.ed.gov/cedselementdetails.aspx?termid=17194</v>
      </c>
      <c r="N1429" s="12" t="str">
        <f>HYPERLINK("https://ceds.ed.gov/elementComment.aspx?elementName=Neglected or Delinquent Program Type &amp;elementID=17194", "Click here to submit comment")</f>
        <v>Click here to submit comment</v>
      </c>
    </row>
    <row r="1430" spans="1:14" ht="63.75" x14ac:dyDescent="0.25">
      <c r="A1430" s="12" t="s">
        <v>6409</v>
      </c>
      <c r="B1430" s="12" t="s">
        <v>6410</v>
      </c>
      <c r="C1430" s="12" t="s">
        <v>3430</v>
      </c>
      <c r="D1430" s="12" t="s">
        <v>6390</v>
      </c>
      <c r="E1430" s="11"/>
      <c r="F1430" s="11"/>
      <c r="G1430" s="11"/>
      <c r="H1430" s="11"/>
      <c r="I1430" s="12" t="s">
        <v>6411</v>
      </c>
      <c r="J1430" s="11"/>
      <c r="K1430" s="12" t="s">
        <v>6412</v>
      </c>
      <c r="L1430" s="12" t="s">
        <v>2157</v>
      </c>
      <c r="M1430" s="12" t="str">
        <f>HYPERLINK("https://ceds.ed.gov/cedselementdetails.aspx?termid=17193")</f>
        <v>https://ceds.ed.gov/cedselementdetails.aspx?termid=17193</v>
      </c>
      <c r="N1430" s="12" t="str">
        <f>HYPERLINK("https://ceds.ed.gov/elementComment.aspx?elementName=Neglected or Delinquent Status &amp;elementID=17193", "Click here to submit comment")</f>
        <v>Click here to submit comment</v>
      </c>
    </row>
    <row r="1431" spans="1:14" ht="127.5" x14ac:dyDescent="0.25">
      <c r="A1431" s="12" t="s">
        <v>6413</v>
      </c>
      <c r="B1431" s="12" t="s">
        <v>6414</v>
      </c>
      <c r="C1431" s="13" t="s">
        <v>6415</v>
      </c>
      <c r="D1431" s="12" t="s">
        <v>69</v>
      </c>
      <c r="E1431" s="11"/>
      <c r="F1431" s="11"/>
      <c r="G1431" s="11"/>
      <c r="H1431" s="11"/>
      <c r="I1431" s="12" t="s">
        <v>6416</v>
      </c>
      <c r="J1431" s="11"/>
      <c r="K1431" s="12" t="s">
        <v>6417</v>
      </c>
      <c r="L1431" s="11"/>
      <c r="M1431" s="12" t="str">
        <f>HYPERLINK("https://ceds.ed.gov/cedselementdetails.aspx?termid=17522")</f>
        <v>https://ceds.ed.gov/cedselementdetails.aspx?termid=17522</v>
      </c>
      <c r="N1431" s="12" t="str">
        <f>HYPERLINK("https://ceds.ed.gov/elementComment.aspx?elementName=Nonpromotion Reason &amp;elementID=17522", "Click here to submit comment")</f>
        <v>Click here to submit comment</v>
      </c>
    </row>
    <row r="1432" spans="1:14" ht="153" x14ac:dyDescent="0.25">
      <c r="A1432" s="12" t="s">
        <v>6418</v>
      </c>
      <c r="B1432" s="12" t="s">
        <v>6419</v>
      </c>
      <c r="C1432" s="12" t="s">
        <v>37</v>
      </c>
      <c r="D1432" s="12" t="s">
        <v>3648</v>
      </c>
      <c r="E1432" s="11"/>
      <c r="F1432" s="12" t="s">
        <v>175</v>
      </c>
      <c r="G1432" s="11"/>
      <c r="H1432" s="11"/>
      <c r="I1432" s="12" t="s">
        <v>6420</v>
      </c>
      <c r="J1432" s="11"/>
      <c r="K1432" s="12" t="s">
        <v>6421</v>
      </c>
      <c r="L1432" s="12" t="s">
        <v>225</v>
      </c>
      <c r="M1432" s="12" t="str">
        <f>HYPERLINK("https://ceds.ed.gov/cedselementdetails.aspx?termid=17197")</f>
        <v>https://ceds.ed.gov/cedselementdetails.aspx?termid=17197</v>
      </c>
      <c r="N1432" s="12" t="str">
        <f>HYPERLINK("https://ceds.ed.gov/elementComment.aspx?elementName=Normal Length of Time for Completion &amp;elementID=17197", "Click here to submit comment")</f>
        <v>Click here to submit comment</v>
      </c>
    </row>
    <row r="1433" spans="1:14" ht="76.5" x14ac:dyDescent="0.25">
      <c r="A1433" s="12" t="s">
        <v>6422</v>
      </c>
      <c r="B1433" s="12" t="s">
        <v>6423</v>
      </c>
      <c r="C1433" s="13" t="s">
        <v>6424</v>
      </c>
      <c r="D1433" s="12" t="s">
        <v>3648</v>
      </c>
      <c r="E1433" s="11"/>
      <c r="F1433" s="11"/>
      <c r="G1433" s="11"/>
      <c r="H1433" s="11"/>
      <c r="I1433" s="12" t="s">
        <v>6425</v>
      </c>
      <c r="J1433" s="11"/>
      <c r="K1433" s="12" t="s">
        <v>6426</v>
      </c>
      <c r="L1433" s="12" t="s">
        <v>225</v>
      </c>
      <c r="M1433" s="12" t="str">
        <f>HYPERLINK("https://ceds.ed.gov/cedselementdetails.aspx?termid=17198")</f>
        <v>https://ceds.ed.gov/cedselementdetails.aspx?termid=17198</v>
      </c>
      <c r="N1433" s="12" t="str">
        <f>HYPERLINK("https://ceds.ed.gov/elementComment.aspx?elementName=Normal Length of Time for Completion Units &amp;elementID=17198", "Click here to submit comment")</f>
        <v>Click here to submit comment</v>
      </c>
    </row>
    <row r="1434" spans="1:14" ht="38.25" x14ac:dyDescent="0.25">
      <c r="A1434" s="12" t="s">
        <v>6427</v>
      </c>
      <c r="B1434" s="12" t="s">
        <v>6428</v>
      </c>
      <c r="C1434" s="12" t="s">
        <v>37</v>
      </c>
      <c r="D1434" s="12" t="s">
        <v>3916</v>
      </c>
      <c r="E1434" s="11"/>
      <c r="F1434" s="12" t="s">
        <v>370</v>
      </c>
      <c r="G1434" s="11"/>
      <c r="H1434" s="11"/>
      <c r="I1434" s="12" t="s">
        <v>6429</v>
      </c>
      <c r="J1434" s="11"/>
      <c r="K1434" s="12" t="s">
        <v>6430</v>
      </c>
      <c r="L1434" s="12" t="s">
        <v>125</v>
      </c>
      <c r="M1434" s="12" t="str">
        <f>HYPERLINK("https://ceds.ed.gov/cedselementdetails.aspx?termid=17844")</f>
        <v>https://ceds.ed.gov/cedselementdetails.aspx?termid=17844</v>
      </c>
      <c r="N1434" s="12" t="str">
        <f>HYPERLINK("https://ceds.ed.gov/elementComment.aspx?elementName=Number of Classrooms &amp;elementID=17844", "Click here to submit comment")</f>
        <v>Click here to submit comment</v>
      </c>
    </row>
    <row r="1435" spans="1:14" ht="63.75" x14ac:dyDescent="0.25">
      <c r="A1435" s="12" t="s">
        <v>6431</v>
      </c>
      <c r="B1435" s="12" t="s">
        <v>6432</v>
      </c>
      <c r="C1435" s="12" t="s">
        <v>37</v>
      </c>
      <c r="D1435" s="12" t="s">
        <v>6433</v>
      </c>
      <c r="E1435" s="11"/>
      <c r="F1435" s="12" t="s">
        <v>1710</v>
      </c>
      <c r="G1435" s="11"/>
      <c r="H1435" s="11"/>
      <c r="I1435" s="12" t="s">
        <v>6434</v>
      </c>
      <c r="J1435" s="11"/>
      <c r="K1435" s="12" t="s">
        <v>6435</v>
      </c>
      <c r="L1435" s="12" t="s">
        <v>72</v>
      </c>
      <c r="M1435" s="12" t="str">
        <f>HYPERLINK("https://ceds.ed.gov/cedselementdetails.aspx?termid=17199")</f>
        <v>https://ceds.ed.gov/cedselementdetails.aspx?termid=17199</v>
      </c>
      <c r="N1435" s="12" t="str">
        <f>HYPERLINK("https://ceds.ed.gov/elementComment.aspx?elementName=Number of Credits Attempted &amp;elementID=17199", "Click here to submit comment")</f>
        <v>Click here to submit comment</v>
      </c>
    </row>
    <row r="1436" spans="1:14" ht="331.5" x14ac:dyDescent="0.25">
      <c r="A1436" s="12" t="s">
        <v>6436</v>
      </c>
      <c r="B1436" s="12" t="s">
        <v>6437</v>
      </c>
      <c r="C1436" s="12" t="s">
        <v>37</v>
      </c>
      <c r="D1436" s="12" t="s">
        <v>6438</v>
      </c>
      <c r="E1436" s="11"/>
      <c r="F1436" s="12" t="s">
        <v>1710</v>
      </c>
      <c r="G1436" s="11"/>
      <c r="H1436" s="11"/>
      <c r="I1436" s="12" t="s">
        <v>6439</v>
      </c>
      <c r="J1436" s="11"/>
      <c r="K1436" s="12" t="s">
        <v>6440</v>
      </c>
      <c r="L1436" s="12" t="s">
        <v>6137</v>
      </c>
      <c r="M1436" s="12" t="str">
        <f>HYPERLINK("https://ceds.ed.gov/cedselementdetails.aspx?termid=17200")</f>
        <v>https://ceds.ed.gov/cedselementdetails.aspx?termid=17200</v>
      </c>
      <c r="N1436" s="12" t="str">
        <f>HYPERLINK("https://ceds.ed.gov/elementComment.aspx?elementName=Number of Credits Earned &amp;elementID=17200", "Click here to submit comment")</f>
        <v>Click here to submit comment</v>
      </c>
    </row>
    <row r="1437" spans="1:14" ht="63.75" x14ac:dyDescent="0.25">
      <c r="A1437" s="12" t="s">
        <v>6441</v>
      </c>
      <c r="B1437" s="12" t="s">
        <v>6442</v>
      </c>
      <c r="C1437" s="12" t="s">
        <v>37</v>
      </c>
      <c r="D1437" s="12" t="s">
        <v>6443</v>
      </c>
      <c r="E1437" s="11"/>
      <c r="F1437" s="12" t="s">
        <v>1710</v>
      </c>
      <c r="G1437" s="11"/>
      <c r="H1437" s="11"/>
      <c r="I1437" s="12" t="s">
        <v>6444</v>
      </c>
      <c r="J1437" s="11"/>
      <c r="K1437" s="12" t="s">
        <v>6445</v>
      </c>
      <c r="L1437" s="12" t="s">
        <v>6446</v>
      </c>
      <c r="M1437" s="12" t="str">
        <f>HYPERLINK("https://ceds.ed.gov/cedselementdetails.aspx?termid=17201")</f>
        <v>https://ceds.ed.gov/cedselementdetails.aspx?termid=17201</v>
      </c>
      <c r="N1437" s="12" t="str">
        <f>HYPERLINK("https://ceds.ed.gov/elementComment.aspx?elementName=Number of Days Absent &amp;elementID=17201", "Click here to submit comment")</f>
        <v>Click here to submit comment</v>
      </c>
    </row>
    <row r="1438" spans="1:14" ht="63.75" x14ac:dyDescent="0.25">
      <c r="A1438" s="12" t="s">
        <v>6447</v>
      </c>
      <c r="B1438" s="12" t="s">
        <v>6448</v>
      </c>
      <c r="C1438" s="12" t="s">
        <v>37</v>
      </c>
      <c r="D1438" s="12" t="s">
        <v>3442</v>
      </c>
      <c r="E1438" s="11"/>
      <c r="F1438" s="12" t="s">
        <v>1710</v>
      </c>
      <c r="G1438" s="11"/>
      <c r="H1438" s="11"/>
      <c r="I1438" s="12" t="s">
        <v>6449</v>
      </c>
      <c r="J1438" s="11"/>
      <c r="K1438" s="12" t="s">
        <v>6450</v>
      </c>
      <c r="L1438" s="12" t="s">
        <v>245</v>
      </c>
      <c r="M1438" s="12" t="str">
        <f>HYPERLINK("https://ceds.ed.gov/cedselementdetails.aspx?termid=17447")</f>
        <v>https://ceds.ed.gov/cedselementdetails.aspx?termid=17447</v>
      </c>
      <c r="N1438" s="12" t="str">
        <f>HYPERLINK("https://ceds.ed.gov/elementComment.aspx?elementName=Number of Days for Title III Subgrants &amp;elementID=17447", "Click here to submit comment")</f>
        <v>Click here to submit comment</v>
      </c>
    </row>
    <row r="1439" spans="1:14" ht="191.25" x14ac:dyDescent="0.25">
      <c r="A1439" s="12" t="s">
        <v>6451</v>
      </c>
      <c r="B1439" s="12" t="s">
        <v>6452</v>
      </c>
      <c r="C1439" s="12" t="s">
        <v>37</v>
      </c>
      <c r="D1439" s="12" t="s">
        <v>6453</v>
      </c>
      <c r="E1439" s="11"/>
      <c r="F1439" s="12" t="s">
        <v>1710</v>
      </c>
      <c r="G1439" s="11"/>
      <c r="H1439" s="12" t="s">
        <v>6454</v>
      </c>
      <c r="I1439" s="12" t="s">
        <v>6455</v>
      </c>
      <c r="J1439" s="11"/>
      <c r="K1439" s="12" t="s">
        <v>6456</v>
      </c>
      <c r="L1439" s="12" t="s">
        <v>6457</v>
      </c>
      <c r="M1439" s="12" t="str">
        <f>HYPERLINK("https://ceds.ed.gov/cedselementdetails.aspx?termid=17202")</f>
        <v>https://ceds.ed.gov/cedselementdetails.aspx?termid=17202</v>
      </c>
      <c r="N1439" s="12" t="str">
        <f>HYPERLINK("https://ceds.ed.gov/elementComment.aspx?elementName=Number of Days in Attendance &amp;elementID=17202", "Click here to submit comment")</f>
        <v>Click here to submit comment</v>
      </c>
    </row>
    <row r="1440" spans="1:14" ht="38.25" x14ac:dyDescent="0.25">
      <c r="A1440" s="12" t="s">
        <v>6458</v>
      </c>
      <c r="B1440" s="12" t="s">
        <v>6459</v>
      </c>
      <c r="C1440" s="12" t="s">
        <v>37</v>
      </c>
      <c r="D1440" s="12" t="s">
        <v>2126</v>
      </c>
      <c r="E1440" s="11"/>
      <c r="F1440" s="12" t="s">
        <v>370</v>
      </c>
      <c r="G1440" s="11"/>
      <c r="H1440" s="11"/>
      <c r="I1440" s="12" t="s">
        <v>6460</v>
      </c>
      <c r="J1440" s="11"/>
      <c r="K1440" s="12" t="s">
        <v>6461</v>
      </c>
      <c r="L1440" s="11"/>
      <c r="M1440" s="12" t="str">
        <f>HYPERLINK("https://ceds.ed.gov/cedselementdetails.aspx?termid=18384")</f>
        <v>https://ceds.ed.gov/cedselementdetails.aspx?termid=18384</v>
      </c>
      <c r="N1440" s="12" t="str">
        <f>HYPERLINK("https://ceds.ed.gov/elementComment.aspx?elementName=Number of Dependents &amp;elementID=18384", "Click here to submit comment")</f>
        <v>Click here to submit comment</v>
      </c>
    </row>
    <row r="1441" spans="1:14" ht="25.5" x14ac:dyDescent="0.25">
      <c r="A1441" s="12" t="s">
        <v>6462</v>
      </c>
      <c r="B1441" s="12" t="s">
        <v>6463</v>
      </c>
      <c r="C1441" s="12" t="s">
        <v>37</v>
      </c>
      <c r="D1441" s="12" t="s">
        <v>2798</v>
      </c>
      <c r="E1441" s="11"/>
      <c r="F1441" s="12" t="s">
        <v>370</v>
      </c>
      <c r="G1441" s="11"/>
      <c r="H1441" s="11"/>
      <c r="I1441" s="12" t="s">
        <v>6464</v>
      </c>
      <c r="J1441" s="11"/>
      <c r="K1441" s="12" t="s">
        <v>6465</v>
      </c>
      <c r="L1441" s="12" t="s">
        <v>125</v>
      </c>
      <c r="M1441" s="12" t="str">
        <f>HYPERLINK("https://ceds.ed.gov/cedselementdetails.aspx?termid=17835")</f>
        <v>https://ceds.ed.gov/cedselementdetails.aspx?termid=17835</v>
      </c>
      <c r="N1441" s="12" t="str">
        <f>HYPERLINK("https://ceds.ed.gov/elementComment.aspx?elementName=Number of Early Learning Fatalities &amp;elementID=17835", "Click here to submit comment")</f>
        <v>Click here to submit comment</v>
      </c>
    </row>
    <row r="1442" spans="1:14" ht="25.5" x14ac:dyDescent="0.25">
      <c r="A1442" s="12" t="s">
        <v>6466</v>
      </c>
      <c r="B1442" s="12" t="s">
        <v>6467</v>
      </c>
      <c r="C1442" s="12" t="s">
        <v>37</v>
      </c>
      <c r="D1442" s="12" t="s">
        <v>2798</v>
      </c>
      <c r="E1442" s="11"/>
      <c r="F1442" s="12" t="s">
        <v>370</v>
      </c>
      <c r="G1442" s="11"/>
      <c r="H1442" s="11"/>
      <c r="I1442" s="12" t="s">
        <v>6468</v>
      </c>
      <c r="J1442" s="11"/>
      <c r="K1442" s="12" t="s">
        <v>6469</v>
      </c>
      <c r="L1442" s="12" t="s">
        <v>125</v>
      </c>
      <c r="M1442" s="12" t="str">
        <f>HYPERLINK("https://ceds.ed.gov/cedselementdetails.aspx?termid=17836")</f>
        <v>https://ceds.ed.gov/cedselementdetails.aspx?termid=17836</v>
      </c>
      <c r="N1442" s="12" t="str">
        <f>HYPERLINK("https://ceds.ed.gov/elementComment.aspx?elementName=Number of Early Learning Injuries &amp;elementID=17836", "Click here to submit comment")</f>
        <v>Click here to submit comment</v>
      </c>
    </row>
    <row r="1443" spans="1:14" ht="25.5" x14ac:dyDescent="0.25">
      <c r="A1443" s="12" t="s">
        <v>6470</v>
      </c>
      <c r="B1443" s="12" t="s">
        <v>6471</v>
      </c>
      <c r="C1443" s="12" t="s">
        <v>37</v>
      </c>
      <c r="D1443" s="12" t="s">
        <v>5704</v>
      </c>
      <c r="E1443" s="11"/>
      <c r="F1443" s="12" t="s">
        <v>370</v>
      </c>
      <c r="G1443" s="11"/>
      <c r="H1443" s="11"/>
      <c r="I1443" s="12" t="s">
        <v>6472</v>
      </c>
      <c r="J1443" s="11"/>
      <c r="K1443" s="12" t="s">
        <v>6473</v>
      </c>
      <c r="L1443" s="12" t="s">
        <v>245</v>
      </c>
      <c r="M1443" s="12" t="str">
        <f>HYPERLINK("https://ceds.ed.gov/cedselementdetails.aspx?termid=17460")</f>
        <v>https://ceds.ed.gov/cedselementdetails.aspx?termid=17460</v>
      </c>
      <c r="N1443" s="12" t="str">
        <f>HYPERLINK("https://ceds.ed.gov/elementComment.aspx?elementName=Number of Immigrant Program Subgrants &amp;elementID=17460", "Click here to submit comment")</f>
        <v>Click here to submit comment</v>
      </c>
    </row>
    <row r="1444" spans="1:14" ht="140.25" x14ac:dyDescent="0.25">
      <c r="A1444" s="12" t="s">
        <v>6474</v>
      </c>
      <c r="B1444" s="12" t="s">
        <v>6475</v>
      </c>
      <c r="C1444" s="12" t="s">
        <v>37</v>
      </c>
      <c r="D1444" s="12" t="s">
        <v>4464</v>
      </c>
      <c r="E1444" s="11"/>
      <c r="F1444" s="12" t="s">
        <v>370</v>
      </c>
      <c r="G1444" s="11"/>
      <c r="H1444" s="11"/>
      <c r="I1444" s="12" t="s">
        <v>6476</v>
      </c>
      <c r="J1444" s="11"/>
      <c r="K1444" s="12" t="s">
        <v>6477</v>
      </c>
      <c r="L1444" s="12" t="s">
        <v>3500</v>
      </c>
      <c r="M1444" s="12" t="str">
        <f>HYPERLINK("https://ceds.ed.gov/cedselementdetails.aspx?termid=17329")</f>
        <v>https://ceds.ed.gov/cedselementdetails.aspx?termid=17329</v>
      </c>
      <c r="N1444" s="12" t="str">
        <f>HYPERLINK("https://ceds.ed.gov/elementComment.aspx?elementName=Number of People in Family &amp;elementID=17329", "Click here to submit comment")</f>
        <v>Click here to submit comment</v>
      </c>
    </row>
    <row r="1445" spans="1:14" ht="25.5" x14ac:dyDescent="0.25">
      <c r="A1445" s="12" t="s">
        <v>6478</v>
      </c>
      <c r="B1445" s="12" t="s">
        <v>6479</v>
      </c>
      <c r="C1445" s="12" t="s">
        <v>37</v>
      </c>
      <c r="D1445" s="12" t="s">
        <v>4464</v>
      </c>
      <c r="E1445" s="11"/>
      <c r="F1445" s="12" t="s">
        <v>370</v>
      </c>
      <c r="G1445" s="11"/>
      <c r="H1445" s="11"/>
      <c r="I1445" s="12" t="s">
        <v>6480</v>
      </c>
      <c r="J1445" s="11"/>
      <c r="K1445" s="12" t="s">
        <v>6481</v>
      </c>
      <c r="L1445" s="12" t="s">
        <v>3500</v>
      </c>
      <c r="M1445" s="12" t="str">
        <f>HYPERLINK("https://ceds.ed.gov/cedselementdetails.aspx?termid=17330")</f>
        <v>https://ceds.ed.gov/cedselementdetails.aspx?termid=17330</v>
      </c>
      <c r="N1445" s="12" t="str">
        <f>HYPERLINK("https://ceds.ed.gov/elementComment.aspx?elementName=Number of People in Household &amp;elementID=17330", "Click here to submit comment")</f>
        <v>Click here to submit comment</v>
      </c>
    </row>
    <row r="1446" spans="1:14" ht="25.5" x14ac:dyDescent="0.25">
      <c r="A1446" s="12" t="s">
        <v>6482</v>
      </c>
      <c r="B1446" s="12" t="s">
        <v>6483</v>
      </c>
      <c r="C1446" s="12" t="s">
        <v>37</v>
      </c>
      <c r="D1446" s="12" t="s">
        <v>6484</v>
      </c>
      <c r="E1446" s="11"/>
      <c r="F1446" s="12" t="s">
        <v>370</v>
      </c>
      <c r="G1446" s="11"/>
      <c r="H1446" s="11"/>
      <c r="I1446" s="12" t="s">
        <v>6485</v>
      </c>
      <c r="J1446" s="12" t="s">
        <v>6486</v>
      </c>
      <c r="K1446" s="12" t="s">
        <v>6487</v>
      </c>
      <c r="L1446" s="12" t="s">
        <v>125</v>
      </c>
      <c r="M1446" s="12" t="str">
        <f>HYPERLINK("https://ceds.ed.gov/cedselementdetails.aspx?termid=17843")</f>
        <v>https://ceds.ed.gov/cedselementdetails.aspx?termid=17843</v>
      </c>
      <c r="N1446" s="12" t="str">
        <f>HYPERLINK("https://ceds.ed.gov/elementComment.aspx?elementName=Number of Quality Rating and Improvement System Levels &amp;elementID=17843", "Click here to submit comment")</f>
        <v>Click here to submit comment</v>
      </c>
    </row>
    <row r="1447" spans="1:14" ht="63.75" x14ac:dyDescent="0.25">
      <c r="A1447" s="12" t="s">
        <v>6488</v>
      </c>
      <c r="B1447" s="12" t="s">
        <v>6489</v>
      </c>
      <c r="C1447" s="12" t="s">
        <v>37</v>
      </c>
      <c r="D1447" s="12" t="s">
        <v>3924</v>
      </c>
      <c r="E1447" s="11"/>
      <c r="F1447" s="12" t="s">
        <v>1710</v>
      </c>
      <c r="G1447" s="11"/>
      <c r="H1447" s="11"/>
      <c r="I1447" s="12" t="s">
        <v>6490</v>
      </c>
      <c r="J1447" s="11"/>
      <c r="K1447" s="12" t="s">
        <v>6491</v>
      </c>
      <c r="L1447" s="12" t="s">
        <v>238</v>
      </c>
      <c r="M1447" s="12" t="str">
        <f>HYPERLINK("https://ceds.ed.gov/cedselementdetails.aspx?termid=17815")</f>
        <v>https://ceds.ed.gov/cedselementdetails.aspx?termid=17815</v>
      </c>
      <c r="N1447" s="12" t="str">
        <f>HYPERLINK("https://ceds.ed.gov/elementComment.aspx?elementName=Number of School-age Education Postsecondary Credit Hours &amp;elementID=17815", "Click here to submit comment")</f>
        <v>Click here to submit comment</v>
      </c>
    </row>
    <row r="1448" spans="1:14" ht="51" x14ac:dyDescent="0.25">
      <c r="A1448" s="12" t="s">
        <v>6492</v>
      </c>
      <c r="B1448" s="12" t="s">
        <v>6493</v>
      </c>
      <c r="C1448" s="12" t="s">
        <v>37</v>
      </c>
      <c r="D1448" s="12" t="s">
        <v>3158</v>
      </c>
      <c r="E1448" s="11"/>
      <c r="F1448" s="12" t="s">
        <v>6494</v>
      </c>
      <c r="G1448" s="11"/>
      <c r="H1448" s="6" t="s">
        <v>6495</v>
      </c>
      <c r="I1448" s="12" t="s">
        <v>6496</v>
      </c>
      <c r="J1448" s="11"/>
      <c r="K1448" s="12" t="s">
        <v>6497</v>
      </c>
      <c r="L1448" s="11"/>
      <c r="M1448" s="12" t="str">
        <f>HYPERLINK("https://ceds.ed.gov/cedselementdetails.aspx?termid=18737")</f>
        <v>https://ceds.ed.gov/cedselementdetails.aspx?termid=18737</v>
      </c>
      <c r="N1448" s="12" t="str">
        <f>HYPERLINK("https://ceds.ed.gov/elementComment.aspx?elementName=O*NET-SOC Occupation Type &amp;elementID=18737", "Click here to submit comment")</f>
        <v>Click here to submit comment</v>
      </c>
    </row>
    <row r="1449" spans="1:14" ht="153" x14ac:dyDescent="0.25">
      <c r="A1449" s="12" t="s">
        <v>6498</v>
      </c>
      <c r="B1449" s="12" t="s">
        <v>6499</v>
      </c>
      <c r="C1449" s="12" t="s">
        <v>37</v>
      </c>
      <c r="D1449" s="12" t="s">
        <v>6500</v>
      </c>
      <c r="E1449" s="11"/>
      <c r="F1449" s="12" t="s">
        <v>6501</v>
      </c>
      <c r="G1449" s="11"/>
      <c r="H1449" s="11"/>
      <c r="I1449" s="12" t="s">
        <v>6502</v>
      </c>
      <c r="J1449" s="12" t="s">
        <v>6503</v>
      </c>
      <c r="K1449" s="12" t="s">
        <v>6503</v>
      </c>
      <c r="L1449" s="11"/>
      <c r="M1449" s="12" t="str">
        <f>HYPERLINK("https://ceds.ed.gov/cedselementdetails.aspx?termid=17203")</f>
        <v>https://ceds.ed.gov/cedselementdetails.aspx?termid=17203</v>
      </c>
      <c r="N1449" s="12" t="str">
        <f>HYPERLINK("https://ceds.ed.gov/elementComment.aspx?elementName=Office of Postsecondary Education Identifier &amp;elementID=17203", "Click here to submit comment")</f>
        <v>Click here to submit comment</v>
      </c>
    </row>
    <row r="1450" spans="1:14" ht="38.25" x14ac:dyDescent="0.25">
      <c r="A1450" s="12" t="s">
        <v>6504</v>
      </c>
      <c r="B1450" s="12" t="s">
        <v>6505</v>
      </c>
      <c r="C1450" s="12" t="s">
        <v>24</v>
      </c>
      <c r="D1450" s="12" t="s">
        <v>3840</v>
      </c>
      <c r="E1450" s="11"/>
      <c r="F1450" s="11"/>
      <c r="G1450" s="11"/>
      <c r="H1450" s="11"/>
      <c r="I1450" s="12" t="s">
        <v>6506</v>
      </c>
      <c r="J1450" s="11"/>
      <c r="K1450" s="12" t="s">
        <v>6507</v>
      </c>
      <c r="L1450" s="12" t="s">
        <v>125</v>
      </c>
      <c r="M1450" s="12" t="str">
        <f>HYPERLINK("https://ceds.ed.gov/cedselementdetails.aspx?termid=17847")</f>
        <v>https://ceds.ed.gov/cedselementdetails.aspx?termid=17847</v>
      </c>
      <c r="N1450" s="12" t="str">
        <f>HYPERLINK("https://ceds.ed.gov/elementComment.aspx?elementName=Ongoing Health Screening Policy &amp;elementID=17847", "Click here to submit comment")</f>
        <v>Click here to submit comment</v>
      </c>
    </row>
    <row r="1451" spans="1:14" ht="25.5" x14ac:dyDescent="0.25">
      <c r="A1451" s="12" t="s">
        <v>6508</v>
      </c>
      <c r="B1451" s="12" t="s">
        <v>6509</v>
      </c>
      <c r="C1451" s="12" t="s">
        <v>37</v>
      </c>
      <c r="D1451" s="12" t="s">
        <v>3916</v>
      </c>
      <c r="E1451" s="11"/>
      <c r="F1451" s="12" t="s">
        <v>135</v>
      </c>
      <c r="G1451" s="11"/>
      <c r="H1451" s="11"/>
      <c r="I1451" s="12" t="s">
        <v>6510</v>
      </c>
      <c r="J1451" s="11"/>
      <c r="K1451" s="12" t="s">
        <v>6511</v>
      </c>
      <c r="L1451" s="12" t="s">
        <v>2801</v>
      </c>
      <c r="M1451" s="12" t="str">
        <f>HYPERLINK("https://ceds.ed.gov/cedselementdetails.aspx?termid=17350")</f>
        <v>https://ceds.ed.gov/cedselementdetails.aspx?termid=17350</v>
      </c>
      <c r="N1451" s="12" t="str">
        <f>HYPERLINK("https://ceds.ed.gov/elementComment.aspx?elementName=Operation Date &amp;elementID=17350", "Click here to submit comment")</f>
        <v>Click here to submit comment</v>
      </c>
    </row>
    <row r="1452" spans="1:14" ht="38.25" x14ac:dyDescent="0.25">
      <c r="A1452" s="12" t="s">
        <v>6512</v>
      </c>
      <c r="B1452" s="12" t="s">
        <v>6513</v>
      </c>
      <c r="C1452" s="12" t="s">
        <v>37</v>
      </c>
      <c r="D1452" s="12" t="s">
        <v>2258</v>
      </c>
      <c r="E1452" s="11"/>
      <c r="F1452" s="12" t="s">
        <v>135</v>
      </c>
      <c r="G1452" s="11"/>
      <c r="H1452" s="11"/>
      <c r="I1452" s="12" t="s">
        <v>6514</v>
      </c>
      <c r="J1452" s="11"/>
      <c r="K1452" s="12" t="s">
        <v>6515</v>
      </c>
      <c r="L1452" s="12" t="s">
        <v>258</v>
      </c>
      <c r="M1452" s="12" t="str">
        <f>HYPERLINK("https://ceds.ed.gov/cedselementdetails.aspx?termid=17525")</f>
        <v>https://ceds.ed.gov/cedselementdetails.aspx?termid=17525</v>
      </c>
      <c r="N1452" s="12" t="str">
        <f>HYPERLINK("https://ceds.ed.gov/elementComment.aspx?elementName=Operational Status Effective Date &amp;elementID=17525", "Click here to submit comment")</f>
        <v>Click here to submit comment</v>
      </c>
    </row>
    <row r="1453" spans="1:14" ht="63.75" x14ac:dyDescent="0.25">
      <c r="A1453" s="12" t="s">
        <v>6516</v>
      </c>
      <c r="B1453" s="12" t="s">
        <v>6517</v>
      </c>
      <c r="C1453" s="12" t="s">
        <v>24</v>
      </c>
      <c r="D1453" s="12" t="s">
        <v>3659</v>
      </c>
      <c r="E1453" s="11"/>
      <c r="F1453" s="11"/>
      <c r="G1453" s="11"/>
      <c r="H1453" s="11"/>
      <c r="I1453" s="12" t="s">
        <v>6518</v>
      </c>
      <c r="J1453" s="11"/>
      <c r="K1453" s="12" t="s">
        <v>6519</v>
      </c>
      <c r="L1453" s="11"/>
      <c r="M1453" s="12" t="str">
        <f>HYPERLINK("https://ceds.ed.gov/cedselementdetails.aspx?termid=18385")</f>
        <v>https://ceds.ed.gov/cedselementdetails.aspx?termid=18385</v>
      </c>
      <c r="N1453" s="12" t="str">
        <f>HYPERLINK("https://ceds.ed.gov/elementComment.aspx?elementName=Oral Defense Completed Indicator &amp;elementID=18385", "Click here to submit comment")</f>
        <v>Click here to submit comment</v>
      </c>
    </row>
    <row r="1454" spans="1:14" ht="25.5" x14ac:dyDescent="0.25">
      <c r="A1454" s="12" t="s">
        <v>6520</v>
      </c>
      <c r="B1454" s="12" t="s">
        <v>6521</v>
      </c>
      <c r="C1454" s="12" t="s">
        <v>37</v>
      </c>
      <c r="D1454" s="12" t="s">
        <v>3659</v>
      </c>
      <c r="E1454" s="11"/>
      <c r="F1454" s="12" t="s">
        <v>135</v>
      </c>
      <c r="G1454" s="11"/>
      <c r="H1454" s="11"/>
      <c r="I1454" s="12" t="s">
        <v>6522</v>
      </c>
      <c r="J1454" s="11"/>
      <c r="K1454" s="12" t="s">
        <v>6523</v>
      </c>
      <c r="L1454" s="11"/>
      <c r="M1454" s="12" t="str">
        <f>HYPERLINK("https://ceds.ed.gov/cedselementdetails.aspx?termid=18386")</f>
        <v>https://ceds.ed.gov/cedselementdetails.aspx?termid=18386</v>
      </c>
      <c r="N1454" s="12" t="str">
        <f>HYPERLINK("https://ceds.ed.gov/elementComment.aspx?elementName=Oral Defense Date &amp;elementID=18386", "Click here to submit comment")</f>
        <v>Click here to submit comment</v>
      </c>
    </row>
    <row r="1455" spans="1:14" ht="409.5" x14ac:dyDescent="0.25">
      <c r="A1455" s="12" t="s">
        <v>6524</v>
      </c>
      <c r="B1455" s="12" t="s">
        <v>6525</v>
      </c>
      <c r="C1455" s="13" t="s">
        <v>6526</v>
      </c>
      <c r="D1455" s="12" t="s">
        <v>6527</v>
      </c>
      <c r="E1455" s="11"/>
      <c r="F1455" s="11"/>
      <c r="G1455" s="11"/>
      <c r="H1455" s="11"/>
      <c r="I1455" s="12" t="s">
        <v>6528</v>
      </c>
      <c r="J1455" s="11"/>
      <c r="K1455" s="12" t="s">
        <v>6529</v>
      </c>
      <c r="L1455" s="12" t="s">
        <v>125</v>
      </c>
      <c r="M1455" s="12" t="str">
        <f>HYPERLINK("https://ceds.ed.gov/cedselementdetails.aspx?termid=17827")</f>
        <v>https://ceds.ed.gov/cedselementdetails.aspx?termid=17827</v>
      </c>
      <c r="N1455" s="12" t="str">
        <f>HYPERLINK("https://ceds.ed.gov/elementComment.aspx?elementName=Organization Identification System &amp;elementID=17827", "Click here to submit comment")</f>
        <v>Click here to submit comment</v>
      </c>
    </row>
    <row r="1456" spans="1:14" ht="150" customHeight="1" x14ac:dyDescent="0.25">
      <c r="A1456" s="15" t="s">
        <v>6530</v>
      </c>
      <c r="B1456" s="15" t="s">
        <v>6531</v>
      </c>
      <c r="C1456" s="15" t="s">
        <v>37</v>
      </c>
      <c r="D1456" s="15" t="s">
        <v>6532</v>
      </c>
      <c r="E1456" s="16"/>
      <c r="F1456" s="15" t="s">
        <v>149</v>
      </c>
      <c r="G1456" s="16"/>
      <c r="H1456" s="12" t="s">
        <v>150</v>
      </c>
      <c r="I1456" s="15" t="s">
        <v>6533</v>
      </c>
      <c r="J1456" s="16"/>
      <c r="K1456" s="15" t="s">
        <v>6534</v>
      </c>
      <c r="L1456" s="15" t="s">
        <v>125</v>
      </c>
      <c r="M1456" s="15" t="str">
        <f>HYPERLINK("https://ceds.ed.gov/cedselementdetails.aspx?termid=17825")</f>
        <v>https://ceds.ed.gov/cedselementdetails.aspx?termid=17825</v>
      </c>
      <c r="N1456" s="15" t="str">
        <f>HYPERLINK("https://ceds.ed.gov/elementComment.aspx?elementName=Organization Identifier &amp;elementID=17825", "Click here to submit comment")</f>
        <v>Click here to submit comment</v>
      </c>
    </row>
    <row r="1457" spans="1:14" x14ac:dyDescent="0.25">
      <c r="A1457" s="15"/>
      <c r="B1457" s="15"/>
      <c r="C1457" s="15"/>
      <c r="D1457" s="15"/>
      <c r="E1457" s="16"/>
      <c r="F1457" s="15"/>
      <c r="G1457" s="16"/>
      <c r="H1457" s="12"/>
      <c r="I1457" s="15"/>
      <c r="J1457" s="16"/>
      <c r="K1457" s="15"/>
      <c r="L1457" s="15"/>
      <c r="M1457" s="15"/>
      <c r="N1457" s="15"/>
    </row>
    <row r="1458" spans="1:14" ht="76.5" x14ac:dyDescent="0.25">
      <c r="A1458" s="15"/>
      <c r="B1458" s="15"/>
      <c r="C1458" s="15"/>
      <c r="D1458" s="15"/>
      <c r="E1458" s="16"/>
      <c r="F1458" s="15"/>
      <c r="G1458" s="16"/>
      <c r="H1458" s="12" t="s">
        <v>153</v>
      </c>
      <c r="I1458" s="15"/>
      <c r="J1458" s="16"/>
      <c r="K1458" s="15"/>
      <c r="L1458" s="15"/>
      <c r="M1458" s="15"/>
      <c r="N1458" s="15"/>
    </row>
    <row r="1459" spans="1:14" ht="165.75" x14ac:dyDescent="0.25">
      <c r="A1459" s="12" t="s">
        <v>6535</v>
      </c>
      <c r="B1459" s="12" t="s">
        <v>6536</v>
      </c>
      <c r="C1459" s="12" t="s">
        <v>37</v>
      </c>
      <c r="D1459" s="12" t="s">
        <v>6537</v>
      </c>
      <c r="E1459" s="11"/>
      <c r="F1459" s="12" t="s">
        <v>57</v>
      </c>
      <c r="G1459" s="11"/>
      <c r="H1459" s="11"/>
      <c r="I1459" s="12" t="s">
        <v>6538</v>
      </c>
      <c r="J1459" s="11"/>
      <c r="K1459" s="12" t="s">
        <v>6539</v>
      </c>
      <c r="L1459" s="11"/>
      <c r="M1459" s="12" t="str">
        <f>HYPERLINK("https://ceds.ed.gov/cedselementdetails.aspx?termid=18644")</f>
        <v>https://ceds.ed.gov/cedselementdetails.aspx?termid=18644</v>
      </c>
      <c r="N1459" s="12" t="str">
        <f>HYPERLINK("https://ceds.ed.gov/elementComment.aspx?elementName=Organization Image URL &amp;elementID=18644", "Click here to submit comment")</f>
        <v>Click here to submit comment</v>
      </c>
    </row>
    <row r="1460" spans="1:14" ht="38.25" x14ac:dyDescent="0.25">
      <c r="A1460" s="12" t="s">
        <v>6540</v>
      </c>
      <c r="B1460" s="12" t="s">
        <v>6541</v>
      </c>
      <c r="C1460" s="13" t="s">
        <v>6542</v>
      </c>
      <c r="D1460" s="12" t="s">
        <v>6332</v>
      </c>
      <c r="E1460" s="11"/>
      <c r="F1460" s="11"/>
      <c r="G1460" s="11"/>
      <c r="H1460" s="11"/>
      <c r="I1460" s="12" t="s">
        <v>6543</v>
      </c>
      <c r="J1460" s="11"/>
      <c r="K1460" s="12" t="s">
        <v>6544</v>
      </c>
      <c r="L1460" s="11"/>
      <c r="M1460" s="12" t="str">
        <f>HYPERLINK("https://ceds.ed.gov/cedselementdetails.aspx?termid=18296")</f>
        <v>https://ceds.ed.gov/cedselementdetails.aspx?termid=18296</v>
      </c>
      <c r="N1460" s="12" t="str">
        <f>HYPERLINK("https://ceds.ed.gov/elementComment.aspx?elementName=Organization Monitoring Notifications &amp;elementID=18296", "Click here to submit comment")</f>
        <v>Click here to submit comment</v>
      </c>
    </row>
    <row r="1461" spans="1:14" ht="216.75" x14ac:dyDescent="0.25">
      <c r="A1461" s="12" t="s">
        <v>6545</v>
      </c>
      <c r="B1461" s="12" t="s">
        <v>6546</v>
      </c>
      <c r="C1461" s="12" t="s">
        <v>37</v>
      </c>
      <c r="D1461" s="12" t="s">
        <v>6547</v>
      </c>
      <c r="E1461" s="11"/>
      <c r="F1461" s="12" t="s">
        <v>175</v>
      </c>
      <c r="G1461" s="11"/>
      <c r="H1461" s="11"/>
      <c r="I1461" s="12" t="s">
        <v>6548</v>
      </c>
      <c r="J1461" s="11"/>
      <c r="K1461" s="12" t="s">
        <v>6549</v>
      </c>
      <c r="L1461" s="12" t="s">
        <v>238</v>
      </c>
      <c r="M1461" s="12" t="str">
        <f>HYPERLINK("https://ceds.ed.gov/cedselementdetails.aspx?termid=17204")</f>
        <v>https://ceds.ed.gov/cedselementdetails.aspx?termid=17204</v>
      </c>
      <c r="N1461" s="12" t="str">
        <f>HYPERLINK("https://ceds.ed.gov/elementComment.aspx?elementName=Organization Name &amp;elementID=17204", "Click here to submit comment")</f>
        <v>Click here to submit comment</v>
      </c>
    </row>
    <row r="1462" spans="1:14" ht="89.25" x14ac:dyDescent="0.25">
      <c r="A1462" s="12" t="s">
        <v>6550</v>
      </c>
      <c r="B1462" s="12" t="s">
        <v>6551</v>
      </c>
      <c r="C1462" s="13" t="s">
        <v>6552</v>
      </c>
      <c r="D1462" s="12" t="s">
        <v>6553</v>
      </c>
      <c r="E1462" s="11"/>
      <c r="F1462" s="11"/>
      <c r="G1462" s="11"/>
      <c r="H1462" s="11"/>
      <c r="I1462" s="12" t="s">
        <v>6554</v>
      </c>
      <c r="J1462" s="11"/>
      <c r="K1462" s="12" t="s">
        <v>6555</v>
      </c>
      <c r="L1462" s="11"/>
      <c r="M1462" s="12" t="str">
        <f>HYPERLINK("https://ceds.ed.gov/cedselementdetails.aspx?termid=18387")</f>
        <v>https://ceds.ed.gov/cedselementdetails.aspx?termid=18387</v>
      </c>
      <c r="N1462" s="12" t="str">
        <f>HYPERLINK("https://ceds.ed.gov/elementComment.aspx?elementName=Organization Operational Status &amp;elementID=18387", "Click here to submit comment")</f>
        <v>Click here to submit comment</v>
      </c>
    </row>
    <row r="1463" spans="1:14" ht="191.25" x14ac:dyDescent="0.25">
      <c r="A1463" s="12" t="s">
        <v>6556</v>
      </c>
      <c r="B1463" s="12" t="s">
        <v>6557</v>
      </c>
      <c r="C1463" s="12" t="s">
        <v>37</v>
      </c>
      <c r="D1463" s="12" t="s">
        <v>6558</v>
      </c>
      <c r="E1463" s="11"/>
      <c r="F1463" s="12" t="s">
        <v>3227</v>
      </c>
      <c r="G1463" s="11"/>
      <c r="H1463" s="11"/>
      <c r="I1463" s="12" t="s">
        <v>6559</v>
      </c>
      <c r="J1463" s="11"/>
      <c r="K1463" s="12" t="s">
        <v>6560</v>
      </c>
      <c r="L1463" s="11"/>
      <c r="M1463" s="12" t="str">
        <f>HYPERLINK("https://ceds.ed.gov/cedselementdetails.aspx?termid=18731")</f>
        <v>https://ceds.ed.gov/cedselementdetails.aspx?termid=18731</v>
      </c>
      <c r="N1463" s="12" t="str">
        <f>HYPERLINK("https://ceds.ed.gov/elementComment.aspx?elementName=Organization Region GeoJSON &amp;elementID=18731", "Click here to submit comment")</f>
        <v>Click here to submit comment</v>
      </c>
    </row>
    <row r="1464" spans="1:14" ht="191.25" x14ac:dyDescent="0.25">
      <c r="A1464" s="12" t="s">
        <v>6561</v>
      </c>
      <c r="B1464" s="12" t="s">
        <v>6562</v>
      </c>
      <c r="C1464" s="13" t="s">
        <v>6563</v>
      </c>
      <c r="D1464" s="12" t="s">
        <v>6564</v>
      </c>
      <c r="E1464" s="12" t="s">
        <v>195</v>
      </c>
      <c r="F1464" s="11"/>
      <c r="G1464" s="12" t="s">
        <v>2266</v>
      </c>
      <c r="H1464" s="11"/>
      <c r="I1464" s="12" t="s">
        <v>6565</v>
      </c>
      <c r="J1464" s="11"/>
      <c r="K1464" s="12" t="s">
        <v>6566</v>
      </c>
      <c r="L1464" s="11"/>
      <c r="M1464" s="12" t="str">
        <f>HYPERLINK("https://ceds.ed.gov/cedselementdetails.aspx?termid=18886")</f>
        <v>https://ceds.ed.gov/cedselementdetails.aspx?termid=18886</v>
      </c>
      <c r="N1464" s="12" t="str">
        <f>HYPERLINK("https://ceds.ed.gov/elementComment.aspx?elementName=Organization Relationship Type &amp;elementID=18886", "Click here to submit comment")</f>
        <v>Click here to submit comment</v>
      </c>
    </row>
    <row r="1465" spans="1:14" ht="38.25" x14ac:dyDescent="0.25">
      <c r="A1465" s="12" t="s">
        <v>6567</v>
      </c>
      <c r="B1465" s="12" t="s">
        <v>6568</v>
      </c>
      <c r="C1465" s="12" t="s">
        <v>37</v>
      </c>
      <c r="D1465" s="12" t="s">
        <v>121</v>
      </c>
      <c r="E1465" s="11"/>
      <c r="F1465" s="12" t="s">
        <v>135</v>
      </c>
      <c r="G1465" s="11"/>
      <c r="H1465" s="11"/>
      <c r="I1465" s="12" t="s">
        <v>6569</v>
      </c>
      <c r="J1465" s="11"/>
      <c r="K1465" s="12" t="s">
        <v>6570</v>
      </c>
      <c r="L1465" s="11"/>
      <c r="M1465" s="12" t="str">
        <f>HYPERLINK("https://ceds.ed.gov/cedselementdetails.aspx?termid=18388")</f>
        <v>https://ceds.ed.gov/cedselementdetails.aspx?termid=18388</v>
      </c>
      <c r="N1465" s="12" t="str">
        <f>HYPERLINK("https://ceds.ed.gov/elementComment.aspx?elementName=Organization Seeking Accreditation Date &amp;elementID=18388", "Click here to submit comment")</f>
        <v>Click here to submit comment</v>
      </c>
    </row>
    <row r="1466" spans="1:14" ht="409.5" x14ac:dyDescent="0.25">
      <c r="A1466" s="12" t="s">
        <v>6571</v>
      </c>
      <c r="B1466" s="12" t="s">
        <v>6572</v>
      </c>
      <c r="C1466" s="13" t="s">
        <v>6573</v>
      </c>
      <c r="D1466" s="12" t="s">
        <v>6564</v>
      </c>
      <c r="E1466" s="12" t="s">
        <v>195</v>
      </c>
      <c r="F1466" s="11"/>
      <c r="G1466" s="12" t="s">
        <v>6574</v>
      </c>
      <c r="H1466" s="12" t="s">
        <v>6575</v>
      </c>
      <c r="I1466" s="12" t="s">
        <v>6576</v>
      </c>
      <c r="J1466" s="11"/>
      <c r="K1466" s="12" t="s">
        <v>6577</v>
      </c>
      <c r="L1466" s="11"/>
      <c r="M1466" s="12" t="str">
        <f>HYPERLINK("https://ceds.ed.gov/cedselementdetails.aspx?termid=18165")</f>
        <v>https://ceds.ed.gov/cedselementdetails.aspx?termid=18165</v>
      </c>
      <c r="N1466" s="12" t="str">
        <f>HYPERLINK("https://ceds.ed.gov/elementComment.aspx?elementName=Organization Type &amp;elementID=18165", "Click here to submit comment")</f>
        <v>Click here to submit comment</v>
      </c>
    </row>
    <row r="1467" spans="1:14" ht="25.5" x14ac:dyDescent="0.25">
      <c r="A1467" s="12" t="s">
        <v>6578</v>
      </c>
      <c r="B1467" s="12" t="s">
        <v>6579</v>
      </c>
      <c r="C1467" s="12" t="s">
        <v>37</v>
      </c>
      <c r="D1467" s="12" t="s">
        <v>6332</v>
      </c>
      <c r="E1467" s="11"/>
      <c r="F1467" s="12" t="s">
        <v>129</v>
      </c>
      <c r="G1467" s="11"/>
      <c r="H1467" s="11"/>
      <c r="I1467" s="12" t="s">
        <v>6580</v>
      </c>
      <c r="J1467" s="11"/>
      <c r="K1467" s="12" t="s">
        <v>6581</v>
      </c>
      <c r="L1467" s="11"/>
      <c r="M1467" s="12" t="str">
        <f>HYPERLINK("https://ceds.ed.gov/cedselementdetails.aspx?termid=18300")</f>
        <v>https://ceds.ed.gov/cedselementdetails.aspx?termid=18300</v>
      </c>
      <c r="N1467" s="12" t="str">
        <f>HYPERLINK("https://ceds.ed.gov/elementComment.aspx?elementName=Organization Type of Monitoring &amp;elementID=18300", "Click here to submit comment")</f>
        <v>Click here to submit comment</v>
      </c>
    </row>
    <row r="1468" spans="1:14" ht="76.5" x14ac:dyDescent="0.25">
      <c r="A1468" s="15" t="s">
        <v>6582</v>
      </c>
      <c r="B1468" s="15" t="s">
        <v>6583</v>
      </c>
      <c r="C1468" s="15" t="s">
        <v>37</v>
      </c>
      <c r="D1468" s="15" t="s">
        <v>2875</v>
      </c>
      <c r="E1468" s="16"/>
      <c r="F1468" s="15" t="s">
        <v>149</v>
      </c>
      <c r="G1468" s="16"/>
      <c r="H1468" s="12" t="s">
        <v>150</v>
      </c>
      <c r="I1468" s="15" t="s">
        <v>6584</v>
      </c>
      <c r="J1468" s="16"/>
      <c r="K1468" s="15" t="s">
        <v>6585</v>
      </c>
      <c r="L1468" s="16"/>
      <c r="M1468" s="15" t="str">
        <f>HYPERLINK("https://ceds.ed.gov/cedselementdetails.aspx?termid=18389")</f>
        <v>https://ceds.ed.gov/cedselementdetails.aspx?termid=18389</v>
      </c>
      <c r="N1468" s="15" t="str">
        <f>HYPERLINK("https://ceds.ed.gov/elementComment.aspx?elementName=Original Course Identifier &amp;elementID=18389", "Click here to submit comment")</f>
        <v>Click here to submit comment</v>
      </c>
    </row>
    <row r="1469" spans="1:14" x14ac:dyDescent="0.25">
      <c r="A1469" s="15"/>
      <c r="B1469" s="15"/>
      <c r="C1469" s="15"/>
      <c r="D1469" s="15"/>
      <c r="E1469" s="16"/>
      <c r="F1469" s="15"/>
      <c r="G1469" s="16"/>
      <c r="H1469" s="12"/>
      <c r="I1469" s="15"/>
      <c r="J1469" s="16"/>
      <c r="K1469" s="15"/>
      <c r="L1469" s="16"/>
      <c r="M1469" s="15"/>
      <c r="N1469" s="15"/>
    </row>
    <row r="1470" spans="1:14" ht="76.5" x14ac:dyDescent="0.25">
      <c r="A1470" s="15"/>
      <c r="B1470" s="15"/>
      <c r="C1470" s="15"/>
      <c r="D1470" s="15"/>
      <c r="E1470" s="16"/>
      <c r="F1470" s="15"/>
      <c r="G1470" s="16"/>
      <c r="H1470" s="12" t="s">
        <v>153</v>
      </c>
      <c r="I1470" s="15"/>
      <c r="J1470" s="16"/>
      <c r="K1470" s="15"/>
      <c r="L1470" s="16"/>
      <c r="M1470" s="15"/>
      <c r="N1470" s="15"/>
    </row>
    <row r="1471" spans="1:14" ht="409.5" x14ac:dyDescent="0.25">
      <c r="A1471" s="12" t="s">
        <v>6586</v>
      </c>
      <c r="B1471" s="12" t="s">
        <v>6587</v>
      </c>
      <c r="C1471" s="12" t="s">
        <v>37</v>
      </c>
      <c r="D1471" s="12" t="s">
        <v>6588</v>
      </c>
      <c r="E1471" s="11"/>
      <c r="F1471" s="12" t="s">
        <v>1468</v>
      </c>
      <c r="G1471" s="11"/>
      <c r="H1471" s="12" t="s">
        <v>6589</v>
      </c>
      <c r="I1471" s="12" t="s">
        <v>6590</v>
      </c>
      <c r="J1471" s="11"/>
      <c r="K1471" s="12" t="s">
        <v>6591</v>
      </c>
      <c r="L1471" s="11"/>
      <c r="M1471" s="12" t="str">
        <f>HYPERLINK("https://ceds.ed.gov/cedselementdetails.aspx?termid=18486")</f>
        <v>https://ceds.ed.gov/cedselementdetails.aspx?termid=18486</v>
      </c>
      <c r="N1471" s="12" t="str">
        <f>HYPERLINK("https://ceds.ed.gov/elementComment.aspx?elementName=Other First Name &amp;elementID=18486", "Click here to submit comment")</f>
        <v>Click here to submit comment</v>
      </c>
    </row>
    <row r="1472" spans="1:14" ht="409.5" x14ac:dyDescent="0.25">
      <c r="A1472" s="12" t="s">
        <v>6592</v>
      </c>
      <c r="B1472" s="12" t="s">
        <v>6593</v>
      </c>
      <c r="C1472" s="12" t="s">
        <v>37</v>
      </c>
      <c r="D1472" s="12" t="s">
        <v>6588</v>
      </c>
      <c r="E1472" s="11"/>
      <c r="F1472" s="12" t="s">
        <v>1468</v>
      </c>
      <c r="G1472" s="11"/>
      <c r="H1472" s="12" t="s">
        <v>6594</v>
      </c>
      <c r="I1472" s="12" t="s">
        <v>6595</v>
      </c>
      <c r="J1472" s="11"/>
      <c r="K1472" s="12" t="s">
        <v>6596</v>
      </c>
      <c r="L1472" s="11"/>
      <c r="M1472" s="12" t="str">
        <f>HYPERLINK("https://ceds.ed.gov/cedselementdetails.aspx?termid=18485")</f>
        <v>https://ceds.ed.gov/cedselementdetails.aspx?termid=18485</v>
      </c>
      <c r="N1472" s="12" t="str">
        <f>HYPERLINK("https://ceds.ed.gov/elementComment.aspx?elementName=Other Last Name &amp;elementID=18485", "Click here to submit comment")</f>
        <v>Click here to submit comment</v>
      </c>
    </row>
    <row r="1473" spans="1:14" ht="409.5" x14ac:dyDescent="0.25">
      <c r="A1473" s="12" t="s">
        <v>6597</v>
      </c>
      <c r="B1473" s="12" t="s">
        <v>6598</v>
      </c>
      <c r="C1473" s="12" t="s">
        <v>37</v>
      </c>
      <c r="D1473" s="12" t="s">
        <v>6588</v>
      </c>
      <c r="E1473" s="11"/>
      <c r="F1473" s="12" t="s">
        <v>1468</v>
      </c>
      <c r="G1473" s="11"/>
      <c r="H1473" s="12" t="s">
        <v>6599</v>
      </c>
      <c r="I1473" s="12" t="s">
        <v>6600</v>
      </c>
      <c r="J1473" s="11"/>
      <c r="K1473" s="12" t="s">
        <v>6601</v>
      </c>
      <c r="L1473" s="11"/>
      <c r="M1473" s="12" t="str">
        <f>HYPERLINK("https://ceds.ed.gov/cedselementdetails.aspx?termid=18487")</f>
        <v>https://ceds.ed.gov/cedselementdetails.aspx?termid=18487</v>
      </c>
      <c r="N1473" s="12" t="str">
        <f>HYPERLINK("https://ceds.ed.gov/elementComment.aspx?elementName=Other Middle Name &amp;elementID=18487", "Click here to submit comment")</f>
        <v>Click here to submit comment</v>
      </c>
    </row>
    <row r="1474" spans="1:14" ht="409.5" x14ac:dyDescent="0.25">
      <c r="A1474" s="12" t="s">
        <v>6602</v>
      </c>
      <c r="B1474" s="12" t="s">
        <v>6603</v>
      </c>
      <c r="C1474" s="12" t="s">
        <v>37</v>
      </c>
      <c r="D1474" s="12" t="s">
        <v>6588</v>
      </c>
      <c r="E1474" s="11"/>
      <c r="F1474" s="12" t="s">
        <v>149</v>
      </c>
      <c r="G1474" s="11"/>
      <c r="H1474" s="11"/>
      <c r="I1474" s="12" t="s">
        <v>6604</v>
      </c>
      <c r="J1474" s="11"/>
      <c r="K1474" s="12" t="s">
        <v>6605</v>
      </c>
      <c r="L1474" s="12" t="s">
        <v>4749</v>
      </c>
      <c r="M1474" s="12" t="str">
        <f>HYPERLINK("https://ceds.ed.gov/cedselementdetails.aspx?termid=17206")</f>
        <v>https://ceds.ed.gov/cedselementdetails.aspx?termid=17206</v>
      </c>
      <c r="N1474" s="12" t="str">
        <f>HYPERLINK("https://ceds.ed.gov/elementComment.aspx?elementName=Other Name &amp;elementID=17206", "Click here to submit comment")</f>
        <v>Click here to submit comment</v>
      </c>
    </row>
    <row r="1475" spans="1:14" ht="409.5" x14ac:dyDescent="0.25">
      <c r="A1475" s="12" t="s">
        <v>6606</v>
      </c>
      <c r="B1475" s="12" t="s">
        <v>6607</v>
      </c>
      <c r="C1475" s="13" t="s">
        <v>6608</v>
      </c>
      <c r="D1475" s="12" t="s">
        <v>6609</v>
      </c>
      <c r="E1475" s="11"/>
      <c r="F1475" s="12" t="s">
        <v>97</v>
      </c>
      <c r="G1475" s="11"/>
      <c r="H1475" s="11"/>
      <c r="I1475" s="12" t="s">
        <v>6610</v>
      </c>
      <c r="J1475" s="11"/>
      <c r="K1475" s="12" t="s">
        <v>6611</v>
      </c>
      <c r="L1475" s="12" t="s">
        <v>6612</v>
      </c>
      <c r="M1475" s="12" t="str">
        <f>HYPERLINK("https://ceds.ed.gov/cedselementdetails.aspx?termid=17627")</f>
        <v>https://ceds.ed.gov/cedselementdetails.aspx?termid=17627</v>
      </c>
      <c r="N1475" s="12" t="str">
        <f>HYPERLINK("https://ceds.ed.gov/elementComment.aspx?elementName=Other Name Type &amp;elementID=17627", "Click here to submit comment")</f>
        <v>Click here to submit comment</v>
      </c>
    </row>
    <row r="1476" spans="1:14" ht="38.25" x14ac:dyDescent="0.25">
      <c r="A1476" s="12" t="s">
        <v>6613</v>
      </c>
      <c r="B1476" s="12" t="s">
        <v>6614</v>
      </c>
      <c r="C1476" s="12" t="s">
        <v>24</v>
      </c>
      <c r="D1476" s="12" t="s">
        <v>6615</v>
      </c>
      <c r="E1476" s="11"/>
      <c r="F1476" s="11"/>
      <c r="G1476" s="11"/>
      <c r="H1476" s="12" t="s">
        <v>6616</v>
      </c>
      <c r="I1476" s="12" t="s">
        <v>6617</v>
      </c>
      <c r="J1476" s="11"/>
      <c r="K1476" s="12" t="s">
        <v>6618</v>
      </c>
      <c r="L1476" s="11"/>
      <c r="M1476" s="12" t="str">
        <f>HYPERLINK("https://ceds.ed.gov/cedselementdetails.aspx?termid=18390")</f>
        <v>https://ceds.ed.gov/cedselementdetails.aspx?termid=18390</v>
      </c>
      <c r="N1476" s="12" t="str">
        <f>HYPERLINK("https://ceds.ed.gov/elementComment.aspx?elementName=Other Race Indicator &amp;elementID=18390", "Click here to submit comment")</f>
        <v>Click here to submit comment</v>
      </c>
    </row>
    <row r="1477" spans="1:14" ht="51" x14ac:dyDescent="0.25">
      <c r="A1477" s="12" t="s">
        <v>6619</v>
      </c>
      <c r="B1477" s="12" t="s">
        <v>6620</v>
      </c>
      <c r="C1477" s="12" t="s">
        <v>37</v>
      </c>
      <c r="D1477" s="12" t="s">
        <v>275</v>
      </c>
      <c r="E1477" s="11"/>
      <c r="F1477" s="12" t="s">
        <v>1710</v>
      </c>
      <c r="G1477" s="11"/>
      <c r="H1477" s="12" t="s">
        <v>432</v>
      </c>
      <c r="I1477" s="12" t="s">
        <v>6621</v>
      </c>
      <c r="J1477" s="11"/>
      <c r="K1477" s="12" t="s">
        <v>6622</v>
      </c>
      <c r="L1477" s="12" t="s">
        <v>1769</v>
      </c>
      <c r="M1477" s="12" t="str">
        <f>HYPERLINK("https://ceds.ed.gov/cedselementdetails.aspx?termid=17731")</f>
        <v>https://ceds.ed.gov/cedselementdetails.aspx?termid=17731</v>
      </c>
      <c r="N1477" s="12" t="str">
        <f>HYPERLINK("https://ceds.ed.gov/elementComment.aspx?elementName=Other Student Expenses &amp;elementID=17731", "Click here to submit comment")</f>
        <v>Click here to submit comment</v>
      </c>
    </row>
    <row r="1478" spans="1:14" ht="204" x14ac:dyDescent="0.25">
      <c r="A1478" s="12" t="s">
        <v>6623</v>
      </c>
      <c r="B1478" s="12" t="s">
        <v>6624</v>
      </c>
      <c r="C1478" s="12" t="s">
        <v>3430</v>
      </c>
      <c r="D1478" s="12" t="s">
        <v>6625</v>
      </c>
      <c r="E1478" s="12" t="s">
        <v>188</v>
      </c>
      <c r="F1478" s="11"/>
      <c r="G1478" s="12" t="s">
        <v>189</v>
      </c>
      <c r="H1478" s="11"/>
      <c r="I1478" s="12" t="s">
        <v>6626</v>
      </c>
      <c r="J1478" s="11"/>
      <c r="K1478" s="12" t="s">
        <v>6627</v>
      </c>
      <c r="L1478" s="11"/>
      <c r="M1478" s="12" t="str">
        <f>HYPERLINK("https://ceds.ed.gov/cedselementdetails.aspx?termid=18908")</f>
        <v>https://ceds.ed.gov/cedselementdetails.aspx?termid=18908</v>
      </c>
      <c r="N1478" s="12" t="str">
        <f>HYPERLINK("https://ceds.ed.gov/elementComment.aspx?elementName=Out of Workforce Indicator &amp;elementID=18908", "Click here to submit comment")</f>
        <v>Click here to submit comment</v>
      </c>
    </row>
    <row r="1479" spans="1:14" ht="63.75" x14ac:dyDescent="0.25">
      <c r="A1479" s="12" t="s">
        <v>6628</v>
      </c>
      <c r="B1479" s="12" t="s">
        <v>6629</v>
      </c>
      <c r="C1479" s="12" t="s">
        <v>37</v>
      </c>
      <c r="D1479" s="12" t="s">
        <v>2875</v>
      </c>
      <c r="E1479" s="11"/>
      <c r="F1479" s="12" t="s">
        <v>97</v>
      </c>
      <c r="G1479" s="11"/>
      <c r="H1479" s="11"/>
      <c r="I1479" s="12" t="s">
        <v>6630</v>
      </c>
      <c r="J1479" s="11"/>
      <c r="K1479" s="12" t="s">
        <v>6631</v>
      </c>
      <c r="L1479" s="11"/>
      <c r="M1479" s="12" t="str">
        <f>HYPERLINK("https://ceds.ed.gov/cedselementdetails.aspx?termid=18391")</f>
        <v>https://ceds.ed.gov/cedselementdetails.aspx?termid=18391</v>
      </c>
      <c r="N1479" s="12" t="str">
        <f>HYPERLINK("https://ceds.ed.gov/elementComment.aspx?elementName=Override School Course Number &amp;elementID=18391", "Click here to submit comment")</f>
        <v>Click here to submit comment</v>
      </c>
    </row>
    <row r="1480" spans="1:14" ht="38.25" x14ac:dyDescent="0.25">
      <c r="A1480" s="12" t="s">
        <v>6632</v>
      </c>
      <c r="B1480" s="12" t="s">
        <v>6633</v>
      </c>
      <c r="C1480" s="13" t="s">
        <v>6634</v>
      </c>
      <c r="D1480" s="12" t="s">
        <v>4998</v>
      </c>
      <c r="E1480" s="11"/>
      <c r="F1480" s="11"/>
      <c r="G1480" s="11"/>
      <c r="H1480" s="11"/>
      <c r="I1480" s="12" t="s">
        <v>6635</v>
      </c>
      <c r="J1480" s="11"/>
      <c r="K1480" s="12" t="s">
        <v>6636</v>
      </c>
      <c r="L1480" s="12" t="s">
        <v>258</v>
      </c>
      <c r="M1480" s="12" t="str">
        <f>HYPERLINK("https://ceds.ed.gov/cedselementdetails.aspx?termid=17207")</f>
        <v>https://ceds.ed.gov/cedselementdetails.aspx?termid=17207</v>
      </c>
      <c r="N1480" s="12" t="str">
        <f>HYPERLINK("https://ceds.ed.gov/elementComment.aspx?elementName=Paraprofessional Qualification Status &amp;elementID=17207", "Click here to submit comment")</f>
        <v>Click here to submit comment</v>
      </c>
    </row>
    <row r="1481" spans="1:14" ht="127.5" x14ac:dyDescent="0.25">
      <c r="A1481" s="12" t="s">
        <v>6637</v>
      </c>
      <c r="B1481" s="12" t="s">
        <v>6638</v>
      </c>
      <c r="C1481" s="13" t="s">
        <v>6639</v>
      </c>
      <c r="D1481" s="12" t="s">
        <v>1551</v>
      </c>
      <c r="E1481" s="11"/>
      <c r="F1481" s="11"/>
      <c r="G1481" s="11"/>
      <c r="H1481" s="11"/>
      <c r="I1481" s="12" t="s">
        <v>6640</v>
      </c>
      <c r="J1481" s="11"/>
      <c r="K1481" s="12" t="s">
        <v>6641</v>
      </c>
      <c r="L1481" s="12" t="s">
        <v>125</v>
      </c>
      <c r="M1481" s="12" t="str">
        <f>HYPERLINK("https://ceds.ed.gov/cedselementdetails.aspx?termid=17857")</f>
        <v>https://ceds.ed.gov/cedselementdetails.aspx?termid=17857</v>
      </c>
      <c r="N1481" s="12" t="str">
        <f>HYPERLINK("https://ceds.ed.gov/elementComment.aspx?elementName=Parent Communication Method &amp;elementID=17857", "Click here to submit comment")</f>
        <v>Click here to submit comment</v>
      </c>
    </row>
    <row r="1482" spans="1:14" ht="369.75" x14ac:dyDescent="0.25">
      <c r="A1482" s="12" t="s">
        <v>6642</v>
      </c>
      <c r="B1482" s="12" t="s">
        <v>6643</v>
      </c>
      <c r="C1482" s="13" t="s">
        <v>4724</v>
      </c>
      <c r="D1482" s="12" t="s">
        <v>4725</v>
      </c>
      <c r="E1482" s="12" t="s">
        <v>195</v>
      </c>
      <c r="F1482" s="11"/>
      <c r="G1482" s="12" t="s">
        <v>2856</v>
      </c>
      <c r="H1482" s="11"/>
      <c r="I1482" s="12" t="s">
        <v>6644</v>
      </c>
      <c r="J1482" s="11"/>
      <c r="K1482" s="12" t="s">
        <v>6645</v>
      </c>
      <c r="L1482" s="12" t="s">
        <v>3920</v>
      </c>
      <c r="M1482" s="12" t="str">
        <f>HYPERLINK("https://ceds.ed.gov/cedselementdetails.aspx?termid=17867")</f>
        <v>https://ceds.ed.gov/cedselementdetails.aspx?termid=17867</v>
      </c>
      <c r="N1482" s="12" t="str">
        <f>HYPERLINK("https://ceds.ed.gov/elementComment.aspx?elementName=Part-Time Employee Benefits &amp;elementID=17867", "Click here to submit comment")</f>
        <v>Click here to submit comment</v>
      </c>
    </row>
    <row r="1483" spans="1:14" ht="216.75" x14ac:dyDescent="0.25">
      <c r="A1483" s="12" t="s">
        <v>6646</v>
      </c>
      <c r="B1483" s="12" t="s">
        <v>6647</v>
      </c>
      <c r="C1483" s="13" t="s">
        <v>6648</v>
      </c>
      <c r="D1483" s="12" t="s">
        <v>6649</v>
      </c>
      <c r="E1483" s="11"/>
      <c r="F1483" s="11"/>
      <c r="G1483" s="11"/>
      <c r="H1483" s="11"/>
      <c r="I1483" s="12" t="s">
        <v>6650</v>
      </c>
      <c r="J1483" s="11"/>
      <c r="K1483" s="12" t="s">
        <v>6651</v>
      </c>
      <c r="L1483" s="12" t="s">
        <v>467</v>
      </c>
      <c r="M1483" s="12" t="str">
        <f>HYPERLINK("https://ceds.ed.gov/cedselementdetails.aspx?termid=17325")</f>
        <v>https://ceds.ed.gov/cedselementdetails.aspx?termid=17325</v>
      </c>
      <c r="N1483" s="12" t="str">
        <f>HYPERLINK("https://ceds.ed.gov/elementComment.aspx?elementName=Participation in School Food Service Programs &amp;elementID=17325", "Click here to submit comment")</f>
        <v>Click here to submit comment</v>
      </c>
    </row>
    <row r="1484" spans="1:14" ht="89.25" x14ac:dyDescent="0.25">
      <c r="A1484" s="12" t="s">
        <v>6652</v>
      </c>
      <c r="B1484" s="12" t="s">
        <v>6653</v>
      </c>
      <c r="C1484" s="13" t="s">
        <v>6654</v>
      </c>
      <c r="D1484" s="12" t="s">
        <v>241</v>
      </c>
      <c r="E1484" s="11"/>
      <c r="F1484" s="11"/>
      <c r="G1484" s="11"/>
      <c r="H1484" s="11"/>
      <c r="I1484" s="12" t="s">
        <v>6655</v>
      </c>
      <c r="J1484" s="11"/>
      <c r="K1484" s="12" t="s">
        <v>6656</v>
      </c>
      <c r="L1484" s="12" t="s">
        <v>258</v>
      </c>
      <c r="M1484" s="12" t="str">
        <f>HYPERLINK("https://ceds.ed.gov/cedselementdetails.aspx?termid=17208")</f>
        <v>https://ceds.ed.gov/cedselementdetails.aspx?termid=17208</v>
      </c>
      <c r="N1484" s="12" t="str">
        <f>HYPERLINK("https://ceds.ed.gov/elementComment.aspx?elementName=Participation Status for Math &amp;elementID=17208", "Click here to submit comment")</f>
        <v>Click here to submit comment</v>
      </c>
    </row>
    <row r="1485" spans="1:14" ht="89.25" x14ac:dyDescent="0.25">
      <c r="A1485" s="12" t="s">
        <v>6657</v>
      </c>
      <c r="B1485" s="12" t="s">
        <v>6658</v>
      </c>
      <c r="C1485" s="13" t="s">
        <v>6654</v>
      </c>
      <c r="D1485" s="12" t="s">
        <v>241</v>
      </c>
      <c r="E1485" s="11"/>
      <c r="F1485" s="11"/>
      <c r="G1485" s="11"/>
      <c r="H1485" s="11"/>
      <c r="I1485" s="12" t="s">
        <v>6659</v>
      </c>
      <c r="J1485" s="11"/>
      <c r="K1485" s="12" t="s">
        <v>6660</v>
      </c>
      <c r="L1485" s="12" t="s">
        <v>258</v>
      </c>
      <c r="M1485" s="12" t="str">
        <f>HYPERLINK("https://ceds.ed.gov/cedselementdetails.aspx?termid=17209")</f>
        <v>https://ceds.ed.gov/cedselementdetails.aspx?termid=17209</v>
      </c>
      <c r="N1485" s="12" t="str">
        <f>HYPERLINK("https://ceds.ed.gov/elementComment.aspx?elementName=Participation Status for Reading and Language Arts &amp;elementID=17209", "Click here to submit comment")</f>
        <v>Click here to submit comment</v>
      </c>
    </row>
    <row r="1486" spans="1:14" ht="140.25" x14ac:dyDescent="0.25">
      <c r="A1486" s="12" t="s">
        <v>6661</v>
      </c>
      <c r="B1486" s="12" t="s">
        <v>6662</v>
      </c>
      <c r="C1486" s="13" t="s">
        <v>6193</v>
      </c>
      <c r="D1486" s="12" t="s">
        <v>2126</v>
      </c>
      <c r="E1486" s="11"/>
      <c r="F1486" s="11"/>
      <c r="G1486" s="11"/>
      <c r="H1486" s="11"/>
      <c r="I1486" s="12" t="s">
        <v>6663</v>
      </c>
      <c r="J1486" s="11"/>
      <c r="K1486" s="12" t="s">
        <v>6664</v>
      </c>
      <c r="L1486" s="11"/>
      <c r="M1486" s="12" t="str">
        <f>HYPERLINK("https://ceds.ed.gov/cedselementdetails.aspx?termid=18195")</f>
        <v>https://ceds.ed.gov/cedselementdetails.aspx?termid=18195</v>
      </c>
      <c r="N1486" s="12" t="str">
        <f>HYPERLINK("https://ceds.ed.gov/elementComment.aspx?elementName=Paternal Guardian Education &amp;elementID=18195", "Click here to submit comment")</f>
        <v>Click here to submit comment</v>
      </c>
    </row>
    <row r="1487" spans="1:14" ht="25.5" x14ac:dyDescent="0.25">
      <c r="A1487" s="12" t="s">
        <v>6665</v>
      </c>
      <c r="B1487" s="12" t="s">
        <v>6666</v>
      </c>
      <c r="C1487" s="12" t="s">
        <v>37</v>
      </c>
      <c r="D1487" s="12" t="s">
        <v>5995</v>
      </c>
      <c r="E1487" s="11"/>
      <c r="F1487" s="12" t="s">
        <v>135</v>
      </c>
      <c r="G1487" s="11"/>
      <c r="H1487" s="11"/>
      <c r="I1487" s="12" t="s">
        <v>6667</v>
      </c>
      <c r="J1487" s="11"/>
      <c r="K1487" s="12" t="s">
        <v>6668</v>
      </c>
      <c r="L1487" s="11"/>
      <c r="M1487" s="12" t="str">
        <f>HYPERLINK("https://ceds.ed.gov/cedselementdetails.aspx?termid=18171")</f>
        <v>https://ceds.ed.gov/cedselementdetails.aspx?termid=18171</v>
      </c>
      <c r="N1487" s="12" t="str">
        <f>HYPERLINK("https://ceds.ed.gov/elementComment.aspx?elementName=Peer Rating Date &amp;elementID=18171", "Click here to submit comment")</f>
        <v>Click here to submit comment</v>
      </c>
    </row>
    <row r="1488" spans="1:14" ht="25.5" x14ac:dyDescent="0.25">
      <c r="A1488" s="12" t="s">
        <v>6669</v>
      </c>
      <c r="B1488" s="12" t="s">
        <v>6670</v>
      </c>
      <c r="C1488" s="12" t="s">
        <v>37</v>
      </c>
      <c r="D1488" s="12" t="s">
        <v>6671</v>
      </c>
      <c r="E1488" s="11"/>
      <c r="F1488" s="12" t="s">
        <v>1112</v>
      </c>
      <c r="G1488" s="11"/>
      <c r="H1488" s="11"/>
      <c r="I1488" s="12" t="s">
        <v>6672</v>
      </c>
      <c r="J1488" s="11"/>
      <c r="K1488" s="12" t="s">
        <v>6673</v>
      </c>
      <c r="L1488" s="11"/>
      <c r="M1488" s="12" t="str">
        <f>HYPERLINK("https://ceds.ed.gov/cedselementdetails.aspx?termid=18162")</f>
        <v>https://ceds.ed.gov/cedselementdetails.aspx?termid=18162</v>
      </c>
      <c r="N1488" s="12" t="str">
        <f>HYPERLINK("https://ceds.ed.gov/elementComment.aspx?elementName=Peer Rating System Maximum Value &amp;elementID=18162", "Click here to submit comment")</f>
        <v>Click here to submit comment</v>
      </c>
    </row>
    <row r="1489" spans="1:14" ht="25.5" x14ac:dyDescent="0.25">
      <c r="A1489" s="12" t="s">
        <v>6674</v>
      </c>
      <c r="B1489" s="12" t="s">
        <v>6675</v>
      </c>
      <c r="C1489" s="12" t="s">
        <v>37</v>
      </c>
      <c r="D1489" s="12" t="s">
        <v>6671</v>
      </c>
      <c r="E1489" s="11"/>
      <c r="F1489" s="12" t="s">
        <v>1112</v>
      </c>
      <c r="G1489" s="11"/>
      <c r="H1489" s="11"/>
      <c r="I1489" s="12" t="s">
        <v>6676</v>
      </c>
      <c r="J1489" s="11"/>
      <c r="K1489" s="12" t="s">
        <v>6677</v>
      </c>
      <c r="L1489" s="11"/>
      <c r="M1489" s="12" t="str">
        <f>HYPERLINK("https://ceds.ed.gov/cedselementdetails.aspx?termid=18163")</f>
        <v>https://ceds.ed.gov/cedselementdetails.aspx?termid=18163</v>
      </c>
      <c r="N1489" s="12" t="str">
        <f>HYPERLINK("https://ceds.ed.gov/elementComment.aspx?elementName=Peer Rating System Minimum Value &amp;elementID=18163", "Click here to submit comment")</f>
        <v>Click here to submit comment</v>
      </c>
    </row>
    <row r="1490" spans="1:14" ht="25.5" x14ac:dyDescent="0.25">
      <c r="A1490" s="12" t="s">
        <v>6678</v>
      </c>
      <c r="B1490" s="12" t="s">
        <v>6679</v>
      </c>
      <c r="C1490" s="12" t="s">
        <v>37</v>
      </c>
      <c r="D1490" s="12" t="s">
        <v>6671</v>
      </c>
      <c r="E1490" s="11"/>
      <c r="F1490" s="12" t="s">
        <v>175</v>
      </c>
      <c r="G1490" s="11"/>
      <c r="H1490" s="11"/>
      <c r="I1490" s="12" t="s">
        <v>6680</v>
      </c>
      <c r="J1490" s="11"/>
      <c r="K1490" s="12" t="s">
        <v>6681</v>
      </c>
      <c r="L1490" s="11"/>
      <c r="M1490" s="12" t="str">
        <f>HYPERLINK("https://ceds.ed.gov/cedselementdetails.aspx?termid=18160")</f>
        <v>https://ceds.ed.gov/cedselementdetails.aspx?termid=18160</v>
      </c>
      <c r="N1490" s="12" t="str">
        <f>HYPERLINK("https://ceds.ed.gov/elementComment.aspx?elementName=Peer Rating System Name &amp;elementID=18160", "Click here to submit comment")</f>
        <v>Click here to submit comment</v>
      </c>
    </row>
    <row r="1491" spans="1:14" ht="51" x14ac:dyDescent="0.25">
      <c r="A1491" s="12" t="s">
        <v>6682</v>
      </c>
      <c r="B1491" s="12" t="s">
        <v>6683</v>
      </c>
      <c r="C1491" s="12" t="s">
        <v>37</v>
      </c>
      <c r="D1491" s="12" t="s">
        <v>6671</v>
      </c>
      <c r="E1491" s="11"/>
      <c r="F1491" s="12" t="s">
        <v>1112</v>
      </c>
      <c r="G1491" s="11"/>
      <c r="H1491" s="11"/>
      <c r="I1491" s="12" t="s">
        <v>6684</v>
      </c>
      <c r="J1491" s="11"/>
      <c r="K1491" s="12" t="s">
        <v>6685</v>
      </c>
      <c r="L1491" s="11"/>
      <c r="M1491" s="12" t="str">
        <f>HYPERLINK("https://ceds.ed.gov/cedselementdetails.aspx?termid=18164")</f>
        <v>https://ceds.ed.gov/cedselementdetails.aspx?termid=18164</v>
      </c>
      <c r="N1491" s="12" t="str">
        <f>HYPERLINK("https://ceds.ed.gov/elementComment.aspx?elementName=Peer Rating System Optimum Value &amp;elementID=18164", "Click here to submit comment")</f>
        <v>Click here to submit comment</v>
      </c>
    </row>
    <row r="1492" spans="1:14" ht="153" x14ac:dyDescent="0.25">
      <c r="A1492" s="12" t="s">
        <v>6686</v>
      </c>
      <c r="B1492" s="12" t="s">
        <v>6687</v>
      </c>
      <c r="C1492" s="12" t="s">
        <v>24</v>
      </c>
      <c r="D1492" s="12" t="s">
        <v>6688</v>
      </c>
      <c r="E1492" s="11"/>
      <c r="F1492" s="11"/>
      <c r="G1492" s="11"/>
      <c r="H1492" s="11"/>
      <c r="I1492" s="12" t="s">
        <v>6689</v>
      </c>
      <c r="J1492" s="12" t="s">
        <v>6690</v>
      </c>
      <c r="K1492" s="12" t="s">
        <v>6691</v>
      </c>
      <c r="L1492" s="12" t="s">
        <v>258</v>
      </c>
      <c r="M1492" s="12" t="str">
        <f>HYPERLINK("https://ceds.ed.gov/cedselementdetails.aspx?termid=17574")</f>
        <v>https://ceds.ed.gov/cedselementdetails.aspx?termid=17574</v>
      </c>
      <c r="N1492" s="12" t="str">
        <f>HYPERLINK("https://ceds.ed.gov/elementComment.aspx?elementName=Perkins Limited English Proficiency Status &amp;elementID=17574", "Click here to submit comment")</f>
        <v>Click here to submit comment</v>
      </c>
    </row>
    <row r="1493" spans="1:14" ht="38.25" x14ac:dyDescent="0.25">
      <c r="A1493" s="12" t="s">
        <v>6692</v>
      </c>
      <c r="B1493" s="12" t="s">
        <v>6693</v>
      </c>
      <c r="C1493" s="12" t="s">
        <v>24</v>
      </c>
      <c r="D1493" s="12" t="s">
        <v>2836</v>
      </c>
      <c r="E1493" s="11"/>
      <c r="F1493" s="11"/>
      <c r="G1493" s="11"/>
      <c r="H1493" s="11"/>
      <c r="I1493" s="12" t="s">
        <v>6694</v>
      </c>
      <c r="J1493" s="11"/>
      <c r="K1493" s="12" t="s">
        <v>6695</v>
      </c>
      <c r="L1493" s="12" t="s">
        <v>258</v>
      </c>
      <c r="M1493" s="12" t="str">
        <f>HYPERLINK("https://ceds.ed.gov/cedselementdetails.aspx?termid=17210")</f>
        <v>https://ceds.ed.gov/cedselementdetails.aspx?termid=17210</v>
      </c>
      <c r="N1493" s="12" t="str">
        <f>HYPERLINK("https://ceds.ed.gov/elementComment.aspx?elementName=Persistently Dangerous Status &amp;elementID=17210", "Click here to submit comment")</f>
        <v>Click here to submit comment</v>
      </c>
    </row>
    <row r="1494" spans="1:14" ht="38.25" x14ac:dyDescent="0.25">
      <c r="A1494" s="12" t="s">
        <v>6696</v>
      </c>
      <c r="B1494" s="12" t="s">
        <v>6697</v>
      </c>
      <c r="C1494" s="12" t="s">
        <v>24</v>
      </c>
      <c r="D1494" s="12" t="s">
        <v>2836</v>
      </c>
      <c r="E1494" s="11"/>
      <c r="F1494" s="11"/>
      <c r="G1494" s="11"/>
      <c r="H1494" s="11"/>
      <c r="I1494" s="12" t="s">
        <v>6698</v>
      </c>
      <c r="J1494" s="11"/>
      <c r="K1494" s="12" t="s">
        <v>6699</v>
      </c>
      <c r="L1494" s="12" t="s">
        <v>258</v>
      </c>
      <c r="M1494" s="12" t="str">
        <f>HYPERLINK("https://ceds.ed.gov/cedselementdetails.aspx?termid=17211")</f>
        <v>https://ceds.ed.gov/cedselementdetails.aspx?termid=17211</v>
      </c>
      <c r="N1494" s="12" t="str">
        <f>HYPERLINK("https://ceds.ed.gov/elementComment.aspx?elementName=Persistently Lowest Achieving School Status &amp;elementID=17211", "Click here to submit comment")</f>
        <v>Click here to submit comment</v>
      </c>
    </row>
    <row r="1495" spans="1:14" ht="165.75" x14ac:dyDescent="0.25">
      <c r="A1495" s="12" t="s">
        <v>6700</v>
      </c>
      <c r="B1495" s="12" t="s">
        <v>6701</v>
      </c>
      <c r="C1495" s="12" t="s">
        <v>37</v>
      </c>
      <c r="D1495" s="12" t="s">
        <v>3986</v>
      </c>
      <c r="E1495" s="11"/>
      <c r="F1495" s="12" t="s">
        <v>370</v>
      </c>
      <c r="G1495" s="11"/>
      <c r="H1495" s="12" t="s">
        <v>6702</v>
      </c>
      <c r="I1495" s="12" t="s">
        <v>6703</v>
      </c>
      <c r="J1495" s="11"/>
      <c r="K1495" s="12" t="s">
        <v>6704</v>
      </c>
      <c r="L1495" s="11"/>
      <c r="M1495" s="12" t="str">
        <f>HYPERLINK("https://ceds.ed.gov/cedselementdetails.aspx?termid=17993")</f>
        <v>https://ceds.ed.gov/cedselementdetails.aspx?termid=17993</v>
      </c>
      <c r="N1495" s="12" t="str">
        <f>HYPERLINK("https://ceds.ed.gov/elementComment.aspx?elementName=Person Employed in Multiple Jobs Count &amp;elementID=17993", "Click here to submit comment")</f>
        <v>Click here to submit comment</v>
      </c>
    </row>
    <row r="1496" spans="1:14" ht="409.5" x14ac:dyDescent="0.25">
      <c r="A1496" s="12" t="s">
        <v>6705</v>
      </c>
      <c r="B1496" s="12" t="s">
        <v>6706</v>
      </c>
      <c r="C1496" s="13" t="s">
        <v>6707</v>
      </c>
      <c r="D1496" s="12" t="s">
        <v>6708</v>
      </c>
      <c r="E1496" s="11"/>
      <c r="F1496" s="11"/>
      <c r="G1496" s="11"/>
      <c r="H1496" s="11"/>
      <c r="I1496" s="12" t="s">
        <v>6709</v>
      </c>
      <c r="J1496" s="11"/>
      <c r="K1496" s="12" t="s">
        <v>6710</v>
      </c>
      <c r="L1496" s="11"/>
      <c r="M1496" s="12" t="str">
        <f>HYPERLINK("https://ceds.ed.gov/cedselementdetails.aspx?termid=18550")</f>
        <v>https://ceds.ed.gov/cedselementdetails.aspx?termid=18550</v>
      </c>
      <c r="N1496" s="12" t="str">
        <f>HYPERLINK("https://ceds.ed.gov/elementComment.aspx?elementName=Person Identification System &amp;elementID=18550", "Click here to submit comment")</f>
        <v>Click here to submit comment</v>
      </c>
    </row>
    <row r="1497" spans="1:14" ht="405" customHeight="1" x14ac:dyDescent="0.25">
      <c r="A1497" s="15" t="s">
        <v>6711</v>
      </c>
      <c r="B1497" s="15" t="s">
        <v>6712</v>
      </c>
      <c r="C1497" s="15" t="s">
        <v>37</v>
      </c>
      <c r="D1497" s="15" t="s">
        <v>6708</v>
      </c>
      <c r="E1497" s="16"/>
      <c r="F1497" s="15" t="s">
        <v>149</v>
      </c>
      <c r="G1497" s="16"/>
      <c r="H1497" s="12" t="s">
        <v>150</v>
      </c>
      <c r="I1497" s="15" t="s">
        <v>6713</v>
      </c>
      <c r="J1497" s="16"/>
      <c r="K1497" s="15" t="s">
        <v>6714</v>
      </c>
      <c r="L1497" s="16"/>
      <c r="M1497" s="15" t="str">
        <f>HYPERLINK("https://ceds.ed.gov/cedselementdetails.aspx?termid=18551")</f>
        <v>https://ceds.ed.gov/cedselementdetails.aspx?termid=18551</v>
      </c>
      <c r="N1497" s="15" t="str">
        <f>HYPERLINK("https://ceds.ed.gov/elementComment.aspx?elementName=Person Identifier &amp;elementID=18551", "Click here to submit comment")</f>
        <v>Click here to submit comment</v>
      </c>
    </row>
    <row r="1498" spans="1:14" x14ac:dyDescent="0.25">
      <c r="A1498" s="15"/>
      <c r="B1498" s="15"/>
      <c r="C1498" s="15"/>
      <c r="D1498" s="15"/>
      <c r="E1498" s="16"/>
      <c r="F1498" s="15"/>
      <c r="G1498" s="16"/>
      <c r="H1498" s="12"/>
      <c r="I1498" s="15"/>
      <c r="J1498" s="16"/>
      <c r="K1498" s="15"/>
      <c r="L1498" s="16"/>
      <c r="M1498" s="15"/>
      <c r="N1498" s="15"/>
    </row>
    <row r="1499" spans="1:14" ht="76.5" x14ac:dyDescent="0.25">
      <c r="A1499" s="15"/>
      <c r="B1499" s="15"/>
      <c r="C1499" s="15"/>
      <c r="D1499" s="15"/>
      <c r="E1499" s="16"/>
      <c r="F1499" s="15"/>
      <c r="G1499" s="16"/>
      <c r="H1499" s="12" t="s">
        <v>153</v>
      </c>
      <c r="I1499" s="15"/>
      <c r="J1499" s="16"/>
      <c r="K1499" s="15"/>
      <c r="L1499" s="16"/>
      <c r="M1499" s="15"/>
      <c r="N1499" s="15"/>
    </row>
    <row r="1500" spans="1:14" ht="51" x14ac:dyDescent="0.25">
      <c r="A1500" s="12" t="s">
        <v>6715</v>
      </c>
      <c r="B1500" s="12" t="s">
        <v>6716</v>
      </c>
      <c r="C1500" s="12" t="s">
        <v>37</v>
      </c>
      <c r="D1500" s="12" t="s">
        <v>3973</v>
      </c>
      <c r="E1500" s="11"/>
      <c r="F1500" s="12" t="s">
        <v>370</v>
      </c>
      <c r="G1500" s="11"/>
      <c r="H1500" s="11"/>
      <c r="I1500" s="12" t="s">
        <v>6717</v>
      </c>
      <c r="J1500" s="11"/>
      <c r="K1500" s="12" t="s">
        <v>6718</v>
      </c>
      <c r="L1500" s="11"/>
      <c r="M1500" s="12" t="str">
        <f>HYPERLINK("https://ceds.ed.gov/cedselementdetails.aspx?termid=18392")</f>
        <v>https://ceds.ed.gov/cedselementdetails.aspx?termid=18392</v>
      </c>
      <c r="N1500" s="12" t="str">
        <f>HYPERLINK("https://ceds.ed.gov/elementComment.aspx?elementName=Person Relationship to Learner Contact Priority Number &amp;elementID=18392", "Click here to submit comment")</f>
        <v>Click here to submit comment</v>
      </c>
    </row>
    <row r="1501" spans="1:14" ht="51" x14ac:dyDescent="0.25">
      <c r="A1501" s="12" t="s">
        <v>6719</v>
      </c>
      <c r="B1501" s="12" t="s">
        <v>6720</v>
      </c>
      <c r="C1501" s="12" t="s">
        <v>37</v>
      </c>
      <c r="D1501" s="12" t="s">
        <v>3973</v>
      </c>
      <c r="E1501" s="11"/>
      <c r="F1501" s="12" t="s">
        <v>382</v>
      </c>
      <c r="G1501" s="11"/>
      <c r="H1501" s="11"/>
      <c r="I1501" s="12" t="s">
        <v>6721</v>
      </c>
      <c r="J1501" s="11"/>
      <c r="K1501" s="12" t="s">
        <v>6722</v>
      </c>
      <c r="L1501" s="11"/>
      <c r="M1501" s="12" t="str">
        <f>HYPERLINK("https://ceds.ed.gov/cedselementdetails.aspx?termid=18393")</f>
        <v>https://ceds.ed.gov/cedselementdetails.aspx?termid=18393</v>
      </c>
      <c r="N1501" s="12" t="str">
        <f>HYPERLINK("https://ceds.ed.gov/elementComment.aspx?elementName=Person Relationship to Learner Contact Restrictions Description &amp;elementID=18393", "Click here to submit comment")</f>
        <v>Click here to submit comment</v>
      </c>
    </row>
    <row r="1502" spans="1:14" ht="51" x14ac:dyDescent="0.25">
      <c r="A1502" s="12" t="s">
        <v>6723</v>
      </c>
      <c r="B1502" s="12" t="s">
        <v>6724</v>
      </c>
      <c r="C1502" s="12" t="s">
        <v>24</v>
      </c>
      <c r="D1502" s="12" t="s">
        <v>3973</v>
      </c>
      <c r="E1502" s="11"/>
      <c r="F1502" s="11"/>
      <c r="G1502" s="11"/>
      <c r="H1502" s="11"/>
      <c r="I1502" s="12" t="s">
        <v>6725</v>
      </c>
      <c r="J1502" s="11"/>
      <c r="K1502" s="12" t="s">
        <v>6726</v>
      </c>
      <c r="L1502" s="11"/>
      <c r="M1502" s="12" t="str">
        <f>HYPERLINK("https://ceds.ed.gov/cedselementdetails.aspx?termid=18394")</f>
        <v>https://ceds.ed.gov/cedselementdetails.aspx?termid=18394</v>
      </c>
      <c r="N1502" s="12" t="str">
        <f>HYPERLINK("https://ceds.ed.gov/elementComment.aspx?elementName=Person Relationship to Learner Lives with Indicator &amp;elementID=18394", "Click here to submit comment")</f>
        <v>Click here to submit comment</v>
      </c>
    </row>
    <row r="1503" spans="1:14" ht="409.5" x14ac:dyDescent="0.25">
      <c r="A1503" s="12" t="s">
        <v>6727</v>
      </c>
      <c r="B1503" s="12" t="s">
        <v>6728</v>
      </c>
      <c r="C1503" s="13" t="s">
        <v>6729</v>
      </c>
      <c r="D1503" s="12" t="s">
        <v>6730</v>
      </c>
      <c r="E1503" s="12" t="s">
        <v>195</v>
      </c>
      <c r="F1503" s="11"/>
      <c r="G1503" s="12" t="s">
        <v>6731</v>
      </c>
      <c r="H1503" s="12" t="s">
        <v>6732</v>
      </c>
      <c r="I1503" s="12" t="s">
        <v>6733</v>
      </c>
      <c r="J1503" s="11"/>
      <c r="K1503" s="12" t="s">
        <v>6734</v>
      </c>
      <c r="L1503" s="12" t="s">
        <v>1751</v>
      </c>
      <c r="M1503" s="12" t="str">
        <f>HYPERLINK("https://ceds.ed.gov/cedselementdetails.aspx?termid=17415")</f>
        <v>https://ceds.ed.gov/cedselementdetails.aspx?termid=17415</v>
      </c>
      <c r="N1503" s="12" t="str">
        <f>HYPERLINK("https://ceds.ed.gov/elementComment.aspx?elementName=Person Relationship Type &amp;elementID=17415", "Click here to submit comment")</f>
        <v>Click here to submit comment</v>
      </c>
    </row>
    <row r="1504" spans="1:14" ht="409.5" x14ac:dyDescent="0.25">
      <c r="A1504" s="12" t="s">
        <v>6735</v>
      </c>
      <c r="B1504" s="12" t="s">
        <v>6736</v>
      </c>
      <c r="C1504" s="13" t="s">
        <v>6737</v>
      </c>
      <c r="D1504" s="12" t="s">
        <v>6738</v>
      </c>
      <c r="E1504" s="11"/>
      <c r="F1504" s="11"/>
      <c r="G1504" s="11"/>
      <c r="H1504" s="11"/>
      <c r="I1504" s="12" t="s">
        <v>6739</v>
      </c>
      <c r="J1504" s="11"/>
      <c r="K1504" s="12" t="s">
        <v>6740</v>
      </c>
      <c r="L1504" s="11"/>
      <c r="M1504" s="12" t="str">
        <f>HYPERLINK("https://ceds.ed.gov/cedselementdetails.aspx?termid=17611")</f>
        <v>https://ceds.ed.gov/cedselementdetails.aspx?termid=17611</v>
      </c>
      <c r="N1504" s="12" t="str">
        <f>HYPERLINK("https://ceds.ed.gov/elementComment.aspx?elementName=Personal Information Verification &amp;elementID=17611", "Click here to submit comment")</f>
        <v>Click here to submit comment</v>
      </c>
    </row>
    <row r="1505" spans="1:14" ht="409.5" x14ac:dyDescent="0.25">
      <c r="A1505" s="12" t="s">
        <v>6741</v>
      </c>
      <c r="B1505" s="12" t="s">
        <v>6742</v>
      </c>
      <c r="C1505" s="12" t="s">
        <v>37</v>
      </c>
      <c r="D1505" s="12" t="s">
        <v>6743</v>
      </c>
      <c r="E1505" s="11"/>
      <c r="F1505" s="12" t="s">
        <v>97</v>
      </c>
      <c r="G1505" s="11"/>
      <c r="H1505" s="11"/>
      <c r="I1505" s="12" t="s">
        <v>6744</v>
      </c>
      <c r="J1505" s="12" t="s">
        <v>6745</v>
      </c>
      <c r="K1505" s="12" t="s">
        <v>6746</v>
      </c>
      <c r="L1505" s="12" t="s">
        <v>6747</v>
      </c>
      <c r="M1505" s="12" t="str">
        <f>HYPERLINK("https://ceds.ed.gov/cedselementdetails.aspx?termid=17212")</f>
        <v>https://ceds.ed.gov/cedselementdetails.aspx?termid=17212</v>
      </c>
      <c r="N1505" s="12" t="str">
        <f>HYPERLINK("https://ceds.ed.gov/elementComment.aspx?elementName=Personal Title or Prefix &amp;elementID=17212", "Click here to submit comment")</f>
        <v>Click here to submit comment</v>
      </c>
    </row>
    <row r="1506" spans="1:14" ht="76.5" x14ac:dyDescent="0.25">
      <c r="A1506" s="12" t="s">
        <v>6748</v>
      </c>
      <c r="B1506" s="12" t="s">
        <v>6749</v>
      </c>
      <c r="C1506" s="13" t="s">
        <v>6750</v>
      </c>
      <c r="D1506" s="12" t="s">
        <v>268</v>
      </c>
      <c r="E1506" s="11"/>
      <c r="F1506" s="11"/>
      <c r="G1506" s="11"/>
      <c r="H1506" s="11"/>
      <c r="I1506" s="12" t="s">
        <v>6751</v>
      </c>
      <c r="J1506" s="11"/>
      <c r="K1506" s="12" t="s">
        <v>6752</v>
      </c>
      <c r="L1506" s="12" t="s">
        <v>125</v>
      </c>
      <c r="M1506" s="12" t="str">
        <f>HYPERLINK("https://ceds.ed.gov/cedselementdetails.aspx?termid=17842")</f>
        <v>https://ceds.ed.gov/cedselementdetails.aspx?termid=17842</v>
      </c>
      <c r="N1506" s="12" t="str">
        <f>HYPERLINK("https://ceds.ed.gov/elementComment.aspx?elementName=Personnel Policy Type &amp;elementID=17842", "Click here to submit comment")</f>
        <v>Click here to submit comment</v>
      </c>
    </row>
    <row r="1507" spans="1:14" ht="409.5" x14ac:dyDescent="0.25">
      <c r="A1507" s="12" t="s">
        <v>6753</v>
      </c>
      <c r="B1507" s="12" t="s">
        <v>44</v>
      </c>
      <c r="C1507" s="13" t="s">
        <v>6754</v>
      </c>
      <c r="D1507" s="12" t="s">
        <v>52</v>
      </c>
      <c r="E1507" s="12" t="s">
        <v>195</v>
      </c>
      <c r="F1507" s="11"/>
      <c r="G1507" s="12" t="s">
        <v>6755</v>
      </c>
      <c r="H1507" s="11"/>
      <c r="I1507" s="12" t="s">
        <v>6756</v>
      </c>
      <c r="J1507" s="11"/>
      <c r="K1507" s="12" t="s">
        <v>6757</v>
      </c>
      <c r="L1507" s="11"/>
      <c r="M1507" s="12" t="str">
        <f>HYPERLINK("https://ceds.ed.gov/cedselementdetails.aspx?termid=18649")</f>
        <v>https://ceds.ed.gov/cedselementdetails.aspx?termid=18649</v>
      </c>
      <c r="N1507" s="12" t="str">
        <f>HYPERLINK("https://ceds.ed.gov/elementComment.aspx?elementName=PESC Award Level Type &amp;elementID=18649", "Click here to submit comment")</f>
        <v>Click here to submit comment</v>
      </c>
    </row>
    <row r="1508" spans="1:14" ht="191.25" x14ac:dyDescent="0.25">
      <c r="A1508" s="12" t="s">
        <v>6758</v>
      </c>
      <c r="B1508" s="12" t="s">
        <v>6759</v>
      </c>
      <c r="C1508" s="12" t="s">
        <v>37</v>
      </c>
      <c r="D1508" s="12" t="s">
        <v>6760</v>
      </c>
      <c r="E1508" s="11"/>
      <c r="F1508" s="12" t="s">
        <v>1510</v>
      </c>
      <c r="G1508" s="11"/>
      <c r="H1508" s="11"/>
      <c r="I1508" s="12" t="s">
        <v>6761</v>
      </c>
      <c r="J1508" s="11"/>
      <c r="K1508" s="12" t="s">
        <v>6762</v>
      </c>
      <c r="L1508" s="12" t="s">
        <v>72</v>
      </c>
      <c r="M1508" s="12" t="str">
        <f>HYPERLINK("https://ceds.ed.gov/cedselementdetails.aspx?termid=17213")</f>
        <v>https://ceds.ed.gov/cedselementdetails.aspx?termid=17213</v>
      </c>
      <c r="N1508" s="12" t="str">
        <f>HYPERLINK("https://ceds.ed.gov/elementComment.aspx?elementName=Position Title &amp;elementID=17213", "Click here to submit comment")</f>
        <v>Click here to submit comment</v>
      </c>
    </row>
    <row r="1509" spans="1:14" ht="140.25" x14ac:dyDescent="0.25">
      <c r="A1509" s="12" t="s">
        <v>6763</v>
      </c>
      <c r="B1509" s="12" t="s">
        <v>6764</v>
      </c>
      <c r="C1509" s="12" t="s">
        <v>24</v>
      </c>
      <c r="D1509" s="12" t="s">
        <v>287</v>
      </c>
      <c r="E1509" s="11"/>
      <c r="F1509" s="11"/>
      <c r="G1509" s="11"/>
      <c r="H1509" s="12" t="s">
        <v>6765</v>
      </c>
      <c r="I1509" s="12" t="s">
        <v>6766</v>
      </c>
      <c r="J1509" s="11"/>
      <c r="K1509" s="12" t="s">
        <v>6767</v>
      </c>
      <c r="L1509" s="12" t="s">
        <v>291</v>
      </c>
      <c r="M1509" s="12" t="str">
        <f>HYPERLINK("https://ceds.ed.gov/cedselementdetails.aspx?termid=17735")</f>
        <v>https://ceds.ed.gov/cedselementdetails.aspx?termid=17735</v>
      </c>
      <c r="N1509" s="12" t="str">
        <f>HYPERLINK("https://ceds.ed.gov/elementComment.aspx?elementName=Postsecondary Applicant &amp;elementID=17735", "Click here to submit comment")</f>
        <v>Click here to submit comment</v>
      </c>
    </row>
    <row r="1510" spans="1:14" ht="76.5" x14ac:dyDescent="0.25">
      <c r="A1510" s="12" t="s">
        <v>6768</v>
      </c>
      <c r="B1510" s="12" t="s">
        <v>6769</v>
      </c>
      <c r="C1510" s="12" t="s">
        <v>37</v>
      </c>
      <c r="D1510" s="12" t="s">
        <v>376</v>
      </c>
      <c r="E1510" s="11"/>
      <c r="F1510" s="12" t="s">
        <v>175</v>
      </c>
      <c r="G1510" s="11"/>
      <c r="H1510" s="11"/>
      <c r="I1510" s="12" t="s">
        <v>6770</v>
      </c>
      <c r="J1510" s="11"/>
      <c r="K1510" s="12" t="s">
        <v>6771</v>
      </c>
      <c r="L1510" s="12" t="s">
        <v>65</v>
      </c>
      <c r="M1510" s="12" t="str">
        <f>HYPERLINK("https://ceds.ed.gov/cedselementdetails.aspx?termid=17068")</f>
        <v>https://ceds.ed.gov/cedselementdetails.aspx?termid=17068</v>
      </c>
      <c r="N1510" s="12" t="str">
        <f>HYPERLINK("https://ceds.ed.gov/elementComment.aspx?elementName=Postsecondary Course Title &amp;elementID=17068", "Click here to submit comment")</f>
        <v>Click here to submit comment</v>
      </c>
    </row>
    <row r="1511" spans="1:14" ht="51" x14ac:dyDescent="0.25">
      <c r="A1511" s="12" t="s">
        <v>6772</v>
      </c>
      <c r="B1511" s="12" t="s">
        <v>6773</v>
      </c>
      <c r="C1511" s="13" t="s">
        <v>306</v>
      </c>
      <c r="D1511" s="12" t="s">
        <v>69</v>
      </c>
      <c r="E1511" s="11"/>
      <c r="F1511" s="11"/>
      <c r="G1511" s="11"/>
      <c r="H1511" s="11"/>
      <c r="I1511" s="12" t="s">
        <v>6774</v>
      </c>
      <c r="J1511" s="11"/>
      <c r="K1511" s="12" t="s">
        <v>6775</v>
      </c>
      <c r="L1511" s="12" t="s">
        <v>258</v>
      </c>
      <c r="M1511" s="12" t="str">
        <f>HYPERLINK("https://ceds.ed.gov/cedselementdetails.aspx?termid=17579")</f>
        <v>https://ceds.ed.gov/cedselementdetails.aspx?termid=17579</v>
      </c>
      <c r="N1511" s="12" t="str">
        <f>HYPERLINK("https://ceds.ed.gov/elementComment.aspx?elementName=Postsecondary Enrollment Action &amp;elementID=17579", "Click here to submit comment")</f>
        <v>Click here to submit comment</v>
      </c>
    </row>
    <row r="1512" spans="1:14" ht="102" x14ac:dyDescent="0.25">
      <c r="A1512" s="12" t="s">
        <v>6776</v>
      </c>
      <c r="B1512" s="12" t="s">
        <v>6777</v>
      </c>
      <c r="C1512" s="13" t="s">
        <v>6778</v>
      </c>
      <c r="D1512" s="12" t="s">
        <v>3641</v>
      </c>
      <c r="E1512" s="11"/>
      <c r="F1512" s="11"/>
      <c r="G1512" s="11"/>
      <c r="H1512" s="12" t="s">
        <v>6779</v>
      </c>
      <c r="I1512" s="12" t="s">
        <v>6780</v>
      </c>
      <c r="J1512" s="11"/>
      <c r="K1512" s="12" t="s">
        <v>6781</v>
      </c>
      <c r="L1512" s="12" t="s">
        <v>6782</v>
      </c>
      <c r="M1512" s="12" t="str">
        <f>HYPERLINK("https://ceds.ed.gov/cedselementdetails.aspx?termid=17096")</f>
        <v>https://ceds.ed.gov/cedselementdetails.aspx?termid=17096</v>
      </c>
      <c r="N1512" s="12" t="str">
        <f>HYPERLINK("https://ceds.ed.gov/elementComment.aspx?elementName=Postsecondary Enrollment Status &amp;elementID=17096", "Click here to submit comment")</f>
        <v>Click here to submit comment</v>
      </c>
    </row>
    <row r="1513" spans="1:14" ht="76.5" x14ac:dyDescent="0.25">
      <c r="A1513" s="12" t="s">
        <v>6783</v>
      </c>
      <c r="B1513" s="12" t="s">
        <v>6784</v>
      </c>
      <c r="C1513" s="13" t="s">
        <v>6785</v>
      </c>
      <c r="D1513" s="12" t="s">
        <v>3641</v>
      </c>
      <c r="E1513" s="11"/>
      <c r="F1513" s="11"/>
      <c r="G1513" s="11"/>
      <c r="H1513" s="11"/>
      <c r="I1513" s="12" t="s">
        <v>6786</v>
      </c>
      <c r="J1513" s="11"/>
      <c r="K1513" s="12" t="s">
        <v>6787</v>
      </c>
      <c r="L1513" s="12" t="s">
        <v>225</v>
      </c>
      <c r="M1513" s="12" t="str">
        <f>HYPERLINK("https://ceds.ed.gov/cedselementdetails.aspx?termid=17095")</f>
        <v>https://ceds.ed.gov/cedselementdetails.aspx?termid=17095</v>
      </c>
      <c r="N1513" s="12" t="str">
        <f>HYPERLINK("https://ceds.ed.gov/elementComment.aspx?elementName=Postsecondary Enrollment Type &amp;elementID=17095", "Click here to submit comment")</f>
        <v>Click here to submit comment</v>
      </c>
    </row>
    <row r="1514" spans="1:14" ht="76.5" x14ac:dyDescent="0.25">
      <c r="A1514" s="12" t="s">
        <v>6788</v>
      </c>
      <c r="B1514" s="12" t="s">
        <v>6789</v>
      </c>
      <c r="C1514" s="12" t="s">
        <v>24</v>
      </c>
      <c r="D1514" s="12" t="s">
        <v>6790</v>
      </c>
      <c r="E1514" s="11"/>
      <c r="F1514" s="11"/>
      <c r="G1514" s="11"/>
      <c r="H1514" s="12" t="s">
        <v>6791</v>
      </c>
      <c r="I1514" s="12" t="s">
        <v>6792</v>
      </c>
      <c r="J1514" s="11"/>
      <c r="K1514" s="12" t="s">
        <v>6793</v>
      </c>
      <c r="L1514" s="11"/>
      <c r="M1514" s="12" t="str">
        <f>HYPERLINK("https://ceds.ed.gov/cedselementdetails.aspx?termid=18395")</f>
        <v>https://ceds.ed.gov/cedselementdetails.aspx?termid=18395</v>
      </c>
      <c r="N1514" s="12" t="str">
        <f>HYPERLINK("https://ceds.ed.gov/elementComment.aspx?elementName=Postsecondary Entering Student Indicator &amp;elementID=18395", "Click here to submit comment")</f>
        <v>Click here to submit comment</v>
      </c>
    </row>
    <row r="1515" spans="1:14" ht="89.25" x14ac:dyDescent="0.25">
      <c r="A1515" s="12" t="s">
        <v>6794</v>
      </c>
      <c r="B1515" s="12" t="s">
        <v>6795</v>
      </c>
      <c r="C1515" s="13" t="s">
        <v>6796</v>
      </c>
      <c r="D1515" s="12" t="s">
        <v>2402</v>
      </c>
      <c r="E1515" s="11"/>
      <c r="F1515" s="11"/>
      <c r="G1515" s="11"/>
      <c r="H1515" s="11"/>
      <c r="I1515" s="12" t="s">
        <v>6797</v>
      </c>
      <c r="J1515" s="11"/>
      <c r="K1515" s="12" t="s">
        <v>6798</v>
      </c>
      <c r="L1515" s="12" t="s">
        <v>2944</v>
      </c>
      <c r="M1515" s="12" t="str">
        <f>HYPERLINK("https://ceds.ed.gov/cedselementdetails.aspx?termid=18596")</f>
        <v>https://ceds.ed.gov/cedselementdetails.aspx?termid=18596</v>
      </c>
      <c r="N1515" s="12" t="str">
        <f>HYPERLINK("https://ceds.ed.gov/elementComment.aspx?elementName=Postsecondary Exit or Withdrawal Type &amp;elementID=18596", "Click here to submit comment")</f>
        <v>Click here to submit comment</v>
      </c>
    </row>
    <row r="1516" spans="1:14" ht="255" x14ac:dyDescent="0.25">
      <c r="A1516" s="12" t="s">
        <v>6799</v>
      </c>
      <c r="B1516" s="12" t="s">
        <v>6800</v>
      </c>
      <c r="C1516" s="13" t="s">
        <v>6801</v>
      </c>
      <c r="D1516" s="12" t="s">
        <v>2374</v>
      </c>
      <c r="E1516" s="11"/>
      <c r="F1516" s="11"/>
      <c r="G1516" s="11"/>
      <c r="H1516" s="11"/>
      <c r="I1516" s="12" t="s">
        <v>6802</v>
      </c>
      <c r="J1516" s="11"/>
      <c r="K1516" s="12" t="s">
        <v>6803</v>
      </c>
      <c r="L1516" s="12" t="s">
        <v>6804</v>
      </c>
      <c r="M1516" s="12" t="str">
        <f>HYPERLINK("https://ceds.ed.gov/cedselementdetails.aspx?termid=18595")</f>
        <v>https://ceds.ed.gov/cedselementdetails.aspx?termid=18595</v>
      </c>
      <c r="N1516" s="12" t="str">
        <f>HYPERLINK("https://ceds.ed.gov/elementComment.aspx?elementName=Postsecondary Program Level &amp;elementID=18595", "Click here to submit comment")</f>
        <v>Click here to submit comment</v>
      </c>
    </row>
    <row r="1517" spans="1:14" ht="76.5" x14ac:dyDescent="0.25">
      <c r="A1517" s="12" t="s">
        <v>6805</v>
      </c>
      <c r="B1517" s="12" t="s">
        <v>6806</v>
      </c>
      <c r="C1517" s="12" t="s">
        <v>37</v>
      </c>
      <c r="D1517" s="12" t="s">
        <v>6790</v>
      </c>
      <c r="E1517" s="11"/>
      <c r="F1517" s="12" t="s">
        <v>97</v>
      </c>
      <c r="G1517" s="11"/>
      <c r="H1517" s="12" t="s">
        <v>6791</v>
      </c>
      <c r="I1517" s="12" t="s">
        <v>6807</v>
      </c>
      <c r="J1517" s="11"/>
      <c r="K1517" s="12" t="s">
        <v>6808</v>
      </c>
      <c r="L1517" s="11"/>
      <c r="M1517" s="12" t="str">
        <f>HYPERLINK("https://ceds.ed.gov/cedselementdetails.aspx?termid=18396")</f>
        <v>https://ceds.ed.gov/cedselementdetails.aspx?termid=18396</v>
      </c>
      <c r="N1517" s="12" t="str">
        <f>HYPERLINK("https://ceds.ed.gov/elementComment.aspx?elementName=Postsecondary Student Entering Term &amp;elementID=18396", "Click here to submit comment")</f>
        <v>Click here to submit comment</v>
      </c>
    </row>
    <row r="1518" spans="1:14" ht="89.25" x14ac:dyDescent="0.25">
      <c r="A1518" s="12" t="s">
        <v>6809</v>
      </c>
      <c r="B1518" s="12" t="s">
        <v>6810</v>
      </c>
      <c r="C1518" s="12" t="s">
        <v>24</v>
      </c>
      <c r="D1518" s="12" t="s">
        <v>3641</v>
      </c>
      <c r="E1518" s="11"/>
      <c r="F1518" s="11"/>
      <c r="G1518" s="11"/>
      <c r="H1518" s="12" t="s">
        <v>6811</v>
      </c>
      <c r="I1518" s="12" t="s">
        <v>6812</v>
      </c>
      <c r="J1518" s="11"/>
      <c r="K1518" s="12" t="s">
        <v>6813</v>
      </c>
      <c r="L1518" s="12" t="s">
        <v>291</v>
      </c>
      <c r="M1518" s="12" t="str">
        <f>HYPERLINK("https://ceds.ed.gov/cedselementdetails.aspx?termid=17741")</f>
        <v>https://ceds.ed.gov/cedselementdetails.aspx?termid=17741</v>
      </c>
      <c r="N1518" s="12" t="str">
        <f>HYPERLINK("https://ceds.ed.gov/elementComment.aspx?elementName=Postsecondary Student Housing On-Campus &amp;elementID=17741", "Click here to submit comment")</f>
        <v>Click here to submit comment</v>
      </c>
    </row>
    <row r="1519" spans="1:14" ht="63.75" x14ac:dyDescent="0.25">
      <c r="A1519" s="12" t="s">
        <v>6814</v>
      </c>
      <c r="B1519" s="12" t="s">
        <v>6815</v>
      </c>
      <c r="C1519" s="13" t="s">
        <v>6816</v>
      </c>
      <c r="D1519" s="12" t="s">
        <v>69</v>
      </c>
      <c r="E1519" s="11"/>
      <c r="F1519" s="11"/>
      <c r="G1519" s="11"/>
      <c r="H1519" s="11"/>
      <c r="I1519" s="12" t="s">
        <v>6817</v>
      </c>
      <c r="J1519" s="11"/>
      <c r="K1519" s="12" t="s">
        <v>6818</v>
      </c>
      <c r="L1519" s="12" t="s">
        <v>1455</v>
      </c>
      <c r="M1519" s="12" t="str">
        <f>HYPERLINK("https://ceds.ed.gov/cedselementdetails.aspx?termid=17563")</f>
        <v>https://ceds.ed.gov/cedselementdetails.aspx?termid=17563</v>
      </c>
      <c r="N1519" s="12" t="str">
        <f>HYPERLINK("https://ceds.ed.gov/elementComment.aspx?elementName=Pre and Post Test Indicator &amp;elementID=17563", "Click here to submit comment")</f>
        <v>Click here to submit comment</v>
      </c>
    </row>
    <row r="1520" spans="1:14" ht="102" x14ac:dyDescent="0.25">
      <c r="A1520" s="12" t="s">
        <v>6819</v>
      </c>
      <c r="B1520" s="12" t="s">
        <v>6820</v>
      </c>
      <c r="C1520" s="13" t="s">
        <v>6821</v>
      </c>
      <c r="D1520" s="12" t="s">
        <v>2229</v>
      </c>
      <c r="E1520" s="11"/>
      <c r="F1520" s="11"/>
      <c r="G1520" s="11"/>
      <c r="H1520" s="12" t="s">
        <v>6822</v>
      </c>
      <c r="I1520" s="12" t="s">
        <v>6823</v>
      </c>
      <c r="J1520" s="11"/>
      <c r="K1520" s="12" t="s">
        <v>6824</v>
      </c>
      <c r="L1520" s="12" t="s">
        <v>6825</v>
      </c>
      <c r="M1520" s="12" t="str">
        <f>HYPERLINK("https://ceds.ed.gov/cedselementdetails.aspx?termid=17705")</f>
        <v>https://ceds.ed.gov/cedselementdetails.aspx?termid=17705</v>
      </c>
      <c r="N1520" s="12" t="str">
        <f>HYPERLINK("https://ceds.ed.gov/elementComment.aspx?elementName=Predominant Calendar System &amp;elementID=17705", "Click here to submit comment")</f>
        <v>Click here to submit comment</v>
      </c>
    </row>
    <row r="1521" spans="1:14" ht="51" x14ac:dyDescent="0.25">
      <c r="A1521" s="12" t="s">
        <v>6826</v>
      </c>
      <c r="B1521" s="12" t="s">
        <v>6827</v>
      </c>
      <c r="C1521" s="13" t="s">
        <v>5703</v>
      </c>
      <c r="D1521" s="12" t="s">
        <v>5704</v>
      </c>
      <c r="E1521" s="11"/>
      <c r="F1521" s="11"/>
      <c r="G1521" s="11"/>
      <c r="H1521" s="11"/>
      <c r="I1521" s="12" t="s">
        <v>6828</v>
      </c>
      <c r="J1521" s="11"/>
      <c r="K1521" s="12" t="s">
        <v>6829</v>
      </c>
      <c r="L1521" s="12" t="s">
        <v>28</v>
      </c>
      <c r="M1521" s="12" t="str">
        <f>HYPERLINK("https://ceds.ed.gov/cedselementdetails.aspx?termid=17481")</f>
        <v>https://ceds.ed.gov/cedselementdetails.aspx?termid=17481</v>
      </c>
      <c r="N1521" s="12" t="str">
        <f>HYPERLINK("https://ceds.ed.gov/elementComment.aspx?elementName=Prekindergarten Daily Length &amp;elementID=17481", "Click here to submit comment")</f>
        <v>Click here to submit comment</v>
      </c>
    </row>
    <row r="1522" spans="1:14" ht="89.25" x14ac:dyDescent="0.25">
      <c r="A1522" s="12" t="s">
        <v>6830</v>
      </c>
      <c r="B1522" s="12" t="s">
        <v>6831</v>
      </c>
      <c r="C1522" s="13" t="s">
        <v>6832</v>
      </c>
      <c r="D1522" s="12" t="s">
        <v>5704</v>
      </c>
      <c r="E1522" s="11"/>
      <c r="F1522" s="11"/>
      <c r="G1522" s="11"/>
      <c r="H1522" s="11"/>
      <c r="I1522" s="12" t="s">
        <v>6833</v>
      </c>
      <c r="J1522" s="11"/>
      <c r="K1522" s="12" t="s">
        <v>6834</v>
      </c>
      <c r="L1522" s="12" t="s">
        <v>28</v>
      </c>
      <c r="M1522" s="12" t="str">
        <f>HYPERLINK("https://ceds.ed.gov/cedselementdetails.aspx?termid=17216")</f>
        <v>https://ceds.ed.gov/cedselementdetails.aspx?termid=17216</v>
      </c>
      <c r="N1522" s="12" t="str">
        <f>HYPERLINK("https://ceds.ed.gov/elementComment.aspx?elementName=Prekindergarten Eligibility &amp;elementID=17216", "Click here to submit comment")</f>
        <v>Click here to submit comment</v>
      </c>
    </row>
    <row r="1523" spans="1:14" ht="76.5" x14ac:dyDescent="0.25">
      <c r="A1523" s="12" t="s">
        <v>6835</v>
      </c>
      <c r="B1523" s="12" t="s">
        <v>6836</v>
      </c>
      <c r="C1523" s="13" t="s">
        <v>6837</v>
      </c>
      <c r="D1523" s="12" t="s">
        <v>5704</v>
      </c>
      <c r="E1523" s="11"/>
      <c r="F1523" s="11"/>
      <c r="G1523" s="11"/>
      <c r="H1523" s="11"/>
      <c r="I1523" s="12" t="s">
        <v>6838</v>
      </c>
      <c r="J1523" s="11"/>
      <c r="K1523" s="12" t="s">
        <v>6839</v>
      </c>
      <c r="L1523" s="12" t="s">
        <v>28</v>
      </c>
      <c r="M1523" s="12" t="str">
        <f>HYPERLINK("https://ceds.ed.gov/cedselementdetails.aspx?termid=17217")</f>
        <v>https://ceds.ed.gov/cedselementdetails.aspx?termid=17217</v>
      </c>
      <c r="N1523" s="12" t="str">
        <f>HYPERLINK("https://ceds.ed.gov/elementComment.aspx?elementName=Prekindergarten Eligible Ages for Non-IDEA Students &amp;elementID=17217", "Click here to submit comment")</f>
        <v>Click here to submit comment</v>
      </c>
    </row>
    <row r="1524" spans="1:14" ht="153" x14ac:dyDescent="0.25">
      <c r="A1524" s="12" t="s">
        <v>6840</v>
      </c>
      <c r="B1524" s="12" t="s">
        <v>6841</v>
      </c>
      <c r="C1524" s="13" t="s">
        <v>6842</v>
      </c>
      <c r="D1524" s="12" t="s">
        <v>32</v>
      </c>
      <c r="E1524" s="11"/>
      <c r="F1524" s="11"/>
      <c r="G1524" s="11"/>
      <c r="H1524" s="11"/>
      <c r="I1524" s="12" t="s">
        <v>6843</v>
      </c>
      <c r="J1524" s="11"/>
      <c r="K1524" s="12" t="s">
        <v>6844</v>
      </c>
      <c r="L1524" s="11"/>
      <c r="M1524" s="12" t="str">
        <f>HYPERLINK("https://ceds.ed.gov/cedselementdetails.aspx?termid=17593")</f>
        <v>https://ceds.ed.gov/cedselementdetails.aspx?termid=17593</v>
      </c>
      <c r="N1524" s="12" t="str">
        <f>HYPERLINK("https://ceds.ed.gov/elementComment.aspx?elementName=Present Attendance Category &amp;elementID=17593", "Click here to submit comment")</f>
        <v>Click here to submit comment</v>
      </c>
    </row>
    <row r="1525" spans="1:14" ht="127.5" x14ac:dyDescent="0.25">
      <c r="A1525" s="12" t="s">
        <v>6845</v>
      </c>
      <c r="B1525" s="12" t="s">
        <v>6846</v>
      </c>
      <c r="C1525" s="12" t="s">
        <v>37</v>
      </c>
      <c r="D1525" s="12" t="s">
        <v>275</v>
      </c>
      <c r="E1525" s="11"/>
      <c r="F1525" s="12" t="s">
        <v>1710</v>
      </c>
      <c r="G1525" s="11"/>
      <c r="H1525" s="12" t="s">
        <v>432</v>
      </c>
      <c r="I1525" s="12" t="s">
        <v>6847</v>
      </c>
      <c r="J1525" s="11"/>
      <c r="K1525" s="12" t="s">
        <v>6848</v>
      </c>
      <c r="L1525" s="12" t="s">
        <v>1769</v>
      </c>
      <c r="M1525" s="12" t="str">
        <f>HYPERLINK("https://ceds.ed.gov/cedselementdetails.aspx?termid=17732")</f>
        <v>https://ceds.ed.gov/cedselementdetails.aspx?termid=17732</v>
      </c>
      <c r="N1525" s="12" t="str">
        <f>HYPERLINK("https://ceds.ed.gov/elementComment.aspx?elementName=Price of Attendance &amp;elementID=17732", "Click here to submit comment")</f>
        <v>Click here to submit comment</v>
      </c>
    </row>
    <row r="1526" spans="1:14" ht="38.25" x14ac:dyDescent="0.25">
      <c r="A1526" s="12" t="s">
        <v>6849</v>
      </c>
      <c r="B1526" s="12" t="s">
        <v>8524</v>
      </c>
      <c r="C1526" s="12" t="s">
        <v>24</v>
      </c>
      <c r="D1526" s="12" t="s">
        <v>5686</v>
      </c>
      <c r="E1526" s="12" t="s">
        <v>195</v>
      </c>
      <c r="F1526" s="11"/>
      <c r="G1526" s="12" t="s">
        <v>8525</v>
      </c>
      <c r="H1526" s="11"/>
      <c r="I1526" s="12" t="s">
        <v>6850</v>
      </c>
      <c r="J1526" s="11"/>
      <c r="K1526" s="12" t="s">
        <v>6851</v>
      </c>
      <c r="L1526" s="11"/>
      <c r="M1526" s="12" t="str">
        <f>HYPERLINK("https://ceds.ed.gov/cedselementdetails.aspx?termid=17516")</f>
        <v>https://ceds.ed.gov/cedselementdetails.aspx?termid=17516</v>
      </c>
      <c r="N1526" s="12" t="str">
        <f>HYPERLINK("https://ceds.ed.gov/elementComment.aspx?elementName=Primary Assignment Indicator &amp;elementID=17516", "Click here to submit comment")</f>
        <v>Click here to submit comment</v>
      </c>
    </row>
    <row r="1527" spans="1:14" ht="153" x14ac:dyDescent="0.25">
      <c r="A1527" s="12" t="s">
        <v>6852</v>
      </c>
      <c r="B1527" s="12" t="s">
        <v>6853</v>
      </c>
      <c r="C1527" s="12" t="s">
        <v>24</v>
      </c>
      <c r="D1527" s="12" t="s">
        <v>6854</v>
      </c>
      <c r="E1527" s="11"/>
      <c r="F1527" s="11"/>
      <c r="G1527" s="11"/>
      <c r="H1527" s="11"/>
      <c r="I1527" s="12" t="s">
        <v>6855</v>
      </c>
      <c r="J1527" s="11"/>
      <c r="K1527" s="12" t="s">
        <v>6856</v>
      </c>
      <c r="L1527" s="11"/>
      <c r="M1527" s="12" t="str">
        <f>HYPERLINK("https://ceds.ed.gov/cedselementdetails.aspx?termid=18397")</f>
        <v>https://ceds.ed.gov/cedselementdetails.aspx?termid=18397</v>
      </c>
      <c r="N1527" s="12" t="str">
        <f>HYPERLINK("https://ceds.ed.gov/elementComment.aspx?elementName=Primary Contact Indicator &amp;elementID=18397", "Click here to submit comment")</f>
        <v>Click here to submit comment</v>
      </c>
    </row>
    <row r="1528" spans="1:14" ht="178.5" x14ac:dyDescent="0.25">
      <c r="A1528" s="12" t="s">
        <v>6857</v>
      </c>
      <c r="B1528" s="12" t="s">
        <v>6858</v>
      </c>
      <c r="C1528" s="13" t="s">
        <v>6859</v>
      </c>
      <c r="D1528" s="12" t="s">
        <v>6860</v>
      </c>
      <c r="E1528" s="11"/>
      <c r="F1528" s="11"/>
      <c r="G1528" s="11"/>
      <c r="H1528" s="12" t="s">
        <v>6861</v>
      </c>
      <c r="I1528" s="12" t="s">
        <v>6862</v>
      </c>
      <c r="J1528" s="11"/>
      <c r="K1528" s="12" t="s">
        <v>6863</v>
      </c>
      <c r="L1528" s="12" t="s">
        <v>6864</v>
      </c>
      <c r="M1528" s="12" t="str">
        <f>HYPERLINK("https://ceds.ed.gov/cedselementdetails.aspx?termid=17218")</f>
        <v>https://ceds.ed.gov/cedselementdetails.aspx?termid=17218</v>
      </c>
      <c r="N1528" s="12" t="str">
        <f>HYPERLINK("https://ceds.ed.gov/elementComment.aspx?elementName=Primary Disability Type &amp;elementID=17218", "Click here to submit comment")</f>
        <v>Click here to submit comment</v>
      </c>
    </row>
    <row r="1529" spans="1:14" ht="409.5" x14ac:dyDescent="0.25">
      <c r="A1529" s="12" t="s">
        <v>6865</v>
      </c>
      <c r="B1529" s="12" t="s">
        <v>6866</v>
      </c>
      <c r="C1529" s="12" t="s">
        <v>24</v>
      </c>
      <c r="D1529" s="12" t="s">
        <v>6867</v>
      </c>
      <c r="E1529" s="11"/>
      <c r="F1529" s="11"/>
      <c r="G1529" s="11"/>
      <c r="H1529" s="11"/>
      <c r="I1529" s="12" t="s">
        <v>6868</v>
      </c>
      <c r="J1529" s="11"/>
      <c r="K1529" s="12" t="s">
        <v>6869</v>
      </c>
      <c r="L1529" s="12" t="s">
        <v>72</v>
      </c>
      <c r="M1529" s="12" t="str">
        <f>HYPERLINK("https://ceds.ed.gov/cedselementdetails.aspx?termid=17219")</f>
        <v>https://ceds.ed.gov/cedselementdetails.aspx?termid=17219</v>
      </c>
      <c r="N1529" s="12" t="str">
        <f>HYPERLINK("https://ceds.ed.gov/elementComment.aspx?elementName=Primary Telephone Number Indicator &amp;elementID=17219", "Click here to submit comment")</f>
        <v>Click here to submit comment</v>
      </c>
    </row>
    <row r="1530" spans="1:14" ht="38.25" x14ac:dyDescent="0.25">
      <c r="A1530" s="12" t="s">
        <v>6870</v>
      </c>
      <c r="B1530" s="12" t="s">
        <v>6871</v>
      </c>
      <c r="C1530" s="12" t="s">
        <v>24</v>
      </c>
      <c r="D1530" s="12" t="s">
        <v>2141</v>
      </c>
      <c r="E1530" s="11"/>
      <c r="F1530" s="11"/>
      <c r="G1530" s="11"/>
      <c r="H1530" s="11"/>
      <c r="I1530" s="12" t="s">
        <v>6872</v>
      </c>
      <c r="J1530" s="11"/>
      <c r="K1530" s="12" t="s">
        <v>6873</v>
      </c>
      <c r="L1530" s="12" t="s">
        <v>238</v>
      </c>
      <c r="M1530" s="12" t="str">
        <f>HYPERLINK("https://ceds.ed.gov/cedselementdetails.aspx?termid=17806")</f>
        <v>https://ceds.ed.gov/cedselementdetails.aspx?termid=17806</v>
      </c>
      <c r="N1530" s="12" t="str">
        <f>HYPERLINK("https://ceds.ed.gov/elementComment.aspx?elementName=Professional Association Membership Status &amp;elementID=17806", "Click here to submit comment")</f>
        <v>Click here to submit comment</v>
      </c>
    </row>
    <row r="1531" spans="1:14" ht="25.5" x14ac:dyDescent="0.25">
      <c r="A1531" s="12" t="s">
        <v>6874</v>
      </c>
      <c r="B1531" s="12" t="s">
        <v>6875</v>
      </c>
      <c r="C1531" s="12" t="s">
        <v>37</v>
      </c>
      <c r="D1531" s="12" t="s">
        <v>2141</v>
      </c>
      <c r="E1531" s="11"/>
      <c r="F1531" s="12" t="s">
        <v>175</v>
      </c>
      <c r="G1531" s="11"/>
      <c r="H1531" s="11"/>
      <c r="I1531" s="12" t="s">
        <v>6876</v>
      </c>
      <c r="J1531" s="11"/>
      <c r="K1531" s="12" t="s">
        <v>6877</v>
      </c>
      <c r="L1531" s="12" t="s">
        <v>238</v>
      </c>
      <c r="M1531" s="12" t="str">
        <f>HYPERLINK("https://ceds.ed.gov/cedselementdetails.aspx?termid=17807")</f>
        <v>https://ceds.ed.gov/cedselementdetails.aspx?termid=17807</v>
      </c>
      <c r="N1531" s="12" t="str">
        <f>HYPERLINK("https://ceds.ed.gov/elementComment.aspx?elementName=Professional Association Name &amp;elementID=17807", "Click here to submit comment")</f>
        <v>Click here to submit comment</v>
      </c>
    </row>
    <row r="1532" spans="1:14" ht="25.5" x14ac:dyDescent="0.25">
      <c r="A1532" s="12" t="s">
        <v>6878</v>
      </c>
      <c r="B1532" s="12" t="s">
        <v>6879</v>
      </c>
      <c r="C1532" s="12" t="s">
        <v>37</v>
      </c>
      <c r="D1532" s="12" t="s">
        <v>2281</v>
      </c>
      <c r="E1532" s="11"/>
      <c r="F1532" s="12" t="s">
        <v>97</v>
      </c>
      <c r="G1532" s="11"/>
      <c r="H1532" s="11"/>
      <c r="I1532" s="12" t="s">
        <v>6880</v>
      </c>
      <c r="J1532" s="11"/>
      <c r="K1532" s="12" t="s">
        <v>6881</v>
      </c>
      <c r="L1532" s="11"/>
      <c r="M1532" s="12" t="str">
        <f>HYPERLINK("https://ceds.ed.gov/cedselementdetails.aspx?termid=18398")</f>
        <v>https://ceds.ed.gov/cedselementdetails.aspx?termid=18398</v>
      </c>
      <c r="N1532" s="12" t="str">
        <f>HYPERLINK("https://ceds.ed.gov/elementComment.aspx?elementName=Professional Certificate or License Number &amp;elementID=18398", "Click here to submit comment")</f>
        <v>Click here to submit comment</v>
      </c>
    </row>
    <row r="1533" spans="1:14" ht="63.75" x14ac:dyDescent="0.25">
      <c r="A1533" s="12" t="s">
        <v>6882</v>
      </c>
      <c r="B1533" s="12" t="s">
        <v>6883</v>
      </c>
      <c r="C1533" s="12" t="s">
        <v>37</v>
      </c>
      <c r="D1533" s="12" t="s">
        <v>6884</v>
      </c>
      <c r="E1533" s="11"/>
      <c r="F1533" s="12" t="s">
        <v>97</v>
      </c>
      <c r="G1533" s="11"/>
      <c r="H1533" s="11"/>
      <c r="I1533" s="12" t="s">
        <v>6885</v>
      </c>
      <c r="J1533" s="11"/>
      <c r="K1533" s="12" t="s">
        <v>6886</v>
      </c>
      <c r="L1533" s="11"/>
      <c r="M1533" s="12" t="str">
        <f>HYPERLINK("https://ceds.ed.gov/cedselementdetails.aspx?termid=18402")</f>
        <v>https://ceds.ed.gov/cedselementdetails.aspx?termid=18402</v>
      </c>
      <c r="N1533" s="12" t="str">
        <f>HYPERLINK("https://ceds.ed.gov/elementComment.aspx?elementName=Professional Development Activity Approval Code &amp;elementID=18402", "Click here to submit comment")</f>
        <v>Click here to submit comment</v>
      </c>
    </row>
    <row r="1534" spans="1:14" ht="76.5" x14ac:dyDescent="0.25">
      <c r="A1534" s="12" t="s">
        <v>6887</v>
      </c>
      <c r="B1534" s="12" t="s">
        <v>6888</v>
      </c>
      <c r="C1534" s="13" t="s">
        <v>6889</v>
      </c>
      <c r="D1534" s="12" t="s">
        <v>6884</v>
      </c>
      <c r="E1534" s="11"/>
      <c r="F1534" s="11"/>
      <c r="G1534" s="11"/>
      <c r="H1534" s="11"/>
      <c r="I1534" s="12" t="s">
        <v>6890</v>
      </c>
      <c r="J1534" s="11"/>
      <c r="K1534" s="12" t="s">
        <v>6891</v>
      </c>
      <c r="L1534" s="11"/>
      <c r="M1534" s="12" t="str">
        <f>HYPERLINK("https://ceds.ed.gov/cedselementdetails.aspx?termid=18403")</f>
        <v>https://ceds.ed.gov/cedselementdetails.aspx?termid=18403</v>
      </c>
      <c r="N1534" s="12" t="str">
        <f>HYPERLINK("https://ceds.ed.gov/elementComment.aspx?elementName=Professional Development Activity Approved Purpose &amp;elementID=18403", "Click here to submit comment")</f>
        <v>Click here to submit comment</v>
      </c>
    </row>
    <row r="1535" spans="1:14" ht="63.75" x14ac:dyDescent="0.25">
      <c r="A1535" s="12" t="s">
        <v>6892</v>
      </c>
      <c r="B1535" s="12" t="s">
        <v>6893</v>
      </c>
      <c r="C1535" s="12" t="s">
        <v>37</v>
      </c>
      <c r="D1535" s="12" t="s">
        <v>6884</v>
      </c>
      <c r="E1535" s="11"/>
      <c r="F1535" s="12" t="s">
        <v>97</v>
      </c>
      <c r="G1535" s="11"/>
      <c r="H1535" s="11"/>
      <c r="I1535" s="12" t="s">
        <v>6894</v>
      </c>
      <c r="J1535" s="11"/>
      <c r="K1535" s="12" t="s">
        <v>6895</v>
      </c>
      <c r="L1535" s="11"/>
      <c r="M1535" s="12" t="str">
        <f>HYPERLINK("https://ceds.ed.gov/cedselementdetails.aspx?termid=18404")</f>
        <v>https://ceds.ed.gov/cedselementdetails.aspx?termid=18404</v>
      </c>
      <c r="N1535" s="12" t="str">
        <f>HYPERLINK("https://ceds.ed.gov/elementComment.aspx?elementName=Professional Development Activity Code &amp;elementID=18404", "Click here to submit comment")</f>
        <v>Click here to submit comment</v>
      </c>
    </row>
    <row r="1536" spans="1:14" ht="63.75" x14ac:dyDescent="0.25">
      <c r="A1536" s="12" t="s">
        <v>6896</v>
      </c>
      <c r="B1536" s="12" t="s">
        <v>6897</v>
      </c>
      <c r="C1536" s="12" t="s">
        <v>37</v>
      </c>
      <c r="D1536" s="12" t="s">
        <v>6884</v>
      </c>
      <c r="E1536" s="11"/>
      <c r="F1536" s="12" t="s">
        <v>1710</v>
      </c>
      <c r="G1536" s="11"/>
      <c r="H1536" s="11"/>
      <c r="I1536" s="12" t="s">
        <v>6898</v>
      </c>
      <c r="J1536" s="11"/>
      <c r="K1536" s="12" t="s">
        <v>6899</v>
      </c>
      <c r="L1536" s="11"/>
      <c r="M1536" s="12" t="str">
        <f>HYPERLINK("https://ceds.ed.gov/cedselementdetails.aspx?termid=18405")</f>
        <v>https://ceds.ed.gov/cedselementdetails.aspx?termid=18405</v>
      </c>
      <c r="N1536" s="12" t="str">
        <f>HYPERLINK("https://ceds.ed.gov/elementComment.aspx?elementName=Professional Development Activity Cost &amp;elementID=18405", "Click here to submit comment")</f>
        <v>Click here to submit comment</v>
      </c>
    </row>
    <row r="1537" spans="1:14" ht="63.75" x14ac:dyDescent="0.25">
      <c r="A1537" s="12" t="s">
        <v>6900</v>
      </c>
      <c r="B1537" s="12" t="s">
        <v>6901</v>
      </c>
      <c r="C1537" s="13" t="s">
        <v>6902</v>
      </c>
      <c r="D1537" s="12" t="s">
        <v>6884</v>
      </c>
      <c r="E1537" s="11"/>
      <c r="F1537" s="11"/>
      <c r="G1537" s="11"/>
      <c r="H1537" s="11"/>
      <c r="I1537" s="12" t="s">
        <v>6903</v>
      </c>
      <c r="J1537" s="11"/>
      <c r="K1537" s="12" t="s">
        <v>6904</v>
      </c>
      <c r="L1537" s="11"/>
      <c r="M1537" s="12" t="str">
        <f>HYPERLINK("https://ceds.ed.gov/cedselementdetails.aspx?termid=18406")</f>
        <v>https://ceds.ed.gov/cedselementdetails.aspx?termid=18406</v>
      </c>
      <c r="N1537" s="12" t="str">
        <f>HYPERLINK("https://ceds.ed.gov/elementComment.aspx?elementName=Professional Development Activity Credit Type &amp;elementID=18406", "Click here to submit comment")</f>
        <v>Click here to submit comment</v>
      </c>
    </row>
    <row r="1538" spans="1:14" ht="63.75" x14ac:dyDescent="0.25">
      <c r="A1538" s="12" t="s">
        <v>6905</v>
      </c>
      <c r="B1538" s="12" t="s">
        <v>6906</v>
      </c>
      <c r="C1538" s="12" t="s">
        <v>37</v>
      </c>
      <c r="D1538" s="12" t="s">
        <v>6884</v>
      </c>
      <c r="E1538" s="11"/>
      <c r="F1538" s="12" t="s">
        <v>1710</v>
      </c>
      <c r="G1538" s="11"/>
      <c r="H1538" s="11"/>
      <c r="I1538" s="12" t="s">
        <v>6907</v>
      </c>
      <c r="J1538" s="11"/>
      <c r="K1538" s="12" t="s">
        <v>6908</v>
      </c>
      <c r="L1538" s="11"/>
      <c r="M1538" s="12" t="str">
        <f>HYPERLINK("https://ceds.ed.gov/cedselementdetails.aspx?termid=18407")</f>
        <v>https://ceds.ed.gov/cedselementdetails.aspx?termid=18407</v>
      </c>
      <c r="N1538" s="12" t="str">
        <f>HYPERLINK("https://ceds.ed.gov/elementComment.aspx?elementName=Professional Development Activity Credits &amp;elementID=18407", "Click here to submit comment")</f>
        <v>Click here to submit comment</v>
      </c>
    </row>
    <row r="1539" spans="1:14" ht="63.75" x14ac:dyDescent="0.25">
      <c r="A1539" s="12" t="s">
        <v>6909</v>
      </c>
      <c r="B1539" s="12" t="s">
        <v>6910</v>
      </c>
      <c r="C1539" s="12" t="s">
        <v>37</v>
      </c>
      <c r="D1539" s="12" t="s">
        <v>6884</v>
      </c>
      <c r="E1539" s="11"/>
      <c r="F1539" s="12" t="s">
        <v>382</v>
      </c>
      <c r="G1539" s="11"/>
      <c r="H1539" s="11"/>
      <c r="I1539" s="12" t="s">
        <v>6911</v>
      </c>
      <c r="J1539" s="11"/>
      <c r="K1539" s="12" t="s">
        <v>6912</v>
      </c>
      <c r="L1539" s="11"/>
      <c r="M1539" s="12" t="str">
        <f>HYPERLINK("https://ceds.ed.gov/cedselementdetails.aspx?termid=18408")</f>
        <v>https://ceds.ed.gov/cedselementdetails.aspx?termid=18408</v>
      </c>
      <c r="N1539" s="12" t="str">
        <f>HYPERLINK("https://ceds.ed.gov/elementComment.aspx?elementName=Professional Development Activity Description &amp;elementID=18408", "Click here to submit comment")</f>
        <v>Click here to submit comment</v>
      </c>
    </row>
    <row r="1540" spans="1:14" ht="369.75" x14ac:dyDescent="0.25">
      <c r="A1540" s="12" t="s">
        <v>6913</v>
      </c>
      <c r="B1540" s="12" t="s">
        <v>6914</v>
      </c>
      <c r="C1540" s="13" t="s">
        <v>6915</v>
      </c>
      <c r="D1540" s="12" t="s">
        <v>6884</v>
      </c>
      <c r="E1540" s="11"/>
      <c r="F1540" s="11"/>
      <c r="G1540" s="11"/>
      <c r="H1540" s="12" t="s">
        <v>6916</v>
      </c>
      <c r="I1540" s="12" t="s">
        <v>6917</v>
      </c>
      <c r="J1540" s="11"/>
      <c r="K1540" s="12" t="s">
        <v>6918</v>
      </c>
      <c r="L1540" s="11"/>
      <c r="M1540" s="12" t="str">
        <f>HYPERLINK("https://ceds.ed.gov/cedselementdetails.aspx?termid=18245")</f>
        <v>https://ceds.ed.gov/cedselementdetails.aspx?termid=18245</v>
      </c>
      <c r="N1540" s="12" t="str">
        <f>HYPERLINK("https://ceds.ed.gov/elementComment.aspx?elementName=Professional Development Activity Education Levels Addressed &amp;elementID=18245", "Click here to submit comment")</f>
        <v>Click here to submit comment</v>
      </c>
    </row>
    <row r="1541" spans="1:14" ht="63.75" x14ac:dyDescent="0.25">
      <c r="A1541" s="12" t="s">
        <v>6919</v>
      </c>
      <c r="B1541" s="12" t="s">
        <v>6920</v>
      </c>
      <c r="C1541" s="12" t="s">
        <v>37</v>
      </c>
      <c r="D1541" s="12" t="s">
        <v>6884</v>
      </c>
      <c r="E1541" s="11"/>
      <c r="F1541" s="12" t="s">
        <v>135</v>
      </c>
      <c r="G1541" s="11"/>
      <c r="H1541" s="11"/>
      <c r="I1541" s="12" t="s">
        <v>6921</v>
      </c>
      <c r="J1541" s="11"/>
      <c r="K1541" s="12" t="s">
        <v>6922</v>
      </c>
      <c r="L1541" s="11"/>
      <c r="M1541" s="12" t="str">
        <f>HYPERLINK("https://ceds.ed.gov/cedselementdetails.aspx?termid=18421")</f>
        <v>https://ceds.ed.gov/cedselementdetails.aspx?termid=18421</v>
      </c>
      <c r="N1541" s="12" t="str">
        <f>HYPERLINK("https://ceds.ed.gov/elementComment.aspx?elementName=Professional Development Activity Expiration Date &amp;elementID=18421", "Click here to submit comment")</f>
        <v>Click here to submit comment</v>
      </c>
    </row>
    <row r="1542" spans="1:14" ht="76.5" x14ac:dyDescent="0.25">
      <c r="A1542" s="12" t="s">
        <v>6923</v>
      </c>
      <c r="B1542" s="12" t="s">
        <v>6924</v>
      </c>
      <c r="C1542" s="12" t="s">
        <v>37</v>
      </c>
      <c r="D1542" s="12" t="s">
        <v>6884</v>
      </c>
      <c r="E1542" s="11"/>
      <c r="F1542" s="12" t="s">
        <v>149</v>
      </c>
      <c r="G1542" s="11"/>
      <c r="H1542" s="12" t="s">
        <v>150</v>
      </c>
      <c r="I1542" s="12" t="s">
        <v>6925</v>
      </c>
      <c r="J1542" s="11"/>
      <c r="K1542" s="12" t="s">
        <v>6926</v>
      </c>
      <c r="L1542" s="12" t="s">
        <v>238</v>
      </c>
      <c r="M1542" s="12" t="str">
        <f>HYPERLINK("https://ceds.ed.gov/cedselementdetails.aspx?termid=17808")</f>
        <v>https://ceds.ed.gov/cedselementdetails.aspx?termid=17808</v>
      </c>
      <c r="N1542" s="12" t="str">
        <f>HYPERLINK("https://ceds.ed.gov/elementComment.aspx?elementName=Professional Development Activity Identifier &amp;elementID=17808", "Click here to submit comment")</f>
        <v>Click here to submit comment</v>
      </c>
    </row>
    <row r="1543" spans="1:14" ht="63.75" x14ac:dyDescent="0.25">
      <c r="A1543" s="12" t="s">
        <v>6927</v>
      </c>
      <c r="B1543" s="12" t="s">
        <v>6928</v>
      </c>
      <c r="C1543" s="13" t="s">
        <v>6929</v>
      </c>
      <c r="D1543" s="12" t="s">
        <v>6884</v>
      </c>
      <c r="E1543" s="11"/>
      <c r="F1543" s="11"/>
      <c r="G1543" s="11"/>
      <c r="H1543" s="11"/>
      <c r="I1543" s="12" t="s">
        <v>6930</v>
      </c>
      <c r="J1543" s="11"/>
      <c r="K1543" s="12" t="s">
        <v>6931</v>
      </c>
      <c r="L1543" s="11"/>
      <c r="M1543" s="12" t="str">
        <f>HYPERLINK("https://ceds.ed.gov/cedselementdetails.aspx?termid=18409")</f>
        <v>https://ceds.ed.gov/cedselementdetails.aspx?termid=18409</v>
      </c>
      <c r="N1543" s="12" t="str">
        <f>HYPERLINK("https://ceds.ed.gov/elementComment.aspx?elementName=Professional Development Activity Level &amp;elementID=18409", "Click here to submit comment")</f>
        <v>Click here to submit comment</v>
      </c>
    </row>
    <row r="1544" spans="1:14" ht="63.75" x14ac:dyDescent="0.25">
      <c r="A1544" s="12" t="s">
        <v>6932</v>
      </c>
      <c r="B1544" s="12" t="s">
        <v>6933</v>
      </c>
      <c r="C1544" s="12" t="s">
        <v>37</v>
      </c>
      <c r="D1544" s="12" t="s">
        <v>6884</v>
      </c>
      <c r="E1544" s="11"/>
      <c r="F1544" s="12" t="s">
        <v>382</v>
      </c>
      <c r="G1544" s="11"/>
      <c r="H1544" s="11"/>
      <c r="I1544" s="12" t="s">
        <v>6934</v>
      </c>
      <c r="J1544" s="11"/>
      <c r="K1544" s="12" t="s">
        <v>6935</v>
      </c>
      <c r="L1544" s="11"/>
      <c r="M1544" s="12" t="str">
        <f>HYPERLINK("https://ceds.ed.gov/cedselementdetails.aspx?termid=18410")</f>
        <v>https://ceds.ed.gov/cedselementdetails.aspx?termid=18410</v>
      </c>
      <c r="N1544" s="12" t="str">
        <f>HYPERLINK("https://ceds.ed.gov/elementComment.aspx?elementName=Professional Development Activity Objective &amp;elementID=18410", "Click here to submit comment")</f>
        <v>Click here to submit comment</v>
      </c>
    </row>
    <row r="1545" spans="1:14" ht="38.25" x14ac:dyDescent="0.25">
      <c r="A1545" s="12" t="s">
        <v>6936</v>
      </c>
      <c r="B1545" s="12" t="s">
        <v>6937</v>
      </c>
      <c r="C1545" s="12" t="s">
        <v>24</v>
      </c>
      <c r="D1545" s="12" t="s">
        <v>6938</v>
      </c>
      <c r="E1545" s="11"/>
      <c r="F1545" s="11"/>
      <c r="G1545" s="11"/>
      <c r="H1545" s="11"/>
      <c r="I1545" s="12" t="s">
        <v>6939</v>
      </c>
      <c r="J1545" s="11"/>
      <c r="K1545" s="12" t="s">
        <v>6940</v>
      </c>
      <c r="L1545" s="11"/>
      <c r="M1545" s="12" t="str">
        <f>HYPERLINK("https://ceds.ed.gov/cedselementdetails.aspx?termid=18598")</f>
        <v>https://ceds.ed.gov/cedselementdetails.aspx?termid=18598</v>
      </c>
      <c r="N1545" s="12" t="str">
        <f>HYPERLINK("https://ceds.ed.gov/elementComment.aspx?elementName=Professional Development Activity State Approved Status &amp;elementID=18598", "Click here to submit comment")</f>
        <v>Click here to submit comment</v>
      </c>
    </row>
    <row r="1546" spans="1:14" ht="409.5" x14ac:dyDescent="0.25">
      <c r="A1546" s="12" t="s">
        <v>6941</v>
      </c>
      <c r="B1546" s="12" t="s">
        <v>6942</v>
      </c>
      <c r="C1546" s="13" t="s">
        <v>6943</v>
      </c>
      <c r="D1546" s="12" t="s">
        <v>6884</v>
      </c>
      <c r="E1546" s="11"/>
      <c r="F1546" s="11"/>
      <c r="G1546" s="11"/>
      <c r="H1546" s="11"/>
      <c r="I1546" s="12" t="s">
        <v>6944</v>
      </c>
      <c r="J1546" s="11"/>
      <c r="K1546" s="12" t="s">
        <v>6945</v>
      </c>
      <c r="L1546" s="11"/>
      <c r="M1546" s="12" t="str">
        <f>HYPERLINK("https://ceds.ed.gov/cedselementdetails.aspx?termid=18464")</f>
        <v>https://ceds.ed.gov/cedselementdetails.aspx?termid=18464</v>
      </c>
      <c r="N1546" s="12" t="str">
        <f>HYPERLINK("https://ceds.ed.gov/elementComment.aspx?elementName=Professional Development Activity Target Audience &amp;elementID=18464", "Click here to submit comment")</f>
        <v>Click here to submit comment</v>
      </c>
    </row>
    <row r="1547" spans="1:14" ht="63.75" x14ac:dyDescent="0.25">
      <c r="A1547" s="12" t="s">
        <v>6946</v>
      </c>
      <c r="B1547" s="12" t="s">
        <v>6947</v>
      </c>
      <c r="C1547" s="12" t="s">
        <v>37</v>
      </c>
      <c r="D1547" s="12" t="s">
        <v>6884</v>
      </c>
      <c r="E1547" s="11"/>
      <c r="F1547" s="12" t="s">
        <v>175</v>
      </c>
      <c r="G1547" s="11"/>
      <c r="H1547" s="11"/>
      <c r="I1547" s="12" t="s">
        <v>6948</v>
      </c>
      <c r="J1547" s="11"/>
      <c r="K1547" s="12" t="s">
        <v>6949</v>
      </c>
      <c r="L1547" s="12" t="s">
        <v>238</v>
      </c>
      <c r="M1547" s="12" t="str">
        <f>HYPERLINK("https://ceds.ed.gov/cedselementdetails.aspx?termid=17809")</f>
        <v>https://ceds.ed.gov/cedselementdetails.aspx?termid=17809</v>
      </c>
      <c r="N1547" s="12" t="str">
        <f>HYPERLINK("https://ceds.ed.gov/elementComment.aspx?elementName=Professional Development Activity Title &amp;elementID=17809", "Click here to submit comment")</f>
        <v>Click here to submit comment</v>
      </c>
    </row>
    <row r="1548" spans="1:14" ht="165.75" x14ac:dyDescent="0.25">
      <c r="A1548" s="12" t="s">
        <v>6950</v>
      </c>
      <c r="B1548" s="12" t="s">
        <v>6951</v>
      </c>
      <c r="C1548" s="13" t="s">
        <v>6952</v>
      </c>
      <c r="D1548" s="12" t="s">
        <v>6884</v>
      </c>
      <c r="E1548" s="11"/>
      <c r="F1548" s="11"/>
      <c r="G1548" s="11"/>
      <c r="H1548" s="12" t="s">
        <v>6953</v>
      </c>
      <c r="I1548" s="12" t="s">
        <v>6954</v>
      </c>
      <c r="J1548" s="11"/>
      <c r="K1548" s="12" t="s">
        <v>6955</v>
      </c>
      <c r="L1548" s="11"/>
      <c r="M1548" s="12" t="str">
        <f>HYPERLINK("https://ceds.ed.gov/cedselementdetails.aspx?termid=18412")</f>
        <v>https://ceds.ed.gov/cedselementdetails.aspx?termid=18412</v>
      </c>
      <c r="N1548" s="12" t="str">
        <f>HYPERLINK("https://ceds.ed.gov/elementComment.aspx?elementName=Professional Development Activity Type &amp;elementID=18412", "Click here to submit comment")</f>
        <v>Click here to submit comment</v>
      </c>
    </row>
    <row r="1549" spans="1:14" ht="38.25" x14ac:dyDescent="0.25">
      <c r="A1549" s="12" t="s">
        <v>6956</v>
      </c>
      <c r="B1549" s="12" t="s">
        <v>6957</v>
      </c>
      <c r="C1549" s="13" t="s">
        <v>6216</v>
      </c>
      <c r="D1549" s="12" t="s">
        <v>2141</v>
      </c>
      <c r="E1549" s="11"/>
      <c r="F1549" s="11"/>
      <c r="G1549" s="11"/>
      <c r="H1549" s="11"/>
      <c r="I1549" s="12" t="s">
        <v>6958</v>
      </c>
      <c r="J1549" s="11"/>
      <c r="K1549" s="12" t="s">
        <v>6959</v>
      </c>
      <c r="L1549" s="11"/>
      <c r="M1549" s="12" t="str">
        <f>HYPERLINK("https://ceds.ed.gov/cedselementdetails.aspx?termid=18399")</f>
        <v>https://ceds.ed.gov/cedselementdetails.aspx?termid=18399</v>
      </c>
      <c r="N1549" s="12" t="str">
        <f>HYPERLINK("https://ceds.ed.gov/elementComment.aspx?elementName=Professional Development Audience Type &amp;elementID=18399", "Click here to submit comment")</f>
        <v>Click here to submit comment</v>
      </c>
    </row>
    <row r="1550" spans="1:14" ht="63.75" x14ac:dyDescent="0.25">
      <c r="A1550" s="12" t="s">
        <v>6960</v>
      </c>
      <c r="B1550" s="12" t="s">
        <v>6961</v>
      </c>
      <c r="C1550" s="13" t="s">
        <v>6962</v>
      </c>
      <c r="D1550" s="12" t="s">
        <v>6963</v>
      </c>
      <c r="E1550" s="11"/>
      <c r="F1550" s="11"/>
      <c r="G1550" s="11"/>
      <c r="H1550" s="11"/>
      <c r="I1550" s="12" t="s">
        <v>6964</v>
      </c>
      <c r="J1550" s="11"/>
      <c r="K1550" s="12" t="s">
        <v>6965</v>
      </c>
      <c r="L1550" s="11"/>
      <c r="M1550" s="12" t="str">
        <f>HYPERLINK("https://ceds.ed.gov/cedselementdetails.aspx?termid=18401")</f>
        <v>https://ceds.ed.gov/cedselementdetails.aspx?termid=18401</v>
      </c>
      <c r="N1550" s="12" t="str">
        <f>HYPERLINK("https://ceds.ed.gov/elementComment.aspx?elementName=Professional Development Delivery Method &amp;elementID=18401", "Click here to submit comment")</f>
        <v>Click here to submit comment</v>
      </c>
    </row>
    <row r="1551" spans="1:14" ht="153" x14ac:dyDescent="0.25">
      <c r="A1551" s="12" t="s">
        <v>6966</v>
      </c>
      <c r="B1551" s="12" t="s">
        <v>6967</v>
      </c>
      <c r="C1551" s="13" t="s">
        <v>6968</v>
      </c>
      <c r="D1551" s="12" t="s">
        <v>2141</v>
      </c>
      <c r="E1551" s="11"/>
      <c r="F1551" s="11"/>
      <c r="G1551" s="11"/>
      <c r="H1551" s="11"/>
      <c r="I1551" s="12" t="s">
        <v>6969</v>
      </c>
      <c r="J1551" s="11"/>
      <c r="K1551" s="12" t="s">
        <v>6970</v>
      </c>
      <c r="L1551" s="12" t="s">
        <v>238</v>
      </c>
      <c r="M1551" s="12" t="str">
        <f>HYPERLINK("https://ceds.ed.gov/cedselementdetails.aspx?termid=17811")</f>
        <v>https://ceds.ed.gov/cedselementdetails.aspx?termid=17811</v>
      </c>
      <c r="N1551" s="12" t="str">
        <f>HYPERLINK("https://ceds.ed.gov/elementComment.aspx?elementName=Professional Development Financial Support Type &amp;elementID=17811", "Click here to submit comment")</f>
        <v>Click here to submit comment</v>
      </c>
    </row>
    <row r="1552" spans="1:14" ht="63.75" x14ac:dyDescent="0.25">
      <c r="A1552" s="12" t="s">
        <v>6971</v>
      </c>
      <c r="B1552" s="12" t="s">
        <v>6972</v>
      </c>
      <c r="C1552" s="12" t="s">
        <v>37</v>
      </c>
      <c r="D1552" s="12" t="s">
        <v>6963</v>
      </c>
      <c r="E1552" s="11"/>
      <c r="F1552" s="12" t="s">
        <v>97</v>
      </c>
      <c r="G1552" s="11"/>
      <c r="H1552" s="11"/>
      <c r="I1552" s="12" t="s">
        <v>6973</v>
      </c>
      <c r="J1552" s="11"/>
      <c r="K1552" s="12" t="s">
        <v>6974</v>
      </c>
      <c r="L1552" s="11"/>
      <c r="M1552" s="12" t="str">
        <f>HYPERLINK("https://ceds.ed.gov/cedselementdetails.aspx?termid=18413")</f>
        <v>https://ceds.ed.gov/cedselementdetails.aspx?termid=18413</v>
      </c>
      <c r="N1552" s="12" t="str">
        <f>HYPERLINK("https://ceds.ed.gov/elementComment.aspx?elementName=Professional Development Funding Source &amp;elementID=18413", "Click here to submit comment")</f>
        <v>Click here to submit comment</v>
      </c>
    </row>
    <row r="1553" spans="1:14" ht="140.25" x14ac:dyDescent="0.25">
      <c r="A1553" s="12" t="s">
        <v>6975</v>
      </c>
      <c r="B1553" s="12" t="s">
        <v>6976</v>
      </c>
      <c r="C1553" s="13" t="s">
        <v>6977</v>
      </c>
      <c r="D1553" s="12" t="s">
        <v>6963</v>
      </c>
      <c r="E1553" s="11"/>
      <c r="F1553" s="11"/>
      <c r="G1553" s="11"/>
      <c r="H1553" s="11"/>
      <c r="I1553" s="12" t="s">
        <v>6978</v>
      </c>
      <c r="J1553" s="11"/>
      <c r="K1553" s="12" t="s">
        <v>6979</v>
      </c>
      <c r="L1553" s="11"/>
      <c r="M1553" s="12" t="str">
        <f>HYPERLINK("https://ceds.ed.gov/cedselementdetails.aspx?termid=18429")</f>
        <v>https://ceds.ed.gov/cedselementdetails.aspx?termid=18429</v>
      </c>
      <c r="N1553" s="12" t="str">
        <f>HYPERLINK("https://ceds.ed.gov/elementComment.aspx?elementName=Professional Development Instructional Delivery Mode &amp;elementID=18429", "Click here to submit comment")</f>
        <v>Click here to submit comment</v>
      </c>
    </row>
    <row r="1554" spans="1:14" ht="76.5" x14ac:dyDescent="0.25">
      <c r="A1554" s="15" t="s">
        <v>6980</v>
      </c>
      <c r="B1554" s="15" t="s">
        <v>6981</v>
      </c>
      <c r="C1554" s="15" t="s">
        <v>37</v>
      </c>
      <c r="D1554" s="15" t="s">
        <v>6963</v>
      </c>
      <c r="E1554" s="16"/>
      <c r="F1554" s="15" t="s">
        <v>149</v>
      </c>
      <c r="G1554" s="16"/>
      <c r="H1554" s="12" t="s">
        <v>150</v>
      </c>
      <c r="I1554" s="15" t="s">
        <v>6982</v>
      </c>
      <c r="J1554" s="16"/>
      <c r="K1554" s="15" t="s">
        <v>6983</v>
      </c>
      <c r="L1554" s="16"/>
      <c r="M1554" s="15" t="str">
        <f>HYPERLINK("https://ceds.ed.gov/cedselementdetails.aspx?termid=18414")</f>
        <v>https://ceds.ed.gov/cedselementdetails.aspx?termid=18414</v>
      </c>
      <c r="N1554" s="15" t="str">
        <f>HYPERLINK("https://ceds.ed.gov/elementComment.aspx?elementName=Professional Development Instructor Identifier &amp;elementID=18414", "Click here to submit comment")</f>
        <v>Click here to submit comment</v>
      </c>
    </row>
    <row r="1555" spans="1:14" x14ac:dyDescent="0.25">
      <c r="A1555" s="15"/>
      <c r="B1555" s="15"/>
      <c r="C1555" s="15"/>
      <c r="D1555" s="15"/>
      <c r="E1555" s="16"/>
      <c r="F1555" s="15"/>
      <c r="G1555" s="16"/>
      <c r="H1555" s="12"/>
      <c r="I1555" s="15"/>
      <c r="J1555" s="16"/>
      <c r="K1555" s="15"/>
      <c r="L1555" s="16"/>
      <c r="M1555" s="15"/>
      <c r="N1555" s="15"/>
    </row>
    <row r="1556" spans="1:14" ht="76.5" x14ac:dyDescent="0.25">
      <c r="A1556" s="15"/>
      <c r="B1556" s="15"/>
      <c r="C1556" s="15"/>
      <c r="D1556" s="15"/>
      <c r="E1556" s="16"/>
      <c r="F1556" s="15"/>
      <c r="G1556" s="16"/>
      <c r="H1556" s="12" t="s">
        <v>153</v>
      </c>
      <c r="I1556" s="15"/>
      <c r="J1556" s="16"/>
      <c r="K1556" s="15"/>
      <c r="L1556" s="16"/>
      <c r="M1556" s="15"/>
      <c r="N1556" s="15"/>
    </row>
    <row r="1557" spans="1:14" ht="38.25" x14ac:dyDescent="0.25">
      <c r="A1557" s="12" t="s">
        <v>6984</v>
      </c>
      <c r="B1557" s="12" t="s">
        <v>6985</v>
      </c>
      <c r="C1557" s="12" t="s">
        <v>24</v>
      </c>
      <c r="D1557" s="12" t="s">
        <v>2141</v>
      </c>
      <c r="E1557" s="11"/>
      <c r="F1557" s="11"/>
      <c r="G1557" s="11"/>
      <c r="H1557" s="11"/>
      <c r="I1557" s="12" t="s">
        <v>6986</v>
      </c>
      <c r="J1557" s="11"/>
      <c r="K1557" s="12" t="s">
        <v>6987</v>
      </c>
      <c r="L1557" s="11"/>
      <c r="M1557" s="12" t="str">
        <f>HYPERLINK("https://ceds.ed.gov/cedselementdetails.aspx?termid=18599")</f>
        <v>https://ceds.ed.gov/cedselementdetails.aspx?termid=18599</v>
      </c>
      <c r="N1557" s="12" t="str">
        <f>HYPERLINK("https://ceds.ed.gov/elementComment.aspx?elementName=Professional Development Plan Approved by Supervisor &amp;elementID=18599", "Click here to submit comment")</f>
        <v>Click here to submit comment</v>
      </c>
    </row>
    <row r="1558" spans="1:14" ht="25.5" x14ac:dyDescent="0.25">
      <c r="A1558" s="12" t="s">
        <v>6988</v>
      </c>
      <c r="B1558" s="12" t="s">
        <v>6989</v>
      </c>
      <c r="C1558" s="12" t="s">
        <v>37</v>
      </c>
      <c r="D1558" s="12" t="s">
        <v>2141</v>
      </c>
      <c r="E1558" s="11"/>
      <c r="F1558" s="12" t="s">
        <v>135</v>
      </c>
      <c r="G1558" s="11"/>
      <c r="H1558" s="11"/>
      <c r="I1558" s="12" t="s">
        <v>6990</v>
      </c>
      <c r="J1558" s="11"/>
      <c r="K1558" s="12" t="s">
        <v>6991</v>
      </c>
      <c r="L1558" s="11"/>
      <c r="M1558" s="12" t="str">
        <f>HYPERLINK("https://ceds.ed.gov/cedselementdetails.aspx?termid=18600")</f>
        <v>https://ceds.ed.gov/cedselementdetails.aspx?termid=18600</v>
      </c>
      <c r="N1558" s="12" t="str">
        <f>HYPERLINK("https://ceds.ed.gov/elementComment.aspx?elementName=Professional Development Plan Completion &amp;elementID=18600", "Click here to submit comment")</f>
        <v>Click here to submit comment</v>
      </c>
    </row>
    <row r="1559" spans="1:14" ht="38.25" x14ac:dyDescent="0.25">
      <c r="A1559" s="12" t="s">
        <v>6992</v>
      </c>
      <c r="B1559" s="12" t="s">
        <v>6993</v>
      </c>
      <c r="C1559" s="12" t="s">
        <v>24</v>
      </c>
      <c r="D1559" s="12" t="s">
        <v>2141</v>
      </c>
      <c r="E1559" s="11"/>
      <c r="F1559" s="11"/>
      <c r="G1559" s="11"/>
      <c r="H1559" s="11"/>
      <c r="I1559" s="12" t="s">
        <v>6994</v>
      </c>
      <c r="J1559" s="11"/>
      <c r="K1559" s="12" t="s">
        <v>6995</v>
      </c>
      <c r="L1559" s="11"/>
      <c r="M1559" s="12" t="str">
        <f>HYPERLINK("https://ceds.ed.gov/cedselementdetails.aspx?termid=18415")</f>
        <v>https://ceds.ed.gov/cedselementdetails.aspx?termid=18415</v>
      </c>
      <c r="N1559" s="12" t="str">
        <f>HYPERLINK("https://ceds.ed.gov/elementComment.aspx?elementName=Professional Development Publish Activity Indicator &amp;elementID=18415", "Click here to submit comment")</f>
        <v>Click here to submit comment</v>
      </c>
    </row>
    <row r="1560" spans="1:14" ht="38.25" x14ac:dyDescent="0.25">
      <c r="A1560" s="12" t="s">
        <v>6996</v>
      </c>
      <c r="B1560" s="12" t="s">
        <v>6997</v>
      </c>
      <c r="C1560" s="12" t="s">
        <v>24</v>
      </c>
      <c r="D1560" s="12" t="s">
        <v>2141</v>
      </c>
      <c r="E1560" s="11"/>
      <c r="F1560" s="11"/>
      <c r="G1560" s="11"/>
      <c r="H1560" s="11"/>
      <c r="I1560" s="12" t="s">
        <v>6998</v>
      </c>
      <c r="J1560" s="11"/>
      <c r="K1560" s="12" t="s">
        <v>6999</v>
      </c>
      <c r="L1560" s="12" t="s">
        <v>238</v>
      </c>
      <c r="M1560" s="12" t="str">
        <f>HYPERLINK("https://ceds.ed.gov/cedselementdetails.aspx?termid=17810")</f>
        <v>https://ceds.ed.gov/cedselementdetails.aspx?termid=17810</v>
      </c>
      <c r="N1560" s="12" t="str">
        <f>HYPERLINK("https://ceds.ed.gov/elementComment.aspx?elementName=Professional Development Scholarship Status &amp;elementID=17810", "Click here to submit comment")</f>
        <v>Click here to submit comment</v>
      </c>
    </row>
    <row r="1561" spans="1:14" ht="63.75" x14ac:dyDescent="0.25">
      <c r="A1561" s="12" t="s">
        <v>7000</v>
      </c>
      <c r="B1561" s="12" t="s">
        <v>7001</v>
      </c>
      <c r="C1561" s="12" t="s">
        <v>37</v>
      </c>
      <c r="D1561" s="12" t="s">
        <v>6963</v>
      </c>
      <c r="E1561" s="11"/>
      <c r="F1561" s="12" t="s">
        <v>370</v>
      </c>
      <c r="G1561" s="11"/>
      <c r="H1561" s="11"/>
      <c r="I1561" s="12" t="s">
        <v>7002</v>
      </c>
      <c r="J1561" s="11"/>
      <c r="K1561" s="12" t="s">
        <v>7003</v>
      </c>
      <c r="L1561" s="11"/>
      <c r="M1561" s="12" t="str">
        <f>HYPERLINK("https://ceds.ed.gov/cedselementdetails.aspx?termid=18416")</f>
        <v>https://ceds.ed.gov/cedselementdetails.aspx?termid=18416</v>
      </c>
      <c r="N1561" s="12" t="str">
        <f>HYPERLINK("https://ceds.ed.gov/elementComment.aspx?elementName=Professional Development Session Capacity &amp;elementID=18416", "Click here to submit comment")</f>
        <v>Click here to submit comment</v>
      </c>
    </row>
    <row r="1562" spans="1:14" ht="63.75" x14ac:dyDescent="0.25">
      <c r="A1562" s="12" t="s">
        <v>7004</v>
      </c>
      <c r="B1562" s="12" t="s">
        <v>7005</v>
      </c>
      <c r="C1562" s="12" t="s">
        <v>37</v>
      </c>
      <c r="D1562" s="12" t="s">
        <v>6963</v>
      </c>
      <c r="E1562" s="11"/>
      <c r="F1562" s="12" t="s">
        <v>135</v>
      </c>
      <c r="G1562" s="11"/>
      <c r="H1562" s="12" t="s">
        <v>160</v>
      </c>
      <c r="I1562" s="12" t="s">
        <v>7006</v>
      </c>
      <c r="J1562" s="11"/>
      <c r="K1562" s="12" t="s">
        <v>7007</v>
      </c>
      <c r="L1562" s="11"/>
      <c r="M1562" s="12" t="str">
        <f>HYPERLINK("https://ceds.ed.gov/cedselementdetails.aspx?termid=18417")</f>
        <v>https://ceds.ed.gov/cedselementdetails.aspx?termid=18417</v>
      </c>
      <c r="N1562" s="12" t="str">
        <f>HYPERLINK("https://ceds.ed.gov/elementComment.aspx?elementName=Professional Development Session End Date &amp;elementID=18417", "Click here to submit comment")</f>
        <v>Click here to submit comment</v>
      </c>
    </row>
    <row r="1563" spans="1:14" ht="63.75" x14ac:dyDescent="0.25">
      <c r="A1563" s="12" t="s">
        <v>7008</v>
      </c>
      <c r="B1563" s="12" t="s">
        <v>7009</v>
      </c>
      <c r="C1563" s="12" t="s">
        <v>37</v>
      </c>
      <c r="D1563" s="12" t="s">
        <v>6963</v>
      </c>
      <c r="E1563" s="11"/>
      <c r="F1563" s="12" t="s">
        <v>3202</v>
      </c>
      <c r="G1563" s="11"/>
      <c r="H1563" s="11"/>
      <c r="I1563" s="12" t="s">
        <v>7010</v>
      </c>
      <c r="J1563" s="11"/>
      <c r="K1563" s="12" t="s">
        <v>7011</v>
      </c>
      <c r="L1563" s="11"/>
      <c r="M1563" s="12" t="str">
        <f>HYPERLINK("https://ceds.ed.gov/cedselementdetails.aspx?termid=18418")</f>
        <v>https://ceds.ed.gov/cedselementdetails.aspx?termid=18418</v>
      </c>
      <c r="N1563" s="12" t="str">
        <f>HYPERLINK("https://ceds.ed.gov/elementComment.aspx?elementName=Professional Development Session End Time &amp;elementID=18418", "Click here to submit comment")</f>
        <v>Click here to submit comment</v>
      </c>
    </row>
    <row r="1564" spans="1:14" ht="63.75" x14ac:dyDescent="0.25">
      <c r="A1564" s="12" t="s">
        <v>7012</v>
      </c>
      <c r="B1564" s="12" t="s">
        <v>7013</v>
      </c>
      <c r="C1564" s="12" t="s">
        <v>37</v>
      </c>
      <c r="D1564" s="12" t="s">
        <v>6963</v>
      </c>
      <c r="E1564" s="11"/>
      <c r="F1564" s="12" t="s">
        <v>97</v>
      </c>
      <c r="G1564" s="11"/>
      <c r="H1564" s="11"/>
      <c r="I1564" s="12" t="s">
        <v>7014</v>
      </c>
      <c r="J1564" s="11"/>
      <c r="K1564" s="12" t="s">
        <v>7015</v>
      </c>
      <c r="L1564" s="11"/>
      <c r="M1564" s="12" t="str">
        <f>HYPERLINK("https://ceds.ed.gov/cedselementdetails.aspx?termid=18419")</f>
        <v>https://ceds.ed.gov/cedselementdetails.aspx?termid=18419</v>
      </c>
      <c r="N1564" s="12" t="str">
        <f>HYPERLINK("https://ceds.ed.gov/elementComment.aspx?elementName=Professional Development Session Evaluation Method &amp;elementID=18419", "Click here to submit comment")</f>
        <v>Click here to submit comment</v>
      </c>
    </row>
    <row r="1565" spans="1:14" ht="63.75" x14ac:dyDescent="0.25">
      <c r="A1565" s="12" t="s">
        <v>7016</v>
      </c>
      <c r="B1565" s="12" t="s">
        <v>7017</v>
      </c>
      <c r="C1565" s="12" t="s">
        <v>37</v>
      </c>
      <c r="D1565" s="12" t="s">
        <v>6963</v>
      </c>
      <c r="E1565" s="11"/>
      <c r="F1565" s="12" t="s">
        <v>97</v>
      </c>
      <c r="G1565" s="11"/>
      <c r="H1565" s="11"/>
      <c r="I1565" s="12" t="s">
        <v>7018</v>
      </c>
      <c r="J1565" s="11"/>
      <c r="K1565" s="12" t="s">
        <v>7019</v>
      </c>
      <c r="L1565" s="11"/>
      <c r="M1565" s="12" t="str">
        <f>HYPERLINK("https://ceds.ed.gov/cedselementdetails.aspx?termid=18420")</f>
        <v>https://ceds.ed.gov/cedselementdetails.aspx?termid=18420</v>
      </c>
      <c r="N1565" s="12" t="str">
        <f>HYPERLINK("https://ceds.ed.gov/elementComment.aspx?elementName=Professional Development Session Evaluation Score &amp;elementID=18420", "Click here to submit comment")</f>
        <v>Click here to submit comment</v>
      </c>
    </row>
    <row r="1566" spans="1:14" ht="76.5" x14ac:dyDescent="0.25">
      <c r="A1566" s="15" t="s">
        <v>7020</v>
      </c>
      <c r="B1566" s="15" t="s">
        <v>7021</v>
      </c>
      <c r="C1566" s="15" t="s">
        <v>37</v>
      </c>
      <c r="D1566" s="15" t="s">
        <v>6963</v>
      </c>
      <c r="E1566" s="16"/>
      <c r="F1566" s="15" t="s">
        <v>149</v>
      </c>
      <c r="G1566" s="16"/>
      <c r="H1566" s="12" t="s">
        <v>150</v>
      </c>
      <c r="I1566" s="15" t="s">
        <v>7022</v>
      </c>
      <c r="J1566" s="16"/>
      <c r="K1566" s="15" t="s">
        <v>7023</v>
      </c>
      <c r="L1566" s="16"/>
      <c r="M1566" s="15" t="str">
        <f>HYPERLINK("https://ceds.ed.gov/cedselementdetails.aspx?termid=18422")</f>
        <v>https://ceds.ed.gov/cedselementdetails.aspx?termid=18422</v>
      </c>
      <c r="N1566" s="15" t="str">
        <f>HYPERLINK("https://ceds.ed.gov/elementComment.aspx?elementName=Professional Development Session Identifier &amp;elementID=18422", "Click here to submit comment")</f>
        <v>Click here to submit comment</v>
      </c>
    </row>
    <row r="1567" spans="1:14" x14ac:dyDescent="0.25">
      <c r="A1567" s="15"/>
      <c r="B1567" s="15"/>
      <c r="C1567" s="15"/>
      <c r="D1567" s="15"/>
      <c r="E1567" s="16"/>
      <c r="F1567" s="15"/>
      <c r="G1567" s="16"/>
      <c r="H1567" s="12"/>
      <c r="I1567" s="15"/>
      <c r="J1567" s="16"/>
      <c r="K1567" s="15"/>
      <c r="L1567" s="16"/>
      <c r="M1567" s="15"/>
      <c r="N1567" s="15"/>
    </row>
    <row r="1568" spans="1:14" ht="76.5" x14ac:dyDescent="0.25">
      <c r="A1568" s="15"/>
      <c r="B1568" s="15"/>
      <c r="C1568" s="15"/>
      <c r="D1568" s="15"/>
      <c r="E1568" s="16"/>
      <c r="F1568" s="15"/>
      <c r="G1568" s="16"/>
      <c r="H1568" s="12" t="s">
        <v>153</v>
      </c>
      <c r="I1568" s="15"/>
      <c r="J1568" s="16"/>
      <c r="K1568" s="15"/>
      <c r="L1568" s="16"/>
      <c r="M1568" s="15"/>
      <c r="N1568" s="15"/>
    </row>
    <row r="1569" spans="1:14" ht="90" x14ac:dyDescent="0.25">
      <c r="A1569" s="12" t="s">
        <v>7024</v>
      </c>
      <c r="B1569" s="12" t="s">
        <v>7025</v>
      </c>
      <c r="C1569" s="12" t="s">
        <v>8527</v>
      </c>
      <c r="D1569" s="12" t="s">
        <v>6884</v>
      </c>
      <c r="E1569" s="12" t="s">
        <v>195</v>
      </c>
      <c r="F1569" s="11"/>
      <c r="G1569" s="12" t="s">
        <v>1086</v>
      </c>
      <c r="H1569" s="6" t="s">
        <v>1087</v>
      </c>
      <c r="I1569" s="12" t="s">
        <v>7026</v>
      </c>
      <c r="J1569" s="11"/>
      <c r="K1569" s="12" t="s">
        <v>7027</v>
      </c>
      <c r="L1569" s="11"/>
      <c r="M1569" s="12" t="str">
        <f>HYPERLINK("https://ceds.ed.gov/cedselementdetails.aspx?termid=18357")</f>
        <v>https://ceds.ed.gov/cedselementdetails.aspx?termid=18357</v>
      </c>
      <c r="N1569" s="12" t="str">
        <f>HYPERLINK("https://ceds.ed.gov/elementComment.aspx?elementName=Professional Development Session Language &amp;elementID=18357", "Click here to submit comment")</f>
        <v>Click here to submit comment</v>
      </c>
    </row>
    <row r="1570" spans="1:14" ht="63.75" x14ac:dyDescent="0.25">
      <c r="A1570" s="12" t="s">
        <v>7028</v>
      </c>
      <c r="B1570" s="12" t="s">
        <v>7029</v>
      </c>
      <c r="C1570" s="12" t="s">
        <v>37</v>
      </c>
      <c r="D1570" s="12" t="s">
        <v>7030</v>
      </c>
      <c r="E1570" s="11"/>
      <c r="F1570" s="12" t="s">
        <v>175</v>
      </c>
      <c r="G1570" s="11"/>
      <c r="H1570" s="11"/>
      <c r="I1570" s="12" t="s">
        <v>7031</v>
      </c>
      <c r="J1570" s="11"/>
      <c r="K1570" s="12" t="s">
        <v>7032</v>
      </c>
      <c r="L1570" s="11"/>
      <c r="M1570" s="12" t="str">
        <f>HYPERLINK("https://ceds.ed.gov/cedselementdetails.aspx?termid=18424")</f>
        <v>https://ceds.ed.gov/cedselementdetails.aspx?termid=18424</v>
      </c>
      <c r="N1570" s="12" t="str">
        <f>HYPERLINK("https://ceds.ed.gov/elementComment.aspx?elementName=Professional Development Session Location Name &amp;elementID=18424", "Click here to submit comment")</f>
        <v>Click here to submit comment</v>
      </c>
    </row>
    <row r="1571" spans="1:14" ht="63.75" x14ac:dyDescent="0.25">
      <c r="A1571" s="12" t="s">
        <v>7033</v>
      </c>
      <c r="B1571" s="12" t="s">
        <v>7034</v>
      </c>
      <c r="C1571" s="12" t="s">
        <v>37</v>
      </c>
      <c r="D1571" s="12" t="s">
        <v>6963</v>
      </c>
      <c r="E1571" s="11"/>
      <c r="F1571" s="12" t="s">
        <v>135</v>
      </c>
      <c r="G1571" s="11"/>
      <c r="H1571" s="11"/>
      <c r="I1571" s="12" t="s">
        <v>7035</v>
      </c>
      <c r="J1571" s="11"/>
      <c r="K1571" s="12" t="s">
        <v>7036</v>
      </c>
      <c r="L1571" s="11"/>
      <c r="M1571" s="12" t="str">
        <f>HYPERLINK("https://ceds.ed.gov/cedselementdetails.aspx?termid=18426")</f>
        <v>https://ceds.ed.gov/cedselementdetails.aspx?termid=18426</v>
      </c>
      <c r="N1571" s="12" t="str">
        <f>HYPERLINK("https://ceds.ed.gov/elementComment.aspx?elementName=Professional Development Session Start Date &amp;elementID=18426", "Click here to submit comment")</f>
        <v>Click here to submit comment</v>
      </c>
    </row>
    <row r="1572" spans="1:14" ht="63.75" x14ac:dyDescent="0.25">
      <c r="A1572" s="12" t="s">
        <v>7037</v>
      </c>
      <c r="B1572" s="12" t="s">
        <v>7038</v>
      </c>
      <c r="C1572" s="12" t="s">
        <v>37</v>
      </c>
      <c r="D1572" s="12" t="s">
        <v>6963</v>
      </c>
      <c r="E1572" s="11"/>
      <c r="F1572" s="12" t="s">
        <v>3202</v>
      </c>
      <c r="G1572" s="11"/>
      <c r="H1572" s="11"/>
      <c r="I1572" s="12" t="s">
        <v>7039</v>
      </c>
      <c r="J1572" s="11"/>
      <c r="K1572" s="12" t="s">
        <v>7040</v>
      </c>
      <c r="L1572" s="11"/>
      <c r="M1572" s="12" t="str">
        <f>HYPERLINK("https://ceds.ed.gov/cedselementdetails.aspx?termid=18427")</f>
        <v>https://ceds.ed.gov/cedselementdetails.aspx?termid=18427</v>
      </c>
      <c r="N1572" s="12" t="str">
        <f>HYPERLINK("https://ceds.ed.gov/elementComment.aspx?elementName=Professional Development Session Start Time &amp;elementID=18427", "Click here to submit comment")</f>
        <v>Click here to submit comment</v>
      </c>
    </row>
    <row r="1573" spans="1:14" ht="63.75" x14ac:dyDescent="0.25">
      <c r="A1573" s="12" t="s">
        <v>7041</v>
      </c>
      <c r="B1573" s="12" t="s">
        <v>7042</v>
      </c>
      <c r="C1573" s="13" t="s">
        <v>7043</v>
      </c>
      <c r="D1573" s="12" t="s">
        <v>6963</v>
      </c>
      <c r="E1573" s="11"/>
      <c r="F1573" s="11"/>
      <c r="G1573" s="11"/>
      <c r="H1573" s="11"/>
      <c r="I1573" s="12" t="s">
        <v>7044</v>
      </c>
      <c r="J1573" s="11"/>
      <c r="K1573" s="12" t="s">
        <v>7045</v>
      </c>
      <c r="L1573" s="11"/>
      <c r="M1573" s="12" t="str">
        <f>HYPERLINK("https://ceds.ed.gov/cedselementdetails.aspx?termid=18428")</f>
        <v>https://ceds.ed.gov/cedselementdetails.aspx?termid=18428</v>
      </c>
      <c r="N1573" s="12" t="str">
        <f>HYPERLINK("https://ceds.ed.gov/elementComment.aspx?elementName=Professional Development Session Status &amp;elementID=18428", "Click here to submit comment")</f>
        <v>Click here to submit comment</v>
      </c>
    </row>
    <row r="1574" spans="1:14" ht="204" x14ac:dyDescent="0.25">
      <c r="A1574" s="12" t="s">
        <v>7046</v>
      </c>
      <c r="B1574" s="12" t="s">
        <v>7047</v>
      </c>
      <c r="C1574" s="13" t="s">
        <v>7048</v>
      </c>
      <c r="D1574" s="12" t="s">
        <v>5686</v>
      </c>
      <c r="E1574" s="11"/>
      <c r="F1574" s="11"/>
      <c r="G1574" s="11"/>
      <c r="H1574" s="11"/>
      <c r="I1574" s="12" t="s">
        <v>7049</v>
      </c>
      <c r="J1574" s="11"/>
      <c r="K1574" s="12" t="s">
        <v>7050</v>
      </c>
      <c r="L1574" s="11"/>
      <c r="M1574" s="12" t="str">
        <f>HYPERLINK("https://ceds.ed.gov/cedselementdetails.aspx?termid=17220")</f>
        <v>https://ceds.ed.gov/cedselementdetails.aspx?termid=17220</v>
      </c>
      <c r="N1574" s="12" t="str">
        <f>HYPERLINK("https://ceds.ed.gov/elementComment.aspx?elementName=Professional Educational Job Classification &amp;elementID=17220", "Click here to submit comment")</f>
        <v>Click here to submit comment</v>
      </c>
    </row>
    <row r="1575" spans="1:14" ht="267.75" x14ac:dyDescent="0.25">
      <c r="A1575" s="12" t="s">
        <v>7051</v>
      </c>
      <c r="B1575" s="12" t="s">
        <v>7052</v>
      </c>
      <c r="C1575" s="13" t="s">
        <v>7053</v>
      </c>
      <c r="D1575" s="12" t="s">
        <v>7054</v>
      </c>
      <c r="E1575" s="11"/>
      <c r="F1575" s="11"/>
      <c r="G1575" s="11"/>
      <c r="H1575" s="11"/>
      <c r="I1575" s="12" t="s">
        <v>7055</v>
      </c>
      <c r="J1575" s="11"/>
      <c r="K1575" s="12" t="s">
        <v>7056</v>
      </c>
      <c r="L1575" s="11"/>
      <c r="M1575" s="12" t="str">
        <f>HYPERLINK("https://ceds.ed.gov/cedselementdetails.aspx?termid=17780")</f>
        <v>https://ceds.ed.gov/cedselementdetails.aspx?termid=17780</v>
      </c>
      <c r="N1575" s="12" t="str">
        <f>HYPERLINK("https://ceds.ed.gov/elementComment.aspx?elementName=Professional or Technical Credential Conferred &amp;elementID=17780", "Click here to submit comment")</f>
        <v>Click here to submit comment</v>
      </c>
    </row>
    <row r="1576" spans="1:14" ht="51" x14ac:dyDescent="0.25">
      <c r="A1576" s="12" t="s">
        <v>7057</v>
      </c>
      <c r="B1576" s="12" t="s">
        <v>7058</v>
      </c>
      <c r="C1576" s="13" t="s">
        <v>7059</v>
      </c>
      <c r="D1576" s="12" t="s">
        <v>7060</v>
      </c>
      <c r="E1576" s="11"/>
      <c r="F1576" s="11"/>
      <c r="G1576" s="11"/>
      <c r="H1576" s="11"/>
      <c r="I1576" s="12" t="s">
        <v>7061</v>
      </c>
      <c r="J1576" s="11"/>
      <c r="K1576" s="12" t="s">
        <v>7062</v>
      </c>
      <c r="L1576" s="12" t="s">
        <v>258</v>
      </c>
      <c r="M1576" s="12" t="str">
        <f>HYPERLINK("https://ceds.ed.gov/cedselementdetails.aspx?termid=17565")</f>
        <v>https://ceds.ed.gov/cedselementdetails.aspx?termid=17565</v>
      </c>
      <c r="N1576" s="12" t="str">
        <f>HYPERLINK("https://ceds.ed.gov/elementComment.aspx?elementName=Proficiency Status &amp;elementID=17565", "Click here to submit comment")</f>
        <v>Click here to submit comment</v>
      </c>
    </row>
    <row r="1577" spans="1:14" ht="127.5" x14ac:dyDescent="0.25">
      <c r="A1577" s="12" t="s">
        <v>7063</v>
      </c>
      <c r="B1577" s="12" t="s">
        <v>7064</v>
      </c>
      <c r="C1577" s="13" t="s">
        <v>7065</v>
      </c>
      <c r="D1577" s="12" t="s">
        <v>241</v>
      </c>
      <c r="E1577" s="11"/>
      <c r="F1577" s="11"/>
      <c r="G1577" s="11"/>
      <c r="H1577" s="11"/>
      <c r="I1577" s="12" t="s">
        <v>7066</v>
      </c>
      <c r="J1577" s="11"/>
      <c r="K1577" s="12" t="s">
        <v>7067</v>
      </c>
      <c r="L1577" s="12" t="s">
        <v>258</v>
      </c>
      <c r="M1577" s="12" t="str">
        <f>HYPERLINK("https://ceds.ed.gov/cedselementdetails.aspx?termid=17221")</f>
        <v>https://ceds.ed.gov/cedselementdetails.aspx?termid=17221</v>
      </c>
      <c r="N1577" s="12" t="str">
        <f>HYPERLINK("https://ceds.ed.gov/elementComment.aspx?elementName=Proficiency Target Status for Math &amp;elementID=17221", "Click here to submit comment")</f>
        <v>Click here to submit comment</v>
      </c>
    </row>
    <row r="1578" spans="1:14" ht="127.5" x14ac:dyDescent="0.25">
      <c r="A1578" s="12" t="s">
        <v>7068</v>
      </c>
      <c r="B1578" s="12" t="s">
        <v>7069</v>
      </c>
      <c r="C1578" s="13" t="s">
        <v>7065</v>
      </c>
      <c r="D1578" s="12" t="s">
        <v>241</v>
      </c>
      <c r="E1578" s="11"/>
      <c r="F1578" s="11"/>
      <c r="G1578" s="11"/>
      <c r="H1578" s="11"/>
      <c r="I1578" s="12" t="s">
        <v>7070</v>
      </c>
      <c r="J1578" s="11"/>
      <c r="K1578" s="12" t="s">
        <v>7071</v>
      </c>
      <c r="L1578" s="12" t="s">
        <v>258</v>
      </c>
      <c r="M1578" s="12" t="str">
        <f>HYPERLINK("https://ceds.ed.gov/cedselementdetails.aspx?termid=17544")</f>
        <v>https://ceds.ed.gov/cedselementdetails.aspx?termid=17544</v>
      </c>
      <c r="N1578" s="12" t="str">
        <f>HYPERLINK("https://ceds.ed.gov/elementComment.aspx?elementName=Proficiency Target Status for Reading and Language Arts &amp;elementID=17544", "Click here to submit comment")</f>
        <v>Click here to submit comment</v>
      </c>
    </row>
    <row r="1579" spans="1:14" ht="38.25" x14ac:dyDescent="0.25">
      <c r="A1579" s="12" t="s">
        <v>7072</v>
      </c>
      <c r="B1579" s="12" t="s">
        <v>7073</v>
      </c>
      <c r="C1579" s="12" t="s">
        <v>24</v>
      </c>
      <c r="D1579" s="12" t="s">
        <v>1551</v>
      </c>
      <c r="E1579" s="11"/>
      <c r="F1579" s="11"/>
      <c r="G1579" s="11"/>
      <c r="H1579" s="11"/>
      <c r="I1579" s="12" t="s">
        <v>7074</v>
      </c>
      <c r="J1579" s="11"/>
      <c r="K1579" s="12" t="s">
        <v>7075</v>
      </c>
      <c r="L1579" s="12" t="s">
        <v>7076</v>
      </c>
      <c r="M1579" s="12" t="str">
        <f>HYPERLINK("https://ceds.ed.gov/cedselementdetails.aspx?termid=17854")</f>
        <v>https://ceds.ed.gov/cedselementdetails.aspx?termid=17854</v>
      </c>
      <c r="N1579" s="12" t="str">
        <f>HYPERLINK("https://ceds.ed.gov/elementComment.aspx?elementName=Program Collects Parental Feedback &amp;elementID=17854", "Click here to submit comment")</f>
        <v>Click here to submit comment</v>
      </c>
    </row>
    <row r="1580" spans="1:14" ht="165.75" x14ac:dyDescent="0.25">
      <c r="A1580" s="12" t="s">
        <v>7077</v>
      </c>
      <c r="B1580" s="12" t="s">
        <v>7078</v>
      </c>
      <c r="C1580" s="12" t="s">
        <v>37</v>
      </c>
      <c r="D1580" s="12" t="s">
        <v>7079</v>
      </c>
      <c r="E1580" s="12" t="s">
        <v>188</v>
      </c>
      <c r="F1580" s="12" t="s">
        <v>129</v>
      </c>
      <c r="G1580" s="12" t="s">
        <v>1721</v>
      </c>
      <c r="H1580" s="11"/>
      <c r="I1580" s="12" t="s">
        <v>7080</v>
      </c>
      <c r="J1580" s="11"/>
      <c r="K1580" s="12" t="s">
        <v>7081</v>
      </c>
      <c r="L1580" s="11"/>
      <c r="M1580" s="12" t="str">
        <f>HYPERLINK("https://ceds.ed.gov/cedselementdetails.aspx?termid=18909")</f>
        <v>https://ceds.ed.gov/cedselementdetails.aspx?termid=18909</v>
      </c>
      <c r="N1580" s="12" t="str">
        <f>HYPERLINK("https://ceds.ed.gov/elementComment.aspx?elementName=Program Entry Reason &amp;elementID=18909", "Click here to submit comment")</f>
        <v>Click here to submit comment</v>
      </c>
    </row>
    <row r="1581" spans="1:14" ht="38.25" x14ac:dyDescent="0.25">
      <c r="A1581" s="12" t="s">
        <v>7082</v>
      </c>
      <c r="B1581" s="12" t="s">
        <v>7083</v>
      </c>
      <c r="C1581" s="12" t="s">
        <v>24</v>
      </c>
      <c r="D1581" s="12" t="s">
        <v>7084</v>
      </c>
      <c r="E1581" s="11"/>
      <c r="F1581" s="11"/>
      <c r="G1581" s="11"/>
      <c r="H1581" s="11"/>
      <c r="I1581" s="12" t="s">
        <v>7085</v>
      </c>
      <c r="J1581" s="11"/>
      <c r="K1581" s="12" t="s">
        <v>7086</v>
      </c>
      <c r="L1581" s="12" t="s">
        <v>3920</v>
      </c>
      <c r="M1581" s="12" t="str">
        <f>HYPERLINK("https://ceds.ed.gov/cedselementdetails.aspx?termid=17863")</f>
        <v>https://ceds.ed.gov/cedselementdetails.aspx?termid=17863</v>
      </c>
      <c r="N1581" s="12" t="str">
        <f>HYPERLINK("https://ceds.ed.gov/elementComment.aspx?elementName=Program Follows Salary Scale &amp;elementID=17863", "Click here to submit comment")</f>
        <v>Click here to submit comment</v>
      </c>
    </row>
    <row r="1582" spans="1:14" ht="382.5" x14ac:dyDescent="0.25">
      <c r="A1582" s="12" t="s">
        <v>7087</v>
      </c>
      <c r="B1582" s="12" t="s">
        <v>7088</v>
      </c>
      <c r="C1582" s="13" t="s">
        <v>7089</v>
      </c>
      <c r="D1582" s="12" t="s">
        <v>7090</v>
      </c>
      <c r="E1582" s="11"/>
      <c r="F1582" s="11"/>
      <c r="G1582" s="11"/>
      <c r="H1582" s="11"/>
      <c r="I1582" s="12" t="s">
        <v>7091</v>
      </c>
      <c r="J1582" s="11"/>
      <c r="K1582" s="12" t="s">
        <v>7092</v>
      </c>
      <c r="L1582" s="11"/>
      <c r="M1582" s="12" t="str">
        <f>HYPERLINK("https://ceds.ed.gov/cedselementdetails.aspx?termid=18210")</f>
        <v>https://ceds.ed.gov/cedselementdetails.aspx?termid=18210</v>
      </c>
      <c r="N1582" s="12" t="str">
        <f>HYPERLINK("https://ceds.ed.gov/elementComment.aspx?elementName=Program Gifted Eligibility Criteria &amp;elementID=18210", "Click here to submit comment")</f>
        <v>Click here to submit comment</v>
      </c>
    </row>
    <row r="1583" spans="1:14" ht="38.25" x14ac:dyDescent="0.25">
      <c r="A1583" s="12" t="s">
        <v>7093</v>
      </c>
      <c r="B1583" s="12" t="s">
        <v>7094</v>
      </c>
      <c r="C1583" s="12" t="s">
        <v>24</v>
      </c>
      <c r="D1583" s="12" t="s">
        <v>7095</v>
      </c>
      <c r="E1583" s="11"/>
      <c r="F1583" s="11"/>
      <c r="G1583" s="11"/>
      <c r="H1583" s="11"/>
      <c r="I1583" s="12" t="s">
        <v>7096</v>
      </c>
      <c r="J1583" s="11"/>
      <c r="K1583" s="12" t="s">
        <v>7097</v>
      </c>
      <c r="L1583" s="12" t="s">
        <v>125</v>
      </c>
      <c r="M1583" s="12" t="str">
        <f>HYPERLINK("https://ceds.ed.gov/cedselementdetails.aspx?termid=17851")</f>
        <v>https://ceds.ed.gov/cedselementdetails.aspx?termid=17851</v>
      </c>
      <c r="N1583" s="12" t="str">
        <f>HYPERLINK("https://ceds.ed.gov/elementComment.aspx?elementName=Program Health Safety Checklist Use Status &amp;elementID=17851", "Click here to submit comment")</f>
        <v>Click here to submit comment</v>
      </c>
    </row>
    <row r="1584" spans="1:14" ht="150" customHeight="1" x14ac:dyDescent="0.25">
      <c r="A1584" s="15" t="s">
        <v>7098</v>
      </c>
      <c r="B1584" s="15" t="s">
        <v>7099</v>
      </c>
      <c r="C1584" s="15" t="s">
        <v>37</v>
      </c>
      <c r="D1584" s="15" t="s">
        <v>7100</v>
      </c>
      <c r="E1584" s="16"/>
      <c r="F1584" s="15" t="s">
        <v>149</v>
      </c>
      <c r="G1584" s="16"/>
      <c r="H1584" s="12" t="s">
        <v>150</v>
      </c>
      <c r="I1584" s="15" t="s">
        <v>7101</v>
      </c>
      <c r="J1584" s="16"/>
      <c r="K1584" s="15" t="s">
        <v>7102</v>
      </c>
      <c r="L1584" s="15" t="s">
        <v>2944</v>
      </c>
      <c r="M1584" s="15" t="str">
        <f>HYPERLINK("https://ceds.ed.gov/cedselementdetails.aspx?termid=17618")</f>
        <v>https://ceds.ed.gov/cedselementdetails.aspx?termid=17618</v>
      </c>
      <c r="N1584" s="15" t="str">
        <f>HYPERLINK("https://ceds.ed.gov/elementComment.aspx?elementName=Program Identifier &amp;elementID=17618", "Click here to submit comment")</f>
        <v>Click here to submit comment</v>
      </c>
    </row>
    <row r="1585" spans="1:14" x14ac:dyDescent="0.25">
      <c r="A1585" s="15"/>
      <c r="B1585" s="15"/>
      <c r="C1585" s="15"/>
      <c r="D1585" s="15"/>
      <c r="E1585" s="16"/>
      <c r="F1585" s="15"/>
      <c r="G1585" s="16"/>
      <c r="H1585" s="12"/>
      <c r="I1585" s="15"/>
      <c r="J1585" s="16"/>
      <c r="K1585" s="15"/>
      <c r="L1585" s="15"/>
      <c r="M1585" s="15"/>
      <c r="N1585" s="15"/>
    </row>
    <row r="1586" spans="1:14" ht="76.5" x14ac:dyDescent="0.25">
      <c r="A1586" s="15"/>
      <c r="B1586" s="15"/>
      <c r="C1586" s="15"/>
      <c r="D1586" s="15"/>
      <c r="E1586" s="16"/>
      <c r="F1586" s="15"/>
      <c r="G1586" s="16"/>
      <c r="H1586" s="12" t="s">
        <v>153</v>
      </c>
      <c r="I1586" s="15"/>
      <c r="J1586" s="16"/>
      <c r="K1586" s="15"/>
      <c r="L1586" s="15"/>
      <c r="M1586" s="15"/>
      <c r="N1586" s="15"/>
    </row>
    <row r="1587" spans="1:14" ht="63.75" x14ac:dyDescent="0.25">
      <c r="A1587" s="12" t="s">
        <v>7103</v>
      </c>
      <c r="B1587" s="12" t="s">
        <v>7104</v>
      </c>
      <c r="C1587" s="12" t="s">
        <v>24</v>
      </c>
      <c r="D1587" s="12" t="s">
        <v>5704</v>
      </c>
      <c r="E1587" s="11"/>
      <c r="F1587" s="11"/>
      <c r="G1587" s="11"/>
      <c r="H1587" s="11"/>
      <c r="I1587" s="12" t="s">
        <v>7105</v>
      </c>
      <c r="J1587" s="11"/>
      <c r="K1587" s="12" t="s">
        <v>7106</v>
      </c>
      <c r="L1587" s="12" t="s">
        <v>245</v>
      </c>
      <c r="M1587" s="12" t="str">
        <f>HYPERLINK("https://ceds.ed.gov/cedselementdetails.aspx?termid=17476")</f>
        <v>https://ceds.ed.gov/cedselementdetails.aspx?termid=17476</v>
      </c>
      <c r="N1587" s="12" t="str">
        <f>HYPERLINK("https://ceds.ed.gov/elementComment.aspx?elementName=Program in Multiple Purpose Facility &amp;elementID=17476", "Click here to submit comment")</f>
        <v>Click here to submit comment</v>
      </c>
    </row>
    <row r="1588" spans="1:14" ht="51" x14ac:dyDescent="0.25">
      <c r="A1588" s="12" t="s">
        <v>7107</v>
      </c>
      <c r="B1588" s="12" t="s">
        <v>7108</v>
      </c>
      <c r="C1588" s="12" t="s">
        <v>37</v>
      </c>
      <c r="D1588" s="12" t="s">
        <v>3648</v>
      </c>
      <c r="E1588" s="11"/>
      <c r="F1588" s="12" t="s">
        <v>1710</v>
      </c>
      <c r="G1588" s="11"/>
      <c r="H1588" s="11"/>
      <c r="I1588" s="12" t="s">
        <v>7109</v>
      </c>
      <c r="J1588" s="11"/>
      <c r="K1588" s="12" t="s">
        <v>7110</v>
      </c>
      <c r="L1588" s="12" t="s">
        <v>278</v>
      </c>
      <c r="M1588" s="12" t="str">
        <f>HYPERLINK("https://ceds.ed.gov/cedselementdetails.aspx?termid=17223")</f>
        <v>https://ceds.ed.gov/cedselementdetails.aspx?termid=17223</v>
      </c>
      <c r="N1588" s="12" t="str">
        <f>HYPERLINK("https://ceds.ed.gov/elementComment.aspx?elementName=Program Length Hours &amp;elementID=17223", "Click here to submit comment")</f>
        <v>Click here to submit comment</v>
      </c>
    </row>
    <row r="1589" spans="1:14" ht="51" x14ac:dyDescent="0.25">
      <c r="A1589" s="12" t="s">
        <v>7111</v>
      </c>
      <c r="B1589" s="12" t="s">
        <v>7112</v>
      </c>
      <c r="C1589" s="13" t="s">
        <v>5517</v>
      </c>
      <c r="D1589" s="12" t="s">
        <v>3648</v>
      </c>
      <c r="E1589" s="11"/>
      <c r="F1589" s="11"/>
      <c r="G1589" s="11"/>
      <c r="H1589" s="11"/>
      <c r="I1589" s="12" t="s">
        <v>7113</v>
      </c>
      <c r="J1589" s="11"/>
      <c r="K1589" s="12" t="s">
        <v>7114</v>
      </c>
      <c r="L1589" s="12" t="s">
        <v>278</v>
      </c>
      <c r="M1589" s="12" t="str">
        <f>HYPERLINK("https://ceds.ed.gov/cedselementdetails.aspx?termid=17224")</f>
        <v>https://ceds.ed.gov/cedselementdetails.aspx?termid=17224</v>
      </c>
      <c r="N1589" s="12" t="str">
        <f>HYPERLINK("https://ceds.ed.gov/elementComment.aspx?elementName=Program Length Hours Type &amp;elementID=17224", "Click here to submit comment")</f>
        <v>Click here to submit comment</v>
      </c>
    </row>
    <row r="1590" spans="1:14" ht="153" x14ac:dyDescent="0.25">
      <c r="A1590" s="12" t="s">
        <v>7115</v>
      </c>
      <c r="B1590" s="12" t="s">
        <v>7116</v>
      </c>
      <c r="C1590" s="12" t="s">
        <v>37</v>
      </c>
      <c r="D1590" s="12" t="s">
        <v>7117</v>
      </c>
      <c r="E1590" s="11"/>
      <c r="F1590" s="12" t="s">
        <v>175</v>
      </c>
      <c r="G1590" s="11"/>
      <c r="H1590" s="11"/>
      <c r="I1590" s="12" t="s">
        <v>7118</v>
      </c>
      <c r="J1590" s="11"/>
      <c r="K1590" s="12" t="s">
        <v>7119</v>
      </c>
      <c r="L1590" s="12" t="s">
        <v>2944</v>
      </c>
      <c r="M1590" s="12" t="str">
        <f>HYPERLINK("https://ceds.ed.gov/cedselementdetails.aspx?termid=17619")</f>
        <v>https://ceds.ed.gov/cedselementdetails.aspx?termid=17619</v>
      </c>
      <c r="N1590" s="12" t="str">
        <f>HYPERLINK("https://ceds.ed.gov/elementComment.aspx?elementName=Program Name &amp;elementID=17619", "Click here to submit comment")</f>
        <v>Click here to submit comment</v>
      </c>
    </row>
    <row r="1591" spans="1:14" ht="255" x14ac:dyDescent="0.25">
      <c r="A1591" s="12" t="s">
        <v>7120</v>
      </c>
      <c r="B1591" s="12" t="s">
        <v>2201</v>
      </c>
      <c r="C1591" s="12" t="s">
        <v>37</v>
      </c>
      <c r="D1591" s="12" t="s">
        <v>7121</v>
      </c>
      <c r="E1591" s="11"/>
      <c r="F1591" s="12" t="s">
        <v>135</v>
      </c>
      <c r="G1591" s="11"/>
      <c r="H1591" s="12" t="s">
        <v>160</v>
      </c>
      <c r="I1591" s="12" t="s">
        <v>7122</v>
      </c>
      <c r="J1591" s="11"/>
      <c r="K1591" s="12" t="s">
        <v>7123</v>
      </c>
      <c r="L1591" s="12" t="s">
        <v>7124</v>
      </c>
      <c r="M1591" s="12" t="str">
        <f>HYPERLINK("https://ceds.ed.gov/cedselementdetails.aspx?termid=17584")</f>
        <v>https://ceds.ed.gov/cedselementdetails.aspx?termid=17584</v>
      </c>
      <c r="N1591" s="12" t="str">
        <f>HYPERLINK("https://ceds.ed.gov/elementComment.aspx?elementName=Program Participation Exit Date &amp;elementID=17584", "Click here to submit comment")</f>
        <v>Click here to submit comment</v>
      </c>
    </row>
    <row r="1592" spans="1:14" ht="255" x14ac:dyDescent="0.25">
      <c r="A1592" s="12" t="s">
        <v>7125</v>
      </c>
      <c r="B1592" s="12" t="s">
        <v>7126</v>
      </c>
      <c r="C1592" s="12" t="s">
        <v>37</v>
      </c>
      <c r="D1592" s="12" t="s">
        <v>7121</v>
      </c>
      <c r="E1592" s="11"/>
      <c r="F1592" s="12" t="s">
        <v>135</v>
      </c>
      <c r="G1592" s="11"/>
      <c r="H1592" s="11"/>
      <c r="I1592" s="12" t="s">
        <v>7127</v>
      </c>
      <c r="J1592" s="11"/>
      <c r="K1592" s="12" t="s">
        <v>7128</v>
      </c>
      <c r="L1592" s="12" t="s">
        <v>7129</v>
      </c>
      <c r="M1592" s="12" t="str">
        <f>HYPERLINK("https://ceds.ed.gov/cedselementdetails.aspx?termid=17583")</f>
        <v>https://ceds.ed.gov/cedselementdetails.aspx?termid=17583</v>
      </c>
      <c r="N1592" s="12" t="str">
        <f>HYPERLINK("https://ceds.ed.gov/elementComment.aspx?elementName=Program Participation Start Date &amp;elementID=17583", "Click here to submit comment")</f>
        <v>Click here to submit comment</v>
      </c>
    </row>
    <row r="1593" spans="1:14" ht="102" x14ac:dyDescent="0.25">
      <c r="A1593" s="12" t="s">
        <v>7130</v>
      </c>
      <c r="B1593" s="12" t="s">
        <v>7131</v>
      </c>
      <c r="C1593" s="13" t="s">
        <v>7132</v>
      </c>
      <c r="D1593" s="12" t="s">
        <v>7133</v>
      </c>
      <c r="E1593" s="11"/>
      <c r="F1593" s="11"/>
      <c r="G1593" s="11"/>
      <c r="H1593" s="11"/>
      <c r="I1593" s="12" t="s">
        <v>7134</v>
      </c>
      <c r="J1593" s="11"/>
      <c r="K1593" s="12" t="s">
        <v>7135</v>
      </c>
      <c r="L1593" s="12" t="s">
        <v>2944</v>
      </c>
      <c r="M1593" s="12" t="str">
        <f>HYPERLINK("https://ceds.ed.gov/cedselementdetails.aspx?termid=18209")</f>
        <v>https://ceds.ed.gov/cedselementdetails.aspx?termid=18209</v>
      </c>
      <c r="N1593" s="12" t="str">
        <f>HYPERLINK("https://ceds.ed.gov/elementComment.aspx?elementName=Program Participation Status &amp;elementID=18209", "Click here to submit comment")</f>
        <v>Click here to submit comment</v>
      </c>
    </row>
    <row r="1594" spans="1:14" ht="38.25" x14ac:dyDescent="0.25">
      <c r="A1594" s="12" t="s">
        <v>7136</v>
      </c>
      <c r="B1594" s="12" t="s">
        <v>7137</v>
      </c>
      <c r="C1594" s="12" t="s">
        <v>24</v>
      </c>
      <c r="D1594" s="12" t="s">
        <v>1551</v>
      </c>
      <c r="E1594" s="11"/>
      <c r="F1594" s="11"/>
      <c r="G1594" s="11"/>
      <c r="H1594" s="11"/>
      <c r="I1594" s="12" t="s">
        <v>7138</v>
      </c>
      <c r="J1594" s="11"/>
      <c r="K1594" s="12" t="s">
        <v>7139</v>
      </c>
      <c r="L1594" s="12" t="s">
        <v>125</v>
      </c>
      <c r="M1594" s="12" t="str">
        <f>HYPERLINK("https://ceds.ed.gov/cedselementdetails.aspx?termid=17856")</f>
        <v>https://ceds.ed.gov/cedselementdetails.aspx?termid=17856</v>
      </c>
      <c r="N1594" s="12" t="str">
        <f>HYPERLINK("https://ceds.ed.gov/elementComment.aspx?elementName=Program Provides Parent Education &amp;elementID=17856", "Click here to submit comment")</f>
        <v>Click here to submit comment</v>
      </c>
    </row>
    <row r="1595" spans="1:14" ht="38.25" x14ac:dyDescent="0.25">
      <c r="A1595" s="12" t="s">
        <v>7140</v>
      </c>
      <c r="B1595" s="12" t="s">
        <v>7141</v>
      </c>
      <c r="C1595" s="12" t="s">
        <v>24</v>
      </c>
      <c r="D1595" s="12" t="s">
        <v>1551</v>
      </c>
      <c r="E1595" s="11"/>
      <c r="F1595" s="11"/>
      <c r="G1595" s="11"/>
      <c r="H1595" s="11"/>
      <c r="I1595" s="12" t="s">
        <v>7142</v>
      </c>
      <c r="J1595" s="11"/>
      <c r="K1595" s="12" t="s">
        <v>7143</v>
      </c>
      <c r="L1595" s="12" t="s">
        <v>125</v>
      </c>
      <c r="M1595" s="12" t="str">
        <f>HYPERLINK("https://ceds.ed.gov/cedselementdetails.aspx?termid=17855")</f>
        <v>https://ceds.ed.gov/cedselementdetails.aspx?termid=17855</v>
      </c>
      <c r="N1595" s="12" t="str">
        <f>HYPERLINK("https://ceds.ed.gov/elementComment.aspx?elementName=Program Provides Parent Involvement Opportunity &amp;elementID=17855", "Click here to submit comment")</f>
        <v>Click here to submit comment</v>
      </c>
    </row>
    <row r="1596" spans="1:14" ht="38.25" x14ac:dyDescent="0.25">
      <c r="A1596" s="12" t="s">
        <v>7144</v>
      </c>
      <c r="B1596" s="12" t="s">
        <v>7145</v>
      </c>
      <c r="C1596" s="12" t="s">
        <v>24</v>
      </c>
      <c r="D1596" s="12" t="s">
        <v>7146</v>
      </c>
      <c r="E1596" s="11"/>
      <c r="F1596" s="11"/>
      <c r="G1596" s="11"/>
      <c r="H1596" s="11"/>
      <c r="I1596" s="12" t="s">
        <v>7147</v>
      </c>
      <c r="J1596" s="11"/>
      <c r="K1596" s="12" t="s">
        <v>7148</v>
      </c>
      <c r="L1596" s="12" t="s">
        <v>125</v>
      </c>
      <c r="M1596" s="12" t="str">
        <f>HYPERLINK("https://ceds.ed.gov/cedselementdetails.aspx?termid=17845")</f>
        <v>https://ceds.ed.gov/cedselementdetails.aspx?termid=17845</v>
      </c>
      <c r="N1596" s="12" t="str">
        <f>HYPERLINK("https://ceds.ed.gov/elementComment.aspx?elementName=Program Provides Translated Materials &amp;elementID=17845", "Click here to submit comment")</f>
        <v>Click here to submit comment</v>
      </c>
    </row>
    <row r="1597" spans="1:14" ht="38.25" x14ac:dyDescent="0.25">
      <c r="A1597" s="12" t="s">
        <v>7149</v>
      </c>
      <c r="B1597" s="12" t="s">
        <v>7150</v>
      </c>
      <c r="C1597" s="12" t="s">
        <v>24</v>
      </c>
      <c r="D1597" s="12" t="s">
        <v>1551</v>
      </c>
      <c r="E1597" s="11"/>
      <c r="F1597" s="11"/>
      <c r="G1597" s="11"/>
      <c r="H1597" s="11"/>
      <c r="I1597" s="12" t="s">
        <v>7151</v>
      </c>
      <c r="J1597" s="11"/>
      <c r="K1597" s="12" t="s">
        <v>7152</v>
      </c>
      <c r="L1597" s="12" t="s">
        <v>125</v>
      </c>
      <c r="M1597" s="12" t="str">
        <f>HYPERLINK("https://ceds.ed.gov/cedselementdetails.aspx?termid=17853")</f>
        <v>https://ceds.ed.gov/cedselementdetails.aspx?termid=17853</v>
      </c>
      <c r="N1597" s="12" t="str">
        <f>HYPERLINK("https://ceds.ed.gov/elementComment.aspx?elementName=Program Provides Written Handbook &amp;elementID=17853", "Click here to submit comment")</f>
        <v>Click here to submit comment</v>
      </c>
    </row>
    <row r="1598" spans="1:14" ht="216.75" x14ac:dyDescent="0.25">
      <c r="A1598" s="12" t="s">
        <v>7153</v>
      </c>
      <c r="B1598" s="12" t="s">
        <v>7154</v>
      </c>
      <c r="C1598" s="13" t="s">
        <v>7155</v>
      </c>
      <c r="D1598" s="12" t="s">
        <v>7156</v>
      </c>
      <c r="E1598" s="11"/>
      <c r="F1598" s="11"/>
      <c r="G1598" s="11"/>
      <c r="H1598" s="11"/>
      <c r="I1598" s="12" t="s">
        <v>7157</v>
      </c>
      <c r="J1598" s="11"/>
      <c r="K1598" s="12" t="s">
        <v>7158</v>
      </c>
      <c r="L1598" s="11"/>
      <c r="M1598" s="12" t="str">
        <f>HYPERLINK("https://ceds.ed.gov/cedselementdetails.aspx?termid=17692")</f>
        <v>https://ceds.ed.gov/cedselementdetails.aspx?termid=17692</v>
      </c>
      <c r="N1598" s="12" t="str">
        <f>HYPERLINK("https://ceds.ed.gov/elementComment.aspx?elementName=Program Sponsor Type &amp;elementID=17692", "Click here to submit comment")</f>
        <v>Click here to submit comment</v>
      </c>
    </row>
    <row r="1599" spans="1:14" ht="38.25" x14ac:dyDescent="0.25">
      <c r="A1599" s="12" t="s">
        <v>7159</v>
      </c>
      <c r="B1599" s="12" t="s">
        <v>7160</v>
      </c>
      <c r="C1599" s="12" t="s">
        <v>24</v>
      </c>
      <c r="D1599" s="12" t="s">
        <v>268</v>
      </c>
      <c r="E1599" s="11"/>
      <c r="F1599" s="11"/>
      <c r="G1599" s="11"/>
      <c r="H1599" s="11"/>
      <c r="I1599" s="12" t="s">
        <v>7161</v>
      </c>
      <c r="J1599" s="11"/>
      <c r="K1599" s="12" t="s">
        <v>7162</v>
      </c>
      <c r="L1599" s="12" t="s">
        <v>125</v>
      </c>
      <c r="M1599" s="12" t="str">
        <f>HYPERLINK("https://ceds.ed.gov/cedselementdetails.aspx?termid=17859")</f>
        <v>https://ceds.ed.gov/cedselementdetails.aspx?termid=17859</v>
      </c>
      <c r="N1599" s="12" t="str">
        <f>HYPERLINK("https://ceds.ed.gov/elementComment.aspx?elementName=Program Transition Planning Policy &amp;elementID=17859", "Click here to submit comment")</f>
        <v>Click here to submit comment</v>
      </c>
    </row>
    <row r="1600" spans="1:14" ht="409.5" x14ac:dyDescent="0.25">
      <c r="A1600" s="12" t="s">
        <v>7163</v>
      </c>
      <c r="B1600" s="12" t="s">
        <v>7164</v>
      </c>
      <c r="C1600" s="13" t="s">
        <v>7165</v>
      </c>
      <c r="D1600" s="12" t="s">
        <v>7166</v>
      </c>
      <c r="E1600" s="11"/>
      <c r="F1600" s="11"/>
      <c r="G1600" s="11"/>
      <c r="H1600" s="11"/>
      <c r="I1600" s="12" t="s">
        <v>7167</v>
      </c>
      <c r="J1600" s="11"/>
      <c r="K1600" s="12" t="s">
        <v>7168</v>
      </c>
      <c r="L1600" s="12" t="s">
        <v>72</v>
      </c>
      <c r="M1600" s="12" t="str">
        <f>HYPERLINK("https://ceds.ed.gov/cedselementdetails.aspx?termid=17225")</f>
        <v>https://ceds.ed.gov/cedselementdetails.aspx?termid=17225</v>
      </c>
      <c r="N1600" s="12" t="str">
        <f>HYPERLINK("https://ceds.ed.gov/elementComment.aspx?elementName=Program Type &amp;elementID=17225", "Click here to submit comment")</f>
        <v>Click here to submit comment</v>
      </c>
    </row>
    <row r="1601" spans="1:14" ht="51" x14ac:dyDescent="0.25">
      <c r="A1601" s="12" t="s">
        <v>7169</v>
      </c>
      <c r="B1601" s="12" t="s">
        <v>7170</v>
      </c>
      <c r="C1601" s="13" t="s">
        <v>7171</v>
      </c>
      <c r="D1601" s="12" t="s">
        <v>262</v>
      </c>
      <c r="E1601" s="11"/>
      <c r="F1601" s="11"/>
      <c r="G1601" s="11"/>
      <c r="H1601" s="11"/>
      <c r="I1601" s="12" t="s">
        <v>7172</v>
      </c>
      <c r="J1601" s="11"/>
      <c r="K1601" s="12" t="s">
        <v>7173</v>
      </c>
      <c r="L1601" s="11"/>
      <c r="M1601" s="12" t="str">
        <f>HYPERLINK("https://ceds.ed.gov/cedselementdetails.aspx?termid=18896")</f>
        <v>https://ceds.ed.gov/cedselementdetails.aspx?termid=18896</v>
      </c>
      <c r="N1601" s="12" t="str">
        <f>HYPERLINK("https://ceds.ed.gov/elementComment.aspx?elementName=Progress Achieving English Language Proficiency Indicator Type &amp;elementID=18896", "Click here to submit comment")</f>
        <v>Click here to submit comment</v>
      </c>
    </row>
    <row r="1602" spans="1:14" ht="51" x14ac:dyDescent="0.25">
      <c r="A1602" s="12" t="s">
        <v>7174</v>
      </c>
      <c r="B1602" s="12" t="s">
        <v>7175</v>
      </c>
      <c r="C1602" s="12" t="s">
        <v>37</v>
      </c>
      <c r="D1602" s="12" t="s">
        <v>262</v>
      </c>
      <c r="E1602" s="11"/>
      <c r="F1602" s="11"/>
      <c r="G1602" s="11"/>
      <c r="H1602" s="11"/>
      <c r="I1602" s="12" t="s">
        <v>7176</v>
      </c>
      <c r="J1602" s="11"/>
      <c r="K1602" s="12" t="s">
        <v>7177</v>
      </c>
      <c r="L1602" s="11"/>
      <c r="M1602" s="12" t="str">
        <f>HYPERLINK("https://ceds.ed.gov/cedselementdetails.aspx?termid=18897")</f>
        <v>https://ceds.ed.gov/cedselementdetails.aspx?termid=18897</v>
      </c>
      <c r="N1602" s="12" t="str">
        <f>HYPERLINK("https://ceds.ed.gov/elementComment.aspx?elementName=Progress Achieving English Language Proficiency State Defined Status &amp;elementID=18897", "Click here to submit comment")</f>
        <v>Click here to submit comment</v>
      </c>
    </row>
    <row r="1603" spans="1:14" ht="114.75" x14ac:dyDescent="0.25">
      <c r="A1603" s="12" t="s">
        <v>7178</v>
      </c>
      <c r="B1603" s="12" t="s">
        <v>7179</v>
      </c>
      <c r="C1603" s="13" t="s">
        <v>7180</v>
      </c>
      <c r="D1603" s="12" t="s">
        <v>69</v>
      </c>
      <c r="E1603" s="11"/>
      <c r="F1603" s="11"/>
      <c r="G1603" s="11"/>
      <c r="H1603" s="11"/>
      <c r="I1603" s="12" t="s">
        <v>7181</v>
      </c>
      <c r="J1603" s="11"/>
      <c r="K1603" s="12" t="s">
        <v>7182</v>
      </c>
      <c r="L1603" s="12" t="s">
        <v>258</v>
      </c>
      <c r="M1603" s="12" t="str">
        <f>HYPERLINK("https://ceds.ed.gov/cedselementdetails.aspx?termid=17553")</f>
        <v>https://ceds.ed.gov/cedselementdetails.aspx?termid=17553</v>
      </c>
      <c r="N1603" s="12" t="str">
        <f>HYPERLINK("https://ceds.ed.gov/elementComment.aspx?elementName=Progress Level &amp;elementID=17553", "Click here to submit comment")</f>
        <v>Click here to submit comment</v>
      </c>
    </row>
    <row r="1604" spans="1:14" ht="38.25" x14ac:dyDescent="0.25">
      <c r="A1604" s="12" t="s">
        <v>7183</v>
      </c>
      <c r="B1604" s="12" t="s">
        <v>7184</v>
      </c>
      <c r="C1604" s="12" t="s">
        <v>37</v>
      </c>
      <c r="D1604" s="12" t="s">
        <v>69</v>
      </c>
      <c r="E1604" s="11"/>
      <c r="F1604" s="12" t="s">
        <v>3554</v>
      </c>
      <c r="G1604" s="11"/>
      <c r="H1604" s="11"/>
      <c r="I1604" s="12" t="s">
        <v>7185</v>
      </c>
      <c r="J1604" s="11"/>
      <c r="K1604" s="12" t="s">
        <v>7186</v>
      </c>
      <c r="L1604" s="12" t="s">
        <v>72</v>
      </c>
      <c r="M1604" s="12" t="str">
        <f>HYPERLINK("https://ceds.ed.gov/cedselementdetails.aspx?termid=17226")</f>
        <v>https://ceds.ed.gov/cedselementdetails.aspx?termid=17226</v>
      </c>
      <c r="N1604" s="12" t="str">
        <f>HYPERLINK("https://ceds.ed.gov/elementComment.aspx?elementName=Projected Graduation Date &amp;elementID=17226", "Click here to submit comment")</f>
        <v>Click here to submit comment</v>
      </c>
    </row>
    <row r="1605" spans="1:14" ht="127.5" x14ac:dyDescent="0.25">
      <c r="A1605" s="12" t="s">
        <v>7187</v>
      </c>
      <c r="B1605" s="12" t="s">
        <v>7188</v>
      </c>
      <c r="C1605" s="13" t="s">
        <v>7189</v>
      </c>
      <c r="D1605" s="12" t="s">
        <v>69</v>
      </c>
      <c r="E1605" s="11"/>
      <c r="F1605" s="11"/>
      <c r="G1605" s="11"/>
      <c r="H1605" s="11"/>
      <c r="I1605" s="12" t="s">
        <v>7190</v>
      </c>
      <c r="J1605" s="11"/>
      <c r="K1605" s="12" t="s">
        <v>7191</v>
      </c>
      <c r="L1605" s="11"/>
      <c r="M1605" s="12" t="str">
        <f>HYPERLINK("https://ceds.ed.gov/cedselementdetails.aspx?termid=17521")</f>
        <v>https://ceds.ed.gov/cedselementdetails.aspx?termid=17521</v>
      </c>
      <c r="N1605" s="12" t="str">
        <f>HYPERLINK("https://ceds.ed.gov/elementComment.aspx?elementName=Promotion Reason &amp;elementID=17521", "Click here to submit comment")</f>
        <v>Click here to submit comment</v>
      </c>
    </row>
    <row r="1606" spans="1:14" ht="63.75" x14ac:dyDescent="0.25">
      <c r="A1606" s="12" t="s">
        <v>7192</v>
      </c>
      <c r="B1606" s="12" t="s">
        <v>7193</v>
      </c>
      <c r="C1606" s="13" t="s">
        <v>7194</v>
      </c>
      <c r="D1606" s="12" t="s">
        <v>4464</v>
      </c>
      <c r="E1606" s="11"/>
      <c r="F1606" s="11"/>
      <c r="G1606" s="11"/>
      <c r="H1606" s="11"/>
      <c r="I1606" s="12" t="s">
        <v>7195</v>
      </c>
      <c r="J1606" s="11"/>
      <c r="K1606" s="12" t="s">
        <v>7196</v>
      </c>
      <c r="L1606" s="12" t="s">
        <v>3500</v>
      </c>
      <c r="M1606" s="12" t="str">
        <f>HYPERLINK("https://ceds.ed.gov/cedselementdetails.aspx?termid=17305")</f>
        <v>https://ceds.ed.gov/cedselementdetails.aspx?termid=17305</v>
      </c>
      <c r="N1606" s="12" t="str">
        <f>HYPERLINK("https://ceds.ed.gov/elementComment.aspx?elementName=Proof of Residency Type &amp;elementID=17305", "Click here to submit comment")</f>
        <v>Click here to submit comment</v>
      </c>
    </row>
    <row r="1607" spans="1:14" ht="38.25" x14ac:dyDescent="0.25">
      <c r="A1607" s="12" t="s">
        <v>7197</v>
      </c>
      <c r="B1607" s="12" t="s">
        <v>7198</v>
      </c>
      <c r="C1607" s="12" t="s">
        <v>37</v>
      </c>
      <c r="D1607" s="12" t="s">
        <v>301</v>
      </c>
      <c r="E1607" s="11"/>
      <c r="F1607" s="12" t="s">
        <v>4383</v>
      </c>
      <c r="G1607" s="11"/>
      <c r="H1607" s="11"/>
      <c r="I1607" s="12" t="s">
        <v>7199</v>
      </c>
      <c r="J1607" s="11"/>
      <c r="K1607" s="12" t="s">
        <v>7200</v>
      </c>
      <c r="L1607" s="11"/>
      <c r="M1607" s="12" t="str">
        <f>HYPERLINK("https://ceds.ed.gov/cedselementdetails.aspx?termid=17776")</f>
        <v>https://ceds.ed.gov/cedselementdetails.aspx?termid=17776</v>
      </c>
      <c r="N1607" s="12" t="str">
        <f>HYPERLINK("https://ceds.ed.gov/elementComment.aspx?elementName=Proxy Contact Hours &amp;elementID=17776", "Click here to submit comment")</f>
        <v>Click here to submit comment</v>
      </c>
    </row>
    <row r="1608" spans="1:14" ht="395.25" x14ac:dyDescent="0.25">
      <c r="A1608" s="12" t="s">
        <v>7201</v>
      </c>
      <c r="B1608" s="12" t="s">
        <v>7202</v>
      </c>
      <c r="C1608" s="12" t="s">
        <v>24</v>
      </c>
      <c r="D1608" s="12" t="s">
        <v>7203</v>
      </c>
      <c r="E1608" s="12" t="s">
        <v>195</v>
      </c>
      <c r="F1608" s="11"/>
      <c r="G1608" s="12" t="s">
        <v>2856</v>
      </c>
      <c r="H1608" s="11"/>
      <c r="I1608" s="12" t="s">
        <v>7204</v>
      </c>
      <c r="J1608" s="11"/>
      <c r="K1608" s="12" t="s">
        <v>7205</v>
      </c>
      <c r="L1608" s="11"/>
      <c r="M1608" s="12" t="str">
        <f>HYPERLINK("https://ceds.ed.gov/cedselementdetails.aspx?termid=17760")</f>
        <v>https://ceds.ed.gov/cedselementdetails.aspx?termid=17760</v>
      </c>
      <c r="N1608" s="12" t="str">
        <f>HYPERLINK("https://ceds.ed.gov/elementComment.aspx?elementName=Public Assistance Status &amp;elementID=17760", "Click here to submit comment")</f>
        <v>Click here to submit comment</v>
      </c>
    </row>
    <row r="1609" spans="1:14" ht="25.5" x14ac:dyDescent="0.25">
      <c r="A1609" s="12" t="s">
        <v>7206</v>
      </c>
      <c r="B1609" s="12" t="s">
        <v>7207</v>
      </c>
      <c r="C1609" s="12" t="s">
        <v>37</v>
      </c>
      <c r="D1609" s="12" t="s">
        <v>5333</v>
      </c>
      <c r="E1609" s="11"/>
      <c r="F1609" s="12" t="s">
        <v>7208</v>
      </c>
      <c r="G1609" s="11"/>
      <c r="H1609" s="11"/>
      <c r="I1609" s="12" t="s">
        <v>7209</v>
      </c>
      <c r="J1609" s="11"/>
      <c r="K1609" s="12" t="s">
        <v>7210</v>
      </c>
      <c r="L1609" s="11"/>
      <c r="M1609" s="12" t="str">
        <f>HYPERLINK("https://ceds.ed.gov/cedselementdetails.aspx?termid=18876")</f>
        <v>https://ceds.ed.gov/cedselementdetails.aspx?termid=18876</v>
      </c>
      <c r="N1609" s="12" t="str">
        <f>HYPERLINK("https://ceds.ed.gov/elementComment.aspx?elementName=Public Education Mill Rate &amp;elementID=18876", "Click here to submit comment")</f>
        <v>Click here to submit comment</v>
      </c>
    </row>
    <row r="1610" spans="1:14" ht="51" x14ac:dyDescent="0.25">
      <c r="A1610" s="12" t="s">
        <v>7211</v>
      </c>
      <c r="B1610" s="12" t="s">
        <v>7212</v>
      </c>
      <c r="C1610" s="12" t="s">
        <v>37</v>
      </c>
      <c r="D1610" s="12" t="s">
        <v>4736</v>
      </c>
      <c r="E1610" s="11"/>
      <c r="F1610" s="12" t="s">
        <v>1710</v>
      </c>
      <c r="G1610" s="11"/>
      <c r="H1610" s="11"/>
      <c r="I1610" s="12" t="s">
        <v>7213</v>
      </c>
      <c r="J1610" s="11"/>
      <c r="K1610" s="12" t="s">
        <v>7214</v>
      </c>
      <c r="L1610" s="12" t="s">
        <v>258</v>
      </c>
      <c r="M1610" s="12" t="str">
        <f>HYPERLINK("https://ceds.ed.gov/cedselementdetails.aspx?termid=17560")</f>
        <v>https://ceds.ed.gov/cedselementdetails.aspx?termid=17560</v>
      </c>
      <c r="N1610" s="12" t="str">
        <f>HYPERLINK("https://ceds.ed.gov/elementComment.aspx?elementName=Public School Choice Funds Spent &amp;elementID=17560", "Click here to submit comment")</f>
        <v>Click here to submit comment</v>
      </c>
    </row>
    <row r="1611" spans="1:14" ht="114.75" x14ac:dyDescent="0.25">
      <c r="A1611" s="12" t="s">
        <v>7215</v>
      </c>
      <c r="B1611" s="12" t="s">
        <v>7216</v>
      </c>
      <c r="C1611" s="13" t="s">
        <v>7217</v>
      </c>
      <c r="D1611" s="12" t="s">
        <v>115</v>
      </c>
      <c r="E1611" s="11"/>
      <c r="F1611" s="11"/>
      <c r="G1611" s="11"/>
      <c r="H1611" s="11"/>
      <c r="I1611" s="12" t="s">
        <v>7218</v>
      </c>
      <c r="J1611" s="11"/>
      <c r="K1611" s="12" t="s">
        <v>7219</v>
      </c>
      <c r="L1611" s="12" t="s">
        <v>258</v>
      </c>
      <c r="M1611" s="12" t="str">
        <f>HYPERLINK("https://ceds.ed.gov/cedselementdetails.aspx?termid=17227")</f>
        <v>https://ceds.ed.gov/cedselementdetails.aspx?termid=17227</v>
      </c>
      <c r="N1611" s="12" t="str">
        <f>HYPERLINK("https://ceds.ed.gov/elementComment.aspx?elementName=Public School Choice Implementation Status &amp;elementID=17227", "Click here to submit comment")</f>
        <v>Click here to submit comment</v>
      </c>
    </row>
    <row r="1612" spans="1:14" ht="127.5" x14ac:dyDescent="0.25">
      <c r="A1612" s="12" t="s">
        <v>7220</v>
      </c>
      <c r="B1612" s="12" t="s">
        <v>7221</v>
      </c>
      <c r="C1612" s="13" t="s">
        <v>7222</v>
      </c>
      <c r="D1612" s="12" t="s">
        <v>2338</v>
      </c>
      <c r="E1612" s="11"/>
      <c r="F1612" s="11"/>
      <c r="G1612" s="11"/>
      <c r="H1612" s="11"/>
      <c r="I1612" s="12" t="s">
        <v>7223</v>
      </c>
      <c r="J1612" s="11"/>
      <c r="K1612" s="12" t="s">
        <v>7224</v>
      </c>
      <c r="L1612" s="11"/>
      <c r="M1612" s="12" t="str">
        <f>HYPERLINK("https://ceds.ed.gov/cedselementdetails.aspx?termid=17523")</f>
        <v>https://ceds.ed.gov/cedselementdetails.aspx?termid=17523</v>
      </c>
      <c r="N1612" s="12" t="str">
        <f>HYPERLINK("https://ceds.ed.gov/elementComment.aspx?elementName=Public School Residence Status &amp;elementID=17523", "Click here to submit comment")</f>
        <v>Click here to submit comment</v>
      </c>
    </row>
    <row r="1613" spans="1:14" ht="76.5" x14ac:dyDescent="0.25">
      <c r="A1613" s="12" t="s">
        <v>7225</v>
      </c>
      <c r="B1613" s="12" t="s">
        <v>7226</v>
      </c>
      <c r="C1613" s="13" t="s">
        <v>7227</v>
      </c>
      <c r="D1613" s="12" t="s">
        <v>6332</v>
      </c>
      <c r="E1613" s="11"/>
      <c r="F1613" s="11"/>
      <c r="G1613" s="11"/>
      <c r="H1613" s="11"/>
      <c r="I1613" s="12" t="s">
        <v>7228</v>
      </c>
      <c r="J1613" s="11"/>
      <c r="K1613" s="12" t="s">
        <v>7229</v>
      </c>
      <c r="L1613" s="11"/>
      <c r="M1613" s="12" t="str">
        <f>HYPERLINK("https://ceds.ed.gov/cedselementdetails.aspx?termid=18299")</f>
        <v>https://ceds.ed.gov/cedselementdetails.aspx?termid=18299</v>
      </c>
      <c r="N1613" s="12" t="str">
        <f>HYPERLINK("https://ceds.ed.gov/elementComment.aspx?elementName=Purpose of Monitoring Visit &amp;elementID=18299", "Click here to submit comment")</f>
        <v>Click here to submit comment</v>
      </c>
    </row>
    <row r="1614" spans="1:14" ht="25.5" x14ac:dyDescent="0.25">
      <c r="A1614" s="12" t="s">
        <v>7230</v>
      </c>
      <c r="B1614" s="12" t="s">
        <v>7231</v>
      </c>
      <c r="C1614" s="12" t="s">
        <v>37</v>
      </c>
      <c r="D1614" s="12" t="s">
        <v>2793</v>
      </c>
      <c r="E1614" s="11"/>
      <c r="F1614" s="12" t="s">
        <v>97</v>
      </c>
      <c r="G1614" s="11"/>
      <c r="H1614" s="11"/>
      <c r="I1614" s="12" t="s">
        <v>7232</v>
      </c>
      <c r="J1614" s="11"/>
      <c r="K1614" s="12" t="s">
        <v>7233</v>
      </c>
      <c r="L1614" s="12" t="s">
        <v>1751</v>
      </c>
      <c r="M1614" s="12" t="str">
        <f>HYPERLINK("https://ceds.ed.gov/cedselementdetails.aspx?termid=17423")</f>
        <v>https://ceds.ed.gov/cedselementdetails.aspx?termid=17423</v>
      </c>
      <c r="N1614" s="12" t="str">
        <f>HYPERLINK("https://ceds.ed.gov/elementComment.aspx?elementName=Qualifying Move From City &amp;elementID=17423", "Click here to submit comment")</f>
        <v>Click here to submit comment</v>
      </c>
    </row>
    <row r="1615" spans="1:14" ht="409.5" x14ac:dyDescent="0.25">
      <c r="A1615" s="12" t="s">
        <v>7234</v>
      </c>
      <c r="B1615" s="12" t="s">
        <v>7235</v>
      </c>
      <c r="C1615" s="13" t="s">
        <v>2847</v>
      </c>
      <c r="D1615" s="12" t="s">
        <v>2793</v>
      </c>
      <c r="E1615" s="11"/>
      <c r="F1615" s="11"/>
      <c r="G1615" s="11"/>
      <c r="H1615" s="6" t="s">
        <v>2849</v>
      </c>
      <c r="I1615" s="12" t="s">
        <v>7236</v>
      </c>
      <c r="J1615" s="11"/>
      <c r="K1615" s="12" t="s">
        <v>7237</v>
      </c>
      <c r="L1615" s="12" t="s">
        <v>1751</v>
      </c>
      <c r="M1615" s="12" t="str">
        <f>HYPERLINK("https://ceds.ed.gov/cedselementdetails.aspx?termid=17424")</f>
        <v>https://ceds.ed.gov/cedselementdetails.aspx?termid=17424</v>
      </c>
      <c r="N1615" s="12" t="str">
        <f>HYPERLINK("https://ceds.ed.gov/elementComment.aspx?elementName=Qualifying Move From Country &amp;elementID=17424", "Click here to submit comment")</f>
        <v>Click here to submit comment</v>
      </c>
    </row>
    <row r="1616" spans="1:14" ht="409.5" x14ac:dyDescent="0.25">
      <c r="A1616" s="12" t="s">
        <v>7238</v>
      </c>
      <c r="B1616" s="12" t="s">
        <v>7239</v>
      </c>
      <c r="C1616" s="13" t="s">
        <v>7240</v>
      </c>
      <c r="D1616" s="12" t="s">
        <v>2793</v>
      </c>
      <c r="E1616" s="11"/>
      <c r="F1616" s="11"/>
      <c r="G1616" s="11"/>
      <c r="H1616" s="11"/>
      <c r="I1616" s="12" t="s">
        <v>7241</v>
      </c>
      <c r="J1616" s="11"/>
      <c r="K1616" s="12" t="s">
        <v>7242</v>
      </c>
      <c r="L1616" s="12" t="s">
        <v>1751</v>
      </c>
      <c r="M1616" s="12" t="str">
        <f>HYPERLINK("https://ceds.ed.gov/cedselementdetails.aspx?termid=17425")</f>
        <v>https://ceds.ed.gov/cedselementdetails.aspx?termid=17425</v>
      </c>
      <c r="N1616" s="12" t="str">
        <f>HYPERLINK("https://ceds.ed.gov/elementComment.aspx?elementName=Qualifying Move From State &amp;elementID=17425", "Click here to submit comment")</f>
        <v>Click here to submit comment</v>
      </c>
    </row>
    <row r="1617" spans="1:14" ht="25.5" x14ac:dyDescent="0.25">
      <c r="A1617" s="12" t="s">
        <v>7243</v>
      </c>
      <c r="B1617" s="12" t="s">
        <v>7244</v>
      </c>
      <c r="C1617" s="12" t="s">
        <v>37</v>
      </c>
      <c r="D1617" s="12" t="s">
        <v>7095</v>
      </c>
      <c r="E1617" s="11"/>
      <c r="F1617" s="12" t="s">
        <v>97</v>
      </c>
      <c r="G1617" s="11"/>
      <c r="H1617" s="11"/>
      <c r="I1617" s="12" t="s">
        <v>7245</v>
      </c>
      <c r="J1617" s="11"/>
      <c r="K1617" s="12" t="s">
        <v>7246</v>
      </c>
      <c r="L1617" s="11"/>
      <c r="M1617" s="12" t="str">
        <f>HYPERLINK("https://ceds.ed.gov/cedselementdetails.aspx?termid=18432")</f>
        <v>https://ceds.ed.gov/cedselementdetails.aspx?termid=18432</v>
      </c>
      <c r="N1617" s="12" t="str">
        <f>HYPERLINK("https://ceds.ed.gov/elementComment.aspx?elementName=Quality Initiative Maximum Score &amp;elementID=18432", "Click here to submit comment")</f>
        <v>Click here to submit comment</v>
      </c>
    </row>
    <row r="1618" spans="1:14" ht="25.5" x14ac:dyDescent="0.25">
      <c r="A1618" s="12" t="s">
        <v>7247</v>
      </c>
      <c r="B1618" s="12" t="s">
        <v>7248</v>
      </c>
      <c r="C1618" s="12" t="s">
        <v>37</v>
      </c>
      <c r="D1618" s="12" t="s">
        <v>7095</v>
      </c>
      <c r="E1618" s="11"/>
      <c r="F1618" s="12" t="s">
        <v>97</v>
      </c>
      <c r="G1618" s="11"/>
      <c r="H1618" s="11"/>
      <c r="I1618" s="12" t="s">
        <v>7249</v>
      </c>
      <c r="J1618" s="11"/>
      <c r="K1618" s="12" t="s">
        <v>7250</v>
      </c>
      <c r="L1618" s="11"/>
      <c r="M1618" s="12" t="str">
        <f>HYPERLINK("https://ceds.ed.gov/cedselementdetails.aspx?termid=18433")</f>
        <v>https://ceds.ed.gov/cedselementdetails.aspx?termid=18433</v>
      </c>
      <c r="N1618" s="12" t="str">
        <f>HYPERLINK("https://ceds.ed.gov/elementComment.aspx?elementName=Quality Initiative Minimum Score &amp;elementID=18433", "Click here to submit comment")</f>
        <v>Click here to submit comment</v>
      </c>
    </row>
    <row r="1619" spans="1:14" ht="51" x14ac:dyDescent="0.25">
      <c r="A1619" s="12" t="s">
        <v>7251</v>
      </c>
      <c r="B1619" s="12" t="s">
        <v>7252</v>
      </c>
      <c r="C1619" s="12" t="s">
        <v>37</v>
      </c>
      <c r="D1619" s="12" t="s">
        <v>7095</v>
      </c>
      <c r="E1619" s="11"/>
      <c r="F1619" s="12" t="s">
        <v>135</v>
      </c>
      <c r="G1619" s="11"/>
      <c r="H1619" s="12" t="s">
        <v>160</v>
      </c>
      <c r="I1619" s="12" t="s">
        <v>7253</v>
      </c>
      <c r="J1619" s="11"/>
      <c r="K1619" s="12" t="s">
        <v>7254</v>
      </c>
      <c r="L1619" s="11"/>
      <c r="M1619" s="12" t="str">
        <f>HYPERLINK("https://ceds.ed.gov/cedselementdetails.aspx?termid=18436")</f>
        <v>https://ceds.ed.gov/cedselementdetails.aspx?termid=18436</v>
      </c>
      <c r="N1619" s="12" t="str">
        <f>HYPERLINK("https://ceds.ed.gov/elementComment.aspx?elementName=Quality Initiative Participation End Date &amp;elementID=18436", "Click here to submit comment")</f>
        <v>Click here to submit comment</v>
      </c>
    </row>
    <row r="1620" spans="1:14" ht="38.25" x14ac:dyDescent="0.25">
      <c r="A1620" s="12" t="s">
        <v>7255</v>
      </c>
      <c r="B1620" s="12" t="s">
        <v>7256</v>
      </c>
      <c r="C1620" s="12" t="s">
        <v>24</v>
      </c>
      <c r="D1620" s="12" t="s">
        <v>7095</v>
      </c>
      <c r="E1620" s="11"/>
      <c r="F1620" s="11"/>
      <c r="G1620" s="11"/>
      <c r="H1620" s="11"/>
      <c r="I1620" s="12" t="s">
        <v>7257</v>
      </c>
      <c r="J1620" s="11"/>
      <c r="K1620" s="12" t="s">
        <v>7258</v>
      </c>
      <c r="L1620" s="11"/>
      <c r="M1620" s="12" t="str">
        <f>HYPERLINK("https://ceds.ed.gov/cedselementdetails.aspx?termid=18435")</f>
        <v>https://ceds.ed.gov/cedselementdetails.aspx?termid=18435</v>
      </c>
      <c r="N1620" s="12" t="str">
        <f>HYPERLINK("https://ceds.ed.gov/elementComment.aspx?elementName=Quality Initiative Participation Indicator &amp;elementID=18435", "Click here to submit comment")</f>
        <v>Click here to submit comment</v>
      </c>
    </row>
    <row r="1621" spans="1:14" ht="25.5" x14ac:dyDescent="0.25">
      <c r="A1621" s="12" t="s">
        <v>7259</v>
      </c>
      <c r="B1621" s="12" t="s">
        <v>7260</v>
      </c>
      <c r="C1621" s="12" t="s">
        <v>37</v>
      </c>
      <c r="D1621" s="12" t="s">
        <v>7095</v>
      </c>
      <c r="E1621" s="11"/>
      <c r="F1621" s="12" t="s">
        <v>135</v>
      </c>
      <c r="G1621" s="11"/>
      <c r="H1621" s="11"/>
      <c r="I1621" s="12" t="s">
        <v>7261</v>
      </c>
      <c r="J1621" s="11"/>
      <c r="K1621" s="12" t="s">
        <v>7262</v>
      </c>
      <c r="L1621" s="11"/>
      <c r="M1621" s="12" t="str">
        <f>HYPERLINK("https://ceds.ed.gov/cedselementdetails.aspx?termid=18437")</f>
        <v>https://ceds.ed.gov/cedselementdetails.aspx?termid=18437</v>
      </c>
      <c r="N1621" s="12" t="str">
        <f>HYPERLINK("https://ceds.ed.gov/elementComment.aspx?elementName=Quality Initiative Participation Start Date &amp;elementID=18437", "Click here to submit comment")</f>
        <v>Click here to submit comment</v>
      </c>
    </row>
    <row r="1622" spans="1:14" ht="51" x14ac:dyDescent="0.25">
      <c r="A1622" s="12" t="s">
        <v>7263</v>
      </c>
      <c r="B1622" s="12" t="s">
        <v>7264</v>
      </c>
      <c r="C1622" s="12" t="s">
        <v>37</v>
      </c>
      <c r="D1622" s="12" t="s">
        <v>7095</v>
      </c>
      <c r="E1622" s="11"/>
      <c r="F1622" s="12" t="s">
        <v>97</v>
      </c>
      <c r="G1622" s="11"/>
      <c r="H1622" s="11"/>
      <c r="I1622" s="12" t="s">
        <v>7265</v>
      </c>
      <c r="J1622" s="11"/>
      <c r="K1622" s="12" t="s">
        <v>7266</v>
      </c>
      <c r="L1622" s="11"/>
      <c r="M1622" s="12" t="str">
        <f>HYPERLINK("https://ceds.ed.gov/cedselementdetails.aspx?termid=18434")</f>
        <v>https://ceds.ed.gov/cedselementdetails.aspx?termid=18434</v>
      </c>
      <c r="N1622" s="12" t="str">
        <f>HYPERLINK("https://ceds.ed.gov/elementComment.aspx?elementName=Quality Initiative Score Level &amp;elementID=18434", "Click here to submit comment")</f>
        <v>Click here to submit comment</v>
      </c>
    </row>
    <row r="1623" spans="1:14" ht="25.5" x14ac:dyDescent="0.25">
      <c r="A1623" s="12" t="s">
        <v>7267</v>
      </c>
      <c r="B1623" s="12" t="s">
        <v>7268</v>
      </c>
      <c r="C1623" s="12" t="s">
        <v>37</v>
      </c>
      <c r="D1623" s="12" t="s">
        <v>6484</v>
      </c>
      <c r="E1623" s="11"/>
      <c r="F1623" s="12" t="s">
        <v>135</v>
      </c>
      <c r="G1623" s="11"/>
      <c r="H1623" s="11"/>
      <c r="I1623" s="12" t="s">
        <v>7269</v>
      </c>
      <c r="J1623" s="12" t="s">
        <v>7270</v>
      </c>
      <c r="K1623" s="12" t="s">
        <v>7271</v>
      </c>
      <c r="L1623" s="12" t="s">
        <v>125</v>
      </c>
      <c r="M1623" s="12" t="str">
        <f>HYPERLINK("https://ceds.ed.gov/cedselementdetails.aspx?termid=17830")</f>
        <v>https://ceds.ed.gov/cedselementdetails.aspx?termid=17830</v>
      </c>
      <c r="N1623" s="12" t="str">
        <f>HYPERLINK("https://ceds.ed.gov/elementComment.aspx?elementName=Quality Rating and Improvement System Award Date &amp;elementID=17830", "Click here to submit comment")</f>
        <v>Click here to submit comment</v>
      </c>
    </row>
    <row r="1624" spans="1:14" ht="25.5" x14ac:dyDescent="0.25">
      <c r="A1624" s="12" t="s">
        <v>7272</v>
      </c>
      <c r="B1624" s="12" t="s">
        <v>7273</v>
      </c>
      <c r="C1624" s="12" t="s">
        <v>37</v>
      </c>
      <c r="D1624" s="12" t="s">
        <v>6484</v>
      </c>
      <c r="E1624" s="11"/>
      <c r="F1624" s="12" t="s">
        <v>135</v>
      </c>
      <c r="G1624" s="11"/>
      <c r="H1624" s="11"/>
      <c r="I1624" s="12" t="s">
        <v>7274</v>
      </c>
      <c r="J1624" s="12" t="s">
        <v>7275</v>
      </c>
      <c r="K1624" s="12" t="s">
        <v>7276</v>
      </c>
      <c r="L1624" s="12" t="s">
        <v>125</v>
      </c>
      <c r="M1624" s="12" t="str">
        <f>HYPERLINK("https://ceds.ed.gov/cedselementdetails.aspx?termid=17831")</f>
        <v>https://ceds.ed.gov/cedselementdetails.aspx?termid=17831</v>
      </c>
      <c r="N1624" s="12" t="str">
        <f>HYPERLINK("https://ceds.ed.gov/elementComment.aspx?elementName=Quality Rating and Improvement System Expiration Date &amp;elementID=17831", "Click here to submit comment")</f>
        <v>Click here to submit comment</v>
      </c>
    </row>
    <row r="1625" spans="1:14" ht="89.25" x14ac:dyDescent="0.25">
      <c r="A1625" s="12" t="s">
        <v>7277</v>
      </c>
      <c r="B1625" s="12" t="s">
        <v>7278</v>
      </c>
      <c r="C1625" s="13" t="s">
        <v>7279</v>
      </c>
      <c r="D1625" s="12" t="s">
        <v>6484</v>
      </c>
      <c r="E1625" s="11"/>
      <c r="F1625" s="11"/>
      <c r="G1625" s="11"/>
      <c r="H1625" s="11"/>
      <c r="I1625" s="12" t="s">
        <v>7280</v>
      </c>
      <c r="J1625" s="12" t="s">
        <v>7281</v>
      </c>
      <c r="K1625" s="12" t="s">
        <v>7282</v>
      </c>
      <c r="L1625" s="12" t="s">
        <v>7283</v>
      </c>
      <c r="M1625" s="12" t="str">
        <f>HYPERLINK("https://ceds.ed.gov/cedselementdetails.aspx?termid=17356")</f>
        <v>https://ceds.ed.gov/cedselementdetails.aspx?termid=17356</v>
      </c>
      <c r="N1625" s="12" t="str">
        <f>HYPERLINK("https://ceds.ed.gov/elementComment.aspx?elementName=Quality Rating and Improvement System Participation &amp;elementID=17356", "Click here to submit comment")</f>
        <v>Click here to submit comment</v>
      </c>
    </row>
    <row r="1626" spans="1:14" ht="38.25" x14ac:dyDescent="0.25">
      <c r="A1626" s="12" t="s">
        <v>7284</v>
      </c>
      <c r="B1626" s="12" t="s">
        <v>7285</v>
      </c>
      <c r="C1626" s="12" t="s">
        <v>37</v>
      </c>
      <c r="D1626" s="12" t="s">
        <v>6484</v>
      </c>
      <c r="E1626" s="11"/>
      <c r="F1626" s="12" t="s">
        <v>1510</v>
      </c>
      <c r="G1626" s="11"/>
      <c r="H1626" s="11"/>
      <c r="I1626" s="12" t="s">
        <v>7286</v>
      </c>
      <c r="J1626" s="12" t="s">
        <v>7287</v>
      </c>
      <c r="K1626" s="12" t="s">
        <v>7288</v>
      </c>
      <c r="L1626" s="12" t="s">
        <v>7283</v>
      </c>
      <c r="M1626" s="12" t="str">
        <f>HYPERLINK("https://ceds.ed.gov/cedselementdetails.aspx?termid=17357")</f>
        <v>https://ceds.ed.gov/cedselementdetails.aspx?termid=17357</v>
      </c>
      <c r="N1626" s="12" t="str">
        <f>HYPERLINK("https://ceds.ed.gov/elementComment.aspx?elementName=Quality Rating and Improvement System Score &amp;elementID=17357", "Click here to submit comment")</f>
        <v>Click here to submit comment</v>
      </c>
    </row>
    <row r="1627" spans="1:14" ht="153" x14ac:dyDescent="0.25">
      <c r="A1627" s="12" t="s">
        <v>7289</v>
      </c>
      <c r="B1627" s="12" t="s">
        <v>7290</v>
      </c>
      <c r="C1627" s="12" t="s">
        <v>37</v>
      </c>
      <c r="D1627" s="12" t="s">
        <v>3986</v>
      </c>
      <c r="E1627" s="11"/>
      <c r="F1627" s="12" t="s">
        <v>1710</v>
      </c>
      <c r="G1627" s="11"/>
      <c r="H1627" s="12" t="s">
        <v>7291</v>
      </c>
      <c r="I1627" s="12" t="s">
        <v>7292</v>
      </c>
      <c r="J1627" s="11"/>
      <c r="K1627" s="12" t="s">
        <v>7293</v>
      </c>
      <c r="L1627" s="11"/>
      <c r="M1627" s="12" t="str">
        <f>HYPERLINK("https://ceds.ed.gov/cedselementdetails.aspx?termid=17991")</f>
        <v>https://ceds.ed.gov/cedselementdetails.aspx?termid=17991</v>
      </c>
      <c r="N1627" s="12" t="str">
        <f>HYPERLINK("https://ceds.ed.gov/elementComment.aspx?elementName=Quarterly Earnings &amp;elementID=17991", "Click here to submit comment")</f>
        <v>Click here to submit comment</v>
      </c>
    </row>
    <row r="1628" spans="1:14" ht="51" x14ac:dyDescent="0.25">
      <c r="A1628" s="12" t="s">
        <v>7294</v>
      </c>
      <c r="B1628" s="12" t="s">
        <v>7295</v>
      </c>
      <c r="C1628" s="12" t="s">
        <v>37</v>
      </c>
      <c r="D1628" s="12" t="s">
        <v>7296</v>
      </c>
      <c r="E1628" s="11"/>
      <c r="F1628" s="12" t="s">
        <v>382</v>
      </c>
      <c r="G1628" s="11"/>
      <c r="H1628" s="11"/>
      <c r="I1628" s="12" t="s">
        <v>7297</v>
      </c>
      <c r="J1628" s="11"/>
      <c r="K1628" s="12" t="s">
        <v>7298</v>
      </c>
      <c r="L1628" s="11"/>
      <c r="M1628" s="12" t="str">
        <f>HYPERLINK("https://ceds.ed.gov/cedselementdetails.aspx?termid=18460")</f>
        <v>https://ceds.ed.gov/cedselementdetails.aspx?termid=18460</v>
      </c>
      <c r="N1628" s="12" t="str">
        <f>HYPERLINK("https://ceds.ed.gov/elementComment.aspx?elementName=Reason for Declined Services &amp;elementID=18460", "Click here to submit comment")</f>
        <v>Click here to submit comment</v>
      </c>
    </row>
    <row r="1629" spans="1:14" ht="76.5" x14ac:dyDescent="0.25">
      <c r="A1629" s="12" t="s">
        <v>7299</v>
      </c>
      <c r="B1629" s="12" t="s">
        <v>7300</v>
      </c>
      <c r="C1629" s="13" t="s">
        <v>7301</v>
      </c>
      <c r="D1629" s="12" t="s">
        <v>3437</v>
      </c>
      <c r="E1629" s="11"/>
      <c r="F1629" s="11"/>
      <c r="G1629" s="11"/>
      <c r="H1629" s="11"/>
      <c r="I1629" s="12" t="s">
        <v>7302</v>
      </c>
      <c r="J1629" s="11"/>
      <c r="K1629" s="12" t="s">
        <v>7303</v>
      </c>
      <c r="L1629" s="11"/>
      <c r="M1629" s="12" t="str">
        <f>HYPERLINK("https://ceds.ed.gov/cedselementdetails.aspx?termid=18494")</f>
        <v>https://ceds.ed.gov/cedselementdetails.aspx?termid=18494</v>
      </c>
      <c r="N1629" s="12" t="str">
        <f>HYPERLINK("https://ceds.ed.gov/elementComment.aspx?elementName=Reason for Delay of Transition Conference &amp;elementID=18494", "Click here to submit comment")</f>
        <v>Click here to submit comment</v>
      </c>
    </row>
    <row r="1630" spans="1:14" ht="102" x14ac:dyDescent="0.25">
      <c r="A1630" s="12" t="s">
        <v>7304</v>
      </c>
      <c r="B1630" s="12" t="s">
        <v>7305</v>
      </c>
      <c r="C1630" s="13" t="s">
        <v>7306</v>
      </c>
      <c r="D1630" s="12" t="s">
        <v>1346</v>
      </c>
      <c r="E1630" s="11"/>
      <c r="F1630" s="11"/>
      <c r="G1630" s="11"/>
      <c r="H1630" s="11"/>
      <c r="I1630" s="12" t="s">
        <v>7307</v>
      </c>
      <c r="J1630" s="11"/>
      <c r="K1630" s="12" t="s">
        <v>7308</v>
      </c>
      <c r="L1630" s="11"/>
      <c r="M1630" s="12" t="str">
        <f>HYPERLINK("https://ceds.ed.gov/cedselementdetails.aspx?termid=17228")</f>
        <v>https://ceds.ed.gov/cedselementdetails.aspx?termid=17228</v>
      </c>
      <c r="N1630" s="12" t="str">
        <f>HYPERLINK("https://ceds.ed.gov/elementComment.aspx?elementName=Reason Not Tested &amp;elementID=17228", "Click here to submit comment")</f>
        <v>Click here to submit comment</v>
      </c>
    </row>
    <row r="1631" spans="1:14" ht="140.25" x14ac:dyDescent="0.25">
      <c r="A1631" s="12" t="s">
        <v>7309</v>
      </c>
      <c r="B1631" s="12" t="s">
        <v>7310</v>
      </c>
      <c r="C1631" s="13" t="s">
        <v>7311</v>
      </c>
      <c r="D1631" s="12" t="s">
        <v>7312</v>
      </c>
      <c r="E1631" s="11"/>
      <c r="F1631" s="11"/>
      <c r="G1631" s="11"/>
      <c r="H1631" s="11"/>
      <c r="I1631" s="12" t="s">
        <v>7313</v>
      </c>
      <c r="J1631" s="11"/>
      <c r="K1631" s="12" t="s">
        <v>7314</v>
      </c>
      <c r="L1631" s="11"/>
      <c r="M1631" s="12" t="str">
        <f>HYPERLINK("https://ceds.ed.gov/cedselementdetails.aspx?termid=17515")</f>
        <v>https://ceds.ed.gov/cedselementdetails.aspx?termid=17515</v>
      </c>
      <c r="N1631" s="12" t="str">
        <f>HYPERLINK("https://ceds.ed.gov/elementComment.aspx?elementName=Receiving Location of Instruction &amp;elementID=17515", "Click here to submit comment")</f>
        <v>Click here to submit comment</v>
      </c>
    </row>
    <row r="1632" spans="1:14" ht="178.5" x14ac:dyDescent="0.25">
      <c r="A1632" s="12" t="s">
        <v>7315</v>
      </c>
      <c r="B1632" s="12" t="s">
        <v>7316</v>
      </c>
      <c r="C1632" s="13" t="s">
        <v>7317</v>
      </c>
      <c r="D1632" s="12" t="s">
        <v>69</v>
      </c>
      <c r="E1632" s="11"/>
      <c r="F1632" s="11"/>
      <c r="G1632" s="11"/>
      <c r="H1632" s="11"/>
      <c r="I1632" s="12" t="s">
        <v>7318</v>
      </c>
      <c r="J1632" s="11"/>
      <c r="K1632" s="12" t="s">
        <v>7319</v>
      </c>
      <c r="L1632" s="12" t="s">
        <v>72</v>
      </c>
      <c r="M1632" s="12" t="str">
        <f>HYPERLINK("https://ceds.ed.gov/cedselementdetails.aspx?termid=17229")</f>
        <v>https://ceds.ed.gov/cedselementdetails.aspx?termid=17229</v>
      </c>
      <c r="N1632" s="12" t="str">
        <f>HYPERLINK("https://ceds.ed.gov/elementComment.aspx?elementName=Recognition for Participation or Performance in an Activity &amp;elementID=17229", "Click here to submit comment")</f>
        <v>Click here to submit comment</v>
      </c>
    </row>
    <row r="1633" spans="1:14" ht="63.75" x14ac:dyDescent="0.25">
      <c r="A1633" s="12" t="s">
        <v>7320</v>
      </c>
      <c r="B1633" s="12" t="s">
        <v>7321</v>
      </c>
      <c r="C1633" s="13" t="s">
        <v>7322</v>
      </c>
      <c r="D1633" s="12" t="s">
        <v>2836</v>
      </c>
      <c r="E1633" s="11"/>
      <c r="F1633" s="11"/>
      <c r="G1633" s="11"/>
      <c r="H1633" s="11"/>
      <c r="I1633" s="12" t="s">
        <v>7323</v>
      </c>
      <c r="J1633" s="11"/>
      <c r="K1633" s="12" t="s">
        <v>7324</v>
      </c>
      <c r="L1633" s="12" t="s">
        <v>258</v>
      </c>
      <c r="M1633" s="12" t="str">
        <f>HYPERLINK("https://ceds.ed.gov/cedselementdetails.aspx?termid=17230")</f>
        <v>https://ceds.ed.gov/cedselementdetails.aspx?termid=17230</v>
      </c>
      <c r="N1633" s="12" t="str">
        <f>HYPERLINK("https://ceds.ed.gov/elementComment.aspx?elementName=Reconstituted Status &amp;elementID=17230", "Click here to submit comment")</f>
        <v>Click here to submit comment</v>
      </c>
    </row>
    <row r="1634" spans="1:14" ht="51" x14ac:dyDescent="0.25">
      <c r="A1634" s="12" t="s">
        <v>7325</v>
      </c>
      <c r="B1634" s="12" t="s">
        <v>7326</v>
      </c>
      <c r="C1634" s="12" t="s">
        <v>37</v>
      </c>
      <c r="D1634" s="12" t="s">
        <v>2841</v>
      </c>
      <c r="E1634" s="11"/>
      <c r="F1634" s="12" t="s">
        <v>941</v>
      </c>
      <c r="G1634" s="11"/>
      <c r="H1634" s="12" t="s">
        <v>7327</v>
      </c>
      <c r="I1634" s="12" t="s">
        <v>7328</v>
      </c>
      <c r="J1634" s="11"/>
      <c r="K1634" s="12" t="s">
        <v>7329</v>
      </c>
      <c r="L1634" s="11"/>
      <c r="M1634" s="12" t="str">
        <f>HYPERLINK("https://ceds.ed.gov/cedselementdetails.aspx?termid=18899")</f>
        <v>https://ceds.ed.gov/cedselementdetails.aspx?termid=18899</v>
      </c>
      <c r="N1634" s="12" t="str">
        <f>HYPERLINK("https://ceds.ed.gov/elementComment.aspx?elementName=Record End Date Time &amp;elementID=18899", "Click here to submit comment")</f>
        <v>Click here to submit comment</v>
      </c>
    </row>
    <row r="1635" spans="1:14" ht="38.25" x14ac:dyDescent="0.25">
      <c r="A1635" s="12" t="s">
        <v>7330</v>
      </c>
      <c r="B1635" s="12" t="s">
        <v>7331</v>
      </c>
      <c r="C1635" s="12" t="s">
        <v>37</v>
      </c>
      <c r="D1635" s="12" t="s">
        <v>2841</v>
      </c>
      <c r="E1635" s="11"/>
      <c r="F1635" s="12" t="s">
        <v>941</v>
      </c>
      <c r="G1635" s="11"/>
      <c r="H1635" s="12" t="s">
        <v>7332</v>
      </c>
      <c r="I1635" s="12" t="s">
        <v>7333</v>
      </c>
      <c r="J1635" s="11"/>
      <c r="K1635" s="12" t="s">
        <v>7334</v>
      </c>
      <c r="L1635" s="11"/>
      <c r="M1635" s="12" t="str">
        <f>HYPERLINK("https://ceds.ed.gov/cedselementdetails.aspx?termid=18898")</f>
        <v>https://ceds.ed.gov/cedselementdetails.aspx?termid=18898</v>
      </c>
      <c r="N1635" s="12" t="str">
        <f>HYPERLINK("https://ceds.ed.gov/elementComment.aspx?elementName=Record Start Date Time &amp;elementID=18898", "Click here to submit comment")</f>
        <v>Click here to submit comment</v>
      </c>
    </row>
    <row r="1636" spans="1:14" ht="76.5" x14ac:dyDescent="0.25">
      <c r="A1636" s="12" t="s">
        <v>7335</v>
      </c>
      <c r="B1636" s="12" t="s">
        <v>7336</v>
      </c>
      <c r="C1636" s="12" t="s">
        <v>37</v>
      </c>
      <c r="D1636" s="12" t="s">
        <v>7337</v>
      </c>
      <c r="E1636" s="11"/>
      <c r="F1636" s="12" t="s">
        <v>135</v>
      </c>
      <c r="G1636" s="11"/>
      <c r="H1636" s="11"/>
      <c r="I1636" s="12" t="s">
        <v>7338</v>
      </c>
      <c r="J1636" s="11"/>
      <c r="K1636" s="12" t="s">
        <v>7339</v>
      </c>
      <c r="L1636" s="11"/>
      <c r="M1636" s="12" t="str">
        <f>HYPERLINK("https://ceds.ed.gov/cedselementdetails.aspx?termid=18453")</f>
        <v>https://ceds.ed.gov/cedselementdetails.aspx?termid=18453</v>
      </c>
      <c r="N1636" s="12" t="str">
        <f>HYPERLINK("https://ceds.ed.gov/elementComment.aspx?elementName=Referral Date &amp;elementID=18453", "Click here to submit comment")</f>
        <v>Click here to submit comment</v>
      </c>
    </row>
    <row r="1637" spans="1:14" ht="102" x14ac:dyDescent="0.25">
      <c r="A1637" s="12" t="s">
        <v>7340</v>
      </c>
      <c r="B1637" s="12" t="s">
        <v>7341</v>
      </c>
      <c r="C1637" s="13" t="s">
        <v>7342</v>
      </c>
      <c r="D1637" s="12" t="s">
        <v>7343</v>
      </c>
      <c r="E1637" s="11"/>
      <c r="F1637" s="11"/>
      <c r="G1637" s="11"/>
      <c r="H1637" s="11"/>
      <c r="I1637" s="12" t="s">
        <v>7344</v>
      </c>
      <c r="J1637" s="11"/>
      <c r="K1637" s="12" t="s">
        <v>7345</v>
      </c>
      <c r="L1637" s="11"/>
      <c r="M1637" s="12" t="str">
        <f>HYPERLINK("https://ceds.ed.gov/cedselementdetails.aspx?termid=18454")</f>
        <v>https://ceds.ed.gov/cedselementdetails.aspx?termid=18454</v>
      </c>
      <c r="N1637" s="12" t="str">
        <f>HYPERLINK("https://ceds.ed.gov/elementComment.aspx?elementName=Referral Outcome &amp;elementID=18454", "Click here to submit comment")</f>
        <v>Click here to submit comment</v>
      </c>
    </row>
    <row r="1638" spans="1:14" ht="38.25" x14ac:dyDescent="0.25">
      <c r="A1638" s="12" t="s">
        <v>7346</v>
      </c>
      <c r="B1638" s="12" t="s">
        <v>7347</v>
      </c>
      <c r="C1638" s="12" t="s">
        <v>24</v>
      </c>
      <c r="D1638" s="12" t="s">
        <v>3840</v>
      </c>
      <c r="E1638" s="11"/>
      <c r="F1638" s="11"/>
      <c r="G1638" s="11"/>
      <c r="H1638" s="11"/>
      <c r="I1638" s="12" t="s">
        <v>7348</v>
      </c>
      <c r="J1638" s="11"/>
      <c r="K1638" s="12" t="s">
        <v>7349</v>
      </c>
      <c r="L1638" s="12" t="s">
        <v>125</v>
      </c>
      <c r="M1638" s="12" t="str">
        <f>HYPERLINK("https://ceds.ed.gov/cedselementdetails.aspx?termid=17850")</f>
        <v>https://ceds.ed.gov/cedselementdetails.aspx?termid=17850</v>
      </c>
      <c r="N1638" s="12" t="str">
        <f>HYPERLINK("https://ceds.ed.gov/elementComment.aspx?elementName=Referral Policy &amp;elementID=17850", "Click here to submit comment")</f>
        <v>Click here to submit comment</v>
      </c>
    </row>
    <row r="1639" spans="1:14" ht="76.5" x14ac:dyDescent="0.25">
      <c r="A1639" s="12" t="s">
        <v>7350</v>
      </c>
      <c r="B1639" s="12" t="s">
        <v>7351</v>
      </c>
      <c r="C1639" s="12" t="s">
        <v>37</v>
      </c>
      <c r="D1639" s="12" t="s">
        <v>7337</v>
      </c>
      <c r="E1639" s="11"/>
      <c r="F1639" s="12" t="s">
        <v>382</v>
      </c>
      <c r="G1639" s="11"/>
      <c r="H1639" s="11"/>
      <c r="I1639" s="12" t="s">
        <v>7352</v>
      </c>
      <c r="J1639" s="11"/>
      <c r="K1639" s="12" t="s">
        <v>7353</v>
      </c>
      <c r="L1639" s="11"/>
      <c r="M1639" s="12" t="str">
        <f>HYPERLINK("https://ceds.ed.gov/cedselementdetails.aspx?termid=18455")</f>
        <v>https://ceds.ed.gov/cedselementdetails.aspx?termid=18455</v>
      </c>
      <c r="N1639" s="12" t="str">
        <f>HYPERLINK("https://ceds.ed.gov/elementComment.aspx?elementName=Referral Reason &amp;elementID=18455", "Click here to submit comment")</f>
        <v>Click here to submit comment</v>
      </c>
    </row>
    <row r="1640" spans="1:14" ht="76.5" x14ac:dyDescent="0.25">
      <c r="A1640" s="12" t="s">
        <v>7354</v>
      </c>
      <c r="B1640" s="12" t="s">
        <v>7355</v>
      </c>
      <c r="C1640" s="12" t="s">
        <v>37</v>
      </c>
      <c r="D1640" s="12" t="s">
        <v>7337</v>
      </c>
      <c r="E1640" s="11"/>
      <c r="F1640" s="12" t="s">
        <v>175</v>
      </c>
      <c r="G1640" s="11"/>
      <c r="H1640" s="11"/>
      <c r="I1640" s="12" t="s">
        <v>7356</v>
      </c>
      <c r="J1640" s="11"/>
      <c r="K1640" s="12" t="s">
        <v>7357</v>
      </c>
      <c r="L1640" s="11"/>
      <c r="M1640" s="12" t="str">
        <f>HYPERLINK("https://ceds.ed.gov/cedselementdetails.aspx?termid=18456")</f>
        <v>https://ceds.ed.gov/cedselementdetails.aspx?termid=18456</v>
      </c>
      <c r="N1640" s="12" t="str">
        <f>HYPERLINK("https://ceds.ed.gov/elementComment.aspx?elementName=Referral Source &amp;elementID=18456", "Click here to submit comment")</f>
        <v>Click here to submit comment</v>
      </c>
    </row>
    <row r="1641" spans="1:14" ht="25.5" x14ac:dyDescent="0.25">
      <c r="A1641" s="12" t="s">
        <v>7358</v>
      </c>
      <c r="B1641" s="12" t="s">
        <v>7359</v>
      </c>
      <c r="C1641" s="12" t="s">
        <v>37</v>
      </c>
      <c r="D1641" s="12" t="s">
        <v>7343</v>
      </c>
      <c r="E1641" s="11"/>
      <c r="F1641" s="12" t="s">
        <v>175</v>
      </c>
      <c r="G1641" s="11"/>
      <c r="H1641" s="11"/>
      <c r="I1641" s="12" t="s">
        <v>7360</v>
      </c>
      <c r="J1641" s="11"/>
      <c r="K1641" s="12" t="s">
        <v>7361</v>
      </c>
      <c r="L1641" s="11"/>
      <c r="M1641" s="12" t="str">
        <f>HYPERLINK("https://ceds.ed.gov/cedselementdetails.aspx?termid=18457")</f>
        <v>https://ceds.ed.gov/cedselementdetails.aspx?termid=18457</v>
      </c>
      <c r="N1641" s="12" t="str">
        <f>HYPERLINK("https://ceds.ed.gov/elementComment.aspx?elementName=Referral Type Received &amp;elementID=18457", "Click here to submit comment")</f>
        <v>Click here to submit comment</v>
      </c>
    </row>
    <row r="1642" spans="1:14" ht="25.5" x14ac:dyDescent="0.25">
      <c r="A1642" s="12" t="s">
        <v>7362</v>
      </c>
      <c r="B1642" s="12" t="s">
        <v>7363</v>
      </c>
      <c r="C1642" s="12" t="s">
        <v>37</v>
      </c>
      <c r="D1642" s="12" t="s">
        <v>7343</v>
      </c>
      <c r="E1642" s="11"/>
      <c r="F1642" s="12" t="s">
        <v>175</v>
      </c>
      <c r="G1642" s="11"/>
      <c r="H1642" s="11"/>
      <c r="I1642" s="12" t="s">
        <v>7364</v>
      </c>
      <c r="J1642" s="11"/>
      <c r="K1642" s="12" t="s">
        <v>7365</v>
      </c>
      <c r="L1642" s="11"/>
      <c r="M1642" s="12" t="str">
        <f>HYPERLINK("https://ceds.ed.gov/cedselementdetails.aspx?termid=18458")</f>
        <v>https://ceds.ed.gov/cedselementdetails.aspx?termid=18458</v>
      </c>
      <c r="N1642" s="12" t="str">
        <f>HYPERLINK("https://ceds.ed.gov/elementComment.aspx?elementName=Referred To &amp;elementID=18458", "Click here to submit comment")</f>
        <v>Click here to submit comment</v>
      </c>
    </row>
    <row r="1643" spans="1:14" ht="76.5" x14ac:dyDescent="0.25">
      <c r="A1643" s="12" t="s">
        <v>7366</v>
      </c>
      <c r="B1643" s="12" t="s">
        <v>7367</v>
      </c>
      <c r="C1643" s="13" t="s">
        <v>7368</v>
      </c>
      <c r="D1643" s="12" t="s">
        <v>1738</v>
      </c>
      <c r="E1643" s="11"/>
      <c r="F1643" s="11"/>
      <c r="G1643" s="11"/>
      <c r="H1643" s="11"/>
      <c r="I1643" s="12" t="s">
        <v>7369</v>
      </c>
      <c r="J1643" s="11"/>
      <c r="K1643" s="12" t="s">
        <v>7370</v>
      </c>
      <c r="L1643" s="11"/>
      <c r="M1643" s="12" t="str">
        <f>HYPERLINK("https://ceds.ed.gov/cedselementdetails.aspx?termid=18601")</f>
        <v>https://ceds.ed.gov/cedselementdetails.aspx?termid=18601</v>
      </c>
      <c r="N1643" s="12" t="str">
        <f>HYPERLINK("https://ceds.ed.gov/elementComment.aspx?elementName=Reimbursement Type &amp;elementID=18601", "Click here to submit comment")</f>
        <v>Click here to submit comment</v>
      </c>
    </row>
    <row r="1644" spans="1:14" ht="76.5" x14ac:dyDescent="0.25">
      <c r="A1644" s="12" t="s">
        <v>7371</v>
      </c>
      <c r="B1644" s="12" t="s">
        <v>7372</v>
      </c>
      <c r="C1644" s="12" t="s">
        <v>37</v>
      </c>
      <c r="D1644" s="12" t="s">
        <v>3031</v>
      </c>
      <c r="E1644" s="11"/>
      <c r="F1644" s="12" t="s">
        <v>175</v>
      </c>
      <c r="G1644" s="11"/>
      <c r="H1644" s="11"/>
      <c r="I1644" s="12" t="s">
        <v>7373</v>
      </c>
      <c r="J1644" s="12" t="s">
        <v>7374</v>
      </c>
      <c r="K1644" s="12" t="s">
        <v>7375</v>
      </c>
      <c r="L1644" s="11"/>
      <c r="M1644" s="12" t="str">
        <f>HYPERLINK("https://ceds.ed.gov/cedselementdetails.aspx?termid=17231")</f>
        <v>https://ceds.ed.gov/cedselementdetails.aspx?termid=17231</v>
      </c>
      <c r="N1644" s="12" t="str">
        <f>HYPERLINK("https://ceds.ed.gov/elementComment.aspx?elementName=Related Competency Definitions &amp;elementID=17231", "Click here to submit comment")</f>
        <v>Click here to submit comment</v>
      </c>
    </row>
    <row r="1645" spans="1:14" ht="51" x14ac:dyDescent="0.25">
      <c r="A1645" s="12" t="s">
        <v>7376</v>
      </c>
      <c r="B1645" s="12" t="s">
        <v>7377</v>
      </c>
      <c r="C1645" s="12" t="s">
        <v>24</v>
      </c>
      <c r="D1645" s="12" t="s">
        <v>3591</v>
      </c>
      <c r="E1645" s="11"/>
      <c r="F1645" s="11"/>
      <c r="G1645" s="11"/>
      <c r="H1645" s="11"/>
      <c r="I1645" s="12" t="s">
        <v>7378</v>
      </c>
      <c r="J1645" s="11"/>
      <c r="K1645" s="12" t="s">
        <v>7379</v>
      </c>
      <c r="L1645" s="11"/>
      <c r="M1645" s="12" t="str">
        <f>HYPERLINK("https://ceds.ed.gov/cedselementdetails.aspx?termid=17503")</f>
        <v>https://ceds.ed.gov/cedselementdetails.aspx?termid=17503</v>
      </c>
      <c r="N1645" s="12" t="str">
        <f>HYPERLINK("https://ceds.ed.gov/elementComment.aspx?elementName=Related to Zero Tolerance Policy &amp;elementID=17503", "Click here to submit comment")</f>
        <v>Click here to submit comment</v>
      </c>
    </row>
    <row r="1646" spans="1:14" ht="89.25" x14ac:dyDescent="0.25">
      <c r="A1646" s="12" t="s">
        <v>7380</v>
      </c>
      <c r="B1646" s="12" t="s">
        <v>7381</v>
      </c>
      <c r="C1646" s="12" t="s">
        <v>37</v>
      </c>
      <c r="D1646" s="12" t="s">
        <v>2841</v>
      </c>
      <c r="E1646" s="11"/>
      <c r="F1646" s="12" t="s">
        <v>135</v>
      </c>
      <c r="G1646" s="11"/>
      <c r="H1646" s="12" t="s">
        <v>2842</v>
      </c>
      <c r="I1646" s="12" t="s">
        <v>7382</v>
      </c>
      <c r="J1646" s="11"/>
      <c r="K1646" s="12" t="s">
        <v>7383</v>
      </c>
      <c r="L1646" s="11"/>
      <c r="M1646" s="12" t="str">
        <f>HYPERLINK("https://ceds.ed.gov/cedselementdetails.aspx?termid=18740")</f>
        <v>https://ceds.ed.gov/cedselementdetails.aspx?termid=18740</v>
      </c>
      <c r="N1646" s="12" t="str">
        <f>HYPERLINK("https://ceds.ed.gov/elementComment.aspx?elementName=Report Date &amp;elementID=18740", "Click here to submit comment")</f>
        <v>Click here to submit comment</v>
      </c>
    </row>
    <row r="1647" spans="1:14" ht="76.5" x14ac:dyDescent="0.25">
      <c r="A1647" s="15" t="s">
        <v>7384</v>
      </c>
      <c r="B1647" s="15" t="s">
        <v>7385</v>
      </c>
      <c r="C1647" s="15" t="s">
        <v>37</v>
      </c>
      <c r="D1647" s="15" t="s">
        <v>4651</v>
      </c>
      <c r="E1647" s="16"/>
      <c r="F1647" s="15" t="s">
        <v>149</v>
      </c>
      <c r="G1647" s="16"/>
      <c r="H1647" s="12" t="s">
        <v>150</v>
      </c>
      <c r="I1647" s="15" t="s">
        <v>7386</v>
      </c>
      <c r="J1647" s="16"/>
      <c r="K1647" s="15" t="s">
        <v>7387</v>
      </c>
      <c r="L1647" s="16"/>
      <c r="M1647" s="15" t="str">
        <f>HYPERLINK("https://ceds.ed.gov/cedselementdetails.aspx?termid=17498")</f>
        <v>https://ceds.ed.gov/cedselementdetails.aspx?termid=17498</v>
      </c>
      <c r="N1647" s="15" t="str">
        <f>HYPERLINK("https://ceds.ed.gov/elementComment.aspx?elementName=Reporter Identifier &amp;elementID=17498", "Click here to submit comment")</f>
        <v>Click here to submit comment</v>
      </c>
    </row>
    <row r="1648" spans="1:14" x14ac:dyDescent="0.25">
      <c r="A1648" s="15"/>
      <c r="B1648" s="15"/>
      <c r="C1648" s="15"/>
      <c r="D1648" s="15"/>
      <c r="E1648" s="16"/>
      <c r="F1648" s="15"/>
      <c r="G1648" s="16"/>
      <c r="H1648" s="12"/>
      <c r="I1648" s="15"/>
      <c r="J1648" s="16"/>
      <c r="K1648" s="15"/>
      <c r="L1648" s="16"/>
      <c r="M1648" s="15"/>
      <c r="N1648" s="15"/>
    </row>
    <row r="1649" spans="1:14" ht="76.5" x14ac:dyDescent="0.25">
      <c r="A1649" s="15"/>
      <c r="B1649" s="15"/>
      <c r="C1649" s="15"/>
      <c r="D1649" s="15"/>
      <c r="E1649" s="16"/>
      <c r="F1649" s="15"/>
      <c r="G1649" s="16"/>
      <c r="H1649" s="12" t="s">
        <v>153</v>
      </c>
      <c r="I1649" s="15"/>
      <c r="J1649" s="16"/>
      <c r="K1649" s="15"/>
      <c r="L1649" s="16"/>
      <c r="M1649" s="15"/>
      <c r="N1649" s="15"/>
    </row>
    <row r="1650" spans="1:14" ht="280.5" x14ac:dyDescent="0.25">
      <c r="A1650" s="12" t="s">
        <v>7388</v>
      </c>
      <c r="B1650" s="12" t="s">
        <v>7389</v>
      </c>
      <c r="C1650" s="13" t="s">
        <v>5210</v>
      </c>
      <c r="D1650" s="12" t="s">
        <v>3840</v>
      </c>
      <c r="E1650" s="11"/>
      <c r="F1650" s="11"/>
      <c r="G1650" s="11"/>
      <c r="H1650" s="11"/>
      <c r="I1650" s="12" t="s">
        <v>7390</v>
      </c>
      <c r="J1650" s="11"/>
      <c r="K1650" s="12" t="s">
        <v>7391</v>
      </c>
      <c r="L1650" s="12" t="s">
        <v>2291</v>
      </c>
      <c r="M1650" s="12" t="str">
        <f>HYPERLINK("https://ceds.ed.gov/cedselementdetails.aspx?termid=17307")</f>
        <v>https://ceds.ed.gov/cedselementdetails.aspx?termid=17307</v>
      </c>
      <c r="N1650" s="12" t="str">
        <f>HYPERLINK("https://ceds.ed.gov/elementComment.aspx?elementName=Required Immunization &amp;elementID=17307", "Click here to submit comment")</f>
        <v>Click here to submit comment</v>
      </c>
    </row>
    <row r="1651" spans="1:14" ht="63.75" x14ac:dyDescent="0.25">
      <c r="A1651" s="12" t="s">
        <v>7392</v>
      </c>
      <c r="B1651" s="12" t="s">
        <v>7393</v>
      </c>
      <c r="C1651" s="12" t="s">
        <v>37</v>
      </c>
      <c r="D1651" s="12" t="s">
        <v>275</v>
      </c>
      <c r="E1651" s="11"/>
      <c r="F1651" s="12" t="s">
        <v>1710</v>
      </c>
      <c r="G1651" s="11"/>
      <c r="H1651" s="12" t="s">
        <v>432</v>
      </c>
      <c r="I1651" s="12" t="s">
        <v>7394</v>
      </c>
      <c r="J1651" s="11"/>
      <c r="K1651" s="12" t="s">
        <v>7395</v>
      </c>
      <c r="L1651" s="12" t="s">
        <v>1769</v>
      </c>
      <c r="M1651" s="12" t="str">
        <f>HYPERLINK("https://ceds.ed.gov/cedselementdetails.aspx?termid=17726")</f>
        <v>https://ceds.ed.gov/cedselementdetails.aspx?termid=17726</v>
      </c>
      <c r="N1651" s="12" t="str">
        <f>HYPERLINK("https://ceds.ed.gov/elementComment.aspx?elementName=Required Student Fees &amp;elementID=17726", "Click here to submit comment")</f>
        <v>Click here to submit comment</v>
      </c>
    </row>
    <row r="1652" spans="1:14" ht="38.25" x14ac:dyDescent="0.25">
      <c r="A1652" s="12" t="s">
        <v>7396</v>
      </c>
      <c r="B1652" s="12" t="s">
        <v>7397</v>
      </c>
      <c r="C1652" s="12" t="s">
        <v>37</v>
      </c>
      <c r="D1652" s="12" t="s">
        <v>2141</v>
      </c>
      <c r="E1652" s="11"/>
      <c r="F1652" s="12" t="s">
        <v>1710</v>
      </c>
      <c r="G1652" s="11"/>
      <c r="H1652" s="11"/>
      <c r="I1652" s="12" t="s">
        <v>7398</v>
      </c>
      <c r="J1652" s="11"/>
      <c r="K1652" s="12" t="s">
        <v>7399</v>
      </c>
      <c r="L1652" s="12" t="s">
        <v>238</v>
      </c>
      <c r="M1652" s="12" t="str">
        <f>HYPERLINK("https://ceds.ed.gov/cedselementdetails.aspx?termid=17803")</f>
        <v>https://ceds.ed.gov/cedselementdetails.aspx?termid=17803</v>
      </c>
      <c r="N1652" s="12" t="str">
        <f>HYPERLINK("https://ceds.ed.gov/elementComment.aspx?elementName=Required Training Clock Hours &amp;elementID=17803", "Click here to submit comment")</f>
        <v>Click here to submit comment</v>
      </c>
    </row>
    <row r="1653" spans="1:14" ht="76.5" x14ac:dyDescent="0.25">
      <c r="A1653" s="15" t="s">
        <v>7400</v>
      </c>
      <c r="B1653" s="15" t="s">
        <v>7401</v>
      </c>
      <c r="C1653" s="15" t="s">
        <v>37</v>
      </c>
      <c r="D1653" s="15" t="s">
        <v>3635</v>
      </c>
      <c r="E1653" s="16"/>
      <c r="F1653" s="15" t="s">
        <v>149</v>
      </c>
      <c r="G1653" s="16"/>
      <c r="H1653" s="12" t="s">
        <v>150</v>
      </c>
      <c r="I1653" s="15" t="s">
        <v>7402</v>
      </c>
      <c r="J1653" s="16"/>
      <c r="K1653" s="15" t="s">
        <v>7403</v>
      </c>
      <c r="L1653" s="15" t="s">
        <v>258</v>
      </c>
      <c r="M1653" s="15" t="str">
        <f>HYPERLINK("https://ceds.ed.gov/cedselementdetails.aspx?termid=17639")</f>
        <v>https://ceds.ed.gov/cedselementdetails.aspx?termid=17639</v>
      </c>
      <c r="N1653" s="15" t="str">
        <f>HYPERLINK("https://ceds.ed.gov/elementComment.aspx?elementName=Responsible District Identifier &amp;elementID=17639", "Click here to submit comment")</f>
        <v>Click here to submit comment</v>
      </c>
    </row>
    <row r="1654" spans="1:14" x14ac:dyDescent="0.25">
      <c r="A1654" s="15"/>
      <c r="B1654" s="15"/>
      <c r="C1654" s="15"/>
      <c r="D1654" s="15"/>
      <c r="E1654" s="16"/>
      <c r="F1654" s="15"/>
      <c r="G1654" s="16"/>
      <c r="H1654" s="12"/>
      <c r="I1654" s="15"/>
      <c r="J1654" s="16"/>
      <c r="K1654" s="15"/>
      <c r="L1654" s="15"/>
      <c r="M1654" s="15"/>
      <c r="N1654" s="15"/>
    </row>
    <row r="1655" spans="1:14" ht="76.5" x14ac:dyDescent="0.25">
      <c r="A1655" s="15"/>
      <c r="B1655" s="15"/>
      <c r="C1655" s="15"/>
      <c r="D1655" s="15"/>
      <c r="E1655" s="16"/>
      <c r="F1655" s="15"/>
      <c r="G1655" s="16"/>
      <c r="H1655" s="12" t="s">
        <v>153</v>
      </c>
      <c r="I1655" s="15"/>
      <c r="J1655" s="16"/>
      <c r="K1655" s="15"/>
      <c r="L1655" s="15"/>
      <c r="M1655" s="15"/>
      <c r="N1655" s="15"/>
    </row>
    <row r="1656" spans="1:14" ht="102" x14ac:dyDescent="0.25">
      <c r="A1656" s="12" t="s">
        <v>7404</v>
      </c>
      <c r="B1656" s="12" t="s">
        <v>7405</v>
      </c>
      <c r="C1656" s="13" t="s">
        <v>7406</v>
      </c>
      <c r="D1656" s="12" t="s">
        <v>4126</v>
      </c>
      <c r="E1656" s="11"/>
      <c r="F1656" s="11"/>
      <c r="G1656" s="11"/>
      <c r="H1656" s="11"/>
      <c r="I1656" s="12" t="s">
        <v>7407</v>
      </c>
      <c r="J1656" s="11"/>
      <c r="K1656" s="12" t="s">
        <v>7408</v>
      </c>
      <c r="L1656" s="12" t="s">
        <v>258</v>
      </c>
      <c r="M1656" s="12" t="str">
        <f>HYPERLINK("https://ceds.ed.gov/cedselementdetails.aspx?termid=17587")</f>
        <v>https://ceds.ed.gov/cedselementdetails.aspx?termid=17587</v>
      </c>
      <c r="N1656" s="12" t="str">
        <f>HYPERLINK("https://ceds.ed.gov/elementComment.aspx?elementName=Responsible District Type &amp;elementID=17587", "Click here to submit comment")</f>
        <v>Click here to submit comment</v>
      </c>
    </row>
    <row r="1657" spans="1:14" ht="51" x14ac:dyDescent="0.25">
      <c r="A1657" s="15" t="s">
        <v>7409</v>
      </c>
      <c r="B1657" s="15" t="s">
        <v>7410</v>
      </c>
      <c r="C1657" s="15" t="s">
        <v>37</v>
      </c>
      <c r="D1657" s="15" t="s">
        <v>7411</v>
      </c>
      <c r="E1657" s="16"/>
      <c r="F1657" s="15" t="s">
        <v>149</v>
      </c>
      <c r="G1657" s="16"/>
      <c r="H1657" s="12" t="s">
        <v>7412</v>
      </c>
      <c r="I1657" s="15" t="s">
        <v>7413</v>
      </c>
      <c r="J1657" s="16"/>
      <c r="K1657" s="15" t="s">
        <v>7414</v>
      </c>
      <c r="L1657" s="16"/>
      <c r="M1657" s="15" t="str">
        <f>HYPERLINK("https://ceds.ed.gov/cedselementdetails.aspx?termid=18438")</f>
        <v>https://ceds.ed.gov/cedselementdetails.aspx?termid=18438</v>
      </c>
      <c r="N1657" s="15" t="str">
        <f>HYPERLINK("https://ceds.ed.gov/elementComment.aspx?elementName=Responsible Organization Identifier &amp;elementID=18438", "Click here to submit comment")</f>
        <v>Click here to submit comment</v>
      </c>
    </row>
    <row r="1658" spans="1:14" x14ac:dyDescent="0.25">
      <c r="A1658" s="15"/>
      <c r="B1658" s="15"/>
      <c r="C1658" s="15"/>
      <c r="D1658" s="15"/>
      <c r="E1658" s="16"/>
      <c r="F1658" s="15"/>
      <c r="G1658" s="16"/>
      <c r="H1658" s="11"/>
      <c r="I1658" s="15"/>
      <c r="J1658" s="16"/>
      <c r="K1658" s="15"/>
      <c r="L1658" s="16"/>
      <c r="M1658" s="15"/>
      <c r="N1658" s="15"/>
    </row>
    <row r="1659" spans="1:14" ht="76.5" x14ac:dyDescent="0.25">
      <c r="A1659" s="15"/>
      <c r="B1659" s="15"/>
      <c r="C1659" s="15"/>
      <c r="D1659" s="15"/>
      <c r="E1659" s="16"/>
      <c r="F1659" s="15"/>
      <c r="G1659" s="16"/>
      <c r="H1659" s="12" t="s">
        <v>150</v>
      </c>
      <c r="I1659" s="15"/>
      <c r="J1659" s="16"/>
      <c r="K1659" s="15"/>
      <c r="L1659" s="16"/>
      <c r="M1659" s="15"/>
      <c r="N1659" s="15"/>
    </row>
    <row r="1660" spans="1:14" x14ac:dyDescent="0.25">
      <c r="A1660" s="15"/>
      <c r="B1660" s="15"/>
      <c r="C1660" s="15"/>
      <c r="D1660" s="15"/>
      <c r="E1660" s="16"/>
      <c r="F1660" s="15"/>
      <c r="G1660" s="16"/>
      <c r="H1660" s="12"/>
      <c r="I1660" s="15"/>
      <c r="J1660" s="16"/>
      <c r="K1660" s="15"/>
      <c r="L1660" s="16"/>
      <c r="M1660" s="15"/>
      <c r="N1660" s="15"/>
    </row>
    <row r="1661" spans="1:14" ht="76.5" x14ac:dyDescent="0.25">
      <c r="A1661" s="15"/>
      <c r="B1661" s="15"/>
      <c r="C1661" s="15"/>
      <c r="D1661" s="15"/>
      <c r="E1661" s="16"/>
      <c r="F1661" s="15"/>
      <c r="G1661" s="16"/>
      <c r="H1661" s="12" t="s">
        <v>153</v>
      </c>
      <c r="I1661" s="15"/>
      <c r="J1661" s="16"/>
      <c r="K1661" s="15"/>
      <c r="L1661" s="16"/>
      <c r="M1661" s="15"/>
      <c r="N1661" s="15"/>
    </row>
    <row r="1662" spans="1:14" ht="102" x14ac:dyDescent="0.25">
      <c r="A1662" s="12" t="s">
        <v>7415</v>
      </c>
      <c r="B1662" s="12" t="s">
        <v>7416</v>
      </c>
      <c r="C1662" s="13" t="s">
        <v>7406</v>
      </c>
      <c r="D1662" s="12" t="s">
        <v>7411</v>
      </c>
      <c r="E1662" s="11"/>
      <c r="F1662" s="11"/>
      <c r="G1662" s="11"/>
      <c r="H1662" s="12" t="s">
        <v>7412</v>
      </c>
      <c r="I1662" s="12" t="s">
        <v>7417</v>
      </c>
      <c r="J1662" s="11"/>
      <c r="K1662" s="12" t="s">
        <v>7418</v>
      </c>
      <c r="L1662" s="11"/>
      <c r="M1662" s="12" t="str">
        <f>HYPERLINK("https://ceds.ed.gov/cedselementdetails.aspx?termid=18439")</f>
        <v>https://ceds.ed.gov/cedselementdetails.aspx?termid=18439</v>
      </c>
      <c r="N1662" s="12" t="str">
        <f>HYPERLINK("https://ceds.ed.gov/elementComment.aspx?elementName=Responsible Organization Type &amp;elementID=18439", "Click here to submit comment")</f>
        <v>Click here to submit comment</v>
      </c>
    </row>
    <row r="1663" spans="1:14" ht="76.5" x14ac:dyDescent="0.25">
      <c r="A1663" s="15" t="s">
        <v>7419</v>
      </c>
      <c r="B1663" s="15" t="s">
        <v>7420</v>
      </c>
      <c r="C1663" s="15" t="s">
        <v>37</v>
      </c>
      <c r="D1663" s="15" t="s">
        <v>3635</v>
      </c>
      <c r="E1663" s="16"/>
      <c r="F1663" s="15" t="s">
        <v>149</v>
      </c>
      <c r="G1663" s="16"/>
      <c r="H1663" s="12" t="s">
        <v>150</v>
      </c>
      <c r="I1663" s="15" t="s">
        <v>7421</v>
      </c>
      <c r="J1663" s="16"/>
      <c r="K1663" s="15" t="s">
        <v>7422</v>
      </c>
      <c r="L1663" s="15" t="s">
        <v>258</v>
      </c>
      <c r="M1663" s="15" t="str">
        <f>HYPERLINK("https://ceds.ed.gov/cedselementdetails.aspx?termid=17640")</f>
        <v>https://ceds.ed.gov/cedselementdetails.aspx?termid=17640</v>
      </c>
      <c r="N1663" s="15" t="str">
        <f>HYPERLINK("https://ceds.ed.gov/elementComment.aspx?elementName=Responsible School Identifier &amp;elementID=17640", "Click here to submit comment")</f>
        <v>Click here to submit comment</v>
      </c>
    </row>
    <row r="1664" spans="1:14" x14ac:dyDescent="0.25">
      <c r="A1664" s="15"/>
      <c r="B1664" s="15"/>
      <c r="C1664" s="15"/>
      <c r="D1664" s="15"/>
      <c r="E1664" s="16"/>
      <c r="F1664" s="15"/>
      <c r="G1664" s="16"/>
      <c r="H1664" s="12"/>
      <c r="I1664" s="15"/>
      <c r="J1664" s="16"/>
      <c r="K1664" s="15"/>
      <c r="L1664" s="15"/>
      <c r="M1664" s="15"/>
      <c r="N1664" s="15"/>
    </row>
    <row r="1665" spans="1:14" ht="76.5" x14ac:dyDescent="0.25">
      <c r="A1665" s="15"/>
      <c r="B1665" s="15"/>
      <c r="C1665" s="15"/>
      <c r="D1665" s="15"/>
      <c r="E1665" s="16"/>
      <c r="F1665" s="15"/>
      <c r="G1665" s="16"/>
      <c r="H1665" s="12" t="s">
        <v>153</v>
      </c>
      <c r="I1665" s="15"/>
      <c r="J1665" s="16"/>
      <c r="K1665" s="15"/>
      <c r="L1665" s="15"/>
      <c r="M1665" s="15"/>
      <c r="N1665" s="15"/>
    </row>
    <row r="1666" spans="1:14" ht="102" x14ac:dyDescent="0.25">
      <c r="A1666" s="12" t="s">
        <v>7423</v>
      </c>
      <c r="B1666" s="12" t="s">
        <v>7424</v>
      </c>
      <c r="C1666" s="13" t="s">
        <v>7406</v>
      </c>
      <c r="D1666" s="12" t="s">
        <v>4126</v>
      </c>
      <c r="E1666" s="11"/>
      <c r="F1666" s="11"/>
      <c r="G1666" s="11"/>
      <c r="H1666" s="11"/>
      <c r="I1666" s="12" t="s">
        <v>7425</v>
      </c>
      <c r="J1666" s="11"/>
      <c r="K1666" s="12" t="s">
        <v>7426</v>
      </c>
      <c r="L1666" s="12" t="s">
        <v>258</v>
      </c>
      <c r="M1666" s="12" t="str">
        <f>HYPERLINK("https://ceds.ed.gov/cedselementdetails.aspx?termid=17588")</f>
        <v>https://ceds.ed.gov/cedselementdetails.aspx?termid=17588</v>
      </c>
      <c r="N1666" s="12" t="str">
        <f>HYPERLINK("https://ceds.ed.gov/elementComment.aspx?elementName=Responsible School Type &amp;elementID=17588", "Click here to submit comment")</f>
        <v>Click here to submit comment</v>
      </c>
    </row>
    <row r="1667" spans="1:14" ht="140.25" x14ac:dyDescent="0.25">
      <c r="A1667" s="12" t="s">
        <v>7427</v>
      </c>
      <c r="B1667" s="12" t="s">
        <v>7428</v>
      </c>
      <c r="C1667" s="13" t="s">
        <v>7429</v>
      </c>
      <c r="D1667" s="12" t="s">
        <v>2836</v>
      </c>
      <c r="E1667" s="11"/>
      <c r="F1667" s="11"/>
      <c r="G1667" s="11"/>
      <c r="H1667" s="11"/>
      <c r="I1667" s="12" t="s">
        <v>7430</v>
      </c>
      <c r="J1667" s="11"/>
      <c r="K1667" s="12" t="s">
        <v>7431</v>
      </c>
      <c r="L1667" s="12" t="s">
        <v>258</v>
      </c>
      <c r="M1667" s="12" t="str">
        <f>HYPERLINK("https://ceds.ed.gov/cedselementdetails.aspx?termid=17232")</f>
        <v>https://ceds.ed.gov/cedselementdetails.aspx?termid=17232</v>
      </c>
      <c r="N1667" s="12" t="str">
        <f>HYPERLINK("https://ceds.ed.gov/elementComment.aspx?elementName=Restructuring Action &amp;elementID=17232", "Click here to submit comment")</f>
        <v>Click here to submit comment</v>
      </c>
    </row>
    <row r="1668" spans="1:14" ht="51" x14ac:dyDescent="0.25">
      <c r="A1668" s="12" t="s">
        <v>7432</v>
      </c>
      <c r="B1668" s="12" t="s">
        <v>7433</v>
      </c>
      <c r="C1668" s="12" t="s">
        <v>37</v>
      </c>
      <c r="D1668" s="12" t="s">
        <v>275</v>
      </c>
      <c r="E1668" s="11"/>
      <c r="F1668" s="12" t="s">
        <v>1710</v>
      </c>
      <c r="G1668" s="11"/>
      <c r="H1668" s="12" t="s">
        <v>432</v>
      </c>
      <c r="I1668" s="12" t="s">
        <v>7434</v>
      </c>
      <c r="J1668" s="11"/>
      <c r="K1668" s="12" t="s">
        <v>7435</v>
      </c>
      <c r="L1668" s="12" t="s">
        <v>1769</v>
      </c>
      <c r="M1668" s="12" t="str">
        <f>HYPERLINK("https://ceds.ed.gov/cedselementdetails.aspx?termid=17728")</f>
        <v>https://ceds.ed.gov/cedselementdetails.aspx?termid=17728</v>
      </c>
      <c r="N1668" s="12" t="str">
        <f>HYPERLINK("https://ceds.ed.gov/elementComment.aspx?elementName=Room Charges &amp;elementID=17728", "Click here to submit comment")</f>
        <v>Click here to submit comment</v>
      </c>
    </row>
    <row r="1669" spans="1:14" ht="38.25" x14ac:dyDescent="0.25">
      <c r="A1669" s="12" t="s">
        <v>7436</v>
      </c>
      <c r="B1669" s="12" t="s">
        <v>7437</v>
      </c>
      <c r="C1669" s="12" t="s">
        <v>37</v>
      </c>
      <c r="D1669" s="12" t="s">
        <v>7438</v>
      </c>
      <c r="E1669" s="11"/>
      <c r="F1669" s="12" t="s">
        <v>97</v>
      </c>
      <c r="G1669" s="11"/>
      <c r="H1669" s="11"/>
      <c r="I1669" s="12" t="s">
        <v>7439</v>
      </c>
      <c r="J1669" s="11"/>
      <c r="K1669" s="12" t="s">
        <v>7440</v>
      </c>
      <c r="L1669" s="11"/>
      <c r="M1669" s="12" t="str">
        <f>HYPERLINK("https://ceds.ed.gov/cedselementdetails.aspx?termid=18441")</f>
        <v>https://ceds.ed.gov/cedselementdetails.aspx?termid=18441</v>
      </c>
      <c r="N1669" s="12" t="str">
        <f>HYPERLINK("https://ceds.ed.gov/elementComment.aspx?elementName=Rubric Criterion Category &amp;elementID=18441", "Click here to submit comment")</f>
        <v>Click here to submit comment</v>
      </c>
    </row>
    <row r="1670" spans="1:14" ht="38.25" x14ac:dyDescent="0.25">
      <c r="A1670" s="12" t="s">
        <v>7441</v>
      </c>
      <c r="B1670" s="12" t="s">
        <v>7442</v>
      </c>
      <c r="C1670" s="12" t="s">
        <v>37</v>
      </c>
      <c r="D1670" s="12" t="s">
        <v>7438</v>
      </c>
      <c r="E1670" s="11"/>
      <c r="F1670" s="12" t="s">
        <v>382</v>
      </c>
      <c r="G1670" s="11"/>
      <c r="H1670" s="11"/>
      <c r="I1670" s="12" t="s">
        <v>7443</v>
      </c>
      <c r="J1670" s="11"/>
      <c r="K1670" s="12" t="s">
        <v>7444</v>
      </c>
      <c r="L1670" s="11"/>
      <c r="M1670" s="12" t="str">
        <f>HYPERLINK("https://ceds.ed.gov/cedselementdetails.aspx?termid=18442")</f>
        <v>https://ceds.ed.gov/cedselementdetails.aspx?termid=18442</v>
      </c>
      <c r="N1670" s="12" t="str">
        <f>HYPERLINK("https://ceds.ed.gov/elementComment.aspx?elementName=Rubric Criterion Description &amp;elementID=18442", "Click here to submit comment")</f>
        <v>Click here to submit comment</v>
      </c>
    </row>
    <row r="1671" spans="1:14" ht="51" x14ac:dyDescent="0.25">
      <c r="A1671" s="12" t="s">
        <v>7445</v>
      </c>
      <c r="B1671" s="12" t="s">
        <v>7446</v>
      </c>
      <c r="C1671" s="12" t="s">
        <v>37</v>
      </c>
      <c r="D1671" s="12" t="s">
        <v>7438</v>
      </c>
      <c r="E1671" s="11"/>
      <c r="F1671" s="12" t="s">
        <v>382</v>
      </c>
      <c r="G1671" s="11"/>
      <c r="H1671" s="11"/>
      <c r="I1671" s="12" t="s">
        <v>7447</v>
      </c>
      <c r="J1671" s="11"/>
      <c r="K1671" s="12" t="s">
        <v>7448</v>
      </c>
      <c r="L1671" s="11"/>
      <c r="M1671" s="12" t="str">
        <f>HYPERLINK("https://ceds.ed.gov/cedselementdetails.aspx?termid=18443")</f>
        <v>https://ceds.ed.gov/cedselementdetails.aspx?termid=18443</v>
      </c>
      <c r="N1671" s="12" t="str">
        <f>HYPERLINK("https://ceds.ed.gov/elementComment.aspx?elementName=Rubric Criterion Level Description &amp;elementID=18443", "Click here to submit comment")</f>
        <v>Click here to submit comment</v>
      </c>
    </row>
    <row r="1672" spans="1:14" ht="51" x14ac:dyDescent="0.25">
      <c r="A1672" s="12" t="s">
        <v>7449</v>
      </c>
      <c r="B1672" s="12" t="s">
        <v>7450</v>
      </c>
      <c r="C1672" s="12" t="s">
        <v>37</v>
      </c>
      <c r="D1672" s="12" t="s">
        <v>7438</v>
      </c>
      <c r="E1672" s="11"/>
      <c r="F1672" s="12" t="s">
        <v>382</v>
      </c>
      <c r="G1672" s="11"/>
      <c r="H1672" s="11"/>
      <c r="I1672" s="12" t="s">
        <v>7451</v>
      </c>
      <c r="J1672" s="11"/>
      <c r="K1672" s="12" t="s">
        <v>7452</v>
      </c>
      <c r="L1672" s="11"/>
      <c r="M1672" s="12" t="str">
        <f>HYPERLINK("https://ceds.ed.gov/cedselementdetails.aspx?termid=18444")</f>
        <v>https://ceds.ed.gov/cedselementdetails.aspx?termid=18444</v>
      </c>
      <c r="N1672" s="12" t="str">
        <f>HYPERLINK("https://ceds.ed.gov/elementComment.aspx?elementName=Rubric Criterion Level Feedback &amp;elementID=18444", "Click here to submit comment")</f>
        <v>Click here to submit comment</v>
      </c>
    </row>
    <row r="1673" spans="1:14" ht="38.25" x14ac:dyDescent="0.25">
      <c r="A1673" s="12" t="s">
        <v>7453</v>
      </c>
      <c r="B1673" s="12" t="s">
        <v>7454</v>
      </c>
      <c r="C1673" s="12" t="s">
        <v>37</v>
      </c>
      <c r="D1673" s="12" t="s">
        <v>7438</v>
      </c>
      <c r="E1673" s="11"/>
      <c r="F1673" s="12" t="s">
        <v>165</v>
      </c>
      <c r="G1673" s="11"/>
      <c r="H1673" s="11"/>
      <c r="I1673" s="12" t="s">
        <v>7455</v>
      </c>
      <c r="J1673" s="11"/>
      <c r="K1673" s="12" t="s">
        <v>7456</v>
      </c>
      <c r="L1673" s="11"/>
      <c r="M1673" s="12" t="str">
        <f>HYPERLINK("https://ceds.ed.gov/cedselementdetails.aspx?termid=18445")</f>
        <v>https://ceds.ed.gov/cedselementdetails.aspx?termid=18445</v>
      </c>
      <c r="N1673" s="12" t="str">
        <f>HYPERLINK("https://ceds.ed.gov/elementComment.aspx?elementName=Rubric Criterion Level Position &amp;elementID=18445", "Click here to submit comment")</f>
        <v>Click here to submit comment</v>
      </c>
    </row>
    <row r="1674" spans="1:14" ht="38.25" x14ac:dyDescent="0.25">
      <c r="A1674" s="12" t="s">
        <v>7457</v>
      </c>
      <c r="B1674" s="12" t="s">
        <v>7458</v>
      </c>
      <c r="C1674" s="12" t="s">
        <v>37</v>
      </c>
      <c r="D1674" s="12" t="s">
        <v>7438</v>
      </c>
      <c r="E1674" s="11"/>
      <c r="F1674" s="12" t="s">
        <v>175</v>
      </c>
      <c r="G1674" s="11"/>
      <c r="H1674" s="11"/>
      <c r="I1674" s="12" t="s">
        <v>7459</v>
      </c>
      <c r="J1674" s="11"/>
      <c r="K1674" s="12" t="s">
        <v>7460</v>
      </c>
      <c r="L1674" s="11"/>
      <c r="M1674" s="12" t="str">
        <f>HYPERLINK("https://ceds.ed.gov/cedselementdetails.aspx?termid=18446")</f>
        <v>https://ceds.ed.gov/cedselementdetails.aspx?termid=18446</v>
      </c>
      <c r="N1674" s="12" t="str">
        <f>HYPERLINK("https://ceds.ed.gov/elementComment.aspx?elementName=Rubric Criterion Level Quality Label &amp;elementID=18446", "Click here to submit comment")</f>
        <v>Click here to submit comment</v>
      </c>
    </row>
    <row r="1675" spans="1:14" ht="38.25" x14ac:dyDescent="0.25">
      <c r="A1675" s="12" t="s">
        <v>7461</v>
      </c>
      <c r="B1675" s="12" t="s">
        <v>7462</v>
      </c>
      <c r="C1675" s="12" t="s">
        <v>37</v>
      </c>
      <c r="D1675" s="12" t="s">
        <v>7438</v>
      </c>
      <c r="E1675" s="11"/>
      <c r="F1675" s="12" t="s">
        <v>165</v>
      </c>
      <c r="G1675" s="11"/>
      <c r="H1675" s="11"/>
      <c r="I1675" s="12" t="s">
        <v>7463</v>
      </c>
      <c r="J1675" s="11"/>
      <c r="K1675" s="12" t="s">
        <v>7464</v>
      </c>
      <c r="L1675" s="11"/>
      <c r="M1675" s="12" t="str">
        <f>HYPERLINK("https://ceds.ed.gov/cedselementdetails.aspx?termid=18447")</f>
        <v>https://ceds.ed.gov/cedselementdetails.aspx?termid=18447</v>
      </c>
      <c r="N1675" s="12" t="str">
        <f>HYPERLINK("https://ceds.ed.gov/elementComment.aspx?elementName=Rubric Criterion Level Score &amp;elementID=18447", "Click here to submit comment")</f>
        <v>Click here to submit comment</v>
      </c>
    </row>
    <row r="1676" spans="1:14" ht="38.25" x14ac:dyDescent="0.25">
      <c r="A1676" s="12" t="s">
        <v>7465</v>
      </c>
      <c r="B1676" s="12" t="s">
        <v>7466</v>
      </c>
      <c r="C1676" s="12" t="s">
        <v>37</v>
      </c>
      <c r="D1676" s="12" t="s">
        <v>7438</v>
      </c>
      <c r="E1676" s="11"/>
      <c r="F1676" s="12" t="s">
        <v>165</v>
      </c>
      <c r="G1676" s="11"/>
      <c r="H1676" s="11"/>
      <c r="I1676" s="12" t="s">
        <v>7467</v>
      </c>
      <c r="J1676" s="11"/>
      <c r="K1676" s="12" t="s">
        <v>7468</v>
      </c>
      <c r="L1676" s="11"/>
      <c r="M1676" s="12" t="str">
        <f>HYPERLINK("https://ceds.ed.gov/cedselementdetails.aspx?termid=18448")</f>
        <v>https://ceds.ed.gov/cedselementdetails.aspx?termid=18448</v>
      </c>
      <c r="N1676" s="12" t="str">
        <f>HYPERLINK("https://ceds.ed.gov/elementComment.aspx?elementName=Rubric Criterion Position &amp;elementID=18448", "Click here to submit comment")</f>
        <v>Click here to submit comment</v>
      </c>
    </row>
    <row r="1677" spans="1:14" ht="38.25" x14ac:dyDescent="0.25">
      <c r="A1677" s="12" t="s">
        <v>7469</v>
      </c>
      <c r="B1677" s="12" t="s">
        <v>7470</v>
      </c>
      <c r="C1677" s="12" t="s">
        <v>37</v>
      </c>
      <c r="D1677" s="12" t="s">
        <v>7438</v>
      </c>
      <c r="E1677" s="11"/>
      <c r="F1677" s="12" t="s">
        <v>175</v>
      </c>
      <c r="G1677" s="11"/>
      <c r="H1677" s="11"/>
      <c r="I1677" s="12" t="s">
        <v>7471</v>
      </c>
      <c r="J1677" s="11"/>
      <c r="K1677" s="12" t="s">
        <v>7472</v>
      </c>
      <c r="L1677" s="11"/>
      <c r="M1677" s="12" t="str">
        <f>HYPERLINK("https://ceds.ed.gov/cedselementdetails.aspx?termid=18449")</f>
        <v>https://ceds.ed.gov/cedselementdetails.aspx?termid=18449</v>
      </c>
      <c r="N1677" s="12" t="str">
        <f>HYPERLINK("https://ceds.ed.gov/elementComment.aspx?elementName=Rubric Criterion Title &amp;elementID=18449", "Click here to submit comment")</f>
        <v>Click here to submit comment</v>
      </c>
    </row>
    <row r="1678" spans="1:14" ht="38.25" x14ac:dyDescent="0.25">
      <c r="A1678" s="12" t="s">
        <v>7473</v>
      </c>
      <c r="B1678" s="12" t="s">
        <v>7474</v>
      </c>
      <c r="C1678" s="12" t="s">
        <v>37</v>
      </c>
      <c r="D1678" s="12" t="s">
        <v>7438</v>
      </c>
      <c r="E1678" s="11"/>
      <c r="F1678" s="12" t="s">
        <v>165</v>
      </c>
      <c r="G1678" s="11"/>
      <c r="H1678" s="11"/>
      <c r="I1678" s="12" t="s">
        <v>7475</v>
      </c>
      <c r="J1678" s="11"/>
      <c r="K1678" s="12" t="s">
        <v>7476</v>
      </c>
      <c r="L1678" s="11"/>
      <c r="M1678" s="12" t="str">
        <f>HYPERLINK("https://ceds.ed.gov/cedselementdetails.aspx?termid=18450")</f>
        <v>https://ceds.ed.gov/cedselementdetails.aspx?termid=18450</v>
      </c>
      <c r="N1678" s="12" t="str">
        <f>HYPERLINK("https://ceds.ed.gov/elementComment.aspx?elementName=Rubric Criterion Weight &amp;elementID=18450", "Click here to submit comment")</f>
        <v>Click here to submit comment</v>
      </c>
    </row>
    <row r="1679" spans="1:14" ht="38.25" x14ac:dyDescent="0.25">
      <c r="A1679" s="12" t="s">
        <v>7477</v>
      </c>
      <c r="B1679" s="12" t="s">
        <v>7478</v>
      </c>
      <c r="C1679" s="12" t="s">
        <v>37</v>
      </c>
      <c r="D1679" s="12" t="s">
        <v>7438</v>
      </c>
      <c r="E1679" s="11"/>
      <c r="F1679" s="12" t="s">
        <v>382</v>
      </c>
      <c r="G1679" s="11"/>
      <c r="H1679" s="11"/>
      <c r="I1679" s="12" t="s">
        <v>7479</v>
      </c>
      <c r="J1679" s="11"/>
      <c r="K1679" s="12" t="s">
        <v>7480</v>
      </c>
      <c r="L1679" s="11"/>
      <c r="M1679" s="12" t="str">
        <f>HYPERLINK("https://ceds.ed.gov/cedselementdetails.aspx?termid=18451")</f>
        <v>https://ceds.ed.gov/cedselementdetails.aspx?termid=18451</v>
      </c>
      <c r="N1679" s="12" t="str">
        <f>HYPERLINK("https://ceds.ed.gov/elementComment.aspx?elementName=Rubric Description &amp;elementID=18451", "Click here to submit comment")</f>
        <v>Click here to submit comment</v>
      </c>
    </row>
    <row r="1680" spans="1:14" ht="76.5" x14ac:dyDescent="0.25">
      <c r="A1680" s="15" t="s">
        <v>7481</v>
      </c>
      <c r="B1680" s="15" t="s">
        <v>7482</v>
      </c>
      <c r="C1680" s="15" t="s">
        <v>37</v>
      </c>
      <c r="D1680" s="15" t="s">
        <v>7438</v>
      </c>
      <c r="E1680" s="16"/>
      <c r="F1680" s="15" t="s">
        <v>149</v>
      </c>
      <c r="G1680" s="16"/>
      <c r="H1680" s="12" t="s">
        <v>150</v>
      </c>
      <c r="I1680" s="15" t="s">
        <v>7483</v>
      </c>
      <c r="J1680" s="16"/>
      <c r="K1680" s="15" t="s">
        <v>7484</v>
      </c>
      <c r="L1680" s="15" t="s">
        <v>727</v>
      </c>
      <c r="M1680" s="15" t="str">
        <f>HYPERLINK("https://ceds.ed.gov/cedselementdetails.aspx?termid=17412")</f>
        <v>https://ceds.ed.gov/cedselementdetails.aspx?termid=17412</v>
      </c>
      <c r="N1680" s="15" t="str">
        <f>HYPERLINK("https://ceds.ed.gov/elementComment.aspx?elementName=Rubric Identifier &amp;elementID=17412", "Click here to submit comment")</f>
        <v>Click here to submit comment</v>
      </c>
    </row>
    <row r="1681" spans="1:14" x14ac:dyDescent="0.25">
      <c r="A1681" s="15"/>
      <c r="B1681" s="15"/>
      <c r="C1681" s="15"/>
      <c r="D1681" s="15"/>
      <c r="E1681" s="16"/>
      <c r="F1681" s="15"/>
      <c r="G1681" s="16"/>
      <c r="H1681" s="12"/>
      <c r="I1681" s="15"/>
      <c r="J1681" s="16"/>
      <c r="K1681" s="15"/>
      <c r="L1681" s="15"/>
      <c r="M1681" s="15"/>
      <c r="N1681" s="15"/>
    </row>
    <row r="1682" spans="1:14" ht="76.5" x14ac:dyDescent="0.25">
      <c r="A1682" s="15"/>
      <c r="B1682" s="15"/>
      <c r="C1682" s="15"/>
      <c r="D1682" s="15"/>
      <c r="E1682" s="16"/>
      <c r="F1682" s="15"/>
      <c r="G1682" s="16"/>
      <c r="H1682" s="12" t="s">
        <v>153</v>
      </c>
      <c r="I1682" s="15"/>
      <c r="J1682" s="16"/>
      <c r="K1682" s="15"/>
      <c r="L1682" s="15"/>
      <c r="M1682" s="15"/>
      <c r="N1682" s="15"/>
    </row>
    <row r="1683" spans="1:14" ht="38.25" x14ac:dyDescent="0.25">
      <c r="A1683" s="12" t="s">
        <v>7485</v>
      </c>
      <c r="B1683" s="12" t="s">
        <v>7486</v>
      </c>
      <c r="C1683" s="12" t="s">
        <v>37</v>
      </c>
      <c r="D1683" s="12" t="s">
        <v>7438</v>
      </c>
      <c r="E1683" s="11"/>
      <c r="F1683" s="12" t="s">
        <v>97</v>
      </c>
      <c r="G1683" s="11"/>
      <c r="H1683" s="11"/>
      <c r="I1683" s="12" t="s">
        <v>7487</v>
      </c>
      <c r="J1683" s="11"/>
      <c r="K1683" s="12" t="s">
        <v>7488</v>
      </c>
      <c r="L1683" s="12" t="s">
        <v>727</v>
      </c>
      <c r="M1683" s="12" t="str">
        <f>HYPERLINK("https://ceds.ed.gov/cedselementdetails.aspx?termid=17411")</f>
        <v>https://ceds.ed.gov/cedselementdetails.aspx?termid=17411</v>
      </c>
      <c r="N1683" s="12" t="str">
        <f>HYPERLINK("https://ceds.ed.gov/elementComment.aspx?elementName=Rubric Title &amp;elementID=17411", "Click here to submit comment")</f>
        <v>Click here to submit comment</v>
      </c>
    </row>
    <row r="1684" spans="1:14" ht="38.25" x14ac:dyDescent="0.25">
      <c r="A1684" s="12" t="s">
        <v>7489</v>
      </c>
      <c r="B1684" s="12" t="s">
        <v>7490</v>
      </c>
      <c r="C1684" s="12" t="s">
        <v>37</v>
      </c>
      <c r="D1684" s="12" t="s">
        <v>7438</v>
      </c>
      <c r="E1684" s="11"/>
      <c r="F1684" s="12" t="s">
        <v>57</v>
      </c>
      <c r="G1684" s="11"/>
      <c r="H1684" s="11"/>
      <c r="I1684" s="12" t="s">
        <v>7491</v>
      </c>
      <c r="J1684" s="11"/>
      <c r="K1684" s="12" t="s">
        <v>7492</v>
      </c>
      <c r="L1684" s="12" t="s">
        <v>727</v>
      </c>
      <c r="M1684" s="12" t="str">
        <f>HYPERLINK("https://ceds.ed.gov/cedselementdetails.aspx?termid=17413")</f>
        <v>https://ceds.ed.gov/cedselementdetails.aspx?termid=17413</v>
      </c>
      <c r="N1684" s="12" t="str">
        <f>HYPERLINK("https://ceds.ed.gov/elementComment.aspx?elementName=Rubric URL Reference &amp;elementID=17413", "Click here to submit comment")</f>
        <v>Click here to submit comment</v>
      </c>
    </row>
    <row r="1685" spans="1:14" ht="76.5" x14ac:dyDescent="0.25">
      <c r="A1685" s="12" t="s">
        <v>7493</v>
      </c>
      <c r="B1685" s="12" t="s">
        <v>7494</v>
      </c>
      <c r="C1685" s="13" t="s">
        <v>408</v>
      </c>
      <c r="D1685" s="12" t="s">
        <v>1732</v>
      </c>
      <c r="E1685" s="11"/>
      <c r="F1685" s="11"/>
      <c r="G1685" s="11"/>
      <c r="H1685" s="11"/>
      <c r="I1685" s="12" t="s">
        <v>7495</v>
      </c>
      <c r="J1685" s="12" t="s">
        <v>7496</v>
      </c>
      <c r="K1685" s="12" t="s">
        <v>7497</v>
      </c>
      <c r="L1685" s="12" t="s">
        <v>258</v>
      </c>
      <c r="M1685" s="12" t="str">
        <f>HYPERLINK("https://ceds.ed.gov/cedselementdetails.aspx?termid=17552")</f>
        <v>https://ceds.ed.gov/cedselementdetails.aspx?termid=17552</v>
      </c>
      <c r="N1685" s="12" t="str">
        <f>HYPERLINK("https://ceds.ed.gov/elementComment.aspx?elementName=Rural Education Achievement Program Alternative Funding Status &amp;elementID=17552", "Click here to submit comment")</f>
        <v>Click here to submit comment</v>
      </c>
    </row>
    <row r="1686" spans="1:14" ht="63.75" x14ac:dyDescent="0.25">
      <c r="A1686" s="12" t="s">
        <v>7498</v>
      </c>
      <c r="B1686" s="12" t="s">
        <v>7499</v>
      </c>
      <c r="C1686" s="12" t="s">
        <v>24</v>
      </c>
      <c r="D1686" s="12" t="s">
        <v>3630</v>
      </c>
      <c r="E1686" s="11"/>
      <c r="F1686" s="11"/>
      <c r="G1686" s="11"/>
      <c r="H1686" s="11"/>
      <c r="I1686" s="12" t="s">
        <v>7500</v>
      </c>
      <c r="J1686" s="11"/>
      <c r="K1686" s="12" t="s">
        <v>7501</v>
      </c>
      <c r="L1686" s="11"/>
      <c r="M1686" s="12" t="str">
        <f>HYPERLINK("https://ceds.ed.gov/cedselementdetails.aspx?termid=17761")</f>
        <v>https://ceds.ed.gov/cedselementdetails.aspx?termid=17761</v>
      </c>
      <c r="N1686" s="12" t="str">
        <f>HYPERLINK("https://ceds.ed.gov/elementComment.aspx?elementName=Rural Residency Status &amp;elementID=17761", "Click here to submit comment")</f>
        <v>Click here to submit comment</v>
      </c>
    </row>
    <row r="1687" spans="1:14" ht="38.25" x14ac:dyDescent="0.25">
      <c r="A1687" s="12" t="s">
        <v>7502</v>
      </c>
      <c r="B1687" s="12" t="s">
        <v>7503</v>
      </c>
      <c r="C1687" s="12" t="s">
        <v>37</v>
      </c>
      <c r="D1687" s="12" t="s">
        <v>7504</v>
      </c>
      <c r="E1687" s="11"/>
      <c r="F1687" s="12" t="s">
        <v>175</v>
      </c>
      <c r="G1687" s="11"/>
      <c r="H1687" s="11"/>
      <c r="I1687" s="12" t="s">
        <v>7505</v>
      </c>
      <c r="J1687" s="11"/>
      <c r="K1687" s="12" t="s">
        <v>7506</v>
      </c>
      <c r="L1687" s="12" t="s">
        <v>245</v>
      </c>
      <c r="M1687" s="12" t="str">
        <f>HYPERLINK("https://ceds.ed.gov/cedselementdetails.aspx?termid=17468")</f>
        <v>https://ceds.ed.gov/cedselementdetails.aspx?termid=17468</v>
      </c>
      <c r="N1687" s="12" t="str">
        <f>HYPERLINK("https://ceds.ed.gov/elementComment.aspx?elementName=Safe and Drug Free Baseline &amp;elementID=17468", "Click here to submit comment")</f>
        <v>Click here to submit comment</v>
      </c>
    </row>
    <row r="1688" spans="1:14" ht="25.5" x14ac:dyDescent="0.25">
      <c r="A1688" s="12" t="s">
        <v>7507</v>
      </c>
      <c r="B1688" s="12" t="s">
        <v>7508</v>
      </c>
      <c r="C1688" s="12" t="s">
        <v>37</v>
      </c>
      <c r="D1688" s="12" t="s">
        <v>7504</v>
      </c>
      <c r="E1688" s="11"/>
      <c r="F1688" s="12" t="s">
        <v>1307</v>
      </c>
      <c r="G1688" s="11"/>
      <c r="H1688" s="11"/>
      <c r="I1688" s="12" t="s">
        <v>7509</v>
      </c>
      <c r="J1688" s="11"/>
      <c r="K1688" s="12" t="s">
        <v>7510</v>
      </c>
      <c r="L1688" s="12" t="s">
        <v>245</v>
      </c>
      <c r="M1688" s="12" t="str">
        <f>HYPERLINK("https://ceds.ed.gov/cedselementdetails.aspx?termid=17469")</f>
        <v>https://ceds.ed.gov/cedselementdetails.aspx?termid=17469</v>
      </c>
      <c r="N1688" s="12" t="str">
        <f>HYPERLINK("https://ceds.ed.gov/elementComment.aspx?elementName=Safe and Drug Free Baseline Year &amp;elementID=17469", "Click here to submit comment")</f>
        <v>Click here to submit comment</v>
      </c>
    </row>
    <row r="1689" spans="1:14" ht="38.25" x14ac:dyDescent="0.25">
      <c r="A1689" s="12" t="s">
        <v>7511</v>
      </c>
      <c r="B1689" s="12" t="s">
        <v>7512</v>
      </c>
      <c r="C1689" s="12" t="s">
        <v>37</v>
      </c>
      <c r="D1689" s="12" t="s">
        <v>7504</v>
      </c>
      <c r="E1689" s="11"/>
      <c r="F1689" s="12" t="s">
        <v>175</v>
      </c>
      <c r="G1689" s="11"/>
      <c r="H1689" s="11"/>
      <c r="I1689" s="12" t="s">
        <v>7513</v>
      </c>
      <c r="J1689" s="11"/>
      <c r="K1689" s="12" t="s">
        <v>7514</v>
      </c>
      <c r="L1689" s="12" t="s">
        <v>245</v>
      </c>
      <c r="M1689" s="12" t="str">
        <f>HYPERLINK("https://ceds.ed.gov/cedselementdetails.aspx?termid=17463")</f>
        <v>https://ceds.ed.gov/cedselementdetails.aspx?termid=17463</v>
      </c>
      <c r="N1689" s="12" t="str">
        <f>HYPERLINK("https://ceds.ed.gov/elementComment.aspx?elementName=Safe and Drug Free Collection Frequency &amp;elementID=17463", "Click here to submit comment")</f>
        <v>Click here to submit comment</v>
      </c>
    </row>
    <row r="1690" spans="1:14" ht="38.25" x14ac:dyDescent="0.25">
      <c r="A1690" s="12" t="s">
        <v>7515</v>
      </c>
      <c r="B1690" s="12" t="s">
        <v>7516</v>
      </c>
      <c r="C1690" s="12" t="s">
        <v>37</v>
      </c>
      <c r="D1690" s="12" t="s">
        <v>7504</v>
      </c>
      <c r="E1690" s="11"/>
      <c r="F1690" s="12" t="s">
        <v>175</v>
      </c>
      <c r="G1690" s="11"/>
      <c r="H1690" s="11"/>
      <c r="I1690" s="12" t="s">
        <v>7517</v>
      </c>
      <c r="J1690" s="11"/>
      <c r="K1690" s="12" t="s">
        <v>7518</v>
      </c>
      <c r="L1690" s="12" t="s">
        <v>245</v>
      </c>
      <c r="M1690" s="12" t="str">
        <f>HYPERLINK("https://ceds.ed.gov/cedselementdetails.aspx?termid=17461")</f>
        <v>https://ceds.ed.gov/cedselementdetails.aspx?termid=17461</v>
      </c>
      <c r="N1690" s="12" t="str">
        <f>HYPERLINK("https://ceds.ed.gov/elementComment.aspx?elementName=Safe and Drug Free Indicator Name &amp;elementID=17461", "Click here to submit comment")</f>
        <v>Click here to submit comment</v>
      </c>
    </row>
    <row r="1691" spans="1:14" ht="51" x14ac:dyDescent="0.25">
      <c r="A1691" s="12" t="s">
        <v>7519</v>
      </c>
      <c r="B1691" s="12" t="s">
        <v>7520</v>
      </c>
      <c r="C1691" s="12" t="s">
        <v>37</v>
      </c>
      <c r="D1691" s="12" t="s">
        <v>7504</v>
      </c>
      <c r="E1691" s="11"/>
      <c r="F1691" s="12" t="s">
        <v>874</v>
      </c>
      <c r="G1691" s="11"/>
      <c r="H1691" s="11"/>
      <c r="I1691" s="12" t="s">
        <v>7521</v>
      </c>
      <c r="J1691" s="11"/>
      <c r="K1691" s="12" t="s">
        <v>7522</v>
      </c>
      <c r="L1691" s="12" t="s">
        <v>245</v>
      </c>
      <c r="M1691" s="12" t="str">
        <f>HYPERLINK("https://ceds.ed.gov/cedselementdetails.aspx?termid=17462")</f>
        <v>https://ceds.ed.gov/cedselementdetails.aspx?termid=17462</v>
      </c>
      <c r="N1691" s="12" t="str">
        <f>HYPERLINK("https://ceds.ed.gov/elementComment.aspx?elementName=Safe and Drug Free Instrument &amp;elementID=17462", "Click here to submit comment")</f>
        <v>Click here to submit comment</v>
      </c>
    </row>
    <row r="1692" spans="1:14" ht="38.25" x14ac:dyDescent="0.25">
      <c r="A1692" s="12" t="s">
        <v>7523</v>
      </c>
      <c r="B1692" s="12" t="s">
        <v>7524</v>
      </c>
      <c r="C1692" s="12" t="s">
        <v>37</v>
      </c>
      <c r="D1692" s="12" t="s">
        <v>7504</v>
      </c>
      <c r="E1692" s="11"/>
      <c r="F1692" s="12" t="s">
        <v>1307</v>
      </c>
      <c r="G1692" s="11"/>
      <c r="H1692" s="11"/>
      <c r="I1692" s="12" t="s">
        <v>7525</v>
      </c>
      <c r="J1692" s="11"/>
      <c r="K1692" s="12" t="s">
        <v>7526</v>
      </c>
      <c r="L1692" s="12" t="s">
        <v>245</v>
      </c>
      <c r="M1692" s="12" t="str">
        <f>HYPERLINK("https://ceds.ed.gov/cedselementdetails.aspx?termid=17466")</f>
        <v>https://ceds.ed.gov/cedselementdetails.aspx?termid=17466</v>
      </c>
      <c r="N1692" s="12" t="str">
        <f>HYPERLINK("https://ceds.ed.gov/elementComment.aspx?elementName=Safe and Drug Free Performance &amp;elementID=17466", "Click here to submit comment")</f>
        <v>Click here to submit comment</v>
      </c>
    </row>
    <row r="1693" spans="1:14" ht="51" x14ac:dyDescent="0.25">
      <c r="A1693" s="12" t="s">
        <v>7527</v>
      </c>
      <c r="B1693" s="12" t="s">
        <v>7528</v>
      </c>
      <c r="C1693" s="12" t="s">
        <v>37</v>
      </c>
      <c r="D1693" s="12" t="s">
        <v>7504</v>
      </c>
      <c r="E1693" s="11"/>
      <c r="F1693" s="12" t="s">
        <v>1307</v>
      </c>
      <c r="G1693" s="11"/>
      <c r="H1693" s="11"/>
      <c r="I1693" s="12" t="s">
        <v>7529</v>
      </c>
      <c r="J1693" s="11"/>
      <c r="K1693" s="12" t="s">
        <v>7530</v>
      </c>
      <c r="L1693" s="12" t="s">
        <v>245</v>
      </c>
      <c r="M1693" s="12" t="str">
        <f>HYPERLINK("https://ceds.ed.gov/cedselementdetails.aspx?termid=17465")</f>
        <v>https://ceds.ed.gov/cedselementdetails.aspx?termid=17465</v>
      </c>
      <c r="N1693" s="12" t="str">
        <f>HYPERLINK("https://ceds.ed.gov/elementComment.aspx?elementName=Safe and Drug Free Target &amp;elementID=17465", "Click here to submit comment")</f>
        <v>Click here to submit comment</v>
      </c>
    </row>
    <row r="1694" spans="1:14" ht="51" x14ac:dyDescent="0.25">
      <c r="A1694" s="12" t="s">
        <v>7531</v>
      </c>
      <c r="B1694" s="12" t="s">
        <v>7532</v>
      </c>
      <c r="C1694" s="12" t="s">
        <v>37</v>
      </c>
      <c r="D1694" s="12" t="s">
        <v>7504</v>
      </c>
      <c r="E1694" s="11"/>
      <c r="F1694" s="12" t="s">
        <v>1307</v>
      </c>
      <c r="G1694" s="11"/>
      <c r="H1694" s="11"/>
      <c r="I1694" s="12" t="s">
        <v>7533</v>
      </c>
      <c r="J1694" s="11"/>
      <c r="K1694" s="12" t="s">
        <v>7534</v>
      </c>
      <c r="L1694" s="12" t="s">
        <v>245</v>
      </c>
      <c r="M1694" s="12" t="str">
        <f>HYPERLINK("https://ceds.ed.gov/cedselementdetails.aspx?termid=17464")</f>
        <v>https://ceds.ed.gov/cedselementdetails.aspx?termid=17464</v>
      </c>
      <c r="N1694" s="12" t="str">
        <f>HYPERLINK("https://ceds.ed.gov/elementComment.aspx?elementName=Safe and Drug Free Year Most Recent Collection &amp;elementID=17464", "Click here to submit comment")</f>
        <v>Click here to submit comment</v>
      </c>
    </row>
    <row r="1695" spans="1:14" ht="38.25" x14ac:dyDescent="0.25">
      <c r="A1695" s="12" t="s">
        <v>7535</v>
      </c>
      <c r="B1695" s="12" t="s">
        <v>7536</v>
      </c>
      <c r="C1695" s="12" t="s">
        <v>24</v>
      </c>
      <c r="D1695" s="12" t="s">
        <v>2804</v>
      </c>
      <c r="E1695" s="11"/>
      <c r="F1695" s="11"/>
      <c r="G1695" s="11"/>
      <c r="H1695" s="11"/>
      <c r="I1695" s="12" t="s">
        <v>7537</v>
      </c>
      <c r="J1695" s="11"/>
      <c r="K1695" s="12" t="s">
        <v>7538</v>
      </c>
      <c r="L1695" s="12" t="s">
        <v>2807</v>
      </c>
      <c r="M1695" s="12" t="str">
        <f>HYPERLINK("https://ceds.ed.gov/cedselementdetails.aspx?termid=17234")</f>
        <v>https://ceds.ed.gov/cedselementdetails.aspx?termid=17234</v>
      </c>
      <c r="N1695" s="12" t="str">
        <f>HYPERLINK("https://ceds.ed.gov/elementComment.aspx?elementName=Salary for Teaching Assignment Only Indicator &amp;elementID=17234", "Click here to submit comment")</f>
        <v>Click here to submit comment</v>
      </c>
    </row>
    <row r="1696" spans="1:14" ht="204" x14ac:dyDescent="0.25">
      <c r="A1696" s="12" t="s">
        <v>7539</v>
      </c>
      <c r="B1696" s="12" t="s">
        <v>7540</v>
      </c>
      <c r="C1696" s="13" t="s">
        <v>7541</v>
      </c>
      <c r="D1696" s="12" t="s">
        <v>7542</v>
      </c>
      <c r="E1696" s="11"/>
      <c r="F1696" s="11"/>
      <c r="G1696" s="11"/>
      <c r="H1696" s="11"/>
      <c r="I1696" s="12" t="s">
        <v>7543</v>
      </c>
      <c r="J1696" s="11"/>
      <c r="K1696" s="12" t="s">
        <v>7544</v>
      </c>
      <c r="L1696" s="11"/>
      <c r="M1696" s="12" t="str">
        <f>HYPERLINK("https://ceds.ed.gov/cedselementdetails.aspx?termid=18602")</f>
        <v>https://ceds.ed.gov/cedselementdetails.aspx?termid=18602</v>
      </c>
      <c r="N1696" s="12" t="str">
        <f>HYPERLINK("https://ceds.ed.gov/elementComment.aspx?elementName=Scheduled Well Child Screening &amp;elementID=18602", "Click here to submit comment")</f>
        <v>Click here to submit comment</v>
      </c>
    </row>
    <row r="1697" spans="1:14" ht="89.25" x14ac:dyDescent="0.25">
      <c r="A1697" s="12" t="s">
        <v>7545</v>
      </c>
      <c r="B1697" s="12" t="s">
        <v>7546</v>
      </c>
      <c r="C1697" s="12" t="s">
        <v>24</v>
      </c>
      <c r="D1697" s="12" t="s">
        <v>7547</v>
      </c>
      <c r="E1697" s="11"/>
      <c r="F1697" s="11"/>
      <c r="G1697" s="11"/>
      <c r="H1697" s="11"/>
      <c r="I1697" s="12" t="s">
        <v>7548</v>
      </c>
      <c r="J1697" s="11"/>
      <c r="K1697" s="12" t="s">
        <v>7549</v>
      </c>
      <c r="L1697" s="12" t="s">
        <v>258</v>
      </c>
      <c r="M1697" s="12" t="str">
        <f>HYPERLINK("https://ceds.ed.gov/cedselementdetails.aspx?termid=17235")</f>
        <v>https://ceds.ed.gov/cedselementdetails.aspx?termid=17235</v>
      </c>
      <c r="N1697" s="12" t="str">
        <f>HYPERLINK("https://ceds.ed.gov/elementComment.aspx?elementName=School Choice Applied for Transfer Status &amp;elementID=17235", "Click here to submit comment")</f>
        <v>Click here to submit comment</v>
      </c>
    </row>
    <row r="1698" spans="1:14" ht="114.75" x14ac:dyDescent="0.25">
      <c r="A1698" s="12" t="s">
        <v>7550</v>
      </c>
      <c r="B1698" s="12" t="s">
        <v>7551</v>
      </c>
      <c r="C1698" s="12" t="s">
        <v>24</v>
      </c>
      <c r="D1698" s="12" t="s">
        <v>7547</v>
      </c>
      <c r="E1698" s="11"/>
      <c r="F1698" s="11"/>
      <c r="G1698" s="11"/>
      <c r="H1698" s="12" t="s">
        <v>7552</v>
      </c>
      <c r="I1698" s="12" t="s">
        <v>7553</v>
      </c>
      <c r="J1698" s="11"/>
      <c r="K1698" s="12" t="s">
        <v>7554</v>
      </c>
      <c r="L1698" s="12" t="s">
        <v>258</v>
      </c>
      <c r="M1698" s="12" t="str">
        <f>HYPERLINK("https://ceds.ed.gov/cedselementdetails.aspx?termid=17236")</f>
        <v>https://ceds.ed.gov/cedselementdetails.aspx?termid=17236</v>
      </c>
      <c r="N1698" s="12" t="str">
        <f>HYPERLINK("https://ceds.ed.gov/elementComment.aspx?elementName=School Choice Eligible for Transfer Status &amp;elementID=17236", "Click here to submit comment")</f>
        <v>Click here to submit comment</v>
      </c>
    </row>
    <row r="1699" spans="1:14" ht="63.75" x14ac:dyDescent="0.25">
      <c r="A1699" s="12" t="s">
        <v>7555</v>
      </c>
      <c r="B1699" s="12" t="s">
        <v>7556</v>
      </c>
      <c r="C1699" s="12" t="s">
        <v>24</v>
      </c>
      <c r="D1699" s="12" t="s">
        <v>7547</v>
      </c>
      <c r="E1699" s="11"/>
      <c r="F1699" s="11"/>
      <c r="G1699" s="11"/>
      <c r="H1699" s="11"/>
      <c r="I1699" s="12" t="s">
        <v>7557</v>
      </c>
      <c r="J1699" s="11"/>
      <c r="K1699" s="12" t="s">
        <v>7558</v>
      </c>
      <c r="L1699" s="12" t="s">
        <v>72</v>
      </c>
      <c r="M1699" s="12" t="str">
        <f>HYPERLINK("https://ceds.ed.gov/cedselementdetails.aspx?termid=17237")</f>
        <v>https://ceds.ed.gov/cedselementdetails.aspx?termid=17237</v>
      </c>
      <c r="N1699" s="12" t="str">
        <f>HYPERLINK("https://ceds.ed.gov/elementComment.aspx?elementName=School Choice Transfer Status &amp;elementID=17237", "Click here to submit comment")</f>
        <v>Click here to submit comment</v>
      </c>
    </row>
    <row r="1700" spans="1:14" ht="102" x14ac:dyDescent="0.25">
      <c r="A1700" s="12" t="s">
        <v>7559</v>
      </c>
      <c r="B1700" s="12" t="s">
        <v>7560</v>
      </c>
      <c r="C1700" s="12" t="s">
        <v>8527</v>
      </c>
      <c r="D1700" s="12" t="s">
        <v>7561</v>
      </c>
      <c r="E1700" s="12" t="s">
        <v>195</v>
      </c>
      <c r="F1700" s="11"/>
      <c r="G1700" s="12" t="s">
        <v>7562</v>
      </c>
      <c r="H1700" s="6" t="s">
        <v>7563</v>
      </c>
      <c r="I1700" s="12" t="s">
        <v>7564</v>
      </c>
      <c r="J1700" s="12" t="s">
        <v>7565</v>
      </c>
      <c r="K1700" s="12" t="s">
        <v>7566</v>
      </c>
      <c r="L1700" s="11"/>
      <c r="M1700" s="12" t="str">
        <f>HYPERLINK("https://ceds.ed.gov/cedselementdetails.aspx?termid=18490")</f>
        <v>https://ceds.ed.gov/cedselementdetails.aspx?termid=18490</v>
      </c>
      <c r="N1700" s="12" t="str">
        <f>HYPERLINK("https://ceds.ed.gov/elementComment.aspx?elementName=School Courses for the Exchange of Data Course Code &amp;elementID=18490", "Click here to submit comment")</f>
        <v>Click here to submit comment</v>
      </c>
    </row>
    <row r="1701" spans="1:14" ht="89.25" x14ac:dyDescent="0.25">
      <c r="A1701" s="12" t="s">
        <v>7567</v>
      </c>
      <c r="B1701" s="12" t="s">
        <v>7568</v>
      </c>
      <c r="C1701" s="13" t="s">
        <v>7569</v>
      </c>
      <c r="D1701" s="12" t="s">
        <v>7561</v>
      </c>
      <c r="E1701" s="11"/>
      <c r="F1701" s="11"/>
      <c r="G1701" s="11"/>
      <c r="H1701" s="11"/>
      <c r="I1701" s="12" t="s">
        <v>7570</v>
      </c>
      <c r="J1701" s="12" t="s">
        <v>7571</v>
      </c>
      <c r="K1701" s="12" t="s">
        <v>7572</v>
      </c>
      <c r="L1701" s="11"/>
      <c r="M1701" s="12" t="str">
        <f>HYPERLINK("https://ceds.ed.gov/cedselementdetails.aspx?termid=18488")</f>
        <v>https://ceds.ed.gov/cedselementdetails.aspx?termid=18488</v>
      </c>
      <c r="N1701" s="12" t="str">
        <f>HYPERLINK("https://ceds.ed.gov/elementComment.aspx?elementName=School Courses for the Exchange of Data Course Level &amp;elementID=18488", "Click here to submit comment")</f>
        <v>Click here to submit comment</v>
      </c>
    </row>
    <row r="1702" spans="1:14" ht="357" x14ac:dyDescent="0.25">
      <c r="A1702" s="12" t="s">
        <v>7573</v>
      </c>
      <c r="B1702" s="12" t="s">
        <v>7574</v>
      </c>
      <c r="C1702" s="13" t="s">
        <v>7575</v>
      </c>
      <c r="D1702" s="12" t="s">
        <v>7576</v>
      </c>
      <c r="E1702" s="11"/>
      <c r="F1702" s="11"/>
      <c r="G1702" s="11"/>
      <c r="H1702" s="12" t="s">
        <v>7577</v>
      </c>
      <c r="I1702" s="12" t="s">
        <v>7578</v>
      </c>
      <c r="J1702" s="12" t="s">
        <v>7579</v>
      </c>
      <c r="K1702" s="12" t="s">
        <v>7580</v>
      </c>
      <c r="L1702" s="11"/>
      <c r="M1702" s="12" t="str">
        <f>HYPERLINK("https://ceds.ed.gov/cedselementdetails.aspx?termid=18491")</f>
        <v>https://ceds.ed.gov/cedselementdetails.aspx?termid=18491</v>
      </c>
      <c r="N1702" s="12" t="str">
        <f>HYPERLINK("https://ceds.ed.gov/elementComment.aspx?elementName=School Courses for the Exchange of Data Course Subject Area &amp;elementID=18491", "Click here to submit comment")</f>
        <v>Click here to submit comment</v>
      </c>
    </row>
    <row r="1703" spans="1:14" ht="76.5" x14ac:dyDescent="0.25">
      <c r="A1703" s="12" t="s">
        <v>7581</v>
      </c>
      <c r="B1703" s="12" t="s">
        <v>7582</v>
      </c>
      <c r="C1703" s="12" t="s">
        <v>37</v>
      </c>
      <c r="D1703" s="12" t="s">
        <v>7583</v>
      </c>
      <c r="E1703" s="11"/>
      <c r="F1703" s="12" t="s">
        <v>7584</v>
      </c>
      <c r="G1703" s="11"/>
      <c r="H1703" s="12" t="s">
        <v>7585</v>
      </c>
      <c r="I1703" s="12" t="s">
        <v>7586</v>
      </c>
      <c r="J1703" s="12" t="s">
        <v>7587</v>
      </c>
      <c r="K1703" s="12" t="s">
        <v>7588</v>
      </c>
      <c r="L1703" s="11"/>
      <c r="M1703" s="12" t="str">
        <f>HYPERLINK("https://ceds.ed.gov/cedselementdetails.aspx?termid=18452")</f>
        <v>https://ceds.ed.gov/cedselementdetails.aspx?termid=18452</v>
      </c>
      <c r="N1703" s="12" t="str">
        <f>HYPERLINK("https://ceds.ed.gov/elementComment.aspx?elementName=School Courses for the Exchange of Data Grade Span &amp;elementID=18452", "Click here to submit comment")</f>
        <v>Click here to submit comment</v>
      </c>
    </row>
    <row r="1704" spans="1:14" ht="165.75" x14ac:dyDescent="0.25">
      <c r="A1704" s="12" t="s">
        <v>7589</v>
      </c>
      <c r="B1704" s="12" t="s">
        <v>7590</v>
      </c>
      <c r="C1704" s="12" t="s">
        <v>37</v>
      </c>
      <c r="D1704" s="12" t="s">
        <v>4950</v>
      </c>
      <c r="E1704" s="11"/>
      <c r="F1704" s="12" t="s">
        <v>3096</v>
      </c>
      <c r="G1704" s="11"/>
      <c r="H1704" s="12" t="s">
        <v>7591</v>
      </c>
      <c r="I1704" s="12" t="s">
        <v>7592</v>
      </c>
      <c r="J1704" s="12" t="s">
        <v>7593</v>
      </c>
      <c r="K1704" s="12" t="s">
        <v>7594</v>
      </c>
      <c r="L1704" s="12" t="s">
        <v>1713</v>
      </c>
      <c r="M1704" s="12" t="str">
        <f>HYPERLINK("https://ceds.ed.gov/cedselementdetails.aspx?termid=17250")</f>
        <v>https://ceds.ed.gov/cedselementdetails.aspx?termid=17250</v>
      </c>
      <c r="N1704" s="12" t="str">
        <f>HYPERLINK("https://ceds.ed.gov/elementComment.aspx?elementName=School Courses for the Exchange of Data Sequence of Course &amp;elementID=17250", "Click here to submit comment")</f>
        <v>Click here to submit comment</v>
      </c>
    </row>
    <row r="1705" spans="1:14" ht="51" x14ac:dyDescent="0.25">
      <c r="A1705" s="12" t="s">
        <v>7595</v>
      </c>
      <c r="B1705" s="12" t="s">
        <v>7596</v>
      </c>
      <c r="C1705" s="12" t="s">
        <v>24</v>
      </c>
      <c r="D1705" s="12" t="s">
        <v>1346</v>
      </c>
      <c r="E1705" s="11"/>
      <c r="F1705" s="11"/>
      <c r="G1705" s="11"/>
      <c r="H1705" s="11"/>
      <c r="I1705" s="12" t="s">
        <v>7597</v>
      </c>
      <c r="J1705" s="11"/>
      <c r="K1705" s="12" t="s">
        <v>7598</v>
      </c>
      <c r="L1705" s="11"/>
      <c r="M1705" s="12" t="str">
        <f>HYPERLINK("https://ceds.ed.gov/cedselementdetails.aspx?termid=18744")</f>
        <v>https://ceds.ed.gov/cedselementdetails.aspx?termid=18744</v>
      </c>
      <c r="N1705" s="12" t="str">
        <f>HYPERLINK("https://ceds.ed.gov/elementComment.aspx?elementName=School Full Academic Year &amp;elementID=18744", "Click here to submit comment")</f>
        <v>Click here to submit comment</v>
      </c>
    </row>
    <row r="1706" spans="1:14" ht="216.75" x14ac:dyDescent="0.25">
      <c r="A1706" s="12" t="s">
        <v>7599</v>
      </c>
      <c r="B1706" s="12" t="s">
        <v>320</v>
      </c>
      <c r="C1706" s="13" t="s">
        <v>7600</v>
      </c>
      <c r="D1706" s="12" t="s">
        <v>7601</v>
      </c>
      <c r="E1706" s="11"/>
      <c r="F1706" s="11"/>
      <c r="G1706" s="11"/>
      <c r="H1706" s="11"/>
      <c r="I1706" s="12" t="s">
        <v>7602</v>
      </c>
      <c r="J1706" s="11"/>
      <c r="K1706" s="12" t="s">
        <v>7603</v>
      </c>
      <c r="L1706" s="12" t="s">
        <v>7604</v>
      </c>
      <c r="M1706" s="12" t="str">
        <f>HYPERLINK("https://ceds.ed.gov/cedselementdetails.aspx?termid=17161")</f>
        <v>https://ceds.ed.gov/cedselementdetails.aspx?termid=17161</v>
      </c>
      <c r="N1706" s="12" t="str">
        <f>HYPERLINK("https://ceds.ed.gov/elementComment.aspx?elementName=School Identification System &amp;elementID=17161", "Click here to submit comment")</f>
        <v>Click here to submit comment</v>
      </c>
    </row>
    <row r="1707" spans="1:14" ht="76.5" x14ac:dyDescent="0.25">
      <c r="A1707" s="15" t="s">
        <v>7605</v>
      </c>
      <c r="B1707" s="15" t="s">
        <v>326</v>
      </c>
      <c r="C1707" s="15" t="s">
        <v>37</v>
      </c>
      <c r="D1707" s="15" t="s">
        <v>7601</v>
      </c>
      <c r="E1707" s="16"/>
      <c r="F1707" s="15" t="s">
        <v>149</v>
      </c>
      <c r="G1707" s="16"/>
      <c r="H1707" s="12" t="s">
        <v>150</v>
      </c>
      <c r="I1707" s="15" t="s">
        <v>7606</v>
      </c>
      <c r="J1707" s="16"/>
      <c r="K1707" s="15" t="s">
        <v>7607</v>
      </c>
      <c r="L1707" s="15" t="s">
        <v>7604</v>
      </c>
      <c r="M1707" s="15" t="str">
        <f>HYPERLINK("https://ceds.ed.gov/cedselementdetails.aspx?termid=17155")</f>
        <v>https://ceds.ed.gov/cedselementdetails.aspx?termid=17155</v>
      </c>
      <c r="N1707" s="15" t="str">
        <f>HYPERLINK("https://ceds.ed.gov/elementComment.aspx?elementName=School Identifier &amp;elementID=17155", "Click here to submit comment")</f>
        <v>Click here to submit comment</v>
      </c>
    </row>
    <row r="1708" spans="1:14" x14ac:dyDescent="0.25">
      <c r="A1708" s="15"/>
      <c r="B1708" s="15"/>
      <c r="C1708" s="15"/>
      <c r="D1708" s="15"/>
      <c r="E1708" s="16"/>
      <c r="F1708" s="15"/>
      <c r="G1708" s="16"/>
      <c r="H1708" s="12"/>
      <c r="I1708" s="15"/>
      <c r="J1708" s="16"/>
      <c r="K1708" s="15"/>
      <c r="L1708" s="15"/>
      <c r="M1708" s="15"/>
      <c r="N1708" s="15"/>
    </row>
    <row r="1709" spans="1:14" ht="76.5" x14ac:dyDescent="0.25">
      <c r="A1709" s="15"/>
      <c r="B1709" s="15"/>
      <c r="C1709" s="15"/>
      <c r="D1709" s="15"/>
      <c r="E1709" s="16"/>
      <c r="F1709" s="15"/>
      <c r="G1709" s="16"/>
      <c r="H1709" s="12" t="s">
        <v>153</v>
      </c>
      <c r="I1709" s="15"/>
      <c r="J1709" s="16"/>
      <c r="K1709" s="15"/>
      <c r="L1709" s="15"/>
      <c r="M1709" s="15"/>
      <c r="N1709" s="15"/>
    </row>
    <row r="1710" spans="1:14" ht="38.25" x14ac:dyDescent="0.25">
      <c r="A1710" s="12" t="s">
        <v>7608</v>
      </c>
      <c r="B1710" s="12" t="s">
        <v>7609</v>
      </c>
      <c r="C1710" s="12" t="s">
        <v>37</v>
      </c>
      <c r="D1710" s="12" t="s">
        <v>4736</v>
      </c>
      <c r="E1710" s="11"/>
      <c r="F1710" s="12" t="s">
        <v>1710</v>
      </c>
      <c r="G1710" s="11"/>
      <c r="H1710" s="11"/>
      <c r="I1710" s="12" t="s">
        <v>7610</v>
      </c>
      <c r="J1710" s="11"/>
      <c r="K1710" s="12" t="s">
        <v>7611</v>
      </c>
      <c r="L1710" s="12" t="s">
        <v>245</v>
      </c>
      <c r="M1710" s="12" t="str">
        <f>HYPERLINK("https://ceds.ed.gov/cedselementdetails.aspx?termid=17471")</f>
        <v>https://ceds.ed.gov/cedselementdetails.aspx?termid=17471</v>
      </c>
      <c r="N1710" s="12" t="str">
        <f>HYPERLINK("https://ceds.ed.gov/elementComment.aspx?elementName=School Improvement Allocation &amp;elementID=17471", "Click here to submit comment")</f>
        <v>Click here to submit comment</v>
      </c>
    </row>
    <row r="1711" spans="1:14" ht="51" x14ac:dyDescent="0.25">
      <c r="A1711" s="12" t="s">
        <v>7612</v>
      </c>
      <c r="B1711" s="12" t="s">
        <v>7613</v>
      </c>
      <c r="C1711" s="12" t="s">
        <v>37</v>
      </c>
      <c r="D1711" s="12" t="s">
        <v>2836</v>
      </c>
      <c r="E1711" s="11"/>
      <c r="F1711" s="12" t="s">
        <v>135</v>
      </c>
      <c r="G1711" s="11"/>
      <c r="H1711" s="12" t="s">
        <v>160</v>
      </c>
      <c r="I1711" s="12" t="s">
        <v>7614</v>
      </c>
      <c r="J1711" s="11"/>
      <c r="K1711" s="12" t="s">
        <v>7615</v>
      </c>
      <c r="L1711" s="12" t="s">
        <v>245</v>
      </c>
      <c r="M1711" s="12" t="str">
        <f>HYPERLINK("https://ceds.ed.gov/cedselementdetails.aspx?termid=17472")</f>
        <v>https://ceds.ed.gov/cedselementdetails.aspx?termid=17472</v>
      </c>
      <c r="N1711" s="12" t="str">
        <f>HYPERLINK("https://ceds.ed.gov/elementComment.aspx?elementName=School Improvement Exit Date &amp;elementID=17472", "Click here to submit comment")</f>
        <v>Click here to submit comment</v>
      </c>
    </row>
    <row r="1712" spans="1:14" ht="38.25" x14ac:dyDescent="0.25">
      <c r="A1712" s="12" t="s">
        <v>7616</v>
      </c>
      <c r="B1712" s="12" t="s">
        <v>7617</v>
      </c>
      <c r="C1712" s="12" t="s">
        <v>24</v>
      </c>
      <c r="D1712" s="12" t="s">
        <v>2836</v>
      </c>
      <c r="E1712" s="11"/>
      <c r="F1712" s="11"/>
      <c r="G1712" s="11"/>
      <c r="H1712" s="11"/>
      <c r="I1712" s="12" t="s">
        <v>7618</v>
      </c>
      <c r="J1712" s="11"/>
      <c r="K1712" s="12" t="s">
        <v>7619</v>
      </c>
      <c r="L1712" s="12" t="s">
        <v>258</v>
      </c>
      <c r="M1712" s="12" t="str">
        <f>HYPERLINK("https://ceds.ed.gov/cedselementdetails.aspx?termid=17238")</f>
        <v>https://ceds.ed.gov/cedselementdetails.aspx?termid=17238</v>
      </c>
      <c r="N1712" s="12" t="str">
        <f>HYPERLINK("https://ceds.ed.gov/elementComment.aspx?elementName=School Improvement Funds Status &amp;elementID=17238", "Click here to submit comment")</f>
        <v>Click here to submit comment</v>
      </c>
    </row>
    <row r="1713" spans="1:14" ht="63.75" x14ac:dyDescent="0.25">
      <c r="A1713" s="12" t="s">
        <v>7620</v>
      </c>
      <c r="B1713" s="12" t="s">
        <v>7621</v>
      </c>
      <c r="C1713" s="13" t="s">
        <v>7622</v>
      </c>
      <c r="D1713" s="12" t="s">
        <v>2786</v>
      </c>
      <c r="E1713" s="11"/>
      <c r="F1713" s="11"/>
      <c r="G1713" s="11"/>
      <c r="H1713" s="11"/>
      <c r="I1713" s="12" t="s">
        <v>7623</v>
      </c>
      <c r="J1713" s="11"/>
      <c r="K1713" s="12" t="s">
        <v>7624</v>
      </c>
      <c r="L1713" s="12" t="s">
        <v>258</v>
      </c>
      <c r="M1713" s="12" t="str">
        <f>HYPERLINK("https://ceds.ed.gov/cedselementdetails.aspx?termid=17239")</f>
        <v>https://ceds.ed.gov/cedselementdetails.aspx?termid=17239</v>
      </c>
      <c r="N1713" s="12" t="str">
        <f>HYPERLINK("https://ceds.ed.gov/elementComment.aspx?elementName=School Improvement Grant Intervention Type &amp;elementID=17239", "Click here to submit comment")</f>
        <v>Click here to submit comment</v>
      </c>
    </row>
    <row r="1714" spans="1:14" ht="89.25" x14ac:dyDescent="0.25">
      <c r="A1714" s="12" t="s">
        <v>7625</v>
      </c>
      <c r="B1714" s="12" t="s">
        <v>7626</v>
      </c>
      <c r="C1714" s="12" t="s">
        <v>37</v>
      </c>
      <c r="D1714" s="12" t="s">
        <v>4736</v>
      </c>
      <c r="E1714" s="11"/>
      <c r="F1714" s="12" t="s">
        <v>869</v>
      </c>
      <c r="G1714" s="11"/>
      <c r="H1714" s="11"/>
      <c r="I1714" s="12" t="s">
        <v>7627</v>
      </c>
      <c r="J1714" s="11"/>
      <c r="K1714" s="12" t="s">
        <v>7628</v>
      </c>
      <c r="L1714" s="12" t="s">
        <v>245</v>
      </c>
      <c r="M1714" s="12" t="str">
        <f>HYPERLINK("https://ceds.ed.gov/cedselementdetails.aspx?termid=17470")</f>
        <v>https://ceds.ed.gov/cedselementdetails.aspx?termid=17470</v>
      </c>
      <c r="N1714" s="12" t="str">
        <f>HYPERLINK("https://ceds.ed.gov/elementComment.aspx?elementName=School Improvement Reserved Funds Percentage &amp;elementID=17470", "Click here to submit comment")</f>
        <v>Click here to submit comment</v>
      </c>
    </row>
    <row r="1715" spans="1:14" ht="89.25" x14ac:dyDescent="0.25">
      <c r="A1715" s="12" t="s">
        <v>7629</v>
      </c>
      <c r="B1715" s="12" t="s">
        <v>7630</v>
      </c>
      <c r="C1715" s="13" t="s">
        <v>7631</v>
      </c>
      <c r="D1715" s="12" t="s">
        <v>262</v>
      </c>
      <c r="E1715" s="11"/>
      <c r="F1715" s="11"/>
      <c r="G1715" s="11"/>
      <c r="H1715" s="11"/>
      <c r="I1715" s="12" t="s">
        <v>7632</v>
      </c>
      <c r="J1715" s="11"/>
      <c r="K1715" s="12" t="s">
        <v>7633</v>
      </c>
      <c r="L1715" s="12" t="s">
        <v>258</v>
      </c>
      <c r="M1715" s="12" t="str">
        <f>HYPERLINK("https://ceds.ed.gov/cedselementdetails.aspx?termid=17240")</f>
        <v>https://ceds.ed.gov/cedselementdetails.aspx?termid=17240</v>
      </c>
      <c r="N1715" s="12" t="str">
        <f>HYPERLINK("https://ceds.ed.gov/elementComment.aspx?elementName=School Improvement Status &amp;elementID=17240", "Click here to submit comment")</f>
        <v>Click here to submit comment</v>
      </c>
    </row>
    <row r="1716" spans="1:14" ht="165.75" x14ac:dyDescent="0.25">
      <c r="A1716" s="12" t="s">
        <v>7634</v>
      </c>
      <c r="B1716" s="12" t="s">
        <v>7635</v>
      </c>
      <c r="C1716" s="13" t="s">
        <v>7636</v>
      </c>
      <c r="D1716" s="12" t="s">
        <v>262</v>
      </c>
      <c r="E1716" s="11"/>
      <c r="F1716" s="11"/>
      <c r="G1716" s="11"/>
      <c r="H1716" s="11"/>
      <c r="I1716" s="12" t="s">
        <v>7637</v>
      </c>
      <c r="J1716" s="11"/>
      <c r="K1716" s="12" t="s">
        <v>7638</v>
      </c>
      <c r="L1716" s="11"/>
      <c r="M1716" s="12" t="str">
        <f>HYPERLINK("https://ceds.ed.gov/cedselementdetails.aspx?termid=17241")</f>
        <v>https://ceds.ed.gov/cedselementdetails.aspx?termid=17241</v>
      </c>
      <c r="N1716" s="12" t="str">
        <f>HYPERLINK("https://ceds.ed.gov/elementComment.aspx?elementName=School Level &amp;elementID=17241", "Click here to submit comment")</f>
        <v>Click here to submit comment</v>
      </c>
    </row>
    <row r="1717" spans="1:14" ht="114.75" x14ac:dyDescent="0.25">
      <c r="A1717" s="12" t="s">
        <v>7639</v>
      </c>
      <c r="B1717" s="12" t="s">
        <v>7640</v>
      </c>
      <c r="C1717" s="13" t="s">
        <v>7641</v>
      </c>
      <c r="D1717" s="12" t="s">
        <v>262</v>
      </c>
      <c r="E1717" s="11"/>
      <c r="F1717" s="11"/>
      <c r="G1717" s="11"/>
      <c r="H1717" s="11"/>
      <c r="I1717" s="12" t="s">
        <v>7642</v>
      </c>
      <c r="J1717" s="11"/>
      <c r="K1717" s="12" t="s">
        <v>7643</v>
      </c>
      <c r="L1717" s="12" t="s">
        <v>258</v>
      </c>
      <c r="M1717" s="12" t="str">
        <f>HYPERLINK("https://ceds.ed.gov/cedselementdetails.aspx?termid=17524")</f>
        <v>https://ceds.ed.gov/cedselementdetails.aspx?termid=17524</v>
      </c>
      <c r="N1717" s="12" t="str">
        <f>HYPERLINK("https://ceds.ed.gov/elementComment.aspx?elementName=School Operational Status &amp;elementID=17524", "Click here to submit comment")</f>
        <v>Click here to submit comment</v>
      </c>
    </row>
    <row r="1718" spans="1:14" ht="89.25" x14ac:dyDescent="0.25">
      <c r="A1718" s="12" t="s">
        <v>7644</v>
      </c>
      <c r="B1718" s="12" t="s">
        <v>7645</v>
      </c>
      <c r="C1718" s="13" t="s">
        <v>7646</v>
      </c>
      <c r="D1718" s="12" t="s">
        <v>262</v>
      </c>
      <c r="E1718" s="11"/>
      <c r="F1718" s="11"/>
      <c r="G1718" s="11"/>
      <c r="H1718" s="11"/>
      <c r="I1718" s="12" t="s">
        <v>7647</v>
      </c>
      <c r="J1718" s="11"/>
      <c r="K1718" s="12" t="s">
        <v>7648</v>
      </c>
      <c r="L1718" s="12" t="s">
        <v>72</v>
      </c>
      <c r="M1718" s="12" t="str">
        <f>HYPERLINK("https://ceds.ed.gov/cedselementdetails.aspx?termid=17242")</f>
        <v>https://ceds.ed.gov/cedselementdetails.aspx?termid=17242</v>
      </c>
      <c r="N1718" s="12" t="str">
        <f>HYPERLINK("https://ceds.ed.gov/elementComment.aspx?elementName=School Type &amp;elementID=17242", "Click here to submit comment")</f>
        <v>Click here to submit comment</v>
      </c>
    </row>
    <row r="1719" spans="1:14" ht="114.75" x14ac:dyDescent="0.25">
      <c r="A1719" s="12" t="s">
        <v>7649</v>
      </c>
      <c r="B1719" s="12" t="s">
        <v>7650</v>
      </c>
      <c r="C1719" s="12" t="s">
        <v>37</v>
      </c>
      <c r="D1719" s="12" t="s">
        <v>7651</v>
      </c>
      <c r="E1719" s="11"/>
      <c r="F1719" s="12" t="s">
        <v>2094</v>
      </c>
      <c r="G1719" s="11"/>
      <c r="H1719" s="12" t="s">
        <v>7652</v>
      </c>
      <c r="I1719" s="12" t="s">
        <v>7653</v>
      </c>
      <c r="J1719" s="11"/>
      <c r="K1719" s="12" t="s">
        <v>7654</v>
      </c>
      <c r="L1719" s="12" t="s">
        <v>2807</v>
      </c>
      <c r="M1719" s="12" t="str">
        <f>HYPERLINK("https://ceds.ed.gov/cedselementdetails.aspx?termid=17243")</f>
        <v>https://ceds.ed.gov/cedselementdetails.aspx?termid=17243</v>
      </c>
      <c r="N1719" s="12" t="str">
        <f>HYPERLINK("https://ceds.ed.gov/elementComment.aspx?elementName=School Year &amp;elementID=17243", "Click here to submit comment")</f>
        <v>Click here to submit comment</v>
      </c>
    </row>
    <row r="1720" spans="1:14" ht="76.5" x14ac:dyDescent="0.25">
      <c r="A1720" s="12" t="s">
        <v>7655</v>
      </c>
      <c r="B1720" s="12" t="s">
        <v>7656</v>
      </c>
      <c r="C1720" s="12" t="s">
        <v>37</v>
      </c>
      <c r="D1720" s="12" t="s">
        <v>3457</v>
      </c>
      <c r="E1720" s="11"/>
      <c r="F1720" s="12" t="s">
        <v>370</v>
      </c>
      <c r="G1720" s="11"/>
      <c r="H1720" s="11"/>
      <c r="I1720" s="12" t="s">
        <v>7657</v>
      </c>
      <c r="J1720" s="11"/>
      <c r="K1720" s="12" t="s">
        <v>7658</v>
      </c>
      <c r="L1720" s="12" t="s">
        <v>258</v>
      </c>
      <c r="M1720" s="12" t="str">
        <f>HYPERLINK("https://ceds.ed.gov/cedselementdetails.aspx?termid=17244")</f>
        <v>https://ceds.ed.gov/cedselementdetails.aspx?termid=17244</v>
      </c>
      <c r="N1720" s="12" t="str">
        <f>HYPERLINK("https://ceds.ed.gov/elementComment.aspx?elementName=School Year Minutes &amp;elementID=17244", "Click here to submit comment")</f>
        <v>Click here to submit comment</v>
      </c>
    </row>
    <row r="1721" spans="1:14" ht="127.5" x14ac:dyDescent="0.25">
      <c r="A1721" s="12" t="s">
        <v>7659</v>
      </c>
      <c r="B1721" s="12" t="s">
        <v>7660</v>
      </c>
      <c r="C1721" s="13" t="s">
        <v>7661</v>
      </c>
      <c r="D1721" s="12" t="s">
        <v>4651</v>
      </c>
      <c r="E1721" s="11"/>
      <c r="F1721" s="11"/>
      <c r="G1721" s="11"/>
      <c r="H1721" s="11"/>
      <c r="I1721" s="12" t="s">
        <v>7662</v>
      </c>
      <c r="J1721" s="11"/>
      <c r="K1721" s="12" t="s">
        <v>7663</v>
      </c>
      <c r="L1721" s="11"/>
      <c r="M1721" s="12" t="str">
        <f>HYPERLINK("https://ceds.ed.gov/cedselementdetails.aspx?termid=17620")</f>
        <v>https://ceds.ed.gov/cedselementdetails.aspx?termid=17620</v>
      </c>
      <c r="N1721" s="12" t="str">
        <f>HYPERLINK("https://ceds.ed.gov/elementComment.aspx?elementName=Secondary Incident Behavior &amp;elementID=17620", "Click here to submit comment")</f>
        <v>Click here to submit comment</v>
      </c>
    </row>
    <row r="1722" spans="1:14" ht="114.75" x14ac:dyDescent="0.25">
      <c r="A1722" s="12" t="s">
        <v>7664</v>
      </c>
      <c r="B1722" s="12" t="s">
        <v>7665</v>
      </c>
      <c r="C1722" s="12" t="s">
        <v>24</v>
      </c>
      <c r="D1722" s="12" t="s">
        <v>7666</v>
      </c>
      <c r="E1722" s="11"/>
      <c r="F1722" s="11"/>
      <c r="G1722" s="11"/>
      <c r="H1722" s="11"/>
      <c r="I1722" s="12" t="s">
        <v>7667</v>
      </c>
      <c r="J1722" s="11"/>
      <c r="K1722" s="12" t="s">
        <v>7668</v>
      </c>
      <c r="L1722" s="12" t="s">
        <v>5090</v>
      </c>
      <c r="M1722" s="12" t="str">
        <f>HYPERLINK("https://ceds.ed.gov/cedselementdetails.aspx?termid=17249")</f>
        <v>https://ceds.ed.gov/cedselementdetails.aspx?termid=17249</v>
      </c>
      <c r="N1722" s="12" t="str">
        <f>HYPERLINK("https://ceds.ed.gov/elementComment.aspx?elementName=Section 504 Status &amp;elementID=17249", "Click here to submit comment")</f>
        <v>Click here to submit comment</v>
      </c>
    </row>
    <row r="1723" spans="1:14" ht="38.25" x14ac:dyDescent="0.25">
      <c r="A1723" s="12" t="s">
        <v>7669</v>
      </c>
      <c r="B1723" s="12" t="s">
        <v>7670</v>
      </c>
      <c r="C1723" s="12" t="s">
        <v>24</v>
      </c>
      <c r="D1723" s="12" t="s">
        <v>3740</v>
      </c>
      <c r="E1723" s="11"/>
      <c r="F1723" s="11"/>
      <c r="G1723" s="11"/>
      <c r="H1723" s="11"/>
      <c r="I1723" s="12" t="s">
        <v>7671</v>
      </c>
      <c r="J1723" s="11"/>
      <c r="K1723" s="12" t="s">
        <v>7672</v>
      </c>
      <c r="L1723" s="12" t="s">
        <v>2346</v>
      </c>
      <c r="M1723" s="12" t="str">
        <f>HYPERLINK("https://ceds.ed.gov/cedselementdetails.aspx?termid=17821")</f>
        <v>https://ceds.ed.gov/cedselementdetails.aspx?termid=17821</v>
      </c>
      <c r="N1723" s="12" t="str">
        <f>HYPERLINK("https://ceds.ed.gov/elementComment.aspx?elementName=Serves Children with Special Needs &amp;elementID=17821", "Click here to submit comment")</f>
        <v>Click here to submit comment</v>
      </c>
    </row>
    <row r="1724" spans="1:14" ht="25.5" x14ac:dyDescent="0.25">
      <c r="A1724" s="12" t="s">
        <v>7673</v>
      </c>
      <c r="B1724" s="12" t="s">
        <v>7674</v>
      </c>
      <c r="C1724" s="12" t="s">
        <v>37</v>
      </c>
      <c r="D1724" s="12" t="s">
        <v>3706</v>
      </c>
      <c r="E1724" s="11"/>
      <c r="F1724" s="12" t="s">
        <v>135</v>
      </c>
      <c r="G1724" s="11"/>
      <c r="H1724" s="11"/>
      <c r="I1724" s="12" t="s">
        <v>7675</v>
      </c>
      <c r="J1724" s="11"/>
      <c r="K1724" s="12" t="s">
        <v>7676</v>
      </c>
      <c r="L1724" s="11"/>
      <c r="M1724" s="12" t="str">
        <f>HYPERLINK("https://ceds.ed.gov/cedselementdetails.aspx?termid=18616")</f>
        <v>https://ceds.ed.gov/cedselementdetails.aspx?termid=18616</v>
      </c>
      <c r="N1724" s="12" t="str">
        <f>HYPERLINK("https://ceds.ed.gov/elementComment.aspx?elementName=Service Date &amp;elementID=18616", "Click here to submit comment")</f>
        <v>Click here to submit comment</v>
      </c>
    </row>
    <row r="1725" spans="1:14" ht="51" x14ac:dyDescent="0.25">
      <c r="A1725" s="12" t="s">
        <v>7677</v>
      </c>
      <c r="B1725" s="12" t="s">
        <v>7678</v>
      </c>
      <c r="C1725" s="12" t="s">
        <v>37</v>
      </c>
      <c r="D1725" s="12" t="s">
        <v>7296</v>
      </c>
      <c r="E1725" s="11"/>
      <c r="F1725" s="12" t="s">
        <v>135</v>
      </c>
      <c r="G1725" s="11"/>
      <c r="H1725" s="11"/>
      <c r="I1725" s="12" t="s">
        <v>7679</v>
      </c>
      <c r="J1725" s="11"/>
      <c r="K1725" s="12" t="s">
        <v>7680</v>
      </c>
      <c r="L1725" s="11"/>
      <c r="M1725" s="12" t="str">
        <f>HYPERLINK("https://ceds.ed.gov/cedselementdetails.aspx?termid=17326")</f>
        <v>https://ceds.ed.gov/cedselementdetails.aspx?termid=17326</v>
      </c>
      <c r="N1725" s="12" t="str">
        <f>HYPERLINK("https://ceds.ed.gov/elementComment.aspx?elementName=Service Entry Date &amp;elementID=17326", "Click here to submit comment")</f>
        <v>Click here to submit comment</v>
      </c>
    </row>
    <row r="1726" spans="1:14" ht="51" x14ac:dyDescent="0.25">
      <c r="A1726" s="12" t="s">
        <v>7681</v>
      </c>
      <c r="B1726" s="12" t="s">
        <v>7682</v>
      </c>
      <c r="C1726" s="12" t="s">
        <v>37</v>
      </c>
      <c r="D1726" s="12" t="s">
        <v>7296</v>
      </c>
      <c r="E1726" s="11"/>
      <c r="F1726" s="12" t="s">
        <v>135</v>
      </c>
      <c r="G1726" s="11"/>
      <c r="H1726" s="12" t="s">
        <v>160</v>
      </c>
      <c r="I1726" s="12" t="s">
        <v>7683</v>
      </c>
      <c r="J1726" s="11"/>
      <c r="K1726" s="12" t="s">
        <v>7684</v>
      </c>
      <c r="L1726" s="11"/>
      <c r="M1726" s="12" t="str">
        <f>HYPERLINK("https://ceds.ed.gov/cedselementdetails.aspx?termid=17327")</f>
        <v>https://ceds.ed.gov/cedselementdetails.aspx?termid=17327</v>
      </c>
      <c r="N1726" s="12" t="str">
        <f>HYPERLINK("https://ceds.ed.gov/elementComment.aspx?elementName=Service Exit Date &amp;elementID=17327", "Click here to submit comment")</f>
        <v>Click here to submit comment</v>
      </c>
    </row>
    <row r="1727" spans="1:14" ht="38.25" x14ac:dyDescent="0.25">
      <c r="A1727" s="12" t="s">
        <v>7685</v>
      </c>
      <c r="B1727" s="12" t="s">
        <v>7686</v>
      </c>
      <c r="C1727" s="12" t="s">
        <v>24</v>
      </c>
      <c r="D1727" s="12" t="s">
        <v>3462</v>
      </c>
      <c r="E1727" s="11"/>
      <c r="F1727" s="11"/>
      <c r="G1727" s="11"/>
      <c r="H1727" s="11"/>
      <c r="I1727" s="12" t="s">
        <v>7687</v>
      </c>
      <c r="J1727" s="11"/>
      <c r="K1727" s="12" t="s">
        <v>7688</v>
      </c>
      <c r="L1727" s="11"/>
      <c r="M1727" s="12" t="str">
        <f>HYPERLINK("https://ceds.ed.gov/cedselementdetails.aspx?termid=18698")</f>
        <v>https://ceds.ed.gov/cedselementdetails.aspx?termid=18698</v>
      </c>
      <c r="N1727" s="12" t="str">
        <f>HYPERLINK("https://ceds.ed.gov/elementComment.aspx?elementName=Service Extends Outside School Year &amp;elementID=18698", "Click here to submit comment")</f>
        <v>Click here to submit comment</v>
      </c>
    </row>
    <row r="1728" spans="1:14" ht="89.25" x14ac:dyDescent="0.25">
      <c r="A1728" s="12" t="s">
        <v>7689</v>
      </c>
      <c r="B1728" s="12" t="s">
        <v>7690</v>
      </c>
      <c r="C1728" s="13" t="s">
        <v>7691</v>
      </c>
      <c r="D1728" s="12" t="s">
        <v>3451</v>
      </c>
      <c r="E1728" s="11"/>
      <c r="F1728" s="11"/>
      <c r="G1728" s="11"/>
      <c r="H1728" s="11"/>
      <c r="I1728" s="12" t="s">
        <v>7692</v>
      </c>
      <c r="J1728" s="11"/>
      <c r="K1728" s="12" t="s">
        <v>7693</v>
      </c>
      <c r="L1728" s="12" t="s">
        <v>3454</v>
      </c>
      <c r="M1728" s="12" t="str">
        <f>HYPERLINK("https://ceds.ed.gov/cedselementdetails.aspx?termid=17352")</f>
        <v>https://ceds.ed.gov/cedselementdetails.aspx?termid=17352</v>
      </c>
      <c r="N1728" s="12" t="str">
        <f>HYPERLINK("https://ceds.ed.gov/elementComment.aspx?elementName=Service Option Variation &amp;elementID=17352", "Click here to submit comment")</f>
        <v>Click here to submit comment</v>
      </c>
    </row>
    <row r="1729" spans="1:14" ht="63.75" x14ac:dyDescent="0.25">
      <c r="A1729" s="12" t="s">
        <v>7694</v>
      </c>
      <c r="B1729" s="12" t="s">
        <v>7695</v>
      </c>
      <c r="C1729" s="12" t="s">
        <v>37</v>
      </c>
      <c r="D1729" s="12" t="s">
        <v>7696</v>
      </c>
      <c r="E1729" s="11"/>
      <c r="F1729" s="12" t="s">
        <v>129</v>
      </c>
      <c r="G1729" s="11"/>
      <c r="H1729" s="11"/>
      <c r="I1729" s="12" t="s">
        <v>7697</v>
      </c>
      <c r="J1729" s="11"/>
      <c r="K1729" s="12" t="s">
        <v>7698</v>
      </c>
      <c r="L1729" s="11"/>
      <c r="M1729" s="12" t="str">
        <f>HYPERLINK("https://ceds.ed.gov/cedselementdetails.aspx?termid=18603")</f>
        <v>https://ceds.ed.gov/cedselementdetails.aspx?termid=18603</v>
      </c>
      <c r="N1729" s="12" t="str">
        <f>HYPERLINK("https://ceds.ed.gov/elementComment.aspx?elementName=Service Partner Description &amp;elementID=18603", "Click here to submit comment")</f>
        <v>Click here to submit comment</v>
      </c>
    </row>
    <row r="1730" spans="1:14" ht="63.75" x14ac:dyDescent="0.25">
      <c r="A1730" s="12" t="s">
        <v>7699</v>
      </c>
      <c r="B1730" s="12" t="s">
        <v>7700</v>
      </c>
      <c r="C1730" s="12" t="s">
        <v>37</v>
      </c>
      <c r="D1730" s="12" t="s">
        <v>7696</v>
      </c>
      <c r="E1730" s="11"/>
      <c r="F1730" s="12" t="s">
        <v>874</v>
      </c>
      <c r="G1730" s="11"/>
      <c r="H1730" s="11"/>
      <c r="I1730" s="12" t="s">
        <v>7701</v>
      </c>
      <c r="J1730" s="11"/>
      <c r="K1730" s="12" t="s">
        <v>7702</v>
      </c>
      <c r="L1730" s="11"/>
      <c r="M1730" s="12" t="str">
        <f>HYPERLINK("https://ceds.ed.gov/cedselementdetails.aspx?termid=18606")</f>
        <v>https://ceds.ed.gov/cedselementdetails.aspx?termid=18606</v>
      </c>
      <c r="N1730" s="12" t="str">
        <f>HYPERLINK("https://ceds.ed.gov/elementComment.aspx?elementName=Service Partner Name &amp;elementID=18606", "Click here to submit comment")</f>
        <v>Click here to submit comment</v>
      </c>
    </row>
    <row r="1731" spans="1:14" ht="25.5" x14ac:dyDescent="0.25">
      <c r="A1731" s="12" t="s">
        <v>7703</v>
      </c>
      <c r="B1731" s="12" t="s">
        <v>7704</v>
      </c>
      <c r="C1731" s="12" t="s">
        <v>37</v>
      </c>
      <c r="D1731" s="12" t="s">
        <v>3462</v>
      </c>
      <c r="E1731" s="11"/>
      <c r="F1731" s="12" t="s">
        <v>382</v>
      </c>
      <c r="G1731" s="11"/>
      <c r="H1731" s="11"/>
      <c r="I1731" s="12" t="s">
        <v>7705</v>
      </c>
      <c r="J1731" s="11"/>
      <c r="K1731" s="12" t="s">
        <v>7706</v>
      </c>
      <c r="L1731" s="11"/>
      <c r="M1731" s="12" t="str">
        <f>HYPERLINK("https://ceds.ed.gov/cedselementdetails.aspx?termid=18699")</f>
        <v>https://ceds.ed.gov/cedselementdetails.aspx?termid=18699</v>
      </c>
      <c r="N1731" s="12" t="str">
        <f>HYPERLINK("https://ceds.ed.gov/elementComment.aspx?elementName=Service Setting Description &amp;elementID=18699", "Click here to submit comment")</f>
        <v>Click here to submit comment</v>
      </c>
    </row>
    <row r="1732" spans="1:14" ht="114.75" x14ac:dyDescent="0.25">
      <c r="A1732" s="12" t="s">
        <v>7707</v>
      </c>
      <c r="B1732" s="12" t="s">
        <v>7708</v>
      </c>
      <c r="C1732" s="12" t="s">
        <v>24</v>
      </c>
      <c r="D1732" s="12" t="s">
        <v>7709</v>
      </c>
      <c r="E1732" s="11"/>
      <c r="F1732" s="11"/>
      <c r="G1732" s="11"/>
      <c r="H1732" s="11"/>
      <c r="I1732" s="12" t="s">
        <v>7710</v>
      </c>
      <c r="J1732" s="11"/>
      <c r="K1732" s="12" t="s">
        <v>7711</v>
      </c>
      <c r="L1732" s="11"/>
      <c r="M1732" s="12" t="str">
        <f>HYPERLINK("https://ceds.ed.gov/cedselementdetails.aspx?termid=18240")</f>
        <v>https://ceds.ed.gov/cedselementdetails.aspx?termid=18240</v>
      </c>
      <c r="N1732" s="12" t="str">
        <f>HYPERLINK("https://ceds.ed.gov/elementComment.aspx?elementName=Session Attendance Term Indicator &amp;elementID=18240", "Click here to submit comment")</f>
        <v>Click here to submit comment</v>
      </c>
    </row>
    <row r="1733" spans="1:14" ht="114.75" x14ac:dyDescent="0.25">
      <c r="A1733" s="12" t="s">
        <v>7712</v>
      </c>
      <c r="B1733" s="12" t="s">
        <v>7713</v>
      </c>
      <c r="C1733" s="12" t="s">
        <v>37</v>
      </c>
      <c r="D1733" s="12" t="s">
        <v>7709</v>
      </c>
      <c r="E1733" s="11"/>
      <c r="F1733" s="12" t="s">
        <v>135</v>
      </c>
      <c r="G1733" s="11"/>
      <c r="H1733" s="11"/>
      <c r="I1733" s="12" t="s">
        <v>7714</v>
      </c>
      <c r="J1733" s="11"/>
      <c r="K1733" s="12" t="s">
        <v>7715</v>
      </c>
      <c r="L1733" s="12" t="s">
        <v>1713</v>
      </c>
      <c r="M1733" s="12" t="str">
        <f>HYPERLINK("https://ceds.ed.gov/cedselementdetails.aspx?termid=17251")</f>
        <v>https://ceds.ed.gov/cedselementdetails.aspx?termid=17251</v>
      </c>
      <c r="N1733" s="12" t="str">
        <f>HYPERLINK("https://ceds.ed.gov/elementComment.aspx?elementName=Session Begin Date &amp;elementID=17251", "Click here to submit comment")</f>
        <v>Click here to submit comment</v>
      </c>
    </row>
    <row r="1734" spans="1:14" ht="114.75" x14ac:dyDescent="0.25">
      <c r="A1734" s="12" t="s">
        <v>7716</v>
      </c>
      <c r="B1734" s="12" t="s">
        <v>7717</v>
      </c>
      <c r="C1734" s="12" t="s">
        <v>37</v>
      </c>
      <c r="D1734" s="12" t="s">
        <v>7709</v>
      </c>
      <c r="E1734" s="11"/>
      <c r="F1734" s="12" t="s">
        <v>97</v>
      </c>
      <c r="G1734" s="11"/>
      <c r="H1734" s="11"/>
      <c r="I1734" s="12" t="s">
        <v>7718</v>
      </c>
      <c r="J1734" s="11"/>
      <c r="K1734" s="12" t="s">
        <v>7719</v>
      </c>
      <c r="L1734" s="11"/>
      <c r="M1734" s="12" t="str">
        <f>HYPERLINK("https://ceds.ed.gov/cedselementdetails.aspx?termid=18236")</f>
        <v>https://ceds.ed.gov/cedselementdetails.aspx?termid=18236</v>
      </c>
      <c r="N1734" s="12" t="str">
        <f>HYPERLINK("https://ceds.ed.gov/elementComment.aspx?elementName=Session Code &amp;elementID=18236", "Click here to submit comment")</f>
        <v>Click here to submit comment</v>
      </c>
    </row>
    <row r="1735" spans="1:14" ht="114.75" x14ac:dyDescent="0.25">
      <c r="A1735" s="12" t="s">
        <v>7720</v>
      </c>
      <c r="B1735" s="12" t="s">
        <v>7721</v>
      </c>
      <c r="C1735" s="12" t="s">
        <v>37</v>
      </c>
      <c r="D1735" s="12" t="s">
        <v>7709</v>
      </c>
      <c r="E1735" s="11"/>
      <c r="F1735" s="12" t="s">
        <v>382</v>
      </c>
      <c r="G1735" s="11"/>
      <c r="H1735" s="11"/>
      <c r="I1735" s="12" t="s">
        <v>7722</v>
      </c>
      <c r="J1735" s="11"/>
      <c r="K1735" s="12" t="s">
        <v>7723</v>
      </c>
      <c r="L1735" s="11"/>
      <c r="M1735" s="12" t="str">
        <f>HYPERLINK("https://ceds.ed.gov/cedselementdetails.aspx?termid=18237")</f>
        <v>https://ceds.ed.gov/cedselementdetails.aspx?termid=18237</v>
      </c>
      <c r="N1735" s="12" t="str">
        <f>HYPERLINK("https://ceds.ed.gov/elementComment.aspx?elementName=Session Description &amp;elementID=18237", "Click here to submit comment")</f>
        <v>Click here to submit comment</v>
      </c>
    </row>
    <row r="1736" spans="1:14" ht="114.75" x14ac:dyDescent="0.25">
      <c r="A1736" s="12" t="s">
        <v>7724</v>
      </c>
      <c r="B1736" s="12" t="s">
        <v>7725</v>
      </c>
      <c r="C1736" s="12" t="s">
        <v>37</v>
      </c>
      <c r="D1736" s="12" t="s">
        <v>7726</v>
      </c>
      <c r="E1736" s="11"/>
      <c r="F1736" s="12" t="s">
        <v>3554</v>
      </c>
      <c r="G1736" s="11"/>
      <c r="H1736" s="11"/>
      <c r="I1736" s="12" t="s">
        <v>7727</v>
      </c>
      <c r="J1736" s="11"/>
      <c r="K1736" s="12" t="s">
        <v>7728</v>
      </c>
      <c r="L1736" s="12" t="s">
        <v>2232</v>
      </c>
      <c r="M1736" s="12" t="str">
        <f>HYPERLINK("https://ceds.ed.gov/cedselementdetails.aspx?termid=17252")</f>
        <v>https://ceds.ed.gov/cedselementdetails.aspx?termid=17252</v>
      </c>
      <c r="N1736" s="12" t="str">
        <f>HYPERLINK("https://ceds.ed.gov/elementComment.aspx?elementName=Session Designator &amp;elementID=17252", "Click here to submit comment")</f>
        <v>Click here to submit comment</v>
      </c>
    </row>
    <row r="1737" spans="1:14" ht="114.75" x14ac:dyDescent="0.25">
      <c r="A1737" s="12" t="s">
        <v>7729</v>
      </c>
      <c r="B1737" s="12" t="s">
        <v>7730</v>
      </c>
      <c r="C1737" s="12" t="s">
        <v>37</v>
      </c>
      <c r="D1737" s="12" t="s">
        <v>7709</v>
      </c>
      <c r="E1737" s="11"/>
      <c r="F1737" s="12" t="s">
        <v>135</v>
      </c>
      <c r="G1737" s="11"/>
      <c r="H1737" s="12" t="s">
        <v>160</v>
      </c>
      <c r="I1737" s="12" t="s">
        <v>7731</v>
      </c>
      <c r="J1737" s="11"/>
      <c r="K1737" s="12" t="s">
        <v>7732</v>
      </c>
      <c r="L1737" s="12" t="s">
        <v>1713</v>
      </c>
      <c r="M1737" s="12" t="str">
        <f>HYPERLINK("https://ceds.ed.gov/cedselementdetails.aspx?termid=17253")</f>
        <v>https://ceds.ed.gov/cedselementdetails.aspx?termid=17253</v>
      </c>
      <c r="N1737" s="12" t="str">
        <f>HYPERLINK("https://ceds.ed.gov/elementComment.aspx?elementName=Session End Date &amp;elementID=17253", "Click here to submit comment")</f>
        <v>Click here to submit comment</v>
      </c>
    </row>
    <row r="1738" spans="1:14" ht="51" x14ac:dyDescent="0.25">
      <c r="A1738" s="12" t="s">
        <v>7733</v>
      </c>
      <c r="B1738" s="12" t="s">
        <v>7734</v>
      </c>
      <c r="C1738" s="12" t="s">
        <v>37</v>
      </c>
      <c r="D1738" s="12" t="s">
        <v>7735</v>
      </c>
      <c r="E1738" s="11"/>
      <c r="F1738" s="12" t="s">
        <v>501</v>
      </c>
      <c r="G1738" s="11"/>
      <c r="H1738" s="11"/>
      <c r="I1738" s="12" t="s">
        <v>7736</v>
      </c>
      <c r="J1738" s="11"/>
      <c r="K1738" s="12" t="s">
        <v>7737</v>
      </c>
      <c r="L1738" s="12" t="s">
        <v>2346</v>
      </c>
      <c r="M1738" s="12" t="str">
        <f>HYPERLINK("https://ceds.ed.gov/cedselementdetails.aspx?termid=17988")</f>
        <v>https://ceds.ed.gov/cedselementdetails.aspx?termid=17988</v>
      </c>
      <c r="N1738" s="12" t="str">
        <f>HYPERLINK("https://ceds.ed.gov/elementComment.aspx?elementName=Session End Time &amp;elementID=17988", "Click here to submit comment")</f>
        <v>Click here to submit comment</v>
      </c>
    </row>
    <row r="1739" spans="1:14" ht="114.75" x14ac:dyDescent="0.25">
      <c r="A1739" s="12" t="s">
        <v>7738</v>
      </c>
      <c r="B1739" s="12" t="s">
        <v>7739</v>
      </c>
      <c r="C1739" s="12" t="s">
        <v>24</v>
      </c>
      <c r="D1739" s="12" t="s">
        <v>7709</v>
      </c>
      <c r="E1739" s="11"/>
      <c r="F1739" s="11"/>
      <c r="G1739" s="11"/>
      <c r="H1739" s="11"/>
      <c r="I1739" s="12" t="s">
        <v>7740</v>
      </c>
      <c r="J1739" s="11"/>
      <c r="K1739" s="12" t="s">
        <v>7741</v>
      </c>
      <c r="L1739" s="11"/>
      <c r="M1739" s="12" t="str">
        <f>HYPERLINK("https://ceds.ed.gov/cedselementdetails.aspx?termid=18238")</f>
        <v>https://ceds.ed.gov/cedselementdetails.aspx?termid=18238</v>
      </c>
      <c r="N1739" s="12" t="str">
        <f>HYPERLINK("https://ceds.ed.gov/elementComment.aspx?elementName=Session Marking Term Indicator &amp;elementID=18238", "Click here to submit comment")</f>
        <v>Click here to submit comment</v>
      </c>
    </row>
    <row r="1740" spans="1:14" ht="114.75" x14ac:dyDescent="0.25">
      <c r="A1740" s="12" t="s">
        <v>7742</v>
      </c>
      <c r="B1740" s="12" t="s">
        <v>7743</v>
      </c>
      <c r="C1740" s="12" t="s">
        <v>24</v>
      </c>
      <c r="D1740" s="12" t="s">
        <v>7709</v>
      </c>
      <c r="E1740" s="11"/>
      <c r="F1740" s="11"/>
      <c r="G1740" s="11"/>
      <c r="H1740" s="11"/>
      <c r="I1740" s="12" t="s">
        <v>7744</v>
      </c>
      <c r="J1740" s="11"/>
      <c r="K1740" s="12" t="s">
        <v>7745</v>
      </c>
      <c r="L1740" s="11"/>
      <c r="M1740" s="12" t="str">
        <f>HYPERLINK("https://ceds.ed.gov/cedselementdetails.aspx?termid=18239")</f>
        <v>https://ceds.ed.gov/cedselementdetails.aspx?termid=18239</v>
      </c>
      <c r="N1740" s="12" t="str">
        <f>HYPERLINK("https://ceds.ed.gov/elementComment.aspx?elementName=Session Scheduling Term Indicator &amp;elementID=18239", "Click here to submit comment")</f>
        <v>Click here to submit comment</v>
      </c>
    </row>
    <row r="1741" spans="1:14" ht="51" x14ac:dyDescent="0.25">
      <c r="A1741" s="12" t="s">
        <v>7746</v>
      </c>
      <c r="B1741" s="12" t="s">
        <v>7747</v>
      </c>
      <c r="C1741" s="12" t="s">
        <v>37</v>
      </c>
      <c r="D1741" s="12" t="s">
        <v>7735</v>
      </c>
      <c r="E1741" s="11"/>
      <c r="F1741" s="12" t="s">
        <v>501</v>
      </c>
      <c r="G1741" s="11"/>
      <c r="H1741" s="11"/>
      <c r="I1741" s="12" t="s">
        <v>7748</v>
      </c>
      <c r="J1741" s="11"/>
      <c r="K1741" s="12" t="s">
        <v>7749</v>
      </c>
      <c r="L1741" s="12" t="s">
        <v>2346</v>
      </c>
      <c r="M1741" s="12" t="str">
        <f>HYPERLINK("https://ceds.ed.gov/cedselementdetails.aspx?termid=17986")</f>
        <v>https://ceds.ed.gov/cedselementdetails.aspx?termid=17986</v>
      </c>
      <c r="N1741" s="12" t="str">
        <f>HYPERLINK("https://ceds.ed.gov/elementComment.aspx?elementName=Session Start Time &amp;elementID=17986", "Click here to submit comment")</f>
        <v>Click here to submit comment</v>
      </c>
    </row>
    <row r="1742" spans="1:14" ht="153" x14ac:dyDescent="0.25">
      <c r="A1742" s="12" t="s">
        <v>7750</v>
      </c>
      <c r="B1742" s="12" t="s">
        <v>7751</v>
      </c>
      <c r="C1742" s="13" t="s">
        <v>7752</v>
      </c>
      <c r="D1742" s="12" t="s">
        <v>7753</v>
      </c>
      <c r="E1742" s="11"/>
      <c r="F1742" s="11"/>
      <c r="G1742" s="11"/>
      <c r="H1742" s="11"/>
      <c r="I1742" s="12" t="s">
        <v>7754</v>
      </c>
      <c r="J1742" s="11"/>
      <c r="K1742" s="12" t="s">
        <v>7755</v>
      </c>
      <c r="L1742" s="12" t="s">
        <v>1713</v>
      </c>
      <c r="M1742" s="12" t="str">
        <f>HYPERLINK("https://ceds.ed.gov/cedselementdetails.aspx?termid=17254")</f>
        <v>https://ceds.ed.gov/cedselementdetails.aspx?termid=17254</v>
      </c>
      <c r="N1742" s="12" t="str">
        <f>HYPERLINK("https://ceds.ed.gov/elementComment.aspx?elementName=Session Type &amp;elementID=17254", "Click here to submit comment")</f>
        <v>Click here to submit comment</v>
      </c>
    </row>
    <row r="1743" spans="1:14" ht="318.75" x14ac:dyDescent="0.25">
      <c r="A1743" s="12" t="s">
        <v>7756</v>
      </c>
      <c r="B1743" s="12" t="s">
        <v>7757</v>
      </c>
      <c r="C1743" s="13" t="s">
        <v>7758</v>
      </c>
      <c r="D1743" s="12" t="s">
        <v>1743</v>
      </c>
      <c r="E1743" s="11"/>
      <c r="F1743" s="11"/>
      <c r="G1743" s="11"/>
      <c r="H1743" s="12" t="s">
        <v>7759</v>
      </c>
      <c r="I1743" s="12" t="s">
        <v>7760</v>
      </c>
      <c r="J1743" s="11"/>
      <c r="K1743" s="12" t="s">
        <v>7756</v>
      </c>
      <c r="L1743" s="12" t="s">
        <v>7761</v>
      </c>
      <c r="M1743" s="12" t="str">
        <f>HYPERLINK("https://ceds.ed.gov/cedselementdetails.aspx?termid=17255")</f>
        <v>https://ceds.ed.gov/cedselementdetails.aspx?termid=17255</v>
      </c>
      <c r="N1743" s="12" t="str">
        <f>HYPERLINK("https://ceds.ed.gov/elementComment.aspx?elementName=Sex &amp;elementID=17255", "Click here to submit comment")</f>
        <v>Click here to submit comment</v>
      </c>
    </row>
    <row r="1744" spans="1:14" ht="76.5" x14ac:dyDescent="0.25">
      <c r="A1744" s="12" t="s">
        <v>7762</v>
      </c>
      <c r="B1744" s="12" t="s">
        <v>7763</v>
      </c>
      <c r="C1744" s="12" t="s">
        <v>24</v>
      </c>
      <c r="D1744" s="12" t="s">
        <v>262</v>
      </c>
      <c r="E1744" s="11"/>
      <c r="F1744" s="11"/>
      <c r="G1744" s="11"/>
      <c r="H1744" s="11"/>
      <c r="I1744" s="12" t="s">
        <v>7764</v>
      </c>
      <c r="J1744" s="11"/>
      <c r="K1744" s="12" t="s">
        <v>7765</v>
      </c>
      <c r="L1744" s="12" t="s">
        <v>258</v>
      </c>
      <c r="M1744" s="12" t="str">
        <f>HYPERLINK("https://ceds.ed.gov/cedselementdetails.aspx?termid=17257")</f>
        <v>https://ceds.ed.gov/cedselementdetails.aspx?termid=17257</v>
      </c>
      <c r="N1744" s="12" t="str">
        <f>HYPERLINK("https://ceds.ed.gov/elementComment.aspx?elementName=Shared Time Indicator &amp;elementID=17257", "Click here to submit comment")</f>
        <v>Click here to submit comment</v>
      </c>
    </row>
    <row r="1745" spans="1:14" ht="178.5" x14ac:dyDescent="0.25">
      <c r="A1745" s="12" t="s">
        <v>7766</v>
      </c>
      <c r="B1745" s="12" t="s">
        <v>7767</v>
      </c>
      <c r="C1745" s="12" t="s">
        <v>37</v>
      </c>
      <c r="D1745" s="12" t="s">
        <v>7768</v>
      </c>
      <c r="E1745" s="11"/>
      <c r="F1745" s="12" t="s">
        <v>97</v>
      </c>
      <c r="G1745" s="11"/>
      <c r="H1745" s="12" t="s">
        <v>7769</v>
      </c>
      <c r="I1745" s="12" t="s">
        <v>7770</v>
      </c>
      <c r="J1745" s="11"/>
      <c r="K1745" s="12" t="s">
        <v>7771</v>
      </c>
      <c r="L1745" s="11"/>
      <c r="M1745" s="12" t="str">
        <f>HYPERLINK("https://ceds.ed.gov/cedselementdetails.aspx?termid=18459")</f>
        <v>https://ceds.ed.gov/cedselementdetails.aspx?termid=18459</v>
      </c>
      <c r="N1745" s="12" t="str">
        <f>HYPERLINK("https://ceds.ed.gov/elementComment.aspx?elementName=Short Name of Institution &amp;elementID=18459", "Click here to submit comment")</f>
        <v>Click here to submit comment</v>
      </c>
    </row>
    <row r="1746" spans="1:14" ht="51" x14ac:dyDescent="0.25">
      <c r="A1746" s="12" t="s">
        <v>7772</v>
      </c>
      <c r="B1746" s="12" t="s">
        <v>7773</v>
      </c>
      <c r="C1746" s="12" t="s">
        <v>24</v>
      </c>
      <c r="D1746" s="12" t="s">
        <v>3591</v>
      </c>
      <c r="E1746" s="11"/>
      <c r="F1746" s="11"/>
      <c r="G1746" s="11"/>
      <c r="H1746" s="11"/>
      <c r="I1746" s="12" t="s">
        <v>7774</v>
      </c>
      <c r="J1746" s="11"/>
      <c r="K1746" s="12" t="s">
        <v>7775</v>
      </c>
      <c r="L1746" s="11"/>
      <c r="M1746" s="12" t="str">
        <f>HYPERLINK("https://ceds.ed.gov/cedselementdetails.aspx?termid=17505")</f>
        <v>https://ceds.ed.gov/cedselementdetails.aspx?termid=17505</v>
      </c>
      <c r="N1746" s="12" t="str">
        <f>HYPERLINK("https://ceds.ed.gov/elementComment.aspx?elementName=Shortened Expulsion &amp;elementID=17505", "Click here to submit comment")</f>
        <v>Click here to submit comment</v>
      </c>
    </row>
    <row r="1747" spans="1:14" ht="51" x14ac:dyDescent="0.25">
      <c r="A1747" s="12" t="s">
        <v>7776</v>
      </c>
      <c r="B1747" s="12" t="s">
        <v>7777</v>
      </c>
      <c r="C1747" s="12" t="s">
        <v>24</v>
      </c>
      <c r="D1747" s="12" t="s">
        <v>5054</v>
      </c>
      <c r="E1747" s="11"/>
      <c r="F1747" s="11"/>
      <c r="G1747" s="11"/>
      <c r="H1747" s="11"/>
      <c r="I1747" s="12" t="s">
        <v>7778</v>
      </c>
      <c r="J1747" s="11"/>
      <c r="K1747" s="12" t="s">
        <v>7779</v>
      </c>
      <c r="L1747" s="11"/>
      <c r="M1747" s="12" t="str">
        <f>HYPERLINK("https://ceds.ed.gov/cedselementdetails.aspx?termid=18746")</f>
        <v>https://ceds.ed.gov/cedselementdetails.aspx?termid=18746</v>
      </c>
      <c r="N1747" s="12" t="str">
        <f>HYPERLINK("https://ceds.ed.gov/elementComment.aspx?elementName=Significant Cognitive Disability Indicator &amp;elementID=18746", "Click here to submit comment")</f>
        <v>Click here to submit comment</v>
      </c>
    </row>
    <row r="1748" spans="1:14" ht="76.5" x14ac:dyDescent="0.25">
      <c r="A1748" s="12" t="s">
        <v>7780</v>
      </c>
      <c r="B1748" s="12" t="s">
        <v>7781</v>
      </c>
      <c r="C1748" s="12" t="s">
        <v>24</v>
      </c>
      <c r="D1748" s="12" t="s">
        <v>7782</v>
      </c>
      <c r="E1748" s="11"/>
      <c r="F1748" s="11"/>
      <c r="G1748" s="11"/>
      <c r="H1748" s="11"/>
      <c r="I1748" s="12" t="s">
        <v>7783</v>
      </c>
      <c r="J1748" s="11"/>
      <c r="K1748" s="12" t="s">
        <v>7784</v>
      </c>
      <c r="L1748" s="12" t="s">
        <v>2410</v>
      </c>
      <c r="M1748" s="12" t="str">
        <f>HYPERLINK("https://ceds.ed.gov/cedselementdetails.aspx?termid=17573")</f>
        <v>https://ceds.ed.gov/cedselementdetails.aspx?termid=17573</v>
      </c>
      <c r="N1748" s="12" t="str">
        <f>HYPERLINK("https://ceds.ed.gov/elementComment.aspx?elementName=Single Parent or Single Pregnant Woman Status &amp;elementID=17573", "Click here to submit comment")</f>
        <v>Click here to submit comment</v>
      </c>
    </row>
    <row r="1749" spans="1:14" ht="25.5" x14ac:dyDescent="0.25">
      <c r="A1749" s="12" t="s">
        <v>7785</v>
      </c>
      <c r="B1749" s="12" t="s">
        <v>7786</v>
      </c>
      <c r="C1749" s="12" t="s">
        <v>37</v>
      </c>
      <c r="D1749" s="12" t="s">
        <v>7787</v>
      </c>
      <c r="E1749" s="11"/>
      <c r="F1749" s="12" t="s">
        <v>175</v>
      </c>
      <c r="G1749" s="11"/>
      <c r="H1749" s="11"/>
      <c r="I1749" s="12" t="s">
        <v>7788</v>
      </c>
      <c r="J1749" s="11"/>
      <c r="K1749" s="12" t="s">
        <v>7789</v>
      </c>
      <c r="L1749" s="12" t="s">
        <v>2801</v>
      </c>
      <c r="M1749" s="12" t="str">
        <f>HYPERLINK("https://ceds.ed.gov/cedselementdetails.aspx?termid=17625")</f>
        <v>https://ceds.ed.gov/cedselementdetails.aspx?termid=17625</v>
      </c>
      <c r="N1749" s="12" t="str">
        <f>HYPERLINK("https://ceds.ed.gov/elementComment.aspx?elementName=Site Name &amp;elementID=17625", "Click here to submit comment")</f>
        <v>Click here to submit comment</v>
      </c>
    </row>
    <row r="1750" spans="1:14" ht="25.5" x14ac:dyDescent="0.25">
      <c r="A1750" s="12" t="s">
        <v>7790</v>
      </c>
      <c r="B1750" s="12" t="s">
        <v>7791</v>
      </c>
      <c r="C1750" s="12" t="s">
        <v>37</v>
      </c>
      <c r="D1750" s="12" t="s">
        <v>3730</v>
      </c>
      <c r="E1750" s="11"/>
      <c r="F1750" s="12" t="s">
        <v>129</v>
      </c>
      <c r="G1750" s="11"/>
      <c r="H1750" s="11"/>
      <c r="I1750" s="12" t="s">
        <v>7792</v>
      </c>
      <c r="J1750" s="11"/>
      <c r="K1750" s="12" t="s">
        <v>7793</v>
      </c>
      <c r="L1750" s="11"/>
      <c r="M1750" s="12" t="str">
        <f>HYPERLINK("https://ceds.ed.gov/cedselementdetails.aspx?termid=18608")</f>
        <v>https://ceds.ed.gov/cedselementdetails.aspx?termid=18608</v>
      </c>
      <c r="N1750" s="12" t="str">
        <f>HYPERLINK("https://ceds.ed.gov/elementComment.aspx?elementName=Site Preference Rank &amp;elementID=18608", "Click here to submit comment")</f>
        <v>Click here to submit comment</v>
      </c>
    </row>
    <row r="1751" spans="1:14" ht="63.75" x14ac:dyDescent="0.25">
      <c r="A1751" s="12" t="s">
        <v>7794</v>
      </c>
      <c r="B1751" s="12" t="s">
        <v>7795</v>
      </c>
      <c r="C1751" s="12" t="s">
        <v>37</v>
      </c>
      <c r="D1751" s="12" t="s">
        <v>4980</v>
      </c>
      <c r="E1751" s="11"/>
      <c r="F1751" s="12" t="s">
        <v>370</v>
      </c>
      <c r="G1751" s="11"/>
      <c r="H1751" s="11"/>
      <c r="I1751" s="12" t="s">
        <v>7796</v>
      </c>
      <c r="J1751" s="11"/>
      <c r="K1751" s="12" t="s">
        <v>7797</v>
      </c>
      <c r="L1751" s="12" t="s">
        <v>4983</v>
      </c>
      <c r="M1751" s="12" t="str">
        <f>HYPERLINK("https://ceds.ed.gov/cedselementdetails.aspx?termid=17294")</f>
        <v>https://ceds.ed.gov/cedselementdetails.aspx?termid=17294</v>
      </c>
      <c r="N1751" s="12" t="str">
        <f>HYPERLINK("https://ceds.ed.gov/elementComment.aspx?elementName=Size of High School Graduating Class &amp;elementID=17294", "Click here to submit comment")</f>
        <v>Click here to submit comment</v>
      </c>
    </row>
    <row r="1752" spans="1:14" ht="51" x14ac:dyDescent="0.25">
      <c r="A1752" s="12" t="s">
        <v>7798</v>
      </c>
      <c r="B1752" s="12" t="s">
        <v>7799</v>
      </c>
      <c r="C1752" s="12" t="s">
        <v>24</v>
      </c>
      <c r="D1752" s="12" t="s">
        <v>3641</v>
      </c>
      <c r="E1752" s="11"/>
      <c r="F1752" s="11"/>
      <c r="G1752" s="11"/>
      <c r="H1752" s="11"/>
      <c r="I1752" s="12" t="s">
        <v>7800</v>
      </c>
      <c r="J1752" s="11"/>
      <c r="K1752" s="12" t="s">
        <v>7801</v>
      </c>
      <c r="L1752" s="12" t="s">
        <v>291</v>
      </c>
      <c r="M1752" s="12" t="str">
        <f>HYPERLINK("https://ceds.ed.gov/cedselementdetails.aspx?termid=17744")</f>
        <v>https://ceds.ed.gov/cedselementdetails.aspx?termid=17744</v>
      </c>
      <c r="N1752" s="12" t="str">
        <f>HYPERLINK("https://ceds.ed.gov/elementComment.aspx?elementName=Sorority Participation Status &amp;elementID=17744", "Click here to submit comment")</f>
        <v>Click here to submit comment</v>
      </c>
    </row>
    <row r="1753" spans="1:14" ht="140.25" x14ac:dyDescent="0.25">
      <c r="A1753" s="12" t="s">
        <v>7802</v>
      </c>
      <c r="B1753" s="12" t="s">
        <v>7803</v>
      </c>
      <c r="C1753" s="13" t="s">
        <v>7804</v>
      </c>
      <c r="D1753" s="12" t="s">
        <v>4464</v>
      </c>
      <c r="E1753" s="11"/>
      <c r="F1753" s="11"/>
      <c r="G1753" s="11"/>
      <c r="H1753" s="11"/>
      <c r="I1753" s="12" t="s">
        <v>7805</v>
      </c>
      <c r="J1753" s="11"/>
      <c r="K1753" s="12" t="s">
        <v>7806</v>
      </c>
      <c r="L1753" s="12" t="s">
        <v>467</v>
      </c>
      <c r="M1753" s="12" t="str">
        <f>HYPERLINK("https://ceds.ed.gov/cedselementdetails.aspx?termid=17332")</f>
        <v>https://ceds.ed.gov/cedselementdetails.aspx?termid=17332</v>
      </c>
      <c r="N1753" s="12" t="str">
        <f>HYPERLINK("https://ceds.ed.gov/elementComment.aspx?elementName=Source of Family Income &amp;elementID=17332", "Click here to submit comment")</f>
        <v>Click here to submit comment</v>
      </c>
    </row>
    <row r="1754" spans="1:14" ht="102" x14ac:dyDescent="0.25">
      <c r="A1754" s="12" t="s">
        <v>7807</v>
      </c>
      <c r="B1754" s="12" t="s">
        <v>7808</v>
      </c>
      <c r="C1754" s="13" t="s">
        <v>7809</v>
      </c>
      <c r="D1754" s="12" t="s">
        <v>3916</v>
      </c>
      <c r="E1754" s="11"/>
      <c r="F1754" s="11"/>
      <c r="G1754" s="11"/>
      <c r="H1754" s="11"/>
      <c r="I1754" s="12" t="s">
        <v>7810</v>
      </c>
      <c r="J1754" s="11"/>
      <c r="K1754" s="12" t="s">
        <v>7811</v>
      </c>
      <c r="L1754" s="12" t="s">
        <v>125</v>
      </c>
      <c r="M1754" s="12" t="str">
        <f>HYPERLINK("https://ceds.ed.gov/cedselementdetails.aspx?termid=17852")</f>
        <v>https://ceds.ed.gov/cedselementdetails.aspx?termid=17852</v>
      </c>
      <c r="N1754" s="12" t="str">
        <f>HYPERLINK("https://ceds.ed.gov/elementComment.aspx?elementName=Special Circumstances Population Served &amp;elementID=17852", "Click here to submit comment")</f>
        <v>Click here to submit comment</v>
      </c>
    </row>
    <row r="1755" spans="1:14" ht="38.25" x14ac:dyDescent="0.25">
      <c r="A1755" s="12" t="s">
        <v>7812</v>
      </c>
      <c r="B1755" s="12" t="s">
        <v>7813</v>
      </c>
      <c r="C1755" s="13" t="s">
        <v>7814</v>
      </c>
      <c r="D1755" s="12" t="s">
        <v>5686</v>
      </c>
      <c r="E1755" s="11"/>
      <c r="F1755" s="11"/>
      <c r="G1755" s="11"/>
      <c r="H1755" s="11"/>
      <c r="I1755" s="12" t="s">
        <v>7815</v>
      </c>
      <c r="J1755" s="11"/>
      <c r="K1755" s="12" t="s">
        <v>7816</v>
      </c>
      <c r="L1755" s="12" t="s">
        <v>258</v>
      </c>
      <c r="M1755" s="12" t="str">
        <f>HYPERLINK("https://ceds.ed.gov/cedselementdetails.aspx?termid=17556")</f>
        <v>https://ceds.ed.gov/cedselementdetails.aspx?termid=17556</v>
      </c>
      <c r="N1755" s="12" t="str">
        <f>HYPERLINK("https://ceds.ed.gov/elementComment.aspx?elementName=Special Education Age Group Taught &amp;elementID=17556", "Click here to submit comment")</f>
        <v>Click here to submit comment</v>
      </c>
    </row>
    <row r="1756" spans="1:14" ht="409.5" x14ac:dyDescent="0.25">
      <c r="A1756" s="12" t="s">
        <v>7817</v>
      </c>
      <c r="B1756" s="12" t="s">
        <v>7818</v>
      </c>
      <c r="C1756" s="13" t="s">
        <v>7819</v>
      </c>
      <c r="D1756" s="12" t="s">
        <v>7820</v>
      </c>
      <c r="E1756" s="11"/>
      <c r="F1756" s="11"/>
      <c r="G1756" s="11"/>
      <c r="H1756" s="11"/>
      <c r="I1756" s="12" t="s">
        <v>7821</v>
      </c>
      <c r="J1756" s="11"/>
      <c r="K1756" s="12" t="s">
        <v>7822</v>
      </c>
      <c r="L1756" s="12" t="s">
        <v>258</v>
      </c>
      <c r="M1756" s="12" t="str">
        <f>HYPERLINK("https://ceds.ed.gov/cedselementdetails.aspx?termid=17260")</f>
        <v>https://ceds.ed.gov/cedselementdetails.aspx?termid=17260</v>
      </c>
      <c r="N1756" s="12" t="str">
        <f>HYPERLINK("https://ceds.ed.gov/elementComment.aspx?elementName=Special Education Exit Reason &amp;elementID=17260", "Click here to submit comment")</f>
        <v>Click here to submit comment</v>
      </c>
    </row>
    <row r="1757" spans="1:14" ht="76.5" x14ac:dyDescent="0.25">
      <c r="A1757" s="12" t="s">
        <v>7823</v>
      </c>
      <c r="B1757" s="12" t="s">
        <v>7824</v>
      </c>
      <c r="C1757" s="12" t="s">
        <v>37</v>
      </c>
      <c r="D1757" s="12" t="s">
        <v>7820</v>
      </c>
      <c r="E1757" s="11"/>
      <c r="F1757" s="12" t="s">
        <v>4773</v>
      </c>
      <c r="G1757" s="11"/>
      <c r="H1757" s="11"/>
      <c r="I1757" s="12" t="s">
        <v>7825</v>
      </c>
      <c r="J1757" s="12" t="s">
        <v>7826</v>
      </c>
      <c r="K1757" s="12" t="s">
        <v>7827</v>
      </c>
      <c r="L1757" s="11"/>
      <c r="M1757" s="12" t="str">
        <f>HYPERLINK("https://ceds.ed.gov/cedselementdetails.aspx?termid=18208")</f>
        <v>https://ceds.ed.gov/cedselementdetails.aspx?termid=18208</v>
      </c>
      <c r="N1757" s="12" t="str">
        <f>HYPERLINK("https://ceds.ed.gov/elementComment.aspx?elementName=Special Education Full Time Equivalency &amp;elementID=18208", "Click here to submit comment")</f>
        <v>Click here to submit comment</v>
      </c>
    </row>
    <row r="1758" spans="1:14" ht="51" x14ac:dyDescent="0.25">
      <c r="A1758" s="12" t="s">
        <v>7828</v>
      </c>
      <c r="B1758" s="12" t="s">
        <v>7829</v>
      </c>
      <c r="C1758" s="12" t="s">
        <v>24</v>
      </c>
      <c r="D1758" s="12" t="s">
        <v>5686</v>
      </c>
      <c r="E1758" s="11"/>
      <c r="F1758" s="11"/>
      <c r="G1758" s="11"/>
      <c r="H1758" s="11"/>
      <c r="I1758" s="12" t="s">
        <v>7830</v>
      </c>
      <c r="J1758" s="11"/>
      <c r="K1758" s="12" t="s">
        <v>7831</v>
      </c>
      <c r="L1758" s="12" t="s">
        <v>258</v>
      </c>
      <c r="M1758" s="12" t="str">
        <f>HYPERLINK("https://ceds.ed.gov/cedselementdetails.aspx?termid=17261")</f>
        <v>https://ceds.ed.gov/cedselementdetails.aspx?termid=17261</v>
      </c>
      <c r="N1758" s="12" t="str">
        <f>HYPERLINK("https://ceds.ed.gov/elementComment.aspx?elementName=Special Education Paraprofessional &amp;elementID=17261", "Click here to submit comment")</f>
        <v>Click here to submit comment</v>
      </c>
    </row>
    <row r="1759" spans="1:14" ht="51" x14ac:dyDescent="0.25">
      <c r="A1759" s="12" t="s">
        <v>7832</v>
      </c>
      <c r="B1759" s="12" t="s">
        <v>7833</v>
      </c>
      <c r="C1759" s="12" t="s">
        <v>24</v>
      </c>
      <c r="D1759" s="12" t="s">
        <v>5686</v>
      </c>
      <c r="E1759" s="11"/>
      <c r="F1759" s="11"/>
      <c r="G1759" s="11"/>
      <c r="H1759" s="11"/>
      <c r="I1759" s="12" t="s">
        <v>7834</v>
      </c>
      <c r="J1759" s="11"/>
      <c r="K1759" s="12" t="s">
        <v>7835</v>
      </c>
      <c r="L1759" s="12" t="s">
        <v>258</v>
      </c>
      <c r="M1759" s="12" t="str">
        <f>HYPERLINK("https://ceds.ed.gov/cedselementdetails.aspx?termid=17262")</f>
        <v>https://ceds.ed.gov/cedselementdetails.aspx?termid=17262</v>
      </c>
      <c r="N1759" s="12" t="str">
        <f>HYPERLINK("https://ceds.ed.gov/elementComment.aspx?elementName=Special Education Related Services Personnel &amp;elementID=17262", "Click here to submit comment")</f>
        <v>Click here to submit comment</v>
      </c>
    </row>
    <row r="1760" spans="1:14" ht="51" x14ac:dyDescent="0.25">
      <c r="A1760" s="12" t="s">
        <v>7836</v>
      </c>
      <c r="B1760" s="12" t="s">
        <v>7837</v>
      </c>
      <c r="C1760" s="12" t="s">
        <v>37</v>
      </c>
      <c r="D1760" s="12" t="s">
        <v>7838</v>
      </c>
      <c r="E1760" s="11"/>
      <c r="F1760" s="12" t="s">
        <v>135</v>
      </c>
      <c r="G1760" s="11"/>
      <c r="H1760" s="12" t="s">
        <v>160</v>
      </c>
      <c r="I1760" s="12" t="s">
        <v>7839</v>
      </c>
      <c r="J1760" s="11"/>
      <c r="K1760" s="12" t="s">
        <v>7840</v>
      </c>
      <c r="L1760" s="12" t="s">
        <v>258</v>
      </c>
      <c r="M1760" s="12" t="str">
        <f>HYPERLINK("https://ceds.ed.gov/cedselementdetails.aspx?termid=17263")</f>
        <v>https://ceds.ed.gov/cedselementdetails.aspx?termid=17263</v>
      </c>
      <c r="N1760" s="12" t="str">
        <f>HYPERLINK("https://ceds.ed.gov/elementComment.aspx?elementName=Special Education Services Exit Date &amp;elementID=17263", "Click here to submit comment")</f>
        <v>Click here to submit comment</v>
      </c>
    </row>
    <row r="1761" spans="1:14" ht="216.75" x14ac:dyDescent="0.25">
      <c r="A1761" s="12" t="s">
        <v>7841</v>
      </c>
      <c r="B1761" s="12" t="s">
        <v>7842</v>
      </c>
      <c r="C1761" s="13" t="s">
        <v>7843</v>
      </c>
      <c r="D1761" s="12" t="s">
        <v>7844</v>
      </c>
      <c r="E1761" s="11"/>
      <c r="F1761" s="11"/>
      <c r="G1761" s="11"/>
      <c r="H1761" s="11"/>
      <c r="I1761" s="12" t="s">
        <v>7845</v>
      </c>
      <c r="J1761" s="11"/>
      <c r="K1761" s="12" t="s">
        <v>7846</v>
      </c>
      <c r="L1761" s="12" t="s">
        <v>258</v>
      </c>
      <c r="M1761" s="12" t="str">
        <f>HYPERLINK("https://ceds.ed.gov/cedselementdetails.aspx?termid=17549")</f>
        <v>https://ceds.ed.gov/cedselementdetails.aspx?termid=17549</v>
      </c>
      <c r="N1761" s="12" t="str">
        <f>HYPERLINK("https://ceds.ed.gov/elementComment.aspx?elementName=Special Education Support Services Category &amp;elementID=17549", "Click here to submit comment")</f>
        <v>Click here to submit comment</v>
      </c>
    </row>
    <row r="1762" spans="1:14" ht="51" x14ac:dyDescent="0.25">
      <c r="A1762" s="12" t="s">
        <v>7847</v>
      </c>
      <c r="B1762" s="12" t="s">
        <v>7848</v>
      </c>
      <c r="C1762" s="12" t="s">
        <v>24</v>
      </c>
      <c r="D1762" s="12" t="s">
        <v>5686</v>
      </c>
      <c r="E1762" s="11"/>
      <c r="F1762" s="11"/>
      <c r="G1762" s="11"/>
      <c r="H1762" s="11"/>
      <c r="I1762" s="12" t="s">
        <v>7849</v>
      </c>
      <c r="J1762" s="11"/>
      <c r="K1762" s="12" t="s">
        <v>7850</v>
      </c>
      <c r="L1762" s="12" t="s">
        <v>258</v>
      </c>
      <c r="M1762" s="12" t="str">
        <f>HYPERLINK("https://ceds.ed.gov/cedselementdetails.aspx?termid=17264")</f>
        <v>https://ceds.ed.gov/cedselementdetails.aspx?termid=17264</v>
      </c>
      <c r="N1762" s="12" t="str">
        <f>HYPERLINK("https://ceds.ed.gov/elementComment.aspx?elementName=Special Education Teacher &amp;elementID=17264", "Click here to submit comment")</f>
        <v>Click here to submit comment</v>
      </c>
    </row>
    <row r="1763" spans="1:14" ht="51" x14ac:dyDescent="0.25">
      <c r="A1763" s="12" t="s">
        <v>7851</v>
      </c>
      <c r="B1763" s="12" t="s">
        <v>7852</v>
      </c>
      <c r="C1763" s="12" t="s">
        <v>24</v>
      </c>
      <c r="D1763" s="12" t="s">
        <v>7853</v>
      </c>
      <c r="E1763" s="11"/>
      <c r="F1763" s="11"/>
      <c r="G1763" s="11"/>
      <c r="H1763" s="11"/>
      <c r="I1763" s="12" t="s">
        <v>7854</v>
      </c>
      <c r="J1763" s="11"/>
      <c r="K1763" s="12" t="s">
        <v>7855</v>
      </c>
      <c r="L1763" s="12" t="s">
        <v>125</v>
      </c>
      <c r="M1763" s="12" t="str">
        <f>HYPERLINK("https://ceds.ed.gov/cedselementdetails.aspx?termid=18004")</f>
        <v>https://ceds.ed.gov/cedselementdetails.aspx?termid=18004</v>
      </c>
      <c r="N1763" s="12" t="str">
        <f>HYPERLINK("https://ceds.ed.gov/elementComment.aspx?elementName=Special Needs Policy &amp;elementID=18004", "Click here to submit comment")</f>
        <v>Click here to submit comment</v>
      </c>
    </row>
    <row r="1764" spans="1:14" ht="63.75" x14ac:dyDescent="0.25">
      <c r="A1764" s="12" t="s">
        <v>7856</v>
      </c>
      <c r="B1764" s="12" t="s">
        <v>7857</v>
      </c>
      <c r="C1764" s="12" t="s">
        <v>37</v>
      </c>
      <c r="D1764" s="12" t="s">
        <v>6963</v>
      </c>
      <c r="E1764" s="11"/>
      <c r="F1764" s="12" t="s">
        <v>175</v>
      </c>
      <c r="G1764" s="11"/>
      <c r="H1764" s="11"/>
      <c r="I1764" s="12" t="s">
        <v>7858</v>
      </c>
      <c r="J1764" s="11"/>
      <c r="K1764" s="12" t="s">
        <v>7859</v>
      </c>
      <c r="L1764" s="11"/>
      <c r="M1764" s="12" t="str">
        <f>HYPERLINK("https://ceds.ed.gov/cedselementdetails.aspx?termid=18461")</f>
        <v>https://ceds.ed.gov/cedselementdetails.aspx?termid=18461</v>
      </c>
      <c r="N1764" s="12" t="str">
        <f>HYPERLINK("https://ceds.ed.gov/elementComment.aspx?elementName=Sponsoring Agency Name &amp;elementID=18461", "Click here to submit comment")</f>
        <v>Click here to submit comment</v>
      </c>
    </row>
    <row r="1765" spans="1:14" ht="38.25" x14ac:dyDescent="0.25">
      <c r="A1765" s="12" t="s">
        <v>7860</v>
      </c>
      <c r="B1765" s="12" t="s">
        <v>7861</v>
      </c>
      <c r="C1765" s="12" t="s">
        <v>24</v>
      </c>
      <c r="D1765" s="12" t="s">
        <v>3759</v>
      </c>
      <c r="E1765" s="11"/>
      <c r="F1765" s="11"/>
      <c r="G1765" s="11"/>
      <c r="H1765" s="11"/>
      <c r="I1765" s="12" t="s">
        <v>7862</v>
      </c>
      <c r="J1765" s="11"/>
      <c r="K1765" s="12" t="s">
        <v>7863</v>
      </c>
      <c r="L1765" s="11"/>
      <c r="M1765" s="12" t="str">
        <f>HYPERLINK("https://ceds.ed.gov/cedselementdetails.aspx?termid=18560")</f>
        <v>https://ceds.ed.gov/cedselementdetails.aspx?termid=18560</v>
      </c>
      <c r="N1765" s="12" t="str">
        <f>HYPERLINK("https://ceds.ed.gov/elementComment.aspx?elementName=Staff Approval Indicator &amp;elementID=18560", "Click here to submit comment")</f>
        <v>Click here to submit comment</v>
      </c>
    </row>
    <row r="1766" spans="1:14" ht="178.5" x14ac:dyDescent="0.25">
      <c r="A1766" s="12" t="s">
        <v>7864</v>
      </c>
      <c r="B1766" s="12" t="s">
        <v>7865</v>
      </c>
      <c r="C1766" s="12" t="s">
        <v>37</v>
      </c>
      <c r="D1766" s="12" t="s">
        <v>4034</v>
      </c>
      <c r="E1766" s="11"/>
      <c r="F1766" s="12" t="s">
        <v>1710</v>
      </c>
      <c r="G1766" s="11"/>
      <c r="H1766" s="12" t="s">
        <v>7866</v>
      </c>
      <c r="I1766" s="12" t="s">
        <v>7867</v>
      </c>
      <c r="J1766" s="11"/>
      <c r="K1766" s="12" t="s">
        <v>7868</v>
      </c>
      <c r="L1766" s="12" t="s">
        <v>2807</v>
      </c>
      <c r="M1766" s="12" t="str">
        <f>HYPERLINK("https://ceds.ed.gov/cedselementdetails.aspx?termid=17032")</f>
        <v>https://ceds.ed.gov/cedselementdetails.aspx?termid=17032</v>
      </c>
      <c r="N1766" s="12" t="str">
        <f>HYPERLINK("https://ceds.ed.gov/elementComment.aspx?elementName=Staff Compensation Base Salary &amp;elementID=17032", "Click here to submit comment")</f>
        <v>Click here to submit comment</v>
      </c>
    </row>
    <row r="1767" spans="1:14" ht="102" x14ac:dyDescent="0.25">
      <c r="A1767" s="12" t="s">
        <v>7869</v>
      </c>
      <c r="B1767" s="12" t="s">
        <v>7870</v>
      </c>
      <c r="C1767" s="12" t="s">
        <v>37</v>
      </c>
      <c r="D1767" s="12" t="s">
        <v>4034</v>
      </c>
      <c r="E1767" s="11"/>
      <c r="F1767" s="12" t="s">
        <v>1710</v>
      </c>
      <c r="G1767" s="11"/>
      <c r="H1767" s="11"/>
      <c r="I1767" s="12" t="s">
        <v>7871</v>
      </c>
      <c r="J1767" s="11"/>
      <c r="K1767" s="12" t="s">
        <v>7872</v>
      </c>
      <c r="L1767" s="12" t="s">
        <v>2807</v>
      </c>
      <c r="M1767" s="12" t="str">
        <f>HYPERLINK("https://ceds.ed.gov/cedselementdetails.aspx?termid=17136")</f>
        <v>https://ceds.ed.gov/cedselementdetails.aspx?termid=17136</v>
      </c>
      <c r="N1767" s="12" t="str">
        <f>HYPERLINK("https://ceds.ed.gov/elementComment.aspx?elementName=Staff Compensation Health Benefits &amp;elementID=17136", "Click here to submit comment")</f>
        <v>Click here to submit comment</v>
      </c>
    </row>
    <row r="1768" spans="1:14" ht="114.75" x14ac:dyDescent="0.25">
      <c r="A1768" s="12" t="s">
        <v>7873</v>
      </c>
      <c r="B1768" s="12" t="s">
        <v>7874</v>
      </c>
      <c r="C1768" s="12" t="s">
        <v>37</v>
      </c>
      <c r="D1768" s="12" t="s">
        <v>4034</v>
      </c>
      <c r="E1768" s="11"/>
      <c r="F1768" s="12" t="s">
        <v>1710</v>
      </c>
      <c r="G1768" s="11"/>
      <c r="H1768" s="11"/>
      <c r="I1768" s="12" t="s">
        <v>7875</v>
      </c>
      <c r="J1768" s="11"/>
      <c r="K1768" s="12" t="s">
        <v>7876</v>
      </c>
      <c r="L1768" s="12" t="s">
        <v>2807</v>
      </c>
      <c r="M1768" s="12" t="str">
        <f>HYPERLINK("https://ceds.ed.gov/cedselementdetails.aspx?termid=17205")</f>
        <v>https://ceds.ed.gov/cedselementdetails.aspx?termid=17205</v>
      </c>
      <c r="N1768" s="12" t="str">
        <f>HYPERLINK("https://ceds.ed.gov/elementComment.aspx?elementName=Staff Compensation Other Benefits &amp;elementID=17205", "Click here to submit comment")</f>
        <v>Click here to submit comment</v>
      </c>
    </row>
    <row r="1769" spans="1:14" ht="102" x14ac:dyDescent="0.25">
      <c r="A1769" s="12" t="s">
        <v>7877</v>
      </c>
      <c r="B1769" s="12" t="s">
        <v>7878</v>
      </c>
      <c r="C1769" s="12" t="s">
        <v>37</v>
      </c>
      <c r="D1769" s="12" t="s">
        <v>4034</v>
      </c>
      <c r="E1769" s="11"/>
      <c r="F1769" s="12" t="s">
        <v>1710</v>
      </c>
      <c r="G1769" s="11"/>
      <c r="H1769" s="11"/>
      <c r="I1769" s="12" t="s">
        <v>7879</v>
      </c>
      <c r="J1769" s="11"/>
      <c r="K1769" s="12" t="s">
        <v>7880</v>
      </c>
      <c r="L1769" s="12" t="s">
        <v>2807</v>
      </c>
      <c r="M1769" s="12" t="str">
        <f>HYPERLINK("https://ceds.ed.gov/cedselementdetails.aspx?termid=17233")</f>
        <v>https://ceds.ed.gov/cedselementdetails.aspx?termid=17233</v>
      </c>
      <c r="N1769" s="12" t="str">
        <f>HYPERLINK("https://ceds.ed.gov/elementComment.aspx?elementName=Staff Compensation Retirement Benefits &amp;elementID=17233", "Click here to submit comment")</f>
        <v>Click here to submit comment</v>
      </c>
    </row>
    <row r="1770" spans="1:14" ht="114.75" x14ac:dyDescent="0.25">
      <c r="A1770" s="12" t="s">
        <v>7881</v>
      </c>
      <c r="B1770" s="12" t="s">
        <v>7882</v>
      </c>
      <c r="C1770" s="12" t="s">
        <v>37</v>
      </c>
      <c r="D1770" s="12" t="s">
        <v>4034</v>
      </c>
      <c r="E1770" s="11"/>
      <c r="F1770" s="12" t="s">
        <v>1710</v>
      </c>
      <c r="G1770" s="11"/>
      <c r="H1770" s="11"/>
      <c r="I1770" s="12" t="s">
        <v>7883</v>
      </c>
      <c r="J1770" s="11"/>
      <c r="K1770" s="12" t="s">
        <v>7884</v>
      </c>
      <c r="L1770" s="12" t="s">
        <v>2807</v>
      </c>
      <c r="M1770" s="12" t="str">
        <f>HYPERLINK("https://ceds.ed.gov/cedselementdetails.aspx?termid=17293")</f>
        <v>https://ceds.ed.gov/cedselementdetails.aspx?termid=17293</v>
      </c>
      <c r="N1770" s="12" t="str">
        <f>HYPERLINK("https://ceds.ed.gov/elementComment.aspx?elementName=Staff Compensation Total Benefits &amp;elementID=17293", "Click here to submit comment")</f>
        <v>Click here to submit comment</v>
      </c>
    </row>
    <row r="1771" spans="1:14" ht="51" x14ac:dyDescent="0.25">
      <c r="A1771" s="12" t="s">
        <v>7885</v>
      </c>
      <c r="B1771" s="12" t="s">
        <v>7886</v>
      </c>
      <c r="C1771" s="12" t="s">
        <v>37</v>
      </c>
      <c r="D1771" s="12" t="s">
        <v>4034</v>
      </c>
      <c r="E1771" s="11"/>
      <c r="F1771" s="12" t="s">
        <v>1710</v>
      </c>
      <c r="G1771" s="11"/>
      <c r="H1771" s="11"/>
      <c r="I1771" s="12" t="s">
        <v>7887</v>
      </c>
      <c r="J1771" s="11"/>
      <c r="K1771" s="12" t="s">
        <v>7888</v>
      </c>
      <c r="L1771" s="12" t="s">
        <v>2807</v>
      </c>
      <c r="M1771" s="12" t="str">
        <f>HYPERLINK("https://ceds.ed.gov/cedselementdetails.aspx?termid=17295")</f>
        <v>https://ceds.ed.gov/cedselementdetails.aspx?termid=17295</v>
      </c>
      <c r="N1771" s="12" t="str">
        <f>HYPERLINK("https://ceds.ed.gov/elementComment.aspx?elementName=Staff Compensation Total Salary &amp;elementID=17295", "Click here to submit comment")</f>
        <v>Click here to submit comment</v>
      </c>
    </row>
    <row r="1772" spans="1:14" ht="63.75" x14ac:dyDescent="0.25">
      <c r="A1772" s="12" t="s">
        <v>7889</v>
      </c>
      <c r="B1772" s="12" t="s">
        <v>7890</v>
      </c>
      <c r="C1772" s="12" t="s">
        <v>37</v>
      </c>
      <c r="D1772" s="12" t="s">
        <v>3924</v>
      </c>
      <c r="E1772" s="11"/>
      <c r="F1772" s="12" t="s">
        <v>135</v>
      </c>
      <c r="G1772" s="11"/>
      <c r="H1772" s="11"/>
      <c r="I1772" s="12" t="s">
        <v>7891</v>
      </c>
      <c r="J1772" s="11"/>
      <c r="K1772" s="12" t="s">
        <v>7892</v>
      </c>
      <c r="L1772" s="12" t="s">
        <v>238</v>
      </c>
      <c r="M1772" s="12" t="str">
        <f>HYPERLINK("https://ceds.ed.gov/cedselementdetails.aspx?termid=17792")</f>
        <v>https://ceds.ed.gov/cedselementdetails.aspx?termid=17792</v>
      </c>
      <c r="N1772" s="12" t="str">
        <f>HYPERLINK("https://ceds.ed.gov/elementComment.aspx?elementName=Staff Education Entry Date &amp;elementID=17792", "Click here to submit comment")</f>
        <v>Click here to submit comment</v>
      </c>
    </row>
    <row r="1773" spans="1:14" ht="63.75" x14ac:dyDescent="0.25">
      <c r="A1773" s="12" t="s">
        <v>7893</v>
      </c>
      <c r="B1773" s="12" t="s">
        <v>7894</v>
      </c>
      <c r="C1773" s="12" t="s">
        <v>37</v>
      </c>
      <c r="D1773" s="12" t="s">
        <v>3924</v>
      </c>
      <c r="E1773" s="11"/>
      <c r="F1773" s="12" t="s">
        <v>135</v>
      </c>
      <c r="G1773" s="11"/>
      <c r="H1773" s="11"/>
      <c r="I1773" s="12" t="s">
        <v>7895</v>
      </c>
      <c r="J1773" s="11"/>
      <c r="K1773" s="12" t="s">
        <v>7896</v>
      </c>
      <c r="L1773" s="12" t="s">
        <v>238</v>
      </c>
      <c r="M1773" s="12" t="str">
        <f>HYPERLINK("https://ceds.ed.gov/cedselementdetails.aspx?termid=17793")</f>
        <v>https://ceds.ed.gov/cedselementdetails.aspx?termid=17793</v>
      </c>
      <c r="N1773" s="12" t="str">
        <f>HYPERLINK("https://ceds.ed.gov/elementComment.aspx?elementName=Staff Education Withdrawal Date &amp;elementID=17793", "Click here to submit comment")</f>
        <v>Click here to submit comment</v>
      </c>
    </row>
    <row r="1774" spans="1:14" ht="25.5" x14ac:dyDescent="0.25">
      <c r="A1774" s="12" t="s">
        <v>7897</v>
      </c>
      <c r="B1774" s="12" t="s">
        <v>7898</v>
      </c>
      <c r="C1774" s="12" t="s">
        <v>37</v>
      </c>
      <c r="D1774" s="12" t="s">
        <v>4445</v>
      </c>
      <c r="E1774" s="11"/>
      <c r="F1774" s="12" t="s">
        <v>62</v>
      </c>
      <c r="G1774" s="11"/>
      <c r="H1774" s="11"/>
      <c r="I1774" s="12" t="s">
        <v>7899</v>
      </c>
      <c r="J1774" s="11"/>
      <c r="K1774" s="12" t="s">
        <v>7900</v>
      </c>
      <c r="L1774" s="11"/>
      <c r="M1774" s="12" t="str">
        <f>HYPERLINK("https://ceds.ed.gov/cedselementdetails.aspx?termid=17102")</f>
        <v>https://ceds.ed.gov/cedselementdetails.aspx?termid=17102</v>
      </c>
      <c r="N1774" s="12" t="str">
        <f>HYPERLINK("https://ceds.ed.gov/elementComment.aspx?elementName=Staff Evaluation Outcome &amp;elementID=17102", "Click here to submit comment")</f>
        <v>Click here to submit comment</v>
      </c>
    </row>
    <row r="1775" spans="1:14" ht="51" x14ac:dyDescent="0.25">
      <c r="A1775" s="12" t="s">
        <v>7901</v>
      </c>
      <c r="B1775" s="12" t="s">
        <v>7902</v>
      </c>
      <c r="C1775" s="12" t="s">
        <v>37</v>
      </c>
      <c r="D1775" s="12" t="s">
        <v>4445</v>
      </c>
      <c r="E1775" s="11"/>
      <c r="F1775" s="12" t="s">
        <v>62</v>
      </c>
      <c r="G1775" s="11"/>
      <c r="H1775" s="11"/>
      <c r="I1775" s="12" t="s">
        <v>7903</v>
      </c>
      <c r="J1775" s="11"/>
      <c r="K1775" s="12" t="s">
        <v>7904</v>
      </c>
      <c r="L1775" s="11"/>
      <c r="M1775" s="12" t="str">
        <f>HYPERLINK("https://ceds.ed.gov/cedselementdetails.aspx?termid=17103")</f>
        <v>https://ceds.ed.gov/cedselementdetails.aspx?termid=17103</v>
      </c>
      <c r="N1775" s="12" t="str">
        <f>HYPERLINK("https://ceds.ed.gov/elementComment.aspx?elementName=Staff Evaluation Scale &amp;elementID=17103", "Click here to submit comment")</f>
        <v>Click here to submit comment</v>
      </c>
    </row>
    <row r="1776" spans="1:14" ht="25.5" x14ac:dyDescent="0.25">
      <c r="A1776" s="12" t="s">
        <v>7905</v>
      </c>
      <c r="B1776" s="12" t="s">
        <v>7906</v>
      </c>
      <c r="C1776" s="12" t="s">
        <v>37</v>
      </c>
      <c r="D1776" s="12" t="s">
        <v>4445</v>
      </c>
      <c r="E1776" s="11"/>
      <c r="F1776" s="12" t="s">
        <v>175</v>
      </c>
      <c r="G1776" s="11"/>
      <c r="H1776" s="11"/>
      <c r="I1776" s="12" t="s">
        <v>7907</v>
      </c>
      <c r="J1776" s="11"/>
      <c r="K1776" s="12" t="s">
        <v>7908</v>
      </c>
      <c r="L1776" s="11"/>
      <c r="M1776" s="12" t="str">
        <f>HYPERLINK("https://ceds.ed.gov/cedselementdetails.aspx?termid=17104")</f>
        <v>https://ceds.ed.gov/cedselementdetails.aspx?termid=17104</v>
      </c>
      <c r="N1776" s="12" t="str">
        <f>HYPERLINK("https://ceds.ed.gov/elementComment.aspx?elementName=Staff Evaluation Score or Rating &amp;elementID=17104", "Click here to submit comment")</f>
        <v>Click here to submit comment</v>
      </c>
    </row>
    <row r="1777" spans="1:14" ht="38.25" x14ac:dyDescent="0.25">
      <c r="A1777" s="12" t="s">
        <v>7909</v>
      </c>
      <c r="B1777" s="12" t="s">
        <v>7910</v>
      </c>
      <c r="C1777" s="12" t="s">
        <v>37</v>
      </c>
      <c r="D1777" s="12" t="s">
        <v>4445</v>
      </c>
      <c r="E1777" s="11"/>
      <c r="F1777" s="12" t="s">
        <v>175</v>
      </c>
      <c r="G1777" s="11"/>
      <c r="H1777" s="11"/>
      <c r="I1777" s="12" t="s">
        <v>7911</v>
      </c>
      <c r="J1777" s="11"/>
      <c r="K1777" s="12" t="s">
        <v>7912</v>
      </c>
      <c r="L1777" s="11"/>
      <c r="M1777" s="12" t="str">
        <f>HYPERLINK("https://ceds.ed.gov/cedselementdetails.aspx?termid=17105")</f>
        <v>https://ceds.ed.gov/cedselementdetails.aspx?termid=17105</v>
      </c>
      <c r="N1777" s="12" t="str">
        <f>HYPERLINK("https://ceds.ed.gov/elementComment.aspx?elementName=Staff Evaluation System &amp;elementID=17105", "Click here to submit comment")</f>
        <v>Click here to submit comment</v>
      </c>
    </row>
    <row r="1778" spans="1:14" ht="51" x14ac:dyDescent="0.25">
      <c r="A1778" s="12" t="s">
        <v>7913</v>
      </c>
      <c r="B1778" s="12" t="s">
        <v>7914</v>
      </c>
      <c r="C1778" s="12" t="s">
        <v>37</v>
      </c>
      <c r="D1778" s="12" t="s">
        <v>7915</v>
      </c>
      <c r="E1778" s="11"/>
      <c r="F1778" s="12" t="s">
        <v>4773</v>
      </c>
      <c r="G1778" s="11"/>
      <c r="H1778" s="11"/>
      <c r="I1778" s="12" t="s">
        <v>7916</v>
      </c>
      <c r="J1778" s="12" t="s">
        <v>7917</v>
      </c>
      <c r="K1778" s="12" t="s">
        <v>7918</v>
      </c>
      <c r="L1778" s="12" t="s">
        <v>7919</v>
      </c>
      <c r="M1778" s="12" t="str">
        <f>HYPERLINK("https://ceds.ed.gov/cedselementdetails.aspx?termid=17118")</f>
        <v>https://ceds.ed.gov/cedselementdetails.aspx?termid=17118</v>
      </c>
      <c r="N1778" s="12" t="str">
        <f>HYPERLINK("https://ceds.ed.gov/elementComment.aspx?elementName=Staff Full Time Equivalency &amp;elementID=17118", "Click here to submit comment")</f>
        <v>Click here to submit comment</v>
      </c>
    </row>
    <row r="1779" spans="1:14" ht="357" x14ac:dyDescent="0.25">
      <c r="A1779" s="12" t="s">
        <v>7920</v>
      </c>
      <c r="B1779" s="12" t="s">
        <v>7921</v>
      </c>
      <c r="C1779" s="13" t="s">
        <v>7922</v>
      </c>
      <c r="D1779" s="12" t="s">
        <v>7923</v>
      </c>
      <c r="E1779" s="11"/>
      <c r="F1779" s="11"/>
      <c r="G1779" s="11"/>
      <c r="H1779" s="11"/>
      <c r="I1779" s="12" t="s">
        <v>7924</v>
      </c>
      <c r="J1779" s="11"/>
      <c r="K1779" s="12" t="s">
        <v>7925</v>
      </c>
      <c r="L1779" s="12" t="s">
        <v>7926</v>
      </c>
      <c r="M1779" s="12" t="str">
        <f>HYPERLINK("https://ceds.ed.gov/cedselementdetails.aspx?termid=17162")</f>
        <v>https://ceds.ed.gov/cedselementdetails.aspx?termid=17162</v>
      </c>
      <c r="N1779" s="12" t="str">
        <f>HYPERLINK("https://ceds.ed.gov/elementComment.aspx?elementName=Staff Member Identification System &amp;elementID=17162", "Click here to submit comment")</f>
        <v>Click here to submit comment</v>
      </c>
    </row>
    <row r="1780" spans="1:14" ht="150" customHeight="1" x14ac:dyDescent="0.25">
      <c r="A1780" s="15" t="s">
        <v>7927</v>
      </c>
      <c r="B1780" s="15" t="s">
        <v>7928</v>
      </c>
      <c r="C1780" s="15" t="s">
        <v>37</v>
      </c>
      <c r="D1780" s="15" t="s">
        <v>7923</v>
      </c>
      <c r="E1780" s="16"/>
      <c r="F1780" s="15" t="s">
        <v>149</v>
      </c>
      <c r="G1780" s="16"/>
      <c r="H1780" s="12" t="s">
        <v>150</v>
      </c>
      <c r="I1780" s="15" t="s">
        <v>7929</v>
      </c>
      <c r="J1780" s="16"/>
      <c r="K1780" s="15" t="s">
        <v>7930</v>
      </c>
      <c r="L1780" s="15" t="s">
        <v>7931</v>
      </c>
      <c r="M1780" s="15" t="str">
        <f>HYPERLINK("https://ceds.ed.gov/cedselementdetails.aspx?termid=17156")</f>
        <v>https://ceds.ed.gov/cedselementdetails.aspx?termid=17156</v>
      </c>
      <c r="N1780" s="15" t="str">
        <f>HYPERLINK("https://ceds.ed.gov/elementComment.aspx?elementName=Staff Member Identifier &amp;elementID=17156", "Click here to submit comment")</f>
        <v>Click here to submit comment</v>
      </c>
    </row>
    <row r="1781" spans="1:14" x14ac:dyDescent="0.25">
      <c r="A1781" s="15"/>
      <c r="B1781" s="15"/>
      <c r="C1781" s="15"/>
      <c r="D1781" s="15"/>
      <c r="E1781" s="16"/>
      <c r="F1781" s="15"/>
      <c r="G1781" s="16"/>
      <c r="H1781" s="12"/>
      <c r="I1781" s="15"/>
      <c r="J1781" s="16"/>
      <c r="K1781" s="15"/>
      <c r="L1781" s="15"/>
      <c r="M1781" s="15"/>
      <c r="N1781" s="15"/>
    </row>
    <row r="1782" spans="1:14" ht="76.5" x14ac:dyDescent="0.25">
      <c r="A1782" s="15"/>
      <c r="B1782" s="15"/>
      <c r="C1782" s="15"/>
      <c r="D1782" s="15"/>
      <c r="E1782" s="16"/>
      <c r="F1782" s="15"/>
      <c r="G1782" s="16"/>
      <c r="H1782" s="12" t="s">
        <v>153</v>
      </c>
      <c r="I1782" s="15"/>
      <c r="J1782" s="16"/>
      <c r="K1782" s="15"/>
      <c r="L1782" s="15"/>
      <c r="M1782" s="15"/>
      <c r="N1782" s="15"/>
    </row>
    <row r="1783" spans="1:14" ht="51" x14ac:dyDescent="0.25">
      <c r="A1783" s="12" t="s">
        <v>7932</v>
      </c>
      <c r="B1783" s="12" t="s">
        <v>7933</v>
      </c>
      <c r="C1783" s="12" t="s">
        <v>37</v>
      </c>
      <c r="D1783" s="12" t="s">
        <v>2141</v>
      </c>
      <c r="E1783" s="11"/>
      <c r="F1783" s="12" t="s">
        <v>135</v>
      </c>
      <c r="G1783" s="11"/>
      <c r="H1783" s="11"/>
      <c r="I1783" s="12" t="s">
        <v>7934</v>
      </c>
      <c r="J1783" s="11"/>
      <c r="K1783" s="12" t="s">
        <v>7935</v>
      </c>
      <c r="L1783" s="12" t="s">
        <v>238</v>
      </c>
      <c r="M1783" s="12" t="str">
        <f>HYPERLINK("https://ceds.ed.gov/cedselementdetails.aspx?termid=18068")</f>
        <v>https://ceds.ed.gov/cedselementdetails.aspx?termid=18068</v>
      </c>
      <c r="N1783" s="12" t="str">
        <f>HYPERLINK("https://ceds.ed.gov/elementComment.aspx?elementName=Staff Professional Development Activity Completion Date &amp;elementID=18068", "Click here to submit comment")</f>
        <v>Click here to submit comment</v>
      </c>
    </row>
    <row r="1784" spans="1:14" ht="38.25" x14ac:dyDescent="0.25">
      <c r="A1784" s="12" t="s">
        <v>7936</v>
      </c>
      <c r="B1784" s="12" t="s">
        <v>7937</v>
      </c>
      <c r="C1784" s="12" t="s">
        <v>37</v>
      </c>
      <c r="D1784" s="12" t="s">
        <v>2141</v>
      </c>
      <c r="E1784" s="11"/>
      <c r="F1784" s="12" t="s">
        <v>135</v>
      </c>
      <c r="G1784" s="11"/>
      <c r="H1784" s="11"/>
      <c r="I1784" s="12" t="s">
        <v>7938</v>
      </c>
      <c r="J1784" s="11"/>
      <c r="K1784" s="12" t="s">
        <v>7939</v>
      </c>
      <c r="L1784" s="12" t="s">
        <v>238</v>
      </c>
      <c r="M1784" s="12" t="str">
        <f>HYPERLINK("https://ceds.ed.gov/cedselementdetails.aspx?termid=18067")</f>
        <v>https://ceds.ed.gov/cedselementdetails.aspx?termid=18067</v>
      </c>
      <c r="N1784" s="12" t="str">
        <f>HYPERLINK("https://ceds.ed.gov/elementComment.aspx?elementName=Staff Professional Development Activity Start Date &amp;elementID=18067", "Click here to submit comment")</f>
        <v>Click here to submit comment</v>
      </c>
    </row>
    <row r="1785" spans="1:14" ht="357" x14ac:dyDescent="0.25">
      <c r="A1785" s="12" t="s">
        <v>7940</v>
      </c>
      <c r="B1785" s="12" t="s">
        <v>7941</v>
      </c>
      <c r="C1785" s="12" t="s">
        <v>37</v>
      </c>
      <c r="D1785" s="12" t="s">
        <v>7942</v>
      </c>
      <c r="E1785" s="12" t="s">
        <v>195</v>
      </c>
      <c r="F1785" s="12" t="s">
        <v>7943</v>
      </c>
      <c r="G1785" s="12" t="s">
        <v>2856</v>
      </c>
      <c r="H1785" s="11"/>
      <c r="I1785" s="12" t="s">
        <v>7944</v>
      </c>
      <c r="J1785" s="11"/>
      <c r="K1785" s="12" t="s">
        <v>7945</v>
      </c>
      <c r="L1785" s="12" t="s">
        <v>80</v>
      </c>
      <c r="M1785" s="12" t="str">
        <f>HYPERLINK("https://ceds.ed.gov/cedselementdetails.aspx?termid=17707")</f>
        <v>https://ceds.ed.gov/cedselementdetails.aspx?termid=17707</v>
      </c>
      <c r="N1785" s="12" t="str">
        <f>HYPERLINK("https://ceds.ed.gov/elementComment.aspx?elementName=Standard Occupational Classification &amp;elementID=17707", "Click here to submit comment")</f>
        <v>Click here to submit comment</v>
      </c>
    </row>
    <row r="1786" spans="1:14" ht="38.25" x14ac:dyDescent="0.25">
      <c r="A1786" s="12" t="s">
        <v>7946</v>
      </c>
      <c r="B1786" s="12" t="s">
        <v>7947</v>
      </c>
      <c r="C1786" s="12" t="s">
        <v>37</v>
      </c>
      <c r="D1786" s="12" t="s">
        <v>7948</v>
      </c>
      <c r="E1786" s="11"/>
      <c r="F1786" s="12" t="s">
        <v>165</v>
      </c>
      <c r="G1786" s="11"/>
      <c r="H1786" s="11"/>
      <c r="I1786" s="12" t="s">
        <v>7949</v>
      </c>
      <c r="J1786" s="11"/>
      <c r="K1786" s="12" t="s">
        <v>7950</v>
      </c>
      <c r="L1786" s="12" t="s">
        <v>278</v>
      </c>
      <c r="M1786" s="12" t="str">
        <f>HYPERLINK("https://ceds.ed.gov/cedselementdetails.aspx?termid=17265")</f>
        <v>https://ceds.ed.gov/cedselementdetails.aspx?termid=17265</v>
      </c>
      <c r="N1786" s="12" t="str">
        <f>HYPERLINK("https://ceds.ed.gov/elementComment.aspx?elementName=Standardized Admission Test Score &amp;elementID=17265", "Click here to submit comment")</f>
        <v>Click here to submit comment</v>
      </c>
    </row>
    <row r="1787" spans="1:14" ht="216.75" x14ac:dyDescent="0.25">
      <c r="A1787" s="12" t="s">
        <v>7951</v>
      </c>
      <c r="B1787" s="12" t="s">
        <v>7952</v>
      </c>
      <c r="C1787" s="13" t="s">
        <v>7953</v>
      </c>
      <c r="D1787" s="12" t="s">
        <v>7948</v>
      </c>
      <c r="E1787" s="11"/>
      <c r="F1787" s="11"/>
      <c r="G1787" s="11"/>
      <c r="H1787" s="11"/>
      <c r="I1787" s="12" t="s">
        <v>7954</v>
      </c>
      <c r="J1787" s="11"/>
      <c r="K1787" s="12" t="s">
        <v>7955</v>
      </c>
      <c r="L1787" s="12" t="s">
        <v>278</v>
      </c>
      <c r="M1787" s="12" t="str">
        <f>HYPERLINK("https://ceds.ed.gov/cedselementdetails.aspx?termid=17266")</f>
        <v>https://ceds.ed.gov/cedselementdetails.aspx?termid=17266</v>
      </c>
      <c r="N1787" s="12" t="str">
        <f>HYPERLINK("https://ceds.ed.gov/elementComment.aspx?elementName=Standardized Admission Test Type &amp;elementID=17266", "Click here to submit comment")</f>
        <v>Click here to submit comment</v>
      </c>
    </row>
    <row r="1788" spans="1:14" ht="38.25" x14ac:dyDescent="0.25">
      <c r="A1788" s="12" t="s">
        <v>7956</v>
      </c>
      <c r="B1788" s="12" t="s">
        <v>7957</v>
      </c>
      <c r="C1788" s="12" t="s">
        <v>37</v>
      </c>
      <c r="D1788" s="12" t="s">
        <v>4059</v>
      </c>
      <c r="E1788" s="11"/>
      <c r="F1788" s="11"/>
      <c r="G1788" s="11"/>
      <c r="H1788" s="11"/>
      <c r="I1788" s="12" t="s">
        <v>7958</v>
      </c>
      <c r="J1788" s="11"/>
      <c r="K1788" s="12" t="s">
        <v>7959</v>
      </c>
      <c r="L1788" s="11"/>
      <c r="M1788" s="12" t="str">
        <f>HYPERLINK("https://ceds.ed.gov/cedselementdetails.aspx?termid=18900")</f>
        <v>https://ceds.ed.gov/cedselementdetails.aspx?termid=18900</v>
      </c>
      <c r="N1788" s="12" t="str">
        <f>HYPERLINK("https://ceds.ed.gov/elementComment.aspx?elementName=Start Time &amp;elementID=18900", "Click here to submit comment")</f>
        <v>Click here to submit comment</v>
      </c>
    </row>
    <row r="1789" spans="1:14" ht="409.5" x14ac:dyDescent="0.25">
      <c r="A1789" s="12" t="s">
        <v>7960</v>
      </c>
      <c r="B1789" s="12" t="s">
        <v>7961</v>
      </c>
      <c r="C1789" s="13" t="s">
        <v>7240</v>
      </c>
      <c r="D1789" s="12" t="s">
        <v>194</v>
      </c>
      <c r="E1789" s="11"/>
      <c r="F1789" s="11"/>
      <c r="G1789" s="11"/>
      <c r="H1789" s="11"/>
      <c r="I1789" s="12" t="s">
        <v>7962</v>
      </c>
      <c r="J1789" s="11"/>
      <c r="K1789" s="12" t="s">
        <v>7963</v>
      </c>
      <c r="L1789" s="12" t="s">
        <v>7964</v>
      </c>
      <c r="M1789" s="12" t="str">
        <f>HYPERLINK("https://ceds.ed.gov/cedselementdetails.aspx?termid=17267")</f>
        <v>https://ceds.ed.gov/cedselementdetails.aspx?termid=17267</v>
      </c>
      <c r="N1789" s="12" t="str">
        <f>HYPERLINK("https://ceds.ed.gov/elementComment.aspx?elementName=State Abbreviation &amp;elementID=17267", "Click here to submit comment")</f>
        <v>Click here to submit comment</v>
      </c>
    </row>
    <row r="1790" spans="1:14" ht="38.25" x14ac:dyDescent="0.25">
      <c r="A1790" s="12" t="s">
        <v>7965</v>
      </c>
      <c r="B1790" s="12" t="s">
        <v>7966</v>
      </c>
      <c r="C1790" s="13" t="s">
        <v>7967</v>
      </c>
      <c r="D1790" s="12" t="s">
        <v>7968</v>
      </c>
      <c r="E1790" s="11"/>
      <c r="F1790" s="11"/>
      <c r="G1790" s="11"/>
      <c r="H1790" s="11"/>
      <c r="I1790" s="12" t="s">
        <v>7969</v>
      </c>
      <c r="J1790" s="11"/>
      <c r="K1790" s="12" t="s">
        <v>7970</v>
      </c>
      <c r="L1790" s="11"/>
      <c r="M1790" s="12" t="str">
        <f>HYPERLINK("https://ceds.ed.gov/cedselementdetails.aspx?termid=18463")</f>
        <v>https://ceds.ed.gov/cedselementdetails.aspx?termid=18463</v>
      </c>
      <c r="N1790" s="12" t="str">
        <f>HYPERLINK("https://ceds.ed.gov/elementComment.aspx?elementName=State Agency Identification System &amp;elementID=18463", "Click here to submit comment")</f>
        <v>Click here to submit comment</v>
      </c>
    </row>
    <row r="1791" spans="1:14" ht="76.5" x14ac:dyDescent="0.25">
      <c r="A1791" s="15" t="s">
        <v>7971</v>
      </c>
      <c r="B1791" s="15" t="s">
        <v>7972</v>
      </c>
      <c r="C1791" s="15" t="s">
        <v>37</v>
      </c>
      <c r="D1791" s="15" t="s">
        <v>7968</v>
      </c>
      <c r="E1791" s="16"/>
      <c r="F1791" s="15" t="s">
        <v>149</v>
      </c>
      <c r="G1791" s="16"/>
      <c r="H1791" s="12" t="s">
        <v>150</v>
      </c>
      <c r="I1791" s="15" t="s">
        <v>7973</v>
      </c>
      <c r="J1791" s="16"/>
      <c r="K1791" s="15" t="s">
        <v>7974</v>
      </c>
      <c r="L1791" s="16"/>
      <c r="M1791" s="15" t="str">
        <f>HYPERLINK("https://ceds.ed.gov/cedselementdetails.aspx?termid=18462")</f>
        <v>https://ceds.ed.gov/cedselementdetails.aspx?termid=18462</v>
      </c>
      <c r="N1791" s="15" t="str">
        <f>HYPERLINK("https://ceds.ed.gov/elementComment.aspx?elementName=State Agency Identifier &amp;elementID=18462", "Click here to submit comment")</f>
        <v>Click here to submit comment</v>
      </c>
    </row>
    <row r="1792" spans="1:14" x14ac:dyDescent="0.25">
      <c r="A1792" s="15"/>
      <c r="B1792" s="15"/>
      <c r="C1792" s="15"/>
      <c r="D1792" s="15"/>
      <c r="E1792" s="16"/>
      <c r="F1792" s="15"/>
      <c r="G1792" s="16"/>
      <c r="H1792" s="12"/>
      <c r="I1792" s="15"/>
      <c r="J1792" s="16"/>
      <c r="K1792" s="15"/>
      <c r="L1792" s="16"/>
      <c r="M1792" s="15"/>
      <c r="N1792" s="15"/>
    </row>
    <row r="1793" spans="1:14" ht="76.5" x14ac:dyDescent="0.25">
      <c r="A1793" s="15"/>
      <c r="B1793" s="15"/>
      <c r="C1793" s="15"/>
      <c r="D1793" s="15"/>
      <c r="E1793" s="16"/>
      <c r="F1793" s="15"/>
      <c r="G1793" s="16"/>
      <c r="H1793" s="12" t="s">
        <v>153</v>
      </c>
      <c r="I1793" s="15"/>
      <c r="J1793" s="16"/>
      <c r="K1793" s="15"/>
      <c r="L1793" s="16"/>
      <c r="M1793" s="15"/>
      <c r="N1793" s="15"/>
    </row>
    <row r="1794" spans="1:14" ht="409.5" x14ac:dyDescent="0.25">
      <c r="A1794" s="12" t="s">
        <v>7975</v>
      </c>
      <c r="B1794" s="12" t="s">
        <v>7976</v>
      </c>
      <c r="C1794" s="13" t="s">
        <v>7977</v>
      </c>
      <c r="D1794" s="12" t="s">
        <v>7978</v>
      </c>
      <c r="E1794" s="11"/>
      <c r="F1794" s="11"/>
      <c r="G1794" s="11"/>
      <c r="H1794" s="11"/>
      <c r="I1794" s="12" t="s">
        <v>7979</v>
      </c>
      <c r="J1794" s="11"/>
      <c r="K1794" s="12" t="s">
        <v>7980</v>
      </c>
      <c r="L1794" s="12" t="s">
        <v>7981</v>
      </c>
      <c r="M1794" s="12" t="str">
        <f>HYPERLINK("https://ceds.ed.gov/cedselementdetails.aspx?termid=17414")</f>
        <v>https://ceds.ed.gov/cedselementdetails.aspx?termid=17414</v>
      </c>
      <c r="N1794" s="12" t="str">
        <f>HYPERLINK("https://ceds.ed.gov/elementComment.aspx?elementName=State ANSI Code &amp;elementID=17414", "Click here to submit comment")</f>
        <v>Click here to submit comment</v>
      </c>
    </row>
    <row r="1795" spans="1:14" ht="90" x14ac:dyDescent="0.25">
      <c r="A1795" s="12" t="s">
        <v>7982</v>
      </c>
      <c r="B1795" s="12" t="s">
        <v>7983</v>
      </c>
      <c r="C1795" s="12" t="s">
        <v>24</v>
      </c>
      <c r="D1795" s="12" t="s">
        <v>2141</v>
      </c>
      <c r="E1795" s="11"/>
      <c r="F1795" s="11"/>
      <c r="G1795" s="11"/>
      <c r="H1795" s="6" t="s">
        <v>7984</v>
      </c>
      <c r="I1795" s="12" t="s">
        <v>7985</v>
      </c>
      <c r="J1795" s="11"/>
      <c r="K1795" s="12" t="s">
        <v>7986</v>
      </c>
      <c r="L1795" s="12" t="s">
        <v>238</v>
      </c>
      <c r="M1795" s="12" t="str">
        <f>HYPERLINK("https://ceds.ed.gov/cedselementdetails.aspx?termid=17814")</f>
        <v>https://ceds.ed.gov/cedselementdetails.aspx?termid=17814</v>
      </c>
      <c r="N1795" s="12" t="str">
        <f>HYPERLINK("https://ceds.ed.gov/elementComment.aspx?elementName=State Approved Technical Assistance Provider Status &amp;elementID=17814", "Click here to submit comment")</f>
        <v>Click here to submit comment</v>
      </c>
    </row>
    <row r="1796" spans="1:14" ht="38.25" x14ac:dyDescent="0.25">
      <c r="A1796" s="12" t="s">
        <v>7987</v>
      </c>
      <c r="B1796" s="12" t="s">
        <v>7988</v>
      </c>
      <c r="C1796" s="12" t="s">
        <v>24</v>
      </c>
      <c r="D1796" s="12" t="s">
        <v>2141</v>
      </c>
      <c r="E1796" s="11"/>
      <c r="F1796" s="11"/>
      <c r="G1796" s="11"/>
      <c r="H1796" s="11"/>
      <c r="I1796" s="12" t="s">
        <v>7989</v>
      </c>
      <c r="J1796" s="11"/>
      <c r="K1796" s="12" t="s">
        <v>7990</v>
      </c>
      <c r="L1796" s="12" t="s">
        <v>238</v>
      </c>
      <c r="M1796" s="12" t="str">
        <f>HYPERLINK("https://ceds.ed.gov/cedselementdetails.aspx?termid=17813")</f>
        <v>https://ceds.ed.gov/cedselementdetails.aspx?termid=17813</v>
      </c>
      <c r="N1796" s="12" t="str">
        <f>HYPERLINK("https://ceds.ed.gov/elementComment.aspx?elementName=State Approved Trainer Status &amp;elementID=17813", "Click here to submit comment")</f>
        <v>Click here to submit comment</v>
      </c>
    </row>
    <row r="1797" spans="1:14" ht="89.25" x14ac:dyDescent="0.25">
      <c r="A1797" s="12" t="s">
        <v>7991</v>
      </c>
      <c r="B1797" s="12" t="s">
        <v>7992</v>
      </c>
      <c r="C1797" s="12" t="s">
        <v>37</v>
      </c>
      <c r="D1797" s="12" t="s">
        <v>1732</v>
      </c>
      <c r="E1797" s="11"/>
      <c r="F1797" s="12" t="s">
        <v>869</v>
      </c>
      <c r="G1797" s="11"/>
      <c r="H1797" s="11"/>
      <c r="I1797" s="12" t="s">
        <v>7993</v>
      </c>
      <c r="J1797" s="11"/>
      <c r="K1797" s="12" t="s">
        <v>7994</v>
      </c>
      <c r="L1797" s="12" t="s">
        <v>245</v>
      </c>
      <c r="M1797" s="12" t="str">
        <f>HYPERLINK("https://ceds.ed.gov/cedselementdetails.aspx?termid=17444")</f>
        <v>https://ceds.ed.gov/cedselementdetails.aspx?termid=17444</v>
      </c>
      <c r="N1797" s="12" t="str">
        <f>HYPERLINK("https://ceds.ed.gov/elementComment.aspx?elementName=State Assessment Administration Funding &amp;elementID=17444", "Click here to submit comment")</f>
        <v>Click here to submit comment</v>
      </c>
    </row>
    <row r="1798" spans="1:14" ht="51" x14ac:dyDescent="0.25">
      <c r="A1798" s="12" t="s">
        <v>7995</v>
      </c>
      <c r="B1798" s="12" t="s">
        <v>7996</v>
      </c>
      <c r="C1798" s="12" t="s">
        <v>37</v>
      </c>
      <c r="D1798" s="12" t="s">
        <v>1732</v>
      </c>
      <c r="E1798" s="11"/>
      <c r="F1798" s="12" t="s">
        <v>869</v>
      </c>
      <c r="G1798" s="11"/>
      <c r="H1798" s="11"/>
      <c r="I1798" s="12" t="s">
        <v>7997</v>
      </c>
      <c r="J1798" s="11"/>
      <c r="K1798" s="12" t="s">
        <v>7998</v>
      </c>
      <c r="L1798" s="12" t="s">
        <v>7999</v>
      </c>
      <c r="M1798" s="12" t="str">
        <f>HYPERLINK("https://ceds.ed.gov/cedselementdetails.aspx?termid=17443")</f>
        <v>https://ceds.ed.gov/cedselementdetails.aspx?termid=17443</v>
      </c>
      <c r="N1798" s="12" t="str">
        <f>HYPERLINK("https://ceds.ed.gov/elementComment.aspx?elementName=State Assessment Standards Funding &amp;elementID=17443", "Click here to submit comment")</f>
        <v>Click here to submit comment</v>
      </c>
    </row>
    <row r="1799" spans="1:14" ht="51" x14ac:dyDescent="0.25">
      <c r="A1799" s="12" t="s">
        <v>8000</v>
      </c>
      <c r="B1799" s="12" t="s">
        <v>8001</v>
      </c>
      <c r="C1799" s="12" t="s">
        <v>24</v>
      </c>
      <c r="D1799" s="12" t="s">
        <v>1346</v>
      </c>
      <c r="E1799" s="11"/>
      <c r="F1799" s="11"/>
      <c r="G1799" s="11"/>
      <c r="H1799" s="11"/>
      <c r="I1799" s="12" t="s">
        <v>8002</v>
      </c>
      <c r="J1799" s="11"/>
      <c r="K1799" s="12" t="s">
        <v>8003</v>
      </c>
      <c r="L1799" s="11"/>
      <c r="M1799" s="12" t="str">
        <f>HYPERLINK("https://ceds.ed.gov/cedselementdetails.aspx?termid=18742")</f>
        <v>https://ceds.ed.gov/cedselementdetails.aspx?termid=18742</v>
      </c>
      <c r="N1799" s="12" t="str">
        <f>HYPERLINK("https://ceds.ed.gov/elementComment.aspx?elementName=State Full Academic Year &amp;elementID=18742", "Click here to submit comment")</f>
        <v>Click here to submit comment</v>
      </c>
    </row>
    <row r="1800" spans="1:14" ht="409.5" x14ac:dyDescent="0.25">
      <c r="A1800" s="12" t="s">
        <v>8004</v>
      </c>
      <c r="B1800" s="12" t="s">
        <v>8005</v>
      </c>
      <c r="C1800" s="13" t="s">
        <v>8006</v>
      </c>
      <c r="D1800" s="12" t="s">
        <v>3298</v>
      </c>
      <c r="E1800" s="11"/>
      <c r="F1800" s="11"/>
      <c r="G1800" s="11"/>
      <c r="H1800" s="11"/>
      <c r="I1800" s="12" t="s">
        <v>8007</v>
      </c>
      <c r="J1800" s="11"/>
      <c r="K1800" s="12" t="s">
        <v>8008</v>
      </c>
      <c r="L1800" s="12" t="s">
        <v>238</v>
      </c>
      <c r="M1800" s="12" t="str">
        <f>HYPERLINK("https://ceds.ed.gov/cedselementdetails.aspx?termid=17804")</f>
        <v>https://ceds.ed.gov/cedselementdetails.aspx?termid=17804</v>
      </c>
      <c r="N1800" s="12" t="str">
        <f>HYPERLINK("https://ceds.ed.gov/elementComment.aspx?elementName=State Issuing Professional Credential or License &amp;elementID=17804", "Click here to submit comment")</f>
        <v>Click here to submit comment</v>
      </c>
    </row>
    <row r="1801" spans="1:14" ht="25.5" x14ac:dyDescent="0.25">
      <c r="A1801" s="12" t="s">
        <v>8009</v>
      </c>
      <c r="B1801" s="12" t="s">
        <v>8010</v>
      </c>
      <c r="C1801" s="12" t="s">
        <v>37</v>
      </c>
      <c r="D1801" s="12" t="s">
        <v>2798</v>
      </c>
      <c r="E1801" s="11"/>
      <c r="F1801" s="12" t="s">
        <v>370</v>
      </c>
      <c r="G1801" s="11"/>
      <c r="H1801" s="11"/>
      <c r="I1801" s="12" t="s">
        <v>8011</v>
      </c>
      <c r="J1801" s="11"/>
      <c r="K1801" s="12" t="s">
        <v>8012</v>
      </c>
      <c r="L1801" s="12" t="s">
        <v>125</v>
      </c>
      <c r="M1801" s="12" t="str">
        <f>HYPERLINK("https://ceds.ed.gov/cedselementdetails.aspx?termid=17865")</f>
        <v>https://ceds.ed.gov/cedselementdetails.aspx?termid=17865</v>
      </c>
      <c r="N1801" s="12" t="str">
        <f>HYPERLINK("https://ceds.ed.gov/elementComment.aspx?elementName=State Licensed Facility Capacity &amp;elementID=17865", "Click here to submit comment")</f>
        <v>Click here to submit comment</v>
      </c>
    </row>
    <row r="1802" spans="1:14" ht="409.5" x14ac:dyDescent="0.25">
      <c r="A1802" s="12" t="s">
        <v>8013</v>
      </c>
      <c r="B1802" s="12" t="s">
        <v>8014</v>
      </c>
      <c r="C1802" s="13" t="s">
        <v>8006</v>
      </c>
      <c r="D1802" s="12" t="s">
        <v>2338</v>
      </c>
      <c r="E1802" s="11"/>
      <c r="F1802" s="11"/>
      <c r="G1802" s="11"/>
      <c r="H1802" s="11"/>
      <c r="I1802" s="12" t="s">
        <v>8015</v>
      </c>
      <c r="J1802" s="11"/>
      <c r="K1802" s="12" t="s">
        <v>8016</v>
      </c>
      <c r="L1802" s="12" t="s">
        <v>1751</v>
      </c>
      <c r="M1802" s="12" t="str">
        <f>HYPERLINK("https://ceds.ed.gov/cedselementdetails.aspx?termid=17417")</f>
        <v>https://ceds.ed.gov/cedselementdetails.aspx?termid=17417</v>
      </c>
      <c r="N1802" s="12" t="str">
        <f>HYPERLINK("https://ceds.ed.gov/elementComment.aspx?elementName=State of Birth Abbreviation &amp;elementID=17417", "Click here to submit comment")</f>
        <v>Click here to submit comment</v>
      </c>
    </row>
    <row r="1803" spans="1:14" ht="409.5" x14ac:dyDescent="0.25">
      <c r="A1803" s="12" t="s">
        <v>8017</v>
      </c>
      <c r="B1803" s="12" t="s">
        <v>8018</v>
      </c>
      <c r="C1803" s="13" t="s">
        <v>8006</v>
      </c>
      <c r="D1803" s="12" t="s">
        <v>8019</v>
      </c>
      <c r="E1803" s="11"/>
      <c r="F1803" s="11"/>
      <c r="G1803" s="11"/>
      <c r="H1803" s="11"/>
      <c r="I1803" s="12" t="s">
        <v>8020</v>
      </c>
      <c r="J1803" s="11"/>
      <c r="K1803" s="12" t="s">
        <v>8021</v>
      </c>
      <c r="L1803" s="12" t="s">
        <v>225</v>
      </c>
      <c r="M1803" s="12" t="str">
        <f>HYPERLINK("https://ceds.ed.gov/cedselementdetails.aspx?termid=17268")</f>
        <v>https://ceds.ed.gov/cedselementdetails.aspx?termid=17268</v>
      </c>
      <c r="N1803" s="12" t="str">
        <f>HYPERLINK("https://ceds.ed.gov/elementComment.aspx?elementName=State of Residence &amp;elementID=17268", "Click here to submit comment")</f>
        <v>Click here to submit comment</v>
      </c>
    </row>
    <row r="1804" spans="1:14" ht="63.75" x14ac:dyDescent="0.25">
      <c r="A1804" s="12" t="s">
        <v>8022</v>
      </c>
      <c r="B1804" s="12" t="s">
        <v>8023</v>
      </c>
      <c r="C1804" s="13" t="s">
        <v>8024</v>
      </c>
      <c r="D1804" s="12" t="s">
        <v>128</v>
      </c>
      <c r="E1804" s="11"/>
      <c r="F1804" s="11"/>
      <c r="G1804" s="11"/>
      <c r="H1804" s="11"/>
      <c r="I1804" s="12" t="s">
        <v>8025</v>
      </c>
      <c r="J1804" s="11"/>
      <c r="K1804" s="12" t="s">
        <v>8026</v>
      </c>
      <c r="L1804" s="12" t="s">
        <v>258</v>
      </c>
      <c r="M1804" s="12" t="str">
        <f>HYPERLINK("https://ceds.ed.gov/cedselementdetails.aspx?termid=17578")</f>
        <v>https://ceds.ed.gov/cedselementdetails.aspx?termid=17578</v>
      </c>
      <c r="N1804" s="12" t="str">
        <f>HYPERLINK("https://ceds.ed.gov/elementComment.aspx?elementName=State Poverty Designation &amp;elementID=17578", "Click here to submit comment")</f>
        <v>Click here to submit comment</v>
      </c>
    </row>
    <row r="1805" spans="1:14" ht="38.25" x14ac:dyDescent="0.25">
      <c r="A1805" s="12" t="s">
        <v>8027</v>
      </c>
      <c r="B1805" s="12" t="s">
        <v>8028</v>
      </c>
      <c r="C1805" s="12" t="s">
        <v>24</v>
      </c>
      <c r="D1805" s="12" t="s">
        <v>3442</v>
      </c>
      <c r="E1805" s="11"/>
      <c r="F1805" s="11"/>
      <c r="G1805" s="11"/>
      <c r="H1805" s="11"/>
      <c r="I1805" s="12" t="s">
        <v>8029</v>
      </c>
      <c r="J1805" s="11"/>
      <c r="K1805" s="12" t="s">
        <v>8030</v>
      </c>
      <c r="L1805" s="12" t="s">
        <v>245</v>
      </c>
      <c r="M1805" s="12" t="str">
        <f>HYPERLINK("https://ceds.ed.gov/cedselementdetails.aspx?termid=17435")</f>
        <v>https://ceds.ed.gov/cedselementdetails.aspx?termid=17435</v>
      </c>
      <c r="N1805" s="12" t="str">
        <f>HYPERLINK("https://ceds.ed.gov/elementComment.aspx?elementName=State Transferability of Funds &amp;elementID=17435", "Click here to submit comment")</f>
        <v>Click here to submit comment</v>
      </c>
    </row>
    <row r="1806" spans="1:14" ht="318.75" x14ac:dyDescent="0.25">
      <c r="A1806" s="12" t="s">
        <v>8031</v>
      </c>
      <c r="B1806" s="12" t="s">
        <v>8032</v>
      </c>
      <c r="C1806" s="12" t="s">
        <v>37</v>
      </c>
      <c r="D1806" s="12" t="s">
        <v>8033</v>
      </c>
      <c r="E1806" s="11"/>
      <c r="F1806" s="12" t="s">
        <v>135</v>
      </c>
      <c r="G1806" s="11"/>
      <c r="H1806" s="12" t="s">
        <v>8034</v>
      </c>
      <c r="I1806" s="12" t="s">
        <v>8035</v>
      </c>
      <c r="J1806" s="11"/>
      <c r="K1806" s="12" t="s">
        <v>8036</v>
      </c>
      <c r="L1806" s="11"/>
      <c r="M1806" s="12" t="str">
        <f>HYPERLINK("https://ceds.ed.gov/cedselementdetails.aspx?termid=18193")</f>
        <v>https://ceds.ed.gov/cedselementdetails.aspx?termid=18193</v>
      </c>
      <c r="N1806" s="12" t="str">
        <f>HYPERLINK("https://ceds.ed.gov/elementComment.aspx?elementName=Status End Date &amp;elementID=18193", "Click here to submit comment")</f>
        <v>Click here to submit comment</v>
      </c>
    </row>
    <row r="1807" spans="1:14" ht="76.5" x14ac:dyDescent="0.25">
      <c r="A1807" s="12" t="s">
        <v>8037</v>
      </c>
      <c r="B1807" s="12" t="s">
        <v>8038</v>
      </c>
      <c r="C1807" s="12" t="s">
        <v>37</v>
      </c>
      <c r="D1807" s="12" t="s">
        <v>8033</v>
      </c>
      <c r="E1807" s="11"/>
      <c r="F1807" s="12" t="s">
        <v>135</v>
      </c>
      <c r="G1807" s="11"/>
      <c r="H1807" s="11"/>
      <c r="I1807" s="12" t="s">
        <v>8039</v>
      </c>
      <c r="J1807" s="11"/>
      <c r="K1807" s="12" t="s">
        <v>8040</v>
      </c>
      <c r="L1807" s="11"/>
      <c r="M1807" s="12" t="str">
        <f>HYPERLINK("https://ceds.ed.gov/cedselementdetails.aspx?termid=18192")</f>
        <v>https://ceds.ed.gov/cedselementdetails.aspx?termid=18192</v>
      </c>
      <c r="N1807" s="12" t="str">
        <f>HYPERLINK("https://ceds.ed.gov/elementComment.aspx?elementName=Status Start Date &amp;elementID=18192", "Click here to submit comment")</f>
        <v>Click here to submit comment</v>
      </c>
    </row>
    <row r="1808" spans="1:14" ht="102" x14ac:dyDescent="0.25">
      <c r="A1808" s="12" t="s">
        <v>8041</v>
      </c>
      <c r="B1808" s="12" t="s">
        <v>8042</v>
      </c>
      <c r="C1808" s="12" t="s">
        <v>37</v>
      </c>
      <c r="D1808" s="12" t="s">
        <v>32</v>
      </c>
      <c r="E1808" s="11"/>
      <c r="F1808" s="12" t="s">
        <v>8043</v>
      </c>
      <c r="G1808" s="11"/>
      <c r="H1808" s="11"/>
      <c r="I1808" s="12" t="s">
        <v>8044</v>
      </c>
      <c r="J1808" s="11"/>
      <c r="K1808" s="12" t="s">
        <v>8045</v>
      </c>
      <c r="L1808" s="12" t="s">
        <v>258</v>
      </c>
      <c r="M1808" s="12" t="str">
        <f>HYPERLINK("https://ceds.ed.gov/cedselementdetails.aspx?termid=17271")</f>
        <v>https://ceds.ed.gov/cedselementdetails.aspx?termid=17271</v>
      </c>
      <c r="N1808" s="12" t="str">
        <f>HYPERLINK("https://ceds.ed.gov/elementComment.aspx?elementName=Student Attendance Rate &amp;elementID=17271", "Click here to submit comment")</f>
        <v>Click here to submit comment</v>
      </c>
    </row>
    <row r="1809" spans="1:14" ht="306" x14ac:dyDescent="0.25">
      <c r="A1809" s="12" t="s">
        <v>8046</v>
      </c>
      <c r="B1809" s="12" t="s">
        <v>8047</v>
      </c>
      <c r="C1809" s="12" t="s">
        <v>37</v>
      </c>
      <c r="D1809" s="12" t="s">
        <v>8048</v>
      </c>
      <c r="E1809" s="11"/>
      <c r="F1809" s="12" t="s">
        <v>2870</v>
      </c>
      <c r="G1809" s="11"/>
      <c r="H1809" s="11"/>
      <c r="I1809" s="12" t="s">
        <v>8049</v>
      </c>
      <c r="J1809" s="11"/>
      <c r="K1809" s="12" t="s">
        <v>8050</v>
      </c>
      <c r="L1809" s="12" t="s">
        <v>72</v>
      </c>
      <c r="M1809" s="12" t="str">
        <f>HYPERLINK("https://ceds.ed.gov/cedselementdetails.aspx?termid=17124")</f>
        <v>https://ceds.ed.gov/cedselementdetails.aspx?termid=17124</v>
      </c>
      <c r="N1809" s="12" t="str">
        <f>HYPERLINK("https://ceds.ed.gov/elementComment.aspx?elementName=Student Course Section Grade Earned &amp;elementID=17124", "Click here to submit comment")</f>
        <v>Click here to submit comment</v>
      </c>
    </row>
    <row r="1810" spans="1:14" ht="153" x14ac:dyDescent="0.25">
      <c r="A1810" s="12" t="s">
        <v>8051</v>
      </c>
      <c r="B1810" s="12" t="s">
        <v>8052</v>
      </c>
      <c r="C1810" s="12" t="s">
        <v>37</v>
      </c>
      <c r="D1810" s="12" t="s">
        <v>8053</v>
      </c>
      <c r="E1810" s="11"/>
      <c r="F1810" s="12" t="s">
        <v>129</v>
      </c>
      <c r="G1810" s="11"/>
      <c r="H1810" s="11"/>
      <c r="I1810" s="12" t="s">
        <v>8054</v>
      </c>
      <c r="J1810" s="11"/>
      <c r="K1810" s="12" t="s">
        <v>8055</v>
      </c>
      <c r="L1810" s="11"/>
      <c r="M1810" s="12" t="str">
        <f>HYPERLINK("https://ceds.ed.gov/cedselementdetails.aspx?termid=18552")</f>
        <v>https://ceds.ed.gov/cedselementdetails.aspx?termid=18552</v>
      </c>
      <c r="N1810" s="12" t="str">
        <f>HYPERLINK("https://ceds.ed.gov/elementComment.aspx?elementName=Student Course Section Grade Narrative &amp;elementID=18552", "Click here to submit comment")</f>
        <v>Click here to submit comment</v>
      </c>
    </row>
    <row r="1811" spans="1:14" ht="140.25" x14ac:dyDescent="0.25">
      <c r="A1811" s="12" t="s">
        <v>8056</v>
      </c>
      <c r="B1811" s="12" t="s">
        <v>8057</v>
      </c>
      <c r="C1811" s="12" t="s">
        <v>24</v>
      </c>
      <c r="D1811" s="12" t="s">
        <v>6188</v>
      </c>
      <c r="E1811" s="11"/>
      <c r="F1811" s="11"/>
      <c r="G1811" s="11"/>
      <c r="H1811" s="11"/>
      <c r="I1811" s="12" t="s">
        <v>8058</v>
      </c>
      <c r="J1811" s="11"/>
      <c r="K1811" s="12" t="s">
        <v>8059</v>
      </c>
      <c r="L1811" s="11"/>
      <c r="M1811" s="12" t="str">
        <f>HYPERLINK("https://ceds.ed.gov/cedselementdetails.aspx?termid=18191")</f>
        <v>https://ceds.ed.gov/cedselementdetails.aspx?termid=18191</v>
      </c>
      <c r="N1811" s="12" t="str">
        <f>HYPERLINK("https://ceds.ed.gov/elementComment.aspx?elementName=Student Course Section Mark Final Indicator &amp;elementID=18191", "Click here to submit comment")</f>
        <v>Click here to submit comment</v>
      </c>
    </row>
    <row r="1812" spans="1:14" ht="76.5" x14ac:dyDescent="0.25">
      <c r="A1812" s="12" t="s">
        <v>8060</v>
      </c>
      <c r="B1812" s="12" t="s">
        <v>8061</v>
      </c>
      <c r="C1812" s="13" t="s">
        <v>8062</v>
      </c>
      <c r="D1812" s="12" t="s">
        <v>3635</v>
      </c>
      <c r="E1812" s="11"/>
      <c r="F1812" s="11"/>
      <c r="G1812" s="11"/>
      <c r="H1812" s="11"/>
      <c r="I1812" s="12" t="s">
        <v>8063</v>
      </c>
      <c r="J1812" s="11"/>
      <c r="K1812" s="12" t="s">
        <v>8064</v>
      </c>
      <c r="L1812" s="11"/>
      <c r="M1812" s="12" t="str">
        <f>HYPERLINK("https://ceds.ed.gov/cedselementdetails.aspx?termid=18843")</f>
        <v>https://ceds.ed.gov/cedselementdetails.aspx?termid=18843</v>
      </c>
      <c r="N1812" s="12" t="str">
        <f>HYPERLINK("https://ceds.ed.gov/elementComment.aspx?elementName=Student Enrollment Access Type &amp;elementID=18843", "Click here to submit comment")</f>
        <v>Click here to submit comment</v>
      </c>
    </row>
    <row r="1813" spans="1:14" ht="369.75" x14ac:dyDescent="0.25">
      <c r="A1813" s="12" t="s">
        <v>8065</v>
      </c>
      <c r="B1813" s="12" t="s">
        <v>8066</v>
      </c>
      <c r="C1813" s="13" t="s">
        <v>8067</v>
      </c>
      <c r="D1813" s="12" t="s">
        <v>8068</v>
      </c>
      <c r="E1813" s="11"/>
      <c r="F1813" s="11"/>
      <c r="G1813" s="11"/>
      <c r="H1813" s="11"/>
      <c r="I1813" s="12" t="s">
        <v>8069</v>
      </c>
      <c r="J1813" s="11"/>
      <c r="K1813" s="12" t="s">
        <v>8070</v>
      </c>
      <c r="L1813" s="12" t="s">
        <v>8071</v>
      </c>
      <c r="M1813" s="12" t="str">
        <f>HYPERLINK("https://ceds.ed.gov/cedselementdetails.aspx?termid=17163")</f>
        <v>https://ceds.ed.gov/cedselementdetails.aspx?termid=17163</v>
      </c>
      <c r="N1813" s="12" t="str">
        <f>HYPERLINK("https://ceds.ed.gov/elementComment.aspx?elementName=Student Identification System &amp;elementID=17163", "Click here to submit comment")</f>
        <v>Click here to submit comment</v>
      </c>
    </row>
    <row r="1814" spans="1:14" ht="150" customHeight="1" x14ac:dyDescent="0.25">
      <c r="A1814" s="15" t="s">
        <v>8072</v>
      </c>
      <c r="B1814" s="15" t="s">
        <v>8073</v>
      </c>
      <c r="C1814" s="15" t="s">
        <v>37</v>
      </c>
      <c r="D1814" s="15" t="s">
        <v>8068</v>
      </c>
      <c r="E1814" s="16"/>
      <c r="F1814" s="15" t="s">
        <v>149</v>
      </c>
      <c r="G1814" s="16"/>
      <c r="H1814" s="12" t="s">
        <v>150</v>
      </c>
      <c r="I1814" s="15" t="s">
        <v>8074</v>
      </c>
      <c r="J1814" s="16"/>
      <c r="K1814" s="15" t="s">
        <v>8075</v>
      </c>
      <c r="L1814" s="15" t="s">
        <v>8071</v>
      </c>
      <c r="M1814" s="15" t="str">
        <f>HYPERLINK("https://ceds.ed.gov/cedselementdetails.aspx?termid=17157")</f>
        <v>https://ceds.ed.gov/cedselementdetails.aspx?termid=17157</v>
      </c>
      <c r="N1814" s="15" t="str">
        <f>HYPERLINK("https://ceds.ed.gov/elementComment.aspx?elementName=Student Identifier &amp;elementID=17157", "Click here to submit comment")</f>
        <v>Click here to submit comment</v>
      </c>
    </row>
    <row r="1815" spans="1:14" x14ac:dyDescent="0.25">
      <c r="A1815" s="15"/>
      <c r="B1815" s="15"/>
      <c r="C1815" s="15"/>
      <c r="D1815" s="15"/>
      <c r="E1815" s="16"/>
      <c r="F1815" s="15"/>
      <c r="G1815" s="16"/>
      <c r="H1815" s="12"/>
      <c r="I1815" s="15"/>
      <c r="J1815" s="16"/>
      <c r="K1815" s="15"/>
      <c r="L1815" s="15"/>
      <c r="M1815" s="15"/>
      <c r="N1815" s="15"/>
    </row>
    <row r="1816" spans="1:14" ht="76.5" x14ac:dyDescent="0.25">
      <c r="A1816" s="15"/>
      <c r="B1816" s="15"/>
      <c r="C1816" s="15"/>
      <c r="D1816" s="15"/>
      <c r="E1816" s="16"/>
      <c r="F1816" s="15"/>
      <c r="G1816" s="16"/>
      <c r="H1816" s="12" t="s">
        <v>153</v>
      </c>
      <c r="I1816" s="15"/>
      <c r="J1816" s="16"/>
      <c r="K1816" s="15"/>
      <c r="L1816" s="15"/>
      <c r="M1816" s="15"/>
      <c r="N1816" s="15"/>
    </row>
    <row r="1817" spans="1:14" ht="63.75" x14ac:dyDescent="0.25">
      <c r="A1817" s="12" t="s">
        <v>8076</v>
      </c>
      <c r="B1817" s="12" t="s">
        <v>8077</v>
      </c>
      <c r="C1817" s="13" t="s">
        <v>8078</v>
      </c>
      <c r="D1817" s="12" t="s">
        <v>2402</v>
      </c>
      <c r="E1817" s="11"/>
      <c r="F1817" s="11"/>
      <c r="G1817" s="11"/>
      <c r="H1817" s="11"/>
      <c r="I1817" s="12" t="s">
        <v>8079</v>
      </c>
      <c r="J1817" s="11"/>
      <c r="K1817" s="12" t="s">
        <v>8080</v>
      </c>
      <c r="L1817" s="12" t="s">
        <v>225</v>
      </c>
      <c r="M1817" s="12" t="str">
        <f>HYPERLINK("https://ceds.ed.gov/cedselementdetails.aspx?termid=17272")</f>
        <v>https://ceds.ed.gov/cedselementdetails.aspx?termid=17272</v>
      </c>
      <c r="N1817" s="12" t="str">
        <f>HYPERLINK("https://ceds.ed.gov/elementComment.aspx?elementName=Student Level &amp;elementID=17272", "Click here to submit comment")</f>
        <v>Click here to submit comment</v>
      </c>
    </row>
    <row r="1818" spans="1:14" ht="409.5" x14ac:dyDescent="0.25">
      <c r="A1818" s="12" t="s">
        <v>8081</v>
      </c>
      <c r="B1818" s="12" t="s">
        <v>8082</v>
      </c>
      <c r="C1818" s="13" t="s">
        <v>8083</v>
      </c>
      <c r="D1818" s="12" t="s">
        <v>8084</v>
      </c>
      <c r="E1818" s="12" t="s">
        <v>195</v>
      </c>
      <c r="F1818" s="11"/>
      <c r="G1818" s="12" t="s">
        <v>8085</v>
      </c>
      <c r="H1818" s="12" t="s">
        <v>8086</v>
      </c>
      <c r="I1818" s="12" t="s">
        <v>8087</v>
      </c>
      <c r="J1818" s="11"/>
      <c r="K1818" s="12" t="s">
        <v>8088</v>
      </c>
      <c r="L1818" s="11"/>
      <c r="M1818" s="12" t="str">
        <f>HYPERLINK("https://ceds.ed.gov/cedselementdetails.aspx?termid=17273")</f>
        <v>https://ceds.ed.gov/cedselementdetails.aspx?termid=17273</v>
      </c>
      <c r="N1818" s="12" t="str">
        <f>HYPERLINK("https://ceds.ed.gov/elementComment.aspx?elementName=Student Support Service Type &amp;elementID=17273", "Click here to submit comment")</f>
        <v>Click here to submit comment</v>
      </c>
    </row>
    <row r="1819" spans="1:14" ht="89.25" x14ac:dyDescent="0.25">
      <c r="A1819" s="12" t="s">
        <v>8089</v>
      </c>
      <c r="B1819" s="12" t="s">
        <v>8090</v>
      </c>
      <c r="C1819" s="12" t="s">
        <v>37</v>
      </c>
      <c r="D1819" s="12" t="s">
        <v>2841</v>
      </c>
      <c r="E1819" s="11"/>
      <c r="F1819" s="12" t="s">
        <v>135</v>
      </c>
      <c r="G1819" s="11"/>
      <c r="H1819" s="12" t="s">
        <v>2842</v>
      </c>
      <c r="I1819" s="12" t="s">
        <v>8091</v>
      </c>
      <c r="J1819" s="11"/>
      <c r="K1819" s="12" t="s">
        <v>8092</v>
      </c>
      <c r="L1819" s="11"/>
      <c r="M1819" s="12" t="str">
        <f>HYPERLINK("https://ceds.ed.gov/cedselementdetails.aspx?termid=18739")</f>
        <v>https://ceds.ed.gov/cedselementdetails.aspx?termid=18739</v>
      </c>
      <c r="N1819" s="12" t="str">
        <f>HYPERLINK("https://ceds.ed.gov/elementComment.aspx?elementName=Submission Date &amp;elementID=18739", "Click here to submit comment")</f>
        <v>Click here to submit comment</v>
      </c>
    </row>
    <row r="1820" spans="1:14" ht="51" x14ac:dyDescent="0.25">
      <c r="A1820" s="12" t="s">
        <v>8093</v>
      </c>
      <c r="B1820" s="12" t="s">
        <v>8094</v>
      </c>
      <c r="C1820" s="13" t="s">
        <v>408</v>
      </c>
      <c r="D1820" s="12" t="s">
        <v>409</v>
      </c>
      <c r="E1820" s="11"/>
      <c r="F1820" s="11"/>
      <c r="G1820" s="11"/>
      <c r="H1820" s="11"/>
      <c r="I1820" s="12" t="s">
        <v>8095</v>
      </c>
      <c r="J1820" s="11"/>
      <c r="K1820" s="12" t="s">
        <v>8096</v>
      </c>
      <c r="L1820" s="12" t="s">
        <v>412</v>
      </c>
      <c r="M1820" s="12" t="str">
        <f>HYPERLINK("https://ceds.ed.gov/cedselementdetails.aspx?termid=17754")</f>
        <v>https://ceds.ed.gov/cedselementdetails.aspx?termid=17754</v>
      </c>
      <c r="N1820" s="12" t="str">
        <f>HYPERLINK("https://ceds.ed.gov/elementComment.aspx?elementName=Supervised Clinical Experience &amp;elementID=17754", "Click here to submit comment")</f>
        <v>Click here to submit comment</v>
      </c>
    </row>
    <row r="1821" spans="1:14" ht="51" x14ac:dyDescent="0.25">
      <c r="A1821" s="12" t="s">
        <v>8097</v>
      </c>
      <c r="B1821" s="12" t="s">
        <v>8098</v>
      </c>
      <c r="C1821" s="12" t="s">
        <v>37</v>
      </c>
      <c r="D1821" s="12" t="s">
        <v>409</v>
      </c>
      <c r="E1821" s="11"/>
      <c r="F1821" s="12" t="s">
        <v>370</v>
      </c>
      <c r="G1821" s="11"/>
      <c r="H1821" s="11"/>
      <c r="I1821" s="12" t="s">
        <v>8099</v>
      </c>
      <c r="J1821" s="11"/>
      <c r="K1821" s="12" t="s">
        <v>8100</v>
      </c>
      <c r="L1821" s="12" t="s">
        <v>412</v>
      </c>
      <c r="M1821" s="12" t="str">
        <f>HYPERLINK("https://ceds.ed.gov/cedselementdetails.aspx?termid=17755")</f>
        <v>https://ceds.ed.gov/cedselementdetails.aspx?termid=17755</v>
      </c>
      <c r="N1821" s="12" t="str">
        <f>HYPERLINK("https://ceds.ed.gov/elementComment.aspx?elementName=Supervised Clinical Experience Clock Hours &amp;elementID=17755", "Click here to submit comment")</f>
        <v>Click here to submit comment</v>
      </c>
    </row>
    <row r="1822" spans="1:14" ht="38.25" x14ac:dyDescent="0.25">
      <c r="A1822" s="12" t="s">
        <v>8101</v>
      </c>
      <c r="B1822" s="12" t="s">
        <v>8102</v>
      </c>
      <c r="C1822" s="12" t="s">
        <v>37</v>
      </c>
      <c r="D1822" s="12" t="s">
        <v>4736</v>
      </c>
      <c r="E1822" s="11"/>
      <c r="F1822" s="12" t="s">
        <v>1710</v>
      </c>
      <c r="G1822" s="11"/>
      <c r="H1822" s="11"/>
      <c r="I1822" s="12" t="s">
        <v>8103</v>
      </c>
      <c r="J1822" s="12" t="s">
        <v>8104</v>
      </c>
      <c r="K1822" s="12" t="s">
        <v>8105</v>
      </c>
      <c r="L1822" s="12" t="s">
        <v>258</v>
      </c>
      <c r="M1822" s="12" t="str">
        <f>HYPERLINK("https://ceds.ed.gov/cedselementdetails.aspx?termid=17566")</f>
        <v>https://ceds.ed.gov/cedselementdetails.aspx?termid=17566</v>
      </c>
      <c r="N1822" s="12" t="str">
        <f>HYPERLINK("https://ceds.ed.gov/elementComment.aspx?elementName=Supplemental Education Services Public School Choice Twenty Percent Obligation &amp;elementID=17566", "Click here to submit comment")</f>
        <v>Click here to submit comment</v>
      </c>
    </row>
    <row r="1823" spans="1:14" ht="51" x14ac:dyDescent="0.25">
      <c r="A1823" s="12" t="s">
        <v>8106</v>
      </c>
      <c r="B1823" s="12" t="s">
        <v>8107</v>
      </c>
      <c r="C1823" s="12" t="s">
        <v>37</v>
      </c>
      <c r="D1823" s="12" t="s">
        <v>4736</v>
      </c>
      <c r="E1823" s="11"/>
      <c r="F1823" s="12" t="s">
        <v>1710</v>
      </c>
      <c r="G1823" s="11"/>
      <c r="H1823" s="11"/>
      <c r="I1823" s="12" t="s">
        <v>8108</v>
      </c>
      <c r="J1823" s="12" t="s">
        <v>8109</v>
      </c>
      <c r="K1823" s="12" t="s">
        <v>8110</v>
      </c>
      <c r="L1823" s="12" t="s">
        <v>258</v>
      </c>
      <c r="M1823" s="12" t="str">
        <f>HYPERLINK("https://ceds.ed.gov/cedselementdetails.aspx?termid=17559")</f>
        <v>https://ceds.ed.gov/cedselementdetails.aspx?termid=17559</v>
      </c>
      <c r="N1823" s="12" t="str">
        <f>HYPERLINK("https://ceds.ed.gov/elementComment.aspx?elementName=Supplemental Educational Services Funds Spent &amp;elementID=17559", "Click here to submit comment")</f>
        <v>Click here to submit comment</v>
      </c>
    </row>
    <row r="1824" spans="1:14" ht="51" x14ac:dyDescent="0.25">
      <c r="A1824" s="12" t="s">
        <v>8111</v>
      </c>
      <c r="B1824" s="12" t="s">
        <v>8112</v>
      </c>
      <c r="C1824" s="12" t="s">
        <v>37</v>
      </c>
      <c r="D1824" s="12" t="s">
        <v>4736</v>
      </c>
      <c r="E1824" s="11"/>
      <c r="F1824" s="12" t="s">
        <v>1710</v>
      </c>
      <c r="G1824" s="11"/>
      <c r="H1824" s="11"/>
      <c r="I1824" s="12" t="s">
        <v>8113</v>
      </c>
      <c r="J1824" s="12" t="s">
        <v>8114</v>
      </c>
      <c r="K1824" s="12" t="s">
        <v>8115</v>
      </c>
      <c r="L1824" s="12" t="s">
        <v>258</v>
      </c>
      <c r="M1824" s="12" t="str">
        <f>HYPERLINK("https://ceds.ed.gov/cedselementdetails.aspx?termid=17567")</f>
        <v>https://ceds.ed.gov/cedselementdetails.aspx?termid=17567</v>
      </c>
      <c r="N1824" s="12" t="str">
        <f>HYPERLINK("https://ceds.ed.gov/elementComment.aspx?elementName=Supplemental Educational Services Per Pupil Expenditure &amp;elementID=17567", "Click here to submit comment")</f>
        <v>Click here to submit comment</v>
      </c>
    </row>
    <row r="1825" spans="1:14" ht="76.5" x14ac:dyDescent="0.25">
      <c r="A1825" s="12" t="s">
        <v>8116</v>
      </c>
      <c r="B1825" s="12" t="s">
        <v>8117</v>
      </c>
      <c r="C1825" s="13" t="s">
        <v>8118</v>
      </c>
      <c r="D1825" s="12" t="s">
        <v>187</v>
      </c>
      <c r="E1825" s="12" t="s">
        <v>188</v>
      </c>
      <c r="F1825" s="11"/>
      <c r="G1825" s="12" t="s">
        <v>189</v>
      </c>
      <c r="H1825" s="11"/>
      <c r="I1825" s="12" t="s">
        <v>8119</v>
      </c>
      <c r="J1825" s="11"/>
      <c r="K1825" s="12" t="s">
        <v>8120</v>
      </c>
      <c r="L1825" s="11"/>
      <c r="M1825" s="12" t="str">
        <f>HYPERLINK("https://ceds.ed.gov/cedselementdetails.aspx?termid=18910")</f>
        <v>https://ceds.ed.gov/cedselementdetails.aspx?termid=18910</v>
      </c>
      <c r="N1825" s="12" t="str">
        <f>HYPERLINK("https://ceds.ed.gov/elementComment.aspx?elementName=Targeted Support and Improvement Status &amp;elementID=18910", "Click here to submit comment")</f>
        <v>Click here to submit comment</v>
      </c>
    </row>
    <row r="1826" spans="1:14" x14ac:dyDescent="0.25">
      <c r="A1826" s="15" t="s">
        <v>8121</v>
      </c>
      <c r="B1826" s="15" t="s">
        <v>8122</v>
      </c>
      <c r="C1826" s="15" t="s">
        <v>37</v>
      </c>
      <c r="D1826" s="15" t="s">
        <v>409</v>
      </c>
      <c r="E1826" s="16"/>
      <c r="F1826" s="15" t="s">
        <v>97</v>
      </c>
      <c r="G1826" s="16"/>
      <c r="H1826" s="12" t="s">
        <v>8123</v>
      </c>
      <c r="I1826" s="15" t="s">
        <v>8124</v>
      </c>
      <c r="J1826" s="16"/>
      <c r="K1826" s="15" t="s">
        <v>8125</v>
      </c>
      <c r="L1826" s="15" t="s">
        <v>412</v>
      </c>
      <c r="M1826" s="15" t="str">
        <f>HYPERLINK("https://ceds.ed.gov/cedselementdetails.aspx?termid=17757")</f>
        <v>https://ceds.ed.gov/cedselementdetails.aspx?termid=17757</v>
      </c>
      <c r="N1826" s="15" t="str">
        <f>HYPERLINK("https://ceds.ed.gov/elementComment.aspx?elementName=Teacher Education Credential Exam Score Type &amp;elementID=17757", "Click here to submit comment")</f>
        <v>Click here to submit comment</v>
      </c>
    </row>
    <row r="1827" spans="1:14" x14ac:dyDescent="0.25">
      <c r="A1827" s="15"/>
      <c r="B1827" s="15"/>
      <c r="C1827" s="15"/>
      <c r="D1827" s="15"/>
      <c r="E1827" s="16"/>
      <c r="F1827" s="15"/>
      <c r="G1827" s="16"/>
      <c r="H1827" s="12" t="s">
        <v>8126</v>
      </c>
      <c r="I1827" s="15"/>
      <c r="J1827" s="16"/>
      <c r="K1827" s="15"/>
      <c r="L1827" s="15"/>
      <c r="M1827" s="15"/>
      <c r="N1827" s="15"/>
    </row>
    <row r="1828" spans="1:14" x14ac:dyDescent="0.25">
      <c r="A1828" s="15"/>
      <c r="B1828" s="15"/>
      <c r="C1828" s="15"/>
      <c r="D1828" s="15"/>
      <c r="E1828" s="16"/>
      <c r="F1828" s="15"/>
      <c r="G1828" s="16"/>
      <c r="H1828" s="12" t="s">
        <v>8127</v>
      </c>
      <c r="I1828" s="15"/>
      <c r="J1828" s="16"/>
      <c r="K1828" s="15"/>
      <c r="L1828" s="15"/>
      <c r="M1828" s="15"/>
      <c r="N1828" s="15"/>
    </row>
    <row r="1829" spans="1:14" x14ac:dyDescent="0.25">
      <c r="A1829" s="15"/>
      <c r="B1829" s="15"/>
      <c r="C1829" s="15"/>
      <c r="D1829" s="15"/>
      <c r="E1829" s="16"/>
      <c r="F1829" s="15"/>
      <c r="G1829" s="16"/>
      <c r="H1829" s="12" t="s">
        <v>8128</v>
      </c>
      <c r="I1829" s="15"/>
      <c r="J1829" s="16"/>
      <c r="K1829" s="15"/>
      <c r="L1829" s="15"/>
      <c r="M1829" s="15"/>
      <c r="N1829" s="15"/>
    </row>
    <row r="1830" spans="1:14" x14ac:dyDescent="0.25">
      <c r="A1830" s="15"/>
      <c r="B1830" s="15"/>
      <c r="C1830" s="15"/>
      <c r="D1830" s="15"/>
      <c r="E1830" s="16"/>
      <c r="F1830" s="15"/>
      <c r="G1830" s="16"/>
      <c r="H1830" s="11"/>
      <c r="I1830" s="15"/>
      <c r="J1830" s="16"/>
      <c r="K1830" s="15"/>
      <c r="L1830" s="15"/>
      <c r="M1830" s="15"/>
      <c r="N1830" s="15"/>
    </row>
    <row r="1831" spans="1:14" x14ac:dyDescent="0.25">
      <c r="A1831" s="15"/>
      <c r="B1831" s="15"/>
      <c r="C1831" s="15"/>
      <c r="D1831" s="15"/>
      <c r="E1831" s="16"/>
      <c r="F1831" s="15"/>
      <c r="G1831" s="16"/>
      <c r="H1831" s="12" t="s">
        <v>8129</v>
      </c>
      <c r="I1831" s="15"/>
      <c r="J1831" s="16"/>
      <c r="K1831" s="15"/>
      <c r="L1831" s="15"/>
      <c r="M1831" s="15"/>
      <c r="N1831" s="15"/>
    </row>
    <row r="1832" spans="1:14" ht="38.25" x14ac:dyDescent="0.25">
      <c r="A1832" s="15"/>
      <c r="B1832" s="15"/>
      <c r="C1832" s="15"/>
      <c r="D1832" s="15"/>
      <c r="E1832" s="16"/>
      <c r="F1832" s="15"/>
      <c r="G1832" s="16"/>
      <c r="H1832" s="12" t="s">
        <v>8130</v>
      </c>
      <c r="I1832" s="15"/>
      <c r="J1832" s="16"/>
      <c r="K1832" s="15"/>
      <c r="L1832" s="15"/>
      <c r="M1832" s="15"/>
      <c r="N1832" s="15"/>
    </row>
    <row r="1833" spans="1:14" x14ac:dyDescent="0.25">
      <c r="A1833" s="15"/>
      <c r="B1833" s="15"/>
      <c r="C1833" s="15"/>
      <c r="D1833" s="15"/>
      <c r="E1833" s="16"/>
      <c r="F1833" s="15"/>
      <c r="G1833" s="16"/>
      <c r="H1833" s="12"/>
      <c r="I1833" s="15"/>
      <c r="J1833" s="16"/>
      <c r="K1833" s="15"/>
      <c r="L1833" s="15"/>
      <c r="M1833" s="15"/>
      <c r="N1833" s="15"/>
    </row>
    <row r="1834" spans="1:14" ht="25.5" x14ac:dyDescent="0.25">
      <c r="A1834" s="15"/>
      <c r="B1834" s="15"/>
      <c r="C1834" s="15"/>
      <c r="D1834" s="15"/>
      <c r="E1834" s="16"/>
      <c r="F1834" s="15"/>
      <c r="G1834" s="16"/>
      <c r="H1834" s="12" t="s">
        <v>8131</v>
      </c>
      <c r="I1834" s="15"/>
      <c r="J1834" s="16"/>
      <c r="K1834" s="15"/>
      <c r="L1834" s="15"/>
      <c r="M1834" s="15"/>
      <c r="N1834" s="15"/>
    </row>
    <row r="1835" spans="1:14" ht="76.5" x14ac:dyDescent="0.25">
      <c r="A1835" s="12" t="s">
        <v>8132</v>
      </c>
      <c r="B1835" s="12" t="s">
        <v>8133</v>
      </c>
      <c r="C1835" s="13" t="s">
        <v>8134</v>
      </c>
      <c r="D1835" s="12" t="s">
        <v>409</v>
      </c>
      <c r="E1835" s="11"/>
      <c r="F1835" s="11"/>
      <c r="G1835" s="11"/>
      <c r="H1835" s="11"/>
      <c r="I1835" s="12" t="s">
        <v>8135</v>
      </c>
      <c r="J1835" s="11"/>
      <c r="K1835" s="12" t="s">
        <v>8136</v>
      </c>
      <c r="L1835" s="12" t="s">
        <v>412</v>
      </c>
      <c r="M1835" s="12" t="str">
        <f>HYPERLINK("https://ceds.ed.gov/cedselementdetails.aspx?termid=17756")</f>
        <v>https://ceds.ed.gov/cedselementdetails.aspx?termid=17756</v>
      </c>
      <c r="N1835" s="12" t="str">
        <f>HYPERLINK("https://ceds.ed.gov/elementComment.aspx?elementName=Teacher Education Credential Exam Type &amp;elementID=17756", "Click here to submit comment")</f>
        <v>Click here to submit comment</v>
      </c>
    </row>
    <row r="1836" spans="1:14" ht="127.5" x14ac:dyDescent="0.25">
      <c r="A1836" s="12" t="s">
        <v>8137</v>
      </c>
      <c r="B1836" s="12" t="s">
        <v>8138</v>
      </c>
      <c r="C1836" s="13" t="s">
        <v>8139</v>
      </c>
      <c r="D1836" s="12" t="s">
        <v>409</v>
      </c>
      <c r="E1836" s="11"/>
      <c r="F1836" s="11"/>
      <c r="G1836" s="11"/>
      <c r="H1836" s="11"/>
      <c r="I1836" s="12" t="s">
        <v>8140</v>
      </c>
      <c r="J1836" s="11"/>
      <c r="K1836" s="12" t="s">
        <v>8141</v>
      </c>
      <c r="L1836" s="12" t="s">
        <v>412</v>
      </c>
      <c r="M1836" s="12" t="str">
        <f>HYPERLINK("https://ceds.ed.gov/cedselementdetails.aspx?termid=17748")</f>
        <v>https://ceds.ed.gov/cedselementdetails.aspx?termid=17748</v>
      </c>
      <c r="N1836" s="12" t="str">
        <f>HYPERLINK("https://ceds.ed.gov/elementComment.aspx?elementName=Teacher Education Test Company &amp;elementID=17748", "Click here to submit comment")</f>
        <v>Click here to submit comment</v>
      </c>
    </row>
    <row r="1837" spans="1:14" ht="76.5" x14ac:dyDescent="0.25">
      <c r="A1837" s="12" t="s">
        <v>8142</v>
      </c>
      <c r="B1837" s="12" t="s">
        <v>8143</v>
      </c>
      <c r="C1837" s="12" t="s">
        <v>24</v>
      </c>
      <c r="D1837" s="12" t="s">
        <v>8144</v>
      </c>
      <c r="E1837" s="11"/>
      <c r="F1837" s="11"/>
      <c r="G1837" s="11"/>
      <c r="H1837" s="12" t="s">
        <v>8145</v>
      </c>
      <c r="I1837" s="12" t="s">
        <v>8146</v>
      </c>
      <c r="J1837" s="11"/>
      <c r="K1837" s="12" t="s">
        <v>8147</v>
      </c>
      <c r="L1837" s="12" t="s">
        <v>8148</v>
      </c>
      <c r="M1837" s="12" t="str">
        <f>HYPERLINK("https://ceds.ed.gov/cedselementdetails.aspx?termid=17649")</f>
        <v>https://ceds.ed.gov/cedselementdetails.aspx?termid=17649</v>
      </c>
      <c r="N1837" s="12" t="str">
        <f>HYPERLINK("https://ceds.ed.gov/elementComment.aspx?elementName=Teacher of Record &amp;elementID=17649", "Click here to submit comment")</f>
        <v>Click here to submit comment</v>
      </c>
    </row>
    <row r="1838" spans="1:14" ht="89.25" x14ac:dyDescent="0.25">
      <c r="A1838" s="12" t="s">
        <v>8149</v>
      </c>
      <c r="B1838" s="12" t="s">
        <v>8150</v>
      </c>
      <c r="C1838" s="13" t="s">
        <v>408</v>
      </c>
      <c r="D1838" s="12" t="s">
        <v>409</v>
      </c>
      <c r="E1838" s="11"/>
      <c r="F1838" s="11"/>
      <c r="G1838" s="11"/>
      <c r="H1838" s="11"/>
      <c r="I1838" s="12" t="s">
        <v>8151</v>
      </c>
      <c r="J1838" s="11"/>
      <c r="K1838" s="12" t="s">
        <v>8152</v>
      </c>
      <c r="L1838" s="12" t="s">
        <v>412</v>
      </c>
      <c r="M1838" s="12" t="str">
        <f>HYPERLINK("https://ceds.ed.gov/cedselementdetails.aspx?termid=17750")</f>
        <v>https://ceds.ed.gov/cedselementdetails.aspx?termid=17750</v>
      </c>
      <c r="N1838" s="12" t="str">
        <f>HYPERLINK("https://ceds.ed.gov/elementComment.aspx?elementName=Teacher Preparation Program Completer Status &amp;elementID=17750", "Click here to submit comment")</f>
        <v>Click here to submit comment</v>
      </c>
    </row>
    <row r="1839" spans="1:14" ht="51" x14ac:dyDescent="0.25">
      <c r="A1839" s="12" t="s">
        <v>8153</v>
      </c>
      <c r="B1839" s="12" t="s">
        <v>8154</v>
      </c>
      <c r="C1839" s="13" t="s">
        <v>8155</v>
      </c>
      <c r="D1839" s="12" t="s">
        <v>409</v>
      </c>
      <c r="E1839" s="11"/>
      <c r="F1839" s="11"/>
      <c r="G1839" s="11"/>
      <c r="H1839" s="11"/>
      <c r="I1839" s="12" t="s">
        <v>8156</v>
      </c>
      <c r="J1839" s="11"/>
      <c r="K1839" s="12" t="s">
        <v>8157</v>
      </c>
      <c r="L1839" s="12" t="s">
        <v>412</v>
      </c>
      <c r="M1839" s="12" t="str">
        <f>HYPERLINK("https://ceds.ed.gov/cedselementdetails.aspx?termid=17749")</f>
        <v>https://ceds.ed.gov/cedselementdetails.aspx?termid=17749</v>
      </c>
      <c r="N1839" s="12" t="str">
        <f>HYPERLINK("https://ceds.ed.gov/elementComment.aspx?elementName=Teacher Preparation Program Enrollment Status &amp;elementID=17749", "Click here to submit comment")</f>
        <v>Click here to submit comment</v>
      </c>
    </row>
    <row r="1840" spans="1:14" ht="76.5" x14ac:dyDescent="0.25">
      <c r="A1840" s="12" t="s">
        <v>8158</v>
      </c>
      <c r="B1840" s="12" t="s">
        <v>8159</v>
      </c>
      <c r="C1840" s="12" t="s">
        <v>24</v>
      </c>
      <c r="D1840" s="12" t="s">
        <v>8160</v>
      </c>
      <c r="E1840" s="11"/>
      <c r="F1840" s="11"/>
      <c r="G1840" s="11"/>
      <c r="H1840" s="12" t="s">
        <v>8161</v>
      </c>
      <c r="I1840" s="12" t="s">
        <v>8162</v>
      </c>
      <c r="J1840" s="11"/>
      <c r="K1840" s="12" t="s">
        <v>8163</v>
      </c>
      <c r="L1840" s="11"/>
      <c r="M1840" s="12" t="str">
        <f>HYPERLINK("https://ceds.ed.gov/cedselementdetails.aspx?termid=17973")</f>
        <v>https://ceds.ed.gov/cedselementdetails.aspx?termid=17973</v>
      </c>
      <c r="N1840" s="12" t="str">
        <f>HYPERLINK("https://ceds.ed.gov/elementComment.aspx?elementName=Teacher Student Data Link Exclusion Flag &amp;elementID=17973", "Click here to submit comment")</f>
        <v>Click here to submit comment</v>
      </c>
    </row>
    <row r="1841" spans="1:14" ht="76.5" x14ac:dyDescent="0.25">
      <c r="A1841" s="12" t="s">
        <v>8164</v>
      </c>
      <c r="B1841" s="12" t="s">
        <v>8165</v>
      </c>
      <c r="C1841" s="12" t="s">
        <v>37</v>
      </c>
      <c r="D1841" s="12" t="s">
        <v>8144</v>
      </c>
      <c r="E1841" s="11"/>
      <c r="F1841" s="12" t="s">
        <v>869</v>
      </c>
      <c r="G1841" s="11"/>
      <c r="H1841" s="11"/>
      <c r="I1841" s="12" t="s">
        <v>8166</v>
      </c>
      <c r="J1841" s="11"/>
      <c r="K1841" s="12" t="s">
        <v>8167</v>
      </c>
      <c r="L1841" s="12" t="s">
        <v>8148</v>
      </c>
      <c r="M1841" s="12" t="str">
        <f>HYPERLINK("https://ceds.ed.gov/cedselementdetails.aspx?termid=17651")</f>
        <v>https://ceds.ed.gov/cedselementdetails.aspx?termid=17651</v>
      </c>
      <c r="N1841" s="12" t="str">
        <f>HYPERLINK("https://ceds.ed.gov/elementComment.aspx?elementName=Teaching Assignment Contribution Percentage &amp;elementID=17651", "Click here to submit comment")</f>
        <v>Click here to submit comment</v>
      </c>
    </row>
    <row r="1842" spans="1:14" ht="38.25" x14ac:dyDescent="0.25">
      <c r="A1842" s="12" t="s">
        <v>8168</v>
      </c>
      <c r="B1842" s="12" t="s">
        <v>8169</v>
      </c>
      <c r="C1842" s="12" t="s">
        <v>37</v>
      </c>
      <c r="D1842" s="12" t="s">
        <v>5686</v>
      </c>
      <c r="E1842" s="11"/>
      <c r="F1842" s="12" t="s">
        <v>135</v>
      </c>
      <c r="G1842" s="11"/>
      <c r="H1842" s="12" t="s">
        <v>8170</v>
      </c>
      <c r="I1842" s="12" t="s">
        <v>8171</v>
      </c>
      <c r="J1842" s="11"/>
      <c r="K1842" s="12" t="s">
        <v>8172</v>
      </c>
      <c r="L1842" s="12" t="s">
        <v>8148</v>
      </c>
      <c r="M1842" s="12" t="str">
        <f>HYPERLINK("https://ceds.ed.gov/cedselementdetails.aspx?termid=17648")</f>
        <v>https://ceds.ed.gov/cedselementdetails.aspx?termid=17648</v>
      </c>
      <c r="N1842" s="12" t="str">
        <f>HYPERLINK("https://ceds.ed.gov/elementComment.aspx?elementName=Teaching Assignment End Date &amp;elementID=17648", "Click here to submit comment")</f>
        <v>Click here to submit comment</v>
      </c>
    </row>
    <row r="1843" spans="1:14" ht="76.5" x14ac:dyDescent="0.25">
      <c r="A1843" s="12" t="s">
        <v>8173</v>
      </c>
      <c r="B1843" s="12" t="s">
        <v>8174</v>
      </c>
      <c r="C1843" s="13" t="s">
        <v>8175</v>
      </c>
      <c r="D1843" s="12" t="s">
        <v>8144</v>
      </c>
      <c r="E1843" s="11"/>
      <c r="F1843" s="11"/>
      <c r="G1843" s="11"/>
      <c r="H1843" s="11"/>
      <c r="I1843" s="12" t="s">
        <v>8176</v>
      </c>
      <c r="J1843" s="11"/>
      <c r="K1843" s="12" t="s">
        <v>8177</v>
      </c>
      <c r="L1843" s="12" t="s">
        <v>8148</v>
      </c>
      <c r="M1843" s="12" t="str">
        <f>HYPERLINK("https://ceds.ed.gov/cedselementdetails.aspx?termid=17650")</f>
        <v>https://ceds.ed.gov/cedselementdetails.aspx?termid=17650</v>
      </c>
      <c r="N1843" s="12" t="str">
        <f>HYPERLINK("https://ceds.ed.gov/elementComment.aspx?elementName=Teaching Assignment Role &amp;elementID=17650", "Click here to submit comment")</f>
        <v>Click here to submit comment</v>
      </c>
    </row>
    <row r="1844" spans="1:14" ht="25.5" x14ac:dyDescent="0.25">
      <c r="A1844" s="12" t="s">
        <v>8178</v>
      </c>
      <c r="B1844" s="12" t="s">
        <v>8179</v>
      </c>
      <c r="C1844" s="12" t="s">
        <v>37</v>
      </c>
      <c r="D1844" s="12" t="s">
        <v>5686</v>
      </c>
      <c r="E1844" s="11"/>
      <c r="F1844" s="12" t="s">
        <v>135</v>
      </c>
      <c r="G1844" s="11"/>
      <c r="H1844" s="11"/>
      <c r="I1844" s="12" t="s">
        <v>8180</v>
      </c>
      <c r="J1844" s="11"/>
      <c r="K1844" s="12" t="s">
        <v>8181</v>
      </c>
      <c r="L1844" s="12" t="s">
        <v>8148</v>
      </c>
      <c r="M1844" s="12" t="str">
        <f>HYPERLINK("https://ceds.ed.gov/cedselementdetails.aspx?termid=17647")</f>
        <v>https://ceds.ed.gov/cedselementdetails.aspx?termid=17647</v>
      </c>
      <c r="N1844" s="12" t="str">
        <f>HYPERLINK("https://ceds.ed.gov/elementComment.aspx?elementName=Teaching Assignment Start Date &amp;elementID=17647", "Click here to submit comment")</f>
        <v>Click here to submit comment</v>
      </c>
    </row>
    <row r="1845" spans="1:14" ht="204" x14ac:dyDescent="0.25">
      <c r="A1845" s="12" t="s">
        <v>8182</v>
      </c>
      <c r="B1845" s="12" t="s">
        <v>8183</v>
      </c>
      <c r="C1845" s="13" t="s">
        <v>8184</v>
      </c>
      <c r="D1845" s="12" t="s">
        <v>8185</v>
      </c>
      <c r="E1845" s="11"/>
      <c r="F1845" s="11"/>
      <c r="G1845" s="11"/>
      <c r="H1845" s="11"/>
      <c r="I1845" s="12" t="s">
        <v>8186</v>
      </c>
      <c r="J1845" s="11"/>
      <c r="K1845" s="12" t="s">
        <v>8187</v>
      </c>
      <c r="L1845" s="12" t="s">
        <v>412</v>
      </c>
      <c r="M1845" s="12" t="str">
        <f>HYPERLINK("https://ceds.ed.gov/cedselementdetails.aspx?termid=17277")</f>
        <v>https://ceds.ed.gov/cedselementdetails.aspx?termid=17277</v>
      </c>
      <c r="N1845" s="12" t="str">
        <f>HYPERLINK("https://ceds.ed.gov/elementComment.aspx?elementName=Teaching Credential Basis &amp;elementID=17277", "Click here to submit comment")</f>
        <v>Click here to submit comment</v>
      </c>
    </row>
    <row r="1846" spans="1:14" ht="191.25" x14ac:dyDescent="0.25">
      <c r="A1846" s="12" t="s">
        <v>8188</v>
      </c>
      <c r="B1846" s="12" t="s">
        <v>8189</v>
      </c>
      <c r="C1846" s="13" t="s">
        <v>8190</v>
      </c>
      <c r="D1846" s="12" t="s">
        <v>8191</v>
      </c>
      <c r="E1846" s="11"/>
      <c r="F1846" s="11"/>
      <c r="G1846" s="11"/>
      <c r="H1846" s="11"/>
      <c r="I1846" s="12" t="s">
        <v>8192</v>
      </c>
      <c r="J1846" s="11"/>
      <c r="K1846" s="12" t="s">
        <v>8193</v>
      </c>
      <c r="L1846" s="12" t="s">
        <v>412</v>
      </c>
      <c r="M1846" s="12" t="str">
        <f>HYPERLINK("https://ceds.ed.gov/cedselementdetails.aspx?termid=17278")</f>
        <v>https://ceds.ed.gov/cedselementdetails.aspx?termid=17278</v>
      </c>
      <c r="N1846" s="12" t="str">
        <f>HYPERLINK("https://ceds.ed.gov/elementComment.aspx?elementName=Teaching Credential Type &amp;elementID=17278", "Click here to submit comment")</f>
        <v>Click here to submit comment</v>
      </c>
    </row>
    <row r="1847" spans="1:14" ht="102" x14ac:dyDescent="0.25">
      <c r="A1847" s="12" t="s">
        <v>8194</v>
      </c>
      <c r="B1847" s="12" t="s">
        <v>8195</v>
      </c>
      <c r="C1847" s="12" t="s">
        <v>24</v>
      </c>
      <c r="D1847" s="12" t="s">
        <v>8196</v>
      </c>
      <c r="E1847" s="11"/>
      <c r="F1847" s="11"/>
      <c r="G1847" s="11"/>
      <c r="H1847" s="6" t="s">
        <v>7984</v>
      </c>
      <c r="I1847" s="12" t="s">
        <v>8197</v>
      </c>
      <c r="J1847" s="11"/>
      <c r="K1847" s="12" t="s">
        <v>8198</v>
      </c>
      <c r="L1847" s="11"/>
      <c r="M1847" s="12" t="str">
        <f>HYPERLINK("https://ceds.ed.gov/cedselementdetails.aspx?termid=18465")</f>
        <v>https://ceds.ed.gov/cedselementdetails.aspx?termid=18465</v>
      </c>
      <c r="N1847" s="12" t="str">
        <f>HYPERLINK("https://ceds.ed.gov/elementComment.aspx?elementName=Technical Assistance Approved Indicator &amp;elementID=18465", "Click here to submit comment")</f>
        <v>Click here to submit comment</v>
      </c>
    </row>
    <row r="1848" spans="1:14" ht="102" x14ac:dyDescent="0.25">
      <c r="A1848" s="12" t="s">
        <v>8199</v>
      </c>
      <c r="B1848" s="12" t="s">
        <v>8200</v>
      </c>
      <c r="C1848" s="13" t="s">
        <v>6962</v>
      </c>
      <c r="D1848" s="12" t="s">
        <v>8196</v>
      </c>
      <c r="E1848" s="11"/>
      <c r="F1848" s="11"/>
      <c r="G1848" s="11"/>
      <c r="H1848" s="6" t="s">
        <v>7984</v>
      </c>
      <c r="I1848" s="12" t="s">
        <v>8201</v>
      </c>
      <c r="J1848" s="11"/>
      <c r="K1848" s="12" t="s">
        <v>8202</v>
      </c>
      <c r="L1848" s="11"/>
      <c r="M1848" s="12" t="str">
        <f>HYPERLINK("https://ceds.ed.gov/cedselementdetails.aspx?termid=18466")</f>
        <v>https://ceds.ed.gov/cedselementdetails.aspx?termid=18466</v>
      </c>
      <c r="N1848" s="12" t="str">
        <f>HYPERLINK("https://ceds.ed.gov/elementComment.aspx?elementName=Technical Assistance Delivery Type &amp;elementID=18466", "Click here to submit comment")</f>
        <v>Click here to submit comment</v>
      </c>
    </row>
    <row r="1849" spans="1:14" ht="280.5" x14ac:dyDescent="0.25">
      <c r="A1849" s="12" t="s">
        <v>8203</v>
      </c>
      <c r="B1849" s="12" t="s">
        <v>8204</v>
      </c>
      <c r="C1849" s="13" t="s">
        <v>8205</v>
      </c>
      <c r="D1849" s="12" t="s">
        <v>8196</v>
      </c>
      <c r="E1849" s="11"/>
      <c r="F1849" s="11"/>
      <c r="G1849" s="11"/>
      <c r="H1849" s="6" t="s">
        <v>7984</v>
      </c>
      <c r="I1849" s="12" t="s">
        <v>8206</v>
      </c>
      <c r="J1849" s="11"/>
      <c r="K1849" s="12" t="s">
        <v>8207</v>
      </c>
      <c r="L1849" s="11"/>
      <c r="M1849" s="12" t="str">
        <f>HYPERLINK("https://ceds.ed.gov/cedselementdetails.aspx?termid=18467")</f>
        <v>https://ceds.ed.gov/cedselementdetails.aspx?termid=18467</v>
      </c>
      <c r="N1849" s="12" t="str">
        <f>HYPERLINK("https://ceds.ed.gov/elementComment.aspx?elementName=Technical Assistance Type &amp;elementID=18467", "Click here to submit comment")</f>
        <v>Click here to submit comment</v>
      </c>
    </row>
    <row r="1850" spans="1:14" ht="51" x14ac:dyDescent="0.25">
      <c r="A1850" s="12" t="s">
        <v>8208</v>
      </c>
      <c r="B1850" s="12" t="s">
        <v>8209</v>
      </c>
      <c r="C1850" s="13" t="s">
        <v>8210</v>
      </c>
      <c r="D1850" s="12" t="s">
        <v>69</v>
      </c>
      <c r="E1850" s="11"/>
      <c r="F1850" s="11"/>
      <c r="G1850" s="11"/>
      <c r="H1850" s="11"/>
      <c r="I1850" s="12" t="s">
        <v>8211</v>
      </c>
      <c r="J1850" s="11"/>
      <c r="K1850" s="12" t="s">
        <v>8212</v>
      </c>
      <c r="L1850" s="12" t="s">
        <v>258</v>
      </c>
      <c r="M1850" s="12" t="str">
        <f>HYPERLINK("https://ceds.ed.gov/cedselementdetails.aspx?termid=17558")</f>
        <v>https://ceds.ed.gov/cedselementdetails.aspx?termid=17558</v>
      </c>
      <c r="N1850" s="12" t="str">
        <f>HYPERLINK("https://ceds.ed.gov/elementComment.aspx?elementName=Technology Literacy Status in 8th Grade &amp;elementID=17558", "Click here to submit comment")</f>
        <v>Click here to submit comment</v>
      </c>
    </row>
    <row r="1851" spans="1:14" ht="51" x14ac:dyDescent="0.25">
      <c r="A1851" s="12" t="s">
        <v>8213</v>
      </c>
      <c r="B1851" s="12" t="s">
        <v>8214</v>
      </c>
      <c r="C1851" s="12" t="s">
        <v>24</v>
      </c>
      <c r="D1851" s="12" t="s">
        <v>4445</v>
      </c>
      <c r="E1851" s="11"/>
      <c r="F1851" s="11"/>
      <c r="G1851" s="11"/>
      <c r="H1851" s="11"/>
      <c r="I1851" s="12" t="s">
        <v>8215</v>
      </c>
      <c r="J1851" s="11"/>
      <c r="K1851" s="12" t="s">
        <v>8216</v>
      </c>
      <c r="L1851" s="12" t="s">
        <v>258</v>
      </c>
      <c r="M1851" s="12" t="str">
        <f>HYPERLINK("https://ceds.ed.gov/cedselementdetails.aspx?termid=17537")</f>
        <v>https://ceds.ed.gov/cedselementdetails.aspx?termid=17537</v>
      </c>
      <c r="N1851" s="12" t="str">
        <f>HYPERLINK("https://ceds.ed.gov/elementComment.aspx?elementName=Technology Skills Standards Met &amp;elementID=17537", "Click here to submit comment")</f>
        <v>Click here to submit comment</v>
      </c>
    </row>
    <row r="1852" spans="1:14" ht="409.5" x14ac:dyDescent="0.25">
      <c r="A1852" s="12" t="s">
        <v>8217</v>
      </c>
      <c r="B1852" s="12" t="s">
        <v>8218</v>
      </c>
      <c r="C1852" s="12" t="s">
        <v>37</v>
      </c>
      <c r="D1852" s="12" t="s">
        <v>8219</v>
      </c>
      <c r="E1852" s="11"/>
      <c r="F1852" s="12" t="s">
        <v>8220</v>
      </c>
      <c r="G1852" s="11"/>
      <c r="H1852" s="11"/>
      <c r="I1852" s="12" t="s">
        <v>8221</v>
      </c>
      <c r="J1852" s="11"/>
      <c r="K1852" s="12" t="s">
        <v>8222</v>
      </c>
      <c r="L1852" s="12" t="s">
        <v>72</v>
      </c>
      <c r="M1852" s="12" t="str">
        <f>HYPERLINK("https://ceds.ed.gov/cedselementdetails.aspx?termid=17279")</f>
        <v>https://ceds.ed.gov/cedselementdetails.aspx?termid=17279</v>
      </c>
      <c r="N1852" s="12" t="str">
        <f>HYPERLINK("https://ceds.ed.gov/elementComment.aspx?elementName=Telephone Number &amp;elementID=17279", "Click here to submit comment")</f>
        <v>Click here to submit comment</v>
      </c>
    </row>
    <row r="1853" spans="1:14" ht="409.5" x14ac:dyDescent="0.25">
      <c r="A1853" s="12" t="s">
        <v>8223</v>
      </c>
      <c r="B1853" s="12" t="s">
        <v>8224</v>
      </c>
      <c r="C1853" s="13" t="s">
        <v>8225</v>
      </c>
      <c r="D1853" s="12" t="s">
        <v>8226</v>
      </c>
      <c r="E1853" s="12" t="s">
        <v>188</v>
      </c>
      <c r="F1853" s="11"/>
      <c r="G1853" s="12" t="s">
        <v>1721</v>
      </c>
      <c r="H1853" s="11"/>
      <c r="I1853" s="12" t="s">
        <v>8227</v>
      </c>
      <c r="J1853" s="11"/>
      <c r="K1853" s="12" t="s">
        <v>8228</v>
      </c>
      <c r="L1853" s="11"/>
      <c r="M1853" s="12" t="str">
        <f>HYPERLINK("https://ceds.ed.gov/cedselementdetails.aspx?termid=18911")</f>
        <v>https://ceds.ed.gov/cedselementdetails.aspx?termid=18911</v>
      </c>
      <c r="N1853" s="12" t="str">
        <f>HYPERLINK("https://ceds.ed.gov/elementComment.aspx?elementName=Telephone Number Listed Status &amp;elementID=18911", "Click here to submit comment")</f>
        <v>Click here to submit comment</v>
      </c>
    </row>
    <row r="1854" spans="1:14" ht="409.5" x14ac:dyDescent="0.25">
      <c r="A1854" s="12" t="s">
        <v>8229</v>
      </c>
      <c r="B1854" s="12" t="s">
        <v>8230</v>
      </c>
      <c r="C1854" s="13" t="s">
        <v>8231</v>
      </c>
      <c r="D1854" s="12" t="s">
        <v>8232</v>
      </c>
      <c r="E1854" s="11"/>
      <c r="F1854" s="12" t="s">
        <v>2870</v>
      </c>
      <c r="G1854" s="11"/>
      <c r="H1854" s="11"/>
      <c r="I1854" s="12" t="s">
        <v>8233</v>
      </c>
      <c r="J1854" s="11"/>
      <c r="K1854" s="12" t="s">
        <v>8234</v>
      </c>
      <c r="L1854" s="12" t="s">
        <v>72</v>
      </c>
      <c r="M1854" s="12" t="str">
        <f>HYPERLINK("https://ceds.ed.gov/cedselementdetails.aspx?termid=17280")</f>
        <v>https://ceds.ed.gov/cedselementdetails.aspx?termid=17280</v>
      </c>
      <c r="N1854" s="12" t="str">
        <f>HYPERLINK("https://ceds.ed.gov/elementComment.aspx?elementName=Telephone Number Type &amp;elementID=17280", "Click here to submit comment")</f>
        <v>Click here to submit comment</v>
      </c>
    </row>
    <row r="1855" spans="1:14" ht="38.25" x14ac:dyDescent="0.25">
      <c r="A1855" s="12" t="s">
        <v>8235</v>
      </c>
      <c r="B1855" s="12" t="s">
        <v>8236</v>
      </c>
      <c r="C1855" s="12" t="s">
        <v>24</v>
      </c>
      <c r="D1855" s="12" t="s">
        <v>2229</v>
      </c>
      <c r="E1855" s="11"/>
      <c r="F1855" s="11"/>
      <c r="G1855" s="11"/>
      <c r="H1855" s="11"/>
      <c r="I1855" s="12" t="s">
        <v>8237</v>
      </c>
      <c r="J1855" s="11"/>
      <c r="K1855" s="12" t="s">
        <v>8238</v>
      </c>
      <c r="L1855" s="12" t="s">
        <v>80</v>
      </c>
      <c r="M1855" s="12" t="str">
        <f>HYPERLINK("https://ceds.ed.gov/cedselementdetails.aspx?termid=17715")</f>
        <v>https://ceds.ed.gov/cedselementdetails.aspx?termid=17715</v>
      </c>
      <c r="N1855" s="12" t="str">
        <f>HYPERLINK("https://ceds.ed.gov/elementComment.aspx?elementName=Tenure System &amp;elementID=17715", "Click here to submit comment")</f>
        <v>Click here to submit comment</v>
      </c>
    </row>
    <row r="1856" spans="1:14" ht="38.25" x14ac:dyDescent="0.25">
      <c r="A1856" s="12" t="s">
        <v>8239</v>
      </c>
      <c r="B1856" s="12" t="s">
        <v>8240</v>
      </c>
      <c r="C1856" s="12" t="s">
        <v>24</v>
      </c>
      <c r="D1856" s="12" t="s">
        <v>1732</v>
      </c>
      <c r="E1856" s="11"/>
      <c r="F1856" s="11"/>
      <c r="G1856" s="11"/>
      <c r="H1856" s="11"/>
      <c r="I1856" s="12" t="s">
        <v>8241</v>
      </c>
      <c r="J1856" s="11"/>
      <c r="K1856" s="12" t="s">
        <v>8242</v>
      </c>
      <c r="L1856" s="12" t="s">
        <v>245</v>
      </c>
      <c r="M1856" s="12" t="str">
        <f>HYPERLINK("https://ceds.ed.gov/cedselementdetails.aspx?termid=17473")</f>
        <v>https://ceds.ed.gov/cedselementdetails.aspx?termid=17473</v>
      </c>
      <c r="N1856" s="12" t="str">
        <f>HYPERLINK("https://ceds.ed.gov/elementComment.aspx?elementName=Terminated Title III Programs Due to Failure &amp;elementID=17473", "Click here to submit comment")</f>
        <v>Click here to submit comment</v>
      </c>
    </row>
    <row r="1857" spans="1:14" ht="25.5" x14ac:dyDescent="0.25">
      <c r="A1857" s="12" t="s">
        <v>8243</v>
      </c>
      <c r="B1857" s="12" t="s">
        <v>8244</v>
      </c>
      <c r="C1857" s="12" t="s">
        <v>37</v>
      </c>
      <c r="D1857" s="12" t="s">
        <v>3659</v>
      </c>
      <c r="E1857" s="11"/>
      <c r="F1857" s="12" t="s">
        <v>382</v>
      </c>
      <c r="G1857" s="11"/>
      <c r="H1857" s="11"/>
      <c r="I1857" s="12" t="s">
        <v>8245</v>
      </c>
      <c r="J1857" s="11"/>
      <c r="K1857" s="12" t="s">
        <v>8246</v>
      </c>
      <c r="L1857" s="11"/>
      <c r="M1857" s="12" t="str">
        <f>HYPERLINK("https://ceds.ed.gov/cedselementdetails.aspx?termid=18468")</f>
        <v>https://ceds.ed.gov/cedselementdetails.aspx?termid=18468</v>
      </c>
      <c r="N1857" s="12" t="str">
        <f>HYPERLINK("https://ceds.ed.gov/elementComment.aspx?elementName=Thesis or Dissertation Title &amp;elementID=18468", "Click here to submit comment")</f>
        <v>Click here to submit comment</v>
      </c>
    </row>
    <row r="1858" spans="1:14" ht="76.5" x14ac:dyDescent="0.25">
      <c r="A1858" s="15" t="s">
        <v>8247</v>
      </c>
      <c r="B1858" s="15" t="s">
        <v>8248</v>
      </c>
      <c r="C1858" s="15" t="s">
        <v>37</v>
      </c>
      <c r="D1858" s="15" t="s">
        <v>2353</v>
      </c>
      <c r="E1858" s="16"/>
      <c r="F1858" s="15" t="s">
        <v>149</v>
      </c>
      <c r="G1858" s="16"/>
      <c r="H1858" s="12" t="s">
        <v>150</v>
      </c>
      <c r="I1858" s="15" t="s">
        <v>8249</v>
      </c>
      <c r="J1858" s="16"/>
      <c r="K1858" s="15" t="s">
        <v>8250</v>
      </c>
      <c r="L1858" s="16"/>
      <c r="M1858" s="15" t="str">
        <f>HYPERLINK("https://ceds.ed.gov/cedselementdetails.aspx?termid=17514")</f>
        <v>https://ceds.ed.gov/cedselementdetails.aspx?termid=17514</v>
      </c>
      <c r="N1858" s="15" t="str">
        <f>HYPERLINK("https://ceds.ed.gov/elementComment.aspx?elementName=Timetable Day Identifier &amp;elementID=17514", "Click here to submit comment")</f>
        <v>Click here to submit comment</v>
      </c>
    </row>
    <row r="1859" spans="1:14" x14ac:dyDescent="0.25">
      <c r="A1859" s="15"/>
      <c r="B1859" s="15"/>
      <c r="C1859" s="15"/>
      <c r="D1859" s="15"/>
      <c r="E1859" s="16"/>
      <c r="F1859" s="15"/>
      <c r="G1859" s="16"/>
      <c r="H1859" s="12"/>
      <c r="I1859" s="15"/>
      <c r="J1859" s="16"/>
      <c r="K1859" s="15"/>
      <c r="L1859" s="16"/>
      <c r="M1859" s="15"/>
      <c r="N1859" s="15"/>
    </row>
    <row r="1860" spans="1:14" ht="76.5" x14ac:dyDescent="0.25">
      <c r="A1860" s="15"/>
      <c r="B1860" s="15"/>
      <c r="C1860" s="15"/>
      <c r="D1860" s="15"/>
      <c r="E1860" s="16"/>
      <c r="F1860" s="15"/>
      <c r="G1860" s="16"/>
      <c r="H1860" s="12" t="s">
        <v>153</v>
      </c>
      <c r="I1860" s="15"/>
      <c r="J1860" s="16"/>
      <c r="K1860" s="15"/>
      <c r="L1860" s="16"/>
      <c r="M1860" s="15"/>
      <c r="N1860" s="15"/>
    </row>
    <row r="1861" spans="1:14" ht="76.5" x14ac:dyDescent="0.25">
      <c r="A1861" s="12" t="s">
        <v>8251</v>
      </c>
      <c r="B1861" s="12" t="s">
        <v>8252</v>
      </c>
      <c r="C1861" s="13" t="s">
        <v>8253</v>
      </c>
      <c r="D1861" s="12" t="s">
        <v>7547</v>
      </c>
      <c r="E1861" s="11"/>
      <c r="F1861" s="11"/>
      <c r="G1861" s="11"/>
      <c r="H1861" s="11"/>
      <c r="I1861" s="12" t="s">
        <v>8254</v>
      </c>
      <c r="J1861" s="11"/>
      <c r="K1861" s="12" t="s">
        <v>8255</v>
      </c>
      <c r="L1861" s="12" t="s">
        <v>72</v>
      </c>
      <c r="M1861" s="12" t="str">
        <f>HYPERLINK("https://ceds.ed.gov/cedselementdetails.aspx?termid=17281")</f>
        <v>https://ceds.ed.gov/cedselementdetails.aspx?termid=17281</v>
      </c>
      <c r="N1861" s="12" t="str">
        <f>HYPERLINK("https://ceds.ed.gov/elementComment.aspx?elementName=Title I Indicator &amp;elementID=17281", "Click here to submit comment")</f>
        <v>Click here to submit comment</v>
      </c>
    </row>
    <row r="1862" spans="1:14" ht="114.75" x14ac:dyDescent="0.25">
      <c r="A1862" s="12" t="s">
        <v>8256</v>
      </c>
      <c r="B1862" s="12" t="s">
        <v>8257</v>
      </c>
      <c r="C1862" s="13" t="s">
        <v>8258</v>
      </c>
      <c r="D1862" s="12" t="s">
        <v>5704</v>
      </c>
      <c r="E1862" s="11"/>
      <c r="F1862" s="11"/>
      <c r="G1862" s="11"/>
      <c r="H1862" s="11"/>
      <c r="I1862" s="12" t="s">
        <v>8259</v>
      </c>
      <c r="J1862" s="11"/>
      <c r="K1862" s="12" t="s">
        <v>8260</v>
      </c>
      <c r="L1862" s="12" t="s">
        <v>258</v>
      </c>
      <c r="M1862" s="12" t="str">
        <f>HYPERLINK("https://ceds.ed.gov/cedselementdetails.aspx?termid=17282")</f>
        <v>https://ceds.ed.gov/cedselementdetails.aspx?termid=17282</v>
      </c>
      <c r="N1862" s="12" t="str">
        <f>HYPERLINK("https://ceds.ed.gov/elementComment.aspx?elementName=Title I Instructional Services &amp;elementID=17282", "Click here to submit comment")</f>
        <v>Click here to submit comment</v>
      </c>
    </row>
    <row r="1863" spans="1:14" ht="127.5" x14ac:dyDescent="0.25">
      <c r="A1863" s="12" t="s">
        <v>8261</v>
      </c>
      <c r="B1863" s="12" t="s">
        <v>8262</v>
      </c>
      <c r="C1863" s="13" t="s">
        <v>8263</v>
      </c>
      <c r="D1863" s="12" t="s">
        <v>5686</v>
      </c>
      <c r="E1863" s="11"/>
      <c r="F1863" s="11"/>
      <c r="G1863" s="11"/>
      <c r="H1863" s="11"/>
      <c r="I1863" s="12" t="s">
        <v>8264</v>
      </c>
      <c r="J1863" s="11"/>
      <c r="K1863" s="12" t="s">
        <v>8265</v>
      </c>
      <c r="L1863" s="12" t="s">
        <v>258</v>
      </c>
      <c r="M1863" s="12" t="str">
        <f>HYPERLINK("https://ceds.ed.gov/cedselementdetails.aspx?termid=17283")</f>
        <v>https://ceds.ed.gov/cedselementdetails.aspx?termid=17283</v>
      </c>
      <c r="N1863" s="12" t="str">
        <f>HYPERLINK("https://ceds.ed.gov/elementComment.aspx?elementName=Title I Program Staff Category &amp;elementID=17283", "Click here to submit comment")</f>
        <v>Click here to submit comment</v>
      </c>
    </row>
    <row r="1864" spans="1:14" ht="114.75" x14ac:dyDescent="0.25">
      <c r="A1864" s="12" t="s">
        <v>8266</v>
      </c>
      <c r="B1864" s="12" t="s">
        <v>8267</v>
      </c>
      <c r="C1864" s="13" t="s">
        <v>8268</v>
      </c>
      <c r="D1864" s="12" t="s">
        <v>8269</v>
      </c>
      <c r="E1864" s="11"/>
      <c r="F1864" s="11"/>
      <c r="G1864" s="11"/>
      <c r="H1864" s="11"/>
      <c r="I1864" s="12" t="s">
        <v>8270</v>
      </c>
      <c r="J1864" s="11"/>
      <c r="K1864" s="12" t="s">
        <v>8271</v>
      </c>
      <c r="L1864" s="12" t="s">
        <v>258</v>
      </c>
      <c r="M1864" s="12" t="str">
        <f>HYPERLINK("https://ceds.ed.gov/cedselementdetails.aspx?termid=17284")</f>
        <v>https://ceds.ed.gov/cedselementdetails.aspx?termid=17284</v>
      </c>
      <c r="N1864" s="12" t="str">
        <f>HYPERLINK("https://ceds.ed.gov/elementComment.aspx?elementName=Title I Program Type &amp;elementID=17284", "Click here to submit comment")</f>
        <v>Click here to submit comment</v>
      </c>
    </row>
    <row r="1865" spans="1:14" ht="140.25" x14ac:dyDescent="0.25">
      <c r="A1865" s="12" t="s">
        <v>8272</v>
      </c>
      <c r="B1865" s="12" t="s">
        <v>8273</v>
      </c>
      <c r="C1865" s="13" t="s">
        <v>8274</v>
      </c>
      <c r="D1865" s="12" t="s">
        <v>128</v>
      </c>
      <c r="E1865" s="11"/>
      <c r="F1865" s="11"/>
      <c r="G1865" s="11"/>
      <c r="H1865" s="11"/>
      <c r="I1865" s="12" t="s">
        <v>8275</v>
      </c>
      <c r="J1865" s="11"/>
      <c r="K1865" s="12" t="s">
        <v>8276</v>
      </c>
      <c r="L1865" s="12" t="s">
        <v>258</v>
      </c>
      <c r="M1865" s="12" t="str">
        <f>HYPERLINK("https://ceds.ed.gov/cedselementdetails.aspx?termid=17285")</f>
        <v>https://ceds.ed.gov/cedselementdetails.aspx?termid=17285</v>
      </c>
      <c r="N1865" s="12" t="str">
        <f>HYPERLINK("https://ceds.ed.gov/elementComment.aspx?elementName=Title I School Status &amp;elementID=17285", "Click here to submit comment")</f>
        <v>Click here to submit comment</v>
      </c>
    </row>
    <row r="1866" spans="1:14" ht="63.75" x14ac:dyDescent="0.25">
      <c r="A1866" s="12" t="s">
        <v>8277</v>
      </c>
      <c r="B1866" s="12" t="s">
        <v>8278</v>
      </c>
      <c r="C1866" s="12" t="s">
        <v>24</v>
      </c>
      <c r="D1866" s="12" t="s">
        <v>7547</v>
      </c>
      <c r="E1866" s="11"/>
      <c r="F1866" s="11"/>
      <c r="G1866" s="11"/>
      <c r="H1866" s="11"/>
      <c r="I1866" s="12" t="s">
        <v>8279</v>
      </c>
      <c r="J1866" s="11"/>
      <c r="K1866" s="12" t="s">
        <v>8280</v>
      </c>
      <c r="L1866" s="12" t="s">
        <v>258</v>
      </c>
      <c r="M1866" s="12" t="str">
        <f>HYPERLINK("https://ceds.ed.gov/cedselementdetails.aspx?termid=17286")</f>
        <v>https://ceds.ed.gov/cedselementdetails.aspx?termid=17286</v>
      </c>
      <c r="N1866" s="12" t="str">
        <f>HYPERLINK("https://ceds.ed.gov/elementComment.aspx?elementName=Title I School Supplemental Services Applied Status &amp;elementID=17286", "Click here to submit comment")</f>
        <v>Click here to submit comment</v>
      </c>
    </row>
    <row r="1867" spans="1:14" ht="63.75" x14ac:dyDescent="0.25">
      <c r="A1867" s="12" t="s">
        <v>8281</v>
      </c>
      <c r="B1867" s="12" t="s">
        <v>8282</v>
      </c>
      <c r="C1867" s="12" t="s">
        <v>24</v>
      </c>
      <c r="D1867" s="12" t="s">
        <v>7547</v>
      </c>
      <c r="E1867" s="11"/>
      <c r="F1867" s="11"/>
      <c r="G1867" s="11"/>
      <c r="H1867" s="11"/>
      <c r="I1867" s="12" t="s">
        <v>8283</v>
      </c>
      <c r="J1867" s="11"/>
      <c r="K1867" s="12" t="s">
        <v>8284</v>
      </c>
      <c r="L1867" s="12" t="s">
        <v>258</v>
      </c>
      <c r="M1867" s="12" t="str">
        <f>HYPERLINK("https://ceds.ed.gov/cedselementdetails.aspx?termid=17287")</f>
        <v>https://ceds.ed.gov/cedselementdetails.aspx?termid=17287</v>
      </c>
      <c r="N1867" s="12" t="str">
        <f>HYPERLINK("https://ceds.ed.gov/elementComment.aspx?elementName=Title I School Supplemental Services Eligible Status &amp;elementID=17287", "Click here to submit comment")</f>
        <v>Click here to submit comment</v>
      </c>
    </row>
    <row r="1868" spans="1:14" ht="63.75" x14ac:dyDescent="0.25">
      <c r="A1868" s="12" t="s">
        <v>8285</v>
      </c>
      <c r="B1868" s="12" t="s">
        <v>8286</v>
      </c>
      <c r="C1868" s="12" t="s">
        <v>24</v>
      </c>
      <c r="D1868" s="12" t="s">
        <v>7547</v>
      </c>
      <c r="E1868" s="11"/>
      <c r="F1868" s="11"/>
      <c r="G1868" s="11"/>
      <c r="H1868" s="11"/>
      <c r="I1868" s="12" t="s">
        <v>8287</v>
      </c>
      <c r="J1868" s="11"/>
      <c r="K1868" s="12" t="s">
        <v>8288</v>
      </c>
      <c r="L1868" s="12" t="s">
        <v>258</v>
      </c>
      <c r="M1868" s="12" t="str">
        <f>HYPERLINK("https://ceds.ed.gov/cedselementdetails.aspx?termid=17288")</f>
        <v>https://ceds.ed.gov/cedselementdetails.aspx?termid=17288</v>
      </c>
      <c r="N1868" s="12" t="str">
        <f>HYPERLINK("https://ceds.ed.gov/elementComment.aspx?elementName=Title I School Supplemental Services Received Status &amp;elementID=17288", "Click here to submit comment")</f>
        <v>Click here to submit comment</v>
      </c>
    </row>
    <row r="1869" spans="1:14" ht="51" x14ac:dyDescent="0.25">
      <c r="A1869" s="12" t="s">
        <v>8289</v>
      </c>
      <c r="B1869" s="12" t="s">
        <v>8290</v>
      </c>
      <c r="C1869" s="12" t="s">
        <v>24</v>
      </c>
      <c r="D1869" s="12" t="s">
        <v>7547</v>
      </c>
      <c r="E1869" s="11"/>
      <c r="F1869" s="11"/>
      <c r="G1869" s="11"/>
      <c r="H1869" s="11"/>
      <c r="I1869" s="12" t="s">
        <v>8291</v>
      </c>
      <c r="J1869" s="11"/>
      <c r="K1869" s="12" t="s">
        <v>8292</v>
      </c>
      <c r="L1869" s="12" t="s">
        <v>258</v>
      </c>
      <c r="M1869" s="12" t="str">
        <f>HYPERLINK("https://ceds.ed.gov/cedselementdetails.aspx?termid=17541")</f>
        <v>https://ceds.ed.gov/cedselementdetails.aspx?termid=17541</v>
      </c>
      <c r="N1869" s="12" t="str">
        <f>HYPERLINK("https://ceds.ed.gov/elementComment.aspx?elementName=Title I Schoolwide Program Participation &amp;elementID=17541", "Click here to submit comment")</f>
        <v>Click here to submit comment</v>
      </c>
    </row>
    <row r="1870" spans="1:14" ht="76.5" x14ac:dyDescent="0.25">
      <c r="A1870" s="12" t="s">
        <v>8293</v>
      </c>
      <c r="B1870" s="12" t="s">
        <v>8294</v>
      </c>
      <c r="C1870" s="13" t="s">
        <v>8295</v>
      </c>
      <c r="D1870" s="12" t="s">
        <v>5704</v>
      </c>
      <c r="E1870" s="11"/>
      <c r="F1870" s="11"/>
      <c r="G1870" s="11"/>
      <c r="H1870" s="11"/>
      <c r="I1870" s="12" t="s">
        <v>8296</v>
      </c>
      <c r="J1870" s="11"/>
      <c r="K1870" s="12" t="s">
        <v>8297</v>
      </c>
      <c r="L1870" s="12" t="s">
        <v>258</v>
      </c>
      <c r="M1870" s="12" t="str">
        <f>HYPERLINK("https://ceds.ed.gov/cedselementdetails.aspx?termid=17289")</f>
        <v>https://ceds.ed.gov/cedselementdetails.aspx?termid=17289</v>
      </c>
      <c r="N1870" s="12" t="str">
        <f>HYPERLINK("https://ceds.ed.gov/elementComment.aspx?elementName=Title I Support Services &amp;elementID=17289", "Click here to submit comment")</f>
        <v>Click here to submit comment</v>
      </c>
    </row>
    <row r="1871" spans="1:14" ht="51" x14ac:dyDescent="0.25">
      <c r="A1871" s="12" t="s">
        <v>8298</v>
      </c>
      <c r="B1871" s="12" t="s">
        <v>8299</v>
      </c>
      <c r="C1871" s="12" t="s">
        <v>24</v>
      </c>
      <c r="D1871" s="12" t="s">
        <v>7547</v>
      </c>
      <c r="E1871" s="11"/>
      <c r="F1871" s="11"/>
      <c r="G1871" s="11"/>
      <c r="H1871" s="11"/>
      <c r="I1871" s="12" t="s">
        <v>8300</v>
      </c>
      <c r="J1871" s="11"/>
      <c r="K1871" s="12" t="s">
        <v>8301</v>
      </c>
      <c r="L1871" s="12" t="s">
        <v>258</v>
      </c>
      <c r="M1871" s="12" t="str">
        <f>HYPERLINK("https://ceds.ed.gov/cedselementdetails.aspx?termid=17542")</f>
        <v>https://ceds.ed.gov/cedselementdetails.aspx?termid=17542</v>
      </c>
      <c r="N1871" s="12" t="str">
        <f>HYPERLINK("https://ceds.ed.gov/elementComment.aspx?elementName=Title I Targeted Assistance Participation &amp;elementID=17542", "Click here to submit comment")</f>
        <v>Click here to submit comment</v>
      </c>
    </row>
    <row r="1872" spans="1:14" ht="51" x14ac:dyDescent="0.25">
      <c r="A1872" s="12" t="s">
        <v>8302</v>
      </c>
      <c r="B1872" s="12" t="s">
        <v>8303</v>
      </c>
      <c r="C1872" s="12" t="s">
        <v>24</v>
      </c>
      <c r="D1872" s="12" t="s">
        <v>2804</v>
      </c>
      <c r="E1872" s="11"/>
      <c r="F1872" s="11"/>
      <c r="G1872" s="11"/>
      <c r="H1872" s="11"/>
      <c r="I1872" s="12" t="s">
        <v>8304</v>
      </c>
      <c r="J1872" s="11"/>
      <c r="K1872" s="12" t="s">
        <v>8305</v>
      </c>
      <c r="L1872" s="11"/>
      <c r="M1872" s="12" t="str">
        <f>HYPERLINK("https://ceds.ed.gov/cedselementdetails.aspx?termid=17543")</f>
        <v>https://ceds.ed.gov/cedselementdetails.aspx?termid=17543</v>
      </c>
      <c r="N1872" s="12" t="str">
        <f>HYPERLINK("https://ceds.ed.gov/elementComment.aspx?elementName=Title I Targeted Assistance Staff Funded &amp;elementID=17543", "Click here to submit comment")</f>
        <v>Click here to submit comment</v>
      </c>
    </row>
    <row r="1873" spans="1:14" ht="51" x14ac:dyDescent="0.25">
      <c r="A1873" s="12" t="s">
        <v>8306</v>
      </c>
      <c r="B1873" s="12" t="s">
        <v>8307</v>
      </c>
      <c r="C1873" s="13" t="s">
        <v>8308</v>
      </c>
      <c r="D1873" s="12" t="s">
        <v>6688</v>
      </c>
      <c r="E1873" s="11"/>
      <c r="F1873" s="11"/>
      <c r="G1873" s="11"/>
      <c r="H1873" s="11"/>
      <c r="I1873" s="12" t="s">
        <v>8309</v>
      </c>
      <c r="J1873" s="11"/>
      <c r="K1873" s="12" t="s">
        <v>8310</v>
      </c>
      <c r="L1873" s="12" t="s">
        <v>258</v>
      </c>
      <c r="M1873" s="12" t="str">
        <f>HYPERLINK("https://ceds.ed.gov/cedselementdetails.aspx?termid=17527")</f>
        <v>https://ceds.ed.gov/cedselementdetails.aspx?termid=17527</v>
      </c>
      <c r="N1873" s="12" t="str">
        <f>HYPERLINK("https://ceds.ed.gov/elementComment.aspx?elementName=Title III Accountability Progress Status &amp;elementID=17527", "Click here to submit comment")</f>
        <v>Click here to submit comment</v>
      </c>
    </row>
    <row r="1874" spans="1:14" ht="51" x14ac:dyDescent="0.25">
      <c r="A1874" s="12" t="s">
        <v>8311</v>
      </c>
      <c r="B1874" s="12" t="s">
        <v>8312</v>
      </c>
      <c r="C1874" s="12" t="s">
        <v>24</v>
      </c>
      <c r="D1874" s="12" t="s">
        <v>6688</v>
      </c>
      <c r="E1874" s="11"/>
      <c r="F1874" s="11"/>
      <c r="G1874" s="11"/>
      <c r="H1874" s="11"/>
      <c r="I1874" s="12" t="s">
        <v>8313</v>
      </c>
      <c r="J1874" s="12" t="s">
        <v>8314</v>
      </c>
      <c r="K1874" s="12" t="s">
        <v>8315</v>
      </c>
      <c r="L1874" s="12" t="s">
        <v>258</v>
      </c>
      <c r="M1874" s="12" t="str">
        <f>HYPERLINK("https://ceds.ed.gov/cedselementdetails.aspx?termid=17557")</f>
        <v>https://ceds.ed.gov/cedselementdetails.aspx?termid=17557</v>
      </c>
      <c r="N1874" s="12" t="str">
        <f>HYPERLINK("https://ceds.ed.gov/elementComment.aspx?elementName=Title III English Learner Participation Status &amp;elementID=17557", "Click here to submit comment")</f>
        <v>Click here to submit comment</v>
      </c>
    </row>
    <row r="1875" spans="1:14" ht="76.5" x14ac:dyDescent="0.25">
      <c r="A1875" s="12" t="s">
        <v>8316</v>
      </c>
      <c r="B1875" s="12" t="s">
        <v>8317</v>
      </c>
      <c r="C1875" s="12" t="s">
        <v>24</v>
      </c>
      <c r="D1875" s="12" t="s">
        <v>4660</v>
      </c>
      <c r="E1875" s="11"/>
      <c r="F1875" s="11"/>
      <c r="G1875" s="11"/>
      <c r="H1875" s="11"/>
      <c r="I1875" s="12" t="s">
        <v>8318</v>
      </c>
      <c r="J1875" s="11"/>
      <c r="K1875" s="12" t="s">
        <v>8319</v>
      </c>
      <c r="L1875" s="12" t="s">
        <v>258</v>
      </c>
      <c r="M1875" s="12" t="str">
        <f>HYPERLINK("https://ceds.ed.gov/cedselementdetails.aspx?termid=17290")</f>
        <v>https://ceds.ed.gov/cedselementdetails.aspx?termid=17290</v>
      </c>
      <c r="N1875" s="12" t="str">
        <f>HYPERLINK("https://ceds.ed.gov/elementComment.aspx?elementName=Title III Immigrant Participation Status &amp;elementID=17290", "Click here to submit comment")</f>
        <v>Click here to submit comment</v>
      </c>
    </row>
    <row r="1876" spans="1:14" ht="89.25" x14ac:dyDescent="0.25">
      <c r="A1876" s="12" t="s">
        <v>8320</v>
      </c>
      <c r="B1876" s="12" t="s">
        <v>8321</v>
      </c>
      <c r="C1876" s="12" t="s">
        <v>24</v>
      </c>
      <c r="D1876" s="12" t="s">
        <v>4660</v>
      </c>
      <c r="E1876" s="11"/>
      <c r="F1876" s="11"/>
      <c r="G1876" s="11"/>
      <c r="H1876" s="11"/>
      <c r="I1876" s="12" t="s">
        <v>8322</v>
      </c>
      <c r="J1876" s="11"/>
      <c r="K1876" s="12" t="s">
        <v>8323</v>
      </c>
      <c r="L1876" s="12" t="s">
        <v>72</v>
      </c>
      <c r="M1876" s="12" t="str">
        <f>HYPERLINK("https://ceds.ed.gov/cedselementdetails.aspx?termid=17291")</f>
        <v>https://ceds.ed.gov/cedselementdetails.aspx?termid=17291</v>
      </c>
      <c r="N1876" s="12" t="str">
        <f>HYPERLINK("https://ceds.ed.gov/elementComment.aspx?elementName=Title III Immigrant Status &amp;elementID=17291", "Click here to submit comment")</f>
        <v>Click here to submit comment</v>
      </c>
    </row>
    <row r="1877" spans="1:14" ht="216.75" x14ac:dyDescent="0.25">
      <c r="A1877" s="12" t="s">
        <v>8324</v>
      </c>
      <c r="B1877" s="12" t="s">
        <v>8325</v>
      </c>
      <c r="C1877" s="13" t="s">
        <v>8326</v>
      </c>
      <c r="D1877" s="12" t="s">
        <v>8269</v>
      </c>
      <c r="E1877" s="11"/>
      <c r="F1877" s="11"/>
      <c r="G1877" s="11"/>
      <c r="H1877" s="11"/>
      <c r="I1877" s="12" t="s">
        <v>8327</v>
      </c>
      <c r="J1877" s="11"/>
      <c r="K1877" s="12" t="s">
        <v>8328</v>
      </c>
      <c r="L1877" s="12" t="s">
        <v>245</v>
      </c>
      <c r="M1877" s="12" t="str">
        <f>HYPERLINK("https://ceds.ed.gov/cedselementdetails.aspx?termid=17437")</f>
        <v>https://ceds.ed.gov/cedselementdetails.aspx?termid=17437</v>
      </c>
      <c r="N1877" s="12" t="str">
        <f>HYPERLINK("https://ceds.ed.gov/elementComment.aspx?elementName=Title III Language Instruction Program Type &amp;elementID=17437", "Click here to submit comment")</f>
        <v>Click here to submit comment</v>
      </c>
    </row>
    <row r="1878" spans="1:14" ht="127.5" x14ac:dyDescent="0.25">
      <c r="A1878" s="12" t="s">
        <v>8329</v>
      </c>
      <c r="B1878" s="12" t="s">
        <v>8330</v>
      </c>
      <c r="C1878" s="13" t="s">
        <v>8331</v>
      </c>
      <c r="D1878" s="12" t="s">
        <v>115</v>
      </c>
      <c r="E1878" s="11"/>
      <c r="F1878" s="11"/>
      <c r="G1878" s="11"/>
      <c r="H1878" s="11"/>
      <c r="I1878" s="12" t="s">
        <v>8332</v>
      </c>
      <c r="J1878" s="11"/>
      <c r="K1878" s="12" t="s">
        <v>8333</v>
      </c>
      <c r="L1878" s="12" t="s">
        <v>245</v>
      </c>
      <c r="M1878" s="12" t="str">
        <f>HYPERLINK("https://ceds.ed.gov/cedselementdetails.aspx?termid=17478")</f>
        <v>https://ceds.ed.gov/cedselementdetails.aspx?termid=17478</v>
      </c>
      <c r="N1878" s="12" t="str">
        <f>HYPERLINK("https://ceds.ed.gov/elementComment.aspx?elementName=Title III Professional Development Type &amp;elementID=17478", "Click here to submit comment")</f>
        <v>Click here to submit comment</v>
      </c>
    </row>
    <row r="1879" spans="1:14" ht="165.75" x14ac:dyDescent="0.25">
      <c r="A1879" s="12" t="s">
        <v>8334</v>
      </c>
      <c r="B1879" s="12" t="s">
        <v>8335</v>
      </c>
      <c r="C1879" s="12" t="s">
        <v>24</v>
      </c>
      <c r="D1879" s="12" t="s">
        <v>3641</v>
      </c>
      <c r="E1879" s="11"/>
      <c r="F1879" s="11"/>
      <c r="G1879" s="11"/>
      <c r="H1879" s="11"/>
      <c r="I1879" s="12" t="s">
        <v>8336</v>
      </c>
      <c r="J1879" s="11"/>
      <c r="K1879" s="12" t="s">
        <v>8337</v>
      </c>
      <c r="L1879" s="12" t="s">
        <v>225</v>
      </c>
      <c r="M1879" s="12" t="str">
        <f>HYPERLINK("https://ceds.ed.gov/cedselementdetails.aspx?termid=17292")</f>
        <v>https://ceds.ed.gov/cedselementdetails.aspx?termid=17292</v>
      </c>
      <c r="N1879" s="12" t="str">
        <f>HYPERLINK("https://ceds.ed.gov/elementComment.aspx?elementName=Title IV Participant and Recipient &amp;elementID=17292", "Click here to submit comment")</f>
        <v>Click here to submit comment</v>
      </c>
    </row>
    <row r="1880" spans="1:14" ht="63.75" x14ac:dyDescent="0.25">
      <c r="A1880" s="12" t="s">
        <v>8338</v>
      </c>
      <c r="B1880" s="12" t="s">
        <v>8339</v>
      </c>
      <c r="C1880" s="12" t="s">
        <v>37</v>
      </c>
      <c r="D1880" s="12" t="s">
        <v>3701</v>
      </c>
      <c r="E1880" s="11"/>
      <c r="F1880" s="12" t="s">
        <v>1710</v>
      </c>
      <c r="G1880" s="11"/>
      <c r="H1880" s="11"/>
      <c r="I1880" s="12" t="s">
        <v>8340</v>
      </c>
      <c r="J1880" s="11"/>
      <c r="K1880" s="12" t="s">
        <v>8341</v>
      </c>
      <c r="L1880" s="12" t="s">
        <v>238</v>
      </c>
      <c r="M1880" s="12" t="str">
        <f>HYPERLINK("https://ceds.ed.gov/cedselementdetails.aspx?termid=17787")</f>
        <v>https://ceds.ed.gov/cedselementdetails.aspx?termid=17787</v>
      </c>
      <c r="N1880" s="12" t="str">
        <f>HYPERLINK("https://ceds.ed.gov/elementComment.aspx?elementName=Total Approved Early Childhood Credits Earned &amp;elementID=17787", "Click here to submit comment")</f>
        <v>Click here to submit comment</v>
      </c>
    </row>
    <row r="1881" spans="1:14" ht="102" x14ac:dyDescent="0.25">
      <c r="A1881" s="12" t="s">
        <v>8342</v>
      </c>
      <c r="B1881" s="12" t="s">
        <v>8343</v>
      </c>
      <c r="C1881" s="12" t="s">
        <v>37</v>
      </c>
      <c r="D1881" s="12" t="s">
        <v>3901</v>
      </c>
      <c r="E1881" s="11"/>
      <c r="F1881" s="12" t="s">
        <v>874</v>
      </c>
      <c r="G1881" s="11"/>
      <c r="H1881" s="6" t="s">
        <v>7984</v>
      </c>
      <c r="I1881" s="12" t="s">
        <v>8344</v>
      </c>
      <c r="J1881" s="11"/>
      <c r="K1881" s="12" t="s">
        <v>8345</v>
      </c>
      <c r="L1881" s="11"/>
      <c r="M1881" s="12" t="str">
        <f>HYPERLINK("https://ceds.ed.gov/cedselementdetails.aspx?termid=18609")</f>
        <v>https://ceds.ed.gov/cedselementdetails.aspx?termid=18609</v>
      </c>
      <c r="N1881" s="12" t="str">
        <f>HYPERLINK("https://ceds.ed.gov/elementComment.aspx?elementName=Training and Technical Assistance Level &amp;elementID=18609", "Click here to submit comment")</f>
        <v>Click here to submit comment</v>
      </c>
    </row>
    <row r="1882" spans="1:14" ht="51" x14ac:dyDescent="0.25">
      <c r="A1882" s="12" t="s">
        <v>8346</v>
      </c>
      <c r="B1882" s="12" t="s">
        <v>8347</v>
      </c>
      <c r="C1882" s="12" t="s">
        <v>3430</v>
      </c>
      <c r="D1882" s="12" t="s">
        <v>4094</v>
      </c>
      <c r="E1882" s="11"/>
      <c r="F1882" s="11"/>
      <c r="G1882" s="11"/>
      <c r="H1882" s="11"/>
      <c r="I1882" s="12" t="s">
        <v>8348</v>
      </c>
      <c r="J1882" s="11"/>
      <c r="K1882" s="12" t="s">
        <v>8349</v>
      </c>
      <c r="L1882" s="12" t="s">
        <v>3530</v>
      </c>
      <c r="M1882" s="12" t="str">
        <f>HYPERLINK("https://ceds.ed.gov/cedselementdetails.aspx?termid=18610")</f>
        <v>https://ceds.ed.gov/cedselementdetails.aspx?termid=18610</v>
      </c>
      <c r="N1882" s="12" t="str">
        <f>HYPERLINK("https://ceds.ed.gov/elementComment.aspx?elementName=Transfer-out Indicator &amp;elementID=18610", "Click here to submit comment")</f>
        <v>Click here to submit comment</v>
      </c>
    </row>
    <row r="1883" spans="1:14" ht="51" x14ac:dyDescent="0.25">
      <c r="A1883" s="12" t="s">
        <v>8350</v>
      </c>
      <c r="B1883" s="12" t="s">
        <v>8351</v>
      </c>
      <c r="C1883" s="13" t="s">
        <v>8352</v>
      </c>
      <c r="D1883" s="12" t="s">
        <v>2402</v>
      </c>
      <c r="E1883" s="11"/>
      <c r="F1883" s="11"/>
      <c r="G1883" s="11"/>
      <c r="H1883" s="11"/>
      <c r="I1883" s="12" t="s">
        <v>8353</v>
      </c>
      <c r="J1883" s="11"/>
      <c r="K1883" s="12" t="s">
        <v>8354</v>
      </c>
      <c r="L1883" s="12" t="s">
        <v>225</v>
      </c>
      <c r="M1883" s="12" t="str">
        <f>HYPERLINK("https://ceds.ed.gov/cedselementdetails.aspx?termid=17296")</f>
        <v>https://ceds.ed.gov/cedselementdetails.aspx?termid=17296</v>
      </c>
      <c r="N1883" s="12" t="str">
        <f>HYPERLINK("https://ceds.ed.gov/elementComment.aspx?elementName=Transfer-ready &amp;elementID=17296", "Click here to submit comment")</f>
        <v>Click here to submit comment</v>
      </c>
    </row>
    <row r="1884" spans="1:14" ht="38.25" x14ac:dyDescent="0.25">
      <c r="A1884" s="12" t="s">
        <v>8355</v>
      </c>
      <c r="B1884" s="12" t="s">
        <v>8356</v>
      </c>
      <c r="C1884" s="12" t="s">
        <v>37</v>
      </c>
      <c r="D1884" s="12" t="s">
        <v>3437</v>
      </c>
      <c r="E1884" s="11"/>
      <c r="F1884" s="12" t="s">
        <v>135</v>
      </c>
      <c r="G1884" s="11"/>
      <c r="H1884" s="11"/>
      <c r="I1884" s="12" t="s">
        <v>8357</v>
      </c>
      <c r="J1884" s="11"/>
      <c r="K1884" s="12" t="s">
        <v>8358</v>
      </c>
      <c r="L1884" s="11"/>
      <c r="M1884" s="12" t="str">
        <f>HYPERLINK("https://ceds.ed.gov/cedselementdetails.aspx?termid=18333")</f>
        <v>https://ceds.ed.gov/cedselementdetails.aspx?termid=18333</v>
      </c>
      <c r="N1884" s="12" t="str">
        <f>HYPERLINK("https://ceds.ed.gov/elementComment.aspx?elementName=Transition Conference Date &amp;elementID=18333", "Click here to submit comment")</f>
        <v>Click here to submit comment</v>
      </c>
    </row>
    <row r="1885" spans="1:14" ht="51" x14ac:dyDescent="0.25">
      <c r="A1885" s="12" t="s">
        <v>8359</v>
      </c>
      <c r="B1885" s="12" t="s">
        <v>8360</v>
      </c>
      <c r="C1885" s="12" t="s">
        <v>37</v>
      </c>
      <c r="D1885" s="12" t="s">
        <v>3437</v>
      </c>
      <c r="E1885" s="11"/>
      <c r="F1885" s="12" t="s">
        <v>135</v>
      </c>
      <c r="G1885" s="11"/>
      <c r="H1885" s="11"/>
      <c r="I1885" s="12" t="s">
        <v>8361</v>
      </c>
      <c r="J1885" s="11"/>
      <c r="K1885" s="12" t="s">
        <v>8362</v>
      </c>
      <c r="L1885" s="11"/>
      <c r="M1885" s="12" t="str">
        <f>HYPERLINK("https://ceds.ed.gov/cedselementdetails.aspx?termid=18334")</f>
        <v>https://ceds.ed.gov/cedselementdetails.aspx?termid=18334</v>
      </c>
      <c r="N1885" s="12" t="str">
        <f>HYPERLINK("https://ceds.ed.gov/elementComment.aspx?elementName=Transition Conference Decline Date &amp;elementID=18334", "Click here to submit comment")</f>
        <v>Click here to submit comment</v>
      </c>
    </row>
    <row r="1886" spans="1:14" ht="409.5" x14ac:dyDescent="0.25">
      <c r="A1886" s="12" t="s">
        <v>8363</v>
      </c>
      <c r="B1886" s="12" t="s">
        <v>8364</v>
      </c>
      <c r="C1886" s="12" t="s">
        <v>8527</v>
      </c>
      <c r="D1886" s="12" t="s">
        <v>8365</v>
      </c>
      <c r="E1886" s="12" t="s">
        <v>195</v>
      </c>
      <c r="F1886" s="11"/>
      <c r="G1886" s="12" t="s">
        <v>8366</v>
      </c>
      <c r="H1886" s="11"/>
      <c r="I1886" s="12" t="s">
        <v>8367</v>
      </c>
      <c r="J1886" s="11"/>
      <c r="K1886" s="12" t="s">
        <v>8368</v>
      </c>
      <c r="L1886" s="11"/>
      <c r="M1886" s="12" t="str">
        <f>HYPERLINK("https://ceds.ed.gov/cedselementdetails.aspx?termid=18638")</f>
        <v>https://ceds.ed.gov/cedselementdetails.aspx?termid=18638</v>
      </c>
      <c r="N1886" s="12" t="str">
        <f>HYPERLINK("https://ceds.ed.gov/elementComment.aspx?elementName=Tribal Affiliation &amp;elementID=18638", "Click here to submit comment")</f>
        <v>Click here to submit comment</v>
      </c>
    </row>
    <row r="1887" spans="1:14" ht="76.5" x14ac:dyDescent="0.25">
      <c r="A1887" s="12" t="s">
        <v>8369</v>
      </c>
      <c r="B1887" s="12" t="s">
        <v>8370</v>
      </c>
      <c r="C1887" s="13" t="s">
        <v>8371</v>
      </c>
      <c r="D1887" s="12" t="s">
        <v>8372</v>
      </c>
      <c r="E1887" s="11"/>
      <c r="F1887" s="11"/>
      <c r="G1887" s="11"/>
      <c r="H1887" s="11"/>
      <c r="I1887" s="12" t="s">
        <v>8373</v>
      </c>
      <c r="J1887" s="11"/>
      <c r="K1887" s="12" t="s">
        <v>8374</v>
      </c>
      <c r="L1887" s="11"/>
      <c r="M1887" s="12" t="str">
        <f>HYPERLINK("https://ceds.ed.gov/cedselementdetails.aspx?termid=18611")</f>
        <v>https://ceds.ed.gov/cedselementdetails.aspx?termid=18611</v>
      </c>
      <c r="N1887" s="12" t="str">
        <f>HYPERLINK("https://ceds.ed.gov/elementComment.aspx?elementName=Trimester When Prenatal Care Began &amp;elementID=18611", "Click here to submit comment")</f>
        <v>Click here to submit comment</v>
      </c>
    </row>
    <row r="1888" spans="1:14" ht="135" x14ac:dyDescent="0.25">
      <c r="A1888" s="12" t="s">
        <v>8375</v>
      </c>
      <c r="B1888" s="12" t="s">
        <v>8376</v>
      </c>
      <c r="C1888" s="12" t="s">
        <v>24</v>
      </c>
      <c r="D1888" s="12" t="s">
        <v>3635</v>
      </c>
      <c r="E1888" s="11"/>
      <c r="F1888" s="11"/>
      <c r="G1888" s="11"/>
      <c r="H1888" s="6" t="s">
        <v>8377</v>
      </c>
      <c r="I1888" s="12" t="s">
        <v>8378</v>
      </c>
      <c r="J1888" s="11"/>
      <c r="K1888" s="12" t="s">
        <v>8379</v>
      </c>
      <c r="L1888" s="12" t="s">
        <v>258</v>
      </c>
      <c r="M1888" s="12" t="str">
        <f>HYPERLINK("https://ceds.ed.gov/cedselementdetails.aspx?termid=17561")</f>
        <v>https://ceds.ed.gov/cedselementdetails.aspx?termid=17561</v>
      </c>
      <c r="N1888" s="12" t="str">
        <f>HYPERLINK("https://ceds.ed.gov/elementComment.aspx?elementName=Truant Status &amp;elementID=17561", "Click here to submit comment")</f>
        <v>Click here to submit comment</v>
      </c>
    </row>
    <row r="1889" spans="1:14" ht="63.75" x14ac:dyDescent="0.25">
      <c r="A1889" s="12" t="s">
        <v>8380</v>
      </c>
      <c r="B1889" s="12" t="s">
        <v>8381</v>
      </c>
      <c r="C1889" s="12" t="s">
        <v>37</v>
      </c>
      <c r="D1889" s="12" t="s">
        <v>275</v>
      </c>
      <c r="E1889" s="11"/>
      <c r="F1889" s="12" t="s">
        <v>1710</v>
      </c>
      <c r="G1889" s="11"/>
      <c r="H1889" s="12" t="s">
        <v>8382</v>
      </c>
      <c r="I1889" s="12" t="s">
        <v>8383</v>
      </c>
      <c r="J1889" s="11"/>
      <c r="K1889" s="12" t="s">
        <v>8384</v>
      </c>
      <c r="L1889" s="12" t="s">
        <v>1769</v>
      </c>
      <c r="M1889" s="12" t="str">
        <f>HYPERLINK("https://ceds.ed.gov/cedselementdetails.aspx?termid=17723")</f>
        <v>https://ceds.ed.gov/cedselementdetails.aspx?termid=17723</v>
      </c>
      <c r="N1889" s="12" t="str">
        <f>HYPERLINK("https://ceds.ed.gov/elementComment.aspx?elementName=Tuition - Published &amp;elementID=17723", "Click here to submit comment")</f>
        <v>Click here to submit comment</v>
      </c>
    </row>
    <row r="1890" spans="1:14" ht="165.75" x14ac:dyDescent="0.25">
      <c r="A1890" s="12" t="s">
        <v>8385</v>
      </c>
      <c r="B1890" s="12" t="s">
        <v>8386</v>
      </c>
      <c r="C1890" s="12" t="s">
        <v>24</v>
      </c>
      <c r="D1890" s="12" t="s">
        <v>8387</v>
      </c>
      <c r="E1890" s="11"/>
      <c r="F1890" s="11"/>
      <c r="G1890" s="11"/>
      <c r="H1890" s="12" t="s">
        <v>8388</v>
      </c>
      <c r="I1890" s="12" t="s">
        <v>8389</v>
      </c>
      <c r="J1890" s="11"/>
      <c r="K1890" s="12" t="s">
        <v>8390</v>
      </c>
      <c r="L1890" s="11"/>
      <c r="M1890" s="12" t="str">
        <f>HYPERLINK("https://ceds.ed.gov/cedselementdetails.aspx?termid=18554")</f>
        <v>https://ceds.ed.gov/cedselementdetails.aspx?termid=18554</v>
      </c>
      <c r="N1890" s="12" t="str">
        <f>HYPERLINK("https://ceds.ed.gov/elementComment.aspx?elementName=Tuition Funded &amp;elementID=18554", "Click here to submit comment")</f>
        <v>Click here to submit comment</v>
      </c>
    </row>
    <row r="1891" spans="1:14" ht="76.5" x14ac:dyDescent="0.25">
      <c r="A1891" s="12" t="s">
        <v>8391</v>
      </c>
      <c r="B1891" s="12" t="s">
        <v>8392</v>
      </c>
      <c r="C1891" s="13" t="s">
        <v>8393</v>
      </c>
      <c r="D1891" s="12" t="s">
        <v>2126</v>
      </c>
      <c r="E1891" s="11"/>
      <c r="F1891" s="11"/>
      <c r="G1891" s="11"/>
      <c r="H1891" s="11"/>
      <c r="I1891" s="12" t="s">
        <v>8394</v>
      </c>
      <c r="J1891" s="11"/>
      <c r="K1891" s="12" t="s">
        <v>8395</v>
      </c>
      <c r="L1891" s="12" t="s">
        <v>278</v>
      </c>
      <c r="M1891" s="12" t="str">
        <f>HYPERLINK("https://ceds.ed.gov/cedselementdetails.aspx?termid=17297")</f>
        <v>https://ceds.ed.gov/cedselementdetails.aspx?termid=17297</v>
      </c>
      <c r="N1891" s="12" t="str">
        <f>HYPERLINK("https://ceds.ed.gov/elementComment.aspx?elementName=Tuition Residency Type &amp;elementID=17297", "Click here to submit comment")</f>
        <v>Click here to submit comment</v>
      </c>
    </row>
    <row r="1892" spans="1:14" ht="76.5" x14ac:dyDescent="0.25">
      <c r="A1892" s="12" t="s">
        <v>8396</v>
      </c>
      <c r="B1892" s="12" t="s">
        <v>8397</v>
      </c>
      <c r="C1892" s="13" t="s">
        <v>8398</v>
      </c>
      <c r="D1892" s="12" t="s">
        <v>275</v>
      </c>
      <c r="E1892" s="11"/>
      <c r="F1892" s="11"/>
      <c r="G1892" s="11"/>
      <c r="H1892" s="12" t="s">
        <v>432</v>
      </c>
      <c r="I1892" s="12" t="s">
        <v>8399</v>
      </c>
      <c r="J1892" s="11"/>
      <c r="K1892" s="12" t="s">
        <v>8400</v>
      </c>
      <c r="L1892" s="12" t="s">
        <v>1769</v>
      </c>
      <c r="M1892" s="12" t="str">
        <f>HYPERLINK("https://ceds.ed.gov/cedselementdetails.aspx?termid=17725")</f>
        <v>https://ceds.ed.gov/cedselementdetails.aspx?termid=17725</v>
      </c>
      <c r="N1892" s="12" t="str">
        <f>HYPERLINK("https://ceds.ed.gov/elementComment.aspx?elementName=Tuition Unit &amp;elementID=17725", "Click here to submit comment")</f>
        <v>Click here to submit comment</v>
      </c>
    </row>
    <row r="1893" spans="1:14" ht="153" x14ac:dyDescent="0.25">
      <c r="A1893" s="12" t="s">
        <v>8401</v>
      </c>
      <c r="B1893" s="12" t="s">
        <v>8402</v>
      </c>
      <c r="C1893" s="13" t="s">
        <v>8403</v>
      </c>
      <c r="D1893" s="12" t="s">
        <v>8404</v>
      </c>
      <c r="E1893" s="11"/>
      <c r="F1893" s="11"/>
      <c r="G1893" s="11"/>
      <c r="H1893" s="11"/>
      <c r="I1893" s="12" t="s">
        <v>8405</v>
      </c>
      <c r="J1893" s="12" t="s">
        <v>8406</v>
      </c>
      <c r="K1893" s="12" t="s">
        <v>8407</v>
      </c>
      <c r="L1893" s="12" t="s">
        <v>245</v>
      </c>
      <c r="M1893" s="12" t="str">
        <f>HYPERLINK("https://ceds.ed.gov/cedselementdetails.aspx?termid=17477")</f>
        <v>https://ceds.ed.gov/cedselementdetails.aspx?termid=17477</v>
      </c>
      <c r="N1893" s="12" t="str">
        <f>HYPERLINK("https://ceds.ed.gov/elementComment.aspx?elementName=Type of Use of the Rural Low-Income Schools Program &amp;elementID=17477", "Click here to submit comment")</f>
        <v>Click here to submit comment</v>
      </c>
    </row>
    <row r="1894" spans="1:14" ht="25.5" x14ac:dyDescent="0.25">
      <c r="A1894" s="12" t="s">
        <v>8408</v>
      </c>
      <c r="B1894" s="12" t="s">
        <v>8409</v>
      </c>
      <c r="C1894" s="12" t="s">
        <v>37</v>
      </c>
      <c r="D1894" s="12" t="s">
        <v>3759</v>
      </c>
      <c r="E1894" s="11"/>
      <c r="F1894" s="12" t="s">
        <v>382</v>
      </c>
      <c r="G1894" s="11"/>
      <c r="H1894" s="11"/>
      <c r="I1894" s="12" t="s">
        <v>8410</v>
      </c>
      <c r="J1894" s="11"/>
      <c r="K1894" s="12" t="s">
        <v>8411</v>
      </c>
      <c r="L1894" s="11"/>
      <c r="M1894" s="12" t="str">
        <f>HYPERLINK("https://ceds.ed.gov/cedselementdetails.aspx?termid=18469")</f>
        <v>https://ceds.ed.gov/cedselementdetails.aspx?termid=18469</v>
      </c>
      <c r="N1894" s="12" t="str">
        <f>HYPERLINK("https://ceds.ed.gov/elementComment.aspx?elementName=Union Membership Name &amp;elementID=18469", "Click here to submit comment")</f>
        <v>Click here to submit comment</v>
      </c>
    </row>
    <row r="1895" spans="1:14" ht="38.25" x14ac:dyDescent="0.25">
      <c r="A1895" s="12" t="s">
        <v>8412</v>
      </c>
      <c r="B1895" s="12" t="s">
        <v>8413</v>
      </c>
      <c r="C1895" s="12" t="s">
        <v>24</v>
      </c>
      <c r="D1895" s="12" t="s">
        <v>3759</v>
      </c>
      <c r="E1895" s="11"/>
      <c r="F1895" s="11"/>
      <c r="G1895" s="11"/>
      <c r="H1895" s="11"/>
      <c r="I1895" s="12" t="s">
        <v>8414</v>
      </c>
      <c r="J1895" s="11"/>
      <c r="K1895" s="12" t="s">
        <v>8415</v>
      </c>
      <c r="L1895" s="12" t="s">
        <v>238</v>
      </c>
      <c r="M1895" s="12" t="str">
        <f>HYPERLINK("https://ceds.ed.gov/cedselementdetails.aspx?termid=17798")</f>
        <v>https://ceds.ed.gov/cedselementdetails.aspx?termid=17798</v>
      </c>
      <c r="N1895" s="12" t="str">
        <f>HYPERLINK("https://ceds.ed.gov/elementComment.aspx?elementName=Union Membership Status &amp;elementID=17798", "Click here to submit comment")</f>
        <v>Click here to submit comment</v>
      </c>
    </row>
    <row r="1896" spans="1:14" ht="76.5" x14ac:dyDescent="0.25">
      <c r="A1896" s="12" t="s">
        <v>8416</v>
      </c>
      <c r="B1896" s="12" t="s">
        <v>8417</v>
      </c>
      <c r="C1896" s="13" t="s">
        <v>8418</v>
      </c>
      <c r="D1896" s="12" t="s">
        <v>8419</v>
      </c>
      <c r="E1896" s="11"/>
      <c r="F1896" s="11"/>
      <c r="G1896" s="11"/>
      <c r="H1896" s="12" t="s">
        <v>7759</v>
      </c>
      <c r="I1896" s="12" t="s">
        <v>8420</v>
      </c>
      <c r="J1896" s="11"/>
      <c r="K1896" s="12" t="s">
        <v>8421</v>
      </c>
      <c r="L1896" s="12" t="s">
        <v>8422</v>
      </c>
      <c r="M1896" s="12" t="str">
        <f>HYPERLINK("https://ceds.ed.gov/cedselementdetails.aspx?termid=17299")</f>
        <v>https://ceds.ed.gov/cedselementdetails.aspx?termid=17299</v>
      </c>
      <c r="N1896" s="12" t="str">
        <f>HYPERLINK("https://ceds.ed.gov/elementComment.aspx?elementName=United States Citizenship Status &amp;elementID=17299", "Click here to submit comment")</f>
        <v>Click here to submit comment</v>
      </c>
    </row>
    <row r="1897" spans="1:14" ht="114.75" x14ac:dyDescent="0.25">
      <c r="A1897" s="12" t="s">
        <v>8423</v>
      </c>
      <c r="B1897" s="12" t="s">
        <v>8424</v>
      </c>
      <c r="C1897" s="12" t="s">
        <v>24</v>
      </c>
      <c r="D1897" s="12" t="s">
        <v>8425</v>
      </c>
      <c r="E1897" s="11"/>
      <c r="F1897" s="11"/>
      <c r="G1897" s="11"/>
      <c r="H1897" s="11"/>
      <c r="I1897" s="12" t="s">
        <v>8426</v>
      </c>
      <c r="J1897" s="11"/>
      <c r="K1897" s="12" t="s">
        <v>8427</v>
      </c>
      <c r="L1897" s="11"/>
      <c r="M1897" s="12" t="str">
        <f>HYPERLINK("https://ceds.ed.gov/cedselementdetails.aspx?termid=18167")</f>
        <v>https://ceds.ed.gov/cedselementdetails.aspx?termid=18167</v>
      </c>
      <c r="N1897" s="12" t="str">
        <f>HYPERLINK("https://ceds.ed.gov/elementComment.aspx?elementName=Virtual Indicator &amp;elementID=18167", "Click here to submit comment")</f>
        <v>Click here to submit comment</v>
      </c>
    </row>
    <row r="1898" spans="1:14" ht="76.5" x14ac:dyDescent="0.25">
      <c r="A1898" s="12" t="s">
        <v>8428</v>
      </c>
      <c r="B1898" s="12" t="s">
        <v>8429</v>
      </c>
      <c r="C1898" s="13" t="s">
        <v>8430</v>
      </c>
      <c r="D1898" s="12" t="s">
        <v>262</v>
      </c>
      <c r="E1898" s="11"/>
      <c r="F1898" s="11"/>
      <c r="G1898" s="11"/>
      <c r="H1898" s="11"/>
      <c r="I1898" s="12" t="s">
        <v>8431</v>
      </c>
      <c r="J1898" s="11"/>
      <c r="K1898" s="12" t="s">
        <v>8432</v>
      </c>
      <c r="L1898" s="11"/>
      <c r="M1898" s="12" t="str">
        <f>HYPERLINK("https://ceds.ed.gov/cedselementdetails.aspx?termid=18747")</f>
        <v>https://ceds.ed.gov/cedselementdetails.aspx?termid=18747</v>
      </c>
      <c r="N1898" s="12" t="str">
        <f>HYPERLINK("https://ceds.ed.gov/elementComment.aspx?elementName=Virtual School Status &amp;elementID=18747", "Click here to submit comment")</f>
        <v>Click here to submit comment</v>
      </c>
    </row>
    <row r="1899" spans="1:14" ht="114.75" x14ac:dyDescent="0.25">
      <c r="A1899" s="12" t="s">
        <v>8433</v>
      </c>
      <c r="B1899" s="12" t="s">
        <v>8434</v>
      </c>
      <c r="C1899" s="13" t="s">
        <v>8435</v>
      </c>
      <c r="D1899" s="12" t="s">
        <v>2126</v>
      </c>
      <c r="E1899" s="11"/>
      <c r="F1899" s="11"/>
      <c r="G1899" s="11"/>
      <c r="H1899" s="11"/>
      <c r="I1899" s="12" t="s">
        <v>8436</v>
      </c>
      <c r="J1899" s="11"/>
      <c r="K1899" s="12" t="s">
        <v>8437</v>
      </c>
      <c r="L1899" s="12" t="s">
        <v>278</v>
      </c>
      <c r="M1899" s="12" t="str">
        <f>HYPERLINK("https://ceds.ed.gov/cedselementdetails.aspx?termid=17196")</f>
        <v>https://ceds.ed.gov/cedselementdetails.aspx?termid=17196</v>
      </c>
      <c r="N1899" s="12" t="str">
        <f>HYPERLINK("https://ceds.ed.gov/elementComment.aspx?elementName=Visa Type &amp;elementID=17196", "Click here to submit comment")</f>
        <v>Click here to submit comment</v>
      </c>
    </row>
    <row r="1900" spans="1:14" ht="38.25" x14ac:dyDescent="0.25">
      <c r="A1900" s="12" t="s">
        <v>8438</v>
      </c>
      <c r="B1900" s="12" t="s">
        <v>8439</v>
      </c>
      <c r="C1900" s="12" t="s">
        <v>37</v>
      </c>
      <c r="D1900" s="12" t="s">
        <v>8440</v>
      </c>
      <c r="E1900" s="11"/>
      <c r="F1900" s="12" t="s">
        <v>135</v>
      </c>
      <c r="G1900" s="11"/>
      <c r="H1900" s="11"/>
      <c r="I1900" s="12" t="s">
        <v>8441</v>
      </c>
      <c r="J1900" s="11"/>
      <c r="K1900" s="12" t="s">
        <v>8442</v>
      </c>
      <c r="L1900" s="11"/>
      <c r="M1900" s="12" t="str">
        <f>HYPERLINK("https://ceds.ed.gov/cedselementdetails.aspx?termid=17680")</f>
        <v>https://ceds.ed.gov/cedselementdetails.aspx?termid=17680</v>
      </c>
      <c r="N1900" s="12" t="str">
        <f>HYPERLINK("https://ceds.ed.gov/elementComment.aspx?elementName=Vision Screening Date &amp;elementID=17680", "Click here to submit comment")</f>
        <v>Click here to submit comment</v>
      </c>
    </row>
    <row r="1901" spans="1:14" ht="51" x14ac:dyDescent="0.25">
      <c r="A1901" s="12" t="s">
        <v>8443</v>
      </c>
      <c r="B1901" s="12" t="s">
        <v>8444</v>
      </c>
      <c r="C1901" s="13" t="s">
        <v>4945</v>
      </c>
      <c r="D1901" s="12" t="s">
        <v>8440</v>
      </c>
      <c r="E1901" s="11"/>
      <c r="F1901" s="11"/>
      <c r="G1901" s="11"/>
      <c r="H1901" s="11"/>
      <c r="I1901" s="12" t="s">
        <v>8445</v>
      </c>
      <c r="J1901" s="11"/>
      <c r="K1901" s="12" t="s">
        <v>8446</v>
      </c>
      <c r="L1901" s="12" t="s">
        <v>2291</v>
      </c>
      <c r="M1901" s="12" t="str">
        <f>HYPERLINK("https://ceds.ed.gov/cedselementdetails.aspx?termid=17308")</f>
        <v>https://ceds.ed.gov/cedselementdetails.aspx?termid=17308</v>
      </c>
      <c r="N1901" s="12" t="str">
        <f>HYPERLINK("https://ceds.ed.gov/elementComment.aspx?elementName=Vision Screening Status &amp;elementID=17308", "Click here to submit comment")</f>
        <v>Click here to submit comment</v>
      </c>
    </row>
    <row r="1902" spans="1:14" ht="89.25" x14ac:dyDescent="0.25">
      <c r="A1902" s="12" t="s">
        <v>8447</v>
      </c>
      <c r="B1902" s="12" t="s">
        <v>8448</v>
      </c>
      <c r="C1902" s="13" t="s">
        <v>8449</v>
      </c>
      <c r="D1902" s="12" t="s">
        <v>3759</v>
      </c>
      <c r="E1902" s="11"/>
      <c r="F1902" s="11"/>
      <c r="G1902" s="11"/>
      <c r="H1902" s="11"/>
      <c r="I1902" s="12" t="s">
        <v>8450</v>
      </c>
      <c r="J1902" s="11"/>
      <c r="K1902" s="12" t="s">
        <v>8451</v>
      </c>
      <c r="L1902" s="12" t="s">
        <v>238</v>
      </c>
      <c r="M1902" s="12" t="str">
        <f>HYPERLINK("https://ceds.ed.gov/cedselementdetails.aspx?termid=17797")</f>
        <v>https://ceds.ed.gov/cedselementdetails.aspx?termid=17797</v>
      </c>
      <c r="N1902" s="12" t="str">
        <f>HYPERLINK("https://ceds.ed.gov/elementComment.aspx?elementName=Wage Collection Code &amp;elementID=17797", "Click here to submit comment")</f>
        <v>Click here to submit comment</v>
      </c>
    </row>
    <row r="1903" spans="1:14" ht="51" x14ac:dyDescent="0.25">
      <c r="A1903" s="12" t="s">
        <v>8452</v>
      </c>
      <c r="B1903" s="12" t="s">
        <v>8453</v>
      </c>
      <c r="C1903" s="13" t="s">
        <v>8454</v>
      </c>
      <c r="D1903" s="12" t="s">
        <v>3759</v>
      </c>
      <c r="E1903" s="11"/>
      <c r="F1903" s="11"/>
      <c r="G1903" s="11"/>
      <c r="H1903" s="11"/>
      <c r="I1903" s="12" t="s">
        <v>8455</v>
      </c>
      <c r="J1903" s="11"/>
      <c r="K1903" s="12" t="s">
        <v>8456</v>
      </c>
      <c r="L1903" s="12" t="s">
        <v>238</v>
      </c>
      <c r="M1903" s="12" t="str">
        <f>HYPERLINK("https://ceds.ed.gov/cedselementdetails.aspx?termid=17818")</f>
        <v>https://ceds.ed.gov/cedselementdetails.aspx?termid=17818</v>
      </c>
      <c r="N1903" s="12" t="str">
        <f>HYPERLINK("https://ceds.ed.gov/elementComment.aspx?elementName=Wage Verification Code &amp;elementID=17818", "Click here to submit comment")</f>
        <v>Click here to submit comment</v>
      </c>
    </row>
    <row r="1904" spans="1:14" ht="51" x14ac:dyDescent="0.25">
      <c r="A1904" s="12" t="s">
        <v>8457</v>
      </c>
      <c r="B1904" s="12" t="s">
        <v>8458</v>
      </c>
      <c r="C1904" s="12" t="s">
        <v>24</v>
      </c>
      <c r="D1904" s="12" t="s">
        <v>287</v>
      </c>
      <c r="E1904" s="11"/>
      <c r="F1904" s="11"/>
      <c r="G1904" s="11"/>
      <c r="H1904" s="12" t="s">
        <v>4639</v>
      </c>
      <c r="I1904" s="12" t="s">
        <v>8459</v>
      </c>
      <c r="J1904" s="11"/>
      <c r="K1904" s="12" t="s">
        <v>8460</v>
      </c>
      <c r="L1904" s="12" t="s">
        <v>291</v>
      </c>
      <c r="M1904" s="12" t="str">
        <f>HYPERLINK("https://ceds.ed.gov/cedselementdetails.aspx?termid=17738")</f>
        <v>https://ceds.ed.gov/cedselementdetails.aspx?termid=17738</v>
      </c>
      <c r="N1904" s="12" t="str">
        <f>HYPERLINK("https://ceds.ed.gov/elementComment.aspx?elementName=Wait Listed Student &amp;elementID=17738", "Click here to submit comment")</f>
        <v>Click here to submit comment</v>
      </c>
    </row>
    <row r="1905" spans="1:14" ht="242.25" x14ac:dyDescent="0.25">
      <c r="A1905" s="12" t="s">
        <v>8461</v>
      </c>
      <c r="B1905" s="12" t="s">
        <v>8462</v>
      </c>
      <c r="C1905" s="13" t="s">
        <v>8463</v>
      </c>
      <c r="D1905" s="12" t="s">
        <v>4651</v>
      </c>
      <c r="E1905" s="11"/>
      <c r="F1905" s="11"/>
      <c r="G1905" s="11"/>
      <c r="H1905" s="12" t="s">
        <v>8464</v>
      </c>
      <c r="I1905" s="12" t="s">
        <v>8465</v>
      </c>
      <c r="J1905" s="11"/>
      <c r="K1905" s="12" t="s">
        <v>8466</v>
      </c>
      <c r="L1905" s="11"/>
      <c r="M1905" s="12" t="str">
        <f>HYPERLINK("https://ceds.ed.gov/cedselementdetails.aspx?termid=18178")</f>
        <v>https://ceds.ed.gov/cedselementdetails.aspx?termid=18178</v>
      </c>
      <c r="N1905" s="12" t="str">
        <f>HYPERLINK("https://ceds.ed.gov/elementComment.aspx?elementName=Weapon Type &amp;elementID=18178", "Click here to submit comment")</f>
        <v>Click here to submit comment</v>
      </c>
    </row>
    <row r="1906" spans="1:14" ht="165.75" x14ac:dyDescent="0.25">
      <c r="A1906" s="12" t="s">
        <v>8467</v>
      </c>
      <c r="B1906" s="12" t="s">
        <v>8468</v>
      </c>
      <c r="C1906" s="12" t="s">
        <v>37</v>
      </c>
      <c r="D1906" s="12" t="s">
        <v>8469</v>
      </c>
      <c r="E1906" s="11"/>
      <c r="F1906" s="12" t="s">
        <v>129</v>
      </c>
      <c r="G1906" s="11"/>
      <c r="H1906" s="11"/>
      <c r="I1906" s="12" t="s">
        <v>8470</v>
      </c>
      <c r="J1906" s="11"/>
      <c r="K1906" s="12" t="s">
        <v>8471</v>
      </c>
      <c r="L1906" s="12" t="s">
        <v>258</v>
      </c>
      <c r="M1906" s="12" t="str">
        <f>HYPERLINK("https://ceds.ed.gov/cedselementdetails.aspx?termid=17300")</f>
        <v>https://ceds.ed.gov/cedselementdetails.aspx?termid=17300</v>
      </c>
      <c r="N1906" s="12" t="str">
        <f>HYPERLINK("https://ceds.ed.gov/elementComment.aspx?elementName=Web Site Address &amp;elementID=17300", "Click here to submit comment")</f>
        <v>Click here to submit comment</v>
      </c>
    </row>
    <row r="1907" spans="1:14" ht="25.5" x14ac:dyDescent="0.25">
      <c r="A1907" s="12" t="s">
        <v>8472</v>
      </c>
      <c r="B1907" s="12" t="s">
        <v>8473</v>
      </c>
      <c r="C1907" s="12" t="s">
        <v>37</v>
      </c>
      <c r="D1907" s="12" t="s">
        <v>3759</v>
      </c>
      <c r="E1907" s="11"/>
      <c r="F1907" s="12" t="s">
        <v>1922</v>
      </c>
      <c r="G1907" s="11"/>
      <c r="H1907" s="11"/>
      <c r="I1907" s="12" t="s">
        <v>8474</v>
      </c>
      <c r="J1907" s="11"/>
      <c r="K1907" s="12" t="s">
        <v>8475</v>
      </c>
      <c r="L1907" s="11"/>
      <c r="M1907" s="12" t="str">
        <f>HYPERLINK("https://ceds.ed.gov/cedselementdetails.aspx?termid=18470")</f>
        <v>https://ceds.ed.gov/cedselementdetails.aspx?termid=18470</v>
      </c>
      <c r="N1907" s="12" t="str">
        <f>HYPERLINK("https://ceds.ed.gov/elementComment.aspx?elementName=Weeks Employed Per Year &amp;elementID=18470", "Click here to submit comment")</f>
        <v>Click here to submit comment</v>
      </c>
    </row>
    <row r="1908" spans="1:14" ht="25.5" x14ac:dyDescent="0.25">
      <c r="A1908" s="12" t="s">
        <v>8476</v>
      </c>
      <c r="B1908" s="12" t="s">
        <v>8477</v>
      </c>
      <c r="C1908" s="12" t="s">
        <v>37</v>
      </c>
      <c r="D1908" s="12" t="s">
        <v>8372</v>
      </c>
      <c r="E1908" s="11"/>
      <c r="F1908" s="12" t="s">
        <v>370</v>
      </c>
      <c r="G1908" s="11"/>
      <c r="H1908" s="11"/>
      <c r="I1908" s="12" t="s">
        <v>8478</v>
      </c>
      <c r="J1908" s="11"/>
      <c r="K1908" s="12" t="s">
        <v>8479</v>
      </c>
      <c r="L1908" s="12" t="s">
        <v>2291</v>
      </c>
      <c r="M1908" s="12" t="str">
        <f>HYPERLINK("https://ceds.ed.gov/cedselementdetails.aspx?termid=17313")</f>
        <v>https://ceds.ed.gov/cedselementdetails.aspx?termid=17313</v>
      </c>
      <c r="N1908" s="12" t="str">
        <f>HYPERLINK("https://ceds.ed.gov/elementComment.aspx?elementName=Weeks of Gestation &amp;elementID=17313", "Click here to submit comment")</f>
        <v>Click here to submit comment</v>
      </c>
    </row>
    <row r="1909" spans="1:14" ht="25.5" x14ac:dyDescent="0.25">
      <c r="A1909" s="12" t="s">
        <v>8480</v>
      </c>
      <c r="B1909" s="12" t="s">
        <v>8481</v>
      </c>
      <c r="C1909" s="12" t="s">
        <v>37</v>
      </c>
      <c r="D1909" s="12" t="s">
        <v>8372</v>
      </c>
      <c r="E1909" s="11"/>
      <c r="F1909" s="12" t="s">
        <v>382</v>
      </c>
      <c r="G1909" s="11"/>
      <c r="H1909" s="11"/>
      <c r="I1909" s="12" t="s">
        <v>8482</v>
      </c>
      <c r="J1909" s="11"/>
      <c r="K1909" s="12" t="s">
        <v>8483</v>
      </c>
      <c r="L1909" s="12" t="s">
        <v>2291</v>
      </c>
      <c r="M1909" s="12" t="str">
        <f>HYPERLINK("https://ceds.ed.gov/cedselementdetails.aspx?termid=17312")</f>
        <v>https://ceds.ed.gov/cedselementdetails.aspx?termid=17312</v>
      </c>
      <c r="N1909" s="12" t="str">
        <f>HYPERLINK("https://ceds.ed.gov/elementComment.aspx?elementName=Weight at Birth &amp;elementID=17312", "Click here to submit comment")</f>
        <v>Click here to submit comment</v>
      </c>
    </row>
    <row r="1910" spans="1:14" ht="25.5" x14ac:dyDescent="0.25">
      <c r="A1910" s="12" t="s">
        <v>8484</v>
      </c>
      <c r="B1910" s="12" t="s">
        <v>8485</v>
      </c>
      <c r="C1910" s="12" t="s">
        <v>37</v>
      </c>
      <c r="D1910" s="12" t="s">
        <v>7542</v>
      </c>
      <c r="E1910" s="11"/>
      <c r="F1910" s="12" t="s">
        <v>135</v>
      </c>
      <c r="G1910" s="11"/>
      <c r="H1910" s="11"/>
      <c r="I1910" s="12" t="s">
        <v>8486</v>
      </c>
      <c r="J1910" s="11"/>
      <c r="K1910" s="12" t="s">
        <v>8487</v>
      </c>
      <c r="L1910" s="11"/>
      <c r="M1910" s="12" t="str">
        <f>HYPERLINK("https://ceds.ed.gov/cedselementdetails.aspx?termid=18612")</f>
        <v>https://ceds.ed.gov/cedselementdetails.aspx?termid=18612</v>
      </c>
      <c r="N1910" s="12" t="str">
        <f>HYPERLINK("https://ceds.ed.gov/elementComment.aspx?elementName=Well Child Screening Received Date &amp;elementID=18612", "Click here to submit comment")</f>
        <v>Click here to submit comment</v>
      </c>
    </row>
    <row r="1911" spans="1:14" ht="145.5" customHeight="1" x14ac:dyDescent="0.25">
      <c r="A1911" s="15" t="s">
        <v>8488</v>
      </c>
      <c r="B1911" s="15" t="s">
        <v>8489</v>
      </c>
      <c r="C1911" s="17" t="s">
        <v>420</v>
      </c>
      <c r="D1911" s="15" t="s">
        <v>421</v>
      </c>
      <c r="E1911" s="16"/>
      <c r="F1911" s="16"/>
      <c r="G1911" s="16"/>
      <c r="H1911" s="12" t="s">
        <v>422</v>
      </c>
      <c r="I1911" s="15" t="s">
        <v>8490</v>
      </c>
      <c r="J1911" s="15" t="s">
        <v>8491</v>
      </c>
      <c r="K1911" s="15" t="s">
        <v>8488</v>
      </c>
      <c r="L1911" s="15" t="s">
        <v>426</v>
      </c>
      <c r="M1911" s="15" t="str">
        <f>HYPERLINK("https://ceds.ed.gov/cedselementdetails.aspx?termid=17659")</f>
        <v>https://ceds.ed.gov/cedselementdetails.aspx?termid=17659</v>
      </c>
      <c r="N1911" s="15" t="str">
        <f>HYPERLINK("https://ceds.ed.gov/elementComment.aspx?elementName=White &amp;elementID=17659", "Click here to submit comment")</f>
        <v>Click here to submit comment</v>
      </c>
    </row>
    <row r="1912" spans="1:14" x14ac:dyDescent="0.25">
      <c r="A1912" s="15"/>
      <c r="B1912" s="15"/>
      <c r="C1912" s="15"/>
      <c r="D1912" s="15"/>
      <c r="E1912" s="16"/>
      <c r="F1912" s="16"/>
      <c r="G1912" s="16"/>
      <c r="H1912" s="11"/>
      <c r="I1912" s="15"/>
      <c r="J1912" s="15"/>
      <c r="K1912" s="15"/>
      <c r="L1912" s="15"/>
      <c r="M1912" s="15"/>
      <c r="N1912" s="15"/>
    </row>
    <row r="1913" spans="1:14" x14ac:dyDescent="0.25">
      <c r="A1913" s="15"/>
      <c r="B1913" s="15"/>
      <c r="C1913" s="15"/>
      <c r="D1913" s="15"/>
      <c r="E1913" s="16"/>
      <c r="F1913" s="16"/>
      <c r="G1913" s="16"/>
      <c r="H1913" s="12" t="s">
        <v>427</v>
      </c>
      <c r="I1913" s="15"/>
      <c r="J1913" s="15"/>
      <c r="K1913" s="15"/>
      <c r="L1913" s="15"/>
      <c r="M1913" s="15"/>
      <c r="N1913" s="15"/>
    </row>
    <row r="1914" spans="1:14" ht="25.5" x14ac:dyDescent="0.25">
      <c r="A1914" s="15"/>
      <c r="B1914" s="15"/>
      <c r="C1914" s="15"/>
      <c r="D1914" s="15"/>
      <c r="E1914" s="16"/>
      <c r="F1914" s="16"/>
      <c r="G1914" s="16"/>
      <c r="H1914" s="12" t="s">
        <v>428</v>
      </c>
      <c r="I1914" s="15"/>
      <c r="J1914" s="15"/>
      <c r="K1914" s="15"/>
      <c r="L1914" s="15"/>
      <c r="M1914" s="15"/>
      <c r="N1914" s="15"/>
    </row>
    <row r="1915" spans="1:14" x14ac:dyDescent="0.25">
      <c r="A1915" s="15"/>
      <c r="B1915" s="15"/>
      <c r="C1915" s="15"/>
      <c r="D1915" s="15"/>
      <c r="E1915" s="16"/>
      <c r="F1915" s="16"/>
      <c r="G1915" s="16"/>
      <c r="H1915" s="12" t="s">
        <v>429</v>
      </c>
      <c r="I1915" s="15"/>
      <c r="J1915" s="15"/>
      <c r="K1915" s="15"/>
      <c r="L1915" s="15"/>
      <c r="M1915" s="15"/>
      <c r="N1915" s="15"/>
    </row>
    <row r="1916" spans="1:14" ht="191.25" x14ac:dyDescent="0.25">
      <c r="A1916" s="12" t="s">
        <v>8492</v>
      </c>
      <c r="B1916" s="12" t="s">
        <v>8493</v>
      </c>
      <c r="C1916" s="13" t="s">
        <v>8494</v>
      </c>
      <c r="D1916" s="12" t="s">
        <v>8495</v>
      </c>
      <c r="E1916" s="11"/>
      <c r="F1916" s="11"/>
      <c r="G1916" s="11"/>
      <c r="H1916" s="11"/>
      <c r="I1916" s="12" t="s">
        <v>8496</v>
      </c>
      <c r="J1916" s="11"/>
      <c r="K1916" s="12" t="s">
        <v>8497</v>
      </c>
      <c r="L1916" s="11"/>
      <c r="M1916" s="12" t="str">
        <f>HYPERLINK("https://ceds.ed.gov/cedselementdetails.aspx?termid=18471")</f>
        <v>https://ceds.ed.gov/cedselementdetails.aspx?termid=18471</v>
      </c>
      <c r="N1916" s="12" t="str">
        <f>HYPERLINK("https://ceds.ed.gov/elementComment.aspx?elementName=Work-based Learning Opportunity Type &amp;elementID=18471", "Click here to submit comment")</f>
        <v>Click here to submit comment</v>
      </c>
    </row>
    <row r="1917" spans="1:14" ht="140.25" x14ac:dyDescent="0.25">
      <c r="A1917" s="12" t="s">
        <v>8498</v>
      </c>
      <c r="B1917" s="12" t="s">
        <v>8499</v>
      </c>
      <c r="C1917" s="12" t="s">
        <v>37</v>
      </c>
      <c r="D1917" s="12" t="s">
        <v>8500</v>
      </c>
      <c r="E1917" s="11"/>
      <c r="F1917" s="12" t="s">
        <v>135</v>
      </c>
      <c r="G1917" s="11"/>
      <c r="H1917" s="12" t="s">
        <v>8501</v>
      </c>
      <c r="I1917" s="12" t="s">
        <v>8502</v>
      </c>
      <c r="J1917" s="11"/>
      <c r="K1917" s="12" t="s">
        <v>8503</v>
      </c>
      <c r="L1917" s="11"/>
      <c r="M1917" s="12" t="str">
        <f>HYPERLINK("https://ceds.ed.gov/cedselementdetails.aspx?termid=18002")</f>
        <v>https://ceds.ed.gov/cedselementdetails.aspx?termid=18002</v>
      </c>
      <c r="N1917" s="12" t="str">
        <f>HYPERLINK("https://ceds.ed.gov/elementComment.aspx?elementName=Workforce Program Participation End Date &amp;elementID=18002", "Click here to submit comment")</f>
        <v>Click here to submit comment</v>
      </c>
    </row>
    <row r="1918" spans="1:14" ht="140.25" x14ac:dyDescent="0.25">
      <c r="A1918" s="12" t="s">
        <v>8504</v>
      </c>
      <c r="B1918" s="12" t="s">
        <v>8505</v>
      </c>
      <c r="C1918" s="12" t="s">
        <v>37</v>
      </c>
      <c r="D1918" s="12" t="s">
        <v>8500</v>
      </c>
      <c r="E1918" s="11"/>
      <c r="F1918" s="12" t="s">
        <v>135</v>
      </c>
      <c r="G1918" s="11"/>
      <c r="H1918" s="12" t="s">
        <v>8501</v>
      </c>
      <c r="I1918" s="12" t="s">
        <v>8506</v>
      </c>
      <c r="J1918" s="11"/>
      <c r="K1918" s="12" t="s">
        <v>8507</v>
      </c>
      <c r="L1918" s="11"/>
      <c r="M1918" s="12" t="str">
        <f>HYPERLINK("https://ceds.ed.gov/cedselementdetails.aspx?termid=18001")</f>
        <v>https://ceds.ed.gov/cedselementdetails.aspx?termid=18001</v>
      </c>
      <c r="N1918" s="12" t="str">
        <f>HYPERLINK("https://ceds.ed.gov/elementComment.aspx?elementName=Workforce Program Participation Start Date &amp;elementID=18001", "Click here to submit comment")</f>
        <v>Click here to submit comment</v>
      </c>
    </row>
    <row r="1919" spans="1:14" ht="344.25" x14ac:dyDescent="0.25">
      <c r="A1919" s="12" t="s">
        <v>8508</v>
      </c>
      <c r="B1919" s="12" t="s">
        <v>8509</v>
      </c>
      <c r="C1919" s="13" t="s">
        <v>8510</v>
      </c>
      <c r="D1919" s="12" t="s">
        <v>8500</v>
      </c>
      <c r="E1919" s="11"/>
      <c r="F1919" s="11"/>
      <c r="G1919" s="11"/>
      <c r="H1919" s="12" t="s">
        <v>8511</v>
      </c>
      <c r="I1919" s="12" t="s">
        <v>8512</v>
      </c>
      <c r="J1919" s="11"/>
      <c r="K1919" s="12" t="s">
        <v>8513</v>
      </c>
      <c r="L1919" s="11"/>
      <c r="M1919" s="12" t="str">
        <f>HYPERLINK("https://ceds.ed.gov/cedselementdetails.aspx?termid=18000")</f>
        <v>https://ceds.ed.gov/cedselementdetails.aspx?termid=18000</v>
      </c>
      <c r="N1919" s="12" t="str">
        <f>HYPERLINK("https://ceds.ed.gov/elementComment.aspx?elementName=Workforce Program Type &amp;elementID=18000", "Click here to submit comment")</f>
        <v>Click here to submit comment</v>
      </c>
    </row>
    <row r="1920" spans="1:14" ht="38.25" x14ac:dyDescent="0.25">
      <c r="A1920" s="12" t="s">
        <v>8514</v>
      </c>
      <c r="B1920" s="12" t="s">
        <v>8515</v>
      </c>
      <c r="C1920" s="12" t="s">
        <v>37</v>
      </c>
      <c r="D1920" s="12" t="s">
        <v>8516</v>
      </c>
      <c r="E1920" s="11"/>
      <c r="F1920" s="12" t="s">
        <v>1710</v>
      </c>
      <c r="G1920" s="11"/>
      <c r="H1920" s="11"/>
      <c r="I1920" s="12" t="s">
        <v>8517</v>
      </c>
      <c r="J1920" s="11"/>
      <c r="K1920" s="12" t="s">
        <v>8518</v>
      </c>
      <c r="L1920" s="11"/>
      <c r="M1920" s="12" t="str">
        <f>HYPERLINK("https://ceds.ed.gov/cedselementdetails.aspx?termid=17774")</f>
        <v>https://ceds.ed.gov/cedselementdetails.aspx?termid=17774</v>
      </c>
      <c r="N1920" s="12" t="str">
        <f>HYPERLINK("https://ceds.ed.gov/elementComment.aspx?elementName=Years of Prior Adult Education Teaching Experience &amp;elementID=17774", "Click here to submit comment")</f>
        <v>Click here to submit comment</v>
      </c>
    </row>
    <row r="1921" spans="1:14" ht="51" x14ac:dyDescent="0.25">
      <c r="A1921" s="12" t="s">
        <v>8519</v>
      </c>
      <c r="B1921" s="12" t="s">
        <v>8520</v>
      </c>
      <c r="C1921" s="12" t="s">
        <v>37</v>
      </c>
      <c r="D1921" s="12" t="s">
        <v>4998</v>
      </c>
      <c r="E1921" s="11"/>
      <c r="F1921" s="12" t="s">
        <v>1710</v>
      </c>
      <c r="G1921" s="11"/>
      <c r="H1921" s="11"/>
      <c r="I1921" s="12" t="s">
        <v>8521</v>
      </c>
      <c r="J1921" s="11"/>
      <c r="K1921" s="12" t="s">
        <v>8522</v>
      </c>
      <c r="L1921" s="12" t="s">
        <v>2807</v>
      </c>
      <c r="M1921" s="12" t="str">
        <f>HYPERLINK("https://ceds.ed.gov/cedselementdetails.aspx?termid=17302")</f>
        <v>https://ceds.ed.gov/cedselementdetails.aspx?termid=17302</v>
      </c>
      <c r="N1921" s="12" t="str">
        <f>HYPERLINK("https://ceds.ed.gov/elementComment.aspx?elementName=Years of Prior Teaching Experience &amp;elementID=17302", "Click here to submit comment")</f>
        <v>Click here to submit comment</v>
      </c>
    </row>
  </sheetData>
  <autoFilter ref="A1:N1" xr:uid="{239D2C97-D118-4A8C-8A00-93FC7C3F8860}"/>
  <mergeCells count="1040">
    <mergeCell ref="K54:K56"/>
    <mergeCell ref="L54:L56"/>
    <mergeCell ref="M54:M56"/>
    <mergeCell ref="N54:N56"/>
    <mergeCell ref="A65:A67"/>
    <mergeCell ref="B65:B67"/>
    <mergeCell ref="C65:C67"/>
    <mergeCell ref="D65:D67"/>
    <mergeCell ref="E65:E67"/>
    <mergeCell ref="F65:F67"/>
    <mergeCell ref="N22:N24"/>
    <mergeCell ref="A54:A56"/>
    <mergeCell ref="B54:B56"/>
    <mergeCell ref="C54:C56"/>
    <mergeCell ref="D54:D56"/>
    <mergeCell ref="E54:E56"/>
    <mergeCell ref="F54:F56"/>
    <mergeCell ref="G54:G56"/>
    <mergeCell ref="I54:I56"/>
    <mergeCell ref="J54:J56"/>
    <mergeCell ref="G22:G24"/>
    <mergeCell ref="I22:I24"/>
    <mergeCell ref="J22:J24"/>
    <mergeCell ref="K22:K24"/>
    <mergeCell ref="L22:L24"/>
    <mergeCell ref="M22:M24"/>
    <mergeCell ref="A22:A24"/>
    <mergeCell ref="B22:B24"/>
    <mergeCell ref="C22:C24"/>
    <mergeCell ref="D22:D24"/>
    <mergeCell ref="E22:E24"/>
    <mergeCell ref="F22:F24"/>
    <mergeCell ref="K75:K79"/>
    <mergeCell ref="L75:L79"/>
    <mergeCell ref="M75:M79"/>
    <mergeCell ref="N75:N79"/>
    <mergeCell ref="A87:A91"/>
    <mergeCell ref="B87:B91"/>
    <mergeCell ref="C87:C91"/>
    <mergeCell ref="D87:D91"/>
    <mergeCell ref="E87:E91"/>
    <mergeCell ref="F87:F91"/>
    <mergeCell ref="N65:N67"/>
    <mergeCell ref="A75:A79"/>
    <mergeCell ref="B75:B79"/>
    <mergeCell ref="C75:C79"/>
    <mergeCell ref="D75:D79"/>
    <mergeCell ref="E75:E79"/>
    <mergeCell ref="F75:F79"/>
    <mergeCell ref="G75:G79"/>
    <mergeCell ref="I75:I79"/>
    <mergeCell ref="J75:J79"/>
    <mergeCell ref="G65:G67"/>
    <mergeCell ref="I65:I67"/>
    <mergeCell ref="J65:J67"/>
    <mergeCell ref="K65:K67"/>
    <mergeCell ref="L65:L67"/>
    <mergeCell ref="M65:M67"/>
    <mergeCell ref="K106:K108"/>
    <mergeCell ref="L106:L108"/>
    <mergeCell ref="M106:M108"/>
    <mergeCell ref="N106:N108"/>
    <mergeCell ref="A116:A122"/>
    <mergeCell ref="B116:B122"/>
    <mergeCell ref="C116:C122"/>
    <mergeCell ref="D116:D122"/>
    <mergeCell ref="E116:E122"/>
    <mergeCell ref="F116:F122"/>
    <mergeCell ref="N87:N91"/>
    <mergeCell ref="A106:A108"/>
    <mergeCell ref="B106:B108"/>
    <mergeCell ref="C106:C108"/>
    <mergeCell ref="D106:D108"/>
    <mergeCell ref="E106:E108"/>
    <mergeCell ref="F106:F108"/>
    <mergeCell ref="G106:G108"/>
    <mergeCell ref="I106:I108"/>
    <mergeCell ref="J106:J108"/>
    <mergeCell ref="G87:G91"/>
    <mergeCell ref="I87:I91"/>
    <mergeCell ref="J87:J91"/>
    <mergeCell ref="K87:K91"/>
    <mergeCell ref="L87:L91"/>
    <mergeCell ref="M87:M91"/>
    <mergeCell ref="K127:K131"/>
    <mergeCell ref="L127:L131"/>
    <mergeCell ref="M127:M131"/>
    <mergeCell ref="N127:N131"/>
    <mergeCell ref="A133:A135"/>
    <mergeCell ref="B133:B135"/>
    <mergeCell ref="C133:C135"/>
    <mergeCell ref="D133:D135"/>
    <mergeCell ref="E133:E135"/>
    <mergeCell ref="F133:F135"/>
    <mergeCell ref="N116:N122"/>
    <mergeCell ref="A127:A131"/>
    <mergeCell ref="B127:B131"/>
    <mergeCell ref="C127:C131"/>
    <mergeCell ref="D127:D131"/>
    <mergeCell ref="E127:E131"/>
    <mergeCell ref="F127:F131"/>
    <mergeCell ref="G127:G131"/>
    <mergeCell ref="I127:I131"/>
    <mergeCell ref="J127:J131"/>
    <mergeCell ref="G116:G122"/>
    <mergeCell ref="I116:I122"/>
    <mergeCell ref="J116:J122"/>
    <mergeCell ref="K116:K122"/>
    <mergeCell ref="L116:L122"/>
    <mergeCell ref="M116:M122"/>
    <mergeCell ref="K140:K142"/>
    <mergeCell ref="L140:L142"/>
    <mergeCell ref="M140:M142"/>
    <mergeCell ref="N140:N142"/>
    <mergeCell ref="A143:A145"/>
    <mergeCell ref="B143:B145"/>
    <mergeCell ref="C143:C145"/>
    <mergeCell ref="D143:D145"/>
    <mergeCell ref="E143:E145"/>
    <mergeCell ref="F143:F145"/>
    <mergeCell ref="N133:N135"/>
    <mergeCell ref="A140:A142"/>
    <mergeCell ref="B140:B142"/>
    <mergeCell ref="C140:C142"/>
    <mergeCell ref="D140:D142"/>
    <mergeCell ref="E140:E142"/>
    <mergeCell ref="F140:F142"/>
    <mergeCell ref="G140:G142"/>
    <mergeCell ref="I140:I142"/>
    <mergeCell ref="J140:J142"/>
    <mergeCell ref="G133:G135"/>
    <mergeCell ref="I133:I135"/>
    <mergeCell ref="J133:J135"/>
    <mergeCell ref="K133:K135"/>
    <mergeCell ref="L133:L135"/>
    <mergeCell ref="M133:M135"/>
    <mergeCell ref="K158:K160"/>
    <mergeCell ref="L158:L160"/>
    <mergeCell ref="M158:M160"/>
    <mergeCell ref="N158:N160"/>
    <mergeCell ref="A162:A164"/>
    <mergeCell ref="B162:B164"/>
    <mergeCell ref="C162:C164"/>
    <mergeCell ref="D162:D164"/>
    <mergeCell ref="E162:E164"/>
    <mergeCell ref="F162:F164"/>
    <mergeCell ref="N143:N145"/>
    <mergeCell ref="A158:A160"/>
    <mergeCell ref="B158:B160"/>
    <mergeCell ref="C158:C160"/>
    <mergeCell ref="D158:D160"/>
    <mergeCell ref="E158:E160"/>
    <mergeCell ref="F158:F160"/>
    <mergeCell ref="G158:G160"/>
    <mergeCell ref="I158:I160"/>
    <mergeCell ref="J158:J160"/>
    <mergeCell ref="G143:G145"/>
    <mergeCell ref="I143:I145"/>
    <mergeCell ref="J143:J145"/>
    <mergeCell ref="K143:K145"/>
    <mergeCell ref="L143:L145"/>
    <mergeCell ref="M143:M145"/>
    <mergeCell ref="K175:K177"/>
    <mergeCell ref="L175:L177"/>
    <mergeCell ref="M175:M177"/>
    <mergeCell ref="N175:N177"/>
    <mergeCell ref="A205:A207"/>
    <mergeCell ref="B205:B207"/>
    <mergeCell ref="C205:C207"/>
    <mergeCell ref="D205:D207"/>
    <mergeCell ref="E205:E207"/>
    <mergeCell ref="F205:F207"/>
    <mergeCell ref="N162:N164"/>
    <mergeCell ref="A175:A177"/>
    <mergeCell ref="B175:B177"/>
    <mergeCell ref="C175:C177"/>
    <mergeCell ref="D175:D177"/>
    <mergeCell ref="E175:E177"/>
    <mergeCell ref="F175:F177"/>
    <mergeCell ref="G175:G177"/>
    <mergeCell ref="I175:I177"/>
    <mergeCell ref="J175:J177"/>
    <mergeCell ref="G162:G164"/>
    <mergeCell ref="I162:I164"/>
    <mergeCell ref="J162:J164"/>
    <mergeCell ref="K162:K164"/>
    <mergeCell ref="L162:L164"/>
    <mergeCell ref="M162:M164"/>
    <mergeCell ref="K293:K295"/>
    <mergeCell ref="L293:L295"/>
    <mergeCell ref="M293:M295"/>
    <mergeCell ref="N293:N295"/>
    <mergeCell ref="A302:A304"/>
    <mergeCell ref="B302:B304"/>
    <mergeCell ref="C302:C304"/>
    <mergeCell ref="D302:D304"/>
    <mergeCell ref="E302:E304"/>
    <mergeCell ref="F302:F304"/>
    <mergeCell ref="N205:N207"/>
    <mergeCell ref="A293:A295"/>
    <mergeCell ref="B293:B295"/>
    <mergeCell ref="C293:C295"/>
    <mergeCell ref="D293:D295"/>
    <mergeCell ref="E293:E295"/>
    <mergeCell ref="F293:F295"/>
    <mergeCell ref="G293:G295"/>
    <mergeCell ref="I293:I295"/>
    <mergeCell ref="J293:J295"/>
    <mergeCell ref="G205:G207"/>
    <mergeCell ref="I205:I207"/>
    <mergeCell ref="J205:J207"/>
    <mergeCell ref="K205:K207"/>
    <mergeCell ref="L205:L207"/>
    <mergeCell ref="M205:M207"/>
    <mergeCell ref="K313:K317"/>
    <mergeCell ref="L313:L317"/>
    <mergeCell ref="M313:M317"/>
    <mergeCell ref="N313:N317"/>
    <mergeCell ref="A327:A331"/>
    <mergeCell ref="B327:B331"/>
    <mergeCell ref="C327:C331"/>
    <mergeCell ref="D327:D331"/>
    <mergeCell ref="E327:E331"/>
    <mergeCell ref="F327:F331"/>
    <mergeCell ref="N302:N304"/>
    <mergeCell ref="A313:A317"/>
    <mergeCell ref="B313:B317"/>
    <mergeCell ref="C313:C317"/>
    <mergeCell ref="D313:D317"/>
    <mergeCell ref="E313:E317"/>
    <mergeCell ref="F313:F317"/>
    <mergeCell ref="G313:G317"/>
    <mergeCell ref="I313:I317"/>
    <mergeCell ref="J313:J317"/>
    <mergeCell ref="G302:G304"/>
    <mergeCell ref="I302:I304"/>
    <mergeCell ref="J302:J304"/>
    <mergeCell ref="K302:K304"/>
    <mergeCell ref="L302:L304"/>
    <mergeCell ref="M302:M304"/>
    <mergeCell ref="K352:K354"/>
    <mergeCell ref="L352:L354"/>
    <mergeCell ref="M352:M354"/>
    <mergeCell ref="N352:N354"/>
    <mergeCell ref="A357:A361"/>
    <mergeCell ref="B357:B361"/>
    <mergeCell ref="C357:C361"/>
    <mergeCell ref="D357:D361"/>
    <mergeCell ref="E357:E361"/>
    <mergeCell ref="F357:F361"/>
    <mergeCell ref="N327:N331"/>
    <mergeCell ref="A352:A354"/>
    <mergeCell ref="B352:B354"/>
    <mergeCell ref="C352:C354"/>
    <mergeCell ref="D352:D354"/>
    <mergeCell ref="E352:E354"/>
    <mergeCell ref="F352:F354"/>
    <mergeCell ref="G352:G354"/>
    <mergeCell ref="I352:I354"/>
    <mergeCell ref="J352:J354"/>
    <mergeCell ref="G327:G331"/>
    <mergeCell ref="I327:I331"/>
    <mergeCell ref="J327:J331"/>
    <mergeCell ref="K327:K331"/>
    <mergeCell ref="L327:L331"/>
    <mergeCell ref="M327:M331"/>
    <mergeCell ref="K373:K375"/>
    <mergeCell ref="L373:L375"/>
    <mergeCell ref="M373:M375"/>
    <mergeCell ref="N373:N375"/>
    <mergeCell ref="A393:A395"/>
    <mergeCell ref="B393:B395"/>
    <mergeCell ref="C393:C395"/>
    <mergeCell ref="D393:D395"/>
    <mergeCell ref="E393:E395"/>
    <mergeCell ref="F393:F395"/>
    <mergeCell ref="N357:N361"/>
    <mergeCell ref="A373:A375"/>
    <mergeCell ref="B373:B375"/>
    <mergeCell ref="C373:C375"/>
    <mergeCell ref="D373:D375"/>
    <mergeCell ref="E373:E375"/>
    <mergeCell ref="F373:F375"/>
    <mergeCell ref="G373:G375"/>
    <mergeCell ref="I373:I375"/>
    <mergeCell ref="J373:J375"/>
    <mergeCell ref="G357:G361"/>
    <mergeCell ref="I357:I361"/>
    <mergeCell ref="J357:J361"/>
    <mergeCell ref="K357:K361"/>
    <mergeCell ref="L357:L361"/>
    <mergeCell ref="M357:M361"/>
    <mergeCell ref="K416:K420"/>
    <mergeCell ref="L416:L420"/>
    <mergeCell ref="M416:M420"/>
    <mergeCell ref="N416:N420"/>
    <mergeCell ref="A528:A530"/>
    <mergeCell ref="B528:B530"/>
    <mergeCell ref="C528:C530"/>
    <mergeCell ref="D528:D530"/>
    <mergeCell ref="E528:E530"/>
    <mergeCell ref="F528:F530"/>
    <mergeCell ref="N393:N395"/>
    <mergeCell ref="A416:A420"/>
    <mergeCell ref="B416:B420"/>
    <mergeCell ref="C416:C420"/>
    <mergeCell ref="D416:D420"/>
    <mergeCell ref="E416:E420"/>
    <mergeCell ref="F416:F420"/>
    <mergeCell ref="G416:G420"/>
    <mergeCell ref="I416:I420"/>
    <mergeCell ref="J416:J420"/>
    <mergeCell ref="G393:G395"/>
    <mergeCell ref="I393:I395"/>
    <mergeCell ref="J393:J395"/>
    <mergeCell ref="K393:K395"/>
    <mergeCell ref="L393:L395"/>
    <mergeCell ref="M393:M395"/>
    <mergeCell ref="K546:K548"/>
    <mergeCell ref="L546:L548"/>
    <mergeCell ref="M546:M548"/>
    <mergeCell ref="N546:N548"/>
    <mergeCell ref="A561:A564"/>
    <mergeCell ref="B561:B564"/>
    <mergeCell ref="C561:C564"/>
    <mergeCell ref="D561:D564"/>
    <mergeCell ref="E561:E564"/>
    <mergeCell ref="F561:F564"/>
    <mergeCell ref="N528:N530"/>
    <mergeCell ref="A546:A548"/>
    <mergeCell ref="B546:B548"/>
    <mergeCell ref="C546:C548"/>
    <mergeCell ref="D546:D548"/>
    <mergeCell ref="E546:E548"/>
    <mergeCell ref="F546:F548"/>
    <mergeCell ref="G546:G548"/>
    <mergeCell ref="I546:I548"/>
    <mergeCell ref="J546:J548"/>
    <mergeCell ref="G528:G530"/>
    <mergeCell ref="I528:I530"/>
    <mergeCell ref="J528:J530"/>
    <mergeCell ref="K528:K530"/>
    <mergeCell ref="L528:L530"/>
    <mergeCell ref="M528:M530"/>
    <mergeCell ref="K572:K574"/>
    <mergeCell ref="L572:L574"/>
    <mergeCell ref="M572:M574"/>
    <mergeCell ref="N572:N574"/>
    <mergeCell ref="A581:A583"/>
    <mergeCell ref="B581:B583"/>
    <mergeCell ref="C581:C583"/>
    <mergeCell ref="D581:D583"/>
    <mergeCell ref="E581:E583"/>
    <mergeCell ref="F581:F583"/>
    <mergeCell ref="N561:N564"/>
    <mergeCell ref="A572:A574"/>
    <mergeCell ref="B572:B574"/>
    <mergeCell ref="C572:C574"/>
    <mergeCell ref="D572:D574"/>
    <mergeCell ref="E572:E574"/>
    <mergeCell ref="F572:F574"/>
    <mergeCell ref="G572:G574"/>
    <mergeCell ref="I572:I574"/>
    <mergeCell ref="J572:J574"/>
    <mergeCell ref="G561:G564"/>
    <mergeCell ref="I561:I564"/>
    <mergeCell ref="J561:J564"/>
    <mergeCell ref="K561:K564"/>
    <mergeCell ref="L561:L564"/>
    <mergeCell ref="M561:M564"/>
    <mergeCell ref="K586:K592"/>
    <mergeCell ref="L586:L592"/>
    <mergeCell ref="M586:M592"/>
    <mergeCell ref="N586:N592"/>
    <mergeCell ref="A668:A670"/>
    <mergeCell ref="B668:B670"/>
    <mergeCell ref="C668:C670"/>
    <mergeCell ref="D668:D670"/>
    <mergeCell ref="E668:E670"/>
    <mergeCell ref="F668:F670"/>
    <mergeCell ref="N581:N583"/>
    <mergeCell ref="A586:A592"/>
    <mergeCell ref="B586:B592"/>
    <mergeCell ref="C586:C592"/>
    <mergeCell ref="D586:D592"/>
    <mergeCell ref="E586:E592"/>
    <mergeCell ref="F586:F592"/>
    <mergeCell ref="G586:G592"/>
    <mergeCell ref="I586:I592"/>
    <mergeCell ref="J586:J592"/>
    <mergeCell ref="G581:G583"/>
    <mergeCell ref="I581:I583"/>
    <mergeCell ref="J581:J583"/>
    <mergeCell ref="K581:K583"/>
    <mergeCell ref="L581:L583"/>
    <mergeCell ref="M581:M583"/>
    <mergeCell ref="K690:K692"/>
    <mergeCell ref="L690:L692"/>
    <mergeCell ref="M690:M692"/>
    <mergeCell ref="N690:N692"/>
    <mergeCell ref="A781:A783"/>
    <mergeCell ref="B781:B783"/>
    <mergeCell ref="C781:C783"/>
    <mergeCell ref="D781:D783"/>
    <mergeCell ref="E781:E783"/>
    <mergeCell ref="F781:F783"/>
    <mergeCell ref="N668:N670"/>
    <mergeCell ref="A690:A692"/>
    <mergeCell ref="B690:B692"/>
    <mergeCell ref="C690:C692"/>
    <mergeCell ref="D690:D692"/>
    <mergeCell ref="E690:E692"/>
    <mergeCell ref="F690:F692"/>
    <mergeCell ref="G690:G692"/>
    <mergeCell ref="I690:I692"/>
    <mergeCell ref="J690:J692"/>
    <mergeCell ref="G668:G670"/>
    <mergeCell ref="I668:I670"/>
    <mergeCell ref="J668:J670"/>
    <mergeCell ref="K668:K670"/>
    <mergeCell ref="L668:L670"/>
    <mergeCell ref="M668:M670"/>
    <mergeCell ref="K823:K825"/>
    <mergeCell ref="L823:L825"/>
    <mergeCell ref="M823:M825"/>
    <mergeCell ref="N823:N825"/>
    <mergeCell ref="A828:A830"/>
    <mergeCell ref="B828:B830"/>
    <mergeCell ref="C828:C830"/>
    <mergeCell ref="D828:D830"/>
    <mergeCell ref="E828:E830"/>
    <mergeCell ref="F828:F830"/>
    <mergeCell ref="N781:N783"/>
    <mergeCell ref="A823:A825"/>
    <mergeCell ref="B823:B825"/>
    <mergeCell ref="C823:C825"/>
    <mergeCell ref="D823:D825"/>
    <mergeCell ref="E823:E825"/>
    <mergeCell ref="F823:F825"/>
    <mergeCell ref="G823:G825"/>
    <mergeCell ref="I823:I825"/>
    <mergeCell ref="J823:J825"/>
    <mergeCell ref="G781:G783"/>
    <mergeCell ref="I781:I783"/>
    <mergeCell ref="J781:J783"/>
    <mergeCell ref="K781:K783"/>
    <mergeCell ref="L781:L783"/>
    <mergeCell ref="M781:M783"/>
    <mergeCell ref="K835:K837"/>
    <mergeCell ref="L835:L837"/>
    <mergeCell ref="M835:M837"/>
    <mergeCell ref="N835:N837"/>
    <mergeCell ref="A908:A912"/>
    <mergeCell ref="B908:B912"/>
    <mergeCell ref="C908:C912"/>
    <mergeCell ref="D908:D912"/>
    <mergeCell ref="E908:E912"/>
    <mergeCell ref="F908:F912"/>
    <mergeCell ref="N828:N830"/>
    <mergeCell ref="A835:A837"/>
    <mergeCell ref="B835:B837"/>
    <mergeCell ref="C835:C837"/>
    <mergeCell ref="D835:D837"/>
    <mergeCell ref="E835:E837"/>
    <mergeCell ref="F835:F837"/>
    <mergeCell ref="G835:G837"/>
    <mergeCell ref="I835:I837"/>
    <mergeCell ref="J835:J837"/>
    <mergeCell ref="G828:G830"/>
    <mergeCell ref="I828:I830"/>
    <mergeCell ref="J828:J830"/>
    <mergeCell ref="K828:K830"/>
    <mergeCell ref="L828:L830"/>
    <mergeCell ref="M828:M830"/>
    <mergeCell ref="K914:K916"/>
    <mergeCell ref="L914:L916"/>
    <mergeCell ref="M914:M916"/>
    <mergeCell ref="N914:N916"/>
    <mergeCell ref="A983:A985"/>
    <mergeCell ref="B983:B985"/>
    <mergeCell ref="C983:C985"/>
    <mergeCell ref="D983:D985"/>
    <mergeCell ref="E983:E985"/>
    <mergeCell ref="F983:F985"/>
    <mergeCell ref="N908:N912"/>
    <mergeCell ref="A914:A916"/>
    <mergeCell ref="B914:B916"/>
    <mergeCell ref="C914:C916"/>
    <mergeCell ref="D914:D916"/>
    <mergeCell ref="E914:E916"/>
    <mergeCell ref="F914:F916"/>
    <mergeCell ref="G914:G916"/>
    <mergeCell ref="I914:I916"/>
    <mergeCell ref="J914:J916"/>
    <mergeCell ref="G908:G912"/>
    <mergeCell ref="I908:I912"/>
    <mergeCell ref="J908:J912"/>
    <mergeCell ref="K908:K912"/>
    <mergeCell ref="L908:L912"/>
    <mergeCell ref="M908:M912"/>
    <mergeCell ref="K996:K998"/>
    <mergeCell ref="L996:L998"/>
    <mergeCell ref="M996:M998"/>
    <mergeCell ref="N996:N998"/>
    <mergeCell ref="A1008:A1009"/>
    <mergeCell ref="B1008:B1009"/>
    <mergeCell ref="C1008:C1009"/>
    <mergeCell ref="D1008:D1009"/>
    <mergeCell ref="E1008:E1009"/>
    <mergeCell ref="F1008:F1009"/>
    <mergeCell ref="N983:N985"/>
    <mergeCell ref="A996:A998"/>
    <mergeCell ref="B996:B998"/>
    <mergeCell ref="C996:C998"/>
    <mergeCell ref="D996:D998"/>
    <mergeCell ref="E996:E998"/>
    <mergeCell ref="F996:F998"/>
    <mergeCell ref="G996:G998"/>
    <mergeCell ref="I996:I998"/>
    <mergeCell ref="J996:J998"/>
    <mergeCell ref="G983:G985"/>
    <mergeCell ref="I983:I985"/>
    <mergeCell ref="J983:J985"/>
    <mergeCell ref="K983:K985"/>
    <mergeCell ref="L983:L985"/>
    <mergeCell ref="M983:M985"/>
    <mergeCell ref="K1011:K1012"/>
    <mergeCell ref="L1011:L1012"/>
    <mergeCell ref="M1011:M1012"/>
    <mergeCell ref="N1011:N1012"/>
    <mergeCell ref="A1013:A1014"/>
    <mergeCell ref="B1013:B1014"/>
    <mergeCell ref="C1013:C1014"/>
    <mergeCell ref="D1013:D1014"/>
    <mergeCell ref="E1013:E1014"/>
    <mergeCell ref="F1013:F1014"/>
    <mergeCell ref="N1008:N1009"/>
    <mergeCell ref="A1011:A1012"/>
    <mergeCell ref="B1011:B1012"/>
    <mergeCell ref="C1011:C1012"/>
    <mergeCell ref="D1011:D1012"/>
    <mergeCell ref="E1011:E1012"/>
    <mergeCell ref="F1011:F1012"/>
    <mergeCell ref="G1011:G1012"/>
    <mergeCell ref="I1011:I1012"/>
    <mergeCell ref="J1011:J1012"/>
    <mergeCell ref="G1008:G1009"/>
    <mergeCell ref="I1008:I1009"/>
    <mergeCell ref="J1008:J1009"/>
    <mergeCell ref="K1008:K1009"/>
    <mergeCell ref="L1008:L1009"/>
    <mergeCell ref="M1008:M1009"/>
    <mergeCell ref="K1015:K1016"/>
    <mergeCell ref="L1015:L1016"/>
    <mergeCell ref="M1015:M1016"/>
    <mergeCell ref="N1015:N1016"/>
    <mergeCell ref="A1024:A1032"/>
    <mergeCell ref="B1024:B1032"/>
    <mergeCell ref="C1024:C1032"/>
    <mergeCell ref="D1024:D1032"/>
    <mergeCell ref="E1024:E1032"/>
    <mergeCell ref="F1024:F1032"/>
    <mergeCell ref="N1013:N1014"/>
    <mergeCell ref="A1015:A1016"/>
    <mergeCell ref="B1015:B1016"/>
    <mergeCell ref="C1015:C1016"/>
    <mergeCell ref="D1015:D1016"/>
    <mergeCell ref="E1015:E1016"/>
    <mergeCell ref="F1015:F1016"/>
    <mergeCell ref="G1015:G1016"/>
    <mergeCell ref="I1015:I1016"/>
    <mergeCell ref="J1015:J1016"/>
    <mergeCell ref="G1013:G1014"/>
    <mergeCell ref="I1013:I1014"/>
    <mergeCell ref="J1013:J1014"/>
    <mergeCell ref="K1013:K1014"/>
    <mergeCell ref="L1013:L1014"/>
    <mergeCell ref="M1013:M1014"/>
    <mergeCell ref="K1055:K1056"/>
    <mergeCell ref="L1055:L1056"/>
    <mergeCell ref="M1055:M1056"/>
    <mergeCell ref="N1055:N1056"/>
    <mergeCell ref="A1101:A1102"/>
    <mergeCell ref="B1101:B1102"/>
    <mergeCell ref="C1101:C1102"/>
    <mergeCell ref="D1101:D1102"/>
    <mergeCell ref="E1101:E1102"/>
    <mergeCell ref="F1101:F1102"/>
    <mergeCell ref="N1024:N1032"/>
    <mergeCell ref="A1055:A1056"/>
    <mergeCell ref="B1055:B1056"/>
    <mergeCell ref="C1055:C1056"/>
    <mergeCell ref="D1055:D1056"/>
    <mergeCell ref="E1055:E1056"/>
    <mergeCell ref="F1055:F1056"/>
    <mergeCell ref="G1055:G1056"/>
    <mergeCell ref="I1055:I1056"/>
    <mergeCell ref="J1055:J1056"/>
    <mergeCell ref="G1024:G1032"/>
    <mergeCell ref="I1024:I1032"/>
    <mergeCell ref="J1024:J1032"/>
    <mergeCell ref="K1024:K1032"/>
    <mergeCell ref="L1024:L1032"/>
    <mergeCell ref="M1024:M1032"/>
    <mergeCell ref="K1108:K1112"/>
    <mergeCell ref="L1108:L1112"/>
    <mergeCell ref="M1108:M1112"/>
    <mergeCell ref="N1108:N1112"/>
    <mergeCell ref="A1159:A1161"/>
    <mergeCell ref="B1159:B1161"/>
    <mergeCell ref="C1159:C1161"/>
    <mergeCell ref="D1159:D1161"/>
    <mergeCell ref="E1159:E1161"/>
    <mergeCell ref="F1159:F1161"/>
    <mergeCell ref="N1101:N1102"/>
    <mergeCell ref="A1108:A1112"/>
    <mergeCell ref="B1108:B1112"/>
    <mergeCell ref="C1108:C1112"/>
    <mergeCell ref="D1108:D1112"/>
    <mergeCell ref="E1108:E1112"/>
    <mergeCell ref="F1108:F1112"/>
    <mergeCell ref="G1108:G1112"/>
    <mergeCell ref="I1108:I1112"/>
    <mergeCell ref="J1108:J1112"/>
    <mergeCell ref="G1101:G1102"/>
    <mergeCell ref="I1101:I1102"/>
    <mergeCell ref="J1101:J1102"/>
    <mergeCell ref="K1101:K1102"/>
    <mergeCell ref="L1101:L1102"/>
    <mergeCell ref="M1101:M1102"/>
    <mergeCell ref="K1165:K1167"/>
    <mergeCell ref="L1165:L1167"/>
    <mergeCell ref="M1165:M1167"/>
    <mergeCell ref="N1165:N1167"/>
    <mergeCell ref="A1177:A1179"/>
    <mergeCell ref="B1177:B1179"/>
    <mergeCell ref="C1177:C1179"/>
    <mergeCell ref="D1177:D1179"/>
    <mergeCell ref="E1177:E1179"/>
    <mergeCell ref="F1177:F1179"/>
    <mergeCell ref="N1159:N1161"/>
    <mergeCell ref="A1165:A1167"/>
    <mergeCell ref="B1165:B1167"/>
    <mergeCell ref="C1165:C1167"/>
    <mergeCell ref="D1165:D1167"/>
    <mergeCell ref="E1165:E1167"/>
    <mergeCell ref="F1165:F1167"/>
    <mergeCell ref="G1165:G1167"/>
    <mergeCell ref="I1165:I1167"/>
    <mergeCell ref="J1165:J1167"/>
    <mergeCell ref="G1159:G1161"/>
    <mergeCell ref="I1159:I1161"/>
    <mergeCell ref="J1159:J1161"/>
    <mergeCell ref="K1159:K1161"/>
    <mergeCell ref="L1159:L1161"/>
    <mergeCell ref="M1159:M1161"/>
    <mergeCell ref="K1181:K1183"/>
    <mergeCell ref="L1181:L1183"/>
    <mergeCell ref="M1181:M1183"/>
    <mergeCell ref="N1181:N1183"/>
    <mergeCell ref="A1272:A1273"/>
    <mergeCell ref="B1272:B1273"/>
    <mergeCell ref="C1272:C1273"/>
    <mergeCell ref="D1272:D1273"/>
    <mergeCell ref="E1272:E1273"/>
    <mergeCell ref="F1272:F1273"/>
    <mergeCell ref="N1177:N1179"/>
    <mergeCell ref="A1181:A1183"/>
    <mergeCell ref="B1181:B1183"/>
    <mergeCell ref="C1181:C1183"/>
    <mergeCell ref="D1181:D1183"/>
    <mergeCell ref="E1181:E1183"/>
    <mergeCell ref="F1181:F1183"/>
    <mergeCell ref="G1181:G1183"/>
    <mergeCell ref="I1181:I1183"/>
    <mergeCell ref="J1181:J1183"/>
    <mergeCell ref="G1177:G1179"/>
    <mergeCell ref="I1177:I1179"/>
    <mergeCell ref="J1177:J1179"/>
    <mergeCell ref="K1177:K1179"/>
    <mergeCell ref="L1177:L1179"/>
    <mergeCell ref="M1177:M1179"/>
    <mergeCell ref="K1277:K1279"/>
    <mergeCell ref="L1277:L1279"/>
    <mergeCell ref="M1277:M1279"/>
    <mergeCell ref="N1277:N1279"/>
    <mergeCell ref="A1282:A1284"/>
    <mergeCell ref="B1282:B1284"/>
    <mergeCell ref="C1282:C1284"/>
    <mergeCell ref="D1282:D1284"/>
    <mergeCell ref="E1282:E1284"/>
    <mergeCell ref="F1282:F1284"/>
    <mergeCell ref="N1272:N1273"/>
    <mergeCell ref="A1277:A1279"/>
    <mergeCell ref="B1277:B1279"/>
    <mergeCell ref="C1277:C1279"/>
    <mergeCell ref="D1277:D1279"/>
    <mergeCell ref="E1277:E1279"/>
    <mergeCell ref="F1277:F1279"/>
    <mergeCell ref="G1277:G1279"/>
    <mergeCell ref="I1277:I1279"/>
    <mergeCell ref="J1277:J1279"/>
    <mergeCell ref="G1272:G1273"/>
    <mergeCell ref="I1272:I1273"/>
    <mergeCell ref="J1272:J1273"/>
    <mergeCell ref="K1272:K1273"/>
    <mergeCell ref="L1272:L1273"/>
    <mergeCell ref="M1272:M1273"/>
    <mergeCell ref="K1332:K1333"/>
    <mergeCell ref="L1332:L1333"/>
    <mergeCell ref="M1332:M1333"/>
    <mergeCell ref="N1332:N1333"/>
    <mergeCell ref="A1367:A1369"/>
    <mergeCell ref="B1367:B1369"/>
    <mergeCell ref="C1367:C1369"/>
    <mergeCell ref="D1367:D1369"/>
    <mergeCell ref="E1367:E1369"/>
    <mergeCell ref="F1367:F1369"/>
    <mergeCell ref="N1282:N1284"/>
    <mergeCell ref="A1332:A1333"/>
    <mergeCell ref="B1332:B1333"/>
    <mergeCell ref="C1332:C1333"/>
    <mergeCell ref="D1332:D1333"/>
    <mergeCell ref="E1332:E1333"/>
    <mergeCell ref="F1332:F1333"/>
    <mergeCell ref="G1332:G1333"/>
    <mergeCell ref="I1332:I1333"/>
    <mergeCell ref="J1332:J1333"/>
    <mergeCell ref="G1282:G1284"/>
    <mergeCell ref="I1282:I1284"/>
    <mergeCell ref="J1282:J1284"/>
    <mergeCell ref="K1282:K1284"/>
    <mergeCell ref="L1282:L1284"/>
    <mergeCell ref="M1282:M1284"/>
    <mergeCell ref="K1374:K1375"/>
    <mergeCell ref="L1374:L1375"/>
    <mergeCell ref="M1374:M1375"/>
    <mergeCell ref="N1374:N1375"/>
    <mergeCell ref="A1387:A1388"/>
    <mergeCell ref="B1387:B1388"/>
    <mergeCell ref="C1387:C1388"/>
    <mergeCell ref="D1387:D1388"/>
    <mergeCell ref="E1387:E1388"/>
    <mergeCell ref="F1387:F1388"/>
    <mergeCell ref="N1367:N1369"/>
    <mergeCell ref="A1374:A1375"/>
    <mergeCell ref="B1374:B1375"/>
    <mergeCell ref="C1374:C1375"/>
    <mergeCell ref="D1374:D1375"/>
    <mergeCell ref="E1374:E1375"/>
    <mergeCell ref="F1374:F1375"/>
    <mergeCell ref="G1374:G1375"/>
    <mergeCell ref="I1374:I1375"/>
    <mergeCell ref="J1374:J1375"/>
    <mergeCell ref="G1367:G1369"/>
    <mergeCell ref="I1367:I1369"/>
    <mergeCell ref="J1367:J1369"/>
    <mergeCell ref="K1367:K1369"/>
    <mergeCell ref="L1367:L1369"/>
    <mergeCell ref="M1367:M1369"/>
    <mergeCell ref="K1418:K1422"/>
    <mergeCell ref="L1418:L1422"/>
    <mergeCell ref="M1418:M1422"/>
    <mergeCell ref="N1418:N1422"/>
    <mergeCell ref="A1424:A1425"/>
    <mergeCell ref="B1424:B1425"/>
    <mergeCell ref="C1424:C1425"/>
    <mergeCell ref="D1424:D1425"/>
    <mergeCell ref="E1424:E1425"/>
    <mergeCell ref="F1424:F1425"/>
    <mergeCell ref="N1387:N1388"/>
    <mergeCell ref="A1418:A1422"/>
    <mergeCell ref="B1418:B1422"/>
    <mergeCell ref="C1418:C1422"/>
    <mergeCell ref="D1418:D1422"/>
    <mergeCell ref="E1418:E1422"/>
    <mergeCell ref="F1418:F1422"/>
    <mergeCell ref="G1418:G1422"/>
    <mergeCell ref="I1418:I1422"/>
    <mergeCell ref="J1418:J1422"/>
    <mergeCell ref="G1387:G1388"/>
    <mergeCell ref="I1387:I1388"/>
    <mergeCell ref="J1387:J1388"/>
    <mergeCell ref="K1387:K1388"/>
    <mergeCell ref="L1387:L1388"/>
    <mergeCell ref="M1387:M1388"/>
    <mergeCell ref="K1426:K1427"/>
    <mergeCell ref="L1426:L1427"/>
    <mergeCell ref="M1426:M1427"/>
    <mergeCell ref="N1426:N1427"/>
    <mergeCell ref="A1456:A1458"/>
    <mergeCell ref="B1456:B1458"/>
    <mergeCell ref="C1456:C1458"/>
    <mergeCell ref="D1456:D1458"/>
    <mergeCell ref="E1456:E1458"/>
    <mergeCell ref="F1456:F1458"/>
    <mergeCell ref="N1424:N1425"/>
    <mergeCell ref="A1426:A1427"/>
    <mergeCell ref="B1426:B1427"/>
    <mergeCell ref="C1426:C1427"/>
    <mergeCell ref="D1426:D1427"/>
    <mergeCell ref="E1426:E1427"/>
    <mergeCell ref="F1426:F1427"/>
    <mergeCell ref="G1426:G1427"/>
    <mergeCell ref="I1426:I1427"/>
    <mergeCell ref="J1426:J1427"/>
    <mergeCell ref="G1424:G1425"/>
    <mergeCell ref="I1424:I1425"/>
    <mergeCell ref="J1424:J1425"/>
    <mergeCell ref="K1424:K1425"/>
    <mergeCell ref="L1424:L1425"/>
    <mergeCell ref="M1424:M1425"/>
    <mergeCell ref="K1468:K1470"/>
    <mergeCell ref="L1468:L1470"/>
    <mergeCell ref="M1468:M1470"/>
    <mergeCell ref="N1468:N1470"/>
    <mergeCell ref="A1497:A1499"/>
    <mergeCell ref="B1497:B1499"/>
    <mergeCell ref="C1497:C1499"/>
    <mergeCell ref="D1497:D1499"/>
    <mergeCell ref="E1497:E1499"/>
    <mergeCell ref="F1497:F1499"/>
    <mergeCell ref="N1456:N1458"/>
    <mergeCell ref="A1468:A1470"/>
    <mergeCell ref="B1468:B1470"/>
    <mergeCell ref="C1468:C1470"/>
    <mergeCell ref="D1468:D1470"/>
    <mergeCell ref="E1468:E1470"/>
    <mergeCell ref="F1468:F1470"/>
    <mergeCell ref="G1468:G1470"/>
    <mergeCell ref="I1468:I1470"/>
    <mergeCell ref="J1468:J1470"/>
    <mergeCell ref="G1456:G1458"/>
    <mergeCell ref="I1456:I1458"/>
    <mergeCell ref="J1456:J1458"/>
    <mergeCell ref="K1456:K1458"/>
    <mergeCell ref="L1456:L1458"/>
    <mergeCell ref="M1456:M1458"/>
    <mergeCell ref="K1554:K1556"/>
    <mergeCell ref="L1554:L1556"/>
    <mergeCell ref="M1554:M1556"/>
    <mergeCell ref="N1554:N1556"/>
    <mergeCell ref="A1566:A1568"/>
    <mergeCell ref="B1566:B1568"/>
    <mergeCell ref="C1566:C1568"/>
    <mergeCell ref="D1566:D1568"/>
    <mergeCell ref="E1566:E1568"/>
    <mergeCell ref="F1566:F1568"/>
    <mergeCell ref="N1497:N1499"/>
    <mergeCell ref="A1554:A1556"/>
    <mergeCell ref="B1554:B1556"/>
    <mergeCell ref="C1554:C1556"/>
    <mergeCell ref="D1554:D1556"/>
    <mergeCell ref="E1554:E1556"/>
    <mergeCell ref="F1554:F1556"/>
    <mergeCell ref="G1554:G1556"/>
    <mergeCell ref="I1554:I1556"/>
    <mergeCell ref="J1554:J1556"/>
    <mergeCell ref="G1497:G1499"/>
    <mergeCell ref="I1497:I1499"/>
    <mergeCell ref="J1497:J1499"/>
    <mergeCell ref="K1497:K1499"/>
    <mergeCell ref="L1497:L1499"/>
    <mergeCell ref="M1497:M1499"/>
    <mergeCell ref="K1584:K1586"/>
    <mergeCell ref="L1584:L1586"/>
    <mergeCell ref="M1584:M1586"/>
    <mergeCell ref="N1584:N1586"/>
    <mergeCell ref="A1647:A1649"/>
    <mergeCell ref="B1647:B1649"/>
    <mergeCell ref="C1647:C1649"/>
    <mergeCell ref="D1647:D1649"/>
    <mergeCell ref="E1647:E1649"/>
    <mergeCell ref="F1647:F1649"/>
    <mergeCell ref="N1566:N1568"/>
    <mergeCell ref="A1584:A1586"/>
    <mergeCell ref="B1584:B1586"/>
    <mergeCell ref="C1584:C1586"/>
    <mergeCell ref="D1584:D1586"/>
    <mergeCell ref="E1584:E1586"/>
    <mergeCell ref="F1584:F1586"/>
    <mergeCell ref="G1584:G1586"/>
    <mergeCell ref="I1584:I1586"/>
    <mergeCell ref="J1584:J1586"/>
    <mergeCell ref="G1566:G1568"/>
    <mergeCell ref="I1566:I1568"/>
    <mergeCell ref="J1566:J1568"/>
    <mergeCell ref="K1566:K1568"/>
    <mergeCell ref="L1566:L1568"/>
    <mergeCell ref="M1566:M1568"/>
    <mergeCell ref="K1653:K1655"/>
    <mergeCell ref="L1653:L1655"/>
    <mergeCell ref="M1653:M1655"/>
    <mergeCell ref="N1653:N1655"/>
    <mergeCell ref="A1657:A1661"/>
    <mergeCell ref="B1657:B1661"/>
    <mergeCell ref="C1657:C1661"/>
    <mergeCell ref="D1657:D1661"/>
    <mergeCell ref="E1657:E1661"/>
    <mergeCell ref="F1657:F1661"/>
    <mergeCell ref="N1647:N1649"/>
    <mergeCell ref="A1653:A1655"/>
    <mergeCell ref="B1653:B1655"/>
    <mergeCell ref="C1653:C1655"/>
    <mergeCell ref="D1653:D1655"/>
    <mergeCell ref="E1653:E1655"/>
    <mergeCell ref="F1653:F1655"/>
    <mergeCell ref="G1653:G1655"/>
    <mergeCell ref="I1653:I1655"/>
    <mergeCell ref="J1653:J1655"/>
    <mergeCell ref="G1647:G1649"/>
    <mergeCell ref="I1647:I1649"/>
    <mergeCell ref="J1647:J1649"/>
    <mergeCell ref="K1647:K1649"/>
    <mergeCell ref="L1647:L1649"/>
    <mergeCell ref="M1647:M1649"/>
    <mergeCell ref="K1663:K1665"/>
    <mergeCell ref="L1663:L1665"/>
    <mergeCell ref="M1663:M1665"/>
    <mergeCell ref="N1663:N1665"/>
    <mergeCell ref="A1680:A1682"/>
    <mergeCell ref="B1680:B1682"/>
    <mergeCell ref="C1680:C1682"/>
    <mergeCell ref="D1680:D1682"/>
    <mergeCell ref="E1680:E1682"/>
    <mergeCell ref="F1680:F1682"/>
    <mergeCell ref="N1657:N1661"/>
    <mergeCell ref="A1663:A1665"/>
    <mergeCell ref="B1663:B1665"/>
    <mergeCell ref="C1663:C1665"/>
    <mergeCell ref="D1663:D1665"/>
    <mergeCell ref="E1663:E1665"/>
    <mergeCell ref="F1663:F1665"/>
    <mergeCell ref="G1663:G1665"/>
    <mergeCell ref="I1663:I1665"/>
    <mergeCell ref="J1663:J1665"/>
    <mergeCell ref="G1657:G1661"/>
    <mergeCell ref="I1657:I1661"/>
    <mergeCell ref="J1657:J1661"/>
    <mergeCell ref="K1657:K1661"/>
    <mergeCell ref="L1657:L1661"/>
    <mergeCell ref="M1657:M1661"/>
    <mergeCell ref="K1707:K1709"/>
    <mergeCell ref="L1707:L1709"/>
    <mergeCell ref="M1707:M1709"/>
    <mergeCell ref="N1707:N1709"/>
    <mergeCell ref="A1780:A1782"/>
    <mergeCell ref="B1780:B1782"/>
    <mergeCell ref="C1780:C1782"/>
    <mergeCell ref="D1780:D1782"/>
    <mergeCell ref="E1780:E1782"/>
    <mergeCell ref="F1780:F1782"/>
    <mergeCell ref="N1680:N1682"/>
    <mergeCell ref="A1707:A1709"/>
    <mergeCell ref="B1707:B1709"/>
    <mergeCell ref="C1707:C1709"/>
    <mergeCell ref="D1707:D1709"/>
    <mergeCell ref="E1707:E1709"/>
    <mergeCell ref="F1707:F1709"/>
    <mergeCell ref="G1707:G1709"/>
    <mergeCell ref="I1707:I1709"/>
    <mergeCell ref="J1707:J1709"/>
    <mergeCell ref="G1680:G1682"/>
    <mergeCell ref="I1680:I1682"/>
    <mergeCell ref="J1680:J1682"/>
    <mergeCell ref="K1680:K1682"/>
    <mergeCell ref="L1680:L1682"/>
    <mergeCell ref="M1680:M1682"/>
    <mergeCell ref="K1791:K1793"/>
    <mergeCell ref="L1791:L1793"/>
    <mergeCell ref="M1791:M1793"/>
    <mergeCell ref="N1791:N1793"/>
    <mergeCell ref="A1814:A1816"/>
    <mergeCell ref="B1814:B1816"/>
    <mergeCell ref="C1814:C1816"/>
    <mergeCell ref="D1814:D1816"/>
    <mergeCell ref="E1814:E1816"/>
    <mergeCell ref="F1814:F1816"/>
    <mergeCell ref="N1780:N1782"/>
    <mergeCell ref="A1791:A1793"/>
    <mergeCell ref="B1791:B1793"/>
    <mergeCell ref="C1791:C1793"/>
    <mergeCell ref="D1791:D1793"/>
    <mergeCell ref="E1791:E1793"/>
    <mergeCell ref="F1791:F1793"/>
    <mergeCell ref="G1791:G1793"/>
    <mergeCell ref="I1791:I1793"/>
    <mergeCell ref="J1791:J1793"/>
    <mergeCell ref="G1780:G1782"/>
    <mergeCell ref="I1780:I1782"/>
    <mergeCell ref="J1780:J1782"/>
    <mergeCell ref="K1780:K1782"/>
    <mergeCell ref="L1780:L1782"/>
    <mergeCell ref="M1780:M1782"/>
    <mergeCell ref="K1826:K1834"/>
    <mergeCell ref="L1826:L1834"/>
    <mergeCell ref="M1826:M1834"/>
    <mergeCell ref="N1826:N1834"/>
    <mergeCell ref="A1858:A1860"/>
    <mergeCell ref="B1858:B1860"/>
    <mergeCell ref="C1858:C1860"/>
    <mergeCell ref="D1858:D1860"/>
    <mergeCell ref="E1858:E1860"/>
    <mergeCell ref="F1858:F1860"/>
    <mergeCell ref="N1814:N1816"/>
    <mergeCell ref="A1826:A1834"/>
    <mergeCell ref="B1826:B1834"/>
    <mergeCell ref="C1826:C1834"/>
    <mergeCell ref="D1826:D1834"/>
    <mergeCell ref="E1826:E1834"/>
    <mergeCell ref="F1826:F1834"/>
    <mergeCell ref="G1826:G1834"/>
    <mergeCell ref="I1826:I1834"/>
    <mergeCell ref="J1826:J1834"/>
    <mergeCell ref="G1814:G1816"/>
    <mergeCell ref="I1814:I1816"/>
    <mergeCell ref="J1814:J1816"/>
    <mergeCell ref="K1814:K1816"/>
    <mergeCell ref="L1814:L1816"/>
    <mergeCell ref="M1814:M1816"/>
    <mergeCell ref="K1911:K1915"/>
    <mergeCell ref="L1911:L1915"/>
    <mergeCell ref="M1911:M1915"/>
    <mergeCell ref="N1911:N1915"/>
    <mergeCell ref="N1858:N1860"/>
    <mergeCell ref="A1911:A1915"/>
    <mergeCell ref="B1911:B1915"/>
    <mergeCell ref="C1911:C1915"/>
    <mergeCell ref="D1911:D1915"/>
    <mergeCell ref="E1911:E1915"/>
    <mergeCell ref="F1911:F1915"/>
    <mergeCell ref="G1911:G1915"/>
    <mergeCell ref="I1911:I1915"/>
    <mergeCell ref="J1911:J1915"/>
    <mergeCell ref="G1858:G1860"/>
    <mergeCell ref="I1858:I1860"/>
    <mergeCell ref="J1858:J1860"/>
    <mergeCell ref="K1858:K1860"/>
    <mergeCell ref="L1858:L1860"/>
    <mergeCell ref="M1858:M1860"/>
  </mergeCells>
  <hyperlinks>
    <hyperlink ref="H254" r:id="rId1" display="http://www.loc.gov/standards/iso639-2/langhome.html" xr:uid="{6BF5CCC9-BFE7-4A2E-8DB2-BB35C16E677B}"/>
    <hyperlink ref="H296" r:id="rId2" display="http://www.loc.gov/standards/iso639-2/langhome.html" xr:uid="{57598E4E-940B-4BD1-A8D9-4FF76A72A1AD}"/>
    <hyperlink ref="H575" r:id="rId3" display="http://www.loc.gov/standards/iso639-2/langhome.html" xr:uid="{E85F1557-ADB8-4595-A48B-FEBC09E41855}"/>
    <hyperlink ref="H612" r:id="rId4" display="http://www.loc.gov/standards/iso639-2/langhome.html" xr:uid="{89BA0809-CD1F-49D5-A2B2-CEE93F00D039}"/>
    <hyperlink ref="H646" r:id="rId5" display="http://www.iso.org/iso/country_codes.htm" xr:uid="{06068509-3C49-49D6-AF8B-C6DA2821503C}"/>
    <hyperlink ref="H647" r:id="rId6" display="http://www.iso.org/iso/country_codes.htm" xr:uid="{8F985346-CFDF-4074-B212-D562A8F55FA8}"/>
    <hyperlink ref="H723" r:id="rId7" location="polygon" display="http://geojson.org/geojson-spec.html - polygon" xr:uid="{1A43A085-5A17-4C94-8E53-CE6D5C1144E1}"/>
    <hyperlink ref="H724" r:id="rId8" location="polygon" display="http://geojson.org/geojson-spec.html - polygon" xr:uid="{9186B1B3-EA71-49C1-BD5C-9B1F13A87762}"/>
    <hyperlink ref="H739" r:id="rId9" location="RevocationList" display="http://openbadges.github.io/openbadges-specification/ - RevocationList" xr:uid="{CEF10DCF-EF95-4F20-8E86-CD48A2D8083C}"/>
    <hyperlink ref="H760" r:id="rId10" location="AudienceLevel" display="https://credreg.net/ctdl/terms/Credential - AudienceLevel" xr:uid="{57B22CB0-762E-4EE3-B269-01BD91DA157D}"/>
    <hyperlink ref="H812" r:id="rId11" display="http://degreeprofile.org/" xr:uid="{7B100730-5BAF-4107-B9CA-A81E37B793FF}"/>
    <hyperlink ref="H993" r:id="rId12" display="http://nces.ed.gov/pubs2015/fin_acct/chapter6_3.asp" xr:uid="{F8FE1FA7-3407-4B64-9ADA-04AD99AEF708}"/>
    <hyperlink ref="H994" r:id="rId13" display="http://nces.ed.gov/pubs2015/fin_acct/chapter6_1.asp" xr:uid="{F85D38E9-81CD-482C-A221-7BE460791267}"/>
    <hyperlink ref="H995" r:id="rId14" display="http://nces.ed.gov/pubs2015/fin_acct/chapter6_2.asp" xr:uid="{0E8CAFC9-2B4E-4AFA-B4C6-FA278F13F39D}"/>
    <hyperlink ref="H996" r:id="rId15" display="http://nces.ed.gov/pubs2015/fin_acct/chapter6_4.asp" xr:uid="{03658F6A-48E3-48E6-83F0-0828A6403012}"/>
    <hyperlink ref="H1021" r:id="rId16" display="http://nces.ed.gov/pubs2015/fin_acct/chapter6_5.asp" xr:uid="{B653B70F-DFD1-4EF1-B8FA-A17CB9D86ED6}"/>
    <hyperlink ref="H1022" r:id="rId17" display="http://nces.ed.gov/pubs2015/fin_acct/chapter6_8.asp" xr:uid="{A41326AD-0A00-41EA-99D9-52CE85CAE3C8}"/>
    <hyperlink ref="H1023" r:id="rId18" display="http://nces.ed.gov/pubs2015/fin_acct/chapter6_6.asp" xr:uid="{BBE063EE-C9A7-4266-AABA-E025270C7F92}"/>
    <hyperlink ref="H1024" r:id="rId19" display="http://nces.ed.gov/pubs2015/fin_acct/chapter6_7.asp" xr:uid="{97D807D8-1351-4B8B-8C19-1DC738754BCB}"/>
    <hyperlink ref="H1131" r:id="rId20" xr:uid="{41B193CA-2957-4B8C-986F-A950FE2AE230}"/>
    <hyperlink ref="H1226" r:id="rId21" display="http://www.loc.gov/standards/iso639-2/langhome.html" xr:uid="{F792F00B-154A-44EE-8D7C-75337CCEB028}"/>
    <hyperlink ref="H1260" r:id="rId22" display="http://www.loc.gov/standards/iso639-2/langhome.html" xr:uid="{1D21D82A-4B21-4750-AB92-713844BA7EE3}"/>
    <hyperlink ref="H1261" r:id="rId23" display="http://www-01.sil.org/iso639-3/default.asp" xr:uid="{CACE00CD-9D14-49EB-901B-26E96436D6F7}"/>
    <hyperlink ref="H1262" r:id="rId24" display="http://www.loc.gov/standards/iso639-5/index.html" xr:uid="{F5CC1360-2A45-49E4-A23C-63DF2E4C7B0B}"/>
    <hyperlink ref="H1286" r:id="rId25" display="https://w3id.org/xapi/adl" xr:uid="{46EA3DF2-D4FD-4809-A0C1-0B8EBEA19EA2}"/>
    <hyperlink ref="H1293" r:id="rId26" display="http://www.loc.gov/standards/iso639-2/langhome.html" xr:uid="{6A494ADB-A611-4B03-B7C0-A55869F68C14}"/>
    <hyperlink ref="H1332" r:id="rId27" display="http://www.loc.gov/standards/iso639-2/langhome.html" xr:uid="{28F43500-245D-4F8A-B039-CF531953E5D2}"/>
    <hyperlink ref="H1448" r:id="rId28" xr:uid="{B19FBACA-B5D0-4CC4-B1A8-53CB6708E4ED}"/>
    <hyperlink ref="H1569" r:id="rId29" display="http://www.loc.gov/standards/iso639-2/langhome.html" xr:uid="{4C9A6612-D3CE-4390-8AD3-21065D0A034D}"/>
    <hyperlink ref="H1615" r:id="rId30" display="http://www.iso.org/iso/country_codes.htm" xr:uid="{8CFAF678-FF55-4D9E-89BA-173EB421D851}"/>
    <hyperlink ref="H1700" r:id="rId31" xr:uid="{7BA7828C-3D7B-417D-A7AE-F4E46E4BD204}"/>
    <hyperlink ref="H1795" r:id="rId32" display="https://ceds.ed.gov/pdf/ceds-addresses-professional-development-data-elements.pdf" xr:uid="{CA97343B-484F-4B91-A178-F93548F238BE}"/>
    <hyperlink ref="H1847" r:id="rId33" display="https://ceds.ed.gov/pdf/ceds-addresses-professional-development-data-elements.pdf" xr:uid="{4C97B6C9-6D53-47F3-B4CE-DED28AF05EA9}"/>
    <hyperlink ref="H1848" r:id="rId34" display="https://ceds.ed.gov/pdf/ceds-addresses-professional-development-data-elements.pdf" xr:uid="{999B9A8C-0BEF-4434-994F-F9102812E808}"/>
    <hyperlink ref="H1849" r:id="rId35" display="https://ceds.ed.gov/pdf/ceds-addresses-professional-development-data-elements.pdf" xr:uid="{4107F728-9ADB-4E28-B6E8-10CEC9F328B2}"/>
    <hyperlink ref="H1881" r:id="rId36" display="https://ceds.ed.gov/pdf/ceds-addresses-professional-development-data-elements.pdf" xr:uid="{FDCCF5A4-3B76-4F81-88BA-E8A9772F12DA}"/>
    <hyperlink ref="H1888" r:id="rId37" display="https://ceds.ed.gov/element/000202" xr:uid="{20E26E55-02ED-41E9-AEA3-E6AB31BD085F}"/>
    <hyperlink ref="H269" r:id="rId38" display="http://www.loc.gov/standards/iso639-2/langhome.html" xr:uid="{C1980FA7-EAF9-4776-A213-7C4167115BD8}"/>
    <hyperlink ref="H268" r:id="rId39" display="http://www.loc.gov/standards/iso639-2/langhome.html" xr:uid="{8A2517BB-EAFA-4960-9B07-DE5E8AC816E0}"/>
    <hyperlink ref="H267" r:id="rId40" display="http://www.loc.gov/standards/iso639-2/langhome.html" xr:uid="{64D1252B-EA85-4ED7-86D5-3028129B5DFA}"/>
  </hyperlinks>
  <pageMargins left="0.75" right="0.75" top="1" bottom="1" header="0.5" footer="0.5"/>
  <pageSetup orientation="portrait"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0B5C-6E0D-4343-9632-F02D41B5CF75}">
  <dimension ref="A1:R4588"/>
  <sheetViews>
    <sheetView showGridLines="0" workbookViewId="0"/>
  </sheetViews>
  <sheetFormatPr defaultRowHeight="15" x14ac:dyDescent="0.25"/>
  <cols>
    <col min="1" max="1" width="31.28515625" bestFit="1" customWidth="1"/>
    <col min="2" max="2" width="33" bestFit="1" customWidth="1"/>
    <col min="3" max="3" width="36.5703125" bestFit="1" customWidth="1"/>
    <col min="4" max="4" width="13.42578125" bestFit="1" customWidth="1"/>
    <col min="5" max="8" width="36.5703125" bestFit="1" customWidth="1"/>
    <col min="9" max="9" width="15.85546875" bestFit="1" customWidth="1"/>
    <col min="10" max="12" width="36.5703125" bestFit="1" customWidth="1"/>
    <col min="13" max="13" width="11.42578125" bestFit="1" customWidth="1"/>
    <col min="14" max="15" width="36.5703125" bestFit="1" customWidth="1"/>
    <col min="16" max="16" width="28.140625" customWidth="1"/>
    <col min="17" max="17" width="28" bestFit="1" customWidth="1"/>
    <col min="18" max="18" width="14.28515625" customWidth="1"/>
  </cols>
  <sheetData>
    <row r="1" spans="1:18" s="7" customFormat="1" ht="30" x14ac:dyDescent="0.25">
      <c r="A1" s="4" t="s">
        <v>14</v>
      </c>
      <c r="B1" s="4" t="s">
        <v>15</v>
      </c>
      <c r="C1" s="4" t="s">
        <v>16</v>
      </c>
      <c r="D1" s="4" t="s">
        <v>17</v>
      </c>
      <c r="E1" s="4" t="s">
        <v>0</v>
      </c>
      <c r="F1" s="4" t="s">
        <v>1</v>
      </c>
      <c r="G1" s="4" t="s">
        <v>2</v>
      </c>
      <c r="H1" s="4" t="s">
        <v>18</v>
      </c>
      <c r="I1" s="5" t="s">
        <v>19</v>
      </c>
      <c r="J1" s="4" t="s">
        <v>5</v>
      </c>
      <c r="K1" s="4" t="s">
        <v>6</v>
      </c>
      <c r="L1" s="4" t="s">
        <v>7</v>
      </c>
      <c r="M1" s="4" t="s">
        <v>8</v>
      </c>
      <c r="N1" s="4" t="s">
        <v>9</v>
      </c>
      <c r="O1" s="7" t="s">
        <v>10</v>
      </c>
      <c r="P1" s="7" t="s">
        <v>12</v>
      </c>
      <c r="Q1" s="7" t="s">
        <v>20</v>
      </c>
      <c r="R1" s="4" t="s">
        <v>21</v>
      </c>
    </row>
    <row r="2" spans="1:18" ht="45" x14ac:dyDescent="0.25">
      <c r="A2" s="14" t="s">
        <v>8529</v>
      </c>
      <c r="B2" s="14" t="s">
        <v>8530</v>
      </c>
      <c r="C2" s="14"/>
      <c r="D2" s="14" t="s">
        <v>8531</v>
      </c>
      <c r="E2" s="14" t="s">
        <v>6535</v>
      </c>
      <c r="F2" s="14" t="s">
        <v>6536</v>
      </c>
      <c r="G2" s="14" t="s">
        <v>37</v>
      </c>
      <c r="H2" s="14"/>
      <c r="I2" s="14"/>
      <c r="J2" s="14" t="s">
        <v>57</v>
      </c>
      <c r="K2" s="14"/>
      <c r="L2" s="14"/>
      <c r="M2" s="14" t="s">
        <v>6538</v>
      </c>
      <c r="N2" s="14"/>
      <c r="O2" s="14" t="s">
        <v>6539</v>
      </c>
      <c r="P2" s="14" t="str">
        <f>HYPERLINK("https://ceds.ed.gov/cedselementdetails.aspx?termid=18644")</f>
        <v>https://ceds.ed.gov/cedselementdetails.aspx?termid=18644</v>
      </c>
      <c r="Q2" s="14" t="str">
        <f>HYPERLINK("https://ceds.ed.gov/elementComment.aspx?elementName=Organization Image URL &amp;elementID=18644", "Click here to submit comment")</f>
        <v>Click here to submit comment</v>
      </c>
      <c r="R2" s="14">
        <v>51974</v>
      </c>
    </row>
    <row r="3" spans="1:18" ht="45" x14ac:dyDescent="0.25">
      <c r="A3" s="14" t="s">
        <v>8529</v>
      </c>
      <c r="B3" s="14" t="s">
        <v>8530</v>
      </c>
      <c r="C3" s="14"/>
      <c r="D3" s="14" t="s">
        <v>8531</v>
      </c>
      <c r="E3" s="14" t="s">
        <v>6556</v>
      </c>
      <c r="F3" s="14" t="s">
        <v>6557</v>
      </c>
      <c r="G3" s="14" t="s">
        <v>37</v>
      </c>
      <c r="H3" s="14"/>
      <c r="I3" s="14"/>
      <c r="J3" s="14" t="s">
        <v>3227</v>
      </c>
      <c r="K3" s="14"/>
      <c r="L3" s="14"/>
      <c r="M3" s="14" t="s">
        <v>6559</v>
      </c>
      <c r="N3" s="14"/>
      <c r="O3" s="14" t="s">
        <v>6560</v>
      </c>
      <c r="P3" s="14" t="str">
        <f>HYPERLINK("https://ceds.ed.gov/cedselementdetails.aspx?termid=18731")</f>
        <v>https://ceds.ed.gov/cedselementdetails.aspx?termid=18731</v>
      </c>
      <c r="Q3" s="14" t="str">
        <f>HYPERLINK("https://ceds.ed.gov/elementComment.aspx?elementName=Organization Region GeoJSON &amp;elementID=18731", "Click here to submit comment")</f>
        <v>Click here to submit comment</v>
      </c>
      <c r="R3" s="14">
        <v>51981</v>
      </c>
    </row>
    <row r="4" spans="1:18" ht="60" x14ac:dyDescent="0.25">
      <c r="A4" s="14" t="s">
        <v>8529</v>
      </c>
      <c r="B4" s="14" t="s">
        <v>8530</v>
      </c>
      <c r="C4" s="14"/>
      <c r="D4" s="14" t="s">
        <v>8531</v>
      </c>
      <c r="E4" s="14" t="s">
        <v>6550</v>
      </c>
      <c r="F4" s="14" t="s">
        <v>6551</v>
      </c>
      <c r="G4" s="8" t="s">
        <v>8532</v>
      </c>
      <c r="H4" s="14"/>
      <c r="I4" s="14"/>
      <c r="J4" s="14"/>
      <c r="K4" s="14"/>
      <c r="L4" s="14"/>
      <c r="M4" s="14" t="s">
        <v>6554</v>
      </c>
      <c r="N4" s="14"/>
      <c r="O4" s="14" t="s">
        <v>6555</v>
      </c>
      <c r="P4" s="14" t="str">
        <f>HYPERLINK("https://ceds.ed.gov/cedselementdetails.aspx?termid=18387")</f>
        <v>https://ceds.ed.gov/cedselementdetails.aspx?termid=18387</v>
      </c>
      <c r="Q4" s="14" t="str">
        <f>HYPERLINK("https://ceds.ed.gov/elementComment.aspx?elementName=Organization Operational Status &amp;elementID=18387", "Click here to submit comment")</f>
        <v>Click here to submit comment</v>
      </c>
      <c r="R4" s="14">
        <v>51472</v>
      </c>
    </row>
    <row r="5" spans="1:18" ht="105" x14ac:dyDescent="0.25">
      <c r="A5" s="16" t="s">
        <v>8529</v>
      </c>
      <c r="B5" s="16" t="s">
        <v>8530</v>
      </c>
      <c r="C5" s="16" t="s">
        <v>8533</v>
      </c>
      <c r="D5" s="16" t="s">
        <v>8531</v>
      </c>
      <c r="E5" s="16" t="s">
        <v>6530</v>
      </c>
      <c r="F5" s="16" t="s">
        <v>6531</v>
      </c>
      <c r="G5" s="16" t="s">
        <v>37</v>
      </c>
      <c r="H5" s="16" t="s">
        <v>125</v>
      </c>
      <c r="I5" s="16"/>
      <c r="J5" s="16" t="s">
        <v>149</v>
      </c>
      <c r="K5" s="16"/>
      <c r="L5" s="14" t="s">
        <v>150</v>
      </c>
      <c r="M5" s="16" t="s">
        <v>6533</v>
      </c>
      <c r="N5" s="16"/>
      <c r="O5" s="16" t="s">
        <v>6534</v>
      </c>
      <c r="P5" s="16" t="str">
        <f>HYPERLINK("https://ceds.ed.gov/cedselementdetails.aspx?termid=17825")</f>
        <v>https://ceds.ed.gov/cedselementdetails.aspx?termid=17825</v>
      </c>
      <c r="Q5" s="16" t="str">
        <f>HYPERLINK("https://ceds.ed.gov/elementComment.aspx?elementName=Organization Identifier &amp;elementID=17825", "Click here to submit comment")</f>
        <v>Click here to submit comment</v>
      </c>
      <c r="R5" s="16">
        <v>49282</v>
      </c>
    </row>
    <row r="6" spans="1:18" x14ac:dyDescent="0.25">
      <c r="A6" s="16"/>
      <c r="B6" s="16"/>
      <c r="C6" s="16"/>
      <c r="D6" s="16"/>
      <c r="E6" s="16"/>
      <c r="F6" s="16"/>
      <c r="G6" s="16"/>
      <c r="H6" s="16"/>
      <c r="I6" s="16"/>
      <c r="J6" s="16"/>
      <c r="K6" s="16"/>
      <c r="L6" s="14"/>
      <c r="M6" s="16"/>
      <c r="N6" s="16"/>
      <c r="O6" s="16"/>
      <c r="P6" s="16"/>
      <c r="Q6" s="16"/>
      <c r="R6" s="16"/>
    </row>
    <row r="7" spans="1:18" ht="90" x14ac:dyDescent="0.25">
      <c r="A7" s="16"/>
      <c r="B7" s="16"/>
      <c r="C7" s="16"/>
      <c r="D7" s="16"/>
      <c r="E7" s="16"/>
      <c r="F7" s="16"/>
      <c r="G7" s="16"/>
      <c r="H7" s="16"/>
      <c r="I7" s="16"/>
      <c r="J7" s="16"/>
      <c r="K7" s="16"/>
      <c r="L7" s="14" t="s">
        <v>153</v>
      </c>
      <c r="M7" s="16"/>
      <c r="N7" s="16"/>
      <c r="O7" s="16"/>
      <c r="P7" s="16"/>
      <c r="Q7" s="16"/>
      <c r="R7" s="16"/>
    </row>
    <row r="8" spans="1:18" ht="255" x14ac:dyDescent="0.25">
      <c r="A8" s="14" t="s">
        <v>8529</v>
      </c>
      <c r="B8" s="14" t="s">
        <v>8530</v>
      </c>
      <c r="C8" s="14" t="s">
        <v>8533</v>
      </c>
      <c r="D8" s="14" t="s">
        <v>8531</v>
      </c>
      <c r="E8" s="14" t="s">
        <v>6524</v>
      </c>
      <c r="F8" s="14" t="s">
        <v>6525</v>
      </c>
      <c r="G8" s="8" t="s">
        <v>8534</v>
      </c>
      <c r="H8" s="14" t="s">
        <v>125</v>
      </c>
      <c r="I8" s="14"/>
      <c r="J8" s="14"/>
      <c r="K8" s="14"/>
      <c r="L8" s="14"/>
      <c r="M8" s="14" t="s">
        <v>6528</v>
      </c>
      <c r="N8" s="14"/>
      <c r="O8" s="14" t="s">
        <v>6529</v>
      </c>
      <c r="P8" s="14" t="str">
        <f>HYPERLINK("https://ceds.ed.gov/cedselementdetails.aspx?termid=17827")</f>
        <v>https://ceds.ed.gov/cedselementdetails.aspx?termid=17827</v>
      </c>
      <c r="Q8" s="14" t="str">
        <f>HYPERLINK("https://ceds.ed.gov/elementComment.aspx?elementName=Organization Identification System &amp;elementID=17827", "Click here to submit comment")</f>
        <v>Click here to submit comment</v>
      </c>
      <c r="R8" s="14">
        <v>49283</v>
      </c>
    </row>
    <row r="9" spans="1:18" ht="409.5" x14ac:dyDescent="0.25">
      <c r="A9" s="14" t="s">
        <v>8529</v>
      </c>
      <c r="B9" s="14" t="s">
        <v>8530</v>
      </c>
      <c r="C9" s="14" t="s">
        <v>8533</v>
      </c>
      <c r="D9" s="14" t="s">
        <v>8531</v>
      </c>
      <c r="E9" s="14" t="s">
        <v>6571</v>
      </c>
      <c r="F9" s="14" t="s">
        <v>6572</v>
      </c>
      <c r="G9" s="8" t="s">
        <v>8535</v>
      </c>
      <c r="H9" s="14"/>
      <c r="I9" s="14" t="s">
        <v>195</v>
      </c>
      <c r="J9" s="14"/>
      <c r="K9" s="14" t="s">
        <v>6574</v>
      </c>
      <c r="L9" s="14" t="s">
        <v>6575</v>
      </c>
      <c r="M9" s="14" t="s">
        <v>6576</v>
      </c>
      <c r="N9" s="14"/>
      <c r="O9" s="14" t="s">
        <v>6577</v>
      </c>
      <c r="P9" s="14" t="str">
        <f>HYPERLINK("https://ceds.ed.gov/cedselementdetails.aspx?termid=18165")</f>
        <v>https://ceds.ed.gov/cedselementdetails.aspx?termid=18165</v>
      </c>
      <c r="Q9" s="14" t="str">
        <f>HYPERLINK("https://ceds.ed.gov/elementComment.aspx?elementName=Organization Type &amp;elementID=18165", "Click here to submit comment")</f>
        <v>Click here to submit comment</v>
      </c>
      <c r="R9" s="14">
        <v>48785</v>
      </c>
    </row>
    <row r="10" spans="1:18" ht="45" x14ac:dyDescent="0.25">
      <c r="A10" s="14" t="s">
        <v>8529</v>
      </c>
      <c r="B10" s="14" t="s">
        <v>8530</v>
      </c>
      <c r="C10" s="14" t="s">
        <v>8533</v>
      </c>
      <c r="D10" s="14" t="s">
        <v>8531</v>
      </c>
      <c r="E10" s="14" t="s">
        <v>6545</v>
      </c>
      <c r="F10" s="14" t="s">
        <v>6546</v>
      </c>
      <c r="G10" s="14" t="s">
        <v>37</v>
      </c>
      <c r="H10" s="14" t="s">
        <v>238</v>
      </c>
      <c r="I10" s="14"/>
      <c r="J10" s="14" t="s">
        <v>175</v>
      </c>
      <c r="K10" s="14"/>
      <c r="L10" s="14"/>
      <c r="M10" s="14" t="s">
        <v>6548</v>
      </c>
      <c r="N10" s="14"/>
      <c r="O10" s="14" t="s">
        <v>6549</v>
      </c>
      <c r="P10" s="14" t="str">
        <f>HYPERLINK("https://ceds.ed.gov/cedselementdetails.aspx?termid=17204")</f>
        <v>https://ceds.ed.gov/cedselementdetails.aspx?termid=17204</v>
      </c>
      <c r="Q10" s="14" t="str">
        <f>HYPERLINK("https://ceds.ed.gov/elementComment.aspx?elementName=Organization Name &amp;elementID=17204", "Click here to submit comment")</f>
        <v>Click here to submit comment</v>
      </c>
      <c r="R10" s="14">
        <v>51380</v>
      </c>
    </row>
    <row r="11" spans="1:18" ht="409.5" x14ac:dyDescent="0.25">
      <c r="A11" s="14" t="s">
        <v>8529</v>
      </c>
      <c r="B11" s="14" t="s">
        <v>8530</v>
      </c>
      <c r="C11" s="14" t="s">
        <v>8533</v>
      </c>
      <c r="D11" s="14" t="s">
        <v>8531</v>
      </c>
      <c r="E11" s="14" t="s">
        <v>7975</v>
      </c>
      <c r="F11" s="14" t="s">
        <v>7976</v>
      </c>
      <c r="G11" s="8" t="s">
        <v>8536</v>
      </c>
      <c r="H11" s="14" t="s">
        <v>7981</v>
      </c>
      <c r="I11" s="14"/>
      <c r="J11" s="14"/>
      <c r="K11" s="14"/>
      <c r="L11" s="14"/>
      <c r="M11" s="14" t="s">
        <v>7979</v>
      </c>
      <c r="N11" s="14"/>
      <c r="O11" s="14" t="s">
        <v>7980</v>
      </c>
      <c r="P11" s="14" t="str">
        <f>HYPERLINK("https://ceds.ed.gov/cedselementdetails.aspx?termid=17414")</f>
        <v>https://ceds.ed.gov/cedselementdetails.aspx?termid=17414</v>
      </c>
      <c r="Q11" s="14" t="str">
        <f>HYPERLINK("https://ceds.ed.gov/elementComment.aspx?elementName=State ANSI Code &amp;elementID=17414", "Click here to submit comment")</f>
        <v>Click here to submit comment</v>
      </c>
      <c r="R11" s="14">
        <v>51389</v>
      </c>
    </row>
    <row r="12" spans="1:18" ht="75" x14ac:dyDescent="0.25">
      <c r="A12" s="14" t="s">
        <v>8529</v>
      </c>
      <c r="B12" s="14" t="s">
        <v>8530</v>
      </c>
      <c r="C12" s="14" t="s">
        <v>8533</v>
      </c>
      <c r="D12" s="14" t="s">
        <v>8531</v>
      </c>
      <c r="E12" s="14" t="s">
        <v>6561</v>
      </c>
      <c r="F12" s="14" t="s">
        <v>6562</v>
      </c>
      <c r="G12" s="8" t="s">
        <v>8537</v>
      </c>
      <c r="H12" s="14"/>
      <c r="I12" s="14" t="s">
        <v>195</v>
      </c>
      <c r="J12" s="14"/>
      <c r="K12" s="14" t="s">
        <v>2266</v>
      </c>
      <c r="L12" s="14"/>
      <c r="M12" s="14" t="s">
        <v>6565</v>
      </c>
      <c r="N12" s="14"/>
      <c r="O12" s="14" t="s">
        <v>6566</v>
      </c>
      <c r="P12" s="14" t="str">
        <f>HYPERLINK("https://ceds.ed.gov/cedselementdetails.aspx?termid=18886")</f>
        <v>https://ceds.ed.gov/cedselementdetails.aspx?termid=18886</v>
      </c>
      <c r="Q12" s="14" t="str">
        <f>HYPERLINK("https://ceds.ed.gov/elementComment.aspx?elementName=Organization Relationship Type &amp;elementID=18886", "Click here to submit comment")</f>
        <v>Click here to submit comment</v>
      </c>
      <c r="R12" s="14">
        <v>52008</v>
      </c>
    </row>
    <row r="13" spans="1:18" ht="90" x14ac:dyDescent="0.25">
      <c r="A13" s="14" t="s">
        <v>8529</v>
      </c>
      <c r="B13" s="14" t="s">
        <v>8530</v>
      </c>
      <c r="C13" s="14" t="s">
        <v>8538</v>
      </c>
      <c r="D13" s="14" t="s">
        <v>8531</v>
      </c>
      <c r="E13" s="14" t="s">
        <v>226</v>
      </c>
      <c r="F13" s="14" t="s">
        <v>227</v>
      </c>
      <c r="G13" s="8" t="s">
        <v>8539</v>
      </c>
      <c r="H13" s="14" t="s">
        <v>72</v>
      </c>
      <c r="I13" s="14"/>
      <c r="J13" s="14" t="s">
        <v>97</v>
      </c>
      <c r="K13" s="14"/>
      <c r="L13" s="14"/>
      <c r="M13" s="14" t="s">
        <v>230</v>
      </c>
      <c r="N13" s="14"/>
      <c r="O13" s="14" t="s">
        <v>231</v>
      </c>
      <c r="P13" s="14" t="str">
        <f>HYPERLINK("https://ceds.ed.gov/cedselementdetails.aspx?termid=17644")</f>
        <v>https://ceds.ed.gov/cedselementdetails.aspx?termid=17644</v>
      </c>
      <c r="Q13" s="14" t="str">
        <f>HYPERLINK("https://ceds.ed.gov/elementComment.aspx?elementName=Address Type for Organization &amp;elementID=17644", "Click here to submit comment")</f>
        <v>Click here to submit comment</v>
      </c>
      <c r="R13" s="14">
        <v>51206</v>
      </c>
    </row>
    <row r="14" spans="1:18" ht="225" x14ac:dyDescent="0.25">
      <c r="A14" s="14" t="s">
        <v>8529</v>
      </c>
      <c r="B14" s="14" t="s">
        <v>8530</v>
      </c>
      <c r="C14" s="14" t="s">
        <v>8538</v>
      </c>
      <c r="D14" s="14" t="s">
        <v>8531</v>
      </c>
      <c r="E14" s="14" t="s">
        <v>214</v>
      </c>
      <c r="F14" s="14" t="s">
        <v>215</v>
      </c>
      <c r="G14" s="14" t="s">
        <v>37</v>
      </c>
      <c r="H14" s="14" t="s">
        <v>199</v>
      </c>
      <c r="I14" s="14" t="s">
        <v>195</v>
      </c>
      <c r="J14" s="14" t="s">
        <v>216</v>
      </c>
      <c r="K14" s="14" t="s">
        <v>196</v>
      </c>
      <c r="L14" s="14"/>
      <c r="M14" s="14" t="s">
        <v>217</v>
      </c>
      <c r="N14" s="14"/>
      <c r="O14" s="14" t="s">
        <v>218</v>
      </c>
      <c r="P14" s="14" t="str">
        <f>HYPERLINK("https://ceds.ed.gov/cedselementdetails.aspx?termid=17269")</f>
        <v>https://ceds.ed.gov/cedselementdetails.aspx?termid=17269</v>
      </c>
      <c r="Q14" s="14" t="str">
        <f>HYPERLINK("https://ceds.ed.gov/elementComment.aspx?elementName=Address Street Number and Name &amp;elementID=17269", "Click here to submit comment")</f>
        <v>Click here to submit comment</v>
      </c>
      <c r="R14" s="14">
        <v>51205</v>
      </c>
    </row>
    <row r="15" spans="1:18" ht="225" x14ac:dyDescent="0.25">
      <c r="A15" s="14" t="s">
        <v>8529</v>
      </c>
      <c r="B15" s="14" t="s">
        <v>8530</v>
      </c>
      <c r="C15" s="14" t="s">
        <v>8538</v>
      </c>
      <c r="D15" s="14" t="s">
        <v>8531</v>
      </c>
      <c r="E15" s="14" t="s">
        <v>192</v>
      </c>
      <c r="F15" s="14" t="s">
        <v>193</v>
      </c>
      <c r="G15" s="14" t="s">
        <v>37</v>
      </c>
      <c r="H15" s="14" t="s">
        <v>199</v>
      </c>
      <c r="I15" s="14" t="s">
        <v>195</v>
      </c>
      <c r="J15" s="14" t="s">
        <v>175</v>
      </c>
      <c r="K15" s="14" t="s">
        <v>196</v>
      </c>
      <c r="L15" s="14"/>
      <c r="M15" s="14" t="s">
        <v>197</v>
      </c>
      <c r="N15" s="14"/>
      <c r="O15" s="14" t="s">
        <v>198</v>
      </c>
      <c r="P15" s="14" t="str">
        <f>HYPERLINK("https://ceds.ed.gov/cedselementdetails.aspx?termid=17019")</f>
        <v>https://ceds.ed.gov/cedselementdetails.aspx?termid=17019</v>
      </c>
      <c r="Q15" s="14" t="str">
        <f>HYPERLINK("https://ceds.ed.gov/elementComment.aspx?elementName=Address Apartment Room or Suite Number &amp;elementID=17019", "Click here to submit comment")</f>
        <v>Click here to submit comment</v>
      </c>
      <c r="R15" s="14">
        <v>51208</v>
      </c>
    </row>
    <row r="16" spans="1:18" ht="225" x14ac:dyDescent="0.25">
      <c r="A16" s="14" t="s">
        <v>8529</v>
      </c>
      <c r="B16" s="14" t="s">
        <v>8530</v>
      </c>
      <c r="C16" s="14" t="s">
        <v>8538</v>
      </c>
      <c r="D16" s="14" t="s">
        <v>8531</v>
      </c>
      <c r="E16" s="14" t="s">
        <v>200</v>
      </c>
      <c r="F16" s="14" t="s">
        <v>201</v>
      </c>
      <c r="G16" s="14" t="s">
        <v>37</v>
      </c>
      <c r="H16" s="14" t="s">
        <v>199</v>
      </c>
      <c r="I16" s="14"/>
      <c r="J16" s="14" t="s">
        <v>97</v>
      </c>
      <c r="K16" s="14"/>
      <c r="L16" s="14"/>
      <c r="M16" s="14" t="s">
        <v>202</v>
      </c>
      <c r="N16" s="14"/>
      <c r="O16" s="14" t="s">
        <v>203</v>
      </c>
      <c r="P16" s="14" t="str">
        <f>HYPERLINK("https://ceds.ed.gov/cedselementdetails.aspx?termid=17040")</f>
        <v>https://ceds.ed.gov/cedselementdetails.aspx?termid=17040</v>
      </c>
      <c r="Q16" s="14" t="str">
        <f>HYPERLINK("https://ceds.ed.gov/elementComment.aspx?elementName=Address City &amp;elementID=17040", "Click here to submit comment")</f>
        <v>Click here to submit comment</v>
      </c>
      <c r="R16" s="14">
        <v>51209</v>
      </c>
    </row>
    <row r="17" spans="1:18" ht="409.5" x14ac:dyDescent="0.25">
      <c r="A17" s="14" t="s">
        <v>8529</v>
      </c>
      <c r="B17" s="14" t="s">
        <v>8530</v>
      </c>
      <c r="C17" s="14" t="s">
        <v>8538</v>
      </c>
      <c r="D17" s="14" t="s">
        <v>8531</v>
      </c>
      <c r="E17" s="14" t="s">
        <v>7960</v>
      </c>
      <c r="F17" s="14" t="s">
        <v>7961</v>
      </c>
      <c r="G17" s="8" t="s">
        <v>8540</v>
      </c>
      <c r="H17" s="14" t="s">
        <v>7964</v>
      </c>
      <c r="I17" s="14"/>
      <c r="J17" s="14"/>
      <c r="K17" s="14"/>
      <c r="L17" s="14"/>
      <c r="M17" s="14" t="s">
        <v>7962</v>
      </c>
      <c r="N17" s="14"/>
      <c r="O17" s="14" t="s">
        <v>7963</v>
      </c>
      <c r="P17" s="14" t="str">
        <f>HYPERLINK("https://ceds.ed.gov/cedselementdetails.aspx?termid=17267")</f>
        <v>https://ceds.ed.gov/cedselementdetails.aspx?termid=17267</v>
      </c>
      <c r="Q17" s="14" t="str">
        <f>HYPERLINK("https://ceds.ed.gov/elementComment.aspx?elementName=State Abbreviation &amp;elementID=17267", "Click here to submit comment")</f>
        <v>Click here to submit comment</v>
      </c>
      <c r="R17" s="14">
        <v>51211</v>
      </c>
    </row>
    <row r="18" spans="1:18" ht="225" x14ac:dyDescent="0.25">
      <c r="A18" s="14" t="s">
        <v>8529</v>
      </c>
      <c r="B18" s="14" t="s">
        <v>8530</v>
      </c>
      <c r="C18" s="14" t="s">
        <v>8538</v>
      </c>
      <c r="D18" s="14" t="s">
        <v>8531</v>
      </c>
      <c r="E18" s="14" t="s">
        <v>209</v>
      </c>
      <c r="F18" s="14" t="s">
        <v>210</v>
      </c>
      <c r="G18" s="14" t="s">
        <v>37</v>
      </c>
      <c r="H18" s="14" t="s">
        <v>199</v>
      </c>
      <c r="I18" s="14"/>
      <c r="J18" s="14" t="s">
        <v>211</v>
      </c>
      <c r="K18" s="14"/>
      <c r="L18" s="14"/>
      <c r="M18" s="14" t="s">
        <v>212</v>
      </c>
      <c r="N18" s="14"/>
      <c r="O18" s="14" t="s">
        <v>213</v>
      </c>
      <c r="P18" s="14" t="str">
        <f>HYPERLINK("https://ceds.ed.gov/cedselementdetails.aspx?termid=17214")</f>
        <v>https://ceds.ed.gov/cedselementdetails.aspx?termid=17214</v>
      </c>
      <c r="Q18" s="14" t="str">
        <f>HYPERLINK("https://ceds.ed.gov/elementComment.aspx?elementName=Address Postal Code &amp;elementID=17214", "Click here to submit comment")</f>
        <v>Click here to submit comment</v>
      </c>
      <c r="R18" s="14">
        <v>51210</v>
      </c>
    </row>
    <row r="19" spans="1:18" ht="225" x14ac:dyDescent="0.25">
      <c r="A19" s="14" t="s">
        <v>8529</v>
      </c>
      <c r="B19" s="14" t="s">
        <v>8530</v>
      </c>
      <c r="C19" s="14" t="s">
        <v>8538</v>
      </c>
      <c r="D19" s="14" t="s">
        <v>8531</v>
      </c>
      <c r="E19" s="14" t="s">
        <v>204</v>
      </c>
      <c r="F19" s="14" t="s">
        <v>205</v>
      </c>
      <c r="G19" s="14" t="s">
        <v>37</v>
      </c>
      <c r="H19" s="14" t="s">
        <v>199</v>
      </c>
      <c r="I19" s="14"/>
      <c r="J19" s="14" t="s">
        <v>97</v>
      </c>
      <c r="K19" s="14"/>
      <c r="L19" s="14"/>
      <c r="M19" s="14" t="s">
        <v>207</v>
      </c>
      <c r="N19" s="14"/>
      <c r="O19" s="14" t="s">
        <v>208</v>
      </c>
      <c r="P19" s="14" t="str">
        <f>HYPERLINK("https://ceds.ed.gov/cedselementdetails.aspx?termid=17190")</f>
        <v>https://ceds.ed.gov/cedselementdetails.aspx?termid=17190</v>
      </c>
      <c r="Q19" s="14" t="str">
        <f>HYPERLINK("https://ceds.ed.gov/elementComment.aspx?elementName=Address County Name &amp;elementID=17190", "Click here to submit comment")</f>
        <v>Click here to submit comment</v>
      </c>
      <c r="R19" s="14">
        <v>51204</v>
      </c>
    </row>
    <row r="20" spans="1:18" ht="195" x14ac:dyDescent="0.25">
      <c r="A20" s="14" t="s">
        <v>8529</v>
      </c>
      <c r="B20" s="14" t="s">
        <v>8530</v>
      </c>
      <c r="C20" s="14" t="s">
        <v>8538</v>
      </c>
      <c r="D20" s="14" t="s">
        <v>8531</v>
      </c>
      <c r="E20" s="14" t="s">
        <v>2860</v>
      </c>
      <c r="F20" s="14" t="s">
        <v>2861</v>
      </c>
      <c r="G20" s="14" t="s">
        <v>37</v>
      </c>
      <c r="H20" s="14"/>
      <c r="I20" s="14" t="s">
        <v>195</v>
      </c>
      <c r="J20" s="14" t="s">
        <v>2863</v>
      </c>
      <c r="K20" s="14" t="s">
        <v>2864</v>
      </c>
      <c r="L20" s="14"/>
      <c r="M20" s="14" t="s">
        <v>2865</v>
      </c>
      <c r="N20" s="14"/>
      <c r="O20" s="14" t="s">
        <v>2866</v>
      </c>
      <c r="P20" s="14" t="str">
        <f>HYPERLINK("https://ceds.ed.gov/cedselementdetails.aspx?termid=18176")</f>
        <v>https://ceds.ed.gov/cedselementdetails.aspx?termid=18176</v>
      </c>
      <c r="Q20" s="14" t="str">
        <f>HYPERLINK("https://ceds.ed.gov/elementComment.aspx?elementName=County ANSI Code &amp;elementID=18176", "Click here to submit comment")</f>
        <v>Click here to submit comment</v>
      </c>
      <c r="R20" s="14">
        <v>51207</v>
      </c>
    </row>
    <row r="21" spans="1:18" ht="45" x14ac:dyDescent="0.25">
      <c r="A21" s="14" t="s">
        <v>8529</v>
      </c>
      <c r="B21" s="14" t="s">
        <v>8530</v>
      </c>
      <c r="C21" s="14" t="s">
        <v>8538</v>
      </c>
      <c r="D21" s="14" t="s">
        <v>8531</v>
      </c>
      <c r="E21" s="14" t="s">
        <v>2039</v>
      </c>
      <c r="F21" s="14" t="s">
        <v>2040</v>
      </c>
      <c r="G21" s="14" t="s">
        <v>37</v>
      </c>
      <c r="H21" s="14"/>
      <c r="I21" s="14" t="s">
        <v>195</v>
      </c>
      <c r="J21" s="14" t="s">
        <v>175</v>
      </c>
      <c r="K21" s="14" t="s">
        <v>196</v>
      </c>
      <c r="L21" s="14"/>
      <c r="M21" s="14" t="s">
        <v>2042</v>
      </c>
      <c r="N21" s="14"/>
      <c r="O21" s="14" t="s">
        <v>2043</v>
      </c>
      <c r="P21" s="14" t="str">
        <f>HYPERLINK("https://ceds.ed.gov/cedselementdetails.aspx?termid=17595")</f>
        <v>https://ceds.ed.gov/cedselementdetails.aspx?termid=17595</v>
      </c>
      <c r="Q21" s="14" t="str">
        <f>HYPERLINK("https://ceds.ed.gov/elementComment.aspx?elementName=Building Site Number &amp;elementID=17595", "Click here to submit comment")</f>
        <v>Click here to submit comment</v>
      </c>
      <c r="R21" s="14">
        <v>51473</v>
      </c>
    </row>
    <row r="22" spans="1:18" ht="75" x14ac:dyDescent="0.25">
      <c r="A22" s="14" t="s">
        <v>8529</v>
      </c>
      <c r="B22" s="14" t="s">
        <v>8530</v>
      </c>
      <c r="C22" s="14" t="s">
        <v>8538</v>
      </c>
      <c r="D22" s="14" t="s">
        <v>8531</v>
      </c>
      <c r="E22" s="14" t="s">
        <v>5736</v>
      </c>
      <c r="F22" s="14" t="s">
        <v>5737</v>
      </c>
      <c r="G22" s="14" t="s">
        <v>37</v>
      </c>
      <c r="H22" s="14"/>
      <c r="I22" s="14"/>
      <c r="J22" s="14" t="s">
        <v>1307</v>
      </c>
      <c r="K22" s="14"/>
      <c r="L22" s="14"/>
      <c r="M22" s="14" t="s">
        <v>5739</v>
      </c>
      <c r="N22" s="14"/>
      <c r="O22" s="14" t="s">
        <v>5736</v>
      </c>
      <c r="P22" s="14" t="str">
        <f>HYPERLINK("https://ceds.ed.gov/cedselementdetails.aspx?termid=17599")</f>
        <v>https://ceds.ed.gov/cedselementdetails.aspx?termid=17599</v>
      </c>
      <c r="Q22" s="14" t="str">
        <f>HYPERLINK("https://ceds.ed.gov/elementComment.aspx?elementName=Latitude &amp;elementID=17599", "Click here to submit comment")</f>
        <v>Click here to submit comment</v>
      </c>
      <c r="R22" s="14">
        <v>51275</v>
      </c>
    </row>
    <row r="23" spans="1:18" ht="75" x14ac:dyDescent="0.25">
      <c r="A23" s="14" t="s">
        <v>8529</v>
      </c>
      <c r="B23" s="14" t="s">
        <v>8530</v>
      </c>
      <c r="C23" s="14" t="s">
        <v>8538</v>
      </c>
      <c r="D23" s="14" t="s">
        <v>8531</v>
      </c>
      <c r="E23" s="14" t="s">
        <v>6174</v>
      </c>
      <c r="F23" s="14" t="s">
        <v>6175</v>
      </c>
      <c r="G23" s="14" t="s">
        <v>37</v>
      </c>
      <c r="H23" s="14"/>
      <c r="I23" s="14"/>
      <c r="J23" s="14" t="s">
        <v>1307</v>
      </c>
      <c r="K23" s="14"/>
      <c r="L23" s="14"/>
      <c r="M23" s="14" t="s">
        <v>6176</v>
      </c>
      <c r="N23" s="14"/>
      <c r="O23" s="14" t="s">
        <v>6174</v>
      </c>
      <c r="P23" s="14" t="str">
        <f>HYPERLINK("https://ceds.ed.gov/cedselementdetails.aspx?termid=17600")</f>
        <v>https://ceds.ed.gov/cedselementdetails.aspx?termid=17600</v>
      </c>
      <c r="Q23" s="14" t="str">
        <f>HYPERLINK("https://ceds.ed.gov/elementComment.aspx?elementName=Longitude &amp;elementID=17600", "Click here to submit comment")</f>
        <v>Click here to submit comment</v>
      </c>
      <c r="R23" s="14">
        <v>51298</v>
      </c>
    </row>
    <row r="24" spans="1:18" ht="60" x14ac:dyDescent="0.25">
      <c r="A24" s="14" t="s">
        <v>8529</v>
      </c>
      <c r="B24" s="14" t="s">
        <v>8530</v>
      </c>
      <c r="C24" s="14" t="s">
        <v>8538</v>
      </c>
      <c r="D24" s="14" t="s">
        <v>8541</v>
      </c>
      <c r="E24" s="14" t="s">
        <v>3651</v>
      </c>
      <c r="F24" s="14" t="s">
        <v>3652</v>
      </c>
      <c r="G24" s="14" t="s">
        <v>3430</v>
      </c>
      <c r="H24" s="14"/>
      <c r="I24" s="14" t="s">
        <v>188</v>
      </c>
      <c r="J24" s="14"/>
      <c r="K24" s="14" t="s">
        <v>1721</v>
      </c>
      <c r="L24" s="14"/>
      <c r="M24" s="14" t="s">
        <v>3654</v>
      </c>
      <c r="N24" s="14"/>
      <c r="O24" s="14" t="s">
        <v>3655</v>
      </c>
      <c r="P24" s="14" t="str">
        <f>HYPERLINK("https://ceds.ed.gov/cedselementdetails.aspx?termid=18905")</f>
        <v>https://ceds.ed.gov/cedselementdetails.aspx?termid=18905</v>
      </c>
      <c r="Q24" s="14" t="str">
        <f>HYPERLINK("https://ceds.ed.gov/elementComment.aspx?elementName=Do Not Publish Indicator &amp;elementID=18905", "Click here to submit comment")</f>
        <v>Click here to submit comment</v>
      </c>
      <c r="R24" s="14">
        <v>52273</v>
      </c>
    </row>
    <row r="25" spans="1:18" ht="90" x14ac:dyDescent="0.25">
      <c r="A25" s="14" t="s">
        <v>8529</v>
      </c>
      <c r="B25" s="14" t="s">
        <v>8530</v>
      </c>
      <c r="C25" s="14" t="s">
        <v>8542</v>
      </c>
      <c r="D25" s="14" t="s">
        <v>8531</v>
      </c>
      <c r="E25" s="14" t="s">
        <v>8217</v>
      </c>
      <c r="F25" s="14" t="s">
        <v>8218</v>
      </c>
      <c r="G25" s="14" t="s">
        <v>37</v>
      </c>
      <c r="H25" s="14" t="s">
        <v>72</v>
      </c>
      <c r="I25" s="14"/>
      <c r="J25" s="14" t="s">
        <v>8220</v>
      </c>
      <c r="K25" s="14"/>
      <c r="L25" s="14"/>
      <c r="M25" s="14" t="s">
        <v>8221</v>
      </c>
      <c r="N25" s="14"/>
      <c r="O25" s="14" t="s">
        <v>8222</v>
      </c>
      <c r="P25" s="14" t="str">
        <f>HYPERLINK("https://ceds.ed.gov/cedselementdetails.aspx?termid=17279")</f>
        <v>https://ceds.ed.gov/cedselementdetails.aspx?termid=17279</v>
      </c>
      <c r="Q25" s="14" t="str">
        <f>HYPERLINK("https://ceds.ed.gov/elementComment.aspx?elementName=Telephone Number &amp;elementID=17279", "Click here to submit comment")</f>
        <v>Click here to submit comment</v>
      </c>
      <c r="R25" s="14">
        <v>51213</v>
      </c>
    </row>
    <row r="26" spans="1:18" ht="150" x14ac:dyDescent="0.25">
      <c r="A26" s="14" t="s">
        <v>8529</v>
      </c>
      <c r="B26" s="14" t="s">
        <v>8530</v>
      </c>
      <c r="C26" s="14" t="s">
        <v>8542</v>
      </c>
      <c r="D26" s="14" t="s">
        <v>8531</v>
      </c>
      <c r="E26" s="14" t="s">
        <v>5485</v>
      </c>
      <c r="F26" s="14" t="s">
        <v>5486</v>
      </c>
      <c r="G26" s="8" t="s">
        <v>8543</v>
      </c>
      <c r="H26" s="14"/>
      <c r="I26" s="14"/>
      <c r="J26" s="14"/>
      <c r="K26" s="14"/>
      <c r="L26" s="14"/>
      <c r="M26" s="14" t="s">
        <v>5489</v>
      </c>
      <c r="N26" s="14"/>
      <c r="O26" s="14" t="s">
        <v>5490</v>
      </c>
      <c r="P26" s="14" t="str">
        <f>HYPERLINK("https://ceds.ed.gov/cedselementdetails.aspx?termid=17167")</f>
        <v>https://ceds.ed.gov/cedselementdetails.aspx?termid=17167</v>
      </c>
      <c r="Q26" s="14" t="str">
        <f>HYPERLINK("https://ceds.ed.gov/elementComment.aspx?elementName=Institution Telephone Number Type &amp;elementID=17167", "Click here to submit comment")</f>
        <v>Click here to submit comment</v>
      </c>
      <c r="R26" s="14">
        <v>51212</v>
      </c>
    </row>
    <row r="27" spans="1:18" ht="90" x14ac:dyDescent="0.25">
      <c r="A27" s="14" t="s">
        <v>8529</v>
      </c>
      <c r="B27" s="14" t="s">
        <v>8530</v>
      </c>
      <c r="C27" s="14" t="s">
        <v>8542</v>
      </c>
      <c r="D27" s="14" t="s">
        <v>8531</v>
      </c>
      <c r="E27" s="14" t="s">
        <v>6865</v>
      </c>
      <c r="F27" s="14" t="s">
        <v>6866</v>
      </c>
      <c r="G27" s="14" t="s">
        <v>24</v>
      </c>
      <c r="H27" s="14" t="s">
        <v>72</v>
      </c>
      <c r="I27" s="14"/>
      <c r="J27" s="14"/>
      <c r="K27" s="14"/>
      <c r="L27" s="14"/>
      <c r="M27" s="14" t="s">
        <v>6868</v>
      </c>
      <c r="N27" s="14"/>
      <c r="O27" s="14" t="s">
        <v>6869</v>
      </c>
      <c r="P27" s="14" t="str">
        <f>HYPERLINK("https://ceds.ed.gov/cedselementdetails.aspx?termid=17219")</f>
        <v>https://ceds.ed.gov/cedselementdetails.aspx?termid=17219</v>
      </c>
      <c r="Q27" s="14" t="str">
        <f>HYPERLINK("https://ceds.ed.gov/elementComment.aspx?elementName=Primary Telephone Number Indicator &amp;elementID=17219", "Click here to submit comment")</f>
        <v>Click here to submit comment</v>
      </c>
      <c r="R27" s="14">
        <v>51214</v>
      </c>
    </row>
    <row r="28" spans="1:18" ht="60" x14ac:dyDescent="0.25">
      <c r="A28" s="14" t="s">
        <v>8529</v>
      </c>
      <c r="B28" s="14" t="s">
        <v>8530</v>
      </c>
      <c r="C28" s="14" t="s">
        <v>8542</v>
      </c>
      <c r="D28" s="14" t="s">
        <v>8541</v>
      </c>
      <c r="E28" s="14" t="s">
        <v>3651</v>
      </c>
      <c r="F28" s="14" t="s">
        <v>3652</v>
      </c>
      <c r="G28" s="14" t="s">
        <v>3430</v>
      </c>
      <c r="H28" s="14"/>
      <c r="I28" s="14" t="s">
        <v>188</v>
      </c>
      <c r="J28" s="14"/>
      <c r="K28" s="14" t="s">
        <v>1721</v>
      </c>
      <c r="L28" s="14"/>
      <c r="M28" s="14" t="s">
        <v>3654</v>
      </c>
      <c r="N28" s="14"/>
      <c r="O28" s="14" t="s">
        <v>3655</v>
      </c>
      <c r="P28" s="14" t="str">
        <f>HYPERLINK("https://ceds.ed.gov/cedselementdetails.aspx?termid=18905")</f>
        <v>https://ceds.ed.gov/cedselementdetails.aspx?termid=18905</v>
      </c>
      <c r="Q28" s="14" t="str">
        <f>HYPERLINK("https://ceds.ed.gov/elementComment.aspx?elementName=Do Not Publish Indicator &amp;elementID=18905", "Click here to submit comment")</f>
        <v>Click here to submit comment</v>
      </c>
      <c r="R28" s="14">
        <v>52278</v>
      </c>
    </row>
    <row r="29" spans="1:18" ht="60" x14ac:dyDescent="0.25">
      <c r="A29" s="14" t="s">
        <v>8529</v>
      </c>
      <c r="B29" s="14" t="s">
        <v>8530</v>
      </c>
      <c r="C29" s="14" t="s">
        <v>8542</v>
      </c>
      <c r="D29" s="14" t="s">
        <v>8541</v>
      </c>
      <c r="E29" s="14" t="s">
        <v>8223</v>
      </c>
      <c r="F29" s="14" t="s">
        <v>8224</v>
      </c>
      <c r="G29" s="8" t="s">
        <v>8544</v>
      </c>
      <c r="H29" s="14"/>
      <c r="I29" s="14" t="s">
        <v>188</v>
      </c>
      <c r="J29" s="14"/>
      <c r="K29" s="14" t="s">
        <v>1721</v>
      </c>
      <c r="L29" s="14"/>
      <c r="M29" s="14" t="s">
        <v>8227</v>
      </c>
      <c r="N29" s="14"/>
      <c r="O29" s="14" t="s">
        <v>8228</v>
      </c>
      <c r="P29" s="14" t="str">
        <f>HYPERLINK("https://ceds.ed.gov/cedselementdetails.aspx?termid=18911")</f>
        <v>https://ceds.ed.gov/cedselementdetails.aspx?termid=18911</v>
      </c>
      <c r="Q29" s="14" t="str">
        <f>HYPERLINK("https://ceds.ed.gov/elementComment.aspx?elementName=Telephone Number Listed Status &amp;elementID=18911", "Click here to submit comment")</f>
        <v>Click here to submit comment</v>
      </c>
      <c r="R29" s="14">
        <v>52279</v>
      </c>
    </row>
    <row r="30" spans="1:18" ht="90" x14ac:dyDescent="0.25">
      <c r="A30" s="14" t="s">
        <v>8529</v>
      </c>
      <c r="B30" s="14" t="s">
        <v>8530</v>
      </c>
      <c r="C30" s="14" t="s">
        <v>8545</v>
      </c>
      <c r="D30" s="14" t="s">
        <v>8531</v>
      </c>
      <c r="E30" s="14" t="s">
        <v>6758</v>
      </c>
      <c r="F30" s="14" t="s">
        <v>6759</v>
      </c>
      <c r="G30" s="14" t="s">
        <v>37</v>
      </c>
      <c r="H30" s="14" t="s">
        <v>72</v>
      </c>
      <c r="I30" s="14"/>
      <c r="J30" s="14" t="s">
        <v>1510</v>
      </c>
      <c r="K30" s="14"/>
      <c r="L30" s="14"/>
      <c r="M30" s="14" t="s">
        <v>6761</v>
      </c>
      <c r="N30" s="14"/>
      <c r="O30" s="14" t="s">
        <v>6762</v>
      </c>
      <c r="P30" s="14" t="str">
        <f>HYPERLINK("https://ceds.ed.gov/cedselementdetails.aspx?termid=17213")</f>
        <v>https://ceds.ed.gov/cedselementdetails.aspx?termid=17213</v>
      </c>
      <c r="Q30" s="14" t="str">
        <f>HYPERLINK("https://ceds.ed.gov/elementComment.aspx?elementName=Position Title &amp;elementID=17213", "Click here to submit comment")</f>
        <v>Click here to submit comment</v>
      </c>
      <c r="R30" s="14">
        <v>51474</v>
      </c>
    </row>
    <row r="31" spans="1:18" ht="90" x14ac:dyDescent="0.25">
      <c r="A31" s="14" t="s">
        <v>8529</v>
      </c>
      <c r="B31" s="14" t="s">
        <v>8530</v>
      </c>
      <c r="C31" s="14" t="s">
        <v>8545</v>
      </c>
      <c r="D31" s="14" t="s">
        <v>8531</v>
      </c>
      <c r="E31" s="14" t="s">
        <v>6852</v>
      </c>
      <c r="F31" s="14" t="s">
        <v>6853</v>
      </c>
      <c r="G31" s="14" t="s">
        <v>24</v>
      </c>
      <c r="H31" s="14"/>
      <c r="I31" s="14"/>
      <c r="J31" s="14"/>
      <c r="K31" s="14"/>
      <c r="L31" s="14"/>
      <c r="M31" s="14" t="s">
        <v>6855</v>
      </c>
      <c r="N31" s="14"/>
      <c r="O31" s="14" t="s">
        <v>6856</v>
      </c>
      <c r="P31" s="14" t="str">
        <f>HYPERLINK("https://ceds.ed.gov/cedselementdetails.aspx?termid=18397")</f>
        <v>https://ceds.ed.gov/cedselementdetails.aspx?termid=18397</v>
      </c>
      <c r="Q31" s="14" t="str">
        <f>HYPERLINK("https://ceds.ed.gov/elementComment.aspx?elementName=Primary Contact Indicator &amp;elementID=18397", "Click here to submit comment")</f>
        <v>Click here to submit comment</v>
      </c>
      <c r="R31" s="14">
        <v>51475</v>
      </c>
    </row>
    <row r="32" spans="1:18" ht="45" x14ac:dyDescent="0.25">
      <c r="A32" s="14" t="s">
        <v>8529</v>
      </c>
      <c r="B32" s="14" t="s">
        <v>8530</v>
      </c>
      <c r="C32" s="14" t="s">
        <v>8545</v>
      </c>
      <c r="D32" s="14" t="s">
        <v>8531</v>
      </c>
      <c r="E32" s="14" t="s">
        <v>8467</v>
      </c>
      <c r="F32" s="14" t="s">
        <v>8468</v>
      </c>
      <c r="G32" s="14" t="s">
        <v>37</v>
      </c>
      <c r="H32" s="14" t="s">
        <v>258</v>
      </c>
      <c r="I32" s="14"/>
      <c r="J32" s="14" t="s">
        <v>129</v>
      </c>
      <c r="K32" s="14"/>
      <c r="L32" s="14"/>
      <c r="M32" s="14" t="s">
        <v>8470</v>
      </c>
      <c r="N32" s="14"/>
      <c r="O32" s="14" t="s">
        <v>8471</v>
      </c>
      <c r="P32" s="14" t="str">
        <f>HYPERLINK("https://ceds.ed.gov/cedselementdetails.aspx?termid=17300")</f>
        <v>https://ceds.ed.gov/cedselementdetails.aspx?termid=17300</v>
      </c>
      <c r="Q32" s="14" t="str">
        <f>HYPERLINK("https://ceds.ed.gov/elementComment.aspx?elementName=Web Site Address &amp;elementID=17300", "Click here to submit comment")</f>
        <v>Click here to submit comment</v>
      </c>
      <c r="R32" s="14">
        <v>51174</v>
      </c>
    </row>
    <row r="33" spans="1:18" ht="195" x14ac:dyDescent="0.25">
      <c r="A33" s="14" t="s">
        <v>8529</v>
      </c>
      <c r="B33" s="14" t="s">
        <v>8530</v>
      </c>
      <c r="C33" s="14" t="s">
        <v>8546</v>
      </c>
      <c r="D33" s="14" t="s">
        <v>8531</v>
      </c>
      <c r="E33" s="14" t="s">
        <v>4667</v>
      </c>
      <c r="F33" s="14" t="s">
        <v>4668</v>
      </c>
      <c r="G33" s="14" t="s">
        <v>37</v>
      </c>
      <c r="H33" s="14" t="s">
        <v>4673</v>
      </c>
      <c r="I33" s="14"/>
      <c r="J33" s="14" t="s">
        <v>1468</v>
      </c>
      <c r="K33" s="14"/>
      <c r="L33" s="14" t="s">
        <v>4670</v>
      </c>
      <c r="M33" s="14" t="s">
        <v>4671</v>
      </c>
      <c r="N33" s="14"/>
      <c r="O33" s="14" t="s">
        <v>4672</v>
      </c>
      <c r="P33" s="14" t="str">
        <f>HYPERLINK("https://ceds.ed.gov/cedselementdetails.aspx?termid=17115")</f>
        <v>https://ceds.ed.gov/cedselementdetails.aspx?termid=17115</v>
      </c>
      <c r="Q33" s="14" t="str">
        <f>HYPERLINK("https://ceds.ed.gov/elementComment.aspx?elementName=First Name &amp;elementID=17115", "Click here to submit comment")</f>
        <v>Click here to submit comment</v>
      </c>
      <c r="R33" s="14">
        <v>51477</v>
      </c>
    </row>
    <row r="34" spans="1:18" x14ac:dyDescent="0.25">
      <c r="A34" s="16" t="s">
        <v>8529</v>
      </c>
      <c r="B34" s="16" t="s">
        <v>8530</v>
      </c>
      <c r="C34" s="16" t="s">
        <v>8546</v>
      </c>
      <c r="D34" s="16" t="s">
        <v>8531</v>
      </c>
      <c r="E34" s="16" t="s">
        <v>6223</v>
      </c>
      <c r="F34" s="16" t="s">
        <v>6224</v>
      </c>
      <c r="G34" s="16" t="s">
        <v>37</v>
      </c>
      <c r="H34" s="16" t="s">
        <v>4673</v>
      </c>
      <c r="I34" s="16"/>
      <c r="J34" s="16" t="s">
        <v>1468</v>
      </c>
      <c r="K34" s="16"/>
      <c r="L34" s="14" t="s">
        <v>4746</v>
      </c>
      <c r="M34" s="16" t="s">
        <v>6226</v>
      </c>
      <c r="N34" s="16"/>
      <c r="O34" s="16" t="s">
        <v>6227</v>
      </c>
      <c r="P34" s="16" t="str">
        <f>HYPERLINK("https://ceds.ed.gov/cedselementdetails.aspx?termid=17184")</f>
        <v>https://ceds.ed.gov/cedselementdetails.aspx?termid=17184</v>
      </c>
      <c r="Q34" s="16" t="str">
        <f>HYPERLINK("https://ceds.ed.gov/elementComment.aspx?elementName=Middle Name &amp;elementID=17184", "Click here to submit comment")</f>
        <v>Click here to submit comment</v>
      </c>
      <c r="R34" s="16">
        <v>51480</v>
      </c>
    </row>
    <row r="35" spans="1:18" ht="90" x14ac:dyDescent="0.25">
      <c r="A35" s="16"/>
      <c r="B35" s="16"/>
      <c r="C35" s="16"/>
      <c r="D35" s="16"/>
      <c r="E35" s="16"/>
      <c r="F35" s="16"/>
      <c r="G35" s="16"/>
      <c r="H35" s="16"/>
      <c r="I35" s="16"/>
      <c r="J35" s="16"/>
      <c r="K35" s="16"/>
      <c r="L35" s="14" t="s">
        <v>4750</v>
      </c>
      <c r="M35" s="16"/>
      <c r="N35" s="16"/>
      <c r="O35" s="16"/>
      <c r="P35" s="16"/>
      <c r="Q35" s="16"/>
      <c r="R35" s="16"/>
    </row>
    <row r="36" spans="1:18" x14ac:dyDescent="0.25">
      <c r="A36" s="16" t="s">
        <v>8529</v>
      </c>
      <c r="B36" s="16" t="s">
        <v>8530</v>
      </c>
      <c r="C36" s="16" t="s">
        <v>8546</v>
      </c>
      <c r="D36" s="16" t="s">
        <v>8531</v>
      </c>
      <c r="E36" s="16" t="s">
        <v>5727</v>
      </c>
      <c r="F36" s="16" t="s">
        <v>5728</v>
      </c>
      <c r="G36" s="16" t="s">
        <v>37</v>
      </c>
      <c r="H36" s="16" t="s">
        <v>4673</v>
      </c>
      <c r="I36" s="16"/>
      <c r="J36" s="16" t="s">
        <v>1468</v>
      </c>
      <c r="K36" s="16"/>
      <c r="L36" s="14" t="s">
        <v>4746</v>
      </c>
      <c r="M36" s="16" t="s">
        <v>5729</v>
      </c>
      <c r="N36" s="16" t="s">
        <v>5730</v>
      </c>
      <c r="O36" s="16" t="s">
        <v>5731</v>
      </c>
      <c r="P36" s="16" t="str">
        <f>HYPERLINK("https://ceds.ed.gov/cedselementdetails.aspx?termid=17172")</f>
        <v>https://ceds.ed.gov/cedselementdetails.aspx?termid=17172</v>
      </c>
      <c r="Q36" s="16" t="str">
        <f>HYPERLINK("https://ceds.ed.gov/elementComment.aspx?elementName=Last or Surname &amp;elementID=17172", "Click here to submit comment")</f>
        <v>Click here to submit comment</v>
      </c>
      <c r="R36" s="16">
        <v>51479</v>
      </c>
    </row>
    <row r="37" spans="1:18" ht="90" x14ac:dyDescent="0.25">
      <c r="A37" s="16"/>
      <c r="B37" s="16"/>
      <c r="C37" s="16"/>
      <c r="D37" s="16"/>
      <c r="E37" s="16"/>
      <c r="F37" s="16"/>
      <c r="G37" s="16"/>
      <c r="H37" s="16"/>
      <c r="I37" s="16"/>
      <c r="J37" s="16"/>
      <c r="K37" s="16"/>
      <c r="L37" s="14" t="s">
        <v>4750</v>
      </c>
      <c r="M37" s="16"/>
      <c r="N37" s="16"/>
      <c r="O37" s="16"/>
      <c r="P37" s="16"/>
      <c r="Q37" s="16"/>
      <c r="R37" s="16"/>
    </row>
    <row r="38" spans="1:18" x14ac:dyDescent="0.25">
      <c r="A38" s="16" t="s">
        <v>8529</v>
      </c>
      <c r="B38" s="16" t="s">
        <v>8530</v>
      </c>
      <c r="C38" s="16" t="s">
        <v>8546</v>
      </c>
      <c r="D38" s="16" t="s">
        <v>8531</v>
      </c>
      <c r="E38" s="16" t="s">
        <v>4743</v>
      </c>
      <c r="F38" s="16" t="s">
        <v>4744</v>
      </c>
      <c r="G38" s="16" t="s">
        <v>37</v>
      </c>
      <c r="H38" s="16" t="s">
        <v>4749</v>
      </c>
      <c r="I38" s="16"/>
      <c r="J38" s="16" t="s">
        <v>3096</v>
      </c>
      <c r="K38" s="16"/>
      <c r="L38" s="14" t="s">
        <v>4746</v>
      </c>
      <c r="M38" s="16" t="s">
        <v>4747</v>
      </c>
      <c r="N38" s="16"/>
      <c r="O38" s="16" t="s">
        <v>4748</v>
      </c>
      <c r="P38" s="16" t="str">
        <f>HYPERLINK("https://ceds.ed.gov/cedselementdetails.aspx?termid=17121")</f>
        <v>https://ceds.ed.gov/cedselementdetails.aspx?termid=17121</v>
      </c>
      <c r="Q38" s="16" t="str">
        <f>HYPERLINK("https://ceds.ed.gov/elementComment.aspx?elementName=Generation Code or Suffix &amp;elementID=17121", "Click here to submit comment")</f>
        <v>Click here to submit comment</v>
      </c>
      <c r="R38" s="16">
        <v>51478</v>
      </c>
    </row>
    <row r="39" spans="1:18" ht="90" x14ac:dyDescent="0.25">
      <c r="A39" s="16"/>
      <c r="B39" s="16"/>
      <c r="C39" s="16"/>
      <c r="D39" s="16"/>
      <c r="E39" s="16"/>
      <c r="F39" s="16"/>
      <c r="G39" s="16"/>
      <c r="H39" s="16"/>
      <c r="I39" s="16"/>
      <c r="J39" s="16"/>
      <c r="K39" s="16"/>
      <c r="L39" s="14" t="s">
        <v>4750</v>
      </c>
      <c r="M39" s="16"/>
      <c r="N39" s="16"/>
      <c r="O39" s="16"/>
      <c r="P39" s="16"/>
      <c r="Q39" s="16"/>
      <c r="R39" s="16"/>
    </row>
    <row r="40" spans="1:18" ht="105" x14ac:dyDescent="0.25">
      <c r="A40" s="14" t="s">
        <v>8529</v>
      </c>
      <c r="B40" s="14" t="s">
        <v>8530</v>
      </c>
      <c r="C40" s="14" t="s">
        <v>8546</v>
      </c>
      <c r="D40" s="14" t="s">
        <v>8531</v>
      </c>
      <c r="E40" s="14" t="s">
        <v>6741</v>
      </c>
      <c r="F40" s="14" t="s">
        <v>6742</v>
      </c>
      <c r="G40" s="14" t="s">
        <v>37</v>
      </c>
      <c r="H40" s="14" t="s">
        <v>6747</v>
      </c>
      <c r="I40" s="14"/>
      <c r="J40" s="14" t="s">
        <v>97</v>
      </c>
      <c r="K40" s="14"/>
      <c r="L40" s="14"/>
      <c r="M40" s="14" t="s">
        <v>6744</v>
      </c>
      <c r="N40" s="14" t="s">
        <v>6745</v>
      </c>
      <c r="O40" s="14" t="s">
        <v>6746</v>
      </c>
      <c r="P40" s="14" t="str">
        <f>HYPERLINK("https://ceds.ed.gov/cedselementdetails.aspx?termid=17212")</f>
        <v>https://ceds.ed.gov/cedselementdetails.aspx?termid=17212</v>
      </c>
      <c r="Q40" s="14" t="str">
        <f>HYPERLINK("https://ceds.ed.gov/elementComment.aspx?elementName=Personal Title or Prefix &amp;elementID=17212", "Click here to submit comment")</f>
        <v>Click here to submit comment</v>
      </c>
      <c r="R40" s="14">
        <v>51481</v>
      </c>
    </row>
    <row r="41" spans="1:18" ht="90" x14ac:dyDescent="0.25">
      <c r="A41" s="14" t="s">
        <v>8529</v>
      </c>
      <c r="B41" s="14" t="s">
        <v>8530</v>
      </c>
      <c r="C41" s="14" t="s">
        <v>8547</v>
      </c>
      <c r="D41" s="14" t="s">
        <v>8531</v>
      </c>
      <c r="E41" s="14" t="s">
        <v>226</v>
      </c>
      <c r="F41" s="14" t="s">
        <v>227</v>
      </c>
      <c r="G41" s="8" t="s">
        <v>8539</v>
      </c>
      <c r="H41" s="14" t="s">
        <v>72</v>
      </c>
      <c r="I41" s="14"/>
      <c r="J41" s="14" t="s">
        <v>97</v>
      </c>
      <c r="K41" s="14"/>
      <c r="L41" s="14"/>
      <c r="M41" s="14" t="s">
        <v>230</v>
      </c>
      <c r="N41" s="14"/>
      <c r="O41" s="14" t="s">
        <v>231</v>
      </c>
      <c r="P41" s="14" t="str">
        <f>HYPERLINK("https://ceds.ed.gov/cedselementdetails.aspx?termid=17644")</f>
        <v>https://ceds.ed.gov/cedselementdetails.aspx?termid=17644</v>
      </c>
      <c r="Q41" s="14" t="str">
        <f>HYPERLINK("https://ceds.ed.gov/elementComment.aspx?elementName=Address Type for Organization &amp;elementID=17644", "Click here to submit comment")</f>
        <v>Click here to submit comment</v>
      </c>
      <c r="R41" s="14">
        <v>47724</v>
      </c>
    </row>
    <row r="42" spans="1:18" ht="225" x14ac:dyDescent="0.25">
      <c r="A42" s="14" t="s">
        <v>8529</v>
      </c>
      <c r="B42" s="14" t="s">
        <v>8530</v>
      </c>
      <c r="C42" s="14" t="s">
        <v>8547</v>
      </c>
      <c r="D42" s="14" t="s">
        <v>8531</v>
      </c>
      <c r="E42" s="14" t="s">
        <v>214</v>
      </c>
      <c r="F42" s="14" t="s">
        <v>215</v>
      </c>
      <c r="G42" s="14" t="s">
        <v>37</v>
      </c>
      <c r="H42" s="14" t="s">
        <v>199</v>
      </c>
      <c r="I42" s="14" t="s">
        <v>195</v>
      </c>
      <c r="J42" s="14" t="s">
        <v>216</v>
      </c>
      <c r="K42" s="14" t="s">
        <v>196</v>
      </c>
      <c r="L42" s="14"/>
      <c r="M42" s="14" t="s">
        <v>217</v>
      </c>
      <c r="N42" s="14"/>
      <c r="O42" s="14" t="s">
        <v>218</v>
      </c>
      <c r="P42" s="14" t="str">
        <f>HYPERLINK("https://ceds.ed.gov/cedselementdetails.aspx?termid=17269")</f>
        <v>https://ceds.ed.gov/cedselementdetails.aspx?termid=17269</v>
      </c>
      <c r="Q42" s="14" t="str">
        <f>HYPERLINK("https://ceds.ed.gov/elementComment.aspx?elementName=Address Street Number and Name &amp;elementID=17269", "Click here to submit comment")</f>
        <v>Click here to submit comment</v>
      </c>
      <c r="R42" s="14">
        <v>47709</v>
      </c>
    </row>
    <row r="43" spans="1:18" ht="225" x14ac:dyDescent="0.25">
      <c r="A43" s="14" t="s">
        <v>8529</v>
      </c>
      <c r="B43" s="14" t="s">
        <v>8530</v>
      </c>
      <c r="C43" s="14" t="s">
        <v>8547</v>
      </c>
      <c r="D43" s="14" t="s">
        <v>8531</v>
      </c>
      <c r="E43" s="14" t="s">
        <v>192</v>
      </c>
      <c r="F43" s="14" t="s">
        <v>193</v>
      </c>
      <c r="G43" s="14" t="s">
        <v>37</v>
      </c>
      <c r="H43" s="14" t="s">
        <v>199</v>
      </c>
      <c r="I43" s="14" t="s">
        <v>195</v>
      </c>
      <c r="J43" s="14" t="s">
        <v>175</v>
      </c>
      <c r="K43" s="14" t="s">
        <v>196</v>
      </c>
      <c r="L43" s="14"/>
      <c r="M43" s="14" t="s">
        <v>197</v>
      </c>
      <c r="N43" s="14"/>
      <c r="O43" s="14" t="s">
        <v>198</v>
      </c>
      <c r="P43" s="14" t="str">
        <f>HYPERLINK("https://ceds.ed.gov/cedselementdetails.aspx?termid=17019")</f>
        <v>https://ceds.ed.gov/cedselementdetails.aspx?termid=17019</v>
      </c>
      <c r="Q43" s="14" t="str">
        <f>HYPERLINK("https://ceds.ed.gov/elementComment.aspx?elementName=Address Apartment Room or Suite Number &amp;elementID=17019", "Click here to submit comment")</f>
        <v>Click here to submit comment</v>
      </c>
      <c r="R43" s="14">
        <v>47703</v>
      </c>
    </row>
    <row r="44" spans="1:18" ht="225" x14ac:dyDescent="0.25">
      <c r="A44" s="14" t="s">
        <v>8529</v>
      </c>
      <c r="B44" s="14" t="s">
        <v>8530</v>
      </c>
      <c r="C44" s="14" t="s">
        <v>8547</v>
      </c>
      <c r="D44" s="14" t="s">
        <v>8531</v>
      </c>
      <c r="E44" s="14" t="s">
        <v>200</v>
      </c>
      <c r="F44" s="14" t="s">
        <v>201</v>
      </c>
      <c r="G44" s="14" t="s">
        <v>37</v>
      </c>
      <c r="H44" s="14" t="s">
        <v>199</v>
      </c>
      <c r="I44" s="14"/>
      <c r="J44" s="14" t="s">
        <v>97</v>
      </c>
      <c r="K44" s="14"/>
      <c r="L44" s="14"/>
      <c r="M44" s="14" t="s">
        <v>202</v>
      </c>
      <c r="N44" s="14"/>
      <c r="O44" s="14" t="s">
        <v>203</v>
      </c>
      <c r="P44" s="14" t="str">
        <f>HYPERLINK("https://ceds.ed.gov/cedselementdetails.aspx?termid=17040")</f>
        <v>https://ceds.ed.gov/cedselementdetails.aspx?termid=17040</v>
      </c>
      <c r="Q44" s="14" t="str">
        <f>HYPERLINK("https://ceds.ed.gov/elementComment.aspx?elementName=Address City &amp;elementID=17040", "Click here to submit comment")</f>
        <v>Click here to submit comment</v>
      </c>
      <c r="R44" s="14">
        <v>47704</v>
      </c>
    </row>
    <row r="45" spans="1:18" ht="409.5" x14ac:dyDescent="0.25">
      <c r="A45" s="14" t="s">
        <v>8529</v>
      </c>
      <c r="B45" s="14" t="s">
        <v>8530</v>
      </c>
      <c r="C45" s="14" t="s">
        <v>8547</v>
      </c>
      <c r="D45" s="14" t="s">
        <v>8531</v>
      </c>
      <c r="E45" s="14" t="s">
        <v>7960</v>
      </c>
      <c r="F45" s="14" t="s">
        <v>7961</v>
      </c>
      <c r="G45" s="8" t="s">
        <v>8540</v>
      </c>
      <c r="H45" s="14" t="s">
        <v>7964</v>
      </c>
      <c r="I45" s="14"/>
      <c r="J45" s="14"/>
      <c r="K45" s="14"/>
      <c r="L45" s="14"/>
      <c r="M45" s="14" t="s">
        <v>7962</v>
      </c>
      <c r="N45" s="14"/>
      <c r="O45" s="14" t="s">
        <v>7963</v>
      </c>
      <c r="P45" s="14" t="str">
        <f>HYPERLINK("https://ceds.ed.gov/cedselementdetails.aspx?termid=17267")</f>
        <v>https://ceds.ed.gov/cedselementdetails.aspx?termid=17267</v>
      </c>
      <c r="Q45" s="14" t="str">
        <f>HYPERLINK("https://ceds.ed.gov/elementComment.aspx?elementName=State Abbreviation &amp;elementID=17267", "Click here to submit comment")</f>
        <v>Click here to submit comment</v>
      </c>
      <c r="R45" s="14">
        <v>47708</v>
      </c>
    </row>
    <row r="46" spans="1:18" ht="225" x14ac:dyDescent="0.25">
      <c r="A46" s="14" t="s">
        <v>8529</v>
      </c>
      <c r="B46" s="14" t="s">
        <v>8530</v>
      </c>
      <c r="C46" s="14" t="s">
        <v>8547</v>
      </c>
      <c r="D46" s="14" t="s">
        <v>8531</v>
      </c>
      <c r="E46" s="14" t="s">
        <v>209</v>
      </c>
      <c r="F46" s="14" t="s">
        <v>210</v>
      </c>
      <c r="G46" s="14" t="s">
        <v>37</v>
      </c>
      <c r="H46" s="14" t="s">
        <v>199</v>
      </c>
      <c r="I46" s="14"/>
      <c r="J46" s="14" t="s">
        <v>211</v>
      </c>
      <c r="K46" s="14"/>
      <c r="L46" s="14"/>
      <c r="M46" s="14" t="s">
        <v>212</v>
      </c>
      <c r="N46" s="14"/>
      <c r="O46" s="14" t="s">
        <v>213</v>
      </c>
      <c r="P46" s="14" t="str">
        <f>HYPERLINK("https://ceds.ed.gov/cedselementdetails.aspx?termid=17214")</f>
        <v>https://ceds.ed.gov/cedselementdetails.aspx?termid=17214</v>
      </c>
      <c r="Q46" s="14" t="str">
        <f>HYPERLINK("https://ceds.ed.gov/elementComment.aspx?elementName=Address Postal Code &amp;elementID=17214", "Click here to submit comment")</f>
        <v>Click here to submit comment</v>
      </c>
      <c r="R46" s="14">
        <v>47706</v>
      </c>
    </row>
    <row r="47" spans="1:18" ht="225" x14ac:dyDescent="0.25">
      <c r="A47" s="14" t="s">
        <v>8529</v>
      </c>
      <c r="B47" s="14" t="s">
        <v>8530</v>
      </c>
      <c r="C47" s="14" t="s">
        <v>8547</v>
      </c>
      <c r="D47" s="14" t="s">
        <v>8531</v>
      </c>
      <c r="E47" s="14" t="s">
        <v>204</v>
      </c>
      <c r="F47" s="14" t="s">
        <v>205</v>
      </c>
      <c r="G47" s="14" t="s">
        <v>37</v>
      </c>
      <c r="H47" s="14" t="s">
        <v>199</v>
      </c>
      <c r="I47" s="14"/>
      <c r="J47" s="14" t="s">
        <v>97</v>
      </c>
      <c r="K47" s="14"/>
      <c r="L47" s="14"/>
      <c r="M47" s="14" t="s">
        <v>207</v>
      </c>
      <c r="N47" s="14"/>
      <c r="O47" s="14" t="s">
        <v>208</v>
      </c>
      <c r="P47" s="14" t="str">
        <f>HYPERLINK("https://ceds.ed.gov/cedselementdetails.aspx?termid=17190")</f>
        <v>https://ceds.ed.gov/cedselementdetails.aspx?termid=17190</v>
      </c>
      <c r="Q47" s="14" t="str">
        <f>HYPERLINK("https://ceds.ed.gov/elementComment.aspx?elementName=Address County Name &amp;elementID=17190", "Click here to submit comment")</f>
        <v>Click here to submit comment</v>
      </c>
      <c r="R47" s="14">
        <v>47705</v>
      </c>
    </row>
    <row r="48" spans="1:18" ht="195" x14ac:dyDescent="0.25">
      <c r="A48" s="14" t="s">
        <v>8529</v>
      </c>
      <c r="B48" s="14" t="s">
        <v>8530</v>
      </c>
      <c r="C48" s="14" t="s">
        <v>8547</v>
      </c>
      <c r="D48" s="14" t="s">
        <v>8531</v>
      </c>
      <c r="E48" s="14" t="s">
        <v>2860</v>
      </c>
      <c r="F48" s="14" t="s">
        <v>2861</v>
      </c>
      <c r="G48" s="14" t="s">
        <v>37</v>
      </c>
      <c r="H48" s="14"/>
      <c r="I48" s="14" t="s">
        <v>195</v>
      </c>
      <c r="J48" s="14" t="s">
        <v>2863</v>
      </c>
      <c r="K48" s="14" t="s">
        <v>2864</v>
      </c>
      <c r="L48" s="14"/>
      <c r="M48" s="14" t="s">
        <v>2865</v>
      </c>
      <c r="N48" s="14"/>
      <c r="O48" s="14" t="s">
        <v>2866</v>
      </c>
      <c r="P48" s="14" t="str">
        <f>HYPERLINK("https://ceds.ed.gov/cedselementdetails.aspx?termid=18176")</f>
        <v>https://ceds.ed.gov/cedselementdetails.aspx?termid=18176</v>
      </c>
      <c r="Q48" s="14" t="str">
        <f>HYPERLINK("https://ceds.ed.gov/elementComment.aspx?elementName=County ANSI Code &amp;elementID=18176", "Click here to submit comment")</f>
        <v>Click here to submit comment</v>
      </c>
      <c r="R48" s="14">
        <v>49140</v>
      </c>
    </row>
    <row r="49" spans="1:18" ht="409.5" x14ac:dyDescent="0.25">
      <c r="A49" s="14" t="s">
        <v>8529</v>
      </c>
      <c r="B49" s="14" t="s">
        <v>8530</v>
      </c>
      <c r="C49" s="14" t="s">
        <v>8547</v>
      </c>
      <c r="D49" s="14" t="s">
        <v>8531</v>
      </c>
      <c r="E49" s="14" t="s">
        <v>2845</v>
      </c>
      <c r="F49" s="14" t="s">
        <v>2846</v>
      </c>
      <c r="G49" s="8" t="s">
        <v>8548</v>
      </c>
      <c r="H49" s="14" t="s">
        <v>2852</v>
      </c>
      <c r="I49" s="14"/>
      <c r="J49" s="14"/>
      <c r="K49" s="14"/>
      <c r="L49" s="6" t="s">
        <v>2849</v>
      </c>
      <c r="M49" s="14" t="s">
        <v>2850</v>
      </c>
      <c r="N49" s="14"/>
      <c r="O49" s="14" t="s">
        <v>2851</v>
      </c>
      <c r="P49" s="14" t="str">
        <f>HYPERLINK("https://ceds.ed.gov/cedselementdetails.aspx?termid=17050")</f>
        <v>https://ceds.ed.gov/cedselementdetails.aspx?termid=17050</v>
      </c>
      <c r="Q49" s="14" t="str">
        <f>HYPERLINK("https://ceds.ed.gov/elementComment.aspx?elementName=Country Code &amp;elementID=17050", "Click here to submit comment")</f>
        <v>Click here to submit comment</v>
      </c>
      <c r="R49" s="14">
        <v>51476</v>
      </c>
    </row>
    <row r="50" spans="1:18" ht="75" x14ac:dyDescent="0.25">
      <c r="A50" s="14" t="s">
        <v>8529</v>
      </c>
      <c r="B50" s="14" t="s">
        <v>8530</v>
      </c>
      <c r="C50" s="14" t="s">
        <v>8547</v>
      </c>
      <c r="D50" s="14" t="s">
        <v>8531</v>
      </c>
      <c r="E50" s="14" t="s">
        <v>5736</v>
      </c>
      <c r="F50" s="14" t="s">
        <v>5737</v>
      </c>
      <c r="G50" s="14" t="s">
        <v>37</v>
      </c>
      <c r="H50" s="14"/>
      <c r="I50" s="14"/>
      <c r="J50" s="14" t="s">
        <v>1307</v>
      </c>
      <c r="K50" s="14"/>
      <c r="L50" s="14"/>
      <c r="M50" s="14" t="s">
        <v>5739</v>
      </c>
      <c r="N50" s="14"/>
      <c r="O50" s="14" t="s">
        <v>5736</v>
      </c>
      <c r="P50" s="14" t="str">
        <f>HYPERLINK("https://ceds.ed.gov/cedselementdetails.aspx?termid=17599")</f>
        <v>https://ceds.ed.gov/cedselementdetails.aspx?termid=17599</v>
      </c>
      <c r="Q50" s="14" t="str">
        <f>HYPERLINK("https://ceds.ed.gov/elementComment.aspx?elementName=Latitude &amp;elementID=17599", "Click here to submit comment")</f>
        <v>Click here to submit comment</v>
      </c>
      <c r="R50" s="14">
        <v>51257</v>
      </c>
    </row>
    <row r="51" spans="1:18" ht="75" x14ac:dyDescent="0.25">
      <c r="A51" s="14" t="s">
        <v>8529</v>
      </c>
      <c r="B51" s="14" t="s">
        <v>8530</v>
      </c>
      <c r="C51" s="14" t="s">
        <v>8547</v>
      </c>
      <c r="D51" s="14" t="s">
        <v>8531</v>
      </c>
      <c r="E51" s="14" t="s">
        <v>6174</v>
      </c>
      <c r="F51" s="14" t="s">
        <v>6175</v>
      </c>
      <c r="G51" s="14" t="s">
        <v>37</v>
      </c>
      <c r="H51" s="14"/>
      <c r="I51" s="14"/>
      <c r="J51" s="14" t="s">
        <v>1307</v>
      </c>
      <c r="K51" s="14"/>
      <c r="L51" s="14"/>
      <c r="M51" s="14" t="s">
        <v>6176</v>
      </c>
      <c r="N51" s="14"/>
      <c r="O51" s="14" t="s">
        <v>6174</v>
      </c>
      <c r="P51" s="14" t="str">
        <f>HYPERLINK("https://ceds.ed.gov/cedselementdetails.aspx?termid=17600")</f>
        <v>https://ceds.ed.gov/cedselementdetails.aspx?termid=17600</v>
      </c>
      <c r="Q51" s="14" t="str">
        <f>HYPERLINK("https://ceds.ed.gov/elementComment.aspx?elementName=Longitude &amp;elementID=17600", "Click here to submit comment")</f>
        <v>Click here to submit comment</v>
      </c>
      <c r="R51" s="14">
        <v>51280</v>
      </c>
    </row>
    <row r="52" spans="1:18" ht="60" x14ac:dyDescent="0.25">
      <c r="A52" s="14" t="s">
        <v>8529</v>
      </c>
      <c r="B52" s="14" t="s">
        <v>8530</v>
      </c>
      <c r="C52" s="14" t="s">
        <v>8547</v>
      </c>
      <c r="D52" s="14" t="s">
        <v>8541</v>
      </c>
      <c r="E52" s="14" t="s">
        <v>3651</v>
      </c>
      <c r="F52" s="14" t="s">
        <v>3652</v>
      </c>
      <c r="G52" s="14" t="s">
        <v>3430</v>
      </c>
      <c r="H52" s="14"/>
      <c r="I52" s="14" t="s">
        <v>188</v>
      </c>
      <c r="J52" s="14"/>
      <c r="K52" s="14" t="s">
        <v>1721</v>
      </c>
      <c r="L52" s="14"/>
      <c r="M52" s="14" t="s">
        <v>3654</v>
      </c>
      <c r="N52" s="14"/>
      <c r="O52" s="14" t="s">
        <v>3655</v>
      </c>
      <c r="P52" s="14" t="str">
        <f>HYPERLINK("https://ceds.ed.gov/cedselementdetails.aspx?termid=18905")</f>
        <v>https://ceds.ed.gov/cedselementdetails.aspx?termid=18905</v>
      </c>
      <c r="Q52" s="14" t="str">
        <f>HYPERLINK("https://ceds.ed.gov/elementComment.aspx?elementName=Do Not Publish Indicator &amp;elementID=18905", "Click here to submit comment")</f>
        <v>Click here to submit comment</v>
      </c>
      <c r="R52" s="14">
        <v>52274</v>
      </c>
    </row>
    <row r="53" spans="1:18" ht="90" x14ac:dyDescent="0.25">
      <c r="A53" s="14" t="s">
        <v>8529</v>
      </c>
      <c r="B53" s="14" t="s">
        <v>8530</v>
      </c>
      <c r="C53" s="14" t="s">
        <v>8549</v>
      </c>
      <c r="D53" s="14" t="s">
        <v>8531</v>
      </c>
      <c r="E53" s="14" t="s">
        <v>8217</v>
      </c>
      <c r="F53" s="14" t="s">
        <v>8218</v>
      </c>
      <c r="G53" s="14" t="s">
        <v>37</v>
      </c>
      <c r="H53" s="14" t="s">
        <v>72</v>
      </c>
      <c r="I53" s="14"/>
      <c r="J53" s="14" t="s">
        <v>8220</v>
      </c>
      <c r="K53" s="14"/>
      <c r="L53" s="14"/>
      <c r="M53" s="14" t="s">
        <v>8221</v>
      </c>
      <c r="N53" s="14"/>
      <c r="O53" s="14" t="s">
        <v>8222</v>
      </c>
      <c r="P53" s="14" t="str">
        <f>HYPERLINK("https://ceds.ed.gov/cedselementdetails.aspx?termid=17279")</f>
        <v>https://ceds.ed.gov/cedselementdetails.aspx?termid=17279</v>
      </c>
      <c r="Q53" s="14" t="str">
        <f>HYPERLINK("https://ceds.ed.gov/elementComment.aspx?elementName=Telephone Number &amp;elementID=17279", "Click here to submit comment")</f>
        <v>Click here to submit comment</v>
      </c>
      <c r="R53" s="14">
        <v>47710</v>
      </c>
    </row>
    <row r="54" spans="1:18" ht="90" x14ac:dyDescent="0.25">
      <c r="A54" s="14" t="s">
        <v>8529</v>
      </c>
      <c r="B54" s="14" t="s">
        <v>8530</v>
      </c>
      <c r="C54" s="14" t="s">
        <v>8549</v>
      </c>
      <c r="D54" s="14" t="s">
        <v>8531</v>
      </c>
      <c r="E54" s="14" t="s">
        <v>8229</v>
      </c>
      <c r="F54" s="14" t="s">
        <v>8230</v>
      </c>
      <c r="G54" s="8" t="s">
        <v>8550</v>
      </c>
      <c r="H54" s="14" t="s">
        <v>72</v>
      </c>
      <c r="I54" s="14"/>
      <c r="J54" s="14" t="s">
        <v>2870</v>
      </c>
      <c r="K54" s="14"/>
      <c r="L54" s="14"/>
      <c r="M54" s="14" t="s">
        <v>8233</v>
      </c>
      <c r="N54" s="14"/>
      <c r="O54" s="14" t="s">
        <v>8234</v>
      </c>
      <c r="P54" s="14" t="str">
        <f>HYPERLINK("https://ceds.ed.gov/cedselementdetails.aspx?termid=17280")</f>
        <v>https://ceds.ed.gov/cedselementdetails.aspx?termid=17280</v>
      </c>
      <c r="Q54" s="14" t="str">
        <f>HYPERLINK("https://ceds.ed.gov/elementComment.aspx?elementName=Telephone Number Type &amp;elementID=17280", "Click here to submit comment")</f>
        <v>Click here to submit comment</v>
      </c>
      <c r="R54" s="14">
        <v>48980</v>
      </c>
    </row>
    <row r="55" spans="1:18" ht="90" x14ac:dyDescent="0.25">
      <c r="A55" s="14" t="s">
        <v>8529</v>
      </c>
      <c r="B55" s="14" t="s">
        <v>8530</v>
      </c>
      <c r="C55" s="14" t="s">
        <v>8549</v>
      </c>
      <c r="D55" s="14" t="s">
        <v>8531</v>
      </c>
      <c r="E55" s="14" t="s">
        <v>6865</v>
      </c>
      <c r="F55" s="14" t="s">
        <v>6866</v>
      </c>
      <c r="G55" s="14" t="s">
        <v>24</v>
      </c>
      <c r="H55" s="14" t="s">
        <v>72</v>
      </c>
      <c r="I55" s="14"/>
      <c r="J55" s="14"/>
      <c r="K55" s="14"/>
      <c r="L55" s="14"/>
      <c r="M55" s="14" t="s">
        <v>6868</v>
      </c>
      <c r="N55" s="14"/>
      <c r="O55" s="14" t="s">
        <v>6869</v>
      </c>
      <c r="P55" s="14" t="str">
        <f>HYPERLINK("https://ceds.ed.gov/cedselementdetails.aspx?termid=17219")</f>
        <v>https://ceds.ed.gov/cedselementdetails.aspx?termid=17219</v>
      </c>
      <c r="Q55" s="14" t="str">
        <f>HYPERLINK("https://ceds.ed.gov/elementComment.aspx?elementName=Primary Telephone Number Indicator &amp;elementID=17219", "Click here to submit comment")</f>
        <v>Click here to submit comment</v>
      </c>
      <c r="R55" s="14">
        <v>47707</v>
      </c>
    </row>
    <row r="56" spans="1:18" ht="60" x14ac:dyDescent="0.25">
      <c r="A56" s="14" t="s">
        <v>8529</v>
      </c>
      <c r="B56" s="14" t="s">
        <v>8530</v>
      </c>
      <c r="C56" s="14" t="s">
        <v>8549</v>
      </c>
      <c r="D56" s="14" t="s">
        <v>8541</v>
      </c>
      <c r="E56" s="14" t="s">
        <v>3651</v>
      </c>
      <c r="F56" s="14" t="s">
        <v>3652</v>
      </c>
      <c r="G56" s="14" t="s">
        <v>3430</v>
      </c>
      <c r="H56" s="14"/>
      <c r="I56" s="14" t="s">
        <v>188</v>
      </c>
      <c r="J56" s="14"/>
      <c r="K56" s="14" t="s">
        <v>1721</v>
      </c>
      <c r="L56" s="14"/>
      <c r="M56" s="14" t="s">
        <v>3654</v>
      </c>
      <c r="N56" s="14"/>
      <c r="O56" s="14" t="s">
        <v>3655</v>
      </c>
      <c r="P56" s="14" t="str">
        <f>HYPERLINK("https://ceds.ed.gov/cedselementdetails.aspx?termid=18905")</f>
        <v>https://ceds.ed.gov/cedselementdetails.aspx?termid=18905</v>
      </c>
      <c r="Q56" s="14" t="str">
        <f>HYPERLINK("https://ceds.ed.gov/elementComment.aspx?elementName=Do Not Publish Indicator &amp;elementID=18905", "Click here to submit comment")</f>
        <v>Click here to submit comment</v>
      </c>
      <c r="R56" s="14">
        <v>52276</v>
      </c>
    </row>
    <row r="57" spans="1:18" ht="60" x14ac:dyDescent="0.25">
      <c r="A57" s="14" t="s">
        <v>8529</v>
      </c>
      <c r="B57" s="14" t="s">
        <v>8530</v>
      </c>
      <c r="C57" s="14" t="s">
        <v>8549</v>
      </c>
      <c r="D57" s="14" t="s">
        <v>8541</v>
      </c>
      <c r="E57" s="14" t="s">
        <v>8223</v>
      </c>
      <c r="F57" s="14" t="s">
        <v>8224</v>
      </c>
      <c r="G57" s="8" t="s">
        <v>8544</v>
      </c>
      <c r="H57" s="14"/>
      <c r="I57" s="14" t="s">
        <v>188</v>
      </c>
      <c r="J57" s="14"/>
      <c r="K57" s="14" t="s">
        <v>1721</v>
      </c>
      <c r="L57" s="14"/>
      <c r="M57" s="14" t="s">
        <v>8227</v>
      </c>
      <c r="N57" s="14"/>
      <c r="O57" s="14" t="s">
        <v>8228</v>
      </c>
      <c r="P57" s="14" t="str">
        <f>HYPERLINK("https://ceds.ed.gov/cedselementdetails.aspx?termid=18911")</f>
        <v>https://ceds.ed.gov/cedselementdetails.aspx?termid=18911</v>
      </c>
      <c r="Q57" s="14" t="str">
        <f>HYPERLINK("https://ceds.ed.gov/elementComment.aspx?elementName=Telephone Number Listed Status &amp;elementID=18911", "Click here to submit comment")</f>
        <v>Click here to submit comment</v>
      </c>
      <c r="R57" s="14">
        <v>52277</v>
      </c>
    </row>
    <row r="58" spans="1:18" ht="90" x14ac:dyDescent="0.25">
      <c r="A58" s="14" t="s">
        <v>8529</v>
      </c>
      <c r="B58" s="14" t="s">
        <v>8530</v>
      </c>
      <c r="C58" s="14" t="s">
        <v>8551</v>
      </c>
      <c r="D58" s="14" t="s">
        <v>8531</v>
      </c>
      <c r="E58" s="14" t="s">
        <v>3931</v>
      </c>
      <c r="F58" s="14" t="s">
        <v>3932</v>
      </c>
      <c r="G58" s="14" t="s">
        <v>37</v>
      </c>
      <c r="H58" s="14" t="s">
        <v>72</v>
      </c>
      <c r="I58" s="14"/>
      <c r="J58" s="14" t="s">
        <v>3934</v>
      </c>
      <c r="K58" s="14"/>
      <c r="L58" s="14"/>
      <c r="M58" s="14" t="s">
        <v>3935</v>
      </c>
      <c r="N58" s="14" t="s">
        <v>3936</v>
      </c>
      <c r="O58" s="14" t="s">
        <v>3937</v>
      </c>
      <c r="P58" s="14" t="str">
        <f>HYPERLINK("https://ceds.ed.gov/cedselementdetails.aspx?termid=17088")</f>
        <v>https://ceds.ed.gov/cedselementdetails.aspx?termid=17088</v>
      </c>
      <c r="Q58" s="14" t="str">
        <f>HYPERLINK("https://ceds.ed.gov/elementComment.aspx?elementName=Electronic Mail Address &amp;elementID=17088", "Click here to submit comment")</f>
        <v>Click here to submit comment</v>
      </c>
      <c r="R58" s="14">
        <v>50967</v>
      </c>
    </row>
    <row r="59" spans="1:18" ht="90" x14ac:dyDescent="0.25">
      <c r="A59" s="14" t="s">
        <v>8529</v>
      </c>
      <c r="B59" s="14" t="s">
        <v>8530</v>
      </c>
      <c r="C59" s="14" t="s">
        <v>8551</v>
      </c>
      <c r="D59" s="14" t="s">
        <v>8531</v>
      </c>
      <c r="E59" s="14" t="s">
        <v>3938</v>
      </c>
      <c r="F59" s="14" t="s">
        <v>3939</v>
      </c>
      <c r="G59" s="8" t="s">
        <v>8552</v>
      </c>
      <c r="H59" s="14" t="s">
        <v>72</v>
      </c>
      <c r="I59" s="14"/>
      <c r="J59" s="14"/>
      <c r="K59" s="14"/>
      <c r="L59" s="14"/>
      <c r="M59" s="14" t="s">
        <v>3941</v>
      </c>
      <c r="N59" s="14" t="s">
        <v>3942</v>
      </c>
      <c r="O59" s="14" t="s">
        <v>3943</v>
      </c>
      <c r="P59" s="14" t="str">
        <f>HYPERLINK("https://ceds.ed.gov/cedselementdetails.aspx?termid=17089")</f>
        <v>https://ceds.ed.gov/cedselementdetails.aspx?termid=17089</v>
      </c>
      <c r="Q59" s="14" t="str">
        <f>HYPERLINK("https://ceds.ed.gov/elementComment.aspx?elementName=Electronic Mail Address Type &amp;elementID=17089", "Click here to submit comment")</f>
        <v>Click here to submit comment</v>
      </c>
      <c r="R59" s="14">
        <v>50969</v>
      </c>
    </row>
    <row r="60" spans="1:18" ht="60" x14ac:dyDescent="0.25">
      <c r="A60" s="14" t="s">
        <v>8529</v>
      </c>
      <c r="B60" s="14" t="s">
        <v>8530</v>
      </c>
      <c r="C60" s="14" t="s">
        <v>8551</v>
      </c>
      <c r="D60" s="14" t="s">
        <v>8541</v>
      </c>
      <c r="E60" s="14" t="s">
        <v>3651</v>
      </c>
      <c r="F60" s="14" t="s">
        <v>3652</v>
      </c>
      <c r="G60" s="14" t="s">
        <v>3430</v>
      </c>
      <c r="H60" s="14"/>
      <c r="I60" s="14" t="s">
        <v>188</v>
      </c>
      <c r="J60" s="14"/>
      <c r="K60" s="14" t="s">
        <v>1721</v>
      </c>
      <c r="L60" s="14"/>
      <c r="M60" s="14" t="s">
        <v>3654</v>
      </c>
      <c r="N60" s="14"/>
      <c r="O60" s="14" t="s">
        <v>3655</v>
      </c>
      <c r="P60" s="14" t="str">
        <f>HYPERLINK("https://ceds.ed.gov/cedselementdetails.aspx?termid=18905")</f>
        <v>https://ceds.ed.gov/cedselementdetails.aspx?termid=18905</v>
      </c>
      <c r="Q60" s="14" t="str">
        <f>HYPERLINK("https://ceds.ed.gov/elementComment.aspx?elementName=Do Not Publish Indicator &amp;elementID=18905", "Click here to submit comment")</f>
        <v>Click here to submit comment</v>
      </c>
      <c r="R60" s="14">
        <v>52275</v>
      </c>
    </row>
    <row r="61" spans="1:18" ht="45" x14ac:dyDescent="0.25">
      <c r="A61" s="14" t="s">
        <v>8529</v>
      </c>
      <c r="B61" s="14" t="s">
        <v>8530</v>
      </c>
      <c r="C61" s="14" t="s">
        <v>8553</v>
      </c>
      <c r="D61" s="14" t="s">
        <v>8531</v>
      </c>
      <c r="E61" s="14" t="s">
        <v>6586</v>
      </c>
      <c r="F61" s="14" t="s">
        <v>6587</v>
      </c>
      <c r="G61" s="14" t="s">
        <v>37</v>
      </c>
      <c r="H61" s="14"/>
      <c r="I61" s="14"/>
      <c r="J61" s="14" t="s">
        <v>1468</v>
      </c>
      <c r="K61" s="14"/>
      <c r="L61" s="14" t="s">
        <v>6589</v>
      </c>
      <c r="M61" s="14" t="s">
        <v>6590</v>
      </c>
      <c r="N61" s="14"/>
      <c r="O61" s="14" t="s">
        <v>6591</v>
      </c>
      <c r="P61" s="14" t="str">
        <f>HYPERLINK("https://ceds.ed.gov/cedselementdetails.aspx?termid=18486")</f>
        <v>https://ceds.ed.gov/cedselementdetails.aspx?termid=18486</v>
      </c>
      <c r="Q61" s="14" t="str">
        <f>HYPERLINK("https://ceds.ed.gov/elementComment.aspx?elementName=Other First Name &amp;elementID=18486", "Click here to submit comment")</f>
        <v>Click here to submit comment</v>
      </c>
      <c r="R61" s="14">
        <v>51485</v>
      </c>
    </row>
    <row r="62" spans="1:18" ht="45" x14ac:dyDescent="0.25">
      <c r="A62" s="14" t="s">
        <v>8529</v>
      </c>
      <c r="B62" s="14" t="s">
        <v>8530</v>
      </c>
      <c r="C62" s="14" t="s">
        <v>8553</v>
      </c>
      <c r="D62" s="14" t="s">
        <v>8531</v>
      </c>
      <c r="E62" s="14" t="s">
        <v>6592</v>
      </c>
      <c r="F62" s="14" t="s">
        <v>6593</v>
      </c>
      <c r="G62" s="14" t="s">
        <v>37</v>
      </c>
      <c r="H62" s="14"/>
      <c r="I62" s="14"/>
      <c r="J62" s="14" t="s">
        <v>1468</v>
      </c>
      <c r="K62" s="14"/>
      <c r="L62" s="14" t="s">
        <v>6594</v>
      </c>
      <c r="M62" s="14" t="s">
        <v>6595</v>
      </c>
      <c r="N62" s="14"/>
      <c r="O62" s="14" t="s">
        <v>6596</v>
      </c>
      <c r="P62" s="14" t="str">
        <f>HYPERLINK("https://ceds.ed.gov/cedselementdetails.aspx?termid=18485")</f>
        <v>https://ceds.ed.gov/cedselementdetails.aspx?termid=18485</v>
      </c>
      <c r="Q62" s="14" t="str">
        <f>HYPERLINK("https://ceds.ed.gov/elementComment.aspx?elementName=Other Last Name &amp;elementID=18485", "Click here to submit comment")</f>
        <v>Click here to submit comment</v>
      </c>
      <c r="R62" s="14">
        <v>51484</v>
      </c>
    </row>
    <row r="63" spans="1:18" ht="45" x14ac:dyDescent="0.25">
      <c r="A63" s="14" t="s">
        <v>8529</v>
      </c>
      <c r="B63" s="14" t="s">
        <v>8530</v>
      </c>
      <c r="C63" s="14" t="s">
        <v>8553</v>
      </c>
      <c r="D63" s="14" t="s">
        <v>8531</v>
      </c>
      <c r="E63" s="14" t="s">
        <v>6597</v>
      </c>
      <c r="F63" s="14" t="s">
        <v>6598</v>
      </c>
      <c r="G63" s="14" t="s">
        <v>37</v>
      </c>
      <c r="H63" s="14"/>
      <c r="I63" s="14"/>
      <c r="J63" s="14" t="s">
        <v>1468</v>
      </c>
      <c r="K63" s="14"/>
      <c r="L63" s="14" t="s">
        <v>6599</v>
      </c>
      <c r="M63" s="14" t="s">
        <v>6600</v>
      </c>
      <c r="N63" s="14"/>
      <c r="O63" s="14" t="s">
        <v>6601</v>
      </c>
      <c r="P63" s="14" t="str">
        <f>HYPERLINK("https://ceds.ed.gov/cedselementdetails.aspx?termid=18487")</f>
        <v>https://ceds.ed.gov/cedselementdetails.aspx?termid=18487</v>
      </c>
      <c r="Q63" s="14" t="str">
        <f>HYPERLINK("https://ceds.ed.gov/elementComment.aspx?elementName=Other Middle Name &amp;elementID=18487", "Click here to submit comment")</f>
        <v>Click here to submit comment</v>
      </c>
      <c r="R63" s="14">
        <v>51486</v>
      </c>
    </row>
    <row r="64" spans="1:18" ht="150" x14ac:dyDescent="0.25">
      <c r="A64" s="14" t="s">
        <v>8529</v>
      </c>
      <c r="B64" s="14" t="s">
        <v>8530</v>
      </c>
      <c r="C64" s="14" t="s">
        <v>8553</v>
      </c>
      <c r="D64" s="14" t="s">
        <v>8531</v>
      </c>
      <c r="E64" s="14" t="s">
        <v>6602</v>
      </c>
      <c r="F64" s="14" t="s">
        <v>6603</v>
      </c>
      <c r="G64" s="14" t="s">
        <v>37</v>
      </c>
      <c r="H64" s="14" t="s">
        <v>4749</v>
      </c>
      <c r="I64" s="14"/>
      <c r="J64" s="14" t="s">
        <v>149</v>
      </c>
      <c r="K64" s="14"/>
      <c r="L64" s="14"/>
      <c r="M64" s="14" t="s">
        <v>6604</v>
      </c>
      <c r="N64" s="14"/>
      <c r="O64" s="14" t="s">
        <v>6605</v>
      </c>
      <c r="P64" s="14" t="str">
        <f>HYPERLINK("https://ceds.ed.gov/cedselementdetails.aspx?termid=17206")</f>
        <v>https://ceds.ed.gov/cedselementdetails.aspx?termid=17206</v>
      </c>
      <c r="Q64" s="14" t="str">
        <f>HYPERLINK("https://ceds.ed.gov/elementComment.aspx?elementName=Other Name &amp;elementID=17206", "Click here to submit comment")</f>
        <v>Click here to submit comment</v>
      </c>
      <c r="R64" s="14">
        <v>51482</v>
      </c>
    </row>
    <row r="65" spans="1:18" ht="165" x14ac:dyDescent="0.25">
      <c r="A65" s="14" t="s">
        <v>8529</v>
      </c>
      <c r="B65" s="14" t="s">
        <v>8530</v>
      </c>
      <c r="C65" s="14" t="s">
        <v>8553</v>
      </c>
      <c r="D65" s="14" t="s">
        <v>8531</v>
      </c>
      <c r="E65" s="14" t="s">
        <v>6606</v>
      </c>
      <c r="F65" s="14" t="s">
        <v>6607</v>
      </c>
      <c r="G65" s="8" t="s">
        <v>8554</v>
      </c>
      <c r="H65" s="14" t="s">
        <v>6612</v>
      </c>
      <c r="I65" s="14"/>
      <c r="J65" s="14" t="s">
        <v>97</v>
      </c>
      <c r="K65" s="14"/>
      <c r="L65" s="14"/>
      <c r="M65" s="14" t="s">
        <v>6610</v>
      </c>
      <c r="N65" s="14"/>
      <c r="O65" s="14" t="s">
        <v>6611</v>
      </c>
      <c r="P65" s="14" t="str">
        <f>HYPERLINK("https://ceds.ed.gov/cedselementdetails.aspx?termid=17627")</f>
        <v>https://ceds.ed.gov/cedselementdetails.aspx?termid=17627</v>
      </c>
      <c r="Q65" s="14" t="str">
        <f>HYPERLINK("https://ceds.ed.gov/elementComment.aspx?elementName=Other Name Type &amp;elementID=17627", "Click here to submit comment")</f>
        <v>Click here to submit comment</v>
      </c>
      <c r="R65" s="14">
        <v>51483</v>
      </c>
    </row>
    <row r="66" spans="1:18" ht="210" x14ac:dyDescent="0.25">
      <c r="A66" s="14" t="s">
        <v>8529</v>
      </c>
      <c r="B66" s="14" t="s">
        <v>8530</v>
      </c>
      <c r="C66" s="14" t="s">
        <v>8555</v>
      </c>
      <c r="D66" s="14" t="s">
        <v>8531</v>
      </c>
      <c r="E66" s="14" t="s">
        <v>3709</v>
      </c>
      <c r="F66" s="14" t="s">
        <v>3710</v>
      </c>
      <c r="G66" s="8" t="s">
        <v>8556</v>
      </c>
      <c r="H66" s="14" t="s">
        <v>125</v>
      </c>
      <c r="I66" s="14"/>
      <c r="J66" s="14"/>
      <c r="K66" s="14"/>
      <c r="L66" s="14"/>
      <c r="M66" s="14" t="s">
        <v>3712</v>
      </c>
      <c r="N66" s="14"/>
      <c r="O66" s="14" t="s">
        <v>3713</v>
      </c>
      <c r="P66" s="14" t="str">
        <f>HYPERLINK("https://ceds.ed.gov/cedselementdetails.aspx?termid=17829")</f>
        <v>https://ceds.ed.gov/cedselementdetails.aspx?termid=17829</v>
      </c>
      <c r="Q66" s="14" t="str">
        <f>HYPERLINK("https://ceds.ed.gov/elementComment.aspx?elementName=Early Childhood Program Enrollment Type &amp;elementID=17829", "Click here to submit comment")</f>
        <v>Click here to submit comment</v>
      </c>
      <c r="R66" s="14">
        <v>49285</v>
      </c>
    </row>
    <row r="67" spans="1:18" ht="45" x14ac:dyDescent="0.25">
      <c r="A67" s="14" t="s">
        <v>8529</v>
      </c>
      <c r="B67" s="14" t="s">
        <v>8530</v>
      </c>
      <c r="C67" s="14" t="s">
        <v>8555</v>
      </c>
      <c r="D67" s="14" t="s">
        <v>8531</v>
      </c>
      <c r="E67" s="14" t="s">
        <v>3875</v>
      </c>
      <c r="F67" s="14" t="s">
        <v>3876</v>
      </c>
      <c r="G67" s="14" t="s">
        <v>37</v>
      </c>
      <c r="H67" s="14" t="s">
        <v>2346</v>
      </c>
      <c r="I67" s="14"/>
      <c r="J67" s="14" t="s">
        <v>2094</v>
      </c>
      <c r="K67" s="14"/>
      <c r="L67" s="14"/>
      <c r="M67" s="14" t="s">
        <v>3877</v>
      </c>
      <c r="N67" s="14"/>
      <c r="O67" s="14" t="s">
        <v>3878</v>
      </c>
      <c r="P67" s="14" t="str">
        <f>HYPERLINK("https://ceds.ed.gov/cedselementdetails.aspx?termid=17864")</f>
        <v>https://ceds.ed.gov/cedselementdetails.aspx?termid=17864</v>
      </c>
      <c r="Q67" s="14" t="str">
        <f>HYPERLINK("https://ceds.ed.gov/elementComment.aspx?elementName=Early Learning Program Year &amp;elementID=17864", "Click here to submit comment")</f>
        <v>Click here to submit comment</v>
      </c>
      <c r="R67" s="14">
        <v>49315</v>
      </c>
    </row>
    <row r="68" spans="1:18" ht="45" x14ac:dyDescent="0.25">
      <c r="A68" s="14" t="s">
        <v>8529</v>
      </c>
      <c r="B68" s="14" t="s">
        <v>8530</v>
      </c>
      <c r="C68" s="14" t="s">
        <v>8555</v>
      </c>
      <c r="D68" s="14" t="s">
        <v>8531</v>
      </c>
      <c r="E68" s="14" t="s">
        <v>7746</v>
      </c>
      <c r="F68" s="14" t="s">
        <v>7747</v>
      </c>
      <c r="G68" s="14" t="s">
        <v>37</v>
      </c>
      <c r="H68" s="14" t="s">
        <v>2346</v>
      </c>
      <c r="I68" s="14"/>
      <c r="J68" s="14" t="s">
        <v>501</v>
      </c>
      <c r="K68" s="14"/>
      <c r="L68" s="14"/>
      <c r="M68" s="14" t="s">
        <v>7748</v>
      </c>
      <c r="N68" s="14"/>
      <c r="O68" s="14" t="s">
        <v>7749</v>
      </c>
      <c r="P68" s="14" t="str">
        <f>HYPERLINK("https://ceds.ed.gov/cedselementdetails.aspx?termid=17986")</f>
        <v>https://ceds.ed.gov/cedselementdetails.aspx?termid=17986</v>
      </c>
      <c r="Q68" s="14" t="str">
        <f>HYPERLINK("https://ceds.ed.gov/elementComment.aspx?elementName=Session Start Time &amp;elementID=17986", "Click here to submit comment")</f>
        <v>Click here to submit comment</v>
      </c>
      <c r="R68" s="14">
        <v>48436</v>
      </c>
    </row>
    <row r="69" spans="1:18" ht="45" x14ac:dyDescent="0.25">
      <c r="A69" s="14" t="s">
        <v>8529</v>
      </c>
      <c r="B69" s="14" t="s">
        <v>8530</v>
      </c>
      <c r="C69" s="14" t="s">
        <v>8555</v>
      </c>
      <c r="D69" s="14" t="s">
        <v>8531</v>
      </c>
      <c r="E69" s="14" t="s">
        <v>7733</v>
      </c>
      <c r="F69" s="14" t="s">
        <v>7734</v>
      </c>
      <c r="G69" s="14" t="s">
        <v>37</v>
      </c>
      <c r="H69" s="14" t="s">
        <v>2346</v>
      </c>
      <c r="I69" s="14"/>
      <c r="J69" s="14" t="s">
        <v>501</v>
      </c>
      <c r="K69" s="14"/>
      <c r="L69" s="14"/>
      <c r="M69" s="14" t="s">
        <v>7736</v>
      </c>
      <c r="N69" s="14"/>
      <c r="O69" s="14" t="s">
        <v>7737</v>
      </c>
      <c r="P69" s="14" t="str">
        <f>HYPERLINK("https://ceds.ed.gov/cedselementdetails.aspx?termid=17988")</f>
        <v>https://ceds.ed.gov/cedselementdetails.aspx?termid=17988</v>
      </c>
      <c r="Q69" s="14" t="str">
        <f>HYPERLINK("https://ceds.ed.gov/elementComment.aspx?elementName=Session End Time &amp;elementID=17988", "Click here to submit comment")</f>
        <v>Click here to submit comment</v>
      </c>
      <c r="R69" s="14">
        <v>48437</v>
      </c>
    </row>
    <row r="70" spans="1:18" ht="409.5" x14ac:dyDescent="0.25">
      <c r="A70" s="14" t="s">
        <v>8529</v>
      </c>
      <c r="B70" s="14" t="s">
        <v>8530</v>
      </c>
      <c r="C70" s="14" t="s">
        <v>8555</v>
      </c>
      <c r="D70" s="14" t="s">
        <v>8531</v>
      </c>
      <c r="E70" s="14" t="s">
        <v>4722</v>
      </c>
      <c r="F70" s="14" t="s">
        <v>4723</v>
      </c>
      <c r="G70" s="8" t="s">
        <v>8557</v>
      </c>
      <c r="H70" s="14" t="s">
        <v>3920</v>
      </c>
      <c r="I70" s="14" t="s">
        <v>195</v>
      </c>
      <c r="J70" s="14"/>
      <c r="K70" s="14" t="s">
        <v>2856</v>
      </c>
      <c r="L70" s="14"/>
      <c r="M70" s="14" t="s">
        <v>4726</v>
      </c>
      <c r="N70" s="14"/>
      <c r="O70" s="14" t="s">
        <v>4727</v>
      </c>
      <c r="P70" s="14" t="str">
        <f>HYPERLINK("https://ceds.ed.gov/cedselementdetails.aspx?termid=17866")</f>
        <v>https://ceds.ed.gov/cedselementdetails.aspx?termid=17866</v>
      </c>
      <c r="Q70" s="14" t="str">
        <f>HYPERLINK("https://ceds.ed.gov/elementComment.aspx?elementName=Full-Time Employee Benefits &amp;elementID=17866", "Click here to submit comment")</f>
        <v>Click here to submit comment</v>
      </c>
      <c r="R70" s="14">
        <v>49317</v>
      </c>
    </row>
    <row r="71" spans="1:18" ht="409.5" x14ac:dyDescent="0.25">
      <c r="A71" s="14" t="s">
        <v>8529</v>
      </c>
      <c r="B71" s="14" t="s">
        <v>8530</v>
      </c>
      <c r="C71" s="14" t="s">
        <v>8555</v>
      </c>
      <c r="D71" s="14" t="s">
        <v>8531</v>
      </c>
      <c r="E71" s="14" t="s">
        <v>6642</v>
      </c>
      <c r="F71" s="14" t="s">
        <v>6643</v>
      </c>
      <c r="G71" s="8" t="s">
        <v>8557</v>
      </c>
      <c r="H71" s="14" t="s">
        <v>3920</v>
      </c>
      <c r="I71" s="14" t="s">
        <v>195</v>
      </c>
      <c r="J71" s="14"/>
      <c r="K71" s="14" t="s">
        <v>2856</v>
      </c>
      <c r="L71" s="14"/>
      <c r="M71" s="14" t="s">
        <v>6644</v>
      </c>
      <c r="N71" s="14"/>
      <c r="O71" s="14" t="s">
        <v>6645</v>
      </c>
      <c r="P71" s="14" t="str">
        <f>HYPERLINK("https://ceds.ed.gov/cedselementdetails.aspx?termid=17867")</f>
        <v>https://ceds.ed.gov/cedselementdetails.aspx?termid=17867</v>
      </c>
      <c r="Q71" s="14" t="str">
        <f>HYPERLINK("https://ceds.ed.gov/elementComment.aspx?elementName=Part-Time Employee Benefits &amp;elementID=17867", "Click here to submit comment")</f>
        <v>Click here to submit comment</v>
      </c>
      <c r="R71" s="14">
        <v>49318</v>
      </c>
    </row>
    <row r="72" spans="1:18" ht="60" x14ac:dyDescent="0.25">
      <c r="A72" s="14" t="s">
        <v>8529</v>
      </c>
      <c r="B72" s="14" t="s">
        <v>8530</v>
      </c>
      <c r="C72" s="14" t="s">
        <v>8555</v>
      </c>
      <c r="D72" s="14" t="s">
        <v>8531</v>
      </c>
      <c r="E72" s="14" t="s">
        <v>3546</v>
      </c>
      <c r="F72" s="14" t="s">
        <v>3547</v>
      </c>
      <c r="G72" s="8" t="s">
        <v>8558</v>
      </c>
      <c r="H72" s="14" t="s">
        <v>238</v>
      </c>
      <c r="I72" s="14"/>
      <c r="J72" s="14"/>
      <c r="K72" s="14"/>
      <c r="L72" s="14"/>
      <c r="M72" s="14" t="s">
        <v>3549</v>
      </c>
      <c r="N72" s="14"/>
      <c r="O72" s="14" t="s">
        <v>3550</v>
      </c>
      <c r="P72" s="14" t="str">
        <f>HYPERLINK("https://ceds.ed.gov/cedselementdetails.aspx?termid=17868")</f>
        <v>https://ceds.ed.gov/cedselementdetails.aspx?termid=17868</v>
      </c>
      <c r="Q72" s="14" t="str">
        <f>HYPERLINK("https://ceds.ed.gov/elementComment.aspx?elementName=Differential Shift Pay Indicator &amp;elementID=17868", "Click here to submit comment")</f>
        <v>Click here to submit comment</v>
      </c>
      <c r="R72" s="14">
        <v>49319</v>
      </c>
    </row>
    <row r="73" spans="1:18" ht="45" x14ac:dyDescent="0.25">
      <c r="A73" s="14" t="s">
        <v>8529</v>
      </c>
      <c r="B73" s="14" t="s">
        <v>8530</v>
      </c>
      <c r="C73" s="14" t="s">
        <v>8555</v>
      </c>
      <c r="D73" s="14" t="s">
        <v>8531</v>
      </c>
      <c r="E73" s="14" t="s">
        <v>3832</v>
      </c>
      <c r="F73" s="14" t="s">
        <v>3833</v>
      </c>
      <c r="G73" s="14" t="s">
        <v>37</v>
      </c>
      <c r="H73" s="14" t="s">
        <v>2346</v>
      </c>
      <c r="I73" s="14"/>
      <c r="J73" s="14" t="s">
        <v>3835</v>
      </c>
      <c r="K73" s="14"/>
      <c r="L73" s="14"/>
      <c r="M73" s="14" t="s">
        <v>3836</v>
      </c>
      <c r="N73" s="14"/>
      <c r="O73" s="14" t="s">
        <v>3837</v>
      </c>
      <c r="P73" s="14" t="str">
        <f>HYPERLINK("https://ceds.ed.gov/cedselementdetails.aspx?termid=17824")</f>
        <v>https://ceds.ed.gov/cedselementdetails.aspx?termid=17824</v>
      </c>
      <c r="Q73" s="14" t="str">
        <f>HYPERLINK("https://ceds.ed.gov/elementComment.aspx?elementName=Early Learning Program Annual Operating Weeks &amp;elementID=17824", "Click here to submit comment")</f>
        <v>Click here to submit comment</v>
      </c>
      <c r="R73" s="14">
        <v>48981</v>
      </c>
    </row>
    <row r="74" spans="1:18" ht="135" x14ac:dyDescent="0.25">
      <c r="A74" s="14" t="s">
        <v>8529</v>
      </c>
      <c r="B74" s="14" t="s">
        <v>8530</v>
      </c>
      <c r="C74" s="14" t="s">
        <v>8555</v>
      </c>
      <c r="D74" s="14" t="s">
        <v>8531</v>
      </c>
      <c r="E74" s="14" t="s">
        <v>2416</v>
      </c>
      <c r="F74" s="14" t="s">
        <v>2417</v>
      </c>
      <c r="G74" s="8" t="s">
        <v>8559</v>
      </c>
      <c r="H74" s="14"/>
      <c r="I74" s="14"/>
      <c r="J74" s="14"/>
      <c r="K74" s="14"/>
      <c r="L74" s="14"/>
      <c r="M74" s="14" t="s">
        <v>2420</v>
      </c>
      <c r="N74" s="14"/>
      <c r="O74" s="14" t="s">
        <v>2421</v>
      </c>
      <c r="P74" s="14" t="str">
        <f>HYPERLINK("https://ceds.ed.gov/cedselementdetails.aspx?termid=18614")</f>
        <v>https://ceds.ed.gov/cedselementdetails.aspx?termid=18614</v>
      </c>
      <c r="Q74" s="14" t="str">
        <f>HYPERLINK("https://ceds.ed.gov/elementComment.aspx?elementName=Community-based Type &amp;elementID=18614", "Click here to submit comment")</f>
        <v>Click here to submit comment</v>
      </c>
      <c r="R74" s="14">
        <v>51129</v>
      </c>
    </row>
    <row r="75" spans="1:18" ht="45" x14ac:dyDescent="0.25">
      <c r="A75" s="14" t="s">
        <v>8529</v>
      </c>
      <c r="B75" s="14" t="s">
        <v>8530</v>
      </c>
      <c r="C75" s="14" t="s">
        <v>8555</v>
      </c>
      <c r="D75" s="14" t="s">
        <v>8531</v>
      </c>
      <c r="E75" s="14" t="s">
        <v>5316</v>
      </c>
      <c r="F75" s="14" t="s">
        <v>5317</v>
      </c>
      <c r="G75" s="14" t="s">
        <v>24</v>
      </c>
      <c r="H75" s="14"/>
      <c r="I75" s="14"/>
      <c r="J75" s="14"/>
      <c r="K75" s="14"/>
      <c r="L75" s="14"/>
      <c r="M75" s="14" t="s">
        <v>5319</v>
      </c>
      <c r="N75" s="14"/>
      <c r="O75" s="14" t="s">
        <v>5320</v>
      </c>
      <c r="P75" s="14" t="str">
        <f>HYPERLINK("https://ceds.ed.gov/cedselementdetails.aspx?termid=18615")</f>
        <v>https://ceds.ed.gov/cedselementdetails.aspx?termid=18615</v>
      </c>
      <c r="Q75" s="14" t="str">
        <f>HYPERLINK("https://ceds.ed.gov/elementComment.aspx?elementName=Inclusive Setting Indicator &amp;elementID=18615", "Click here to submit comment")</f>
        <v>Click here to submit comment</v>
      </c>
      <c r="R75" s="14">
        <v>51138</v>
      </c>
    </row>
    <row r="76" spans="1:18" ht="45" x14ac:dyDescent="0.25">
      <c r="A76" s="14" t="s">
        <v>8529</v>
      </c>
      <c r="B76" s="14" t="s">
        <v>8530</v>
      </c>
      <c r="C76" s="14" t="s">
        <v>8560</v>
      </c>
      <c r="D76" s="14" t="s">
        <v>8531</v>
      </c>
      <c r="E76" s="14" t="s">
        <v>6508</v>
      </c>
      <c r="F76" s="14" t="s">
        <v>6509</v>
      </c>
      <c r="G76" s="14" t="s">
        <v>37</v>
      </c>
      <c r="H76" s="14" t="s">
        <v>2801</v>
      </c>
      <c r="I76" s="14"/>
      <c r="J76" s="14" t="s">
        <v>135</v>
      </c>
      <c r="K76" s="14"/>
      <c r="L76" s="14"/>
      <c r="M76" s="14" t="s">
        <v>6510</v>
      </c>
      <c r="N76" s="14"/>
      <c r="O76" s="14" t="s">
        <v>6511</v>
      </c>
      <c r="P76" s="14" t="str">
        <f>HYPERLINK("https://ceds.ed.gov/cedselementdetails.aspx?termid=17350")</f>
        <v>https://ceds.ed.gov/cedselementdetails.aspx?termid=17350</v>
      </c>
      <c r="Q76" s="14" t="str">
        <f>HYPERLINK("https://ceds.ed.gov/elementComment.aspx?elementName=Operation Date &amp;elementID=17350", "Click here to submit comment")</f>
        <v>Click here to submit comment</v>
      </c>
      <c r="R76" s="14">
        <v>47714</v>
      </c>
    </row>
    <row r="77" spans="1:18" ht="105" x14ac:dyDescent="0.25">
      <c r="A77" s="14" t="s">
        <v>8529</v>
      </c>
      <c r="B77" s="14" t="s">
        <v>8530</v>
      </c>
      <c r="C77" s="14" t="s">
        <v>8560</v>
      </c>
      <c r="D77" s="14" t="s">
        <v>8531</v>
      </c>
      <c r="E77" s="14" t="s">
        <v>7689</v>
      </c>
      <c r="F77" s="14" t="s">
        <v>7690</v>
      </c>
      <c r="G77" s="8" t="s">
        <v>8561</v>
      </c>
      <c r="H77" s="14" t="s">
        <v>3454</v>
      </c>
      <c r="I77" s="14"/>
      <c r="J77" s="14"/>
      <c r="K77" s="14"/>
      <c r="L77" s="14"/>
      <c r="M77" s="14" t="s">
        <v>7692</v>
      </c>
      <c r="N77" s="14"/>
      <c r="O77" s="14" t="s">
        <v>7693</v>
      </c>
      <c r="P77" s="14" t="str">
        <f>HYPERLINK("https://ceds.ed.gov/cedselementdetails.aspx?termid=17352")</f>
        <v>https://ceds.ed.gov/cedselementdetails.aspx?termid=17352</v>
      </c>
      <c r="Q77" s="14" t="str">
        <f>HYPERLINK("https://ceds.ed.gov/elementComment.aspx?elementName=Service Option Variation &amp;elementID=17352", "Click here to submit comment")</f>
        <v>Click here to submit comment</v>
      </c>
      <c r="R77" s="14">
        <v>47715</v>
      </c>
    </row>
    <row r="78" spans="1:18" ht="60" x14ac:dyDescent="0.25">
      <c r="A78" s="14" t="s">
        <v>8529</v>
      </c>
      <c r="B78" s="14" t="s">
        <v>8530</v>
      </c>
      <c r="C78" s="14" t="s">
        <v>8560</v>
      </c>
      <c r="D78" s="14" t="s">
        <v>8531</v>
      </c>
      <c r="E78" s="14" t="s">
        <v>5043</v>
      </c>
      <c r="F78" s="14" t="s">
        <v>5044</v>
      </c>
      <c r="G78" s="14" t="s">
        <v>37</v>
      </c>
      <c r="H78" s="14" t="s">
        <v>3454</v>
      </c>
      <c r="I78" s="14"/>
      <c r="J78" s="14" t="s">
        <v>1710</v>
      </c>
      <c r="K78" s="14"/>
      <c r="L78" s="14"/>
      <c r="M78" s="14" t="s">
        <v>5045</v>
      </c>
      <c r="N78" s="14"/>
      <c r="O78" s="14" t="s">
        <v>5046</v>
      </c>
      <c r="P78" s="14" t="str">
        <f>HYPERLINK("https://ceds.ed.gov/cedselementdetails.aspx?termid=17353")</f>
        <v>https://ceds.ed.gov/cedselementdetails.aspx?termid=17353</v>
      </c>
      <c r="Q78" s="14" t="str">
        <f>HYPERLINK("https://ceds.ed.gov/elementComment.aspx?elementName=Hours Available Per Day &amp;elementID=17353", "Click here to submit comment")</f>
        <v>Click here to submit comment</v>
      </c>
      <c r="R78" s="14">
        <v>47716</v>
      </c>
    </row>
    <row r="79" spans="1:18" ht="60" x14ac:dyDescent="0.25">
      <c r="A79" s="14" t="s">
        <v>8529</v>
      </c>
      <c r="B79" s="14" t="s">
        <v>8530</v>
      </c>
      <c r="C79" s="14" t="s">
        <v>8560</v>
      </c>
      <c r="D79" s="14" t="s">
        <v>8531</v>
      </c>
      <c r="E79" s="14" t="s">
        <v>3449</v>
      </c>
      <c r="F79" s="14" t="s">
        <v>3450</v>
      </c>
      <c r="G79" s="14" t="s">
        <v>37</v>
      </c>
      <c r="H79" s="14" t="s">
        <v>3454</v>
      </c>
      <c r="I79" s="14"/>
      <c r="J79" s="14" t="s">
        <v>370</v>
      </c>
      <c r="K79" s="14"/>
      <c r="L79" s="14"/>
      <c r="M79" s="14" t="s">
        <v>3452</v>
      </c>
      <c r="N79" s="14"/>
      <c r="O79" s="14" t="s">
        <v>3453</v>
      </c>
      <c r="P79" s="14" t="str">
        <f>HYPERLINK("https://ceds.ed.gov/cedselementdetails.aspx?termid=17354")</f>
        <v>https://ceds.ed.gov/cedselementdetails.aspx?termid=17354</v>
      </c>
      <c r="Q79" s="14" t="str">
        <f>HYPERLINK("https://ceds.ed.gov/elementComment.aspx?elementName=Days Available Per Week &amp;elementID=17354", "Click here to submit comment")</f>
        <v>Click here to submit comment</v>
      </c>
      <c r="R79" s="14">
        <v>47717</v>
      </c>
    </row>
    <row r="80" spans="1:18" ht="195" x14ac:dyDescent="0.25">
      <c r="A80" s="14" t="s">
        <v>8529</v>
      </c>
      <c r="B80" s="14" t="s">
        <v>8530</v>
      </c>
      <c r="C80" s="14" t="s">
        <v>8560</v>
      </c>
      <c r="D80" s="14" t="s">
        <v>8531</v>
      </c>
      <c r="E80" s="14" t="s">
        <v>3723</v>
      </c>
      <c r="F80" s="14" t="s">
        <v>3724</v>
      </c>
      <c r="G80" s="8" t="s">
        <v>8562</v>
      </c>
      <c r="H80" s="14" t="s">
        <v>3454</v>
      </c>
      <c r="I80" s="14"/>
      <c r="J80" s="14"/>
      <c r="K80" s="14"/>
      <c r="L80" s="14"/>
      <c r="M80" s="14" t="s">
        <v>3726</v>
      </c>
      <c r="N80" s="14"/>
      <c r="O80" s="14" t="s">
        <v>3727</v>
      </c>
      <c r="P80" s="14" t="str">
        <f>HYPERLINK("https://ceds.ed.gov/cedselementdetails.aspx?termid=17355")</f>
        <v>https://ceds.ed.gov/cedselementdetails.aspx?termid=17355</v>
      </c>
      <c r="Q80" s="14" t="str">
        <f>HYPERLINK("https://ceds.ed.gov/elementComment.aspx?elementName=Early Childhood Setting &amp;elementID=17355", "Click here to submit comment")</f>
        <v>Click here to submit comment</v>
      </c>
      <c r="R80" s="14">
        <v>47718</v>
      </c>
    </row>
    <row r="81" spans="1:18" ht="45" x14ac:dyDescent="0.25">
      <c r="A81" s="14" t="s">
        <v>8529</v>
      </c>
      <c r="B81" s="14" t="s">
        <v>8530</v>
      </c>
      <c r="C81" s="14" t="s">
        <v>8560</v>
      </c>
      <c r="D81" s="14" t="s">
        <v>8531</v>
      </c>
      <c r="E81" s="14" t="s">
        <v>6427</v>
      </c>
      <c r="F81" s="14" t="s">
        <v>6428</v>
      </c>
      <c r="G81" s="14" t="s">
        <v>37</v>
      </c>
      <c r="H81" s="14" t="s">
        <v>125</v>
      </c>
      <c r="I81" s="14"/>
      <c r="J81" s="14" t="s">
        <v>370</v>
      </c>
      <c r="K81" s="14"/>
      <c r="L81" s="14"/>
      <c r="M81" s="14" t="s">
        <v>6429</v>
      </c>
      <c r="N81" s="14"/>
      <c r="O81" s="14" t="s">
        <v>6430</v>
      </c>
      <c r="P81" s="14" t="str">
        <f>HYPERLINK("https://ceds.ed.gov/cedselementdetails.aspx?termid=17844")</f>
        <v>https://ceds.ed.gov/cedselementdetails.aspx?termid=17844</v>
      </c>
      <c r="Q81" s="14" t="str">
        <f>HYPERLINK("https://ceds.ed.gov/elementComment.aspx?elementName=Number of Classrooms &amp;elementID=17844", "Click here to submit comment")</f>
        <v>Click here to submit comment</v>
      </c>
      <c r="R81" s="14">
        <v>49298</v>
      </c>
    </row>
    <row r="82" spans="1:18" ht="60" x14ac:dyDescent="0.25">
      <c r="A82" s="14" t="s">
        <v>8529</v>
      </c>
      <c r="B82" s="14" t="s">
        <v>8530</v>
      </c>
      <c r="C82" s="14" t="s">
        <v>8560</v>
      </c>
      <c r="D82" s="14" t="s">
        <v>8531</v>
      </c>
      <c r="E82" s="14" t="s">
        <v>3904</v>
      </c>
      <c r="F82" s="14" t="s">
        <v>3905</v>
      </c>
      <c r="G82" s="14" t="s">
        <v>37</v>
      </c>
      <c r="H82" s="14" t="s">
        <v>3811</v>
      </c>
      <c r="I82" s="14"/>
      <c r="J82" s="14" t="s">
        <v>370</v>
      </c>
      <c r="K82" s="14"/>
      <c r="L82" s="14"/>
      <c r="M82" s="14" t="s">
        <v>3906</v>
      </c>
      <c r="N82" s="14"/>
      <c r="O82" s="14" t="s">
        <v>3907</v>
      </c>
      <c r="P82" s="14" t="str">
        <f>HYPERLINK("https://ceds.ed.gov/cedselementdetails.aspx?termid=17626")</f>
        <v>https://ceds.ed.gov/cedselementdetails.aspx?termid=17626</v>
      </c>
      <c r="Q82" s="14" t="str">
        <f>HYPERLINK("https://ceds.ed.gov/elementComment.aspx?elementName=Early Learning Youngest Age Authorized to Serve &amp;elementID=17626", "Click here to submit comment")</f>
        <v>Click here to submit comment</v>
      </c>
      <c r="R82" s="14">
        <v>47723</v>
      </c>
    </row>
    <row r="83" spans="1:18" ht="60" x14ac:dyDescent="0.25">
      <c r="A83" s="14" t="s">
        <v>8529</v>
      </c>
      <c r="B83" s="14" t="s">
        <v>8530</v>
      </c>
      <c r="C83" s="14" t="s">
        <v>8560</v>
      </c>
      <c r="D83" s="14" t="s">
        <v>8531</v>
      </c>
      <c r="E83" s="14" t="s">
        <v>3807</v>
      </c>
      <c r="F83" s="14" t="s">
        <v>3808</v>
      </c>
      <c r="G83" s="14" t="s">
        <v>37</v>
      </c>
      <c r="H83" s="14" t="s">
        <v>3811</v>
      </c>
      <c r="I83" s="14"/>
      <c r="J83" s="14" t="s">
        <v>370</v>
      </c>
      <c r="K83" s="14"/>
      <c r="L83" s="14"/>
      <c r="M83" s="14" t="s">
        <v>3809</v>
      </c>
      <c r="N83" s="14"/>
      <c r="O83" s="14" t="s">
        <v>3810</v>
      </c>
      <c r="P83" s="14" t="str">
        <f>HYPERLINK("https://ceds.ed.gov/cedselementdetails.aspx?termid=18189")</f>
        <v>https://ceds.ed.gov/cedselementdetails.aspx?termid=18189</v>
      </c>
      <c r="Q83" s="14" t="str">
        <f>HYPERLINK("https://ceds.ed.gov/elementComment.aspx?elementName=Early Learning Oldest Age Authorized to Serve &amp;elementID=18189", "Click here to submit comment")</f>
        <v>Click here to submit comment</v>
      </c>
      <c r="R83" s="14">
        <v>48630</v>
      </c>
    </row>
    <row r="84" spans="1:18" ht="135" x14ac:dyDescent="0.25">
      <c r="A84" s="14" t="s">
        <v>8529</v>
      </c>
      <c r="B84" s="14" t="s">
        <v>8530</v>
      </c>
      <c r="C84" s="14" t="s">
        <v>8560</v>
      </c>
      <c r="D84" s="14" t="s">
        <v>8531</v>
      </c>
      <c r="E84" s="14" t="s">
        <v>7807</v>
      </c>
      <c r="F84" s="14" t="s">
        <v>7808</v>
      </c>
      <c r="G84" s="8" t="s">
        <v>8563</v>
      </c>
      <c r="H84" s="14" t="s">
        <v>125</v>
      </c>
      <c r="I84" s="14"/>
      <c r="J84" s="14"/>
      <c r="K84" s="14"/>
      <c r="L84" s="14"/>
      <c r="M84" s="14" t="s">
        <v>7810</v>
      </c>
      <c r="N84" s="14"/>
      <c r="O84" s="14" t="s">
        <v>7811</v>
      </c>
      <c r="P84" s="14" t="str">
        <f>HYPERLINK("https://ceds.ed.gov/cedselementdetails.aspx?termid=17852")</f>
        <v>https://ceds.ed.gov/cedselementdetails.aspx?termid=17852</v>
      </c>
      <c r="Q84" s="14" t="str">
        <f>HYPERLINK("https://ceds.ed.gov/elementComment.aspx?elementName=Special Circumstances Population Served &amp;elementID=17852", "Click here to submit comment")</f>
        <v>Click here to submit comment</v>
      </c>
      <c r="R84" s="14">
        <v>49305</v>
      </c>
    </row>
    <row r="85" spans="1:18" ht="315" x14ac:dyDescent="0.25">
      <c r="A85" s="14" t="s">
        <v>8529</v>
      </c>
      <c r="B85" s="14" t="s">
        <v>8530</v>
      </c>
      <c r="C85" s="14" t="s">
        <v>8560</v>
      </c>
      <c r="D85" s="14" t="s">
        <v>8531</v>
      </c>
      <c r="E85" s="14" t="s">
        <v>3913</v>
      </c>
      <c r="F85" s="14" t="s">
        <v>3914</v>
      </c>
      <c r="G85" s="8" t="s">
        <v>8564</v>
      </c>
      <c r="H85" s="14" t="s">
        <v>3920</v>
      </c>
      <c r="I85" s="14"/>
      <c r="J85" s="14"/>
      <c r="K85" s="14"/>
      <c r="L85" s="14"/>
      <c r="M85" s="14" t="s">
        <v>3917</v>
      </c>
      <c r="N85" s="14" t="s">
        <v>3918</v>
      </c>
      <c r="O85" s="14" t="s">
        <v>3919</v>
      </c>
      <c r="P85" s="14" t="str">
        <f>HYPERLINK("https://ceds.ed.gov/cedselementdetails.aspx?termid=17862")</f>
        <v>https://ceds.ed.gov/cedselementdetails.aspx?termid=17862</v>
      </c>
      <c r="Q85" s="14" t="str">
        <f>HYPERLINK("https://ceds.ed.gov/elementComment.aspx?elementName=Economic Research Service Rural-Urban Continuum Code &amp;elementID=17862", "Click here to submit comment")</f>
        <v>Click here to submit comment</v>
      </c>
      <c r="R85" s="14">
        <v>49313</v>
      </c>
    </row>
    <row r="86" spans="1:18" ht="45" x14ac:dyDescent="0.25">
      <c r="A86" s="14" t="s">
        <v>8529</v>
      </c>
      <c r="B86" s="14" t="s">
        <v>8530</v>
      </c>
      <c r="C86" s="14" t="s">
        <v>8565</v>
      </c>
      <c r="D86" s="14" t="s">
        <v>8531</v>
      </c>
      <c r="E86" s="14" t="s">
        <v>7785</v>
      </c>
      <c r="F86" s="14" t="s">
        <v>7786</v>
      </c>
      <c r="G86" s="14" t="s">
        <v>37</v>
      </c>
      <c r="H86" s="14" t="s">
        <v>2801</v>
      </c>
      <c r="I86" s="14"/>
      <c r="J86" s="14" t="s">
        <v>175</v>
      </c>
      <c r="K86" s="14"/>
      <c r="L86" s="14"/>
      <c r="M86" s="14" t="s">
        <v>7788</v>
      </c>
      <c r="N86" s="14"/>
      <c r="O86" s="14" t="s">
        <v>7789</v>
      </c>
      <c r="P86" s="14" t="str">
        <f>HYPERLINK("https://ceds.ed.gov/cedselementdetails.aspx?termid=17625")</f>
        <v>https://ceds.ed.gov/cedselementdetails.aspx?termid=17625</v>
      </c>
      <c r="Q86" s="14" t="str">
        <f>HYPERLINK("https://ceds.ed.gov/elementComment.aspx?elementName=Site Name &amp;elementID=17625", "Click here to submit comment")</f>
        <v>Click here to submit comment</v>
      </c>
      <c r="R86" s="14">
        <v>47722</v>
      </c>
    </row>
    <row r="87" spans="1:18" ht="75" x14ac:dyDescent="0.25">
      <c r="A87" s="14" t="s">
        <v>8529</v>
      </c>
      <c r="B87" s="14" t="s">
        <v>8530</v>
      </c>
      <c r="C87" s="14" t="s">
        <v>8566</v>
      </c>
      <c r="D87" s="14" t="s">
        <v>8531</v>
      </c>
      <c r="E87" s="14" t="s">
        <v>4371</v>
      </c>
      <c r="F87" s="14" t="s">
        <v>4372</v>
      </c>
      <c r="G87" s="8" t="s">
        <v>8567</v>
      </c>
      <c r="H87" s="14" t="s">
        <v>125</v>
      </c>
      <c r="I87" s="14"/>
      <c r="J87" s="14"/>
      <c r="K87" s="14"/>
      <c r="L87" s="14"/>
      <c r="M87" s="14" t="s">
        <v>4375</v>
      </c>
      <c r="N87" s="14"/>
      <c r="O87" s="14" t="s">
        <v>4376</v>
      </c>
      <c r="P87" s="14" t="str">
        <f>HYPERLINK("https://ceds.ed.gov/cedselementdetails.aspx?termid=17834")</f>
        <v>https://ceds.ed.gov/cedselementdetails.aspx?termid=17834</v>
      </c>
      <c r="Q87" s="14" t="str">
        <f>HYPERLINK("https://ceds.ed.gov/elementComment.aspx?elementName=Facility Profit Status &amp;elementID=17834", "Click here to submit comment")</f>
        <v>Click here to submit comment</v>
      </c>
      <c r="R87" s="14">
        <v>49288</v>
      </c>
    </row>
    <row r="88" spans="1:18" ht="60" x14ac:dyDescent="0.25">
      <c r="A88" s="14" t="s">
        <v>8529</v>
      </c>
      <c r="B88" s="14" t="s">
        <v>8530</v>
      </c>
      <c r="C88" s="14" t="s">
        <v>8568</v>
      </c>
      <c r="D88" s="14" t="s">
        <v>8531</v>
      </c>
      <c r="E88" s="14" t="s">
        <v>4325</v>
      </c>
      <c r="F88" s="14" t="s">
        <v>4326</v>
      </c>
      <c r="G88" s="8" t="s">
        <v>8569</v>
      </c>
      <c r="H88" s="14" t="s">
        <v>3920</v>
      </c>
      <c r="I88" s="14"/>
      <c r="J88" s="14"/>
      <c r="K88" s="14"/>
      <c r="L88" s="14"/>
      <c r="M88" s="14" t="s">
        <v>4328</v>
      </c>
      <c r="N88" s="14"/>
      <c r="O88" s="14" t="s">
        <v>4329</v>
      </c>
      <c r="P88" s="14" t="str">
        <f>HYPERLINK("https://ceds.ed.gov/cedselementdetails.aspx?termid=17985")</f>
        <v>https://ceds.ed.gov/cedselementdetails.aspx?termid=17985</v>
      </c>
      <c r="Q88" s="14" t="str">
        <f>HYPERLINK("https://ceds.ed.gov/elementComment.aspx?elementName=Facility Licensing Status &amp;elementID=17985", "Click here to submit comment")</f>
        <v>Click here to submit comment</v>
      </c>
      <c r="R88" s="14">
        <v>48435</v>
      </c>
    </row>
    <row r="89" spans="1:18" ht="45" x14ac:dyDescent="0.25">
      <c r="A89" s="14" t="s">
        <v>8529</v>
      </c>
      <c r="B89" s="14" t="s">
        <v>8530</v>
      </c>
      <c r="C89" s="14" t="s">
        <v>8568</v>
      </c>
      <c r="D89" s="14" t="s">
        <v>8531</v>
      </c>
      <c r="E89" s="14" t="s">
        <v>8009</v>
      </c>
      <c r="F89" s="14" t="s">
        <v>8010</v>
      </c>
      <c r="G89" s="14" t="s">
        <v>37</v>
      </c>
      <c r="H89" s="14" t="s">
        <v>125</v>
      </c>
      <c r="I89" s="14"/>
      <c r="J89" s="14" t="s">
        <v>370</v>
      </c>
      <c r="K89" s="14"/>
      <c r="L89" s="14"/>
      <c r="M89" s="14" t="s">
        <v>8011</v>
      </c>
      <c r="N89" s="14"/>
      <c r="O89" s="14" t="s">
        <v>8012</v>
      </c>
      <c r="P89" s="14" t="str">
        <f>HYPERLINK("https://ceds.ed.gov/cedselementdetails.aspx?termid=17865")</f>
        <v>https://ceds.ed.gov/cedselementdetails.aspx?termid=17865</v>
      </c>
      <c r="Q89" s="14" t="str">
        <f>HYPERLINK("https://ceds.ed.gov/elementComment.aspx?elementName=State Licensed Facility Capacity &amp;elementID=17865", "Click here to submit comment")</f>
        <v>Click here to submit comment</v>
      </c>
      <c r="R89" s="14">
        <v>49316</v>
      </c>
    </row>
    <row r="90" spans="1:18" ht="90" x14ac:dyDescent="0.25">
      <c r="A90" s="14" t="s">
        <v>8529</v>
      </c>
      <c r="B90" s="14" t="s">
        <v>8530</v>
      </c>
      <c r="C90" s="14" t="s">
        <v>8568</v>
      </c>
      <c r="D90" s="14" t="s">
        <v>8531</v>
      </c>
      <c r="E90" s="14" t="s">
        <v>3870</v>
      </c>
      <c r="F90" s="14" t="s">
        <v>3871</v>
      </c>
      <c r="G90" s="8" t="s">
        <v>8570</v>
      </c>
      <c r="H90" s="14" t="s">
        <v>125</v>
      </c>
      <c r="I90" s="14"/>
      <c r="J90" s="14"/>
      <c r="K90" s="14"/>
      <c r="L90" s="14"/>
      <c r="M90" s="14" t="s">
        <v>3873</v>
      </c>
      <c r="N90" s="14"/>
      <c r="O90" s="14" t="s">
        <v>3874</v>
      </c>
      <c r="P90" s="14" t="str">
        <f>HYPERLINK("https://ceds.ed.gov/cedselementdetails.aspx?termid=17828")</f>
        <v>https://ceds.ed.gov/cedselementdetails.aspx?termid=17828</v>
      </c>
      <c r="Q90" s="14" t="str">
        <f>HYPERLINK("https://ceds.ed.gov/elementComment.aspx?elementName=Early Learning Program Licensing Status &amp;elementID=17828", "Click here to submit comment")</f>
        <v>Click here to submit comment</v>
      </c>
      <c r="R90" s="14">
        <v>49284</v>
      </c>
    </row>
    <row r="91" spans="1:18" ht="45" x14ac:dyDescent="0.25">
      <c r="A91" s="14" t="s">
        <v>8529</v>
      </c>
      <c r="B91" s="14" t="s">
        <v>8530</v>
      </c>
      <c r="C91" s="14" t="s">
        <v>8568</v>
      </c>
      <c r="D91" s="14" t="s">
        <v>8531</v>
      </c>
      <c r="E91" s="14" t="s">
        <v>5460</v>
      </c>
      <c r="F91" s="14" t="s">
        <v>5461</v>
      </c>
      <c r="G91" s="14" t="s">
        <v>37</v>
      </c>
      <c r="H91" s="14" t="s">
        <v>2801</v>
      </c>
      <c r="I91" s="14"/>
      <c r="J91" s="14" t="s">
        <v>135</v>
      </c>
      <c r="K91" s="14"/>
      <c r="L91" s="14"/>
      <c r="M91" s="14" t="s">
        <v>5462</v>
      </c>
      <c r="N91" s="14"/>
      <c r="O91" s="14" t="s">
        <v>5463</v>
      </c>
      <c r="P91" s="14" t="str">
        <f>HYPERLINK("https://ceds.ed.gov/cedselementdetails.aspx?termid=17347")</f>
        <v>https://ceds.ed.gov/cedselementdetails.aspx?termid=17347</v>
      </c>
      <c r="Q91" s="14" t="str">
        <f>HYPERLINK("https://ceds.ed.gov/elementComment.aspx?elementName=Initial License Date &amp;elementID=17347", "Click here to submit comment")</f>
        <v>Click here to submit comment</v>
      </c>
      <c r="R91" s="14">
        <v>47711</v>
      </c>
    </row>
    <row r="92" spans="1:18" ht="45" x14ac:dyDescent="0.25">
      <c r="A92" s="14" t="s">
        <v>8529</v>
      </c>
      <c r="B92" s="14" t="s">
        <v>8530</v>
      </c>
      <c r="C92" s="14" t="s">
        <v>8568</v>
      </c>
      <c r="D92" s="14" t="s">
        <v>8531</v>
      </c>
      <c r="E92" s="14" t="s">
        <v>2796</v>
      </c>
      <c r="F92" s="14" t="s">
        <v>2797</v>
      </c>
      <c r="G92" s="14" t="s">
        <v>37</v>
      </c>
      <c r="H92" s="14" t="s">
        <v>2801</v>
      </c>
      <c r="I92" s="14"/>
      <c r="J92" s="14" t="s">
        <v>135</v>
      </c>
      <c r="K92" s="14"/>
      <c r="L92" s="14"/>
      <c r="M92" s="14" t="s">
        <v>2799</v>
      </c>
      <c r="N92" s="14"/>
      <c r="O92" s="14" t="s">
        <v>2800</v>
      </c>
      <c r="P92" s="14" t="str">
        <f>HYPERLINK("https://ceds.ed.gov/cedselementdetails.aspx?termid=17348")</f>
        <v>https://ceds.ed.gov/cedselementdetails.aspx?termid=17348</v>
      </c>
      <c r="Q92" s="14" t="str">
        <f>HYPERLINK("https://ceds.ed.gov/elementComment.aspx?elementName=Continuing License Date &amp;elementID=17348", "Click here to submit comment")</f>
        <v>Click here to submit comment</v>
      </c>
      <c r="R92" s="14">
        <v>47712</v>
      </c>
    </row>
    <row r="93" spans="1:18" ht="60" x14ac:dyDescent="0.25">
      <c r="A93" s="14" t="s">
        <v>8529</v>
      </c>
      <c r="B93" s="14" t="s">
        <v>8530</v>
      </c>
      <c r="C93" s="14" t="s">
        <v>8568</v>
      </c>
      <c r="D93" s="14" t="s">
        <v>8531</v>
      </c>
      <c r="E93" s="14" t="s">
        <v>6092</v>
      </c>
      <c r="F93" s="14" t="s">
        <v>6093</v>
      </c>
      <c r="G93" s="8" t="s">
        <v>8558</v>
      </c>
      <c r="H93" s="14" t="s">
        <v>2801</v>
      </c>
      <c r="I93" s="14"/>
      <c r="J93" s="14"/>
      <c r="K93" s="14"/>
      <c r="L93" s="14"/>
      <c r="M93" s="14" t="s">
        <v>6094</v>
      </c>
      <c r="N93" s="14"/>
      <c r="O93" s="14" t="s">
        <v>6095</v>
      </c>
      <c r="P93" s="14" t="str">
        <f>HYPERLINK("https://ceds.ed.gov/cedselementdetails.aspx?termid=17349")</f>
        <v>https://ceds.ed.gov/cedselementdetails.aspx?termid=17349</v>
      </c>
      <c r="Q93" s="14" t="str">
        <f>HYPERLINK("https://ceds.ed.gov/elementComment.aspx?elementName=License Exempt &amp;elementID=17349", "Click here to submit comment")</f>
        <v>Click here to submit comment</v>
      </c>
      <c r="R93" s="14">
        <v>47713</v>
      </c>
    </row>
    <row r="94" spans="1:18" ht="45" x14ac:dyDescent="0.25">
      <c r="A94" s="14" t="s">
        <v>8529</v>
      </c>
      <c r="B94" s="14" t="s">
        <v>8530</v>
      </c>
      <c r="C94" s="14" t="s">
        <v>8568</v>
      </c>
      <c r="D94" s="14" t="s">
        <v>8531</v>
      </c>
      <c r="E94" s="14" t="s">
        <v>6462</v>
      </c>
      <c r="F94" s="14" t="s">
        <v>6463</v>
      </c>
      <c r="G94" s="14" t="s">
        <v>37</v>
      </c>
      <c r="H94" s="14" t="s">
        <v>125</v>
      </c>
      <c r="I94" s="14"/>
      <c r="J94" s="14" t="s">
        <v>370</v>
      </c>
      <c r="K94" s="14"/>
      <c r="L94" s="14"/>
      <c r="M94" s="14" t="s">
        <v>6464</v>
      </c>
      <c r="N94" s="14"/>
      <c r="O94" s="14" t="s">
        <v>6465</v>
      </c>
      <c r="P94" s="14" t="str">
        <f>HYPERLINK("https://ceds.ed.gov/cedselementdetails.aspx?termid=17835")</f>
        <v>https://ceds.ed.gov/cedselementdetails.aspx?termid=17835</v>
      </c>
      <c r="Q94" s="14" t="str">
        <f>HYPERLINK("https://ceds.ed.gov/elementComment.aspx?elementName=Number of Early Learning Fatalities &amp;elementID=17835", "Click here to submit comment")</f>
        <v>Click here to submit comment</v>
      </c>
      <c r="R94" s="14">
        <v>49289</v>
      </c>
    </row>
    <row r="95" spans="1:18" ht="45" x14ac:dyDescent="0.25">
      <c r="A95" s="14" t="s">
        <v>8529</v>
      </c>
      <c r="B95" s="14" t="s">
        <v>8530</v>
      </c>
      <c r="C95" s="14" t="s">
        <v>8568</v>
      </c>
      <c r="D95" s="14" t="s">
        <v>8531</v>
      </c>
      <c r="E95" s="14" t="s">
        <v>6466</v>
      </c>
      <c r="F95" s="14" t="s">
        <v>6467</v>
      </c>
      <c r="G95" s="14" t="s">
        <v>37</v>
      </c>
      <c r="H95" s="14" t="s">
        <v>125</v>
      </c>
      <c r="I95" s="14"/>
      <c r="J95" s="14" t="s">
        <v>370</v>
      </c>
      <c r="K95" s="14"/>
      <c r="L95" s="14"/>
      <c r="M95" s="14" t="s">
        <v>6468</v>
      </c>
      <c r="N95" s="14"/>
      <c r="O95" s="14" t="s">
        <v>6469</v>
      </c>
      <c r="P95" s="14" t="str">
        <f>HYPERLINK("https://ceds.ed.gov/cedselementdetails.aspx?termid=17836")</f>
        <v>https://ceds.ed.gov/cedselementdetails.aspx?termid=17836</v>
      </c>
      <c r="Q95" s="14" t="str">
        <f>HYPERLINK("https://ceds.ed.gov/elementComment.aspx?elementName=Number of Early Learning Injuries &amp;elementID=17836", "Click here to submit comment")</f>
        <v>Click here to submit comment</v>
      </c>
      <c r="R95" s="14">
        <v>49290</v>
      </c>
    </row>
    <row r="96" spans="1:18" ht="45" x14ac:dyDescent="0.25">
      <c r="A96" s="14" t="s">
        <v>8529</v>
      </c>
      <c r="B96" s="14" t="s">
        <v>8530</v>
      </c>
      <c r="C96" s="14" t="s">
        <v>8568</v>
      </c>
      <c r="D96" s="14" t="s">
        <v>8531</v>
      </c>
      <c r="E96" s="14" t="s">
        <v>3866</v>
      </c>
      <c r="F96" s="14" t="s">
        <v>3867</v>
      </c>
      <c r="G96" s="14" t="s">
        <v>24</v>
      </c>
      <c r="H96" s="14" t="s">
        <v>125</v>
      </c>
      <c r="I96" s="14"/>
      <c r="J96" s="14"/>
      <c r="K96" s="14"/>
      <c r="L96" s="14"/>
      <c r="M96" s="14" t="s">
        <v>3868</v>
      </c>
      <c r="N96" s="14"/>
      <c r="O96" s="14" t="s">
        <v>3869</v>
      </c>
      <c r="P96" s="14" t="str">
        <f>HYPERLINK("https://ceds.ed.gov/cedselementdetails.aspx?termid=17837")</f>
        <v>https://ceds.ed.gov/cedselementdetails.aspx?termid=17837</v>
      </c>
      <c r="Q96" s="14" t="str">
        <f>HYPERLINK("https://ceds.ed.gov/elementComment.aspx?elementName=Early Learning Program License Suspension Status &amp;elementID=17837", "Click here to submit comment")</f>
        <v>Click here to submit comment</v>
      </c>
      <c r="R96" s="14">
        <v>49291</v>
      </c>
    </row>
    <row r="97" spans="1:18" ht="45" x14ac:dyDescent="0.25">
      <c r="A97" s="14" t="s">
        <v>8529</v>
      </c>
      <c r="B97" s="14" t="s">
        <v>8530</v>
      </c>
      <c r="C97" s="14" t="s">
        <v>8568</v>
      </c>
      <c r="D97" s="14" t="s">
        <v>8531</v>
      </c>
      <c r="E97" s="14" t="s">
        <v>3862</v>
      </c>
      <c r="F97" s="14" t="s">
        <v>3863</v>
      </c>
      <c r="G97" s="14" t="s">
        <v>24</v>
      </c>
      <c r="H97" s="14" t="s">
        <v>125</v>
      </c>
      <c r="I97" s="14"/>
      <c r="J97" s="14"/>
      <c r="K97" s="14"/>
      <c r="L97" s="14"/>
      <c r="M97" s="14" t="s">
        <v>3864</v>
      </c>
      <c r="N97" s="14"/>
      <c r="O97" s="14" t="s">
        <v>3865</v>
      </c>
      <c r="P97" s="14" t="str">
        <f>HYPERLINK("https://ceds.ed.gov/cedselementdetails.aspx?termid=17838")</f>
        <v>https://ceds.ed.gov/cedselementdetails.aspx?termid=17838</v>
      </c>
      <c r="Q97" s="14" t="str">
        <f>HYPERLINK("https://ceds.ed.gov/elementComment.aspx?elementName=Early Learning Program License Revocation Status &amp;elementID=17838", "Click here to submit comment")</f>
        <v>Click here to submit comment</v>
      </c>
      <c r="R97" s="14">
        <v>49292</v>
      </c>
    </row>
    <row r="98" spans="1:18" ht="105" x14ac:dyDescent="0.25">
      <c r="A98" s="14" t="s">
        <v>8529</v>
      </c>
      <c r="B98" s="14" t="s">
        <v>8530</v>
      </c>
      <c r="C98" s="14" t="s">
        <v>8571</v>
      </c>
      <c r="D98" s="14" t="s">
        <v>8531</v>
      </c>
      <c r="E98" s="14" t="s">
        <v>7277</v>
      </c>
      <c r="F98" s="14" t="s">
        <v>7278</v>
      </c>
      <c r="G98" s="8" t="s">
        <v>8572</v>
      </c>
      <c r="H98" s="14" t="s">
        <v>7283</v>
      </c>
      <c r="I98" s="14"/>
      <c r="J98" s="14"/>
      <c r="K98" s="14"/>
      <c r="L98" s="14"/>
      <c r="M98" s="14" t="s">
        <v>7280</v>
      </c>
      <c r="N98" s="14" t="s">
        <v>7281</v>
      </c>
      <c r="O98" s="14" t="s">
        <v>7282</v>
      </c>
      <c r="P98" s="14" t="str">
        <f>HYPERLINK("https://ceds.ed.gov/cedselementdetails.aspx?termid=17356")</f>
        <v>https://ceds.ed.gov/cedselementdetails.aspx?termid=17356</v>
      </c>
      <c r="Q98" s="14" t="str">
        <f>HYPERLINK("https://ceds.ed.gov/elementComment.aspx?elementName=Quality Rating and Improvement System Participation &amp;elementID=17356", "Click here to submit comment")</f>
        <v>Click here to submit comment</v>
      </c>
      <c r="R98" s="14">
        <v>47719</v>
      </c>
    </row>
    <row r="99" spans="1:18" ht="45" x14ac:dyDescent="0.25">
      <c r="A99" s="14" t="s">
        <v>8529</v>
      </c>
      <c r="B99" s="14" t="s">
        <v>8530</v>
      </c>
      <c r="C99" s="14" t="s">
        <v>8571</v>
      </c>
      <c r="D99" s="14" t="s">
        <v>8531</v>
      </c>
      <c r="E99" s="14" t="s">
        <v>7284</v>
      </c>
      <c r="F99" s="14" t="s">
        <v>7285</v>
      </c>
      <c r="G99" s="14" t="s">
        <v>37</v>
      </c>
      <c r="H99" s="14" t="s">
        <v>7283</v>
      </c>
      <c r="I99" s="14"/>
      <c r="J99" s="14" t="s">
        <v>1510</v>
      </c>
      <c r="K99" s="14"/>
      <c r="L99" s="14"/>
      <c r="M99" s="14" t="s">
        <v>7286</v>
      </c>
      <c r="N99" s="14" t="s">
        <v>7287</v>
      </c>
      <c r="O99" s="14" t="s">
        <v>7288</v>
      </c>
      <c r="P99" s="14" t="str">
        <f>HYPERLINK("https://ceds.ed.gov/cedselementdetails.aspx?termid=17357")</f>
        <v>https://ceds.ed.gov/cedselementdetails.aspx?termid=17357</v>
      </c>
      <c r="Q99" s="14" t="str">
        <f>HYPERLINK("https://ceds.ed.gov/elementComment.aspx?elementName=Quality Rating and Improvement System Score &amp;elementID=17357", "Click here to submit comment")</f>
        <v>Click here to submit comment</v>
      </c>
      <c r="R99" s="14">
        <v>47720</v>
      </c>
    </row>
    <row r="100" spans="1:18" ht="45" x14ac:dyDescent="0.25">
      <c r="A100" s="14" t="s">
        <v>8529</v>
      </c>
      <c r="B100" s="14" t="s">
        <v>8530</v>
      </c>
      <c r="C100" s="14" t="s">
        <v>8571</v>
      </c>
      <c r="D100" s="14" t="s">
        <v>8531</v>
      </c>
      <c r="E100" s="14" t="s">
        <v>7267</v>
      </c>
      <c r="F100" s="14" t="s">
        <v>7268</v>
      </c>
      <c r="G100" s="14" t="s">
        <v>37</v>
      </c>
      <c r="H100" s="14" t="s">
        <v>125</v>
      </c>
      <c r="I100" s="14"/>
      <c r="J100" s="14" t="s">
        <v>135</v>
      </c>
      <c r="K100" s="14"/>
      <c r="L100" s="14"/>
      <c r="M100" s="14" t="s">
        <v>7269</v>
      </c>
      <c r="N100" s="14" t="s">
        <v>7270</v>
      </c>
      <c r="O100" s="14" t="s">
        <v>7271</v>
      </c>
      <c r="P100" s="14" t="str">
        <f>HYPERLINK("https://ceds.ed.gov/cedselementdetails.aspx?termid=17830")</f>
        <v>https://ceds.ed.gov/cedselementdetails.aspx?termid=17830</v>
      </c>
      <c r="Q100" s="14" t="str">
        <f>HYPERLINK("https://ceds.ed.gov/elementComment.aspx?elementName=Quality Rating and Improvement System Award Date &amp;elementID=17830", "Click here to submit comment")</f>
        <v>Click here to submit comment</v>
      </c>
      <c r="R100" s="14">
        <v>49286</v>
      </c>
    </row>
    <row r="101" spans="1:18" ht="45" x14ac:dyDescent="0.25">
      <c r="A101" s="14" t="s">
        <v>8529</v>
      </c>
      <c r="B101" s="14" t="s">
        <v>8530</v>
      </c>
      <c r="C101" s="14" t="s">
        <v>8571</v>
      </c>
      <c r="D101" s="14" t="s">
        <v>8531</v>
      </c>
      <c r="E101" s="14" t="s">
        <v>7272</v>
      </c>
      <c r="F101" s="14" t="s">
        <v>7273</v>
      </c>
      <c r="G101" s="14" t="s">
        <v>37</v>
      </c>
      <c r="H101" s="14" t="s">
        <v>125</v>
      </c>
      <c r="I101" s="14"/>
      <c r="J101" s="14" t="s">
        <v>135</v>
      </c>
      <c r="K101" s="14"/>
      <c r="L101" s="14"/>
      <c r="M101" s="14" t="s">
        <v>7274</v>
      </c>
      <c r="N101" s="14" t="s">
        <v>7275</v>
      </c>
      <c r="O101" s="14" t="s">
        <v>7276</v>
      </c>
      <c r="P101" s="14" t="str">
        <f>HYPERLINK("https://ceds.ed.gov/cedselementdetails.aspx?termid=17831")</f>
        <v>https://ceds.ed.gov/cedselementdetails.aspx?termid=17831</v>
      </c>
      <c r="Q101" s="14" t="str">
        <f>HYPERLINK("https://ceds.ed.gov/elementComment.aspx?elementName=Quality Rating and Improvement System Expiration Date &amp;elementID=17831", "Click here to submit comment")</f>
        <v>Click here to submit comment</v>
      </c>
      <c r="R101" s="14">
        <v>49287</v>
      </c>
    </row>
    <row r="102" spans="1:18" ht="45" x14ac:dyDescent="0.25">
      <c r="A102" s="14" t="s">
        <v>8529</v>
      </c>
      <c r="B102" s="14" t="s">
        <v>8530</v>
      </c>
      <c r="C102" s="14" t="s">
        <v>8571</v>
      </c>
      <c r="D102" s="14" t="s">
        <v>8531</v>
      </c>
      <c r="E102" s="14" t="s">
        <v>6482</v>
      </c>
      <c r="F102" s="14" t="s">
        <v>6483</v>
      </c>
      <c r="G102" s="14" t="s">
        <v>37</v>
      </c>
      <c r="H102" s="14" t="s">
        <v>125</v>
      </c>
      <c r="I102" s="14"/>
      <c r="J102" s="14" t="s">
        <v>370</v>
      </c>
      <c r="K102" s="14"/>
      <c r="L102" s="14"/>
      <c r="M102" s="14" t="s">
        <v>6485</v>
      </c>
      <c r="N102" s="14" t="s">
        <v>6486</v>
      </c>
      <c r="O102" s="14" t="s">
        <v>6487</v>
      </c>
      <c r="P102" s="14" t="str">
        <f>HYPERLINK("https://ceds.ed.gov/cedselementdetails.aspx?termid=17843")</f>
        <v>https://ceds.ed.gov/cedselementdetails.aspx?termid=17843</v>
      </c>
      <c r="Q102" s="14" t="str">
        <f>HYPERLINK("https://ceds.ed.gov/elementComment.aspx?elementName=Number of Quality Rating and Improvement System Levels &amp;elementID=17843", "Click here to submit comment")</f>
        <v>Click here to submit comment</v>
      </c>
      <c r="R102" s="14">
        <v>49297</v>
      </c>
    </row>
    <row r="103" spans="1:18" ht="45" x14ac:dyDescent="0.25">
      <c r="A103" s="14" t="s">
        <v>8529</v>
      </c>
      <c r="B103" s="14" t="s">
        <v>8530</v>
      </c>
      <c r="C103" s="14" t="s">
        <v>8573</v>
      </c>
      <c r="D103" s="14" t="s">
        <v>8531</v>
      </c>
      <c r="E103" s="14" t="s">
        <v>6335</v>
      </c>
      <c r="F103" s="14" t="s">
        <v>6336</v>
      </c>
      <c r="G103" s="14" t="s">
        <v>37</v>
      </c>
      <c r="H103" s="14"/>
      <c r="I103" s="14"/>
      <c r="J103" s="14" t="s">
        <v>135</v>
      </c>
      <c r="K103" s="14"/>
      <c r="L103" s="14"/>
      <c r="M103" s="14" t="s">
        <v>6337</v>
      </c>
      <c r="N103" s="14"/>
      <c r="O103" s="14" t="s">
        <v>6338</v>
      </c>
      <c r="P103" s="14" t="str">
        <f>HYPERLINK("https://ceds.ed.gov/cedselementdetails.aspx?termid=18297")</f>
        <v>https://ceds.ed.gov/cedselementdetails.aspx?termid=18297</v>
      </c>
      <c r="Q103" s="14" t="str">
        <f>HYPERLINK("https://ceds.ed.gov/elementComment.aspx?elementName=Monitoring Visit Start Date &amp;elementID=18297", "Click here to submit comment")</f>
        <v>Click here to submit comment</v>
      </c>
      <c r="R103" s="14">
        <v>50137</v>
      </c>
    </row>
    <row r="104" spans="1:18" ht="75" x14ac:dyDescent="0.25">
      <c r="A104" s="14" t="s">
        <v>8529</v>
      </c>
      <c r="B104" s="14" t="s">
        <v>8530</v>
      </c>
      <c r="C104" s="14" t="s">
        <v>8573</v>
      </c>
      <c r="D104" s="14" t="s">
        <v>8531</v>
      </c>
      <c r="E104" s="14" t="s">
        <v>6330</v>
      </c>
      <c r="F104" s="14" t="s">
        <v>6331</v>
      </c>
      <c r="G104" s="14" t="s">
        <v>37</v>
      </c>
      <c r="H104" s="14"/>
      <c r="I104" s="14"/>
      <c r="J104" s="14" t="s">
        <v>135</v>
      </c>
      <c r="K104" s="14"/>
      <c r="L104" s="14" t="s">
        <v>160</v>
      </c>
      <c r="M104" s="14" t="s">
        <v>6333</v>
      </c>
      <c r="N104" s="14"/>
      <c r="O104" s="14" t="s">
        <v>6334</v>
      </c>
      <c r="P104" s="14" t="str">
        <f>HYPERLINK("https://ceds.ed.gov/cedselementdetails.aspx?termid=18298")</f>
        <v>https://ceds.ed.gov/cedselementdetails.aspx?termid=18298</v>
      </c>
      <c r="Q104" s="14" t="str">
        <f>HYPERLINK("https://ceds.ed.gov/elementComment.aspx?elementName=Monitoring Visit End Date &amp;elementID=18298", "Click here to submit comment")</f>
        <v>Click here to submit comment</v>
      </c>
      <c r="R104" s="14">
        <v>50138</v>
      </c>
    </row>
    <row r="105" spans="1:18" ht="45" x14ac:dyDescent="0.25">
      <c r="A105" s="14" t="s">
        <v>8529</v>
      </c>
      <c r="B105" s="14" t="s">
        <v>8530</v>
      </c>
      <c r="C105" s="14" t="s">
        <v>8573</v>
      </c>
      <c r="D105" s="14" t="s">
        <v>8531</v>
      </c>
      <c r="E105" s="14" t="s">
        <v>6540</v>
      </c>
      <c r="F105" s="14" t="s">
        <v>6541</v>
      </c>
      <c r="G105" s="8" t="s">
        <v>8574</v>
      </c>
      <c r="H105" s="14"/>
      <c r="I105" s="14"/>
      <c r="J105" s="14"/>
      <c r="K105" s="14"/>
      <c r="L105" s="14"/>
      <c r="M105" s="14" t="s">
        <v>6543</v>
      </c>
      <c r="N105" s="14"/>
      <c r="O105" s="14" t="s">
        <v>6544</v>
      </c>
      <c r="P105" s="14" t="str">
        <f>HYPERLINK("https://ceds.ed.gov/cedselementdetails.aspx?termid=18296")</f>
        <v>https://ceds.ed.gov/cedselementdetails.aspx?termid=18296</v>
      </c>
      <c r="Q105" s="14" t="str">
        <f>HYPERLINK("https://ceds.ed.gov/elementComment.aspx?elementName=Organization Monitoring Notifications &amp;elementID=18296", "Click here to submit comment")</f>
        <v>Click here to submit comment</v>
      </c>
      <c r="R105" s="14">
        <v>50136</v>
      </c>
    </row>
    <row r="106" spans="1:18" ht="45" x14ac:dyDescent="0.25">
      <c r="A106" s="14" t="s">
        <v>8529</v>
      </c>
      <c r="B106" s="14" t="s">
        <v>8530</v>
      </c>
      <c r="C106" s="14" t="s">
        <v>8573</v>
      </c>
      <c r="D106" s="14" t="s">
        <v>8531</v>
      </c>
      <c r="E106" s="14" t="s">
        <v>6578</v>
      </c>
      <c r="F106" s="14" t="s">
        <v>6579</v>
      </c>
      <c r="G106" s="14" t="s">
        <v>37</v>
      </c>
      <c r="H106" s="14"/>
      <c r="I106" s="14"/>
      <c r="J106" s="14" t="s">
        <v>129</v>
      </c>
      <c r="K106" s="14"/>
      <c r="L106" s="14"/>
      <c r="M106" s="14" t="s">
        <v>6580</v>
      </c>
      <c r="N106" s="14"/>
      <c r="O106" s="14" t="s">
        <v>6581</v>
      </c>
      <c r="P106" s="14" t="str">
        <f>HYPERLINK("https://ceds.ed.gov/cedselementdetails.aspx?termid=18300")</f>
        <v>https://ceds.ed.gov/cedselementdetails.aspx?termid=18300</v>
      </c>
      <c r="Q106" s="14" t="str">
        <f>HYPERLINK("https://ceds.ed.gov/elementComment.aspx?elementName=Organization Type of Monitoring &amp;elementID=18300", "Click here to submit comment")</f>
        <v>Click here to submit comment</v>
      </c>
      <c r="R106" s="14">
        <v>50140</v>
      </c>
    </row>
    <row r="107" spans="1:18" ht="90" x14ac:dyDescent="0.25">
      <c r="A107" s="14" t="s">
        <v>8529</v>
      </c>
      <c r="B107" s="14" t="s">
        <v>8530</v>
      </c>
      <c r="C107" s="14" t="s">
        <v>8573</v>
      </c>
      <c r="D107" s="14" t="s">
        <v>8531</v>
      </c>
      <c r="E107" s="14" t="s">
        <v>7225</v>
      </c>
      <c r="F107" s="14" t="s">
        <v>7226</v>
      </c>
      <c r="G107" s="8" t="s">
        <v>8575</v>
      </c>
      <c r="H107" s="14"/>
      <c r="I107" s="14"/>
      <c r="J107" s="14"/>
      <c r="K107" s="14"/>
      <c r="L107" s="14"/>
      <c r="M107" s="14" t="s">
        <v>7228</v>
      </c>
      <c r="N107" s="14"/>
      <c r="O107" s="14" t="s">
        <v>7229</v>
      </c>
      <c r="P107" s="14" t="str">
        <f>HYPERLINK("https://ceds.ed.gov/cedselementdetails.aspx?termid=18299")</f>
        <v>https://ceds.ed.gov/cedselementdetails.aspx?termid=18299</v>
      </c>
      <c r="Q107" s="14" t="str">
        <f>HYPERLINK("https://ceds.ed.gov/elementComment.aspx?elementName=Purpose of Monitoring Visit &amp;elementID=18299", "Click here to submit comment")</f>
        <v>Click here to submit comment</v>
      </c>
      <c r="R107" s="14">
        <v>50139</v>
      </c>
    </row>
    <row r="108" spans="1:18" ht="210" x14ac:dyDescent="0.25">
      <c r="A108" s="14" t="s">
        <v>8529</v>
      </c>
      <c r="B108" s="14" t="s">
        <v>8530</v>
      </c>
      <c r="C108" s="14" t="s">
        <v>8576</v>
      </c>
      <c r="D108" s="14" t="s">
        <v>8531</v>
      </c>
      <c r="E108" s="14" t="s">
        <v>118</v>
      </c>
      <c r="F108" s="14" t="s">
        <v>119</v>
      </c>
      <c r="G108" s="8" t="s">
        <v>8577</v>
      </c>
      <c r="H108" s="14" t="s">
        <v>125</v>
      </c>
      <c r="I108" s="14"/>
      <c r="J108" s="14"/>
      <c r="K108" s="14"/>
      <c r="L108" s="14" t="s">
        <v>122</v>
      </c>
      <c r="M108" s="14" t="s">
        <v>123</v>
      </c>
      <c r="N108" s="14"/>
      <c r="O108" s="14" t="s">
        <v>124</v>
      </c>
      <c r="P108" s="14" t="str">
        <f>HYPERLINK("https://ceds.ed.gov/cedselementdetails.aspx?termid=17983")</f>
        <v>https://ceds.ed.gov/cedselementdetails.aspx?termid=17983</v>
      </c>
      <c r="Q108" s="14" t="str">
        <f>HYPERLINK("https://ceds.ed.gov/elementComment.aspx?elementName=Accreditation Agency &amp;elementID=17983", "Click here to submit comment")</f>
        <v>Click here to submit comment</v>
      </c>
      <c r="R108" s="14">
        <v>48510</v>
      </c>
    </row>
    <row r="109" spans="1:18" ht="45" x14ac:dyDescent="0.25">
      <c r="A109" s="14" t="s">
        <v>8529</v>
      </c>
      <c r="B109" s="14" t="s">
        <v>8530</v>
      </c>
      <c r="C109" s="14" t="s">
        <v>8576</v>
      </c>
      <c r="D109" s="14" t="s">
        <v>8531</v>
      </c>
      <c r="E109" s="14" t="s">
        <v>132</v>
      </c>
      <c r="F109" s="14" t="s">
        <v>133</v>
      </c>
      <c r="G109" s="14" t="s">
        <v>37</v>
      </c>
      <c r="H109" s="14" t="s">
        <v>125</v>
      </c>
      <c r="I109" s="14"/>
      <c r="J109" s="14" t="s">
        <v>135</v>
      </c>
      <c r="K109" s="14"/>
      <c r="L109" s="14"/>
      <c r="M109" s="14" t="s">
        <v>136</v>
      </c>
      <c r="N109" s="14"/>
      <c r="O109" s="14" t="s">
        <v>137</v>
      </c>
      <c r="P109" s="14" t="str">
        <f>HYPERLINK("https://ceds.ed.gov/cedselementdetails.aspx?termid=17840")</f>
        <v>https://ceds.ed.gov/cedselementdetails.aspx?termid=17840</v>
      </c>
      <c r="Q109" s="14" t="str">
        <f>HYPERLINK("https://ceds.ed.gov/elementComment.aspx?elementName=Accreditation Award Date &amp;elementID=17840", "Click here to submit comment")</f>
        <v>Click here to submit comment</v>
      </c>
      <c r="R109" s="14">
        <v>49294</v>
      </c>
    </row>
    <row r="110" spans="1:18" ht="45" x14ac:dyDescent="0.25">
      <c r="A110" s="14" t="s">
        <v>8529</v>
      </c>
      <c r="B110" s="14" t="s">
        <v>8530</v>
      </c>
      <c r="C110" s="14" t="s">
        <v>8576</v>
      </c>
      <c r="D110" s="14" t="s">
        <v>8531</v>
      </c>
      <c r="E110" s="14" t="s">
        <v>138</v>
      </c>
      <c r="F110" s="14" t="s">
        <v>139</v>
      </c>
      <c r="G110" s="14" t="s">
        <v>37</v>
      </c>
      <c r="H110" s="14" t="s">
        <v>125</v>
      </c>
      <c r="I110" s="14"/>
      <c r="J110" s="14" t="s">
        <v>135</v>
      </c>
      <c r="K110" s="14"/>
      <c r="L110" s="14"/>
      <c r="M110" s="14" t="s">
        <v>140</v>
      </c>
      <c r="N110" s="14"/>
      <c r="O110" s="14" t="s">
        <v>141</v>
      </c>
      <c r="P110" s="14" t="str">
        <f>HYPERLINK("https://ceds.ed.gov/cedselementdetails.aspx?termid=17841")</f>
        <v>https://ceds.ed.gov/cedselementdetails.aspx?termid=17841</v>
      </c>
      <c r="Q110" s="14" t="str">
        <f>HYPERLINK("https://ceds.ed.gov/elementComment.aspx?elementName=Accreditation Expiration Date &amp;elementID=17841", "Click here to submit comment")</f>
        <v>Click here to submit comment</v>
      </c>
      <c r="R110" s="14">
        <v>49295</v>
      </c>
    </row>
    <row r="111" spans="1:18" ht="45" x14ac:dyDescent="0.25">
      <c r="A111" s="14" t="s">
        <v>8529</v>
      </c>
      <c r="B111" s="14" t="s">
        <v>8530</v>
      </c>
      <c r="C111" s="14" t="s">
        <v>8576</v>
      </c>
      <c r="D111" s="14" t="s">
        <v>8531</v>
      </c>
      <c r="E111" s="14" t="s">
        <v>6567</v>
      </c>
      <c r="F111" s="14" t="s">
        <v>6568</v>
      </c>
      <c r="G111" s="14" t="s">
        <v>37</v>
      </c>
      <c r="H111" s="14"/>
      <c r="I111" s="14"/>
      <c r="J111" s="14" t="s">
        <v>135</v>
      </c>
      <c r="K111" s="14"/>
      <c r="L111" s="14"/>
      <c r="M111" s="14" t="s">
        <v>6569</v>
      </c>
      <c r="N111" s="14"/>
      <c r="O111" s="14" t="s">
        <v>6570</v>
      </c>
      <c r="P111" s="14" t="str">
        <f>HYPERLINK("https://ceds.ed.gov/cedselementdetails.aspx?termid=18388")</f>
        <v>https://ceds.ed.gov/cedselementdetails.aspx?termid=18388</v>
      </c>
      <c r="Q111" s="14" t="str">
        <f>HYPERLINK("https://ceds.ed.gov/elementComment.aspx?elementName=Organization Seeking Accreditation Date &amp;elementID=18388", "Click here to submit comment")</f>
        <v>Click here to submit comment</v>
      </c>
      <c r="R111" s="14">
        <v>50301</v>
      </c>
    </row>
    <row r="112" spans="1:18" ht="45" x14ac:dyDescent="0.25">
      <c r="A112" s="14" t="s">
        <v>8529</v>
      </c>
      <c r="B112" s="14" t="s">
        <v>8530</v>
      </c>
      <c r="C112" s="14" t="s">
        <v>8578</v>
      </c>
      <c r="D112" s="14" t="s">
        <v>8531</v>
      </c>
      <c r="E112" s="14" t="s">
        <v>7247</v>
      </c>
      <c r="F112" s="14" t="s">
        <v>7248</v>
      </c>
      <c r="G112" s="14" t="s">
        <v>37</v>
      </c>
      <c r="H112" s="14"/>
      <c r="I112" s="14"/>
      <c r="J112" s="14" t="s">
        <v>97</v>
      </c>
      <c r="K112" s="14"/>
      <c r="L112" s="14"/>
      <c r="M112" s="14" t="s">
        <v>7249</v>
      </c>
      <c r="N112" s="14"/>
      <c r="O112" s="14" t="s">
        <v>7250</v>
      </c>
      <c r="P112" s="14" t="str">
        <f>HYPERLINK("https://ceds.ed.gov/cedselementdetails.aspx?termid=18433")</f>
        <v>https://ceds.ed.gov/cedselementdetails.aspx?termid=18433</v>
      </c>
      <c r="Q112" s="14" t="str">
        <f>HYPERLINK("https://ceds.ed.gov/elementComment.aspx?elementName=Quality Initiative Minimum Score &amp;elementID=18433", "Click here to submit comment")</f>
        <v>Click here to submit comment</v>
      </c>
      <c r="R112" s="14">
        <v>50368</v>
      </c>
    </row>
    <row r="113" spans="1:18" ht="45" x14ac:dyDescent="0.25">
      <c r="A113" s="14" t="s">
        <v>8529</v>
      </c>
      <c r="B113" s="14" t="s">
        <v>8530</v>
      </c>
      <c r="C113" s="14" t="s">
        <v>8578</v>
      </c>
      <c r="D113" s="14" t="s">
        <v>8531</v>
      </c>
      <c r="E113" s="14" t="s">
        <v>7243</v>
      </c>
      <c r="F113" s="14" t="s">
        <v>7244</v>
      </c>
      <c r="G113" s="14" t="s">
        <v>37</v>
      </c>
      <c r="H113" s="14"/>
      <c r="I113" s="14"/>
      <c r="J113" s="14" t="s">
        <v>97</v>
      </c>
      <c r="K113" s="14"/>
      <c r="L113" s="14"/>
      <c r="M113" s="14" t="s">
        <v>7245</v>
      </c>
      <c r="N113" s="14"/>
      <c r="O113" s="14" t="s">
        <v>7246</v>
      </c>
      <c r="P113" s="14" t="str">
        <f>HYPERLINK("https://ceds.ed.gov/cedselementdetails.aspx?termid=18432")</f>
        <v>https://ceds.ed.gov/cedselementdetails.aspx?termid=18432</v>
      </c>
      <c r="Q113" s="14" t="str">
        <f>HYPERLINK("https://ceds.ed.gov/elementComment.aspx?elementName=Quality Initiative Maximum Score &amp;elementID=18432", "Click here to submit comment")</f>
        <v>Click here to submit comment</v>
      </c>
      <c r="R113" s="14">
        <v>50367</v>
      </c>
    </row>
    <row r="114" spans="1:18" ht="45" x14ac:dyDescent="0.25">
      <c r="A114" s="14" t="s">
        <v>8529</v>
      </c>
      <c r="B114" s="14" t="s">
        <v>8530</v>
      </c>
      <c r="C114" s="14" t="s">
        <v>8578</v>
      </c>
      <c r="D114" s="14" t="s">
        <v>8531</v>
      </c>
      <c r="E114" s="14" t="s">
        <v>7259</v>
      </c>
      <c r="F114" s="14" t="s">
        <v>7260</v>
      </c>
      <c r="G114" s="14" t="s">
        <v>37</v>
      </c>
      <c r="H114" s="14"/>
      <c r="I114" s="14"/>
      <c r="J114" s="14" t="s">
        <v>135</v>
      </c>
      <c r="K114" s="14"/>
      <c r="L114" s="14"/>
      <c r="M114" s="14" t="s">
        <v>7261</v>
      </c>
      <c r="N114" s="14"/>
      <c r="O114" s="14" t="s">
        <v>7262</v>
      </c>
      <c r="P114" s="14" t="str">
        <f>HYPERLINK("https://ceds.ed.gov/cedselementdetails.aspx?termid=18437")</f>
        <v>https://ceds.ed.gov/cedselementdetails.aspx?termid=18437</v>
      </c>
      <c r="Q114" s="14" t="str">
        <f>HYPERLINK("https://ceds.ed.gov/elementComment.aspx?elementName=Quality Initiative Participation Start Date &amp;elementID=18437", "Click here to submit comment")</f>
        <v>Click here to submit comment</v>
      </c>
      <c r="R114" s="14">
        <v>50372</v>
      </c>
    </row>
    <row r="115" spans="1:18" ht="75" x14ac:dyDescent="0.25">
      <c r="A115" s="14" t="s">
        <v>8529</v>
      </c>
      <c r="B115" s="14" t="s">
        <v>8530</v>
      </c>
      <c r="C115" s="14" t="s">
        <v>8578</v>
      </c>
      <c r="D115" s="14" t="s">
        <v>8531</v>
      </c>
      <c r="E115" s="14" t="s">
        <v>7251</v>
      </c>
      <c r="F115" s="14" t="s">
        <v>7252</v>
      </c>
      <c r="G115" s="14" t="s">
        <v>37</v>
      </c>
      <c r="H115" s="14"/>
      <c r="I115" s="14"/>
      <c r="J115" s="14" t="s">
        <v>135</v>
      </c>
      <c r="K115" s="14"/>
      <c r="L115" s="14" t="s">
        <v>160</v>
      </c>
      <c r="M115" s="14" t="s">
        <v>7253</v>
      </c>
      <c r="N115" s="14"/>
      <c r="O115" s="14" t="s">
        <v>7254</v>
      </c>
      <c r="P115" s="14" t="str">
        <f>HYPERLINK("https://ceds.ed.gov/cedselementdetails.aspx?termid=18436")</f>
        <v>https://ceds.ed.gov/cedselementdetails.aspx?termid=18436</v>
      </c>
      <c r="Q115" s="14" t="str">
        <f>HYPERLINK("https://ceds.ed.gov/elementComment.aspx?elementName=Quality Initiative Participation End Date &amp;elementID=18436", "Click here to submit comment")</f>
        <v>Click here to submit comment</v>
      </c>
      <c r="R115" s="14">
        <v>50371</v>
      </c>
    </row>
    <row r="116" spans="1:18" ht="45" x14ac:dyDescent="0.25">
      <c r="A116" s="14" t="s">
        <v>8529</v>
      </c>
      <c r="B116" s="14" t="s">
        <v>8530</v>
      </c>
      <c r="C116" s="14" t="s">
        <v>8578</v>
      </c>
      <c r="D116" s="14" t="s">
        <v>8531</v>
      </c>
      <c r="E116" s="14" t="s">
        <v>7255</v>
      </c>
      <c r="F116" s="14" t="s">
        <v>7256</v>
      </c>
      <c r="G116" s="14" t="s">
        <v>24</v>
      </c>
      <c r="H116" s="14"/>
      <c r="I116" s="14"/>
      <c r="J116" s="14"/>
      <c r="K116" s="14"/>
      <c r="L116" s="14"/>
      <c r="M116" s="14" t="s">
        <v>7257</v>
      </c>
      <c r="N116" s="14"/>
      <c r="O116" s="14" t="s">
        <v>7258</v>
      </c>
      <c r="P116" s="14" t="str">
        <f>HYPERLINK("https://ceds.ed.gov/cedselementdetails.aspx?termid=18435")</f>
        <v>https://ceds.ed.gov/cedselementdetails.aspx?termid=18435</v>
      </c>
      <c r="Q116" s="14" t="str">
        <f>HYPERLINK("https://ceds.ed.gov/elementComment.aspx?elementName=Quality Initiative Participation Indicator &amp;elementID=18435", "Click here to submit comment")</f>
        <v>Click here to submit comment</v>
      </c>
      <c r="R116" s="14">
        <v>50370</v>
      </c>
    </row>
    <row r="117" spans="1:18" ht="60" x14ac:dyDescent="0.25">
      <c r="A117" s="14" t="s">
        <v>8529</v>
      </c>
      <c r="B117" s="14" t="s">
        <v>8530</v>
      </c>
      <c r="C117" s="14" t="s">
        <v>8578</v>
      </c>
      <c r="D117" s="14" t="s">
        <v>8531</v>
      </c>
      <c r="E117" s="14" t="s">
        <v>7263</v>
      </c>
      <c r="F117" s="14" t="s">
        <v>7264</v>
      </c>
      <c r="G117" s="14" t="s">
        <v>37</v>
      </c>
      <c r="H117" s="14"/>
      <c r="I117" s="14"/>
      <c r="J117" s="14" t="s">
        <v>97</v>
      </c>
      <c r="K117" s="14"/>
      <c r="L117" s="14"/>
      <c r="M117" s="14" t="s">
        <v>7265</v>
      </c>
      <c r="N117" s="14"/>
      <c r="O117" s="14" t="s">
        <v>7266</v>
      </c>
      <c r="P117" s="14" t="str">
        <f>HYPERLINK("https://ceds.ed.gov/cedselementdetails.aspx?termid=18434")</f>
        <v>https://ceds.ed.gov/cedselementdetails.aspx?termid=18434</v>
      </c>
      <c r="Q117" s="14" t="str">
        <f>HYPERLINK("https://ceds.ed.gov/elementComment.aspx?elementName=Quality Initiative Score Level &amp;elementID=18434", "Click here to submit comment")</f>
        <v>Click here to submit comment</v>
      </c>
      <c r="R117" s="14">
        <v>50369</v>
      </c>
    </row>
    <row r="118" spans="1:18" ht="45" x14ac:dyDescent="0.25">
      <c r="A118" s="14" t="s">
        <v>8529</v>
      </c>
      <c r="B118" s="14" t="s">
        <v>8530</v>
      </c>
      <c r="C118" s="14" t="s">
        <v>8578</v>
      </c>
      <c r="D118" s="14" t="s">
        <v>8531</v>
      </c>
      <c r="E118" s="14" t="s">
        <v>7093</v>
      </c>
      <c r="F118" s="14" t="s">
        <v>7094</v>
      </c>
      <c r="G118" s="14" t="s">
        <v>24</v>
      </c>
      <c r="H118" s="14" t="s">
        <v>125</v>
      </c>
      <c r="I118" s="14"/>
      <c r="J118" s="14"/>
      <c r="K118" s="14"/>
      <c r="L118" s="14"/>
      <c r="M118" s="14" t="s">
        <v>7096</v>
      </c>
      <c r="N118" s="14"/>
      <c r="O118" s="14" t="s">
        <v>7097</v>
      </c>
      <c r="P118" s="14" t="str">
        <f>HYPERLINK("https://ceds.ed.gov/cedselementdetails.aspx?termid=17851")</f>
        <v>https://ceds.ed.gov/cedselementdetails.aspx?termid=17851</v>
      </c>
      <c r="Q118" s="14" t="str">
        <f>HYPERLINK("https://ceds.ed.gov/elementComment.aspx?elementName=Program Health Safety Checklist Use Status &amp;elementID=17851", "Click here to submit comment")</f>
        <v>Click here to submit comment</v>
      </c>
      <c r="R118" s="14">
        <v>52166</v>
      </c>
    </row>
    <row r="119" spans="1:18" ht="120" x14ac:dyDescent="0.25">
      <c r="A119" s="14" t="s">
        <v>8529</v>
      </c>
      <c r="B119" s="14" t="s">
        <v>8530</v>
      </c>
      <c r="C119" s="14" t="s">
        <v>8579</v>
      </c>
      <c r="D119" s="14" t="s">
        <v>8531</v>
      </c>
      <c r="E119" s="14" t="s">
        <v>265</v>
      </c>
      <c r="F119" s="14" t="s">
        <v>266</v>
      </c>
      <c r="G119" s="8" t="s">
        <v>8580</v>
      </c>
      <c r="H119" s="14" t="s">
        <v>125</v>
      </c>
      <c r="I119" s="14"/>
      <c r="J119" s="14"/>
      <c r="K119" s="14"/>
      <c r="L119" s="14" t="s">
        <v>269</v>
      </c>
      <c r="M119" s="14" t="s">
        <v>270</v>
      </c>
      <c r="N119" s="14"/>
      <c r="O119" s="14" t="s">
        <v>271</v>
      </c>
      <c r="P119" s="14" t="str">
        <f>HYPERLINK("https://ceds.ed.gov/cedselementdetails.aspx?termid=17984")</f>
        <v>https://ceds.ed.gov/cedselementdetails.aspx?termid=17984</v>
      </c>
      <c r="Q119" s="14" t="str">
        <f>HYPERLINK("https://ceds.ed.gov/elementComment.aspx?elementName=Administrative Policy Type &amp;elementID=17984", "Click here to submit comment")</f>
        <v>Click here to submit comment</v>
      </c>
      <c r="R119" s="14">
        <v>48434</v>
      </c>
    </row>
    <row r="120" spans="1:18" ht="90" x14ac:dyDescent="0.25">
      <c r="A120" s="14" t="s">
        <v>8529</v>
      </c>
      <c r="B120" s="14" t="s">
        <v>8530</v>
      </c>
      <c r="C120" s="14" t="s">
        <v>8579</v>
      </c>
      <c r="D120" s="14" t="s">
        <v>8531</v>
      </c>
      <c r="E120" s="14" t="s">
        <v>6748</v>
      </c>
      <c r="F120" s="14" t="s">
        <v>6749</v>
      </c>
      <c r="G120" s="8" t="s">
        <v>8581</v>
      </c>
      <c r="H120" s="14" t="s">
        <v>125</v>
      </c>
      <c r="I120" s="14"/>
      <c r="J120" s="14"/>
      <c r="K120" s="14"/>
      <c r="L120" s="14"/>
      <c r="M120" s="14" t="s">
        <v>6751</v>
      </c>
      <c r="N120" s="14"/>
      <c r="O120" s="14" t="s">
        <v>6752</v>
      </c>
      <c r="P120" s="14" t="str">
        <f>HYPERLINK("https://ceds.ed.gov/cedselementdetails.aspx?termid=17842")</f>
        <v>https://ceds.ed.gov/cedselementdetails.aspx?termid=17842</v>
      </c>
      <c r="Q120" s="14" t="str">
        <f>HYPERLINK("https://ceds.ed.gov/elementComment.aspx?elementName=Personnel Policy Type &amp;elementID=17842", "Click here to submit comment")</f>
        <v>Click here to submit comment</v>
      </c>
      <c r="R120" s="14">
        <v>49296</v>
      </c>
    </row>
    <row r="121" spans="1:18" ht="45" x14ac:dyDescent="0.25">
      <c r="A121" s="14" t="s">
        <v>8529</v>
      </c>
      <c r="B121" s="14" t="s">
        <v>8530</v>
      </c>
      <c r="C121" s="14" t="s">
        <v>8579</v>
      </c>
      <c r="D121" s="14" t="s">
        <v>8531</v>
      </c>
      <c r="E121" s="14" t="s">
        <v>7159</v>
      </c>
      <c r="F121" s="14" t="s">
        <v>7160</v>
      </c>
      <c r="G121" s="14" t="s">
        <v>24</v>
      </c>
      <c r="H121" s="14" t="s">
        <v>125</v>
      </c>
      <c r="I121" s="14"/>
      <c r="J121" s="14"/>
      <c r="K121" s="14"/>
      <c r="L121" s="14"/>
      <c r="M121" s="14" t="s">
        <v>7161</v>
      </c>
      <c r="N121" s="14"/>
      <c r="O121" s="14" t="s">
        <v>7162</v>
      </c>
      <c r="P121" s="14" t="str">
        <f>HYPERLINK("https://ceds.ed.gov/cedselementdetails.aspx?termid=17859")</f>
        <v>https://ceds.ed.gov/cedselementdetails.aspx?termid=17859</v>
      </c>
      <c r="Q121" s="14" t="str">
        <f>HYPERLINK("https://ceds.ed.gov/elementComment.aspx?elementName=Program Transition Planning Policy &amp;elementID=17859", "Click here to submit comment")</f>
        <v>Click here to submit comment</v>
      </c>
      <c r="R121" s="14">
        <v>49312</v>
      </c>
    </row>
    <row r="122" spans="1:18" ht="409.5" x14ac:dyDescent="0.25">
      <c r="A122" s="14" t="s">
        <v>8529</v>
      </c>
      <c r="B122" s="14" t="s">
        <v>8530</v>
      </c>
      <c r="C122" s="14" t="s">
        <v>8582</v>
      </c>
      <c r="D122" s="14" t="s">
        <v>8531</v>
      </c>
      <c r="E122" s="14" t="s">
        <v>3787</v>
      </c>
      <c r="F122" s="14" t="s">
        <v>3788</v>
      </c>
      <c r="G122" s="8" t="s">
        <v>8583</v>
      </c>
      <c r="H122" s="14"/>
      <c r="I122" s="14"/>
      <c r="J122" s="14"/>
      <c r="K122" s="14"/>
      <c r="L122" s="14"/>
      <c r="M122" s="14" t="s">
        <v>3791</v>
      </c>
      <c r="N122" s="14"/>
      <c r="O122" s="14" t="s">
        <v>3792</v>
      </c>
      <c r="P122" s="14" t="str">
        <f>HYPERLINK("https://ceds.ed.gov/cedselementdetails.aspx?termid=18294")</f>
        <v>https://ceds.ed.gov/cedselementdetails.aspx?termid=18294</v>
      </c>
      <c r="Q122" s="14" t="str">
        <f>HYPERLINK("https://ceds.ed.gov/elementComment.aspx?elementName=Early Learning Federal Funding Type &amp;elementID=18294", "Click here to submit comment")</f>
        <v>Click here to submit comment</v>
      </c>
      <c r="R122" s="14">
        <v>51135</v>
      </c>
    </row>
    <row r="123" spans="1:18" ht="120" x14ac:dyDescent="0.25">
      <c r="A123" s="14" t="s">
        <v>8529</v>
      </c>
      <c r="B123" s="14" t="s">
        <v>8530</v>
      </c>
      <c r="C123" s="14" t="s">
        <v>8582</v>
      </c>
      <c r="D123" s="14" t="s">
        <v>8531</v>
      </c>
      <c r="E123" s="14" t="s">
        <v>3812</v>
      </c>
      <c r="F123" s="14" t="s">
        <v>3813</v>
      </c>
      <c r="G123" s="8" t="s">
        <v>8584</v>
      </c>
      <c r="H123" s="14"/>
      <c r="I123" s="14"/>
      <c r="J123" s="14"/>
      <c r="K123" s="14"/>
      <c r="L123" s="14"/>
      <c r="M123" s="14" t="s">
        <v>3815</v>
      </c>
      <c r="N123" s="14"/>
      <c r="O123" s="14" t="s">
        <v>3816</v>
      </c>
      <c r="P123" s="14" t="str">
        <f>HYPERLINK("https://ceds.ed.gov/cedselementdetails.aspx?termid=18302")</f>
        <v>https://ceds.ed.gov/cedselementdetails.aspx?termid=18302</v>
      </c>
      <c r="Q123" s="14" t="str">
        <f>HYPERLINK("https://ceds.ed.gov/elementComment.aspx?elementName=Early Learning Other Federal Funding Sources &amp;elementID=18302", "Click here to submit comment")</f>
        <v>Click here to submit comment</v>
      </c>
      <c r="R123" s="14">
        <v>51136</v>
      </c>
    </row>
    <row r="124" spans="1:18" ht="75" x14ac:dyDescent="0.25">
      <c r="A124" s="14" t="s">
        <v>8529</v>
      </c>
      <c r="B124" s="14" t="s">
        <v>8530</v>
      </c>
      <c r="C124" s="14" t="s">
        <v>8582</v>
      </c>
      <c r="D124" s="14" t="s">
        <v>8531</v>
      </c>
      <c r="E124" s="14" t="s">
        <v>4468</v>
      </c>
      <c r="F124" s="14" t="s">
        <v>4469</v>
      </c>
      <c r="G124" s="14" t="s">
        <v>37</v>
      </c>
      <c r="H124" s="14" t="s">
        <v>258</v>
      </c>
      <c r="I124" s="14"/>
      <c r="J124" s="14" t="s">
        <v>4471</v>
      </c>
      <c r="K124" s="14"/>
      <c r="L124" s="14"/>
      <c r="M124" s="14" t="s">
        <v>4472</v>
      </c>
      <c r="N124" s="14"/>
      <c r="O124" s="14" t="s">
        <v>4473</v>
      </c>
      <c r="P124" s="14" t="str">
        <f>HYPERLINK("https://ceds.ed.gov/cedselementdetails.aspx?termid=17538")</f>
        <v>https://ceds.ed.gov/cedselementdetails.aspx?termid=17538</v>
      </c>
      <c r="Q124" s="14" t="str">
        <f>HYPERLINK("https://ceds.ed.gov/elementComment.aspx?elementName=Federal Program Code &amp;elementID=17538", "Click here to submit comment")</f>
        <v>Click here to submit comment</v>
      </c>
      <c r="R124" s="14">
        <v>51137</v>
      </c>
    </row>
    <row r="125" spans="1:18" ht="45" x14ac:dyDescent="0.25">
      <c r="A125" s="14" t="s">
        <v>8529</v>
      </c>
      <c r="B125" s="14" t="s">
        <v>8530</v>
      </c>
      <c r="C125" s="14" t="s">
        <v>8585</v>
      </c>
      <c r="D125" s="14" t="s">
        <v>8531</v>
      </c>
      <c r="E125" s="14" t="s">
        <v>7082</v>
      </c>
      <c r="F125" s="14" t="s">
        <v>7083</v>
      </c>
      <c r="G125" s="14" t="s">
        <v>24</v>
      </c>
      <c r="H125" s="14" t="s">
        <v>3920</v>
      </c>
      <c r="I125" s="14"/>
      <c r="J125" s="14"/>
      <c r="K125" s="14"/>
      <c r="L125" s="14"/>
      <c r="M125" s="14" t="s">
        <v>7085</v>
      </c>
      <c r="N125" s="14"/>
      <c r="O125" s="14" t="s">
        <v>7086</v>
      </c>
      <c r="P125" s="14" t="str">
        <f>HYPERLINK("https://ceds.ed.gov/cedselementdetails.aspx?termid=17863")</f>
        <v>https://ceds.ed.gov/cedselementdetails.aspx?termid=17863</v>
      </c>
      <c r="Q125" s="14" t="str">
        <f>HYPERLINK("https://ceds.ed.gov/elementComment.aspx?elementName=Program Follows Salary Scale &amp;elementID=17863", "Click here to submit comment")</f>
        <v>Click here to submit comment</v>
      </c>
      <c r="R125" s="14">
        <v>49314</v>
      </c>
    </row>
    <row r="126" spans="1:18" ht="90" x14ac:dyDescent="0.25">
      <c r="A126" s="14" t="s">
        <v>8529</v>
      </c>
      <c r="B126" s="14" t="s">
        <v>8530</v>
      </c>
      <c r="C126" s="14" t="s">
        <v>8586</v>
      </c>
      <c r="D126" s="14" t="s">
        <v>8531</v>
      </c>
      <c r="E126" s="14" t="s">
        <v>8194</v>
      </c>
      <c r="F126" s="14" t="s">
        <v>8195</v>
      </c>
      <c r="G126" s="14" t="s">
        <v>24</v>
      </c>
      <c r="H126" s="14"/>
      <c r="I126" s="14"/>
      <c r="J126" s="14"/>
      <c r="K126" s="14"/>
      <c r="L126" s="6" t="s">
        <v>7984</v>
      </c>
      <c r="M126" s="14" t="s">
        <v>8197</v>
      </c>
      <c r="N126" s="14"/>
      <c r="O126" s="14" t="s">
        <v>8198</v>
      </c>
      <c r="P126" s="14" t="str">
        <f>HYPERLINK("https://ceds.ed.gov/cedselementdetails.aspx?termid=18465")</f>
        <v>https://ceds.ed.gov/cedselementdetails.aspx?termid=18465</v>
      </c>
      <c r="Q126" s="14" t="str">
        <f>HYPERLINK("https://ceds.ed.gov/elementComment.aspx?elementName=Technical Assistance Approved Indicator &amp;elementID=18465", "Click here to submit comment")</f>
        <v>Click here to submit comment</v>
      </c>
      <c r="R126" s="14">
        <v>50433</v>
      </c>
    </row>
    <row r="127" spans="1:18" ht="90" x14ac:dyDescent="0.25">
      <c r="A127" s="14" t="s">
        <v>8529</v>
      </c>
      <c r="B127" s="14" t="s">
        <v>8530</v>
      </c>
      <c r="C127" s="14" t="s">
        <v>8586</v>
      </c>
      <c r="D127" s="14" t="s">
        <v>8531</v>
      </c>
      <c r="E127" s="14" t="s">
        <v>8199</v>
      </c>
      <c r="F127" s="14" t="s">
        <v>8200</v>
      </c>
      <c r="G127" s="8" t="s">
        <v>8587</v>
      </c>
      <c r="H127" s="14"/>
      <c r="I127" s="14"/>
      <c r="J127" s="14"/>
      <c r="K127" s="14"/>
      <c r="L127" s="6" t="s">
        <v>7984</v>
      </c>
      <c r="M127" s="14" t="s">
        <v>8201</v>
      </c>
      <c r="N127" s="14"/>
      <c r="O127" s="14" t="s">
        <v>8202</v>
      </c>
      <c r="P127" s="14" t="str">
        <f>HYPERLINK("https://ceds.ed.gov/cedselementdetails.aspx?termid=18466")</f>
        <v>https://ceds.ed.gov/cedselementdetails.aspx?termid=18466</v>
      </c>
      <c r="Q127" s="14" t="str">
        <f>HYPERLINK("https://ceds.ed.gov/elementComment.aspx?elementName=Technical Assistance Delivery Type &amp;elementID=18466", "Click here to submit comment")</f>
        <v>Click here to submit comment</v>
      </c>
      <c r="R127" s="14">
        <v>50437</v>
      </c>
    </row>
    <row r="128" spans="1:18" ht="375" x14ac:dyDescent="0.25">
      <c r="A128" s="14" t="s">
        <v>8529</v>
      </c>
      <c r="B128" s="14" t="s">
        <v>8530</v>
      </c>
      <c r="C128" s="14" t="s">
        <v>8586</v>
      </c>
      <c r="D128" s="14" t="s">
        <v>8531</v>
      </c>
      <c r="E128" s="14" t="s">
        <v>8203</v>
      </c>
      <c r="F128" s="14" t="s">
        <v>8204</v>
      </c>
      <c r="G128" s="8" t="s">
        <v>8588</v>
      </c>
      <c r="H128" s="14"/>
      <c r="I128" s="14"/>
      <c r="J128" s="14"/>
      <c r="K128" s="14"/>
      <c r="L128" s="6" t="s">
        <v>7984</v>
      </c>
      <c r="M128" s="14" t="s">
        <v>8206</v>
      </c>
      <c r="N128" s="14"/>
      <c r="O128" s="14" t="s">
        <v>8207</v>
      </c>
      <c r="P128" s="14" t="str">
        <f>HYPERLINK("https://ceds.ed.gov/cedselementdetails.aspx?termid=18467")</f>
        <v>https://ceds.ed.gov/cedselementdetails.aspx?termid=18467</v>
      </c>
      <c r="Q128" s="14" t="str">
        <f>HYPERLINK("https://ceds.ed.gov/elementComment.aspx?elementName=Technical Assistance Type &amp;elementID=18467", "Click here to submit comment")</f>
        <v>Click here to submit comment</v>
      </c>
      <c r="R128" s="14">
        <v>50441</v>
      </c>
    </row>
    <row r="129" spans="1:18" ht="75" x14ac:dyDescent="0.25">
      <c r="A129" s="14" t="s">
        <v>8529</v>
      </c>
      <c r="B129" s="14" t="s">
        <v>8530</v>
      </c>
      <c r="C129" s="14" t="s">
        <v>8589</v>
      </c>
      <c r="D129" s="14" t="s">
        <v>8531</v>
      </c>
      <c r="E129" s="14" t="s">
        <v>7699</v>
      </c>
      <c r="F129" s="14" t="s">
        <v>7700</v>
      </c>
      <c r="G129" s="14" t="s">
        <v>37</v>
      </c>
      <c r="H129" s="14"/>
      <c r="I129" s="14"/>
      <c r="J129" s="14" t="s">
        <v>874</v>
      </c>
      <c r="K129" s="14"/>
      <c r="L129" s="14"/>
      <c r="M129" s="14" t="s">
        <v>7701</v>
      </c>
      <c r="N129" s="14"/>
      <c r="O129" s="14" t="s">
        <v>7702</v>
      </c>
      <c r="P129" s="14" t="str">
        <f>HYPERLINK("https://ceds.ed.gov/cedselementdetails.aspx?termid=18606")</f>
        <v>https://ceds.ed.gov/cedselementdetails.aspx?termid=18606</v>
      </c>
      <c r="Q129" s="14" t="str">
        <f>HYPERLINK("https://ceds.ed.gov/elementComment.aspx?elementName=Service Partner Name &amp;elementID=18606", "Click here to submit comment")</f>
        <v>Click here to submit comment</v>
      </c>
      <c r="R129" s="14">
        <v>51104</v>
      </c>
    </row>
    <row r="130" spans="1:18" ht="45" x14ac:dyDescent="0.25">
      <c r="A130" s="14" t="s">
        <v>8529</v>
      </c>
      <c r="B130" s="14" t="s">
        <v>8530</v>
      </c>
      <c r="C130" s="14" t="s">
        <v>8589</v>
      </c>
      <c r="D130" s="14" t="s">
        <v>8531</v>
      </c>
      <c r="E130" s="14" t="s">
        <v>7694</v>
      </c>
      <c r="F130" s="14" t="s">
        <v>7695</v>
      </c>
      <c r="G130" s="14" t="s">
        <v>37</v>
      </c>
      <c r="H130" s="14"/>
      <c r="I130" s="14"/>
      <c r="J130" s="14" t="s">
        <v>129</v>
      </c>
      <c r="K130" s="14"/>
      <c r="L130" s="14"/>
      <c r="M130" s="14" t="s">
        <v>7697</v>
      </c>
      <c r="N130" s="14"/>
      <c r="O130" s="14" t="s">
        <v>7698</v>
      </c>
      <c r="P130" s="14" t="str">
        <f>HYPERLINK("https://ceds.ed.gov/cedselementdetails.aspx?termid=18603")</f>
        <v>https://ceds.ed.gov/cedselementdetails.aspx?termid=18603</v>
      </c>
      <c r="Q130" s="14" t="str">
        <f>HYPERLINK("https://ceds.ed.gov/elementComment.aspx?elementName=Service Partner Description &amp;elementID=18603", "Click here to submit comment")</f>
        <v>Click here to submit comment</v>
      </c>
      <c r="R130" s="14">
        <v>51103</v>
      </c>
    </row>
    <row r="131" spans="1:18" ht="60" x14ac:dyDescent="0.25">
      <c r="A131" s="14" t="s">
        <v>8529</v>
      </c>
      <c r="B131" s="14" t="s">
        <v>8530</v>
      </c>
      <c r="C131" s="14" t="s">
        <v>8589</v>
      </c>
      <c r="D131" s="14" t="s">
        <v>8531</v>
      </c>
      <c r="E131" s="14" t="s">
        <v>6210</v>
      </c>
      <c r="F131" s="14" t="s">
        <v>6211</v>
      </c>
      <c r="G131" s="14" t="s">
        <v>37</v>
      </c>
      <c r="H131" s="14"/>
      <c r="I131" s="14"/>
      <c r="J131" s="14" t="s">
        <v>135</v>
      </c>
      <c r="K131" s="14"/>
      <c r="L131" s="14"/>
      <c r="M131" s="14" t="s">
        <v>6212</v>
      </c>
      <c r="N131" s="14"/>
      <c r="O131" s="14" t="s">
        <v>6213</v>
      </c>
      <c r="P131" s="14" t="str">
        <f>HYPERLINK("https://ceds.ed.gov/cedselementdetails.aspx?termid=18594")</f>
        <v>https://ceds.ed.gov/cedselementdetails.aspx?termid=18594</v>
      </c>
      <c r="Q131" s="14" t="str">
        <f>HYPERLINK("https://ceds.ed.gov/elementComment.aspx?elementName=Memorandum of Understanding Start Date &amp;elementID=18594", "Click here to submit comment")</f>
        <v>Click here to submit comment</v>
      </c>
      <c r="R131" s="14">
        <v>51088</v>
      </c>
    </row>
    <row r="132" spans="1:18" ht="75" x14ac:dyDescent="0.25">
      <c r="A132" s="14" t="s">
        <v>8529</v>
      </c>
      <c r="B132" s="14" t="s">
        <v>8530</v>
      </c>
      <c r="C132" s="14" t="s">
        <v>8589</v>
      </c>
      <c r="D132" s="14" t="s">
        <v>8531</v>
      </c>
      <c r="E132" s="14" t="s">
        <v>6205</v>
      </c>
      <c r="F132" s="14" t="s">
        <v>6206</v>
      </c>
      <c r="G132" s="14" t="s">
        <v>37</v>
      </c>
      <c r="H132" s="14"/>
      <c r="I132" s="14"/>
      <c r="J132" s="14" t="s">
        <v>135</v>
      </c>
      <c r="K132" s="14"/>
      <c r="L132" s="14" t="s">
        <v>160</v>
      </c>
      <c r="M132" s="14" t="s">
        <v>6208</v>
      </c>
      <c r="N132" s="14"/>
      <c r="O132" s="14" t="s">
        <v>6209</v>
      </c>
      <c r="P132" s="14" t="str">
        <f>HYPERLINK("https://ceds.ed.gov/cedselementdetails.aspx?termid=18593")</f>
        <v>https://ceds.ed.gov/cedselementdetails.aspx?termid=18593</v>
      </c>
      <c r="Q132" s="14" t="str">
        <f>HYPERLINK("https://ceds.ed.gov/elementComment.aspx?elementName=Memorandum of Understanding End Date &amp;elementID=18593", "Click here to submit comment")</f>
        <v>Click here to submit comment</v>
      </c>
      <c r="R132" s="14">
        <v>51087</v>
      </c>
    </row>
    <row r="133" spans="1:18" ht="45" x14ac:dyDescent="0.25">
      <c r="A133" s="14" t="s">
        <v>8529</v>
      </c>
      <c r="B133" s="14" t="s">
        <v>8530</v>
      </c>
      <c r="C133" s="14" t="s">
        <v>8590</v>
      </c>
      <c r="D133" s="14" t="s">
        <v>8531</v>
      </c>
      <c r="E133" s="14" t="s">
        <v>7144</v>
      </c>
      <c r="F133" s="14" t="s">
        <v>7145</v>
      </c>
      <c r="G133" s="14" t="s">
        <v>24</v>
      </c>
      <c r="H133" s="14" t="s">
        <v>125</v>
      </c>
      <c r="I133" s="14"/>
      <c r="J133" s="14"/>
      <c r="K133" s="14"/>
      <c r="L133" s="14"/>
      <c r="M133" s="14" t="s">
        <v>7147</v>
      </c>
      <c r="N133" s="14"/>
      <c r="O133" s="14" t="s">
        <v>7148</v>
      </c>
      <c r="P133" s="14" t="str">
        <f>HYPERLINK("https://ceds.ed.gov/cedselementdetails.aspx?termid=17845")</f>
        <v>https://ceds.ed.gov/cedselementdetails.aspx?termid=17845</v>
      </c>
      <c r="Q133" s="14" t="str">
        <f>HYPERLINK("https://ceds.ed.gov/elementComment.aspx?elementName=Program Provides Translated Materials &amp;elementID=17845", "Click here to submit comment")</f>
        <v>Click here to submit comment</v>
      </c>
      <c r="R133" s="14">
        <v>49299</v>
      </c>
    </row>
    <row r="134" spans="1:18" ht="45" x14ac:dyDescent="0.25">
      <c r="A134" s="14" t="s">
        <v>8529</v>
      </c>
      <c r="B134" s="14" t="s">
        <v>8530</v>
      </c>
      <c r="C134" s="14" t="s">
        <v>8590</v>
      </c>
      <c r="D134" s="14" t="s">
        <v>8531</v>
      </c>
      <c r="E134" s="14" t="s">
        <v>5712</v>
      </c>
      <c r="F134" s="14" t="s">
        <v>5713</v>
      </c>
      <c r="G134" s="14" t="s">
        <v>24</v>
      </c>
      <c r="H134" s="14"/>
      <c r="I134" s="14"/>
      <c r="J134" s="14"/>
      <c r="K134" s="14"/>
      <c r="L134" s="14"/>
      <c r="M134" s="14" t="s">
        <v>5715</v>
      </c>
      <c r="N134" s="14"/>
      <c r="O134" s="14" t="s">
        <v>5716</v>
      </c>
      <c r="P134" s="14" t="str">
        <f>HYPERLINK("https://ceds.ed.gov/cedselementdetails.aspx?termid=18190")</f>
        <v>https://ceds.ed.gov/cedselementdetails.aspx?termid=18190</v>
      </c>
      <c r="Q134" s="14" t="str">
        <f>HYPERLINK("https://ceds.ed.gov/elementComment.aspx?elementName=Language Translation Policy &amp;elementID=18190", "Click here to submit comment")</f>
        <v>Click here to submit comment</v>
      </c>
      <c r="R134" s="14">
        <v>48631</v>
      </c>
    </row>
    <row r="135" spans="1:18" ht="45" x14ac:dyDescent="0.25">
      <c r="A135" s="14" t="s">
        <v>8529</v>
      </c>
      <c r="B135" s="14" t="s">
        <v>8530</v>
      </c>
      <c r="C135" s="14" t="s">
        <v>8591</v>
      </c>
      <c r="D135" s="14" t="s">
        <v>8531</v>
      </c>
      <c r="E135" s="14" t="s">
        <v>6504</v>
      </c>
      <c r="F135" s="14" t="s">
        <v>6505</v>
      </c>
      <c r="G135" s="14" t="s">
        <v>24</v>
      </c>
      <c r="H135" s="14" t="s">
        <v>125</v>
      </c>
      <c r="I135" s="14"/>
      <c r="J135" s="14"/>
      <c r="K135" s="14"/>
      <c r="L135" s="14"/>
      <c r="M135" s="14" t="s">
        <v>6506</v>
      </c>
      <c r="N135" s="14"/>
      <c r="O135" s="14" t="s">
        <v>6507</v>
      </c>
      <c r="P135" s="14" t="str">
        <f>HYPERLINK("https://ceds.ed.gov/cedselementdetails.aspx?termid=17847")</f>
        <v>https://ceds.ed.gov/cedselementdetails.aspx?termid=17847</v>
      </c>
      <c r="Q135" s="14" t="str">
        <f>HYPERLINK("https://ceds.ed.gov/elementComment.aspx?elementName=Ongoing Health Screening Policy &amp;elementID=17847", "Click here to submit comment")</f>
        <v>Click here to submit comment</v>
      </c>
      <c r="R135" s="14">
        <v>49300</v>
      </c>
    </row>
    <row r="136" spans="1:18" ht="60" x14ac:dyDescent="0.25">
      <c r="A136" s="14" t="s">
        <v>8529</v>
      </c>
      <c r="B136" s="14" t="s">
        <v>8530</v>
      </c>
      <c r="C136" s="14" t="s">
        <v>8591</v>
      </c>
      <c r="D136" s="14" t="s">
        <v>8531</v>
      </c>
      <c r="E136" s="14" t="s">
        <v>3838</v>
      </c>
      <c r="F136" s="14" t="s">
        <v>3839</v>
      </c>
      <c r="G136" s="14" t="s">
        <v>24</v>
      </c>
      <c r="H136" s="14" t="s">
        <v>125</v>
      </c>
      <c r="I136" s="14"/>
      <c r="J136" s="14"/>
      <c r="K136" s="14"/>
      <c r="L136" s="14"/>
      <c r="M136" s="14" t="s">
        <v>3841</v>
      </c>
      <c r="N136" s="14"/>
      <c r="O136" s="14" t="s">
        <v>3842</v>
      </c>
      <c r="P136" s="14" t="str">
        <f>HYPERLINK("https://ceds.ed.gov/cedselementdetails.aspx?termid=17848")</f>
        <v>https://ceds.ed.gov/cedselementdetails.aspx?termid=17848</v>
      </c>
      <c r="Q136" s="14" t="str">
        <f>HYPERLINK("https://ceds.ed.gov/elementComment.aspx?elementName=Early Learning Program Developmental Screening Status &amp;elementID=17848", "Click here to submit comment")</f>
        <v>Click here to submit comment</v>
      </c>
      <c r="R136" s="14">
        <v>49301</v>
      </c>
    </row>
    <row r="137" spans="1:18" ht="60" x14ac:dyDescent="0.25">
      <c r="A137" s="14" t="s">
        <v>8529</v>
      </c>
      <c r="B137" s="14" t="s">
        <v>8530</v>
      </c>
      <c r="C137" s="14" t="s">
        <v>8591</v>
      </c>
      <c r="D137" s="14" t="s">
        <v>8531</v>
      </c>
      <c r="E137" s="14" t="s">
        <v>5200</v>
      </c>
      <c r="F137" s="14" t="s">
        <v>5201</v>
      </c>
      <c r="G137" s="14" t="s">
        <v>24</v>
      </c>
      <c r="H137" s="14" t="s">
        <v>125</v>
      </c>
      <c r="I137" s="14"/>
      <c r="J137" s="14"/>
      <c r="K137" s="14"/>
      <c r="L137" s="14"/>
      <c r="M137" s="14" t="s">
        <v>5202</v>
      </c>
      <c r="N137" s="14"/>
      <c r="O137" s="14" t="s">
        <v>5203</v>
      </c>
      <c r="P137" s="14" t="str">
        <f>HYPERLINK("https://ceds.ed.gov/cedselementdetails.aspx?termid=17849")</f>
        <v>https://ceds.ed.gov/cedselementdetails.aspx?termid=17849</v>
      </c>
      <c r="Q137" s="14" t="str">
        <f>HYPERLINK("https://ceds.ed.gov/elementComment.aspx?elementName=Immunization Policy &amp;elementID=17849", "Click here to submit comment")</f>
        <v>Click here to submit comment</v>
      </c>
      <c r="R137" s="14">
        <v>49302</v>
      </c>
    </row>
    <row r="138" spans="1:18" ht="45" x14ac:dyDescent="0.25">
      <c r="A138" s="14" t="s">
        <v>8529</v>
      </c>
      <c r="B138" s="14" t="s">
        <v>8530</v>
      </c>
      <c r="C138" s="14" t="s">
        <v>8591</v>
      </c>
      <c r="D138" s="14" t="s">
        <v>8531</v>
      </c>
      <c r="E138" s="14" t="s">
        <v>7346</v>
      </c>
      <c r="F138" s="14" t="s">
        <v>7347</v>
      </c>
      <c r="G138" s="14" t="s">
        <v>24</v>
      </c>
      <c r="H138" s="14" t="s">
        <v>125</v>
      </c>
      <c r="I138" s="14"/>
      <c r="J138" s="14"/>
      <c r="K138" s="14"/>
      <c r="L138" s="14"/>
      <c r="M138" s="14" t="s">
        <v>7348</v>
      </c>
      <c r="N138" s="14"/>
      <c r="O138" s="14" t="s">
        <v>7349</v>
      </c>
      <c r="P138" s="14" t="str">
        <f>HYPERLINK("https://ceds.ed.gov/cedselementdetails.aspx?termid=17850")</f>
        <v>https://ceds.ed.gov/cedselementdetails.aspx?termid=17850</v>
      </c>
      <c r="Q138" s="14" t="str">
        <f>HYPERLINK("https://ceds.ed.gov/elementComment.aspx?elementName=Referral Policy &amp;elementID=17850", "Click here to submit comment")</f>
        <v>Click here to submit comment</v>
      </c>
      <c r="R138" s="14">
        <v>49303</v>
      </c>
    </row>
    <row r="139" spans="1:18" ht="345" x14ac:dyDescent="0.25">
      <c r="A139" s="14" t="s">
        <v>8529</v>
      </c>
      <c r="B139" s="14" t="s">
        <v>8530</v>
      </c>
      <c r="C139" s="14" t="s">
        <v>8591</v>
      </c>
      <c r="D139" s="14" t="s">
        <v>8531</v>
      </c>
      <c r="E139" s="14" t="s">
        <v>7388</v>
      </c>
      <c r="F139" s="14" t="s">
        <v>7389</v>
      </c>
      <c r="G139" s="8" t="s">
        <v>8592</v>
      </c>
      <c r="H139" s="14" t="s">
        <v>2291</v>
      </c>
      <c r="I139" s="14"/>
      <c r="J139" s="14"/>
      <c r="K139" s="14"/>
      <c r="L139" s="14"/>
      <c r="M139" s="14" t="s">
        <v>7390</v>
      </c>
      <c r="N139" s="14"/>
      <c r="O139" s="14" t="s">
        <v>7391</v>
      </c>
      <c r="P139" s="14" t="str">
        <f>HYPERLINK("https://ceds.ed.gov/cedselementdetails.aspx?termid=17307")</f>
        <v>https://ceds.ed.gov/cedselementdetails.aspx?termid=17307</v>
      </c>
      <c r="Q139" s="14" t="str">
        <f>HYPERLINK("https://ceds.ed.gov/elementComment.aspx?elementName=Required Immunization &amp;elementID=17307", "Click here to submit comment")</f>
        <v>Click here to submit comment</v>
      </c>
      <c r="R139" s="14">
        <v>49845</v>
      </c>
    </row>
    <row r="140" spans="1:18" ht="75" x14ac:dyDescent="0.25">
      <c r="A140" s="14" t="s">
        <v>8529</v>
      </c>
      <c r="B140" s="14" t="s">
        <v>8530</v>
      </c>
      <c r="C140" s="14" t="s">
        <v>8593</v>
      </c>
      <c r="D140" s="14" t="s">
        <v>8531</v>
      </c>
      <c r="E140" s="14" t="s">
        <v>7851</v>
      </c>
      <c r="F140" s="14" t="s">
        <v>7852</v>
      </c>
      <c r="G140" s="14" t="s">
        <v>24</v>
      </c>
      <c r="H140" s="14" t="s">
        <v>125</v>
      </c>
      <c r="I140" s="14"/>
      <c r="J140" s="14"/>
      <c r="K140" s="14"/>
      <c r="L140" s="14"/>
      <c r="M140" s="14" t="s">
        <v>7854</v>
      </c>
      <c r="N140" s="14"/>
      <c r="O140" s="14" t="s">
        <v>7855</v>
      </c>
      <c r="P140" s="14" t="str">
        <f>HYPERLINK("https://ceds.ed.gov/cedselementdetails.aspx?termid=18004")</f>
        <v>https://ceds.ed.gov/cedselementdetails.aspx?termid=18004</v>
      </c>
      <c r="Q140" s="14" t="str">
        <f>HYPERLINK("https://ceds.ed.gov/elementComment.aspx?elementName=Special Needs Policy &amp;elementID=18004", "Click here to submit comment")</f>
        <v>Click here to submit comment</v>
      </c>
      <c r="R140" s="14">
        <v>48440</v>
      </c>
    </row>
    <row r="141" spans="1:18" ht="45" x14ac:dyDescent="0.25">
      <c r="A141" s="14" t="s">
        <v>8529</v>
      </c>
      <c r="B141" s="14" t="s">
        <v>8530</v>
      </c>
      <c r="C141" s="14" t="s">
        <v>8594</v>
      </c>
      <c r="D141" s="14" t="s">
        <v>8531</v>
      </c>
      <c r="E141" s="14" t="s">
        <v>7149</v>
      </c>
      <c r="F141" s="14" t="s">
        <v>7150</v>
      </c>
      <c r="G141" s="14" t="s">
        <v>24</v>
      </c>
      <c r="H141" s="14" t="s">
        <v>125</v>
      </c>
      <c r="I141" s="14"/>
      <c r="J141" s="14"/>
      <c r="K141" s="14"/>
      <c r="L141" s="14"/>
      <c r="M141" s="14" t="s">
        <v>7151</v>
      </c>
      <c r="N141" s="14"/>
      <c r="O141" s="14" t="s">
        <v>7152</v>
      </c>
      <c r="P141" s="14" t="str">
        <f>HYPERLINK("https://ceds.ed.gov/cedselementdetails.aspx?termid=17853")</f>
        <v>https://ceds.ed.gov/cedselementdetails.aspx?termid=17853</v>
      </c>
      <c r="Q141" s="14" t="str">
        <f>HYPERLINK("https://ceds.ed.gov/elementComment.aspx?elementName=Program Provides Written Handbook &amp;elementID=17853", "Click here to submit comment")</f>
        <v>Click here to submit comment</v>
      </c>
      <c r="R141" s="14">
        <v>49306</v>
      </c>
    </row>
    <row r="142" spans="1:18" ht="60" x14ac:dyDescent="0.25">
      <c r="A142" s="14" t="s">
        <v>8529</v>
      </c>
      <c r="B142" s="14" t="s">
        <v>8530</v>
      </c>
      <c r="C142" s="14" t="s">
        <v>8594</v>
      </c>
      <c r="D142" s="14" t="s">
        <v>8531</v>
      </c>
      <c r="E142" s="14" t="s">
        <v>7072</v>
      </c>
      <c r="F142" s="14" t="s">
        <v>7073</v>
      </c>
      <c r="G142" s="14" t="s">
        <v>24</v>
      </c>
      <c r="H142" s="14" t="s">
        <v>7076</v>
      </c>
      <c r="I142" s="14"/>
      <c r="J142" s="14"/>
      <c r="K142" s="14"/>
      <c r="L142" s="14"/>
      <c r="M142" s="14" t="s">
        <v>7074</v>
      </c>
      <c r="N142" s="14"/>
      <c r="O142" s="14" t="s">
        <v>7075</v>
      </c>
      <c r="P142" s="14" t="str">
        <f>HYPERLINK("https://ceds.ed.gov/cedselementdetails.aspx?termid=17854")</f>
        <v>https://ceds.ed.gov/cedselementdetails.aspx?termid=17854</v>
      </c>
      <c r="Q142" s="14" t="str">
        <f>HYPERLINK("https://ceds.ed.gov/elementComment.aspx?elementName=Program Collects Parental Feedback &amp;elementID=17854", "Click here to submit comment")</f>
        <v>Click here to submit comment</v>
      </c>
      <c r="R142" s="14">
        <v>49307</v>
      </c>
    </row>
    <row r="143" spans="1:18" ht="60" x14ac:dyDescent="0.25">
      <c r="A143" s="14" t="s">
        <v>8529</v>
      </c>
      <c r="B143" s="14" t="s">
        <v>8530</v>
      </c>
      <c r="C143" s="14" t="s">
        <v>8594</v>
      </c>
      <c r="D143" s="14" t="s">
        <v>8531</v>
      </c>
      <c r="E143" s="14" t="s">
        <v>7140</v>
      </c>
      <c r="F143" s="14" t="s">
        <v>7141</v>
      </c>
      <c r="G143" s="14" t="s">
        <v>24</v>
      </c>
      <c r="H143" s="14" t="s">
        <v>125</v>
      </c>
      <c r="I143" s="14"/>
      <c r="J143" s="14"/>
      <c r="K143" s="14"/>
      <c r="L143" s="14"/>
      <c r="M143" s="14" t="s">
        <v>7142</v>
      </c>
      <c r="N143" s="14"/>
      <c r="O143" s="14" t="s">
        <v>7143</v>
      </c>
      <c r="P143" s="14" t="str">
        <f>HYPERLINK("https://ceds.ed.gov/cedselementdetails.aspx?termid=17855")</f>
        <v>https://ceds.ed.gov/cedselementdetails.aspx?termid=17855</v>
      </c>
      <c r="Q143" s="14" t="str">
        <f>HYPERLINK("https://ceds.ed.gov/elementComment.aspx?elementName=Program Provides Parent Involvement Opportunity &amp;elementID=17855", "Click here to submit comment")</f>
        <v>Click here to submit comment</v>
      </c>
      <c r="R143" s="14">
        <v>49308</v>
      </c>
    </row>
    <row r="144" spans="1:18" ht="45" x14ac:dyDescent="0.25">
      <c r="A144" s="14" t="s">
        <v>8529</v>
      </c>
      <c r="B144" s="14" t="s">
        <v>8530</v>
      </c>
      <c r="C144" s="14" t="s">
        <v>8594</v>
      </c>
      <c r="D144" s="14" t="s">
        <v>8531</v>
      </c>
      <c r="E144" s="14" t="s">
        <v>7136</v>
      </c>
      <c r="F144" s="14" t="s">
        <v>7137</v>
      </c>
      <c r="G144" s="14" t="s">
        <v>24</v>
      </c>
      <c r="H144" s="14" t="s">
        <v>125</v>
      </c>
      <c r="I144" s="14"/>
      <c r="J144" s="14"/>
      <c r="K144" s="14"/>
      <c r="L144" s="14"/>
      <c r="M144" s="14" t="s">
        <v>7138</v>
      </c>
      <c r="N144" s="14"/>
      <c r="O144" s="14" t="s">
        <v>7139</v>
      </c>
      <c r="P144" s="14" t="str">
        <f>HYPERLINK("https://ceds.ed.gov/cedselementdetails.aspx?termid=17856")</f>
        <v>https://ceds.ed.gov/cedselementdetails.aspx?termid=17856</v>
      </c>
      <c r="Q144" s="14" t="str">
        <f>HYPERLINK("https://ceds.ed.gov/elementComment.aspx?elementName=Program Provides Parent Education &amp;elementID=17856", "Click here to submit comment")</f>
        <v>Click here to submit comment</v>
      </c>
      <c r="R144" s="14">
        <v>49309</v>
      </c>
    </row>
    <row r="145" spans="1:18" ht="150" x14ac:dyDescent="0.25">
      <c r="A145" s="14" t="s">
        <v>8529</v>
      </c>
      <c r="B145" s="14" t="s">
        <v>8530</v>
      </c>
      <c r="C145" s="14" t="s">
        <v>8594</v>
      </c>
      <c r="D145" s="14" t="s">
        <v>8531</v>
      </c>
      <c r="E145" s="14" t="s">
        <v>6637</v>
      </c>
      <c r="F145" s="14" t="s">
        <v>6638</v>
      </c>
      <c r="G145" s="8" t="s">
        <v>8595</v>
      </c>
      <c r="H145" s="14" t="s">
        <v>125</v>
      </c>
      <c r="I145" s="14"/>
      <c r="J145" s="14"/>
      <c r="K145" s="14"/>
      <c r="L145" s="14"/>
      <c r="M145" s="14" t="s">
        <v>6640</v>
      </c>
      <c r="N145" s="14"/>
      <c r="O145" s="14" t="s">
        <v>6641</v>
      </c>
      <c r="P145" s="14" t="str">
        <f>HYPERLINK("https://ceds.ed.gov/cedselementdetails.aspx?termid=17857")</f>
        <v>https://ceds.ed.gov/cedselementdetails.aspx?termid=17857</v>
      </c>
      <c r="Q145" s="14" t="str">
        <f>HYPERLINK("https://ceds.ed.gov/elementComment.aspx?elementName=Parent Communication Method &amp;elementID=17857", "Click here to submit comment")</f>
        <v>Click here to submit comment</v>
      </c>
      <c r="R145" s="14">
        <v>49310</v>
      </c>
    </row>
    <row r="146" spans="1:18" ht="45" x14ac:dyDescent="0.25">
      <c r="A146" s="14" t="s">
        <v>8529</v>
      </c>
      <c r="B146" s="14" t="s">
        <v>8530</v>
      </c>
      <c r="C146" s="14" t="s">
        <v>8594</v>
      </c>
      <c r="D146" s="14" t="s">
        <v>8531</v>
      </c>
      <c r="E146" s="14" t="s">
        <v>1549</v>
      </c>
      <c r="F146" s="14" t="s">
        <v>1550</v>
      </c>
      <c r="G146" s="14" t="s">
        <v>24</v>
      </c>
      <c r="H146" s="14" t="s">
        <v>125</v>
      </c>
      <c r="I146" s="14"/>
      <c r="J146" s="14"/>
      <c r="K146" s="14"/>
      <c r="L146" s="14"/>
      <c r="M146" s="14" t="s">
        <v>1552</v>
      </c>
      <c r="N146" s="14"/>
      <c r="O146" s="14" t="s">
        <v>1553</v>
      </c>
      <c r="P146" s="14" t="str">
        <f>HYPERLINK("https://ceds.ed.gov/cedselementdetails.aspx?termid=17858")</f>
        <v>https://ceds.ed.gov/cedselementdetails.aspx?termid=17858</v>
      </c>
      <c r="Q146" s="14" t="str">
        <f>HYPERLINK("https://ceds.ed.gov/elementComment.aspx?elementName=Assessment Shared with Parents &amp;elementID=17858", "Click here to submit comment")</f>
        <v>Click here to submit comment</v>
      </c>
      <c r="R146" s="14">
        <v>49311</v>
      </c>
    </row>
    <row r="147" spans="1:18" ht="195" x14ac:dyDescent="0.25">
      <c r="A147" s="14" t="s">
        <v>8529</v>
      </c>
      <c r="B147" s="14" t="s">
        <v>8596</v>
      </c>
      <c r="C147" s="14" t="s">
        <v>8597</v>
      </c>
      <c r="D147" s="14" t="s">
        <v>8531</v>
      </c>
      <c r="E147" s="14" t="s">
        <v>4667</v>
      </c>
      <c r="F147" s="14" t="s">
        <v>4668</v>
      </c>
      <c r="G147" s="14" t="s">
        <v>37</v>
      </c>
      <c r="H147" s="14" t="s">
        <v>4673</v>
      </c>
      <c r="I147" s="14"/>
      <c r="J147" s="14" t="s">
        <v>1468</v>
      </c>
      <c r="K147" s="14"/>
      <c r="L147" s="14" t="s">
        <v>4670</v>
      </c>
      <c r="M147" s="14" t="s">
        <v>4671</v>
      </c>
      <c r="N147" s="14"/>
      <c r="O147" s="14" t="s">
        <v>4672</v>
      </c>
      <c r="P147" s="14" t="str">
        <f>HYPERLINK("https://ceds.ed.gov/cedselementdetails.aspx?termid=17115")</f>
        <v>https://ceds.ed.gov/cedselementdetails.aspx?termid=17115</v>
      </c>
      <c r="Q147" s="14" t="str">
        <f>HYPERLINK("https://ceds.ed.gov/elementComment.aspx?elementName=First Name &amp;elementID=17115", "Click here to submit comment")</f>
        <v>Click here to submit comment</v>
      </c>
      <c r="R147" s="14">
        <v>47622</v>
      </c>
    </row>
    <row r="148" spans="1:18" x14ac:dyDescent="0.25">
      <c r="A148" s="16" t="s">
        <v>8529</v>
      </c>
      <c r="B148" s="16" t="s">
        <v>8596</v>
      </c>
      <c r="C148" s="16" t="s">
        <v>8597</v>
      </c>
      <c r="D148" s="16" t="s">
        <v>8531</v>
      </c>
      <c r="E148" s="16" t="s">
        <v>6223</v>
      </c>
      <c r="F148" s="16" t="s">
        <v>6224</v>
      </c>
      <c r="G148" s="16" t="s">
        <v>37</v>
      </c>
      <c r="H148" s="16" t="s">
        <v>4673</v>
      </c>
      <c r="I148" s="16"/>
      <c r="J148" s="16" t="s">
        <v>1468</v>
      </c>
      <c r="K148" s="16"/>
      <c r="L148" s="14" t="s">
        <v>4746</v>
      </c>
      <c r="M148" s="16" t="s">
        <v>6226</v>
      </c>
      <c r="N148" s="16"/>
      <c r="O148" s="16" t="s">
        <v>6227</v>
      </c>
      <c r="P148" s="16" t="str">
        <f>HYPERLINK("https://ceds.ed.gov/cedselementdetails.aspx?termid=17184")</f>
        <v>https://ceds.ed.gov/cedselementdetails.aspx?termid=17184</v>
      </c>
      <c r="Q148" s="16" t="str">
        <f>HYPERLINK("https://ceds.ed.gov/elementComment.aspx?elementName=Middle Name &amp;elementID=17184", "Click here to submit comment")</f>
        <v>Click here to submit comment</v>
      </c>
      <c r="R148" s="16">
        <v>47627</v>
      </c>
    </row>
    <row r="149" spans="1:18" ht="90" x14ac:dyDescent="0.25">
      <c r="A149" s="16"/>
      <c r="B149" s="16"/>
      <c r="C149" s="16"/>
      <c r="D149" s="16"/>
      <c r="E149" s="16"/>
      <c r="F149" s="16"/>
      <c r="G149" s="16"/>
      <c r="H149" s="16"/>
      <c r="I149" s="16"/>
      <c r="J149" s="16"/>
      <c r="K149" s="16"/>
      <c r="L149" s="14" t="s">
        <v>4750</v>
      </c>
      <c r="M149" s="16"/>
      <c r="N149" s="16"/>
      <c r="O149" s="16"/>
      <c r="P149" s="16"/>
      <c r="Q149" s="16"/>
      <c r="R149" s="16"/>
    </row>
    <row r="150" spans="1:18" x14ac:dyDescent="0.25">
      <c r="A150" s="16" t="s">
        <v>8529</v>
      </c>
      <c r="B150" s="16" t="s">
        <v>8596</v>
      </c>
      <c r="C150" s="16" t="s">
        <v>8597</v>
      </c>
      <c r="D150" s="16" t="s">
        <v>8531</v>
      </c>
      <c r="E150" s="16" t="s">
        <v>5727</v>
      </c>
      <c r="F150" s="16" t="s">
        <v>5728</v>
      </c>
      <c r="G150" s="16" t="s">
        <v>37</v>
      </c>
      <c r="H150" s="16" t="s">
        <v>4673</v>
      </c>
      <c r="I150" s="16"/>
      <c r="J150" s="16" t="s">
        <v>1468</v>
      </c>
      <c r="K150" s="16"/>
      <c r="L150" s="14" t="s">
        <v>4746</v>
      </c>
      <c r="M150" s="16" t="s">
        <v>5729</v>
      </c>
      <c r="N150" s="16" t="s">
        <v>5730</v>
      </c>
      <c r="O150" s="16" t="s">
        <v>5731</v>
      </c>
      <c r="P150" s="16" t="str">
        <f>HYPERLINK("https://ceds.ed.gov/cedselementdetails.aspx?termid=17172")</f>
        <v>https://ceds.ed.gov/cedselementdetails.aspx?termid=17172</v>
      </c>
      <c r="Q150" s="16" t="str">
        <f>HYPERLINK("https://ceds.ed.gov/elementComment.aspx?elementName=Last or Surname &amp;elementID=17172", "Click here to submit comment")</f>
        <v>Click here to submit comment</v>
      </c>
      <c r="R150" s="16">
        <v>47626</v>
      </c>
    </row>
    <row r="151" spans="1:18" ht="90" x14ac:dyDescent="0.25">
      <c r="A151" s="16"/>
      <c r="B151" s="16"/>
      <c r="C151" s="16"/>
      <c r="D151" s="16"/>
      <c r="E151" s="16"/>
      <c r="F151" s="16"/>
      <c r="G151" s="16"/>
      <c r="H151" s="16"/>
      <c r="I151" s="16"/>
      <c r="J151" s="16"/>
      <c r="K151" s="16"/>
      <c r="L151" s="14" t="s">
        <v>4750</v>
      </c>
      <c r="M151" s="16"/>
      <c r="N151" s="16"/>
      <c r="O151" s="16"/>
      <c r="P151" s="16"/>
      <c r="Q151" s="16"/>
      <c r="R151" s="16"/>
    </row>
    <row r="152" spans="1:18" x14ac:dyDescent="0.25">
      <c r="A152" s="16" t="s">
        <v>8529</v>
      </c>
      <c r="B152" s="16" t="s">
        <v>8596</v>
      </c>
      <c r="C152" s="16" t="s">
        <v>8597</v>
      </c>
      <c r="D152" s="16" t="s">
        <v>8531</v>
      </c>
      <c r="E152" s="16" t="s">
        <v>4743</v>
      </c>
      <c r="F152" s="16" t="s">
        <v>4744</v>
      </c>
      <c r="G152" s="16" t="s">
        <v>37</v>
      </c>
      <c r="H152" s="16" t="s">
        <v>4749</v>
      </c>
      <c r="I152" s="16"/>
      <c r="J152" s="16" t="s">
        <v>3096</v>
      </c>
      <c r="K152" s="16"/>
      <c r="L152" s="14" t="s">
        <v>4746</v>
      </c>
      <c r="M152" s="16" t="s">
        <v>4747</v>
      </c>
      <c r="N152" s="16"/>
      <c r="O152" s="16" t="s">
        <v>4748</v>
      </c>
      <c r="P152" s="16" t="str">
        <f>HYPERLINK("https://ceds.ed.gov/cedselementdetails.aspx?termid=17121")</f>
        <v>https://ceds.ed.gov/cedselementdetails.aspx?termid=17121</v>
      </c>
      <c r="Q152" s="16" t="str">
        <f>HYPERLINK("https://ceds.ed.gov/elementComment.aspx?elementName=Generation Code or Suffix &amp;elementID=17121", "Click here to submit comment")</f>
        <v>Click here to submit comment</v>
      </c>
      <c r="R152" s="16">
        <v>47623</v>
      </c>
    </row>
    <row r="153" spans="1:18" ht="90" x14ac:dyDescent="0.25">
      <c r="A153" s="16"/>
      <c r="B153" s="16"/>
      <c r="C153" s="16"/>
      <c r="D153" s="16"/>
      <c r="E153" s="16"/>
      <c r="F153" s="16"/>
      <c r="G153" s="16"/>
      <c r="H153" s="16"/>
      <c r="I153" s="16"/>
      <c r="J153" s="16"/>
      <c r="K153" s="16"/>
      <c r="L153" s="14" t="s">
        <v>4750</v>
      </c>
      <c r="M153" s="16"/>
      <c r="N153" s="16"/>
      <c r="O153" s="16"/>
      <c r="P153" s="16"/>
      <c r="Q153" s="16"/>
      <c r="R153" s="16"/>
    </row>
    <row r="154" spans="1:18" ht="165" x14ac:dyDescent="0.25">
      <c r="A154" s="14" t="s">
        <v>8529</v>
      </c>
      <c r="B154" s="14" t="s">
        <v>8596</v>
      </c>
      <c r="C154" s="14" t="s">
        <v>8598</v>
      </c>
      <c r="D154" s="14" t="s">
        <v>8531</v>
      </c>
      <c r="E154" s="14" t="s">
        <v>6606</v>
      </c>
      <c r="F154" s="14" t="s">
        <v>6607</v>
      </c>
      <c r="G154" s="8" t="s">
        <v>8554</v>
      </c>
      <c r="H154" s="14" t="s">
        <v>6612</v>
      </c>
      <c r="I154" s="14"/>
      <c r="J154" s="14" t="s">
        <v>97</v>
      </c>
      <c r="K154" s="14"/>
      <c r="L154" s="14"/>
      <c r="M154" s="14" t="s">
        <v>6610</v>
      </c>
      <c r="N154" s="14"/>
      <c r="O154" s="14" t="s">
        <v>6611</v>
      </c>
      <c r="P154" s="14" t="str">
        <f>HYPERLINK("https://ceds.ed.gov/cedselementdetails.aspx?termid=17627")</f>
        <v>https://ceds.ed.gov/cedselementdetails.aspx?termid=17627</v>
      </c>
      <c r="Q154" s="14" t="str">
        <f>HYPERLINK("https://ceds.ed.gov/elementComment.aspx?elementName=Other Name Type &amp;elementID=17627", "Click here to submit comment")</f>
        <v>Click here to submit comment</v>
      </c>
      <c r="R154" s="14">
        <v>48964</v>
      </c>
    </row>
    <row r="155" spans="1:18" ht="45" x14ac:dyDescent="0.25">
      <c r="A155" s="14" t="s">
        <v>8529</v>
      </c>
      <c r="B155" s="14" t="s">
        <v>8596</v>
      </c>
      <c r="C155" s="14" t="s">
        <v>8598</v>
      </c>
      <c r="D155" s="14" t="s">
        <v>8531</v>
      </c>
      <c r="E155" s="14" t="s">
        <v>6586</v>
      </c>
      <c r="F155" s="14" t="s">
        <v>6587</v>
      </c>
      <c r="G155" s="14" t="s">
        <v>37</v>
      </c>
      <c r="H155" s="14"/>
      <c r="I155" s="14"/>
      <c r="J155" s="14" t="s">
        <v>1468</v>
      </c>
      <c r="K155" s="14"/>
      <c r="L155" s="14" t="s">
        <v>6589</v>
      </c>
      <c r="M155" s="14" t="s">
        <v>6590</v>
      </c>
      <c r="N155" s="14"/>
      <c r="O155" s="14" t="s">
        <v>6591</v>
      </c>
      <c r="P155" s="14" t="str">
        <f>HYPERLINK("https://ceds.ed.gov/cedselementdetails.aspx?termid=18486")</f>
        <v>https://ceds.ed.gov/cedselementdetails.aspx?termid=18486</v>
      </c>
      <c r="Q155" s="14" t="str">
        <f>HYPERLINK("https://ceds.ed.gov/elementComment.aspx?elementName=Other First Name &amp;elementID=18486", "Click here to submit comment")</f>
        <v>Click here to submit comment</v>
      </c>
      <c r="R155" s="14">
        <v>50627</v>
      </c>
    </row>
    <row r="156" spans="1:18" ht="45" x14ac:dyDescent="0.25">
      <c r="A156" s="14" t="s">
        <v>8529</v>
      </c>
      <c r="B156" s="14" t="s">
        <v>8596</v>
      </c>
      <c r="C156" s="14" t="s">
        <v>8598</v>
      </c>
      <c r="D156" s="14" t="s">
        <v>8531</v>
      </c>
      <c r="E156" s="14" t="s">
        <v>6597</v>
      </c>
      <c r="F156" s="14" t="s">
        <v>6598</v>
      </c>
      <c r="G156" s="14" t="s">
        <v>37</v>
      </c>
      <c r="H156" s="14"/>
      <c r="I156" s="14"/>
      <c r="J156" s="14" t="s">
        <v>1468</v>
      </c>
      <c r="K156" s="14"/>
      <c r="L156" s="14" t="s">
        <v>6599</v>
      </c>
      <c r="M156" s="14" t="s">
        <v>6600</v>
      </c>
      <c r="N156" s="14"/>
      <c r="O156" s="14" t="s">
        <v>6601</v>
      </c>
      <c r="P156" s="14" t="str">
        <f>HYPERLINK("https://ceds.ed.gov/cedselementdetails.aspx?termid=18487")</f>
        <v>https://ceds.ed.gov/cedselementdetails.aspx?termid=18487</v>
      </c>
      <c r="Q156" s="14" t="str">
        <f>HYPERLINK("https://ceds.ed.gov/elementComment.aspx?elementName=Other Middle Name &amp;elementID=18487", "Click here to submit comment")</f>
        <v>Click here to submit comment</v>
      </c>
      <c r="R156" s="14">
        <v>50643</v>
      </c>
    </row>
    <row r="157" spans="1:18" ht="45" x14ac:dyDescent="0.25">
      <c r="A157" s="14" t="s">
        <v>8529</v>
      </c>
      <c r="B157" s="14" t="s">
        <v>8596</v>
      </c>
      <c r="C157" s="14" t="s">
        <v>8598</v>
      </c>
      <c r="D157" s="14" t="s">
        <v>8531</v>
      </c>
      <c r="E157" s="14" t="s">
        <v>6592</v>
      </c>
      <c r="F157" s="14" t="s">
        <v>6593</v>
      </c>
      <c r="G157" s="14" t="s">
        <v>37</v>
      </c>
      <c r="H157" s="14"/>
      <c r="I157" s="14"/>
      <c r="J157" s="14" t="s">
        <v>1468</v>
      </c>
      <c r="K157" s="14"/>
      <c r="L157" s="14" t="s">
        <v>6594</v>
      </c>
      <c r="M157" s="14" t="s">
        <v>6595</v>
      </c>
      <c r="N157" s="14"/>
      <c r="O157" s="14" t="s">
        <v>6596</v>
      </c>
      <c r="P157" s="14" t="str">
        <f>HYPERLINK("https://ceds.ed.gov/cedselementdetails.aspx?termid=18485")</f>
        <v>https://ceds.ed.gov/cedselementdetails.aspx?termid=18485</v>
      </c>
      <c r="Q157" s="14" t="str">
        <f>HYPERLINK("https://ceds.ed.gov/elementComment.aspx?elementName=Other Last Name &amp;elementID=18485", "Click here to submit comment")</f>
        <v>Click here to submit comment</v>
      </c>
      <c r="R157" s="14">
        <v>50611</v>
      </c>
    </row>
    <row r="158" spans="1:18" ht="150" x14ac:dyDescent="0.25">
      <c r="A158" s="14" t="s">
        <v>8529</v>
      </c>
      <c r="B158" s="14" t="s">
        <v>8596</v>
      </c>
      <c r="C158" s="14" t="s">
        <v>8598</v>
      </c>
      <c r="D158" s="14" t="s">
        <v>8531</v>
      </c>
      <c r="E158" s="14" t="s">
        <v>6602</v>
      </c>
      <c r="F158" s="14" t="s">
        <v>6603</v>
      </c>
      <c r="G158" s="14" t="s">
        <v>37</v>
      </c>
      <c r="H158" s="14" t="s">
        <v>4749</v>
      </c>
      <c r="I158" s="14"/>
      <c r="J158" s="14" t="s">
        <v>149</v>
      </c>
      <c r="K158" s="14"/>
      <c r="L158" s="14"/>
      <c r="M158" s="14" t="s">
        <v>6604</v>
      </c>
      <c r="N158" s="14"/>
      <c r="O158" s="14" t="s">
        <v>6605</v>
      </c>
      <c r="P158" s="14" t="str">
        <f>HYPERLINK("https://ceds.ed.gov/cedselementdetails.aspx?termid=17206")</f>
        <v>https://ceds.ed.gov/cedselementdetails.aspx?termid=17206</v>
      </c>
      <c r="Q158" s="14" t="str">
        <f>HYPERLINK("https://ceds.ed.gov/elementComment.aspx?elementName=Other Name &amp;elementID=17206", "Click here to submit comment")</f>
        <v>Click here to submit comment</v>
      </c>
      <c r="R158" s="14">
        <v>48965</v>
      </c>
    </row>
    <row r="159" spans="1:18" ht="105" x14ac:dyDescent="0.25">
      <c r="A159" s="16" t="s">
        <v>8529</v>
      </c>
      <c r="B159" s="16" t="s">
        <v>8596</v>
      </c>
      <c r="C159" s="16" t="s">
        <v>8599</v>
      </c>
      <c r="D159" s="16" t="s">
        <v>8531</v>
      </c>
      <c r="E159" s="16" t="s">
        <v>2299</v>
      </c>
      <c r="F159" s="16" t="s">
        <v>2300</v>
      </c>
      <c r="G159" s="16" t="s">
        <v>37</v>
      </c>
      <c r="H159" s="16" t="s">
        <v>2298</v>
      </c>
      <c r="I159" s="16"/>
      <c r="J159" s="16" t="s">
        <v>149</v>
      </c>
      <c r="K159" s="16"/>
      <c r="L159" s="14" t="s">
        <v>150</v>
      </c>
      <c r="M159" s="16" t="s">
        <v>2302</v>
      </c>
      <c r="N159" s="16"/>
      <c r="O159" s="16" t="s">
        <v>2303</v>
      </c>
      <c r="P159" s="16" t="str">
        <f>HYPERLINK("https://ceds.ed.gov/cedselementdetails.aspx?termid=17781")</f>
        <v>https://ceds.ed.gov/cedselementdetails.aspx?termid=17781</v>
      </c>
      <c r="Q159" s="16" t="str">
        <f>HYPERLINK("https://ceds.ed.gov/elementComment.aspx?elementName=Child Identifier &amp;elementID=17781", "Click here to submit comment")</f>
        <v>Click here to submit comment</v>
      </c>
      <c r="R159" s="16">
        <v>48351</v>
      </c>
    </row>
    <row r="160" spans="1:18" x14ac:dyDescent="0.25">
      <c r="A160" s="16"/>
      <c r="B160" s="16"/>
      <c r="C160" s="16"/>
      <c r="D160" s="16"/>
      <c r="E160" s="16"/>
      <c r="F160" s="16"/>
      <c r="G160" s="16"/>
      <c r="H160" s="16"/>
      <c r="I160" s="16"/>
      <c r="J160" s="16"/>
      <c r="K160" s="16"/>
      <c r="L160" s="14"/>
      <c r="M160" s="16"/>
      <c r="N160" s="16"/>
      <c r="O160" s="16"/>
      <c r="P160" s="16"/>
      <c r="Q160" s="16"/>
      <c r="R160" s="16"/>
    </row>
    <row r="161" spans="1:18" ht="90" x14ac:dyDescent="0.25">
      <c r="A161" s="16"/>
      <c r="B161" s="16"/>
      <c r="C161" s="16"/>
      <c r="D161" s="16"/>
      <c r="E161" s="16"/>
      <c r="F161" s="16"/>
      <c r="G161" s="16"/>
      <c r="H161" s="16"/>
      <c r="I161" s="16"/>
      <c r="J161" s="16"/>
      <c r="K161" s="16"/>
      <c r="L161" s="14" t="s">
        <v>153</v>
      </c>
      <c r="M161" s="16"/>
      <c r="N161" s="16"/>
      <c r="O161" s="16"/>
      <c r="P161" s="16"/>
      <c r="Q161" s="16"/>
      <c r="R161" s="16"/>
    </row>
    <row r="162" spans="1:18" ht="225" x14ac:dyDescent="0.25">
      <c r="A162" s="14" t="s">
        <v>8529</v>
      </c>
      <c r="B162" s="14" t="s">
        <v>8596</v>
      </c>
      <c r="C162" s="14" t="s">
        <v>8599</v>
      </c>
      <c r="D162" s="14" t="s">
        <v>8531</v>
      </c>
      <c r="E162" s="14" t="s">
        <v>2292</v>
      </c>
      <c r="F162" s="14" t="s">
        <v>2293</v>
      </c>
      <c r="G162" s="8" t="s">
        <v>8600</v>
      </c>
      <c r="H162" s="14" t="s">
        <v>2298</v>
      </c>
      <c r="I162" s="14"/>
      <c r="J162" s="14"/>
      <c r="K162" s="14"/>
      <c r="L162" s="14"/>
      <c r="M162" s="14" t="s">
        <v>2296</v>
      </c>
      <c r="N162" s="14"/>
      <c r="O162" s="14" t="s">
        <v>2297</v>
      </c>
      <c r="P162" s="14" t="str">
        <f>HYPERLINK("https://ceds.ed.gov/cedselementdetails.aspx?termid=17782")</f>
        <v>https://ceds.ed.gov/cedselementdetails.aspx?termid=17782</v>
      </c>
      <c r="Q162" s="14" t="str">
        <f>HYPERLINK("https://ceds.ed.gov/elementComment.aspx?elementName=Child Identification System &amp;elementID=17782", "Click here to submit comment")</f>
        <v>Click here to submit comment</v>
      </c>
      <c r="R162" s="14">
        <v>48352</v>
      </c>
    </row>
    <row r="163" spans="1:18" ht="255" x14ac:dyDescent="0.25">
      <c r="A163" s="14" t="s">
        <v>8529</v>
      </c>
      <c r="B163" s="14" t="s">
        <v>8596</v>
      </c>
      <c r="C163" s="14" t="s">
        <v>8599</v>
      </c>
      <c r="D163" s="14" t="s">
        <v>8531</v>
      </c>
      <c r="E163" s="14" t="s">
        <v>6735</v>
      </c>
      <c r="F163" s="14" t="s">
        <v>6736</v>
      </c>
      <c r="G163" s="8" t="s">
        <v>8601</v>
      </c>
      <c r="H163" s="14"/>
      <c r="I163" s="14"/>
      <c r="J163" s="14"/>
      <c r="K163" s="14"/>
      <c r="L163" s="14"/>
      <c r="M163" s="14" t="s">
        <v>6739</v>
      </c>
      <c r="N163" s="14"/>
      <c r="O163" s="14" t="s">
        <v>6740</v>
      </c>
      <c r="P163" s="14" t="str">
        <f>HYPERLINK("https://ceds.ed.gov/cedselementdetails.aspx?termid=17611")</f>
        <v>https://ceds.ed.gov/cedselementdetails.aspx?termid=17611</v>
      </c>
      <c r="Q163" s="14" t="str">
        <f>HYPERLINK("https://ceds.ed.gov/elementComment.aspx?elementName=Personal Information Verification &amp;elementID=17611", "Click here to submit comment")</f>
        <v>Click here to submit comment</v>
      </c>
      <c r="R163" s="14">
        <v>49214</v>
      </c>
    </row>
    <row r="164" spans="1:18" ht="210" x14ac:dyDescent="0.25">
      <c r="A164" s="14" t="s">
        <v>8529</v>
      </c>
      <c r="B164" s="14" t="s">
        <v>8596</v>
      </c>
      <c r="C164" s="14" t="s">
        <v>8547</v>
      </c>
      <c r="D164" s="14" t="s">
        <v>8531</v>
      </c>
      <c r="E164" s="14" t="s">
        <v>219</v>
      </c>
      <c r="F164" s="14" t="s">
        <v>220</v>
      </c>
      <c r="G164" s="8" t="s">
        <v>8602</v>
      </c>
      <c r="H164" s="14" t="s">
        <v>225</v>
      </c>
      <c r="I164" s="14"/>
      <c r="J164" s="14" t="s">
        <v>97</v>
      </c>
      <c r="K164" s="14"/>
      <c r="L164" s="14"/>
      <c r="M164" s="14" t="s">
        <v>223</v>
      </c>
      <c r="N164" s="14"/>
      <c r="O164" s="14" t="s">
        <v>224</v>
      </c>
      <c r="P164" s="14" t="str">
        <f>HYPERLINK("https://ceds.ed.gov/cedselementdetails.aspx?termid=17358")</f>
        <v>https://ceds.ed.gov/cedselementdetails.aspx?termid=17358</v>
      </c>
      <c r="Q164" s="14" t="str">
        <f>HYPERLINK("https://ceds.ed.gov/elementComment.aspx?elementName=Address Type for Learner or Family &amp;elementID=17358", "Click here to submit comment")</f>
        <v>Click here to submit comment</v>
      </c>
      <c r="R164" s="14">
        <v>47659</v>
      </c>
    </row>
    <row r="165" spans="1:18" ht="225" x14ac:dyDescent="0.25">
      <c r="A165" s="14" t="s">
        <v>8529</v>
      </c>
      <c r="B165" s="14" t="s">
        <v>8596</v>
      </c>
      <c r="C165" s="14" t="s">
        <v>8547</v>
      </c>
      <c r="D165" s="14" t="s">
        <v>8531</v>
      </c>
      <c r="E165" s="14" t="s">
        <v>214</v>
      </c>
      <c r="F165" s="14" t="s">
        <v>215</v>
      </c>
      <c r="G165" s="14" t="s">
        <v>37</v>
      </c>
      <c r="H165" s="14" t="s">
        <v>199</v>
      </c>
      <c r="I165" s="14" t="s">
        <v>195</v>
      </c>
      <c r="J165" s="14" t="s">
        <v>216</v>
      </c>
      <c r="K165" s="14" t="s">
        <v>196</v>
      </c>
      <c r="L165" s="14"/>
      <c r="M165" s="14" t="s">
        <v>217</v>
      </c>
      <c r="N165" s="14"/>
      <c r="O165" s="14" t="s">
        <v>218</v>
      </c>
      <c r="P165" s="14" t="str">
        <f>HYPERLINK("https://ceds.ed.gov/cedselementdetails.aspx?termid=17269")</f>
        <v>https://ceds.ed.gov/cedselementdetails.aspx?termid=17269</v>
      </c>
      <c r="Q165" s="14" t="str">
        <f>HYPERLINK("https://ceds.ed.gov/elementComment.aspx?elementName=Address Street Number and Name &amp;elementID=17269", "Click here to submit comment")</f>
        <v>Click here to submit comment</v>
      </c>
      <c r="R165" s="14">
        <v>47634</v>
      </c>
    </row>
    <row r="166" spans="1:18" ht="225" x14ac:dyDescent="0.25">
      <c r="A166" s="14" t="s">
        <v>8529</v>
      </c>
      <c r="B166" s="14" t="s">
        <v>8596</v>
      </c>
      <c r="C166" s="14" t="s">
        <v>8547</v>
      </c>
      <c r="D166" s="14" t="s">
        <v>8531</v>
      </c>
      <c r="E166" s="14" t="s">
        <v>192</v>
      </c>
      <c r="F166" s="14" t="s">
        <v>193</v>
      </c>
      <c r="G166" s="14" t="s">
        <v>37</v>
      </c>
      <c r="H166" s="14" t="s">
        <v>199</v>
      </c>
      <c r="I166" s="14" t="s">
        <v>195</v>
      </c>
      <c r="J166" s="14" t="s">
        <v>175</v>
      </c>
      <c r="K166" s="14" t="s">
        <v>196</v>
      </c>
      <c r="L166" s="14"/>
      <c r="M166" s="14" t="s">
        <v>197</v>
      </c>
      <c r="N166" s="14"/>
      <c r="O166" s="14" t="s">
        <v>198</v>
      </c>
      <c r="P166" s="14" t="str">
        <f>HYPERLINK("https://ceds.ed.gov/cedselementdetails.aspx?termid=17019")</f>
        <v>https://ceds.ed.gov/cedselementdetails.aspx?termid=17019</v>
      </c>
      <c r="Q166" s="14" t="str">
        <f>HYPERLINK("https://ceds.ed.gov/elementComment.aspx?elementName=Address Apartment Room or Suite Number &amp;elementID=17019", "Click here to submit comment")</f>
        <v>Click here to submit comment</v>
      </c>
      <c r="R166" s="14">
        <v>47616</v>
      </c>
    </row>
    <row r="167" spans="1:18" ht="225" x14ac:dyDescent="0.25">
      <c r="A167" s="14" t="s">
        <v>8529</v>
      </c>
      <c r="B167" s="14" t="s">
        <v>8596</v>
      </c>
      <c r="C167" s="14" t="s">
        <v>8547</v>
      </c>
      <c r="D167" s="14" t="s">
        <v>8531</v>
      </c>
      <c r="E167" s="14" t="s">
        <v>200</v>
      </c>
      <c r="F167" s="14" t="s">
        <v>201</v>
      </c>
      <c r="G167" s="14" t="s">
        <v>37</v>
      </c>
      <c r="H167" s="14" t="s">
        <v>199</v>
      </c>
      <c r="I167" s="14"/>
      <c r="J167" s="14" t="s">
        <v>97</v>
      </c>
      <c r="K167" s="14"/>
      <c r="L167" s="14"/>
      <c r="M167" s="14" t="s">
        <v>202</v>
      </c>
      <c r="N167" s="14"/>
      <c r="O167" s="14" t="s">
        <v>203</v>
      </c>
      <c r="P167" s="14" t="str">
        <f>HYPERLINK("https://ceds.ed.gov/cedselementdetails.aspx?termid=17040")</f>
        <v>https://ceds.ed.gov/cedselementdetails.aspx?termid=17040</v>
      </c>
      <c r="Q167" s="14" t="str">
        <f>HYPERLINK("https://ceds.ed.gov/elementComment.aspx?elementName=Address City &amp;elementID=17040", "Click here to submit comment")</f>
        <v>Click here to submit comment</v>
      </c>
      <c r="R167" s="14">
        <v>47618</v>
      </c>
    </row>
    <row r="168" spans="1:18" ht="409.5" x14ac:dyDescent="0.25">
      <c r="A168" s="14" t="s">
        <v>8529</v>
      </c>
      <c r="B168" s="14" t="s">
        <v>8596</v>
      </c>
      <c r="C168" s="14" t="s">
        <v>8547</v>
      </c>
      <c r="D168" s="14" t="s">
        <v>8531</v>
      </c>
      <c r="E168" s="14" t="s">
        <v>7960</v>
      </c>
      <c r="F168" s="14" t="s">
        <v>7961</v>
      </c>
      <c r="G168" s="8" t="s">
        <v>8540</v>
      </c>
      <c r="H168" s="14" t="s">
        <v>7964</v>
      </c>
      <c r="I168" s="14"/>
      <c r="J168" s="14"/>
      <c r="K168" s="14"/>
      <c r="L168" s="14"/>
      <c r="M168" s="14" t="s">
        <v>7962</v>
      </c>
      <c r="N168" s="14"/>
      <c r="O168" s="14" t="s">
        <v>7963</v>
      </c>
      <c r="P168" s="14" t="str">
        <f>HYPERLINK("https://ceds.ed.gov/cedselementdetails.aspx?termid=17267")</f>
        <v>https://ceds.ed.gov/cedselementdetails.aspx?termid=17267</v>
      </c>
      <c r="Q168" s="14" t="str">
        <f>HYPERLINK("https://ceds.ed.gov/elementComment.aspx?elementName=State Abbreviation &amp;elementID=17267", "Click here to submit comment")</f>
        <v>Click here to submit comment</v>
      </c>
      <c r="R168" s="14">
        <v>47633</v>
      </c>
    </row>
    <row r="169" spans="1:18" ht="225" x14ac:dyDescent="0.25">
      <c r="A169" s="14" t="s">
        <v>8529</v>
      </c>
      <c r="B169" s="14" t="s">
        <v>8596</v>
      </c>
      <c r="C169" s="14" t="s">
        <v>8547</v>
      </c>
      <c r="D169" s="14" t="s">
        <v>8531</v>
      </c>
      <c r="E169" s="14" t="s">
        <v>209</v>
      </c>
      <c r="F169" s="14" t="s">
        <v>210</v>
      </c>
      <c r="G169" s="14" t="s">
        <v>37</v>
      </c>
      <c r="H169" s="14" t="s">
        <v>199</v>
      </c>
      <c r="I169" s="14"/>
      <c r="J169" s="14" t="s">
        <v>211</v>
      </c>
      <c r="K169" s="14"/>
      <c r="L169" s="14"/>
      <c r="M169" s="14" t="s">
        <v>212</v>
      </c>
      <c r="N169" s="14"/>
      <c r="O169" s="14" t="s">
        <v>213</v>
      </c>
      <c r="P169" s="14" t="str">
        <f>HYPERLINK("https://ceds.ed.gov/cedselementdetails.aspx?termid=17214")</f>
        <v>https://ceds.ed.gov/cedselementdetails.aspx?termid=17214</v>
      </c>
      <c r="Q169" s="14" t="str">
        <f>HYPERLINK("https://ceds.ed.gov/elementComment.aspx?elementName=Address Postal Code &amp;elementID=17214", "Click here to submit comment")</f>
        <v>Click here to submit comment</v>
      </c>
      <c r="R169" s="14">
        <v>47630</v>
      </c>
    </row>
    <row r="170" spans="1:18" ht="225" x14ac:dyDescent="0.25">
      <c r="A170" s="14" t="s">
        <v>8529</v>
      </c>
      <c r="B170" s="14" t="s">
        <v>8596</v>
      </c>
      <c r="C170" s="14" t="s">
        <v>8547</v>
      </c>
      <c r="D170" s="14" t="s">
        <v>8531</v>
      </c>
      <c r="E170" s="14" t="s">
        <v>204</v>
      </c>
      <c r="F170" s="14" t="s">
        <v>205</v>
      </c>
      <c r="G170" s="14" t="s">
        <v>37</v>
      </c>
      <c r="H170" s="14" t="s">
        <v>199</v>
      </c>
      <c r="I170" s="14"/>
      <c r="J170" s="14" t="s">
        <v>97</v>
      </c>
      <c r="K170" s="14"/>
      <c r="L170" s="14"/>
      <c r="M170" s="14" t="s">
        <v>207</v>
      </c>
      <c r="N170" s="14"/>
      <c r="O170" s="14" t="s">
        <v>208</v>
      </c>
      <c r="P170" s="14" t="str">
        <f>HYPERLINK("https://ceds.ed.gov/cedselementdetails.aspx?termid=17190")</f>
        <v>https://ceds.ed.gov/cedselementdetails.aspx?termid=17190</v>
      </c>
      <c r="Q170" s="14" t="str">
        <f>HYPERLINK("https://ceds.ed.gov/elementComment.aspx?elementName=Address County Name &amp;elementID=17190", "Click here to submit comment")</f>
        <v>Click here to submit comment</v>
      </c>
      <c r="R170" s="14">
        <v>47628</v>
      </c>
    </row>
    <row r="171" spans="1:18" ht="409.5" x14ac:dyDescent="0.25">
      <c r="A171" s="14" t="s">
        <v>8529</v>
      </c>
      <c r="B171" s="14" t="s">
        <v>8596</v>
      </c>
      <c r="C171" s="14" t="s">
        <v>8547</v>
      </c>
      <c r="D171" s="14" t="s">
        <v>8531</v>
      </c>
      <c r="E171" s="14" t="s">
        <v>2845</v>
      </c>
      <c r="F171" s="14" t="s">
        <v>2846</v>
      </c>
      <c r="G171" s="8" t="s">
        <v>8548</v>
      </c>
      <c r="H171" s="14" t="s">
        <v>2852</v>
      </c>
      <c r="I171" s="14"/>
      <c r="J171" s="14"/>
      <c r="K171" s="14"/>
      <c r="L171" s="6" t="s">
        <v>2849</v>
      </c>
      <c r="M171" s="14" t="s">
        <v>2850</v>
      </c>
      <c r="N171" s="14"/>
      <c r="O171" s="14" t="s">
        <v>2851</v>
      </c>
      <c r="P171" s="14" t="str">
        <f>HYPERLINK("https://ceds.ed.gov/cedselementdetails.aspx?termid=17050")</f>
        <v>https://ceds.ed.gov/cedselementdetails.aspx?termid=17050</v>
      </c>
      <c r="Q171" s="14" t="str">
        <f>HYPERLINK("https://ceds.ed.gov/elementComment.aspx?elementName=Country Code &amp;elementID=17050", "Click here to submit comment")</f>
        <v>Click here to submit comment</v>
      </c>
      <c r="R171" s="14">
        <v>47619</v>
      </c>
    </row>
    <row r="172" spans="1:18" ht="75" x14ac:dyDescent="0.25">
      <c r="A172" s="14" t="s">
        <v>8529</v>
      </c>
      <c r="B172" s="14" t="s">
        <v>8596</v>
      </c>
      <c r="C172" s="14" t="s">
        <v>8547</v>
      </c>
      <c r="D172" s="14" t="s">
        <v>8531</v>
      </c>
      <c r="E172" s="14" t="s">
        <v>5736</v>
      </c>
      <c r="F172" s="14" t="s">
        <v>5737</v>
      </c>
      <c r="G172" s="14" t="s">
        <v>37</v>
      </c>
      <c r="H172" s="14"/>
      <c r="I172" s="14"/>
      <c r="J172" s="14" t="s">
        <v>1307</v>
      </c>
      <c r="K172" s="14"/>
      <c r="L172" s="14"/>
      <c r="M172" s="14" t="s">
        <v>5739</v>
      </c>
      <c r="N172" s="14"/>
      <c r="O172" s="14" t="s">
        <v>5736</v>
      </c>
      <c r="P172" s="14" t="str">
        <f>HYPERLINK("https://ceds.ed.gov/cedselementdetails.aspx?termid=17599")</f>
        <v>https://ceds.ed.gov/cedselementdetails.aspx?termid=17599</v>
      </c>
      <c r="Q172" s="14" t="str">
        <f>HYPERLINK("https://ceds.ed.gov/elementComment.aspx?elementName=Latitude &amp;elementID=17599", "Click here to submit comment")</f>
        <v>Click here to submit comment</v>
      </c>
      <c r="R172" s="14">
        <v>51255</v>
      </c>
    </row>
    <row r="173" spans="1:18" ht="75" x14ac:dyDescent="0.25">
      <c r="A173" s="14" t="s">
        <v>8529</v>
      </c>
      <c r="B173" s="14" t="s">
        <v>8596</v>
      </c>
      <c r="C173" s="14" t="s">
        <v>8547</v>
      </c>
      <c r="D173" s="14" t="s">
        <v>8531</v>
      </c>
      <c r="E173" s="14" t="s">
        <v>6174</v>
      </c>
      <c r="F173" s="14" t="s">
        <v>6175</v>
      </c>
      <c r="G173" s="14" t="s">
        <v>37</v>
      </c>
      <c r="H173" s="14"/>
      <c r="I173" s="14"/>
      <c r="J173" s="14" t="s">
        <v>1307</v>
      </c>
      <c r="K173" s="14"/>
      <c r="L173" s="14"/>
      <c r="M173" s="14" t="s">
        <v>6176</v>
      </c>
      <c r="N173" s="14"/>
      <c r="O173" s="14" t="s">
        <v>6174</v>
      </c>
      <c r="P173" s="14" t="str">
        <f>HYPERLINK("https://ceds.ed.gov/cedselementdetails.aspx?termid=17600")</f>
        <v>https://ceds.ed.gov/cedselementdetails.aspx?termid=17600</v>
      </c>
      <c r="Q173" s="14" t="str">
        <f>HYPERLINK("https://ceds.ed.gov/elementComment.aspx?elementName=Longitude &amp;elementID=17600", "Click here to submit comment")</f>
        <v>Click here to submit comment</v>
      </c>
      <c r="R173" s="14">
        <v>51278</v>
      </c>
    </row>
    <row r="174" spans="1:18" ht="195" x14ac:dyDescent="0.25">
      <c r="A174" s="14" t="s">
        <v>8529</v>
      </c>
      <c r="B174" s="14" t="s">
        <v>8596</v>
      </c>
      <c r="C174" s="14" t="s">
        <v>8547</v>
      </c>
      <c r="D174" s="14" t="s">
        <v>8541</v>
      </c>
      <c r="E174" s="14" t="s">
        <v>2860</v>
      </c>
      <c r="F174" s="14" t="s">
        <v>2861</v>
      </c>
      <c r="G174" s="14" t="s">
        <v>37</v>
      </c>
      <c r="H174" s="14"/>
      <c r="I174" s="14" t="s">
        <v>195</v>
      </c>
      <c r="J174" s="14" t="s">
        <v>2863</v>
      </c>
      <c r="K174" s="14" t="s">
        <v>2864</v>
      </c>
      <c r="L174" s="14"/>
      <c r="M174" s="14" t="s">
        <v>2865</v>
      </c>
      <c r="N174" s="14"/>
      <c r="O174" s="14" t="s">
        <v>2866</v>
      </c>
      <c r="P174" s="14" t="str">
        <f>HYPERLINK("https://ceds.ed.gov/cedselementdetails.aspx?termid=18176")</f>
        <v>https://ceds.ed.gov/cedselementdetails.aspx?termid=18176</v>
      </c>
      <c r="Q174" s="14" t="str">
        <f>HYPERLINK("https://ceds.ed.gov/elementComment.aspx?elementName=County ANSI Code &amp;elementID=18176", "Click here to submit comment")</f>
        <v>Click here to submit comment</v>
      </c>
      <c r="R174" s="14">
        <v>52262</v>
      </c>
    </row>
    <row r="175" spans="1:18" ht="60" x14ac:dyDescent="0.25">
      <c r="A175" s="14" t="s">
        <v>8529</v>
      </c>
      <c r="B175" s="14" t="s">
        <v>8596</v>
      </c>
      <c r="C175" s="14" t="s">
        <v>8547</v>
      </c>
      <c r="D175" s="14" t="s">
        <v>8541</v>
      </c>
      <c r="E175" s="14" t="s">
        <v>3651</v>
      </c>
      <c r="F175" s="14" t="s">
        <v>3652</v>
      </c>
      <c r="G175" s="14" t="s">
        <v>3430</v>
      </c>
      <c r="H175" s="14"/>
      <c r="I175" s="14" t="s">
        <v>188</v>
      </c>
      <c r="J175" s="14"/>
      <c r="K175" s="14" t="s">
        <v>1721</v>
      </c>
      <c r="L175" s="14"/>
      <c r="M175" s="14" t="s">
        <v>3654</v>
      </c>
      <c r="N175" s="14"/>
      <c r="O175" s="14" t="s">
        <v>3655</v>
      </c>
      <c r="P175" s="14" t="str">
        <f>HYPERLINK("https://ceds.ed.gov/cedselementdetails.aspx?termid=18905")</f>
        <v>https://ceds.ed.gov/cedselementdetails.aspx?termid=18905</v>
      </c>
      <c r="Q175" s="14" t="str">
        <f>HYPERLINK("https://ceds.ed.gov/elementComment.aspx?elementName=Do Not Publish Indicator &amp;elementID=18905", "Click here to submit comment")</f>
        <v>Click here to submit comment</v>
      </c>
      <c r="R175" s="14">
        <v>52263</v>
      </c>
    </row>
    <row r="176" spans="1:18" ht="90" x14ac:dyDescent="0.25">
      <c r="A176" s="14" t="s">
        <v>8529</v>
      </c>
      <c r="B176" s="14" t="s">
        <v>8596</v>
      </c>
      <c r="C176" s="14" t="s">
        <v>8549</v>
      </c>
      <c r="D176" s="14" t="s">
        <v>8531</v>
      </c>
      <c r="E176" s="14" t="s">
        <v>8217</v>
      </c>
      <c r="F176" s="14" t="s">
        <v>8218</v>
      </c>
      <c r="G176" s="14" t="s">
        <v>37</v>
      </c>
      <c r="H176" s="14" t="s">
        <v>72</v>
      </c>
      <c r="I176" s="14"/>
      <c r="J176" s="14" t="s">
        <v>8220</v>
      </c>
      <c r="K176" s="14"/>
      <c r="L176" s="14"/>
      <c r="M176" s="14" t="s">
        <v>8221</v>
      </c>
      <c r="N176" s="14"/>
      <c r="O176" s="14" t="s">
        <v>8222</v>
      </c>
      <c r="P176" s="14" t="str">
        <f>HYPERLINK("https://ceds.ed.gov/cedselementdetails.aspx?termid=17279")</f>
        <v>https://ceds.ed.gov/cedselementdetails.aspx?termid=17279</v>
      </c>
      <c r="Q176" s="14" t="str">
        <f>HYPERLINK("https://ceds.ed.gov/elementComment.aspx?elementName=Telephone Number &amp;elementID=17279", "Click here to submit comment")</f>
        <v>Click here to submit comment</v>
      </c>
      <c r="R176" s="14">
        <v>48966</v>
      </c>
    </row>
    <row r="177" spans="1:18" ht="90" x14ac:dyDescent="0.25">
      <c r="A177" s="14" t="s">
        <v>8529</v>
      </c>
      <c r="B177" s="14" t="s">
        <v>8596</v>
      </c>
      <c r="C177" s="14" t="s">
        <v>8549</v>
      </c>
      <c r="D177" s="14" t="s">
        <v>8531</v>
      </c>
      <c r="E177" s="14" t="s">
        <v>8229</v>
      </c>
      <c r="F177" s="14" t="s">
        <v>8230</v>
      </c>
      <c r="G177" s="8" t="s">
        <v>8550</v>
      </c>
      <c r="H177" s="14" t="s">
        <v>72</v>
      </c>
      <c r="I177" s="14"/>
      <c r="J177" s="14" t="s">
        <v>2870</v>
      </c>
      <c r="K177" s="14"/>
      <c r="L177" s="14"/>
      <c r="M177" s="14" t="s">
        <v>8233</v>
      </c>
      <c r="N177" s="14"/>
      <c r="O177" s="14" t="s">
        <v>8234</v>
      </c>
      <c r="P177" s="14" t="str">
        <f>HYPERLINK("https://ceds.ed.gov/cedselementdetails.aspx?termid=17280")</f>
        <v>https://ceds.ed.gov/cedselementdetails.aspx?termid=17280</v>
      </c>
      <c r="Q177" s="14" t="str">
        <f>HYPERLINK("https://ceds.ed.gov/elementComment.aspx?elementName=Telephone Number Type &amp;elementID=17280", "Click here to submit comment")</f>
        <v>Click here to submit comment</v>
      </c>
      <c r="R177" s="14">
        <v>49210</v>
      </c>
    </row>
    <row r="178" spans="1:18" ht="90" x14ac:dyDescent="0.25">
      <c r="A178" s="14" t="s">
        <v>8529</v>
      </c>
      <c r="B178" s="14" t="s">
        <v>8596</v>
      </c>
      <c r="C178" s="14" t="s">
        <v>8549</v>
      </c>
      <c r="D178" s="14" t="s">
        <v>8531</v>
      </c>
      <c r="E178" s="14" t="s">
        <v>6865</v>
      </c>
      <c r="F178" s="14" t="s">
        <v>6866</v>
      </c>
      <c r="G178" s="14" t="s">
        <v>24</v>
      </c>
      <c r="H178" s="14" t="s">
        <v>72</v>
      </c>
      <c r="I178" s="14"/>
      <c r="J178" s="14"/>
      <c r="K178" s="14"/>
      <c r="L178" s="14"/>
      <c r="M178" s="14" t="s">
        <v>6868</v>
      </c>
      <c r="N178" s="14"/>
      <c r="O178" s="14" t="s">
        <v>6869</v>
      </c>
      <c r="P178" s="14" t="str">
        <f>HYPERLINK("https://ceds.ed.gov/cedselementdetails.aspx?termid=17219")</f>
        <v>https://ceds.ed.gov/cedselementdetails.aspx?termid=17219</v>
      </c>
      <c r="Q178" s="14" t="str">
        <f>HYPERLINK("https://ceds.ed.gov/elementComment.aspx?elementName=Primary Telephone Number Indicator &amp;elementID=17219", "Click here to submit comment")</f>
        <v>Click here to submit comment</v>
      </c>
      <c r="R178" s="14">
        <v>49211</v>
      </c>
    </row>
    <row r="179" spans="1:18" ht="60" x14ac:dyDescent="0.25">
      <c r="A179" s="14" t="s">
        <v>8529</v>
      </c>
      <c r="B179" s="14" t="s">
        <v>8596</v>
      </c>
      <c r="C179" s="14" t="s">
        <v>8549</v>
      </c>
      <c r="D179" s="14" t="s">
        <v>8541</v>
      </c>
      <c r="E179" s="14" t="s">
        <v>3651</v>
      </c>
      <c r="F179" s="14" t="s">
        <v>3652</v>
      </c>
      <c r="G179" s="14" t="s">
        <v>3430</v>
      </c>
      <c r="H179" s="14"/>
      <c r="I179" s="14" t="s">
        <v>188</v>
      </c>
      <c r="J179" s="14"/>
      <c r="K179" s="14" t="s">
        <v>1721</v>
      </c>
      <c r="L179" s="14"/>
      <c r="M179" s="14" t="s">
        <v>3654</v>
      </c>
      <c r="N179" s="14"/>
      <c r="O179" s="14" t="s">
        <v>3655</v>
      </c>
      <c r="P179" s="14" t="str">
        <f>HYPERLINK("https://ceds.ed.gov/cedselementdetails.aspx?termid=18905")</f>
        <v>https://ceds.ed.gov/cedselementdetails.aspx?termid=18905</v>
      </c>
      <c r="Q179" s="14" t="str">
        <f>HYPERLINK("https://ceds.ed.gov/elementComment.aspx?elementName=Do Not Publish Indicator &amp;elementID=18905", "Click here to submit comment")</f>
        <v>Click here to submit comment</v>
      </c>
      <c r="R179" s="14">
        <v>52264</v>
      </c>
    </row>
    <row r="180" spans="1:18" ht="60" x14ac:dyDescent="0.25">
      <c r="A180" s="14" t="s">
        <v>8529</v>
      </c>
      <c r="B180" s="14" t="s">
        <v>8596</v>
      </c>
      <c r="C180" s="14" t="s">
        <v>8549</v>
      </c>
      <c r="D180" s="14" t="s">
        <v>8541</v>
      </c>
      <c r="E180" s="14" t="s">
        <v>8223</v>
      </c>
      <c r="F180" s="14" t="s">
        <v>8224</v>
      </c>
      <c r="G180" s="8" t="s">
        <v>8544</v>
      </c>
      <c r="H180" s="14"/>
      <c r="I180" s="14" t="s">
        <v>188</v>
      </c>
      <c r="J180" s="14"/>
      <c r="K180" s="14" t="s">
        <v>1721</v>
      </c>
      <c r="L180" s="14"/>
      <c r="M180" s="14" t="s">
        <v>8227</v>
      </c>
      <c r="N180" s="14"/>
      <c r="O180" s="14" t="s">
        <v>8228</v>
      </c>
      <c r="P180" s="14" t="str">
        <f>HYPERLINK("https://ceds.ed.gov/cedselementdetails.aspx?termid=18911")</f>
        <v>https://ceds.ed.gov/cedselementdetails.aspx?termid=18911</v>
      </c>
      <c r="Q180" s="14" t="str">
        <f>HYPERLINK("https://ceds.ed.gov/elementComment.aspx?elementName=Telephone Number Listed Status &amp;elementID=18911", "Click here to submit comment")</f>
        <v>Click here to submit comment</v>
      </c>
      <c r="R180" s="14">
        <v>52265</v>
      </c>
    </row>
    <row r="181" spans="1:18" ht="240" x14ac:dyDescent="0.25">
      <c r="A181" s="14" t="s">
        <v>8529</v>
      </c>
      <c r="B181" s="14" t="s">
        <v>8596</v>
      </c>
      <c r="C181" s="14" t="s">
        <v>8603</v>
      </c>
      <c r="D181" s="14" t="s">
        <v>8531</v>
      </c>
      <c r="E181" s="14" t="s">
        <v>1741</v>
      </c>
      <c r="F181" s="14" t="s">
        <v>1742</v>
      </c>
      <c r="G181" s="14" t="s">
        <v>37</v>
      </c>
      <c r="H181" s="14" t="s">
        <v>1745</v>
      </c>
      <c r="I181" s="14"/>
      <c r="J181" s="14" t="s">
        <v>135</v>
      </c>
      <c r="K181" s="14"/>
      <c r="L181" s="14"/>
      <c r="M181" s="14" t="s">
        <v>1744</v>
      </c>
      <c r="N181" s="14"/>
      <c r="O181" s="14" t="s">
        <v>1741</v>
      </c>
      <c r="P181" s="14" t="str">
        <f>HYPERLINK("https://ceds.ed.gov/cedselementdetails.aspx?termid=17033")</f>
        <v>https://ceds.ed.gov/cedselementdetails.aspx?termid=17033</v>
      </c>
      <c r="Q181" s="14" t="str">
        <f>HYPERLINK("https://ceds.ed.gov/elementComment.aspx?elementName=Birthdate &amp;elementID=17033", "Click here to submit comment")</f>
        <v>Click here to submit comment</v>
      </c>
      <c r="R181" s="14">
        <v>47617</v>
      </c>
    </row>
    <row r="182" spans="1:18" ht="255" x14ac:dyDescent="0.25">
      <c r="A182" s="14" t="s">
        <v>8529</v>
      </c>
      <c r="B182" s="14" t="s">
        <v>8596</v>
      </c>
      <c r="C182" s="14" t="s">
        <v>8603</v>
      </c>
      <c r="D182" s="14" t="s">
        <v>8531</v>
      </c>
      <c r="E182" s="14" t="s">
        <v>7756</v>
      </c>
      <c r="F182" s="14" t="s">
        <v>7757</v>
      </c>
      <c r="G182" s="8" t="s">
        <v>8604</v>
      </c>
      <c r="H182" s="14" t="s">
        <v>7761</v>
      </c>
      <c r="I182" s="14"/>
      <c r="J182" s="14"/>
      <c r="K182" s="14"/>
      <c r="L182" s="14" t="s">
        <v>7759</v>
      </c>
      <c r="M182" s="14" t="s">
        <v>7760</v>
      </c>
      <c r="N182" s="14"/>
      <c r="O182" s="14" t="s">
        <v>7756</v>
      </c>
      <c r="P182" s="14" t="str">
        <f>HYPERLINK("https://ceds.ed.gov/cedselementdetails.aspx?termid=17255")</f>
        <v>https://ceds.ed.gov/cedselementdetails.aspx?termid=17255</v>
      </c>
      <c r="Q182" s="14" t="str">
        <f>HYPERLINK("https://ceds.ed.gov/elementComment.aspx?elementName=Sex &amp;elementID=17255", "Click here to submit comment")</f>
        <v>Click here to submit comment</v>
      </c>
      <c r="R182" s="14">
        <v>47632</v>
      </c>
    </row>
    <row r="183" spans="1:18" ht="30" x14ac:dyDescent="0.25">
      <c r="A183" s="16" t="s">
        <v>8529</v>
      </c>
      <c r="B183" s="16" t="s">
        <v>8596</v>
      </c>
      <c r="C183" s="16" t="s">
        <v>8603</v>
      </c>
      <c r="D183" s="16" t="s">
        <v>8531</v>
      </c>
      <c r="E183" s="16" t="s">
        <v>418</v>
      </c>
      <c r="F183" s="16" t="s">
        <v>419</v>
      </c>
      <c r="G183" s="18" t="s">
        <v>8605</v>
      </c>
      <c r="H183" s="16" t="s">
        <v>426</v>
      </c>
      <c r="I183" s="16"/>
      <c r="J183" s="16"/>
      <c r="K183" s="16"/>
      <c r="L183" s="14" t="s">
        <v>422</v>
      </c>
      <c r="M183" s="16" t="s">
        <v>423</v>
      </c>
      <c r="N183" s="16" t="s">
        <v>424</v>
      </c>
      <c r="O183" s="16" t="s">
        <v>425</v>
      </c>
      <c r="P183" s="16" t="str">
        <f>HYPERLINK("https://ceds.ed.gov/cedselementdetails.aspx?termid=17655")</f>
        <v>https://ceds.ed.gov/cedselementdetails.aspx?termid=17655</v>
      </c>
      <c r="Q183" s="16" t="str">
        <f>HYPERLINK("https://ceds.ed.gov/elementComment.aspx?elementName=American Indian or Alaska Native &amp;elementID=17655", "Click here to submit comment")</f>
        <v>Click here to submit comment</v>
      </c>
      <c r="R183" s="16">
        <v>47663</v>
      </c>
    </row>
    <row r="184" spans="1:18" x14ac:dyDescent="0.25">
      <c r="A184" s="16"/>
      <c r="B184" s="16"/>
      <c r="C184" s="16"/>
      <c r="D184" s="16"/>
      <c r="E184" s="16"/>
      <c r="F184" s="16"/>
      <c r="G184" s="16"/>
      <c r="H184" s="16"/>
      <c r="I184" s="16"/>
      <c r="J184" s="16"/>
      <c r="K184" s="16"/>
      <c r="L184" s="14"/>
      <c r="M184" s="16"/>
      <c r="N184" s="16"/>
      <c r="O184" s="16"/>
      <c r="P184" s="16"/>
      <c r="Q184" s="16"/>
      <c r="R184" s="16"/>
    </row>
    <row r="185" spans="1:18" x14ac:dyDescent="0.25">
      <c r="A185" s="16"/>
      <c r="B185" s="16"/>
      <c r="C185" s="16"/>
      <c r="D185" s="16"/>
      <c r="E185" s="16"/>
      <c r="F185" s="16"/>
      <c r="G185" s="16"/>
      <c r="H185" s="16"/>
      <c r="I185" s="16"/>
      <c r="J185" s="16"/>
      <c r="K185" s="16"/>
      <c r="L185" s="14" t="s">
        <v>427</v>
      </c>
      <c r="M185" s="16"/>
      <c r="N185" s="16"/>
      <c r="O185" s="16"/>
      <c r="P185" s="16"/>
      <c r="Q185" s="16"/>
      <c r="R185" s="16"/>
    </row>
    <row r="186" spans="1:18" ht="30" x14ac:dyDescent="0.25">
      <c r="A186" s="16"/>
      <c r="B186" s="16"/>
      <c r="C186" s="16"/>
      <c r="D186" s="16"/>
      <c r="E186" s="16"/>
      <c r="F186" s="16"/>
      <c r="G186" s="16"/>
      <c r="H186" s="16"/>
      <c r="I186" s="16"/>
      <c r="J186" s="16"/>
      <c r="K186" s="16"/>
      <c r="L186" s="14" t="s">
        <v>428</v>
      </c>
      <c r="M186" s="16"/>
      <c r="N186" s="16"/>
      <c r="O186" s="16"/>
      <c r="P186" s="16"/>
      <c r="Q186" s="16"/>
      <c r="R186" s="16"/>
    </row>
    <row r="187" spans="1:18" x14ac:dyDescent="0.25">
      <c r="A187" s="16"/>
      <c r="B187" s="16"/>
      <c r="C187" s="16"/>
      <c r="D187" s="16"/>
      <c r="E187" s="16"/>
      <c r="F187" s="16"/>
      <c r="G187" s="16"/>
      <c r="H187" s="16"/>
      <c r="I187" s="16"/>
      <c r="J187" s="16"/>
      <c r="K187" s="16"/>
      <c r="L187" s="14" t="s">
        <v>429</v>
      </c>
      <c r="M187" s="16"/>
      <c r="N187" s="16"/>
      <c r="O187" s="16"/>
      <c r="P187" s="16"/>
      <c r="Q187" s="16"/>
      <c r="R187" s="16"/>
    </row>
    <row r="188" spans="1:18" ht="30" x14ac:dyDescent="0.25">
      <c r="A188" s="16" t="s">
        <v>8529</v>
      </c>
      <c r="B188" s="16" t="s">
        <v>8596</v>
      </c>
      <c r="C188" s="16" t="s">
        <v>8603</v>
      </c>
      <c r="D188" s="16" t="s">
        <v>8531</v>
      </c>
      <c r="E188" s="16" t="s">
        <v>468</v>
      </c>
      <c r="F188" s="16" t="s">
        <v>469</v>
      </c>
      <c r="G188" s="18" t="s">
        <v>8605</v>
      </c>
      <c r="H188" s="16" t="s">
        <v>426</v>
      </c>
      <c r="I188" s="16"/>
      <c r="J188" s="16"/>
      <c r="K188" s="16"/>
      <c r="L188" s="14" t="s">
        <v>422</v>
      </c>
      <c r="M188" s="16" t="s">
        <v>470</v>
      </c>
      <c r="N188" s="16" t="s">
        <v>471</v>
      </c>
      <c r="O188" s="16" t="s">
        <v>468</v>
      </c>
      <c r="P188" s="16" t="str">
        <f>HYPERLINK("https://ceds.ed.gov/cedselementdetails.aspx?termid=17656")</f>
        <v>https://ceds.ed.gov/cedselementdetails.aspx?termid=17656</v>
      </c>
      <c r="Q188" s="16" t="str">
        <f>HYPERLINK("https://ceds.ed.gov/elementComment.aspx?elementName=Asian &amp;elementID=17656", "Click here to submit comment")</f>
        <v>Click here to submit comment</v>
      </c>
      <c r="R188" s="16">
        <v>47664</v>
      </c>
    </row>
    <row r="189" spans="1:18" x14ac:dyDescent="0.25">
      <c r="A189" s="16"/>
      <c r="B189" s="16"/>
      <c r="C189" s="16"/>
      <c r="D189" s="16"/>
      <c r="E189" s="16"/>
      <c r="F189" s="16"/>
      <c r="G189" s="16"/>
      <c r="H189" s="16"/>
      <c r="I189" s="16"/>
      <c r="J189" s="16"/>
      <c r="K189" s="16"/>
      <c r="L189" s="14"/>
      <c r="M189" s="16"/>
      <c r="N189" s="16"/>
      <c r="O189" s="16"/>
      <c r="P189" s="16"/>
      <c r="Q189" s="16"/>
      <c r="R189" s="16"/>
    </row>
    <row r="190" spans="1:18" x14ac:dyDescent="0.25">
      <c r="A190" s="16"/>
      <c r="B190" s="16"/>
      <c r="C190" s="16"/>
      <c r="D190" s="16"/>
      <c r="E190" s="16"/>
      <c r="F190" s="16"/>
      <c r="G190" s="16"/>
      <c r="H190" s="16"/>
      <c r="I190" s="16"/>
      <c r="J190" s="16"/>
      <c r="K190" s="16"/>
      <c r="L190" s="14" t="s">
        <v>427</v>
      </c>
      <c r="M190" s="16"/>
      <c r="N190" s="16"/>
      <c r="O190" s="16"/>
      <c r="P190" s="16"/>
      <c r="Q190" s="16"/>
      <c r="R190" s="16"/>
    </row>
    <row r="191" spans="1:18" ht="30" x14ac:dyDescent="0.25">
      <c r="A191" s="16"/>
      <c r="B191" s="16"/>
      <c r="C191" s="16"/>
      <c r="D191" s="16"/>
      <c r="E191" s="16"/>
      <c r="F191" s="16"/>
      <c r="G191" s="16"/>
      <c r="H191" s="16"/>
      <c r="I191" s="16"/>
      <c r="J191" s="16"/>
      <c r="K191" s="16"/>
      <c r="L191" s="14" t="s">
        <v>428</v>
      </c>
      <c r="M191" s="16"/>
      <c r="N191" s="16"/>
      <c r="O191" s="16"/>
      <c r="P191" s="16"/>
      <c r="Q191" s="16"/>
      <c r="R191" s="16"/>
    </row>
    <row r="192" spans="1:18" x14ac:dyDescent="0.25">
      <c r="A192" s="16"/>
      <c r="B192" s="16"/>
      <c r="C192" s="16"/>
      <c r="D192" s="16"/>
      <c r="E192" s="16"/>
      <c r="F192" s="16"/>
      <c r="G192" s="16"/>
      <c r="H192" s="16"/>
      <c r="I192" s="16"/>
      <c r="J192" s="16"/>
      <c r="K192" s="16"/>
      <c r="L192" s="14" t="s">
        <v>429</v>
      </c>
      <c r="M192" s="16"/>
      <c r="N192" s="16"/>
      <c r="O192" s="16"/>
      <c r="P192" s="16"/>
      <c r="Q192" s="16"/>
      <c r="R192" s="16"/>
    </row>
    <row r="193" spans="1:18" ht="30" x14ac:dyDescent="0.25">
      <c r="A193" s="16" t="s">
        <v>8529</v>
      </c>
      <c r="B193" s="16" t="s">
        <v>8596</v>
      </c>
      <c r="C193" s="16" t="s">
        <v>8603</v>
      </c>
      <c r="D193" s="16" t="s">
        <v>8531</v>
      </c>
      <c r="E193" s="16" t="s">
        <v>1752</v>
      </c>
      <c r="F193" s="16" t="s">
        <v>1753</v>
      </c>
      <c r="G193" s="18" t="s">
        <v>8605</v>
      </c>
      <c r="H193" s="16" t="s">
        <v>426</v>
      </c>
      <c r="I193" s="16"/>
      <c r="J193" s="16"/>
      <c r="K193" s="16"/>
      <c r="L193" s="14" t="s">
        <v>422</v>
      </c>
      <c r="M193" s="16" t="s">
        <v>1754</v>
      </c>
      <c r="N193" s="16" t="s">
        <v>1755</v>
      </c>
      <c r="O193" s="16" t="s">
        <v>1756</v>
      </c>
      <c r="P193" s="16" t="str">
        <f>HYPERLINK("https://ceds.ed.gov/cedselementdetails.aspx?termid=17657")</f>
        <v>https://ceds.ed.gov/cedselementdetails.aspx?termid=17657</v>
      </c>
      <c r="Q193" s="16" t="str">
        <f>HYPERLINK("https://ceds.ed.gov/elementComment.aspx?elementName=Black or African American &amp;elementID=17657", "Click here to submit comment")</f>
        <v>Click here to submit comment</v>
      </c>
      <c r="R193" s="16">
        <v>47665</v>
      </c>
    </row>
    <row r="194" spans="1:18" x14ac:dyDescent="0.25">
      <c r="A194" s="16"/>
      <c r="B194" s="16"/>
      <c r="C194" s="16"/>
      <c r="D194" s="16"/>
      <c r="E194" s="16"/>
      <c r="F194" s="16"/>
      <c r="G194" s="16"/>
      <c r="H194" s="16"/>
      <c r="I194" s="16"/>
      <c r="J194" s="16"/>
      <c r="K194" s="16"/>
      <c r="L194" s="14"/>
      <c r="M194" s="16"/>
      <c r="N194" s="16"/>
      <c r="O194" s="16"/>
      <c r="P194" s="16"/>
      <c r="Q194" s="16"/>
      <c r="R194" s="16"/>
    </row>
    <row r="195" spans="1:18" x14ac:dyDescent="0.25">
      <c r="A195" s="16"/>
      <c r="B195" s="16"/>
      <c r="C195" s="16"/>
      <c r="D195" s="16"/>
      <c r="E195" s="16"/>
      <c r="F195" s="16"/>
      <c r="G195" s="16"/>
      <c r="H195" s="16"/>
      <c r="I195" s="16"/>
      <c r="J195" s="16"/>
      <c r="K195" s="16"/>
      <c r="L195" s="14" t="s">
        <v>427</v>
      </c>
      <c r="M195" s="16"/>
      <c r="N195" s="16"/>
      <c r="O195" s="16"/>
      <c r="P195" s="16"/>
      <c r="Q195" s="16"/>
      <c r="R195" s="16"/>
    </row>
    <row r="196" spans="1:18" ht="30" x14ac:dyDescent="0.25">
      <c r="A196" s="16"/>
      <c r="B196" s="16"/>
      <c r="C196" s="16"/>
      <c r="D196" s="16"/>
      <c r="E196" s="16"/>
      <c r="F196" s="16"/>
      <c r="G196" s="16"/>
      <c r="H196" s="16"/>
      <c r="I196" s="16"/>
      <c r="J196" s="16"/>
      <c r="K196" s="16"/>
      <c r="L196" s="14" t="s">
        <v>428</v>
      </c>
      <c r="M196" s="16"/>
      <c r="N196" s="16"/>
      <c r="O196" s="16"/>
      <c r="P196" s="16"/>
      <c r="Q196" s="16"/>
      <c r="R196" s="16"/>
    </row>
    <row r="197" spans="1:18" x14ac:dyDescent="0.25">
      <c r="A197" s="16"/>
      <c r="B197" s="16"/>
      <c r="C197" s="16"/>
      <c r="D197" s="16"/>
      <c r="E197" s="16"/>
      <c r="F197" s="16"/>
      <c r="G197" s="16"/>
      <c r="H197" s="16"/>
      <c r="I197" s="16"/>
      <c r="J197" s="16"/>
      <c r="K197" s="16"/>
      <c r="L197" s="14" t="s">
        <v>429</v>
      </c>
      <c r="M197" s="16"/>
      <c r="N197" s="16"/>
      <c r="O197" s="16"/>
      <c r="P197" s="16"/>
      <c r="Q197" s="16"/>
      <c r="R197" s="16"/>
    </row>
    <row r="198" spans="1:18" ht="30" x14ac:dyDescent="0.25">
      <c r="A198" s="16" t="s">
        <v>8529</v>
      </c>
      <c r="B198" s="16" t="s">
        <v>8596</v>
      </c>
      <c r="C198" s="16" t="s">
        <v>8603</v>
      </c>
      <c r="D198" s="16" t="s">
        <v>8531</v>
      </c>
      <c r="E198" s="16" t="s">
        <v>6378</v>
      </c>
      <c r="F198" s="16" t="s">
        <v>6379</v>
      </c>
      <c r="G198" s="18" t="s">
        <v>8605</v>
      </c>
      <c r="H198" s="16" t="s">
        <v>426</v>
      </c>
      <c r="I198" s="16"/>
      <c r="J198" s="16"/>
      <c r="K198" s="16"/>
      <c r="L198" s="14" t="s">
        <v>422</v>
      </c>
      <c r="M198" s="16" t="s">
        <v>6380</v>
      </c>
      <c r="N198" s="16" t="s">
        <v>6381</v>
      </c>
      <c r="O198" s="16" t="s">
        <v>6382</v>
      </c>
      <c r="P198" s="16" t="str">
        <f>HYPERLINK("https://ceds.ed.gov/cedselementdetails.aspx?termid=17658")</f>
        <v>https://ceds.ed.gov/cedselementdetails.aspx?termid=17658</v>
      </c>
      <c r="Q198" s="16" t="str">
        <f>HYPERLINK("https://ceds.ed.gov/elementComment.aspx?elementName=Native Hawaiian or Other Pacific Islander &amp;elementID=17658", "Click here to submit comment")</f>
        <v>Click here to submit comment</v>
      </c>
      <c r="R198" s="16">
        <v>47666</v>
      </c>
    </row>
    <row r="199" spans="1:18" x14ac:dyDescent="0.25">
      <c r="A199" s="16"/>
      <c r="B199" s="16"/>
      <c r="C199" s="16"/>
      <c r="D199" s="16"/>
      <c r="E199" s="16"/>
      <c r="F199" s="16"/>
      <c r="G199" s="16"/>
      <c r="H199" s="16"/>
      <c r="I199" s="16"/>
      <c r="J199" s="16"/>
      <c r="K199" s="16"/>
      <c r="L199" s="14"/>
      <c r="M199" s="16"/>
      <c r="N199" s="16"/>
      <c r="O199" s="16"/>
      <c r="P199" s="16"/>
      <c r="Q199" s="16"/>
      <c r="R199" s="16"/>
    </row>
    <row r="200" spans="1:18" x14ac:dyDescent="0.25">
      <c r="A200" s="16"/>
      <c r="B200" s="16"/>
      <c r="C200" s="16"/>
      <c r="D200" s="16"/>
      <c r="E200" s="16"/>
      <c r="F200" s="16"/>
      <c r="G200" s="16"/>
      <c r="H200" s="16"/>
      <c r="I200" s="16"/>
      <c r="J200" s="16"/>
      <c r="K200" s="16"/>
      <c r="L200" s="14" t="s">
        <v>427</v>
      </c>
      <c r="M200" s="16"/>
      <c r="N200" s="16"/>
      <c r="O200" s="16"/>
      <c r="P200" s="16"/>
      <c r="Q200" s="16"/>
      <c r="R200" s="16"/>
    </row>
    <row r="201" spans="1:18" ht="30" x14ac:dyDescent="0.25">
      <c r="A201" s="16"/>
      <c r="B201" s="16"/>
      <c r="C201" s="16"/>
      <c r="D201" s="16"/>
      <c r="E201" s="16"/>
      <c r="F201" s="16"/>
      <c r="G201" s="16"/>
      <c r="H201" s="16"/>
      <c r="I201" s="16"/>
      <c r="J201" s="16"/>
      <c r="K201" s="16"/>
      <c r="L201" s="14" t="s">
        <v>428</v>
      </c>
      <c r="M201" s="16"/>
      <c r="N201" s="16"/>
      <c r="O201" s="16"/>
      <c r="P201" s="16"/>
      <c r="Q201" s="16"/>
      <c r="R201" s="16"/>
    </row>
    <row r="202" spans="1:18" x14ac:dyDescent="0.25">
      <c r="A202" s="16"/>
      <c r="B202" s="16"/>
      <c r="C202" s="16"/>
      <c r="D202" s="16"/>
      <c r="E202" s="16"/>
      <c r="F202" s="16"/>
      <c r="G202" s="16"/>
      <c r="H202" s="16"/>
      <c r="I202" s="16"/>
      <c r="J202" s="16"/>
      <c r="K202" s="16"/>
      <c r="L202" s="14" t="s">
        <v>429</v>
      </c>
      <c r="M202" s="16"/>
      <c r="N202" s="16"/>
      <c r="O202" s="16"/>
      <c r="P202" s="16"/>
      <c r="Q202" s="16"/>
      <c r="R202" s="16"/>
    </row>
    <row r="203" spans="1:18" ht="30" x14ac:dyDescent="0.25">
      <c r="A203" s="16" t="s">
        <v>8529</v>
      </c>
      <c r="B203" s="16" t="s">
        <v>8596</v>
      </c>
      <c r="C203" s="16" t="s">
        <v>8603</v>
      </c>
      <c r="D203" s="16" t="s">
        <v>8531</v>
      </c>
      <c r="E203" s="16" t="s">
        <v>8488</v>
      </c>
      <c r="F203" s="16" t="s">
        <v>8489</v>
      </c>
      <c r="G203" s="18" t="s">
        <v>8605</v>
      </c>
      <c r="H203" s="16" t="s">
        <v>426</v>
      </c>
      <c r="I203" s="16"/>
      <c r="J203" s="16"/>
      <c r="K203" s="16"/>
      <c r="L203" s="14" t="s">
        <v>422</v>
      </c>
      <c r="M203" s="16" t="s">
        <v>8490</v>
      </c>
      <c r="N203" s="16" t="s">
        <v>8491</v>
      </c>
      <c r="O203" s="16" t="s">
        <v>8488</v>
      </c>
      <c r="P203" s="16" t="str">
        <f>HYPERLINK("https://ceds.ed.gov/cedselementdetails.aspx?termid=17659")</f>
        <v>https://ceds.ed.gov/cedselementdetails.aspx?termid=17659</v>
      </c>
      <c r="Q203" s="16" t="str">
        <f>HYPERLINK("https://ceds.ed.gov/elementComment.aspx?elementName=White &amp;elementID=17659", "Click here to submit comment")</f>
        <v>Click here to submit comment</v>
      </c>
      <c r="R203" s="16">
        <v>47667</v>
      </c>
    </row>
    <row r="204" spans="1:18" x14ac:dyDescent="0.25">
      <c r="A204" s="16"/>
      <c r="B204" s="16"/>
      <c r="C204" s="16"/>
      <c r="D204" s="16"/>
      <c r="E204" s="16"/>
      <c r="F204" s="16"/>
      <c r="G204" s="16"/>
      <c r="H204" s="16"/>
      <c r="I204" s="16"/>
      <c r="J204" s="16"/>
      <c r="K204" s="16"/>
      <c r="L204" s="14"/>
      <c r="M204" s="16"/>
      <c r="N204" s="16"/>
      <c r="O204" s="16"/>
      <c r="P204" s="16"/>
      <c r="Q204" s="16"/>
      <c r="R204" s="16"/>
    </row>
    <row r="205" spans="1:18" x14ac:dyDescent="0.25">
      <c r="A205" s="16"/>
      <c r="B205" s="16"/>
      <c r="C205" s="16"/>
      <c r="D205" s="16"/>
      <c r="E205" s="16"/>
      <c r="F205" s="16"/>
      <c r="G205" s="16"/>
      <c r="H205" s="16"/>
      <c r="I205" s="16"/>
      <c r="J205" s="16"/>
      <c r="K205" s="16"/>
      <c r="L205" s="14" t="s">
        <v>427</v>
      </c>
      <c r="M205" s="16"/>
      <c r="N205" s="16"/>
      <c r="O205" s="16"/>
      <c r="P205" s="16"/>
      <c r="Q205" s="16"/>
      <c r="R205" s="16"/>
    </row>
    <row r="206" spans="1:18" ht="30" x14ac:dyDescent="0.25">
      <c r="A206" s="16"/>
      <c r="B206" s="16"/>
      <c r="C206" s="16"/>
      <c r="D206" s="16"/>
      <c r="E206" s="16"/>
      <c r="F206" s="16"/>
      <c r="G206" s="16"/>
      <c r="H206" s="16"/>
      <c r="I206" s="16"/>
      <c r="J206" s="16"/>
      <c r="K206" s="16"/>
      <c r="L206" s="14" t="s">
        <v>428</v>
      </c>
      <c r="M206" s="16"/>
      <c r="N206" s="16"/>
      <c r="O206" s="16"/>
      <c r="P206" s="16"/>
      <c r="Q206" s="16"/>
      <c r="R206" s="16"/>
    </row>
    <row r="207" spans="1:18" x14ac:dyDescent="0.25">
      <c r="A207" s="16"/>
      <c r="B207" s="16"/>
      <c r="C207" s="16"/>
      <c r="D207" s="16"/>
      <c r="E207" s="16"/>
      <c r="F207" s="16"/>
      <c r="G207" s="16"/>
      <c r="H207" s="16"/>
      <c r="I207" s="16"/>
      <c r="J207" s="16"/>
      <c r="K207" s="16"/>
      <c r="L207" s="14" t="s">
        <v>429</v>
      </c>
      <c r="M207" s="16"/>
      <c r="N207" s="16"/>
      <c r="O207" s="16"/>
      <c r="P207" s="16"/>
      <c r="Q207" s="16"/>
      <c r="R207" s="16"/>
    </row>
    <row r="208" spans="1:18" ht="75" x14ac:dyDescent="0.25">
      <c r="A208" s="14" t="s">
        <v>8529</v>
      </c>
      <c r="B208" s="14" t="s">
        <v>8596</v>
      </c>
      <c r="C208" s="14" t="s">
        <v>8603</v>
      </c>
      <c r="D208" s="14" t="s">
        <v>8531</v>
      </c>
      <c r="E208" s="14" t="s">
        <v>3488</v>
      </c>
      <c r="F208" s="14" t="s">
        <v>3489</v>
      </c>
      <c r="G208" s="14" t="s">
        <v>24</v>
      </c>
      <c r="H208" s="14"/>
      <c r="I208" s="14"/>
      <c r="J208" s="14"/>
      <c r="K208" s="14"/>
      <c r="L208" s="14" t="s">
        <v>3490</v>
      </c>
      <c r="M208" s="14" t="s">
        <v>3491</v>
      </c>
      <c r="N208" s="14"/>
      <c r="O208" s="14" t="s">
        <v>3492</v>
      </c>
      <c r="P208" s="14" t="str">
        <f>HYPERLINK("https://ceds.ed.gov/cedselementdetails.aspx?termid=17974")</f>
        <v>https://ceds.ed.gov/cedselementdetails.aspx?termid=17974</v>
      </c>
      <c r="Q208" s="14" t="str">
        <f>HYPERLINK("https://ceds.ed.gov/elementComment.aspx?elementName=Demographic Race Two or More Races &amp;elementID=17974", "Click here to submit comment")</f>
        <v>Click here to submit comment</v>
      </c>
      <c r="R208" s="14">
        <v>51132</v>
      </c>
    </row>
    <row r="209" spans="1:18" ht="45" x14ac:dyDescent="0.25">
      <c r="A209" s="14" t="s">
        <v>8529</v>
      </c>
      <c r="B209" s="14" t="s">
        <v>8596</v>
      </c>
      <c r="C209" s="14" t="s">
        <v>8603</v>
      </c>
      <c r="D209" s="14" t="s">
        <v>8531</v>
      </c>
      <c r="E209" s="14" t="s">
        <v>6613</v>
      </c>
      <c r="F209" s="14" t="s">
        <v>6614</v>
      </c>
      <c r="G209" s="14" t="s">
        <v>24</v>
      </c>
      <c r="H209" s="14"/>
      <c r="I209" s="14"/>
      <c r="J209" s="14"/>
      <c r="K209" s="14"/>
      <c r="L209" s="14" t="s">
        <v>6616</v>
      </c>
      <c r="M209" s="14" t="s">
        <v>6617</v>
      </c>
      <c r="N209" s="14"/>
      <c r="O209" s="14" t="s">
        <v>6618</v>
      </c>
      <c r="P209" s="14" t="str">
        <f>HYPERLINK("https://ceds.ed.gov/cedselementdetails.aspx?termid=18390")</f>
        <v>https://ceds.ed.gov/cedselementdetails.aspx?termid=18390</v>
      </c>
      <c r="Q209" s="14" t="str">
        <f>HYPERLINK("https://ceds.ed.gov/elementComment.aspx?elementName=Other Race Indicator &amp;elementID=18390", "Click here to submit comment")</f>
        <v>Click here to submit comment</v>
      </c>
      <c r="R209" s="14">
        <v>50305</v>
      </c>
    </row>
    <row r="210" spans="1:18" ht="30" x14ac:dyDescent="0.25">
      <c r="A210" s="16" t="s">
        <v>8529</v>
      </c>
      <c r="B210" s="16" t="s">
        <v>8596</v>
      </c>
      <c r="C210" s="16" t="s">
        <v>8603</v>
      </c>
      <c r="D210" s="16" t="s">
        <v>8531</v>
      </c>
      <c r="E210" s="16" t="s">
        <v>5008</v>
      </c>
      <c r="F210" s="16" t="s">
        <v>5009</v>
      </c>
      <c r="G210" s="18" t="s">
        <v>8605</v>
      </c>
      <c r="H210" s="16" t="s">
        <v>426</v>
      </c>
      <c r="I210" s="16"/>
      <c r="J210" s="16"/>
      <c r="K210" s="16"/>
      <c r="L210" s="14" t="s">
        <v>422</v>
      </c>
      <c r="M210" s="16" t="s">
        <v>5010</v>
      </c>
      <c r="N210" s="16"/>
      <c r="O210" s="16" t="s">
        <v>5011</v>
      </c>
      <c r="P210" s="16" t="str">
        <f>HYPERLINK("https://ceds.ed.gov/cedselementdetails.aspx?termid=17144")</f>
        <v>https://ceds.ed.gov/cedselementdetails.aspx?termid=17144</v>
      </c>
      <c r="Q210" s="16" t="str">
        <f>HYPERLINK("https://ceds.ed.gov/elementComment.aspx?elementName=Hispanic or Latino Ethnicity &amp;elementID=17144", "Click here to submit comment")</f>
        <v>Click here to submit comment</v>
      </c>
      <c r="R210" s="16">
        <v>47624</v>
      </c>
    </row>
    <row r="211" spans="1:18" x14ac:dyDescent="0.25">
      <c r="A211" s="16"/>
      <c r="B211" s="16"/>
      <c r="C211" s="16"/>
      <c r="D211" s="16"/>
      <c r="E211" s="16"/>
      <c r="F211" s="16"/>
      <c r="G211" s="16"/>
      <c r="H211" s="16"/>
      <c r="I211" s="16"/>
      <c r="J211" s="16"/>
      <c r="K211" s="16"/>
      <c r="L211" s="14"/>
      <c r="M211" s="16"/>
      <c r="N211" s="16"/>
      <c r="O211" s="16"/>
      <c r="P211" s="16"/>
      <c r="Q211" s="16"/>
      <c r="R211" s="16"/>
    </row>
    <row r="212" spans="1:18" x14ac:dyDescent="0.25">
      <c r="A212" s="16"/>
      <c r="B212" s="16"/>
      <c r="C212" s="16"/>
      <c r="D212" s="16"/>
      <c r="E212" s="16"/>
      <c r="F212" s="16"/>
      <c r="G212" s="16"/>
      <c r="H212" s="16"/>
      <c r="I212" s="16"/>
      <c r="J212" s="16"/>
      <c r="K212" s="16"/>
      <c r="L212" s="14" t="s">
        <v>427</v>
      </c>
      <c r="M212" s="16"/>
      <c r="N212" s="16"/>
      <c r="O212" s="16"/>
      <c r="P212" s="16"/>
      <c r="Q212" s="16"/>
      <c r="R212" s="16"/>
    </row>
    <row r="213" spans="1:18" ht="30" x14ac:dyDescent="0.25">
      <c r="A213" s="16"/>
      <c r="B213" s="16"/>
      <c r="C213" s="16"/>
      <c r="D213" s="16"/>
      <c r="E213" s="16"/>
      <c r="F213" s="16"/>
      <c r="G213" s="16"/>
      <c r="H213" s="16"/>
      <c r="I213" s="16"/>
      <c r="J213" s="16"/>
      <c r="K213" s="16"/>
      <c r="L213" s="14" t="s">
        <v>428</v>
      </c>
      <c r="M213" s="16"/>
      <c r="N213" s="16"/>
      <c r="O213" s="16"/>
      <c r="P213" s="16"/>
      <c r="Q213" s="16"/>
      <c r="R213" s="16"/>
    </row>
    <row r="214" spans="1:18" x14ac:dyDescent="0.25">
      <c r="A214" s="16"/>
      <c r="B214" s="16"/>
      <c r="C214" s="16"/>
      <c r="D214" s="16"/>
      <c r="E214" s="16"/>
      <c r="F214" s="16"/>
      <c r="G214" s="16"/>
      <c r="H214" s="16"/>
      <c r="I214" s="16"/>
      <c r="J214" s="16"/>
      <c r="K214" s="16"/>
      <c r="L214" s="14" t="s">
        <v>429</v>
      </c>
      <c r="M214" s="16"/>
      <c r="N214" s="16"/>
      <c r="O214" s="16"/>
      <c r="P214" s="16"/>
      <c r="Q214" s="16"/>
      <c r="R214" s="16"/>
    </row>
    <row r="215" spans="1:18" ht="409.5" x14ac:dyDescent="0.25">
      <c r="A215" s="14" t="s">
        <v>8529</v>
      </c>
      <c r="B215" s="14" t="s">
        <v>8596</v>
      </c>
      <c r="C215" s="14" t="s">
        <v>8603</v>
      </c>
      <c r="D215" s="14" t="s">
        <v>8531</v>
      </c>
      <c r="E215" s="14" t="s">
        <v>5029</v>
      </c>
      <c r="F215" s="14" t="s">
        <v>5030</v>
      </c>
      <c r="G215" s="14" t="s">
        <v>24</v>
      </c>
      <c r="H215" s="14" t="s">
        <v>5034</v>
      </c>
      <c r="I215" s="14"/>
      <c r="J215" s="14"/>
      <c r="K215" s="14"/>
      <c r="L215" s="14"/>
      <c r="M215" s="14" t="s">
        <v>5032</v>
      </c>
      <c r="N215" s="14"/>
      <c r="O215" s="14" t="s">
        <v>5033</v>
      </c>
      <c r="P215" s="14" t="str">
        <f>HYPERLINK("https://ceds.ed.gov/cedselementdetails.aspx?termid=17149")</f>
        <v>https://ceds.ed.gov/cedselementdetails.aspx?termid=17149</v>
      </c>
      <c r="Q215" s="14" t="str">
        <f>HYPERLINK("https://ceds.ed.gov/elementComment.aspx?elementName=Homelessness Status &amp;elementID=17149", "Click here to submit comment")</f>
        <v>Click here to submit comment</v>
      </c>
      <c r="R215" s="14">
        <v>47625</v>
      </c>
    </row>
    <row r="216" spans="1:18" ht="270" x14ac:dyDescent="0.25">
      <c r="A216" s="14" t="s">
        <v>8529</v>
      </c>
      <c r="B216" s="14" t="s">
        <v>8596</v>
      </c>
      <c r="C216" s="14" t="s">
        <v>8603</v>
      </c>
      <c r="D216" s="14" t="s">
        <v>8531</v>
      </c>
      <c r="E216" s="14" t="s">
        <v>6289</v>
      </c>
      <c r="F216" s="14" t="s">
        <v>6290</v>
      </c>
      <c r="G216" s="14" t="s">
        <v>24</v>
      </c>
      <c r="H216" s="14" t="s">
        <v>2157</v>
      </c>
      <c r="I216" s="14"/>
      <c r="J216" s="14"/>
      <c r="K216" s="14"/>
      <c r="L216" s="14"/>
      <c r="M216" s="14" t="s">
        <v>6292</v>
      </c>
      <c r="N216" s="14"/>
      <c r="O216" s="14" t="s">
        <v>6293</v>
      </c>
      <c r="P216" s="14" t="str">
        <f>HYPERLINK("https://ceds.ed.gov/cedselementdetails.aspx?termid=17189")</f>
        <v>https://ceds.ed.gov/cedselementdetails.aspx?termid=17189</v>
      </c>
      <c r="Q216" s="14" t="str">
        <f>HYPERLINK("https://ceds.ed.gov/elementComment.aspx?elementName=Migrant Status &amp;elementID=17189", "Click here to submit comment")</f>
        <v>Click here to submit comment</v>
      </c>
      <c r="R216" s="14">
        <v>50291</v>
      </c>
    </row>
    <row r="217" spans="1:18" ht="409.5" x14ac:dyDescent="0.25">
      <c r="A217" s="14" t="s">
        <v>8529</v>
      </c>
      <c r="B217" s="14" t="s">
        <v>8596</v>
      </c>
      <c r="C217" s="14" t="s">
        <v>8603</v>
      </c>
      <c r="D217" s="14" t="s">
        <v>8541</v>
      </c>
      <c r="E217" s="14" t="s">
        <v>2853</v>
      </c>
      <c r="F217" s="14" t="s">
        <v>2854</v>
      </c>
      <c r="G217" s="8" t="s">
        <v>8548</v>
      </c>
      <c r="H217" s="14" t="s">
        <v>2859</v>
      </c>
      <c r="I217" s="14" t="s">
        <v>195</v>
      </c>
      <c r="J217" s="14"/>
      <c r="K217" s="14" t="s">
        <v>2856</v>
      </c>
      <c r="L217" s="6" t="s">
        <v>2849</v>
      </c>
      <c r="M217" s="14" t="s">
        <v>2857</v>
      </c>
      <c r="N217" s="14"/>
      <c r="O217" s="14" t="s">
        <v>2858</v>
      </c>
      <c r="P217" s="14" t="str">
        <f>HYPERLINK("https://ceds.ed.gov/cedselementdetails.aspx?termid=17051")</f>
        <v>https://ceds.ed.gov/cedselementdetails.aspx?termid=17051</v>
      </c>
      <c r="Q217" s="14" t="str">
        <f>HYPERLINK("https://ceds.ed.gov/elementComment.aspx?elementName=Country of Birth Code &amp;elementID=17051", "Click here to submit comment")</f>
        <v>Click here to submit comment</v>
      </c>
      <c r="R217" s="14">
        <v>52266</v>
      </c>
    </row>
    <row r="218" spans="1:18" ht="105" x14ac:dyDescent="0.25">
      <c r="A218" s="14" t="s">
        <v>8529</v>
      </c>
      <c r="B218" s="14" t="s">
        <v>8596</v>
      </c>
      <c r="C218" s="14" t="s">
        <v>8603</v>
      </c>
      <c r="D218" s="14" t="s">
        <v>8541</v>
      </c>
      <c r="E218" s="14" t="s">
        <v>8363</v>
      </c>
      <c r="F218" s="14" t="s">
        <v>8364</v>
      </c>
      <c r="G218" s="14" t="s">
        <v>8527</v>
      </c>
      <c r="H218" s="14"/>
      <c r="I218" s="14" t="s">
        <v>195</v>
      </c>
      <c r="J218" s="14"/>
      <c r="K218" s="14" t="s">
        <v>8366</v>
      </c>
      <c r="L218" s="14"/>
      <c r="M218" s="14" t="s">
        <v>8367</v>
      </c>
      <c r="N218" s="14"/>
      <c r="O218" s="14" t="s">
        <v>8368</v>
      </c>
      <c r="P218" s="14" t="str">
        <f>HYPERLINK("https://ceds.ed.gov/cedselementdetails.aspx?termid=18638")</f>
        <v>https://ceds.ed.gov/cedselementdetails.aspx?termid=18638</v>
      </c>
      <c r="Q218" s="14" t="str">
        <f>HYPERLINK("https://ceds.ed.gov/elementComment.aspx?elementName=Tribal Affiliation &amp;elementID=18638", "Click here to submit comment")</f>
        <v>Click here to submit comment</v>
      </c>
      <c r="R218" s="14">
        <v>52267</v>
      </c>
    </row>
    <row r="219" spans="1:18" ht="45" x14ac:dyDescent="0.25">
      <c r="A219" s="14" t="s">
        <v>8529</v>
      </c>
      <c r="B219" s="14" t="s">
        <v>8596</v>
      </c>
      <c r="C219" s="14" t="s">
        <v>8606</v>
      </c>
      <c r="D219" s="14" t="s">
        <v>8531</v>
      </c>
      <c r="E219" s="14" t="s">
        <v>7362</v>
      </c>
      <c r="F219" s="14" t="s">
        <v>7363</v>
      </c>
      <c r="G219" s="14" t="s">
        <v>37</v>
      </c>
      <c r="H219" s="14"/>
      <c r="I219" s="14"/>
      <c r="J219" s="14" t="s">
        <v>175</v>
      </c>
      <c r="K219" s="14"/>
      <c r="L219" s="14"/>
      <c r="M219" s="14" t="s">
        <v>7364</v>
      </c>
      <c r="N219" s="14"/>
      <c r="O219" s="14" t="s">
        <v>7365</v>
      </c>
      <c r="P219" s="14" t="str">
        <f>HYPERLINK("https://ceds.ed.gov/cedselementdetails.aspx?termid=18458")</f>
        <v>https://ceds.ed.gov/cedselementdetails.aspx?termid=18458</v>
      </c>
      <c r="Q219" s="14" t="str">
        <f>HYPERLINK("https://ceds.ed.gov/elementComment.aspx?elementName=Referred To &amp;elementID=18458", "Click here to submit comment")</f>
        <v>Click here to submit comment</v>
      </c>
      <c r="R219" s="14">
        <v>50418</v>
      </c>
    </row>
    <row r="220" spans="1:18" ht="45" x14ac:dyDescent="0.25">
      <c r="A220" s="14" t="s">
        <v>8529</v>
      </c>
      <c r="B220" s="14" t="s">
        <v>8596</v>
      </c>
      <c r="C220" s="14" t="s">
        <v>8606</v>
      </c>
      <c r="D220" s="14" t="s">
        <v>8531</v>
      </c>
      <c r="E220" s="14" t="s">
        <v>7335</v>
      </c>
      <c r="F220" s="14" t="s">
        <v>7336</v>
      </c>
      <c r="G220" s="14" t="s">
        <v>37</v>
      </c>
      <c r="H220" s="14"/>
      <c r="I220" s="14"/>
      <c r="J220" s="14" t="s">
        <v>135</v>
      </c>
      <c r="K220" s="14"/>
      <c r="L220" s="14"/>
      <c r="M220" s="14" t="s">
        <v>7338</v>
      </c>
      <c r="N220" s="14"/>
      <c r="O220" s="14" t="s">
        <v>7339</v>
      </c>
      <c r="P220" s="14" t="str">
        <f>HYPERLINK("https://ceds.ed.gov/cedselementdetails.aspx?termid=18453")</f>
        <v>https://ceds.ed.gov/cedselementdetails.aspx?termid=18453</v>
      </c>
      <c r="Q220" s="14" t="str">
        <f>HYPERLINK("https://ceds.ed.gov/elementComment.aspx?elementName=Referral Date &amp;elementID=18453", "Click here to submit comment")</f>
        <v>Click here to submit comment</v>
      </c>
      <c r="R220" s="14">
        <v>50411</v>
      </c>
    </row>
    <row r="221" spans="1:18" ht="45" x14ac:dyDescent="0.25">
      <c r="A221" s="14" t="s">
        <v>8529</v>
      </c>
      <c r="B221" s="14" t="s">
        <v>8596</v>
      </c>
      <c r="C221" s="14" t="s">
        <v>8606</v>
      </c>
      <c r="D221" s="14" t="s">
        <v>8531</v>
      </c>
      <c r="E221" s="14" t="s">
        <v>7350</v>
      </c>
      <c r="F221" s="14" t="s">
        <v>7351</v>
      </c>
      <c r="G221" s="14" t="s">
        <v>37</v>
      </c>
      <c r="H221" s="14"/>
      <c r="I221" s="14"/>
      <c r="J221" s="14" t="s">
        <v>382</v>
      </c>
      <c r="K221" s="14"/>
      <c r="L221" s="14"/>
      <c r="M221" s="14" t="s">
        <v>7352</v>
      </c>
      <c r="N221" s="14"/>
      <c r="O221" s="14" t="s">
        <v>7353</v>
      </c>
      <c r="P221" s="14" t="str">
        <f>HYPERLINK("https://ceds.ed.gov/cedselementdetails.aspx?termid=18455")</f>
        <v>https://ceds.ed.gov/cedselementdetails.aspx?termid=18455</v>
      </c>
      <c r="Q221" s="14" t="str">
        <f>HYPERLINK("https://ceds.ed.gov/elementComment.aspx?elementName=Referral Reason &amp;elementID=18455", "Click here to submit comment")</f>
        <v>Click here to submit comment</v>
      </c>
      <c r="R221" s="14">
        <v>50413</v>
      </c>
    </row>
    <row r="222" spans="1:18" ht="45" x14ac:dyDescent="0.25">
      <c r="A222" s="14" t="s">
        <v>8529</v>
      </c>
      <c r="B222" s="14" t="s">
        <v>8596</v>
      </c>
      <c r="C222" s="14" t="s">
        <v>8606</v>
      </c>
      <c r="D222" s="14" t="s">
        <v>8531</v>
      </c>
      <c r="E222" s="14" t="s">
        <v>7354</v>
      </c>
      <c r="F222" s="14" t="s">
        <v>7355</v>
      </c>
      <c r="G222" s="14" t="s">
        <v>37</v>
      </c>
      <c r="H222" s="14"/>
      <c r="I222" s="14"/>
      <c r="J222" s="14" t="s">
        <v>175</v>
      </c>
      <c r="K222" s="14"/>
      <c r="L222" s="14"/>
      <c r="M222" s="14" t="s">
        <v>7356</v>
      </c>
      <c r="N222" s="14"/>
      <c r="O222" s="14" t="s">
        <v>7357</v>
      </c>
      <c r="P222" s="14" t="str">
        <f>HYPERLINK("https://ceds.ed.gov/cedselementdetails.aspx?termid=18456")</f>
        <v>https://ceds.ed.gov/cedselementdetails.aspx?termid=18456</v>
      </c>
      <c r="Q222" s="14" t="str">
        <f>HYPERLINK("https://ceds.ed.gov/elementComment.aspx?elementName=Referral Source &amp;elementID=18456", "Click here to submit comment")</f>
        <v>Click here to submit comment</v>
      </c>
      <c r="R222" s="14">
        <v>50414</v>
      </c>
    </row>
    <row r="223" spans="1:18" ht="45" x14ac:dyDescent="0.25">
      <c r="A223" s="14" t="s">
        <v>8529</v>
      </c>
      <c r="B223" s="14" t="s">
        <v>8596</v>
      </c>
      <c r="C223" s="14" t="s">
        <v>8606</v>
      </c>
      <c r="D223" s="14" t="s">
        <v>8531</v>
      </c>
      <c r="E223" s="14" t="s">
        <v>7358</v>
      </c>
      <c r="F223" s="14" t="s">
        <v>7359</v>
      </c>
      <c r="G223" s="14" t="s">
        <v>37</v>
      </c>
      <c r="H223" s="14"/>
      <c r="I223" s="14"/>
      <c r="J223" s="14" t="s">
        <v>175</v>
      </c>
      <c r="K223" s="14"/>
      <c r="L223" s="14"/>
      <c r="M223" s="14" t="s">
        <v>7360</v>
      </c>
      <c r="N223" s="14"/>
      <c r="O223" s="14" t="s">
        <v>7361</v>
      </c>
      <c r="P223" s="14" t="str">
        <f>HYPERLINK("https://ceds.ed.gov/cedselementdetails.aspx?termid=18457")</f>
        <v>https://ceds.ed.gov/cedselementdetails.aspx?termid=18457</v>
      </c>
      <c r="Q223" s="14" t="str">
        <f>HYPERLINK("https://ceds.ed.gov/elementComment.aspx?elementName=Referral Type Received &amp;elementID=18457", "Click here to submit comment")</f>
        <v>Click here to submit comment</v>
      </c>
      <c r="R223" s="14">
        <v>50417</v>
      </c>
    </row>
    <row r="224" spans="1:18" ht="135" x14ac:dyDescent="0.25">
      <c r="A224" s="14" t="s">
        <v>8529</v>
      </c>
      <c r="B224" s="14" t="s">
        <v>8596</v>
      </c>
      <c r="C224" s="14" t="s">
        <v>8606</v>
      </c>
      <c r="D224" s="14" t="s">
        <v>8531</v>
      </c>
      <c r="E224" s="14" t="s">
        <v>7340</v>
      </c>
      <c r="F224" s="14" t="s">
        <v>7341</v>
      </c>
      <c r="G224" s="8" t="s">
        <v>8607</v>
      </c>
      <c r="H224" s="14"/>
      <c r="I224" s="14"/>
      <c r="J224" s="14"/>
      <c r="K224" s="14"/>
      <c r="L224" s="14"/>
      <c r="M224" s="14" t="s">
        <v>7344</v>
      </c>
      <c r="N224" s="14"/>
      <c r="O224" s="14" t="s">
        <v>7345</v>
      </c>
      <c r="P224" s="14" t="str">
        <f>HYPERLINK("https://ceds.ed.gov/cedselementdetails.aspx?termid=18454")</f>
        <v>https://ceds.ed.gov/cedselementdetails.aspx?termid=18454</v>
      </c>
      <c r="Q224" s="14" t="str">
        <f>HYPERLINK("https://ceds.ed.gov/elementComment.aspx?elementName=Referral Outcome &amp;elementID=18454", "Click here to submit comment")</f>
        <v>Click here to submit comment</v>
      </c>
      <c r="R224" s="14">
        <v>50412</v>
      </c>
    </row>
    <row r="225" spans="1:18" ht="60" x14ac:dyDescent="0.25">
      <c r="A225" s="14" t="s">
        <v>8529</v>
      </c>
      <c r="B225" s="14" t="s">
        <v>8596</v>
      </c>
      <c r="C225" s="14" t="s">
        <v>8608</v>
      </c>
      <c r="D225" s="14" t="s">
        <v>8531</v>
      </c>
      <c r="E225" s="14" t="s">
        <v>6196</v>
      </c>
      <c r="F225" s="14" t="s">
        <v>6197</v>
      </c>
      <c r="G225" s="8" t="s">
        <v>8609</v>
      </c>
      <c r="H225" s="14" t="s">
        <v>1751</v>
      </c>
      <c r="I225" s="14"/>
      <c r="J225" s="14"/>
      <c r="K225" s="14"/>
      <c r="L225" s="14"/>
      <c r="M225" s="14" t="s">
        <v>6199</v>
      </c>
      <c r="N225" s="14"/>
      <c r="O225" s="14" t="s">
        <v>6200</v>
      </c>
      <c r="P225" s="14" t="str">
        <f>HYPERLINK("https://ceds.ed.gov/cedselementdetails.aspx?termid=17429")</f>
        <v>https://ceds.ed.gov/cedselementdetails.aspx?termid=17429</v>
      </c>
      <c r="Q225" s="14" t="str">
        <f>HYPERLINK("https://ceds.ed.gov/elementComment.aspx?elementName=Medical Alert Indicator &amp;elementID=17429", "Click here to submit comment")</f>
        <v>Click here to submit comment</v>
      </c>
      <c r="R225" s="14">
        <v>51714</v>
      </c>
    </row>
    <row r="226" spans="1:18" ht="409.5" x14ac:dyDescent="0.25">
      <c r="A226" s="14" t="s">
        <v>8529</v>
      </c>
      <c r="B226" s="14" t="s">
        <v>8596</v>
      </c>
      <c r="C226" s="14" t="s">
        <v>8608</v>
      </c>
      <c r="D226" s="14" t="s">
        <v>8531</v>
      </c>
      <c r="E226" s="14" t="s">
        <v>390</v>
      </c>
      <c r="F226" s="14" t="s">
        <v>391</v>
      </c>
      <c r="G226" s="8" t="s">
        <v>8610</v>
      </c>
      <c r="H226" s="14"/>
      <c r="I226" s="14"/>
      <c r="J226" s="14"/>
      <c r="K226" s="14"/>
      <c r="L226" s="14" t="s">
        <v>393</v>
      </c>
      <c r="M226" s="14" t="s">
        <v>394</v>
      </c>
      <c r="N226" s="14"/>
      <c r="O226" s="14" t="s">
        <v>395</v>
      </c>
      <c r="P226" s="14" t="str">
        <f>HYPERLINK("https://ceds.ed.gov/cedselementdetails.aspx?termid=18249")</f>
        <v>https://ceds.ed.gov/cedselementdetails.aspx?termid=18249</v>
      </c>
      <c r="Q226" s="14" t="str">
        <f>HYPERLINK("https://ceds.ed.gov/elementComment.aspx?elementName=Allergy Type &amp;elementID=18249", "Click here to submit comment")</f>
        <v>Click here to submit comment</v>
      </c>
      <c r="R226" s="14">
        <v>50562</v>
      </c>
    </row>
    <row r="227" spans="1:18" ht="45" x14ac:dyDescent="0.25">
      <c r="A227" s="14" t="s">
        <v>8529</v>
      </c>
      <c r="B227" s="14" t="s">
        <v>8596</v>
      </c>
      <c r="C227" s="14" t="s">
        <v>8608</v>
      </c>
      <c r="D227" s="14" t="s">
        <v>8531</v>
      </c>
      <c r="E227" s="14" t="s">
        <v>385</v>
      </c>
      <c r="F227" s="14" t="s">
        <v>386</v>
      </c>
      <c r="G227" s="8" t="s">
        <v>8611</v>
      </c>
      <c r="H227" s="14"/>
      <c r="I227" s="14"/>
      <c r="J227" s="14"/>
      <c r="K227" s="14"/>
      <c r="L227" s="14"/>
      <c r="M227" s="14" t="s">
        <v>388</v>
      </c>
      <c r="N227" s="14"/>
      <c r="O227" s="14" t="s">
        <v>389</v>
      </c>
      <c r="P227" s="14" t="str">
        <f>HYPERLINK("https://ceds.ed.gov/cedselementdetails.aspx?termid=18248")</f>
        <v>https://ceds.ed.gov/cedselementdetails.aspx?termid=18248</v>
      </c>
      <c r="Q227" s="14" t="str">
        <f>HYPERLINK("https://ceds.ed.gov/elementComment.aspx?elementName=Allergy Severity &amp;elementID=18248", "Click here to submit comment")</f>
        <v>Click here to submit comment</v>
      </c>
      <c r="R227" s="14">
        <v>50561</v>
      </c>
    </row>
    <row r="228" spans="1:18" ht="45" x14ac:dyDescent="0.25">
      <c r="A228" s="14" t="s">
        <v>8529</v>
      </c>
      <c r="B228" s="14" t="s">
        <v>8596</v>
      </c>
      <c r="C228" s="14" t="s">
        <v>8608</v>
      </c>
      <c r="D228" s="14" t="s">
        <v>8531</v>
      </c>
      <c r="E228" s="14" t="s">
        <v>379</v>
      </c>
      <c r="F228" s="14" t="s">
        <v>380</v>
      </c>
      <c r="G228" s="14" t="s">
        <v>37</v>
      </c>
      <c r="H228" s="14"/>
      <c r="I228" s="14"/>
      <c r="J228" s="14" t="s">
        <v>382</v>
      </c>
      <c r="K228" s="14"/>
      <c r="L228" s="14"/>
      <c r="M228" s="14" t="s">
        <v>383</v>
      </c>
      <c r="N228" s="14"/>
      <c r="O228" s="14" t="s">
        <v>384</v>
      </c>
      <c r="P228" s="14" t="str">
        <f>HYPERLINK("https://ceds.ed.gov/cedselementdetails.aspx?termid=18247")</f>
        <v>https://ceds.ed.gov/cedselementdetails.aspx?termid=18247</v>
      </c>
      <c r="Q228" s="14" t="str">
        <f>HYPERLINK("https://ceds.ed.gov/elementComment.aspx?elementName=Allergy Reaction Description &amp;elementID=18247", "Click here to submit comment")</f>
        <v>Click here to submit comment</v>
      </c>
      <c r="R228" s="14">
        <v>50560</v>
      </c>
    </row>
    <row r="229" spans="1:18" ht="45" x14ac:dyDescent="0.25">
      <c r="A229" s="14" t="s">
        <v>8529</v>
      </c>
      <c r="B229" s="14" t="s">
        <v>8596</v>
      </c>
      <c r="C229" s="14" t="s">
        <v>8608</v>
      </c>
      <c r="D229" s="14" t="s">
        <v>8531</v>
      </c>
      <c r="E229" s="14" t="s">
        <v>4930</v>
      </c>
      <c r="F229" s="14" t="s">
        <v>4931</v>
      </c>
      <c r="G229" s="14" t="s">
        <v>37</v>
      </c>
      <c r="H229" s="14"/>
      <c r="I229" s="14"/>
      <c r="J229" s="14" t="s">
        <v>129</v>
      </c>
      <c r="K229" s="14"/>
      <c r="L229" s="14"/>
      <c r="M229" s="14" t="s">
        <v>4932</v>
      </c>
      <c r="N229" s="14"/>
      <c r="O229" s="14" t="s">
        <v>4933</v>
      </c>
      <c r="P229" s="14" t="str">
        <f>HYPERLINK("https://ceds.ed.gov/cedselementdetails.aspx?termid=18325")</f>
        <v>https://ceds.ed.gov/cedselementdetails.aspx?termid=18325</v>
      </c>
      <c r="Q229" s="14" t="str">
        <f>HYPERLINK("https://ceds.ed.gov/elementComment.aspx?elementName=Health Screening Equipment Used &amp;elementID=18325", "Click here to submit comment")</f>
        <v>Click here to submit comment</v>
      </c>
      <c r="R229" s="14">
        <v>50210</v>
      </c>
    </row>
    <row r="230" spans="1:18" ht="45" x14ac:dyDescent="0.25">
      <c r="A230" s="14" t="s">
        <v>8529</v>
      </c>
      <c r="B230" s="14" t="s">
        <v>8596</v>
      </c>
      <c r="C230" s="14" t="s">
        <v>8608</v>
      </c>
      <c r="D230" s="14" t="s">
        <v>8531</v>
      </c>
      <c r="E230" s="14" t="s">
        <v>4934</v>
      </c>
      <c r="F230" s="14" t="s">
        <v>4935</v>
      </c>
      <c r="G230" s="14" t="s">
        <v>37</v>
      </c>
      <c r="H230" s="14"/>
      <c r="I230" s="14"/>
      <c r="J230" s="14" t="s">
        <v>382</v>
      </c>
      <c r="K230" s="14"/>
      <c r="L230" s="14"/>
      <c r="M230" s="14" t="s">
        <v>4936</v>
      </c>
      <c r="N230" s="14"/>
      <c r="O230" s="14" t="s">
        <v>4937</v>
      </c>
      <c r="P230" s="14" t="str">
        <f>HYPERLINK("https://ceds.ed.gov/cedselementdetails.aspx?termid=18326")</f>
        <v>https://ceds.ed.gov/cedselementdetails.aspx?termid=18326</v>
      </c>
      <c r="Q230" s="14" t="str">
        <f>HYPERLINK("https://ceds.ed.gov/elementComment.aspx?elementName=Health Screening Follow-up Recommendation &amp;elementID=18326", "Click here to submit comment")</f>
        <v>Click here to submit comment</v>
      </c>
      <c r="R230" s="14">
        <v>50211</v>
      </c>
    </row>
    <row r="231" spans="1:18" ht="75" x14ac:dyDescent="0.25">
      <c r="A231" s="14" t="s">
        <v>8529</v>
      </c>
      <c r="B231" s="14" t="s">
        <v>8596</v>
      </c>
      <c r="C231" s="14" t="s">
        <v>8612</v>
      </c>
      <c r="D231" s="14" t="s">
        <v>8531</v>
      </c>
      <c r="E231" s="14" t="s">
        <v>5194</v>
      </c>
      <c r="F231" s="14" t="s">
        <v>5195</v>
      </c>
      <c r="G231" s="14" t="s">
        <v>37</v>
      </c>
      <c r="H231" s="14" t="s">
        <v>5199</v>
      </c>
      <c r="I231" s="14"/>
      <c r="J231" s="14" t="s">
        <v>135</v>
      </c>
      <c r="K231" s="14"/>
      <c r="L231" s="14"/>
      <c r="M231" s="14" t="s">
        <v>5197</v>
      </c>
      <c r="N231" s="14"/>
      <c r="O231" s="14" t="s">
        <v>5198</v>
      </c>
      <c r="P231" s="14" t="str">
        <f>HYPERLINK("https://ceds.ed.gov/cedselementdetails.aspx?termid=17306")</f>
        <v>https://ceds.ed.gov/cedselementdetails.aspx?termid=17306</v>
      </c>
      <c r="Q231" s="14" t="str">
        <f>HYPERLINK("https://ceds.ed.gov/elementComment.aspx?elementName=Immunization Date &amp;elementID=17306", "Click here to submit comment")</f>
        <v>Click here to submit comment</v>
      </c>
      <c r="R231" s="14">
        <v>47636</v>
      </c>
    </row>
    <row r="232" spans="1:18" ht="345" x14ac:dyDescent="0.25">
      <c r="A232" s="14" t="s">
        <v>8529</v>
      </c>
      <c r="B232" s="14" t="s">
        <v>8596</v>
      </c>
      <c r="C232" s="14" t="s">
        <v>8612</v>
      </c>
      <c r="D232" s="14" t="s">
        <v>8531</v>
      </c>
      <c r="E232" s="14" t="s">
        <v>5208</v>
      </c>
      <c r="F232" s="14" t="s">
        <v>5209</v>
      </c>
      <c r="G232" s="8" t="s">
        <v>8592</v>
      </c>
      <c r="H232" s="14"/>
      <c r="I232" s="14"/>
      <c r="J232" s="14"/>
      <c r="K232" s="14"/>
      <c r="L232" s="14"/>
      <c r="M232" s="14" t="s">
        <v>5211</v>
      </c>
      <c r="N232" s="14"/>
      <c r="O232" s="14" t="s">
        <v>5212</v>
      </c>
      <c r="P232" s="14" t="str">
        <f>HYPERLINK("https://ceds.ed.gov/cedselementdetails.aspx?termid=18214")</f>
        <v>https://ceds.ed.gov/cedselementdetails.aspx?termid=18214</v>
      </c>
      <c r="Q232" s="14" t="str">
        <f>HYPERLINK("https://ceds.ed.gov/elementComment.aspx?elementName=Immunization Type &amp;elementID=18214", "Click here to submit comment")</f>
        <v>Click here to submit comment</v>
      </c>
      <c r="R232" s="14">
        <v>47637</v>
      </c>
    </row>
    <row r="233" spans="1:18" ht="45" x14ac:dyDescent="0.25">
      <c r="A233" s="14" t="s">
        <v>8529</v>
      </c>
      <c r="B233" s="14" t="s">
        <v>8596</v>
      </c>
      <c r="C233" s="14" t="s">
        <v>8613</v>
      </c>
      <c r="D233" s="14" t="s">
        <v>8531</v>
      </c>
      <c r="E233" s="14" t="s">
        <v>8438</v>
      </c>
      <c r="F233" s="14" t="s">
        <v>8439</v>
      </c>
      <c r="G233" s="14" t="s">
        <v>37</v>
      </c>
      <c r="H233" s="14"/>
      <c r="I233" s="14"/>
      <c r="J233" s="14" t="s">
        <v>135</v>
      </c>
      <c r="K233" s="14"/>
      <c r="L233" s="14"/>
      <c r="M233" s="14" t="s">
        <v>8441</v>
      </c>
      <c r="N233" s="14"/>
      <c r="O233" s="14" t="s">
        <v>8442</v>
      </c>
      <c r="P233" s="14" t="str">
        <f>HYPERLINK("https://ceds.ed.gov/cedselementdetails.aspx?termid=17680")</f>
        <v>https://ceds.ed.gov/cedselementdetails.aspx?termid=17680</v>
      </c>
      <c r="Q233" s="14" t="str">
        <f>HYPERLINK("https://ceds.ed.gov/elementComment.aspx?elementName=Vision Screening Date &amp;elementID=17680", "Click here to submit comment")</f>
        <v>Click here to submit comment</v>
      </c>
      <c r="R233" s="14">
        <v>47668</v>
      </c>
    </row>
    <row r="234" spans="1:18" ht="60" x14ac:dyDescent="0.25">
      <c r="A234" s="14" t="s">
        <v>8529</v>
      </c>
      <c r="B234" s="14" t="s">
        <v>8596</v>
      </c>
      <c r="C234" s="14" t="s">
        <v>8613</v>
      </c>
      <c r="D234" s="14" t="s">
        <v>8531</v>
      </c>
      <c r="E234" s="14" t="s">
        <v>8443</v>
      </c>
      <c r="F234" s="14" t="s">
        <v>8444</v>
      </c>
      <c r="G234" s="8" t="s">
        <v>8614</v>
      </c>
      <c r="H234" s="14" t="s">
        <v>2291</v>
      </c>
      <c r="I234" s="14"/>
      <c r="J234" s="14"/>
      <c r="K234" s="14"/>
      <c r="L234" s="14"/>
      <c r="M234" s="14" t="s">
        <v>8445</v>
      </c>
      <c r="N234" s="14"/>
      <c r="O234" s="14" t="s">
        <v>8446</v>
      </c>
      <c r="P234" s="14" t="str">
        <f>HYPERLINK("https://ceds.ed.gov/cedselementdetails.aspx?termid=17308")</f>
        <v>https://ceds.ed.gov/cedselementdetails.aspx?termid=17308</v>
      </c>
      <c r="Q234" s="14" t="str">
        <f>HYPERLINK("https://ceds.ed.gov/elementComment.aspx?elementName=Vision Screening Status &amp;elementID=17308", "Click here to submit comment")</f>
        <v>Click here to submit comment</v>
      </c>
      <c r="R234" s="14">
        <v>47638</v>
      </c>
    </row>
    <row r="235" spans="1:18" ht="45" x14ac:dyDescent="0.25">
      <c r="A235" s="14" t="s">
        <v>8529</v>
      </c>
      <c r="B235" s="14" t="s">
        <v>8596</v>
      </c>
      <c r="C235" s="14" t="s">
        <v>8615</v>
      </c>
      <c r="D235" s="14" t="s">
        <v>8531</v>
      </c>
      <c r="E235" s="14" t="s">
        <v>4938</v>
      </c>
      <c r="F235" s="14" t="s">
        <v>4939</v>
      </c>
      <c r="G235" s="14" t="s">
        <v>37</v>
      </c>
      <c r="H235" s="14"/>
      <c r="I235" s="14"/>
      <c r="J235" s="14" t="s">
        <v>135</v>
      </c>
      <c r="K235" s="14"/>
      <c r="L235" s="14"/>
      <c r="M235" s="14" t="s">
        <v>4941</v>
      </c>
      <c r="N235" s="14"/>
      <c r="O235" s="14" t="s">
        <v>4942</v>
      </c>
      <c r="P235" s="14" t="str">
        <f>HYPERLINK("https://ceds.ed.gov/cedselementdetails.aspx?termid=17681")</f>
        <v>https://ceds.ed.gov/cedselementdetails.aspx?termid=17681</v>
      </c>
      <c r="Q235" s="14" t="str">
        <f>HYPERLINK("https://ceds.ed.gov/elementComment.aspx?elementName=Hearing Screening Date &amp;elementID=17681", "Click here to submit comment")</f>
        <v>Click here to submit comment</v>
      </c>
      <c r="R235" s="14">
        <v>47669</v>
      </c>
    </row>
    <row r="236" spans="1:18" ht="60" x14ac:dyDescent="0.25">
      <c r="A236" s="14" t="s">
        <v>8529</v>
      </c>
      <c r="B236" s="14" t="s">
        <v>8596</v>
      </c>
      <c r="C236" s="14" t="s">
        <v>8615</v>
      </c>
      <c r="D236" s="14" t="s">
        <v>8531</v>
      </c>
      <c r="E236" s="14" t="s">
        <v>4943</v>
      </c>
      <c r="F236" s="14" t="s">
        <v>4944</v>
      </c>
      <c r="G236" s="8" t="s">
        <v>8614</v>
      </c>
      <c r="H236" s="14" t="s">
        <v>2291</v>
      </c>
      <c r="I236" s="14"/>
      <c r="J236" s="14"/>
      <c r="K236" s="14"/>
      <c r="L236" s="14"/>
      <c r="M236" s="14" t="s">
        <v>4946</v>
      </c>
      <c r="N236" s="14"/>
      <c r="O236" s="14" t="s">
        <v>4947</v>
      </c>
      <c r="P236" s="14" t="str">
        <f>HYPERLINK("https://ceds.ed.gov/cedselementdetails.aspx?termid=17309")</f>
        <v>https://ceds.ed.gov/cedselementdetails.aspx?termid=17309</v>
      </c>
      <c r="Q236" s="14" t="str">
        <f>HYPERLINK("https://ceds.ed.gov/elementComment.aspx?elementName=Hearing Screening Status &amp;elementID=17309", "Click here to submit comment")</f>
        <v>Click here to submit comment</v>
      </c>
      <c r="R236" s="14">
        <v>47639</v>
      </c>
    </row>
    <row r="237" spans="1:18" ht="45" x14ac:dyDescent="0.25">
      <c r="A237" s="14" t="s">
        <v>8529</v>
      </c>
      <c r="B237" s="14" t="s">
        <v>8596</v>
      </c>
      <c r="C237" s="14" t="s">
        <v>8616</v>
      </c>
      <c r="D237" s="14" t="s">
        <v>8531</v>
      </c>
      <c r="E237" s="14" t="s">
        <v>3501</v>
      </c>
      <c r="F237" s="14" t="s">
        <v>3502</v>
      </c>
      <c r="G237" s="14" t="s">
        <v>37</v>
      </c>
      <c r="H237" s="14"/>
      <c r="I237" s="14"/>
      <c r="J237" s="14" t="s">
        <v>135</v>
      </c>
      <c r="K237" s="14"/>
      <c r="L237" s="14"/>
      <c r="M237" s="14" t="s">
        <v>3504</v>
      </c>
      <c r="N237" s="14"/>
      <c r="O237" s="14" t="s">
        <v>3505</v>
      </c>
      <c r="P237" s="14" t="str">
        <f>HYPERLINK("https://ceds.ed.gov/cedselementdetails.aspx?termid=17682")</f>
        <v>https://ceds.ed.gov/cedselementdetails.aspx?termid=17682</v>
      </c>
      <c r="Q237" s="14" t="str">
        <f>HYPERLINK("https://ceds.ed.gov/elementComment.aspx?elementName=Dental Screening Date &amp;elementID=17682", "Click here to submit comment")</f>
        <v>Click here to submit comment</v>
      </c>
      <c r="R237" s="14">
        <v>47670</v>
      </c>
    </row>
    <row r="238" spans="1:18" ht="135" x14ac:dyDescent="0.25">
      <c r="A238" s="14" t="s">
        <v>8529</v>
      </c>
      <c r="B238" s="14" t="s">
        <v>8596</v>
      </c>
      <c r="C238" s="14" t="s">
        <v>8616</v>
      </c>
      <c r="D238" s="14" t="s">
        <v>8531</v>
      </c>
      <c r="E238" s="14" t="s">
        <v>3506</v>
      </c>
      <c r="F238" s="14" t="s">
        <v>3507</v>
      </c>
      <c r="G238" s="8" t="s">
        <v>8617</v>
      </c>
      <c r="H238" s="14" t="s">
        <v>2291</v>
      </c>
      <c r="I238" s="14"/>
      <c r="J238" s="14"/>
      <c r="K238" s="14"/>
      <c r="L238" s="14"/>
      <c r="M238" s="14" t="s">
        <v>3509</v>
      </c>
      <c r="N238" s="14"/>
      <c r="O238" s="14" t="s">
        <v>3510</v>
      </c>
      <c r="P238" s="14" t="str">
        <f>HYPERLINK("https://ceds.ed.gov/cedselementdetails.aspx?termid=17310")</f>
        <v>https://ceds.ed.gov/cedselementdetails.aspx?termid=17310</v>
      </c>
      <c r="Q238" s="14" t="str">
        <f>HYPERLINK("https://ceds.ed.gov/elementComment.aspx?elementName=Dental Screening Status &amp;elementID=17310", "Click here to submit comment")</f>
        <v>Click here to submit comment</v>
      </c>
      <c r="R238" s="14">
        <v>47640</v>
      </c>
    </row>
    <row r="239" spans="1:18" ht="210" x14ac:dyDescent="0.25">
      <c r="A239" s="14" t="s">
        <v>8529</v>
      </c>
      <c r="B239" s="14" t="s">
        <v>8596</v>
      </c>
      <c r="C239" s="14" t="s">
        <v>8618</v>
      </c>
      <c r="D239" s="14" t="s">
        <v>8531</v>
      </c>
      <c r="E239" s="14" t="s">
        <v>5543</v>
      </c>
      <c r="F239" s="14" t="s">
        <v>5544</v>
      </c>
      <c r="G239" s="8" t="s">
        <v>8619</v>
      </c>
      <c r="H239" s="14" t="s">
        <v>3500</v>
      </c>
      <c r="I239" s="14"/>
      <c r="J239" s="14"/>
      <c r="K239" s="14"/>
      <c r="L239" s="14" t="s">
        <v>3497</v>
      </c>
      <c r="M239" s="14" t="s">
        <v>5545</v>
      </c>
      <c r="N239" s="14"/>
      <c r="O239" s="14" t="s">
        <v>5546</v>
      </c>
      <c r="P239" s="14" t="str">
        <f>HYPERLINK("https://ceds.ed.gov/cedselementdetails.aspx?termid=17334")</f>
        <v>https://ceds.ed.gov/cedselementdetails.aspx?termid=17334</v>
      </c>
      <c r="Q239" s="14" t="str">
        <f>HYPERLINK("https://ceds.ed.gov/elementComment.aspx?elementName=Insurance Coverage &amp;elementID=17334", "Click here to submit comment")</f>
        <v>Click here to submit comment</v>
      </c>
      <c r="R239" s="14">
        <v>47657</v>
      </c>
    </row>
    <row r="240" spans="1:18" ht="210" x14ac:dyDescent="0.25">
      <c r="A240" s="14" t="s">
        <v>8529</v>
      </c>
      <c r="B240" s="14" t="s">
        <v>8596</v>
      </c>
      <c r="C240" s="14" t="s">
        <v>8618</v>
      </c>
      <c r="D240" s="14" t="s">
        <v>8531</v>
      </c>
      <c r="E240" s="14" t="s">
        <v>3493</v>
      </c>
      <c r="F240" s="14" t="s">
        <v>3494</v>
      </c>
      <c r="G240" s="8" t="s">
        <v>8619</v>
      </c>
      <c r="H240" s="14" t="s">
        <v>3500</v>
      </c>
      <c r="I240" s="14"/>
      <c r="J240" s="14"/>
      <c r="K240" s="14"/>
      <c r="L240" s="14" t="s">
        <v>3497</v>
      </c>
      <c r="M240" s="14" t="s">
        <v>3498</v>
      </c>
      <c r="N240" s="14"/>
      <c r="O240" s="14" t="s">
        <v>3499</v>
      </c>
      <c r="P240" s="14" t="str">
        <f>HYPERLINK("https://ceds.ed.gov/cedselementdetails.aspx?termid=17335")</f>
        <v>https://ceds.ed.gov/cedselementdetails.aspx?termid=17335</v>
      </c>
      <c r="Q240" s="14" t="str">
        <f>HYPERLINK("https://ceds.ed.gov/elementComment.aspx?elementName=Dental Insurance Coverage Type &amp;elementID=17335", "Click here to submit comment")</f>
        <v>Click here to submit comment</v>
      </c>
      <c r="R240" s="14">
        <v>47658</v>
      </c>
    </row>
    <row r="241" spans="1:18" ht="45" x14ac:dyDescent="0.25">
      <c r="A241" s="14" t="s">
        <v>8529</v>
      </c>
      <c r="B241" s="14" t="s">
        <v>8596</v>
      </c>
      <c r="C241" s="14" t="s">
        <v>8620</v>
      </c>
      <c r="D241" s="14" t="s">
        <v>8531</v>
      </c>
      <c r="E241" s="14" t="s">
        <v>8480</v>
      </c>
      <c r="F241" s="14" t="s">
        <v>8481</v>
      </c>
      <c r="G241" s="14" t="s">
        <v>37</v>
      </c>
      <c r="H241" s="14" t="s">
        <v>2291</v>
      </c>
      <c r="I241" s="14"/>
      <c r="J241" s="14" t="s">
        <v>382</v>
      </c>
      <c r="K241" s="14"/>
      <c r="L241" s="14"/>
      <c r="M241" s="14" t="s">
        <v>8482</v>
      </c>
      <c r="N241" s="14"/>
      <c r="O241" s="14" t="s">
        <v>8483</v>
      </c>
      <c r="P241" s="14" t="str">
        <f>HYPERLINK("https://ceds.ed.gov/cedselementdetails.aspx?termid=17312")</f>
        <v>https://ceds.ed.gov/cedselementdetails.aspx?termid=17312</v>
      </c>
      <c r="Q241" s="14" t="str">
        <f>HYPERLINK("https://ceds.ed.gov/elementComment.aspx?elementName=Weight at Birth &amp;elementID=17312", "Click here to submit comment")</f>
        <v>Click here to submit comment</v>
      </c>
      <c r="R241" s="14">
        <v>47641</v>
      </c>
    </row>
    <row r="242" spans="1:18" ht="45" x14ac:dyDescent="0.25">
      <c r="A242" s="14" t="s">
        <v>8529</v>
      </c>
      <c r="B242" s="14" t="s">
        <v>8596</v>
      </c>
      <c r="C242" s="14" t="s">
        <v>8620</v>
      </c>
      <c r="D242" s="14" t="s">
        <v>8531</v>
      </c>
      <c r="E242" s="14" t="s">
        <v>8476</v>
      </c>
      <c r="F242" s="14" t="s">
        <v>8477</v>
      </c>
      <c r="G242" s="14" t="s">
        <v>37</v>
      </c>
      <c r="H242" s="14" t="s">
        <v>2291</v>
      </c>
      <c r="I242" s="14"/>
      <c r="J242" s="14" t="s">
        <v>370</v>
      </c>
      <c r="K242" s="14"/>
      <c r="L242" s="14"/>
      <c r="M242" s="14" t="s">
        <v>8478</v>
      </c>
      <c r="N242" s="14"/>
      <c r="O242" s="14" t="s">
        <v>8479</v>
      </c>
      <c r="P242" s="14" t="str">
        <f>HYPERLINK("https://ceds.ed.gov/cedselementdetails.aspx?termid=17313")</f>
        <v>https://ceds.ed.gov/cedselementdetails.aspx?termid=17313</v>
      </c>
      <c r="Q242" s="14" t="str">
        <f>HYPERLINK("https://ceds.ed.gov/elementComment.aspx?elementName=Weeks of Gestation &amp;elementID=17313", "Click here to submit comment")</f>
        <v>Click here to submit comment</v>
      </c>
      <c r="R242" s="14">
        <v>47642</v>
      </c>
    </row>
    <row r="243" spans="1:18" ht="90" x14ac:dyDescent="0.25">
      <c r="A243" s="14" t="s">
        <v>8529</v>
      </c>
      <c r="B243" s="14" t="s">
        <v>8596</v>
      </c>
      <c r="C243" s="14" t="s">
        <v>8620</v>
      </c>
      <c r="D243" s="14" t="s">
        <v>8531</v>
      </c>
      <c r="E243" s="14" t="s">
        <v>8369</v>
      </c>
      <c r="F243" s="14" t="s">
        <v>8370</v>
      </c>
      <c r="G243" s="8" t="s">
        <v>8621</v>
      </c>
      <c r="H243" s="14"/>
      <c r="I243" s="14"/>
      <c r="J243" s="14"/>
      <c r="K243" s="14"/>
      <c r="L243" s="14"/>
      <c r="M243" s="14" t="s">
        <v>8373</v>
      </c>
      <c r="N243" s="14"/>
      <c r="O243" s="14" t="s">
        <v>8374</v>
      </c>
      <c r="P243" s="14" t="str">
        <f>HYPERLINK("https://ceds.ed.gov/cedselementdetails.aspx?termid=18611")</f>
        <v>https://ceds.ed.gov/cedselementdetails.aspx?termid=18611</v>
      </c>
      <c r="Q243" s="14" t="str">
        <f>HYPERLINK("https://ceds.ed.gov/elementComment.aspx?elementName=Trimester When Prenatal Care Began &amp;elementID=18611", "Click here to submit comment")</f>
        <v>Click here to submit comment</v>
      </c>
      <c r="R243" s="14">
        <v>51112</v>
      </c>
    </row>
    <row r="244" spans="1:18" ht="240" x14ac:dyDescent="0.25">
      <c r="A244" s="14" t="s">
        <v>8529</v>
      </c>
      <c r="B244" s="14" t="s">
        <v>8596</v>
      </c>
      <c r="C244" s="14" t="s">
        <v>8622</v>
      </c>
      <c r="D244" s="14" t="s">
        <v>8531</v>
      </c>
      <c r="E244" s="14" t="s">
        <v>7539</v>
      </c>
      <c r="F244" s="14" t="s">
        <v>7540</v>
      </c>
      <c r="G244" s="8" t="s">
        <v>8623</v>
      </c>
      <c r="H244" s="14"/>
      <c r="I244" s="14"/>
      <c r="J244" s="14"/>
      <c r="K244" s="14"/>
      <c r="L244" s="14"/>
      <c r="M244" s="14" t="s">
        <v>7543</v>
      </c>
      <c r="N244" s="14"/>
      <c r="O244" s="14" t="s">
        <v>7544</v>
      </c>
      <c r="P244" s="14" t="str">
        <f>HYPERLINK("https://ceds.ed.gov/cedselementdetails.aspx?termid=18602")</f>
        <v>https://ceds.ed.gov/cedselementdetails.aspx?termid=18602</v>
      </c>
      <c r="Q244" s="14" t="str">
        <f>HYPERLINK("https://ceds.ed.gov/elementComment.aspx?elementName=Scheduled Well Child Screening &amp;elementID=18602", "Click here to submit comment")</f>
        <v>Click here to submit comment</v>
      </c>
      <c r="R244" s="14">
        <v>51101</v>
      </c>
    </row>
    <row r="245" spans="1:18" ht="45" x14ac:dyDescent="0.25">
      <c r="A245" s="14" t="s">
        <v>8529</v>
      </c>
      <c r="B245" s="14" t="s">
        <v>8596</v>
      </c>
      <c r="C245" s="14" t="s">
        <v>8622</v>
      </c>
      <c r="D245" s="14" t="s">
        <v>8531</v>
      </c>
      <c r="E245" s="14" t="s">
        <v>8484</v>
      </c>
      <c r="F245" s="14" t="s">
        <v>8485</v>
      </c>
      <c r="G245" s="14" t="s">
        <v>37</v>
      </c>
      <c r="H245" s="14"/>
      <c r="I245" s="14"/>
      <c r="J245" s="14" t="s">
        <v>135</v>
      </c>
      <c r="K245" s="14"/>
      <c r="L245" s="14"/>
      <c r="M245" s="14" t="s">
        <v>8486</v>
      </c>
      <c r="N245" s="14"/>
      <c r="O245" s="14" t="s">
        <v>8487</v>
      </c>
      <c r="P245" s="14" t="str">
        <f>HYPERLINK("https://ceds.ed.gov/cedselementdetails.aspx?termid=18612")</f>
        <v>https://ceds.ed.gov/cedselementdetails.aspx?termid=18612</v>
      </c>
      <c r="Q245" s="14" t="str">
        <f>HYPERLINK("https://ceds.ed.gov/elementComment.aspx?elementName=Well Child Screening Received Date &amp;elementID=18612", "Click here to submit comment")</f>
        <v>Click here to submit comment</v>
      </c>
      <c r="R245" s="14">
        <v>51113</v>
      </c>
    </row>
    <row r="246" spans="1:18" ht="180" x14ac:dyDescent="0.25">
      <c r="A246" s="14" t="s">
        <v>8529</v>
      </c>
      <c r="B246" s="14" t="s">
        <v>8596</v>
      </c>
      <c r="C246" s="14" t="s">
        <v>8624</v>
      </c>
      <c r="D246" s="14" t="s">
        <v>8531</v>
      </c>
      <c r="E246" s="14" t="s">
        <v>2285</v>
      </c>
      <c r="F246" s="14" t="s">
        <v>2286</v>
      </c>
      <c r="G246" s="8" t="s">
        <v>8625</v>
      </c>
      <c r="H246" s="14" t="s">
        <v>2291</v>
      </c>
      <c r="I246" s="14"/>
      <c r="J246" s="14"/>
      <c r="K246" s="14"/>
      <c r="L246" s="14"/>
      <c r="M246" s="14" t="s">
        <v>2289</v>
      </c>
      <c r="N246" s="14"/>
      <c r="O246" s="14" t="s">
        <v>2290</v>
      </c>
      <c r="P246" s="14" t="str">
        <f>HYPERLINK("https://ceds.ed.gov/cedselementdetails.aspx?termid=17314")</f>
        <v>https://ceds.ed.gov/cedselementdetails.aspx?termid=17314</v>
      </c>
      <c r="Q246" s="14" t="str">
        <f>HYPERLINK("https://ceds.ed.gov/elementComment.aspx?elementName=Child Developmental Screening Status &amp;elementID=17314", "Click here to submit comment")</f>
        <v>Click here to submit comment</v>
      </c>
      <c r="R246" s="14">
        <v>47643</v>
      </c>
    </row>
    <row r="247" spans="1:18" ht="255" x14ac:dyDescent="0.25">
      <c r="A247" s="14" t="s">
        <v>8529</v>
      </c>
      <c r="B247" s="14" t="s">
        <v>8596</v>
      </c>
      <c r="C247" s="14" t="s">
        <v>8624</v>
      </c>
      <c r="D247" s="14" t="s">
        <v>8531</v>
      </c>
      <c r="E247" s="14" t="s">
        <v>3537</v>
      </c>
      <c r="F247" s="14" t="s">
        <v>3538</v>
      </c>
      <c r="G247" s="8" t="s">
        <v>8626</v>
      </c>
      <c r="H247" s="14" t="s">
        <v>2291</v>
      </c>
      <c r="I247" s="14"/>
      <c r="J247" s="14"/>
      <c r="K247" s="14"/>
      <c r="L247" s="14"/>
      <c r="M247" s="14" t="s">
        <v>3540</v>
      </c>
      <c r="N247" s="14"/>
      <c r="O247" s="14" t="s">
        <v>3541</v>
      </c>
      <c r="P247" s="14" t="str">
        <f>HYPERLINK("https://ceds.ed.gov/cedselementdetails.aspx?termid=17315")</f>
        <v>https://ceds.ed.gov/cedselementdetails.aspx?termid=17315</v>
      </c>
      <c r="Q247" s="14" t="str">
        <f>HYPERLINK("https://ceds.ed.gov/elementComment.aspx?elementName=Developmental Evaluation Finding &amp;elementID=17315", "Click here to submit comment")</f>
        <v>Click here to submit comment</v>
      </c>
      <c r="R247" s="14">
        <v>47644</v>
      </c>
    </row>
    <row r="248" spans="1:18" ht="60" x14ac:dyDescent="0.25">
      <c r="A248" s="16" t="s">
        <v>8529</v>
      </c>
      <c r="B248" s="16" t="s">
        <v>8596</v>
      </c>
      <c r="C248" s="16" t="s">
        <v>8624</v>
      </c>
      <c r="D248" s="16" t="s">
        <v>8531</v>
      </c>
      <c r="E248" s="16" t="s">
        <v>576</v>
      </c>
      <c r="F248" s="16" t="s">
        <v>577</v>
      </c>
      <c r="G248" s="18" t="s">
        <v>8627</v>
      </c>
      <c r="H248" s="16" t="s">
        <v>583</v>
      </c>
      <c r="I248" s="16"/>
      <c r="J248" s="16"/>
      <c r="K248" s="16"/>
      <c r="L248" s="14" t="s">
        <v>580</v>
      </c>
      <c r="M248" s="16" t="s">
        <v>581</v>
      </c>
      <c r="N248" s="16"/>
      <c r="O248" s="16" t="s">
        <v>582</v>
      </c>
      <c r="P248" s="16" t="str">
        <f>HYPERLINK("https://ceds.ed.gov/cedselementdetails.aspx?termid=18003")</f>
        <v>https://ceds.ed.gov/cedselementdetails.aspx?termid=18003</v>
      </c>
      <c r="Q248" s="16" t="str">
        <f>HYPERLINK("https://ceds.ed.gov/elementComment.aspx?elementName=Assessment Early Learning Developmental Domain &amp;elementID=18003", "Click here to submit comment")</f>
        <v>Click here to submit comment</v>
      </c>
      <c r="R248" s="16">
        <v>48419</v>
      </c>
    </row>
    <row r="249" spans="1:18" x14ac:dyDescent="0.25">
      <c r="A249" s="16"/>
      <c r="B249" s="16"/>
      <c r="C249" s="16"/>
      <c r="D249" s="16"/>
      <c r="E249" s="16"/>
      <c r="F249" s="16"/>
      <c r="G249" s="16"/>
      <c r="H249" s="16"/>
      <c r="I249" s="16"/>
      <c r="J249" s="16"/>
      <c r="K249" s="16"/>
      <c r="L249" s="14"/>
      <c r="M249" s="16"/>
      <c r="N249" s="16"/>
      <c r="O249" s="16"/>
      <c r="P249" s="16"/>
      <c r="Q249" s="16"/>
      <c r="R249" s="16"/>
    </row>
    <row r="250" spans="1:18" ht="30" x14ac:dyDescent="0.25">
      <c r="A250" s="16"/>
      <c r="B250" s="16"/>
      <c r="C250" s="16"/>
      <c r="D250" s="16"/>
      <c r="E250" s="16"/>
      <c r="F250" s="16"/>
      <c r="G250" s="16"/>
      <c r="H250" s="16"/>
      <c r="I250" s="16"/>
      <c r="J250" s="16"/>
      <c r="K250" s="16"/>
      <c r="L250" s="14" t="s">
        <v>584</v>
      </c>
      <c r="M250" s="16"/>
      <c r="N250" s="16"/>
      <c r="O250" s="16"/>
      <c r="P250" s="16"/>
      <c r="Q250" s="16"/>
      <c r="R250" s="16"/>
    </row>
    <row r="251" spans="1:18" ht="45" x14ac:dyDescent="0.25">
      <c r="A251" s="16"/>
      <c r="B251" s="16"/>
      <c r="C251" s="16"/>
      <c r="D251" s="16"/>
      <c r="E251" s="16"/>
      <c r="F251" s="16"/>
      <c r="G251" s="16"/>
      <c r="H251" s="16"/>
      <c r="I251" s="16"/>
      <c r="J251" s="16"/>
      <c r="K251" s="16"/>
      <c r="L251" s="14" t="s">
        <v>585</v>
      </c>
      <c r="M251" s="16"/>
      <c r="N251" s="16"/>
      <c r="O251" s="16"/>
      <c r="P251" s="16"/>
      <c r="Q251" s="16"/>
      <c r="R251" s="16"/>
    </row>
    <row r="252" spans="1:18" ht="75" x14ac:dyDescent="0.25">
      <c r="A252" s="16"/>
      <c r="B252" s="16"/>
      <c r="C252" s="16"/>
      <c r="D252" s="16"/>
      <c r="E252" s="16"/>
      <c r="F252" s="16"/>
      <c r="G252" s="16"/>
      <c r="H252" s="16"/>
      <c r="I252" s="16"/>
      <c r="J252" s="16"/>
      <c r="K252" s="16"/>
      <c r="L252" s="14" t="s">
        <v>586</v>
      </c>
      <c r="M252" s="16"/>
      <c r="N252" s="16"/>
      <c r="O252" s="16"/>
      <c r="P252" s="16"/>
      <c r="Q252" s="16"/>
      <c r="R252" s="16"/>
    </row>
    <row r="253" spans="1:18" x14ac:dyDescent="0.25">
      <c r="A253" s="16"/>
      <c r="B253" s="16"/>
      <c r="C253" s="16"/>
      <c r="D253" s="16"/>
      <c r="E253" s="16"/>
      <c r="F253" s="16"/>
      <c r="G253" s="16"/>
      <c r="H253" s="16"/>
      <c r="I253" s="16"/>
      <c r="J253" s="16"/>
      <c r="K253" s="16"/>
      <c r="L253" s="14"/>
      <c r="M253" s="16"/>
      <c r="N253" s="16"/>
      <c r="O253" s="16"/>
      <c r="P253" s="16"/>
      <c r="Q253" s="16"/>
      <c r="R253" s="16"/>
    </row>
    <row r="254" spans="1:18" ht="105" x14ac:dyDescent="0.25">
      <c r="A254" s="16"/>
      <c r="B254" s="16"/>
      <c r="C254" s="16"/>
      <c r="D254" s="16"/>
      <c r="E254" s="16"/>
      <c r="F254" s="16"/>
      <c r="G254" s="16"/>
      <c r="H254" s="16"/>
      <c r="I254" s="16"/>
      <c r="J254" s="16"/>
      <c r="K254" s="16"/>
      <c r="L254" s="14" t="s">
        <v>587</v>
      </c>
      <c r="M254" s="16"/>
      <c r="N254" s="16"/>
      <c r="O254" s="16"/>
      <c r="P254" s="16"/>
      <c r="Q254" s="16"/>
      <c r="R254" s="16"/>
    </row>
    <row r="255" spans="1:18" ht="360" x14ac:dyDescent="0.25">
      <c r="A255" s="14" t="s">
        <v>8529</v>
      </c>
      <c r="B255" s="14" t="s">
        <v>8596</v>
      </c>
      <c r="C255" s="14" t="s">
        <v>8624</v>
      </c>
      <c r="D255" s="14" t="s">
        <v>8531</v>
      </c>
      <c r="E255" s="14" t="s">
        <v>1090</v>
      </c>
      <c r="F255" s="14" t="s">
        <v>1091</v>
      </c>
      <c r="G255" s="8" t="s">
        <v>8628</v>
      </c>
      <c r="H255" s="14" t="s">
        <v>1096</v>
      </c>
      <c r="I255" s="14"/>
      <c r="J255" s="14"/>
      <c r="K255" s="14"/>
      <c r="L255" s="14"/>
      <c r="M255" s="14" t="s">
        <v>1094</v>
      </c>
      <c r="N255" s="14"/>
      <c r="O255" s="14" t="s">
        <v>1095</v>
      </c>
      <c r="P255" s="14" t="str">
        <f>HYPERLINK("https://ceds.ed.gov/cedselementdetails.aspx?termid=17177")</f>
        <v>https://ceds.ed.gov/cedselementdetails.aspx?termid=17177</v>
      </c>
      <c r="Q255" s="14" t="str">
        <f>HYPERLINK("https://ceds.ed.gov/elementComment.aspx?elementName=Assessment Level for Which Designed &amp;elementID=17177", "Click here to submit comment")</f>
        <v>Click here to submit comment</v>
      </c>
      <c r="R255" s="14">
        <v>48505</v>
      </c>
    </row>
    <row r="256" spans="1:18" ht="300" x14ac:dyDescent="0.25">
      <c r="A256" s="14" t="s">
        <v>8529</v>
      </c>
      <c r="B256" s="14" t="s">
        <v>8596</v>
      </c>
      <c r="C256" s="14" t="s">
        <v>8629</v>
      </c>
      <c r="D256" s="14" t="s">
        <v>8531</v>
      </c>
      <c r="E256" s="14" t="s">
        <v>3843</v>
      </c>
      <c r="F256" s="14" t="s">
        <v>3844</v>
      </c>
      <c r="G256" s="8" t="s">
        <v>8630</v>
      </c>
      <c r="H256" s="14" t="s">
        <v>3500</v>
      </c>
      <c r="I256" s="14"/>
      <c r="J256" s="14"/>
      <c r="K256" s="14"/>
      <c r="L256" s="14"/>
      <c r="M256" s="14" t="s">
        <v>3847</v>
      </c>
      <c r="N256" s="14"/>
      <c r="O256" s="14" t="s">
        <v>3848</v>
      </c>
      <c r="P256" s="14" t="str">
        <f>HYPERLINK("https://ceds.ed.gov/cedselementdetails.aspx?termid=17304")</f>
        <v>https://ceds.ed.gov/cedselementdetails.aspx?termid=17304</v>
      </c>
      <c r="Q256" s="14" t="str">
        <f>HYPERLINK("https://ceds.ed.gov/elementComment.aspx?elementName=Early Learning Program Eligibility Category &amp;elementID=17304", "Click here to submit comment")</f>
        <v>Click here to submit comment</v>
      </c>
      <c r="R256" s="14">
        <v>47635</v>
      </c>
    </row>
    <row r="257" spans="1:18" ht="75" x14ac:dyDescent="0.25">
      <c r="A257" s="14" t="s">
        <v>8529</v>
      </c>
      <c r="B257" s="14" t="s">
        <v>8596</v>
      </c>
      <c r="C257" s="14" t="s">
        <v>8629</v>
      </c>
      <c r="D257" s="14" t="s">
        <v>8531</v>
      </c>
      <c r="E257" s="14" t="s">
        <v>3853</v>
      </c>
      <c r="F257" s="14" t="s">
        <v>3854</v>
      </c>
      <c r="G257" s="8" t="s">
        <v>8631</v>
      </c>
      <c r="H257" s="14"/>
      <c r="I257" s="14"/>
      <c r="J257" s="14"/>
      <c r="K257" s="14"/>
      <c r="L257" s="14"/>
      <c r="M257" s="14" t="s">
        <v>3856</v>
      </c>
      <c r="N257" s="14"/>
      <c r="O257" s="14" t="s">
        <v>3857</v>
      </c>
      <c r="P257" s="14" t="str">
        <f>HYPERLINK("https://ceds.ed.gov/cedselementdetails.aspx?termid=18306")</f>
        <v>https://ceds.ed.gov/cedselementdetails.aspx?termid=18306</v>
      </c>
      <c r="Q257" s="14" t="str">
        <f>HYPERLINK("https://ceds.ed.gov/elementComment.aspx?elementName=Early Learning Program Eligibility Status &amp;elementID=18306", "Click here to submit comment")</f>
        <v>Click here to submit comment</v>
      </c>
      <c r="R257" s="14">
        <v>50146</v>
      </c>
    </row>
    <row r="258" spans="1:18" ht="45" x14ac:dyDescent="0.25">
      <c r="A258" s="14" t="s">
        <v>8529</v>
      </c>
      <c r="B258" s="14" t="s">
        <v>8596</v>
      </c>
      <c r="C258" s="14" t="s">
        <v>8629</v>
      </c>
      <c r="D258" s="14" t="s">
        <v>8531</v>
      </c>
      <c r="E258" s="14" t="s">
        <v>3858</v>
      </c>
      <c r="F258" s="14" t="s">
        <v>3859</v>
      </c>
      <c r="G258" s="14" t="s">
        <v>37</v>
      </c>
      <c r="H258" s="14"/>
      <c r="I258" s="14"/>
      <c r="J258" s="14" t="s">
        <v>135</v>
      </c>
      <c r="K258" s="14"/>
      <c r="L258" s="14"/>
      <c r="M258" s="14" t="s">
        <v>3860</v>
      </c>
      <c r="N258" s="14"/>
      <c r="O258" s="14" t="s">
        <v>3861</v>
      </c>
      <c r="P258" s="14" t="str">
        <f>HYPERLINK("https://ceds.ed.gov/cedselementdetails.aspx?termid=18307")</f>
        <v>https://ceds.ed.gov/cedselementdetails.aspx?termid=18307</v>
      </c>
      <c r="Q258" s="14" t="str">
        <f>HYPERLINK("https://ceds.ed.gov/elementComment.aspx?elementName=Early Learning Program Eligibility Status Date &amp;elementID=18307", "Click here to submit comment")</f>
        <v>Click here to submit comment</v>
      </c>
      <c r="R258" s="14">
        <v>50147</v>
      </c>
    </row>
    <row r="259" spans="1:18" ht="45" x14ac:dyDescent="0.25">
      <c r="A259" s="14" t="s">
        <v>8529</v>
      </c>
      <c r="B259" s="14" t="s">
        <v>8596</v>
      </c>
      <c r="C259" s="14" t="s">
        <v>8629</v>
      </c>
      <c r="D259" s="14" t="s">
        <v>8531</v>
      </c>
      <c r="E259" s="14" t="s">
        <v>3849</v>
      </c>
      <c r="F259" s="14" t="s">
        <v>3850</v>
      </c>
      <c r="G259" s="14" t="s">
        <v>37</v>
      </c>
      <c r="H259" s="14"/>
      <c r="I259" s="14"/>
      <c r="J259" s="14" t="s">
        <v>135</v>
      </c>
      <c r="K259" s="14"/>
      <c r="L259" s="14"/>
      <c r="M259" s="14" t="s">
        <v>3851</v>
      </c>
      <c r="N259" s="14"/>
      <c r="O259" s="14" t="s">
        <v>3852</v>
      </c>
      <c r="P259" s="14" t="str">
        <f>HYPERLINK("https://ceds.ed.gov/cedselementdetails.aspx?termid=18305")</f>
        <v>https://ceds.ed.gov/cedselementdetails.aspx?termid=18305</v>
      </c>
      <c r="Q259" s="14" t="str">
        <f>HYPERLINK("https://ceds.ed.gov/elementComment.aspx?elementName=Early Learning Program Eligibility Expiration Date &amp;elementID=18305", "Click here to submit comment")</f>
        <v>Click here to submit comment</v>
      </c>
      <c r="R259" s="14">
        <v>50144</v>
      </c>
    </row>
    <row r="260" spans="1:18" ht="135" x14ac:dyDescent="0.25">
      <c r="A260" s="14" t="s">
        <v>8529</v>
      </c>
      <c r="B260" s="14" t="s">
        <v>8596</v>
      </c>
      <c r="C260" s="14" t="s">
        <v>8632</v>
      </c>
      <c r="D260" s="14" t="s">
        <v>8531</v>
      </c>
      <c r="E260" s="14" t="s">
        <v>5717</v>
      </c>
      <c r="F260" s="14" t="s">
        <v>5718</v>
      </c>
      <c r="G260" s="8" t="s">
        <v>8633</v>
      </c>
      <c r="H260" s="14" t="s">
        <v>5668</v>
      </c>
      <c r="I260" s="14" t="s">
        <v>195</v>
      </c>
      <c r="J260" s="14"/>
      <c r="K260" s="14" t="s">
        <v>2856</v>
      </c>
      <c r="L260" s="14"/>
      <c r="M260" s="14" t="s">
        <v>5721</v>
      </c>
      <c r="N260" s="14"/>
      <c r="O260" s="14" t="s">
        <v>5722</v>
      </c>
      <c r="P260" s="14" t="str">
        <f>HYPERLINK("https://ceds.ed.gov/cedselementdetails.aspx?termid=17316")</f>
        <v>https://ceds.ed.gov/cedselementdetails.aspx?termid=17316</v>
      </c>
      <c r="Q260" s="14" t="str">
        <f>HYPERLINK("https://ceds.ed.gov/elementComment.aspx?elementName=Language Type &amp;elementID=17316", "Click here to submit comment")</f>
        <v>Click here to submit comment</v>
      </c>
      <c r="R260" s="14">
        <v>47645</v>
      </c>
    </row>
    <row r="261" spans="1:18" ht="90" x14ac:dyDescent="0.25">
      <c r="A261" s="14" t="s">
        <v>8529</v>
      </c>
      <c r="B261" s="14" t="s">
        <v>8596</v>
      </c>
      <c r="C261" s="14" t="s">
        <v>8632</v>
      </c>
      <c r="D261" s="14" t="s">
        <v>8531</v>
      </c>
      <c r="E261" s="14" t="s">
        <v>5662</v>
      </c>
      <c r="F261" s="14" t="s">
        <v>5663</v>
      </c>
      <c r="G261" s="14" t="s">
        <v>8527</v>
      </c>
      <c r="H261" s="14" t="s">
        <v>5668</v>
      </c>
      <c r="I261" s="14" t="s">
        <v>195</v>
      </c>
      <c r="J261" s="14"/>
      <c r="K261" s="14" t="s">
        <v>5665</v>
      </c>
      <c r="L261" s="6" t="s">
        <v>1087</v>
      </c>
      <c r="M261" s="14" t="s">
        <v>5666</v>
      </c>
      <c r="N261" s="14"/>
      <c r="O261" s="14" t="s">
        <v>5667</v>
      </c>
      <c r="P261" s="14" t="str">
        <f>HYPERLINK("https://ceds.ed.gov/cedselementdetails.aspx?termid=17317")</f>
        <v>https://ceds.ed.gov/cedselementdetails.aspx?termid=17317</v>
      </c>
      <c r="Q261" s="14" t="str">
        <f>HYPERLINK("https://ceds.ed.gov/elementComment.aspx?elementName=ISO 639-2 Language Code &amp;elementID=17317", "Click here to submit comment")</f>
        <v>Click here to submit comment</v>
      </c>
      <c r="R261" s="14">
        <v>47646</v>
      </c>
    </row>
    <row r="262" spans="1:18" ht="105" x14ac:dyDescent="0.25">
      <c r="A262" s="14" t="s">
        <v>8529</v>
      </c>
      <c r="B262" s="14" t="s">
        <v>8596</v>
      </c>
      <c r="C262" s="14" t="s">
        <v>8632</v>
      </c>
      <c r="D262" s="14" t="s">
        <v>8531</v>
      </c>
      <c r="E262" s="14" t="s">
        <v>5669</v>
      </c>
      <c r="F262" s="14" t="s">
        <v>5663</v>
      </c>
      <c r="G262" s="14" t="s">
        <v>8527</v>
      </c>
      <c r="H262" s="14"/>
      <c r="I262" s="14" t="s">
        <v>195</v>
      </c>
      <c r="J262" s="14"/>
      <c r="K262" s="14" t="s">
        <v>5670</v>
      </c>
      <c r="L262" s="6" t="s">
        <v>5671</v>
      </c>
      <c r="M262" s="14" t="s">
        <v>5672</v>
      </c>
      <c r="N262" s="14"/>
      <c r="O262" s="14" t="s">
        <v>5673</v>
      </c>
      <c r="P262" s="14" t="str">
        <f>HYPERLINK("https://ceds.ed.gov/cedselementdetails.aspx?termid=18618")</f>
        <v>https://ceds.ed.gov/cedselementdetails.aspx?termid=18618</v>
      </c>
      <c r="Q262" s="14" t="str">
        <f>HYPERLINK("https://ceds.ed.gov/elementComment.aspx?elementName=ISO 639-3 Language Code &amp;elementID=18618", "Click here to submit comment")</f>
        <v>Click here to submit comment</v>
      </c>
      <c r="R262" s="14">
        <v>51219</v>
      </c>
    </row>
    <row r="263" spans="1:18" ht="409.5" x14ac:dyDescent="0.25">
      <c r="A263" s="14" t="s">
        <v>8529</v>
      </c>
      <c r="B263" s="14" t="s">
        <v>8596</v>
      </c>
      <c r="C263" s="14" t="s">
        <v>8632</v>
      </c>
      <c r="D263" s="14" t="s">
        <v>8531</v>
      </c>
      <c r="E263" s="14" t="s">
        <v>5674</v>
      </c>
      <c r="F263" s="14" t="s">
        <v>5675</v>
      </c>
      <c r="G263" s="8" t="s">
        <v>8634</v>
      </c>
      <c r="H263" s="14"/>
      <c r="I263" s="14" t="s">
        <v>195</v>
      </c>
      <c r="J263" s="14"/>
      <c r="K263" s="14" t="s">
        <v>2856</v>
      </c>
      <c r="L263" s="6" t="s">
        <v>5677</v>
      </c>
      <c r="M263" s="14" t="s">
        <v>5678</v>
      </c>
      <c r="N263" s="14"/>
      <c r="O263" s="14" t="s">
        <v>5679</v>
      </c>
      <c r="P263" s="14" t="str">
        <f>HYPERLINK("https://ceds.ed.gov/cedselementdetails.aspx?termid=18619")</f>
        <v>https://ceds.ed.gov/cedselementdetails.aspx?termid=18619</v>
      </c>
      <c r="Q263" s="14" t="str">
        <f>HYPERLINK("https://ceds.ed.gov/elementComment.aspx?elementName=ISO 639-5 Language Family &amp;elementID=18619", "Click here to submit comment")</f>
        <v>Click here to submit comment</v>
      </c>
      <c r="R263" s="14">
        <v>51226</v>
      </c>
    </row>
    <row r="264" spans="1:18" ht="45" x14ac:dyDescent="0.25">
      <c r="A264" s="14" t="s">
        <v>8529</v>
      </c>
      <c r="B264" s="14" t="s">
        <v>8596</v>
      </c>
      <c r="C264" s="14" t="s">
        <v>8635</v>
      </c>
      <c r="D264" s="14" t="s">
        <v>8531</v>
      </c>
      <c r="E264" s="14" t="s">
        <v>462</v>
      </c>
      <c r="F264" s="14" t="s">
        <v>463</v>
      </c>
      <c r="G264" s="14" t="s">
        <v>37</v>
      </c>
      <c r="H264" s="14" t="s">
        <v>467</v>
      </c>
      <c r="I264" s="14"/>
      <c r="J264" s="14" t="s">
        <v>135</v>
      </c>
      <c r="K264" s="14"/>
      <c r="L264" s="14"/>
      <c r="M264" s="14" t="s">
        <v>465</v>
      </c>
      <c r="N264" s="14"/>
      <c r="O264" s="14" t="s">
        <v>466</v>
      </c>
      <c r="P264" s="14" t="str">
        <f>HYPERLINK("https://ceds.ed.gov/cedselementdetails.aspx?termid=17323")</f>
        <v>https://ceds.ed.gov/cedselementdetails.aspx?termid=17323</v>
      </c>
      <c r="Q264" s="14" t="str">
        <f>HYPERLINK("https://ceds.ed.gov/elementComment.aspx?elementName=Application Date &amp;elementID=17323", "Click here to submit comment")</f>
        <v>Click here to submit comment</v>
      </c>
      <c r="R264" s="14">
        <v>47652</v>
      </c>
    </row>
    <row r="265" spans="1:18" ht="255" x14ac:dyDescent="0.25">
      <c r="A265" s="14" t="s">
        <v>8529</v>
      </c>
      <c r="B265" s="14" t="s">
        <v>8596</v>
      </c>
      <c r="C265" s="14" t="s">
        <v>8635</v>
      </c>
      <c r="D265" s="14" t="s">
        <v>8531</v>
      </c>
      <c r="E265" s="14" t="s">
        <v>5063</v>
      </c>
      <c r="F265" s="14" t="s">
        <v>5064</v>
      </c>
      <c r="G265" s="8" t="s">
        <v>8636</v>
      </c>
      <c r="H265" s="14" t="s">
        <v>258</v>
      </c>
      <c r="I265" s="14"/>
      <c r="J265" s="14"/>
      <c r="K265" s="14"/>
      <c r="L265" s="14"/>
      <c r="M265" s="14" t="s">
        <v>5067</v>
      </c>
      <c r="N265" s="14"/>
      <c r="O265" s="14" t="s">
        <v>5068</v>
      </c>
      <c r="P265" s="14" t="str">
        <f>HYPERLINK("https://ceds.ed.gov/cedselementdetails.aspx?termid=17550")</f>
        <v>https://ceds.ed.gov/cedselementdetails.aspx?termid=17550</v>
      </c>
      <c r="Q265" s="14" t="str">
        <f>HYPERLINK("https://ceds.ed.gov/elementComment.aspx?elementName=IDEA Educational Environment for Early Childhood &amp;elementID=17550", "Click here to submit comment")</f>
        <v>Click here to submit comment</v>
      </c>
      <c r="R265" s="14">
        <v>47660</v>
      </c>
    </row>
    <row r="266" spans="1:18" ht="45" x14ac:dyDescent="0.25">
      <c r="A266" s="14" t="s">
        <v>8529</v>
      </c>
      <c r="B266" s="14" t="s">
        <v>8596</v>
      </c>
      <c r="C266" s="14" t="s">
        <v>8635</v>
      </c>
      <c r="D266" s="14" t="s">
        <v>8531</v>
      </c>
      <c r="E266" s="14" t="s">
        <v>4076</v>
      </c>
      <c r="F266" s="14" t="s">
        <v>4077</v>
      </c>
      <c r="G266" s="14" t="s">
        <v>37</v>
      </c>
      <c r="H266" s="14" t="s">
        <v>467</v>
      </c>
      <c r="I266" s="14"/>
      <c r="J266" s="14" t="s">
        <v>135</v>
      </c>
      <c r="K266" s="14"/>
      <c r="L266" s="14"/>
      <c r="M266" s="14" t="s">
        <v>4079</v>
      </c>
      <c r="N266" s="14"/>
      <c r="O266" s="14" t="s">
        <v>4080</v>
      </c>
      <c r="P266" s="14" t="str">
        <f>HYPERLINK("https://ceds.ed.gov/cedselementdetails.aspx?termid=17324")</f>
        <v>https://ceds.ed.gov/cedselementdetails.aspx?termid=17324</v>
      </c>
      <c r="Q266" s="14" t="str">
        <f>HYPERLINK("https://ceds.ed.gov/elementComment.aspx?elementName=Enrollment Date &amp;elementID=17324", "Click here to submit comment")</f>
        <v>Click here to submit comment</v>
      </c>
      <c r="R266" s="14">
        <v>47653</v>
      </c>
    </row>
    <row r="267" spans="1:18" ht="195" x14ac:dyDescent="0.25">
      <c r="A267" s="14" t="s">
        <v>8529</v>
      </c>
      <c r="B267" s="14" t="s">
        <v>8596</v>
      </c>
      <c r="C267" s="14" t="s">
        <v>8635</v>
      </c>
      <c r="D267" s="14" t="s">
        <v>8531</v>
      </c>
      <c r="E267" s="14" t="s">
        <v>4081</v>
      </c>
      <c r="F267" s="14" t="s">
        <v>4082</v>
      </c>
      <c r="G267" s="14" t="s">
        <v>37</v>
      </c>
      <c r="H267" s="14" t="s">
        <v>4086</v>
      </c>
      <c r="I267" s="14"/>
      <c r="J267" s="14" t="s">
        <v>135</v>
      </c>
      <c r="K267" s="14"/>
      <c r="L267" s="14"/>
      <c r="M267" s="14" t="s">
        <v>4084</v>
      </c>
      <c r="N267" s="14"/>
      <c r="O267" s="14" t="s">
        <v>4085</v>
      </c>
      <c r="P267" s="14" t="str">
        <f>HYPERLINK("https://ceds.ed.gov/cedselementdetails.aspx?termid=17097")</f>
        <v>https://ceds.ed.gov/cedselementdetails.aspx?termid=17097</v>
      </c>
      <c r="Q267" s="14" t="str">
        <f>HYPERLINK("https://ceds.ed.gov/elementComment.aspx?elementName=Enrollment Entry Date &amp;elementID=17097", "Click here to submit comment")</f>
        <v>Click here to submit comment</v>
      </c>
      <c r="R267" s="14">
        <v>47620</v>
      </c>
    </row>
    <row r="268" spans="1:18" ht="75" x14ac:dyDescent="0.25">
      <c r="A268" s="14" t="s">
        <v>8529</v>
      </c>
      <c r="B268" s="14" t="s">
        <v>8596</v>
      </c>
      <c r="C268" s="14" t="s">
        <v>8635</v>
      </c>
      <c r="D268" s="14" t="s">
        <v>8531</v>
      </c>
      <c r="E268" s="14" t="s">
        <v>4087</v>
      </c>
      <c r="F268" s="14" t="s">
        <v>4088</v>
      </c>
      <c r="G268" s="14" t="s">
        <v>37</v>
      </c>
      <c r="H268" s="14" t="s">
        <v>65</v>
      </c>
      <c r="I268" s="14"/>
      <c r="J268" s="14" t="s">
        <v>135</v>
      </c>
      <c r="K268" s="14"/>
      <c r="L268" s="14" t="s">
        <v>160</v>
      </c>
      <c r="M268" s="14" t="s">
        <v>4090</v>
      </c>
      <c r="N268" s="14"/>
      <c r="O268" s="14" t="s">
        <v>4091</v>
      </c>
      <c r="P268" s="14" t="str">
        <f>HYPERLINK("https://ceds.ed.gov/cedselementdetails.aspx?termid=17107")</f>
        <v>https://ceds.ed.gov/cedselementdetails.aspx?termid=17107</v>
      </c>
      <c r="Q268" s="14" t="str">
        <f>HYPERLINK("https://ceds.ed.gov/elementComment.aspx?elementName=Enrollment Exit Date &amp;elementID=17107", "Click here to submit comment")</f>
        <v>Click here to submit comment</v>
      </c>
      <c r="R268" s="14">
        <v>47621</v>
      </c>
    </row>
    <row r="269" spans="1:18" ht="409.5" x14ac:dyDescent="0.25">
      <c r="A269" s="14" t="s">
        <v>8529</v>
      </c>
      <c r="B269" s="14" t="s">
        <v>8596</v>
      </c>
      <c r="C269" s="14" t="s">
        <v>8635</v>
      </c>
      <c r="D269" s="14" t="s">
        <v>8531</v>
      </c>
      <c r="E269" s="14" t="s">
        <v>4141</v>
      </c>
      <c r="F269" s="14" t="s">
        <v>4142</v>
      </c>
      <c r="G269" s="8" t="s">
        <v>8637</v>
      </c>
      <c r="H269" s="14"/>
      <c r="I269" s="14"/>
      <c r="J269" s="14"/>
      <c r="K269" s="14"/>
      <c r="L269" s="14"/>
      <c r="M269" s="14" t="s">
        <v>4145</v>
      </c>
      <c r="N269" s="14"/>
      <c r="O269" s="14" t="s">
        <v>4146</v>
      </c>
      <c r="P269" s="14" t="str">
        <f>HYPERLINK("https://ceds.ed.gov/cedselementdetails.aspx?termid=17222")</f>
        <v>https://ceds.ed.gov/cedselementdetails.aspx?termid=17222</v>
      </c>
      <c r="Q269" s="14" t="str">
        <f>HYPERLINK("https://ceds.ed.gov/elementComment.aspx?elementName=Exit Reason &amp;elementID=17222", "Click here to submit comment")</f>
        <v>Click here to submit comment</v>
      </c>
      <c r="R269" s="14">
        <v>50457</v>
      </c>
    </row>
    <row r="270" spans="1:18" ht="255" x14ac:dyDescent="0.25">
      <c r="A270" s="14" t="s">
        <v>8529</v>
      </c>
      <c r="B270" s="14" t="s">
        <v>8596</v>
      </c>
      <c r="C270" s="14" t="s">
        <v>8635</v>
      </c>
      <c r="D270" s="14" t="s">
        <v>8531</v>
      </c>
      <c r="E270" s="14" t="s">
        <v>6451</v>
      </c>
      <c r="F270" s="14" t="s">
        <v>6452</v>
      </c>
      <c r="G270" s="14" t="s">
        <v>37</v>
      </c>
      <c r="H270" s="14" t="s">
        <v>6457</v>
      </c>
      <c r="I270" s="14"/>
      <c r="J270" s="14" t="s">
        <v>1710</v>
      </c>
      <c r="K270" s="14"/>
      <c r="L270" s="14" t="s">
        <v>6454</v>
      </c>
      <c r="M270" s="14" t="s">
        <v>6455</v>
      </c>
      <c r="N270" s="14"/>
      <c r="O270" s="14" t="s">
        <v>6456</v>
      </c>
      <c r="P270" s="14" t="str">
        <f>HYPERLINK("https://ceds.ed.gov/cedselementdetails.aspx?termid=17202")</f>
        <v>https://ceds.ed.gov/cedselementdetails.aspx?termid=17202</v>
      </c>
      <c r="Q270" s="14" t="str">
        <f>HYPERLINK("https://ceds.ed.gov/elementComment.aspx?elementName=Number of Days in Attendance &amp;elementID=17202", "Click here to submit comment")</f>
        <v>Click here to submit comment</v>
      </c>
      <c r="R270" s="14">
        <v>47629</v>
      </c>
    </row>
    <row r="271" spans="1:18" ht="300" x14ac:dyDescent="0.25">
      <c r="A271" s="14" t="s">
        <v>8529</v>
      </c>
      <c r="B271" s="14" t="s">
        <v>8596</v>
      </c>
      <c r="C271" s="14" t="s">
        <v>8635</v>
      </c>
      <c r="D271" s="14" t="s">
        <v>8531</v>
      </c>
      <c r="E271" s="14" t="s">
        <v>6646</v>
      </c>
      <c r="F271" s="14" t="s">
        <v>6647</v>
      </c>
      <c r="G271" s="8" t="s">
        <v>8638</v>
      </c>
      <c r="H271" s="14" t="s">
        <v>467</v>
      </c>
      <c r="I271" s="14"/>
      <c r="J271" s="14"/>
      <c r="K271" s="14"/>
      <c r="L271" s="14"/>
      <c r="M271" s="14" t="s">
        <v>6650</v>
      </c>
      <c r="N271" s="14"/>
      <c r="O271" s="14" t="s">
        <v>6651</v>
      </c>
      <c r="P271" s="14" t="str">
        <f>HYPERLINK("https://ceds.ed.gov/cedselementdetails.aspx?termid=17325")</f>
        <v>https://ceds.ed.gov/cedselementdetails.aspx?termid=17325</v>
      </c>
      <c r="Q271" s="14" t="str">
        <f>HYPERLINK("https://ceds.ed.gov/elementComment.aspx?elementName=Participation in School Food Service Programs &amp;elementID=17325", "Click here to submit comment")</f>
        <v>Click here to submit comment</v>
      </c>
      <c r="R271" s="14">
        <v>47654</v>
      </c>
    </row>
    <row r="272" spans="1:18" ht="255" x14ac:dyDescent="0.25">
      <c r="A272" s="14" t="s">
        <v>8529</v>
      </c>
      <c r="B272" s="14" t="s">
        <v>8596</v>
      </c>
      <c r="C272" s="14" t="s">
        <v>8635</v>
      </c>
      <c r="D272" s="14" t="s">
        <v>8531</v>
      </c>
      <c r="E272" s="14" t="s">
        <v>6524</v>
      </c>
      <c r="F272" s="14" t="s">
        <v>6525</v>
      </c>
      <c r="G272" s="8" t="s">
        <v>8534</v>
      </c>
      <c r="H272" s="14" t="s">
        <v>125</v>
      </c>
      <c r="I272" s="14"/>
      <c r="J272" s="14"/>
      <c r="K272" s="14"/>
      <c r="L272" s="14"/>
      <c r="M272" s="14" t="s">
        <v>6528</v>
      </c>
      <c r="N272" s="14"/>
      <c r="O272" s="14" t="s">
        <v>6529</v>
      </c>
      <c r="P272" s="14" t="str">
        <f>HYPERLINK("https://ceds.ed.gov/cedselementdetails.aspx?termid=17827")</f>
        <v>https://ceds.ed.gov/cedselementdetails.aspx?termid=17827</v>
      </c>
      <c r="Q272" s="14" t="str">
        <f>HYPERLINK("https://ceds.ed.gov/elementComment.aspx?elementName=Organization Identification System &amp;elementID=17827", "Click here to submit comment")</f>
        <v>Click here to submit comment</v>
      </c>
      <c r="R272" s="14">
        <v>51377</v>
      </c>
    </row>
    <row r="273" spans="1:18" ht="60" x14ac:dyDescent="0.25">
      <c r="A273" s="16" t="s">
        <v>8529</v>
      </c>
      <c r="B273" s="16" t="s">
        <v>8596</v>
      </c>
      <c r="C273" s="16" t="s">
        <v>8635</v>
      </c>
      <c r="D273" s="16" t="s">
        <v>8531</v>
      </c>
      <c r="E273" s="16" t="s">
        <v>7409</v>
      </c>
      <c r="F273" s="16" t="s">
        <v>7410</v>
      </c>
      <c r="G273" s="16" t="s">
        <v>37</v>
      </c>
      <c r="H273" s="16"/>
      <c r="I273" s="16"/>
      <c r="J273" s="16" t="s">
        <v>149</v>
      </c>
      <c r="K273" s="16"/>
      <c r="L273" s="14" t="s">
        <v>7412</v>
      </c>
      <c r="M273" s="16" t="s">
        <v>7413</v>
      </c>
      <c r="N273" s="16"/>
      <c r="O273" s="16" t="s">
        <v>7414</v>
      </c>
      <c r="P273" s="16" t="str">
        <f>HYPERLINK("https://ceds.ed.gov/cedselementdetails.aspx?termid=18438")</f>
        <v>https://ceds.ed.gov/cedselementdetails.aspx?termid=18438</v>
      </c>
      <c r="Q273" s="16" t="str">
        <f>HYPERLINK("https://ceds.ed.gov/elementComment.aspx?elementName=Responsible Organization Identifier &amp;elementID=18438", "Click here to submit comment")</f>
        <v>Click here to submit comment</v>
      </c>
      <c r="R273" s="16">
        <v>51381</v>
      </c>
    </row>
    <row r="274" spans="1:18" x14ac:dyDescent="0.25">
      <c r="A274" s="16"/>
      <c r="B274" s="16"/>
      <c r="C274" s="16"/>
      <c r="D274" s="16"/>
      <c r="E274" s="16"/>
      <c r="F274" s="16"/>
      <c r="G274" s="16"/>
      <c r="H274" s="16"/>
      <c r="I274" s="16"/>
      <c r="J274" s="16"/>
      <c r="K274" s="16"/>
      <c r="L274" s="14"/>
      <c r="M274" s="16"/>
      <c r="N274" s="16"/>
      <c r="O274" s="16"/>
      <c r="P274" s="16"/>
      <c r="Q274" s="16"/>
      <c r="R274" s="16"/>
    </row>
    <row r="275" spans="1:18" ht="105" x14ac:dyDescent="0.25">
      <c r="A275" s="16"/>
      <c r="B275" s="16"/>
      <c r="C275" s="16"/>
      <c r="D275" s="16"/>
      <c r="E275" s="16"/>
      <c r="F275" s="16"/>
      <c r="G275" s="16"/>
      <c r="H275" s="16"/>
      <c r="I275" s="16"/>
      <c r="J275" s="16"/>
      <c r="K275" s="16"/>
      <c r="L275" s="14" t="s">
        <v>150</v>
      </c>
      <c r="M275" s="16"/>
      <c r="N275" s="16"/>
      <c r="O275" s="16"/>
      <c r="P275" s="16"/>
      <c r="Q275" s="16"/>
      <c r="R275" s="16"/>
    </row>
    <row r="276" spans="1:18" x14ac:dyDescent="0.25">
      <c r="A276" s="16"/>
      <c r="B276" s="16"/>
      <c r="C276" s="16"/>
      <c r="D276" s="16"/>
      <c r="E276" s="16"/>
      <c r="F276" s="16"/>
      <c r="G276" s="16"/>
      <c r="H276" s="16"/>
      <c r="I276" s="16"/>
      <c r="J276" s="16"/>
      <c r="K276" s="16"/>
      <c r="L276" s="14"/>
      <c r="M276" s="16"/>
      <c r="N276" s="16"/>
      <c r="O276" s="16"/>
      <c r="P276" s="16"/>
      <c r="Q276" s="16"/>
      <c r="R276" s="16"/>
    </row>
    <row r="277" spans="1:18" ht="90" x14ac:dyDescent="0.25">
      <c r="A277" s="16"/>
      <c r="B277" s="16"/>
      <c r="C277" s="16"/>
      <c r="D277" s="16"/>
      <c r="E277" s="16"/>
      <c r="F277" s="16"/>
      <c r="G277" s="16"/>
      <c r="H277" s="16"/>
      <c r="I277" s="16"/>
      <c r="J277" s="16"/>
      <c r="K277" s="16"/>
      <c r="L277" s="14" t="s">
        <v>153</v>
      </c>
      <c r="M277" s="16"/>
      <c r="N277" s="16"/>
      <c r="O277" s="16"/>
      <c r="P277" s="16"/>
      <c r="Q277" s="16"/>
      <c r="R277" s="16"/>
    </row>
    <row r="278" spans="1:18" ht="120" x14ac:dyDescent="0.25">
      <c r="A278" s="14" t="s">
        <v>8529</v>
      </c>
      <c r="B278" s="14" t="s">
        <v>8596</v>
      </c>
      <c r="C278" s="14" t="s">
        <v>8635</v>
      </c>
      <c r="D278" s="14" t="s">
        <v>8531</v>
      </c>
      <c r="E278" s="14" t="s">
        <v>7415</v>
      </c>
      <c r="F278" s="14" t="s">
        <v>7416</v>
      </c>
      <c r="G278" s="8" t="s">
        <v>8639</v>
      </c>
      <c r="H278" s="14"/>
      <c r="I278" s="14"/>
      <c r="J278" s="14"/>
      <c r="K278" s="14"/>
      <c r="L278" s="14" t="s">
        <v>7412</v>
      </c>
      <c r="M278" s="14" t="s">
        <v>7417</v>
      </c>
      <c r="N278" s="14"/>
      <c r="O278" s="14" t="s">
        <v>7418</v>
      </c>
      <c r="P278" s="14" t="str">
        <f>HYPERLINK("https://ceds.ed.gov/cedselementdetails.aspx?termid=18439")</f>
        <v>https://ceds.ed.gov/cedselementdetails.aspx?termid=18439</v>
      </c>
      <c r="Q278" s="14" t="str">
        <f>HYPERLINK("https://ceds.ed.gov/elementComment.aspx?elementName=Responsible Organization Type &amp;elementID=18439", "Click here to submit comment")</f>
        <v>Click here to submit comment</v>
      </c>
      <c r="R278" s="14">
        <v>51384</v>
      </c>
    </row>
    <row r="279" spans="1:18" ht="409.5" x14ac:dyDescent="0.25">
      <c r="A279" s="14" t="s">
        <v>8529</v>
      </c>
      <c r="B279" s="14" t="s">
        <v>8596</v>
      </c>
      <c r="C279" s="14" t="s">
        <v>8582</v>
      </c>
      <c r="D279" s="14" t="s">
        <v>8531</v>
      </c>
      <c r="E279" s="14" t="s">
        <v>3787</v>
      </c>
      <c r="F279" s="14" t="s">
        <v>3788</v>
      </c>
      <c r="G279" s="8" t="s">
        <v>8583</v>
      </c>
      <c r="H279" s="14"/>
      <c r="I279" s="14"/>
      <c r="J279" s="14"/>
      <c r="K279" s="14"/>
      <c r="L279" s="14"/>
      <c r="M279" s="14" t="s">
        <v>3791</v>
      </c>
      <c r="N279" s="14"/>
      <c r="O279" s="14" t="s">
        <v>3792</v>
      </c>
      <c r="P279" s="14" t="str">
        <f>HYPERLINK("https://ceds.ed.gov/cedselementdetails.aspx?termid=18294")</f>
        <v>https://ceds.ed.gov/cedselementdetails.aspx?termid=18294</v>
      </c>
      <c r="Q279" s="14" t="str">
        <f>HYPERLINK("https://ceds.ed.gov/elementComment.aspx?elementName=Early Learning Federal Funding Type &amp;elementID=18294", "Click here to submit comment")</f>
        <v>Click here to submit comment</v>
      </c>
      <c r="R279" s="14">
        <v>50134</v>
      </c>
    </row>
    <row r="280" spans="1:18" ht="120" x14ac:dyDescent="0.25">
      <c r="A280" s="14" t="s">
        <v>8529</v>
      </c>
      <c r="B280" s="14" t="s">
        <v>8596</v>
      </c>
      <c r="C280" s="14" t="s">
        <v>8582</v>
      </c>
      <c r="D280" s="14" t="s">
        <v>8531</v>
      </c>
      <c r="E280" s="14" t="s">
        <v>3812</v>
      </c>
      <c r="F280" s="14" t="s">
        <v>3813</v>
      </c>
      <c r="G280" s="8" t="s">
        <v>8584</v>
      </c>
      <c r="H280" s="14"/>
      <c r="I280" s="14"/>
      <c r="J280" s="14"/>
      <c r="K280" s="14"/>
      <c r="L280" s="14"/>
      <c r="M280" s="14" t="s">
        <v>3815</v>
      </c>
      <c r="N280" s="14"/>
      <c r="O280" s="14" t="s">
        <v>3816</v>
      </c>
      <c r="P280" s="14" t="str">
        <f>HYPERLINK("https://ceds.ed.gov/cedselementdetails.aspx?termid=18302")</f>
        <v>https://ceds.ed.gov/cedselementdetails.aspx?termid=18302</v>
      </c>
      <c r="Q280" s="14" t="str">
        <f>HYPERLINK("https://ceds.ed.gov/elementComment.aspx?elementName=Early Learning Other Federal Funding Sources &amp;elementID=18302", "Click here to submit comment")</f>
        <v>Click here to submit comment</v>
      </c>
      <c r="R280" s="14">
        <v>50141</v>
      </c>
    </row>
    <row r="281" spans="1:18" ht="75" x14ac:dyDescent="0.25">
      <c r="A281" s="14" t="s">
        <v>8529</v>
      </c>
      <c r="B281" s="14" t="s">
        <v>8596</v>
      </c>
      <c r="C281" s="14" t="s">
        <v>8582</v>
      </c>
      <c r="D281" s="14" t="s">
        <v>8531</v>
      </c>
      <c r="E281" s="14" t="s">
        <v>4468</v>
      </c>
      <c r="F281" s="14" t="s">
        <v>4469</v>
      </c>
      <c r="G281" s="14" t="s">
        <v>37</v>
      </c>
      <c r="H281" s="14" t="s">
        <v>258</v>
      </c>
      <c r="I281" s="14"/>
      <c r="J281" s="14" t="s">
        <v>4471</v>
      </c>
      <c r="K281" s="14"/>
      <c r="L281" s="14"/>
      <c r="M281" s="14" t="s">
        <v>4472</v>
      </c>
      <c r="N281" s="14"/>
      <c r="O281" s="14" t="s">
        <v>4473</v>
      </c>
      <c r="P281" s="14" t="str">
        <f>HYPERLINK("https://ceds.ed.gov/cedselementdetails.aspx?termid=17538")</f>
        <v>https://ceds.ed.gov/cedselementdetails.aspx?termid=17538</v>
      </c>
      <c r="Q281" s="14" t="str">
        <f>HYPERLINK("https://ceds.ed.gov/elementComment.aspx?elementName=Federal Program Code &amp;elementID=17538", "Click here to submit comment")</f>
        <v>Click here to submit comment</v>
      </c>
      <c r="R281" s="14">
        <v>50161</v>
      </c>
    </row>
    <row r="282" spans="1:18" ht="60" x14ac:dyDescent="0.25">
      <c r="A282" s="14" t="s">
        <v>8529</v>
      </c>
      <c r="B282" s="14" t="s">
        <v>8596</v>
      </c>
      <c r="C282" s="14" t="s">
        <v>8640</v>
      </c>
      <c r="D282" s="14" t="s">
        <v>8531</v>
      </c>
      <c r="E282" s="14" t="s">
        <v>1724</v>
      </c>
      <c r="F282" s="14" t="s">
        <v>1725</v>
      </c>
      <c r="G282" s="14" t="s">
        <v>24</v>
      </c>
      <c r="H282" s="14" t="s">
        <v>28</v>
      </c>
      <c r="I282" s="14"/>
      <c r="J282" s="14"/>
      <c r="K282" s="14"/>
      <c r="L282" s="14"/>
      <c r="M282" s="14" t="s">
        <v>1727</v>
      </c>
      <c r="N282" s="14"/>
      <c r="O282" s="14" t="s">
        <v>1728</v>
      </c>
      <c r="P282" s="14" t="str">
        <f>HYPERLINK("https://ceds.ed.gov/cedselementdetails.aspx?termid=17031")</f>
        <v>https://ceds.ed.gov/cedselementdetails.aspx?termid=17031</v>
      </c>
      <c r="Q282" s="14" t="str">
        <f>HYPERLINK("https://ceds.ed.gov/elementComment.aspx?elementName=Awaiting Initial IDEA Evaluation Status &amp;elementID=17031", "Click here to submit comment")</f>
        <v>Click here to submit comment</v>
      </c>
      <c r="R282" s="14">
        <v>51715</v>
      </c>
    </row>
    <row r="283" spans="1:18" ht="285" x14ac:dyDescent="0.25">
      <c r="A283" s="14" t="s">
        <v>8529</v>
      </c>
      <c r="B283" s="14" t="s">
        <v>8596</v>
      </c>
      <c r="C283" s="14" t="s">
        <v>8640</v>
      </c>
      <c r="D283" s="14" t="s">
        <v>8531</v>
      </c>
      <c r="E283" s="14" t="s">
        <v>5086</v>
      </c>
      <c r="F283" s="14" t="s">
        <v>5087</v>
      </c>
      <c r="G283" s="14" t="s">
        <v>24</v>
      </c>
      <c r="H283" s="14" t="s">
        <v>5090</v>
      </c>
      <c r="I283" s="14"/>
      <c r="J283" s="14"/>
      <c r="K283" s="14"/>
      <c r="L283" s="14"/>
      <c r="M283" s="14" t="s">
        <v>5088</v>
      </c>
      <c r="N283" s="14"/>
      <c r="O283" s="14" t="s">
        <v>5089</v>
      </c>
      <c r="P283" s="14" t="str">
        <f>HYPERLINK("https://ceds.ed.gov/cedselementdetails.aspx?termid=17151")</f>
        <v>https://ceds.ed.gov/cedselementdetails.aspx?termid=17151</v>
      </c>
      <c r="Q283" s="14" t="str">
        <f>HYPERLINK("https://ceds.ed.gov/elementComment.aspx?elementName=IDEA Indicator &amp;elementID=17151", "Click here to submit comment")</f>
        <v>Click here to submit comment</v>
      </c>
      <c r="R283" s="14">
        <v>51716</v>
      </c>
    </row>
    <row r="284" spans="1:18" ht="45" x14ac:dyDescent="0.25">
      <c r="A284" s="14" t="s">
        <v>8529</v>
      </c>
      <c r="B284" s="14" t="s">
        <v>8596</v>
      </c>
      <c r="C284" s="14" t="s">
        <v>8640</v>
      </c>
      <c r="D284" s="14" t="s">
        <v>8531</v>
      </c>
      <c r="E284" s="14" t="s">
        <v>3584</v>
      </c>
      <c r="F284" s="14" t="s">
        <v>3585</v>
      </c>
      <c r="G284" s="14" t="s">
        <v>24</v>
      </c>
      <c r="H284" s="14" t="s">
        <v>258</v>
      </c>
      <c r="I284" s="14"/>
      <c r="J284" s="14"/>
      <c r="K284" s="14"/>
      <c r="L284" s="14"/>
      <c r="M284" s="14" t="s">
        <v>3587</v>
      </c>
      <c r="N284" s="14"/>
      <c r="O284" s="14" t="s">
        <v>3588</v>
      </c>
      <c r="P284" s="14" t="str">
        <f>HYPERLINK("https://ceds.ed.gov/cedselementdetails.aspx?termid=17569")</f>
        <v>https://ceds.ed.gov/cedselementdetails.aspx?termid=17569</v>
      </c>
      <c r="Q284" s="14" t="str">
        <f>HYPERLINK("https://ceds.ed.gov/elementComment.aspx?elementName=Disability Status &amp;elementID=17569", "Click here to submit comment")</f>
        <v>Click here to submit comment</v>
      </c>
      <c r="R284" s="14">
        <v>51718</v>
      </c>
    </row>
    <row r="285" spans="1:18" ht="90" x14ac:dyDescent="0.25">
      <c r="A285" s="14" t="s">
        <v>8529</v>
      </c>
      <c r="B285" s="14" t="s">
        <v>8596</v>
      </c>
      <c r="C285" s="14" t="s">
        <v>8640</v>
      </c>
      <c r="D285" s="14" t="s">
        <v>8531</v>
      </c>
      <c r="E285" s="14" t="s">
        <v>7664</v>
      </c>
      <c r="F285" s="14" t="s">
        <v>7665</v>
      </c>
      <c r="G285" s="14" t="s">
        <v>24</v>
      </c>
      <c r="H285" s="14" t="s">
        <v>5090</v>
      </c>
      <c r="I285" s="14"/>
      <c r="J285" s="14"/>
      <c r="K285" s="14"/>
      <c r="L285" s="14"/>
      <c r="M285" s="14" t="s">
        <v>7667</v>
      </c>
      <c r="N285" s="14"/>
      <c r="O285" s="14" t="s">
        <v>7668</v>
      </c>
      <c r="P285" s="14" t="str">
        <f>HYPERLINK("https://ceds.ed.gov/cedselementdetails.aspx?termid=17249")</f>
        <v>https://ceds.ed.gov/cedselementdetails.aspx?termid=17249</v>
      </c>
      <c r="Q285" s="14" t="str">
        <f>HYPERLINK("https://ceds.ed.gov/elementComment.aspx?elementName=Section 504 Status &amp;elementID=17249", "Click here to submit comment")</f>
        <v>Click here to submit comment</v>
      </c>
      <c r="R285" s="14">
        <v>51717</v>
      </c>
    </row>
    <row r="286" spans="1:18" ht="210" x14ac:dyDescent="0.25">
      <c r="A286" s="14" t="s">
        <v>8529</v>
      </c>
      <c r="B286" s="14" t="s">
        <v>8596</v>
      </c>
      <c r="C286" s="14" t="s">
        <v>8640</v>
      </c>
      <c r="D286" s="14" t="s">
        <v>8531</v>
      </c>
      <c r="E286" s="14" t="s">
        <v>6857</v>
      </c>
      <c r="F286" s="14" t="s">
        <v>6858</v>
      </c>
      <c r="G286" s="8" t="s">
        <v>8641</v>
      </c>
      <c r="H286" s="14" t="s">
        <v>6864</v>
      </c>
      <c r="I286" s="14"/>
      <c r="J286" s="14"/>
      <c r="K286" s="14"/>
      <c r="L286" s="14" t="s">
        <v>6861</v>
      </c>
      <c r="M286" s="14" t="s">
        <v>6862</v>
      </c>
      <c r="N286" s="14"/>
      <c r="O286" s="14" t="s">
        <v>6863</v>
      </c>
      <c r="P286" s="14" t="str">
        <f>HYPERLINK("https://ceds.ed.gov/cedselementdetails.aspx?termid=17218")</f>
        <v>https://ceds.ed.gov/cedselementdetails.aspx?termid=17218</v>
      </c>
      <c r="Q286" s="14" t="str">
        <f>HYPERLINK("https://ceds.ed.gov/elementComment.aspx?elementName=Primary Disability Type &amp;elementID=17218", "Click here to submit comment")</f>
        <v>Click here to submit comment</v>
      </c>
      <c r="R286" s="14">
        <v>47631</v>
      </c>
    </row>
    <row r="287" spans="1:18" ht="255" x14ac:dyDescent="0.25">
      <c r="A287" s="14" t="s">
        <v>8529</v>
      </c>
      <c r="B287" s="14" t="s">
        <v>8596</v>
      </c>
      <c r="C287" s="14" t="s">
        <v>8640</v>
      </c>
      <c r="D287" s="14" t="s">
        <v>8531</v>
      </c>
      <c r="E287" s="14" t="s">
        <v>3571</v>
      </c>
      <c r="F287" s="14" t="s">
        <v>3572</v>
      </c>
      <c r="G287" s="8" t="s">
        <v>8642</v>
      </c>
      <c r="H287" s="14"/>
      <c r="I287" s="14"/>
      <c r="J287" s="14"/>
      <c r="K287" s="14"/>
      <c r="L287" s="14" t="s">
        <v>3575</v>
      </c>
      <c r="M287" s="14" t="s">
        <v>3576</v>
      </c>
      <c r="N287" s="14"/>
      <c r="O287" s="14" t="s">
        <v>3577</v>
      </c>
      <c r="P287" s="14" t="str">
        <f>HYPERLINK("https://ceds.ed.gov/cedselementdetails.aspx?termid=18286")</f>
        <v>https://ceds.ed.gov/cedselementdetails.aspx?termid=18286</v>
      </c>
      <c r="Q287" s="14" t="str">
        <f>HYPERLINK("https://ceds.ed.gov/elementComment.aspx?elementName=Disability Condition Type &amp;elementID=18286", "Click here to submit comment")</f>
        <v>Click here to submit comment</v>
      </c>
      <c r="R287" s="14">
        <v>50661</v>
      </c>
    </row>
    <row r="288" spans="1:18" ht="180" x14ac:dyDescent="0.25">
      <c r="A288" s="14" t="s">
        <v>8529</v>
      </c>
      <c r="B288" s="14" t="s">
        <v>8596</v>
      </c>
      <c r="C288" s="14" t="s">
        <v>8640</v>
      </c>
      <c r="D288" s="14" t="s">
        <v>8531</v>
      </c>
      <c r="E288" s="14" t="s">
        <v>3578</v>
      </c>
      <c r="F288" s="14" t="s">
        <v>3579</v>
      </c>
      <c r="G288" s="8" t="s">
        <v>8643</v>
      </c>
      <c r="H288" s="14"/>
      <c r="I288" s="14"/>
      <c r="J288" s="14"/>
      <c r="K288" s="14"/>
      <c r="L288" s="14" t="s">
        <v>3575</v>
      </c>
      <c r="M288" s="14" t="s">
        <v>3582</v>
      </c>
      <c r="N288" s="14"/>
      <c r="O288" s="14" t="s">
        <v>3583</v>
      </c>
      <c r="P288" s="14" t="str">
        <f>HYPERLINK("https://ceds.ed.gov/cedselementdetails.aspx?termid=18287")</f>
        <v>https://ceds.ed.gov/cedselementdetails.aspx?termid=18287</v>
      </c>
      <c r="Q288" s="14" t="str">
        <f>HYPERLINK("https://ceds.ed.gov/elementComment.aspx?elementName=Disability Determination Source Type &amp;elementID=18287", "Click here to submit comment")</f>
        <v>Click here to submit comment</v>
      </c>
      <c r="R288" s="14">
        <v>50663</v>
      </c>
    </row>
    <row r="289" spans="1:18" ht="255" x14ac:dyDescent="0.25">
      <c r="A289" s="14" t="s">
        <v>8529</v>
      </c>
      <c r="B289" s="14" t="s">
        <v>8596</v>
      </c>
      <c r="C289" s="14" t="s">
        <v>8640</v>
      </c>
      <c r="D289" s="14" t="s">
        <v>8531</v>
      </c>
      <c r="E289" s="14" t="s">
        <v>5063</v>
      </c>
      <c r="F289" s="14" t="s">
        <v>5064</v>
      </c>
      <c r="G289" s="8" t="s">
        <v>8636</v>
      </c>
      <c r="H289" s="14" t="s">
        <v>258</v>
      </c>
      <c r="I289" s="14"/>
      <c r="J289" s="14"/>
      <c r="K289" s="14"/>
      <c r="L289" s="14"/>
      <c r="M289" s="14" t="s">
        <v>5067</v>
      </c>
      <c r="N289" s="14"/>
      <c r="O289" s="14" t="s">
        <v>5068</v>
      </c>
      <c r="P289" s="14" t="str">
        <f>HYPERLINK("https://ceds.ed.gov/cedselementdetails.aspx?termid=17550")</f>
        <v>https://ceds.ed.gov/cedselementdetails.aspx?termid=17550</v>
      </c>
      <c r="Q289" s="14" t="str">
        <f>HYPERLINK("https://ceds.ed.gov/elementComment.aspx?elementName=IDEA Educational Environment for Early Childhood &amp;elementID=17550", "Click here to submit comment")</f>
        <v>Click here to submit comment</v>
      </c>
      <c r="R289" s="14">
        <v>51453</v>
      </c>
    </row>
    <row r="290" spans="1:18" ht="409.5" x14ac:dyDescent="0.25">
      <c r="A290" s="14" t="s">
        <v>8529</v>
      </c>
      <c r="B290" s="14" t="s">
        <v>8596</v>
      </c>
      <c r="C290" s="14" t="s">
        <v>8640</v>
      </c>
      <c r="D290" s="14" t="s">
        <v>8531</v>
      </c>
      <c r="E290" s="14" t="s">
        <v>4069</v>
      </c>
      <c r="F290" s="14" t="s">
        <v>4070</v>
      </c>
      <c r="G290" s="14" t="s">
        <v>24</v>
      </c>
      <c r="H290" s="14" t="s">
        <v>2157</v>
      </c>
      <c r="I290" s="14"/>
      <c r="J290" s="14"/>
      <c r="K290" s="14"/>
      <c r="L290" s="14" t="s">
        <v>4072</v>
      </c>
      <c r="M290" s="14" t="s">
        <v>4073</v>
      </c>
      <c r="N290" s="14" t="s">
        <v>4074</v>
      </c>
      <c r="O290" s="14" t="s">
        <v>4075</v>
      </c>
      <c r="P290" s="14" t="str">
        <f>HYPERLINK("https://ceds.ed.gov/cedselementdetails.aspx?termid=17180")</f>
        <v>https://ceds.ed.gov/cedselementdetails.aspx?termid=17180</v>
      </c>
      <c r="Q290" s="14" t="str">
        <f>HYPERLINK("https://ceds.ed.gov/elementComment.aspx?elementName=English Learner Status &amp;elementID=17180", "Click here to submit comment")</f>
        <v>Click here to submit comment</v>
      </c>
      <c r="R290" s="14">
        <v>51454</v>
      </c>
    </row>
    <row r="291" spans="1:18" ht="90" x14ac:dyDescent="0.25">
      <c r="A291" s="14" t="s">
        <v>8529</v>
      </c>
      <c r="B291" s="14" t="s">
        <v>8596</v>
      </c>
      <c r="C291" s="14" t="s">
        <v>8644</v>
      </c>
      <c r="D291" s="14" t="s">
        <v>8531</v>
      </c>
      <c r="E291" s="14" t="s">
        <v>7823</v>
      </c>
      <c r="F291" s="14" t="s">
        <v>7824</v>
      </c>
      <c r="G291" s="14" t="s">
        <v>37</v>
      </c>
      <c r="H291" s="14"/>
      <c r="I291" s="14"/>
      <c r="J291" s="14" t="s">
        <v>4773</v>
      </c>
      <c r="K291" s="14"/>
      <c r="L291" s="14"/>
      <c r="M291" s="14" t="s">
        <v>7825</v>
      </c>
      <c r="N291" s="14" t="s">
        <v>7826</v>
      </c>
      <c r="O291" s="14" t="s">
        <v>7827</v>
      </c>
      <c r="P291" s="14" t="str">
        <f>HYPERLINK("https://ceds.ed.gov/cedselementdetails.aspx?termid=18208")</f>
        <v>https://ceds.ed.gov/cedselementdetails.aspx?termid=18208</v>
      </c>
      <c r="Q291" s="14" t="str">
        <f>HYPERLINK("https://ceds.ed.gov/elementComment.aspx?elementName=Special Education Full Time Equivalency &amp;elementID=18208", "Click here to submit comment")</f>
        <v>Click here to submit comment</v>
      </c>
      <c r="R291" s="14">
        <v>48707</v>
      </c>
    </row>
    <row r="292" spans="1:18" ht="60" x14ac:dyDescent="0.25">
      <c r="A292" s="14" t="s">
        <v>8529</v>
      </c>
      <c r="B292" s="14" t="s">
        <v>8596</v>
      </c>
      <c r="C292" s="14" t="s">
        <v>8644</v>
      </c>
      <c r="D292" s="14" t="s">
        <v>8531</v>
      </c>
      <c r="E292" s="14" t="s">
        <v>7677</v>
      </c>
      <c r="F292" s="14" t="s">
        <v>7678</v>
      </c>
      <c r="G292" s="14" t="s">
        <v>37</v>
      </c>
      <c r="H292" s="14"/>
      <c r="I292" s="14"/>
      <c r="J292" s="14" t="s">
        <v>135</v>
      </c>
      <c r="K292" s="14"/>
      <c r="L292" s="14"/>
      <c r="M292" s="14" t="s">
        <v>7679</v>
      </c>
      <c r="N292" s="14"/>
      <c r="O292" s="14" t="s">
        <v>7680</v>
      </c>
      <c r="P292" s="14" t="str">
        <f>HYPERLINK("https://ceds.ed.gov/cedselementdetails.aspx?termid=17326")</f>
        <v>https://ceds.ed.gov/cedselementdetails.aspx?termid=17326</v>
      </c>
      <c r="Q292" s="14" t="str">
        <f>HYPERLINK("https://ceds.ed.gov/elementComment.aspx?elementName=Service Entry Date &amp;elementID=17326", "Click here to submit comment")</f>
        <v>Click here to submit comment</v>
      </c>
      <c r="R292" s="14">
        <v>47655</v>
      </c>
    </row>
    <row r="293" spans="1:18" ht="75" x14ac:dyDescent="0.25">
      <c r="A293" s="14" t="s">
        <v>8529</v>
      </c>
      <c r="B293" s="14" t="s">
        <v>8596</v>
      </c>
      <c r="C293" s="14" t="s">
        <v>8644</v>
      </c>
      <c r="D293" s="14" t="s">
        <v>8531</v>
      </c>
      <c r="E293" s="14" t="s">
        <v>7681</v>
      </c>
      <c r="F293" s="14" t="s">
        <v>7682</v>
      </c>
      <c r="G293" s="14" t="s">
        <v>37</v>
      </c>
      <c r="H293" s="14"/>
      <c r="I293" s="14"/>
      <c r="J293" s="14" t="s">
        <v>135</v>
      </c>
      <c r="K293" s="14"/>
      <c r="L293" s="14" t="s">
        <v>160</v>
      </c>
      <c r="M293" s="14" t="s">
        <v>7683</v>
      </c>
      <c r="N293" s="14"/>
      <c r="O293" s="14" t="s">
        <v>7684</v>
      </c>
      <c r="P293" s="14" t="str">
        <f>HYPERLINK("https://ceds.ed.gov/cedselementdetails.aspx?termid=17327")</f>
        <v>https://ceds.ed.gov/cedselementdetails.aspx?termid=17327</v>
      </c>
      <c r="Q293" s="14" t="str">
        <f>HYPERLINK("https://ceds.ed.gov/elementComment.aspx?elementName=Service Exit Date &amp;elementID=17327", "Click here to submit comment")</f>
        <v>Click here to submit comment</v>
      </c>
      <c r="R293" s="14">
        <v>47656</v>
      </c>
    </row>
    <row r="294" spans="1:18" ht="60" x14ac:dyDescent="0.25">
      <c r="A294" s="14" t="s">
        <v>8529</v>
      </c>
      <c r="B294" s="14" t="s">
        <v>8596</v>
      </c>
      <c r="C294" s="14" t="s">
        <v>8644</v>
      </c>
      <c r="D294" s="14" t="s">
        <v>8531</v>
      </c>
      <c r="E294" s="14" t="s">
        <v>3704</v>
      </c>
      <c r="F294" s="14" t="s">
        <v>3705</v>
      </c>
      <c r="G294" s="14" t="s">
        <v>24</v>
      </c>
      <c r="H294" s="14"/>
      <c r="I294" s="14"/>
      <c r="J294" s="14"/>
      <c r="K294" s="14"/>
      <c r="L294" s="14"/>
      <c r="M294" s="14" t="s">
        <v>3707</v>
      </c>
      <c r="N294" s="14"/>
      <c r="O294" s="14" t="s">
        <v>3708</v>
      </c>
      <c r="P294" s="14" t="str">
        <f>HYPERLINK("https://ceds.ed.gov/cedselementdetails.aspx?termid=18570")</f>
        <v>https://ceds.ed.gov/cedselementdetails.aspx?termid=18570</v>
      </c>
      <c r="Q294" s="14" t="str">
        <f>HYPERLINK("https://ceds.ed.gov/elementComment.aspx?elementName=Early Childhood Education and Assistance Program Eligibility &amp;elementID=18570", "Click here to submit comment")</f>
        <v>Click here to submit comment</v>
      </c>
      <c r="R294" s="14">
        <v>51060</v>
      </c>
    </row>
    <row r="295" spans="1:18" ht="345" x14ac:dyDescent="0.25">
      <c r="A295" s="14" t="s">
        <v>8529</v>
      </c>
      <c r="B295" s="14" t="s">
        <v>8596</v>
      </c>
      <c r="C295" s="14" t="s">
        <v>8644</v>
      </c>
      <c r="D295" s="14" t="s">
        <v>8531</v>
      </c>
      <c r="E295" s="14" t="s">
        <v>3714</v>
      </c>
      <c r="F295" s="14" t="s">
        <v>3715</v>
      </c>
      <c r="G295" s="8" t="s">
        <v>8645</v>
      </c>
      <c r="H295" s="14"/>
      <c r="I295" s="14"/>
      <c r="J295" s="14"/>
      <c r="K295" s="14"/>
      <c r="L295" s="14"/>
      <c r="M295" s="14" t="s">
        <v>3717</v>
      </c>
      <c r="N295" s="14"/>
      <c r="O295" s="14" t="s">
        <v>3718</v>
      </c>
      <c r="P295" s="14" t="str">
        <f>HYPERLINK("https://ceds.ed.gov/cedselementdetails.aspx?termid=18529")</f>
        <v>https://ceds.ed.gov/cedselementdetails.aspx?termid=18529</v>
      </c>
      <c r="Q295" s="14" t="str">
        <f>HYPERLINK("https://ceds.ed.gov/elementComment.aspx?elementName=Early Childhood Services Offered &amp;elementID=18529", "Click here to submit comment")</f>
        <v>Click here to submit comment</v>
      </c>
      <c r="R295" s="14">
        <v>50840</v>
      </c>
    </row>
    <row r="296" spans="1:18" ht="345" x14ac:dyDescent="0.25">
      <c r="A296" s="14" t="s">
        <v>8529</v>
      </c>
      <c r="B296" s="14" t="s">
        <v>8596</v>
      </c>
      <c r="C296" s="14" t="s">
        <v>8644</v>
      </c>
      <c r="D296" s="14" t="s">
        <v>8531</v>
      </c>
      <c r="E296" s="14" t="s">
        <v>3719</v>
      </c>
      <c r="F296" s="14" t="s">
        <v>3720</v>
      </c>
      <c r="G296" s="8" t="s">
        <v>8645</v>
      </c>
      <c r="H296" s="14" t="s">
        <v>2291</v>
      </c>
      <c r="I296" s="14"/>
      <c r="J296" s="14"/>
      <c r="K296" s="14"/>
      <c r="L296" s="14"/>
      <c r="M296" s="14" t="s">
        <v>3721</v>
      </c>
      <c r="N296" s="14"/>
      <c r="O296" s="14" t="s">
        <v>3722</v>
      </c>
      <c r="P296" s="14" t="str">
        <f>HYPERLINK("https://ceds.ed.gov/cedselementdetails.aspx?termid=17321")</f>
        <v>https://ceds.ed.gov/cedselementdetails.aspx?termid=17321</v>
      </c>
      <c r="Q296" s="14" t="str">
        <f>HYPERLINK("https://ceds.ed.gov/elementComment.aspx?elementName=Early Childhood Services Received &amp;elementID=17321", "Click here to submit comment")</f>
        <v>Click here to submit comment</v>
      </c>
      <c r="R296" s="14">
        <v>47650</v>
      </c>
    </row>
    <row r="297" spans="1:18" ht="45" x14ac:dyDescent="0.25">
      <c r="A297" s="14" t="s">
        <v>8529</v>
      </c>
      <c r="B297" s="14" t="s">
        <v>8596</v>
      </c>
      <c r="C297" s="14" t="s">
        <v>8644</v>
      </c>
      <c r="D297" s="14" t="s">
        <v>8531</v>
      </c>
      <c r="E297" s="14" t="s">
        <v>7294</v>
      </c>
      <c r="F297" s="14" t="s">
        <v>7295</v>
      </c>
      <c r="G297" s="14" t="s">
        <v>37</v>
      </c>
      <c r="H297" s="14"/>
      <c r="I297" s="14"/>
      <c r="J297" s="14" t="s">
        <v>382</v>
      </c>
      <c r="K297" s="14"/>
      <c r="L297" s="14"/>
      <c r="M297" s="14" t="s">
        <v>7297</v>
      </c>
      <c r="N297" s="14"/>
      <c r="O297" s="14" t="s">
        <v>7298</v>
      </c>
      <c r="P297" s="14" t="str">
        <f>HYPERLINK("https://ceds.ed.gov/cedselementdetails.aspx?termid=18460")</f>
        <v>https://ceds.ed.gov/cedselementdetails.aspx?termid=18460</v>
      </c>
      <c r="Q297" s="14" t="str">
        <f>HYPERLINK("https://ceds.ed.gov/elementComment.aspx?elementName=Reason for Declined Services &amp;elementID=18460", "Click here to submit comment")</f>
        <v>Click here to submit comment</v>
      </c>
      <c r="R297" s="14">
        <v>50426</v>
      </c>
    </row>
    <row r="298" spans="1:18" ht="120" x14ac:dyDescent="0.25">
      <c r="A298" s="14" t="s">
        <v>8529</v>
      </c>
      <c r="B298" s="14" t="s">
        <v>8596</v>
      </c>
      <c r="C298" s="14" t="s">
        <v>8644</v>
      </c>
      <c r="D298" s="14" t="s">
        <v>8531</v>
      </c>
      <c r="E298" s="14" t="s">
        <v>3884</v>
      </c>
      <c r="F298" s="14" t="s">
        <v>3885</v>
      </c>
      <c r="G298" s="8" t="s">
        <v>8646</v>
      </c>
      <c r="H298" s="14"/>
      <c r="I298" s="14"/>
      <c r="J298" s="14"/>
      <c r="K298" s="14"/>
      <c r="L298" s="14"/>
      <c r="M298" s="14" t="s">
        <v>3887</v>
      </c>
      <c r="N298" s="14"/>
      <c r="O298" s="14" t="s">
        <v>3888</v>
      </c>
      <c r="P298" s="14" t="str">
        <f>HYPERLINK("https://ceds.ed.gov/cedselementdetails.aspx?termid=18583")</f>
        <v>https://ceds.ed.gov/cedselementdetails.aspx?termid=18583</v>
      </c>
      <c r="Q298" s="14" t="str">
        <f>HYPERLINK("https://ceds.ed.gov/elementComment.aspx?elementName=Early Learning Service Type &amp;elementID=18583", "Click here to submit comment")</f>
        <v>Click here to submit comment</v>
      </c>
      <c r="R298" s="14">
        <v>51073</v>
      </c>
    </row>
    <row r="299" spans="1:18" ht="45" x14ac:dyDescent="0.25">
      <c r="A299" s="14" t="s">
        <v>8529</v>
      </c>
      <c r="B299" s="14" t="s">
        <v>8596</v>
      </c>
      <c r="C299" s="14" t="s">
        <v>8644</v>
      </c>
      <c r="D299" s="14" t="s">
        <v>8531</v>
      </c>
      <c r="E299" s="14" t="s">
        <v>3962</v>
      </c>
      <c r="F299" s="14" t="s">
        <v>3963</v>
      </c>
      <c r="G299" s="14" t="s">
        <v>37</v>
      </c>
      <c r="H299" s="14"/>
      <c r="I299" s="14"/>
      <c r="J299" s="14" t="s">
        <v>874</v>
      </c>
      <c r="K299" s="14"/>
      <c r="L299" s="14"/>
      <c r="M299" s="14" t="s">
        <v>3964</v>
      </c>
      <c r="N299" s="14"/>
      <c r="O299" s="14" t="s">
        <v>3965</v>
      </c>
      <c r="P299" s="14" t="str">
        <f>HYPERLINK("https://ceds.ed.gov/cedselementdetails.aspx?termid=18597")</f>
        <v>https://ceds.ed.gov/cedselementdetails.aspx?termid=18597</v>
      </c>
      <c r="Q299" s="14" t="str">
        <f>HYPERLINK("https://ceds.ed.gov/elementComment.aspx?elementName=Eligibility Priority Points &amp;elementID=18597", "Click here to submit comment")</f>
        <v>Click here to submit comment</v>
      </c>
      <c r="R299" s="14">
        <v>51096</v>
      </c>
    </row>
    <row r="300" spans="1:18" ht="45" x14ac:dyDescent="0.25">
      <c r="A300" s="14" t="s">
        <v>8529</v>
      </c>
      <c r="B300" s="14" t="s">
        <v>8596</v>
      </c>
      <c r="C300" s="14" t="s">
        <v>8644</v>
      </c>
      <c r="D300" s="14" t="s">
        <v>8531</v>
      </c>
      <c r="E300" s="14" t="s">
        <v>7673</v>
      </c>
      <c r="F300" s="14" t="s">
        <v>7674</v>
      </c>
      <c r="G300" s="14" t="s">
        <v>37</v>
      </c>
      <c r="H300" s="14"/>
      <c r="I300" s="14"/>
      <c r="J300" s="14" t="s">
        <v>135</v>
      </c>
      <c r="K300" s="14"/>
      <c r="L300" s="14"/>
      <c r="M300" s="14" t="s">
        <v>7675</v>
      </c>
      <c r="N300" s="14"/>
      <c r="O300" s="14" t="s">
        <v>7676</v>
      </c>
      <c r="P300" s="14" t="str">
        <f>HYPERLINK("https://ceds.ed.gov/cedselementdetails.aspx?termid=18616")</f>
        <v>https://ceds.ed.gov/cedselementdetails.aspx?termid=18616</v>
      </c>
      <c r="Q300" s="14" t="str">
        <f>HYPERLINK("https://ceds.ed.gov/elementComment.aspx?elementName=Service Date &amp;elementID=18616", "Click here to submit comment")</f>
        <v>Click here to submit comment</v>
      </c>
      <c r="R300" s="14">
        <v>51141</v>
      </c>
    </row>
    <row r="301" spans="1:18" ht="105" x14ac:dyDescent="0.25">
      <c r="A301" s="14" t="s">
        <v>8529</v>
      </c>
      <c r="B301" s="14" t="s">
        <v>8596</v>
      </c>
      <c r="C301" s="14" t="s">
        <v>8644</v>
      </c>
      <c r="D301" s="14" t="s">
        <v>8531</v>
      </c>
      <c r="E301" s="14" t="s">
        <v>4702</v>
      </c>
      <c r="F301" s="14" t="s">
        <v>4703</v>
      </c>
      <c r="G301" s="8" t="s">
        <v>8647</v>
      </c>
      <c r="H301" s="14"/>
      <c r="I301" s="14"/>
      <c r="J301" s="14"/>
      <c r="K301" s="14"/>
      <c r="L301" s="14"/>
      <c r="M301" s="14" t="s">
        <v>4705</v>
      </c>
      <c r="N301" s="14"/>
      <c r="O301" s="14" t="s">
        <v>4706</v>
      </c>
      <c r="P301" s="14" t="str">
        <f>HYPERLINK("https://ceds.ed.gov/cedselementdetails.aspx?termid=18323")</f>
        <v>https://ceds.ed.gov/cedselementdetails.aspx?termid=18323</v>
      </c>
      <c r="Q301" s="14" t="str">
        <f>HYPERLINK("https://ceds.ed.gov/elementComment.aspx?elementName=Frequency of Service &amp;elementID=18323", "Click here to submit comment")</f>
        <v>Click here to submit comment</v>
      </c>
      <c r="R301" s="14">
        <v>50208</v>
      </c>
    </row>
    <row r="302" spans="1:18" ht="270" x14ac:dyDescent="0.25">
      <c r="A302" s="14" t="s">
        <v>8529</v>
      </c>
      <c r="B302" s="14" t="s">
        <v>8596</v>
      </c>
      <c r="C302" s="14" t="s">
        <v>8644</v>
      </c>
      <c r="D302" s="14" t="s">
        <v>8531</v>
      </c>
      <c r="E302" s="14" t="s">
        <v>5450</v>
      </c>
      <c r="F302" s="14" t="s">
        <v>5451</v>
      </c>
      <c r="G302" s="8" t="s">
        <v>8648</v>
      </c>
      <c r="H302" s="14" t="s">
        <v>467</v>
      </c>
      <c r="I302" s="14"/>
      <c r="J302" s="14"/>
      <c r="K302" s="14"/>
      <c r="L302" s="14"/>
      <c r="M302" s="14" t="s">
        <v>5454</v>
      </c>
      <c r="N302" s="14"/>
      <c r="O302" s="14" t="s">
        <v>5455</v>
      </c>
      <c r="P302" s="14" t="str">
        <f>HYPERLINK("https://ceds.ed.gov/cedselementdetails.aspx?termid=17320")</f>
        <v>https://ceds.ed.gov/cedselementdetails.aspx?termid=17320</v>
      </c>
      <c r="Q302" s="14" t="str">
        <f>HYPERLINK("https://ceds.ed.gov/elementComment.aspx?elementName=Individualized Program Type &amp;elementID=17320", "Click here to submit comment")</f>
        <v>Click here to submit comment</v>
      </c>
      <c r="R302" s="14">
        <v>51140</v>
      </c>
    </row>
    <row r="303" spans="1:18" ht="45" x14ac:dyDescent="0.25">
      <c r="A303" s="14" t="s">
        <v>8529</v>
      </c>
      <c r="B303" s="14" t="s">
        <v>8596</v>
      </c>
      <c r="C303" s="14" t="s">
        <v>8644</v>
      </c>
      <c r="D303" s="14" t="s">
        <v>8531</v>
      </c>
      <c r="E303" s="14" t="s">
        <v>5368</v>
      </c>
      <c r="F303" s="14" t="s">
        <v>5369</v>
      </c>
      <c r="G303" s="14" t="s">
        <v>37</v>
      </c>
      <c r="H303" s="14"/>
      <c r="I303" s="14"/>
      <c r="J303" s="14" t="s">
        <v>135</v>
      </c>
      <c r="K303" s="14"/>
      <c r="L303" s="14" t="s">
        <v>5370</v>
      </c>
      <c r="M303" s="14" t="s">
        <v>5371</v>
      </c>
      <c r="N303" s="14"/>
      <c r="O303" s="14" t="s">
        <v>5372</v>
      </c>
      <c r="P303" s="14" t="str">
        <f>HYPERLINK("https://ceds.ed.gov/cedselementdetails.aspx?termid=18350")</f>
        <v>https://ceds.ed.gov/cedselementdetails.aspx?termid=18350</v>
      </c>
      <c r="Q303" s="14" t="str">
        <f>HYPERLINK("https://ceds.ed.gov/elementComment.aspx?elementName=Individualized Program Planned Service Start Date &amp;elementID=18350", "Click here to submit comment")</f>
        <v>Click here to submit comment</v>
      </c>
      <c r="R303" s="14">
        <v>50227</v>
      </c>
    </row>
    <row r="304" spans="1:18" ht="45" x14ac:dyDescent="0.25">
      <c r="A304" s="14" t="s">
        <v>8529</v>
      </c>
      <c r="B304" s="14" t="s">
        <v>8596</v>
      </c>
      <c r="C304" s="14" t="s">
        <v>8644</v>
      </c>
      <c r="D304" s="14" t="s">
        <v>8531</v>
      </c>
      <c r="E304" s="14" t="s">
        <v>5359</v>
      </c>
      <c r="F304" s="14" t="s">
        <v>5360</v>
      </c>
      <c r="G304" s="14" t="s">
        <v>37</v>
      </c>
      <c r="H304" s="14"/>
      <c r="I304" s="14"/>
      <c r="J304" s="14" t="s">
        <v>1710</v>
      </c>
      <c r="K304" s="14"/>
      <c r="L304" s="14"/>
      <c r="M304" s="14" t="s">
        <v>5361</v>
      </c>
      <c r="N304" s="14"/>
      <c r="O304" s="14" t="s">
        <v>5362</v>
      </c>
      <c r="P304" s="14" t="str">
        <f>HYPERLINK("https://ceds.ed.gov/cedselementdetails.aspx?termid=18493")</f>
        <v>https://ceds.ed.gov/cedselementdetails.aspx?termid=18493</v>
      </c>
      <c r="Q304" s="14" t="str">
        <f>HYPERLINK("https://ceds.ed.gov/elementComment.aspx?elementName=Individualized Program Planned Service Duration &amp;elementID=18493", "Click here to submit comment")</f>
        <v>Click here to submit comment</v>
      </c>
      <c r="R304" s="14">
        <v>50673</v>
      </c>
    </row>
    <row r="305" spans="1:18" ht="150" x14ac:dyDescent="0.25">
      <c r="A305" s="14" t="s">
        <v>8529</v>
      </c>
      <c r="B305" s="14" t="s">
        <v>8596</v>
      </c>
      <c r="C305" s="14" t="s">
        <v>8644</v>
      </c>
      <c r="D305" s="14" t="s">
        <v>8531</v>
      </c>
      <c r="E305" s="14" t="s">
        <v>5363</v>
      </c>
      <c r="F305" s="14" t="s">
        <v>5364</v>
      </c>
      <c r="G305" s="8" t="s">
        <v>8649</v>
      </c>
      <c r="H305" s="14"/>
      <c r="I305" s="14"/>
      <c r="J305" s="14"/>
      <c r="K305" s="14"/>
      <c r="L305" s="14"/>
      <c r="M305" s="14" t="s">
        <v>5366</v>
      </c>
      <c r="N305" s="14"/>
      <c r="O305" s="14" t="s">
        <v>5367</v>
      </c>
      <c r="P305" s="14" t="str">
        <f>HYPERLINK("https://ceds.ed.gov/cedselementdetails.aspx?termid=18492")</f>
        <v>https://ceds.ed.gov/cedselementdetails.aspx?termid=18492</v>
      </c>
      <c r="Q305" s="14" t="str">
        <f>HYPERLINK("https://ceds.ed.gov/elementComment.aspx?elementName=Individualized Program Planned Service Frequency &amp;elementID=18492", "Click here to submit comment")</f>
        <v>Click here to submit comment</v>
      </c>
      <c r="R305" s="14">
        <v>50672</v>
      </c>
    </row>
    <row r="306" spans="1:18" ht="300" x14ac:dyDescent="0.25">
      <c r="A306" s="14" t="s">
        <v>8529</v>
      </c>
      <c r="B306" s="14" t="s">
        <v>8596</v>
      </c>
      <c r="C306" s="14" t="s">
        <v>8644</v>
      </c>
      <c r="D306" s="14" t="s">
        <v>8531</v>
      </c>
      <c r="E306" s="14" t="s">
        <v>5373</v>
      </c>
      <c r="F306" s="14" t="s">
        <v>5374</v>
      </c>
      <c r="G306" s="8" t="s">
        <v>8650</v>
      </c>
      <c r="H306" s="14"/>
      <c r="I306" s="14"/>
      <c r="J306" s="14"/>
      <c r="K306" s="14"/>
      <c r="L306" s="14"/>
      <c r="M306" s="14" t="s">
        <v>5376</v>
      </c>
      <c r="N306" s="14"/>
      <c r="O306" s="14" t="s">
        <v>5377</v>
      </c>
      <c r="P306" s="14" t="str">
        <f>HYPERLINK("https://ceds.ed.gov/cedselementdetails.aspx?termid=18352")</f>
        <v>https://ceds.ed.gov/cedselementdetails.aspx?termid=18352</v>
      </c>
      <c r="Q306" s="14" t="str">
        <f>HYPERLINK("https://ceds.ed.gov/elementComment.aspx?elementName=Individualized Program Planned Service Type &amp;elementID=18352", "Click here to submit comment")</f>
        <v>Click here to submit comment</v>
      </c>
      <c r="R306" s="14">
        <v>50229</v>
      </c>
    </row>
    <row r="307" spans="1:18" ht="409.5" x14ac:dyDescent="0.25">
      <c r="A307" s="14" t="s">
        <v>8529</v>
      </c>
      <c r="B307" s="14" t="s">
        <v>8596</v>
      </c>
      <c r="C307" s="14" t="s">
        <v>8644</v>
      </c>
      <c r="D307" s="14" t="s">
        <v>8531</v>
      </c>
      <c r="E307" s="14" t="s">
        <v>7817</v>
      </c>
      <c r="F307" s="14" t="s">
        <v>7818</v>
      </c>
      <c r="G307" s="8" t="s">
        <v>8651</v>
      </c>
      <c r="H307" s="14" t="s">
        <v>258</v>
      </c>
      <c r="I307" s="14"/>
      <c r="J307" s="14"/>
      <c r="K307" s="14"/>
      <c r="L307" s="14"/>
      <c r="M307" s="14" t="s">
        <v>7821</v>
      </c>
      <c r="N307" s="14"/>
      <c r="O307" s="14" t="s">
        <v>7822</v>
      </c>
      <c r="P307" s="14" t="str">
        <f>HYPERLINK("https://ceds.ed.gov/cedselementdetails.aspx?termid=17260")</f>
        <v>https://ceds.ed.gov/cedselementdetails.aspx?termid=17260</v>
      </c>
      <c r="Q307" s="14" t="str">
        <f>HYPERLINK("https://ceds.ed.gov/elementComment.aspx?elementName=Special Education Exit Reason &amp;elementID=17260", "Click here to submit comment")</f>
        <v>Click here to submit comment</v>
      </c>
      <c r="R307" s="14">
        <v>50459</v>
      </c>
    </row>
    <row r="308" spans="1:18" ht="45" x14ac:dyDescent="0.25">
      <c r="A308" s="14" t="s">
        <v>8529</v>
      </c>
      <c r="B308" s="14" t="s">
        <v>8596</v>
      </c>
      <c r="C308" s="14" t="s">
        <v>8652</v>
      </c>
      <c r="D308" s="14" t="s">
        <v>8531</v>
      </c>
      <c r="E308" s="14" t="s">
        <v>462</v>
      </c>
      <c r="F308" s="14" t="s">
        <v>463</v>
      </c>
      <c r="G308" s="14" t="s">
        <v>37</v>
      </c>
      <c r="H308" s="14" t="s">
        <v>467</v>
      </c>
      <c r="I308" s="14"/>
      <c r="J308" s="14" t="s">
        <v>135</v>
      </c>
      <c r="K308" s="14"/>
      <c r="L308" s="14"/>
      <c r="M308" s="14" t="s">
        <v>465</v>
      </c>
      <c r="N308" s="14"/>
      <c r="O308" s="14" t="s">
        <v>466</v>
      </c>
      <c r="P308" s="14" t="str">
        <f>HYPERLINK("https://ceds.ed.gov/cedselementdetails.aspx?termid=17323")</f>
        <v>https://ceds.ed.gov/cedselementdetails.aspx?termid=17323</v>
      </c>
      <c r="Q308" s="14" t="str">
        <f>HYPERLINK("https://ceds.ed.gov/elementComment.aspx?elementName=Application Date &amp;elementID=17323", "Click here to submit comment")</f>
        <v>Click here to submit comment</v>
      </c>
      <c r="R308" s="14">
        <v>51000</v>
      </c>
    </row>
    <row r="309" spans="1:18" ht="105" x14ac:dyDescent="0.25">
      <c r="A309" s="16" t="s">
        <v>8529</v>
      </c>
      <c r="B309" s="16" t="s">
        <v>8596</v>
      </c>
      <c r="C309" s="16" t="s">
        <v>8652</v>
      </c>
      <c r="D309" s="16" t="s">
        <v>8531</v>
      </c>
      <c r="E309" s="16" t="s">
        <v>3728</v>
      </c>
      <c r="F309" s="16" t="s">
        <v>3729</v>
      </c>
      <c r="G309" s="16" t="s">
        <v>37</v>
      </c>
      <c r="H309" s="16"/>
      <c r="I309" s="16"/>
      <c r="J309" s="16" t="s">
        <v>149</v>
      </c>
      <c r="K309" s="16"/>
      <c r="L309" s="14" t="s">
        <v>150</v>
      </c>
      <c r="M309" s="16" t="s">
        <v>3731</v>
      </c>
      <c r="N309" s="16"/>
      <c r="O309" s="16" t="s">
        <v>3732</v>
      </c>
      <c r="P309" s="16" t="str">
        <f>HYPERLINK("https://ceds.ed.gov/cedselementdetails.aspx?termid=18576")</f>
        <v>https://ceds.ed.gov/cedselementdetails.aspx?termid=18576</v>
      </c>
      <c r="Q309" s="16" t="str">
        <f>HYPERLINK("https://ceds.ed.gov/elementComment.aspx?elementName=Early Learning Application Identifier &amp;elementID=18576", "Click here to submit comment")</f>
        <v>Click here to submit comment</v>
      </c>
      <c r="R309" s="16">
        <v>51066</v>
      </c>
    </row>
    <row r="310" spans="1:18" x14ac:dyDescent="0.25">
      <c r="A310" s="16"/>
      <c r="B310" s="16"/>
      <c r="C310" s="16"/>
      <c r="D310" s="16"/>
      <c r="E310" s="16"/>
      <c r="F310" s="16"/>
      <c r="G310" s="16"/>
      <c r="H310" s="16"/>
      <c r="I310" s="16"/>
      <c r="J310" s="16"/>
      <c r="K310" s="16"/>
      <c r="L310" s="14"/>
      <c r="M310" s="16"/>
      <c r="N310" s="16"/>
      <c r="O310" s="16"/>
      <c r="P310" s="16"/>
      <c r="Q310" s="16"/>
      <c r="R310" s="16"/>
    </row>
    <row r="311" spans="1:18" ht="90" x14ac:dyDescent="0.25">
      <c r="A311" s="16"/>
      <c r="B311" s="16"/>
      <c r="C311" s="16"/>
      <c r="D311" s="16"/>
      <c r="E311" s="16"/>
      <c r="F311" s="16"/>
      <c r="G311" s="16"/>
      <c r="H311" s="16"/>
      <c r="I311" s="16"/>
      <c r="J311" s="16"/>
      <c r="K311" s="16"/>
      <c r="L311" s="14" t="s">
        <v>153</v>
      </c>
      <c r="M311" s="16"/>
      <c r="N311" s="16"/>
      <c r="O311" s="16"/>
      <c r="P311" s="16"/>
      <c r="Q311" s="16"/>
      <c r="R311" s="16"/>
    </row>
    <row r="312" spans="1:18" ht="45" x14ac:dyDescent="0.25">
      <c r="A312" s="14" t="s">
        <v>8529</v>
      </c>
      <c r="B312" s="14" t="s">
        <v>8596</v>
      </c>
      <c r="C312" s="14" t="s">
        <v>8652</v>
      </c>
      <c r="D312" s="14" t="s">
        <v>8531</v>
      </c>
      <c r="E312" s="14" t="s">
        <v>3733</v>
      </c>
      <c r="F312" s="14" t="s">
        <v>3734</v>
      </c>
      <c r="G312" s="14" t="s">
        <v>24</v>
      </c>
      <c r="H312" s="14"/>
      <c r="I312" s="14"/>
      <c r="J312" s="14"/>
      <c r="K312" s="14"/>
      <c r="L312" s="14"/>
      <c r="M312" s="14" t="s">
        <v>3735</v>
      </c>
      <c r="N312" s="14"/>
      <c r="O312" s="14" t="s">
        <v>3736</v>
      </c>
      <c r="P312" s="14" t="str">
        <f>HYPERLINK("https://ceds.ed.gov/cedselementdetails.aspx?termid=18578")</f>
        <v>https://ceds.ed.gov/cedselementdetails.aspx?termid=18578</v>
      </c>
      <c r="Q312" s="14" t="str">
        <f>HYPERLINK("https://ceds.ed.gov/elementComment.aspx?elementName=Early Learning Application Required Document &amp;elementID=18578", "Click here to submit comment")</f>
        <v>Click here to submit comment</v>
      </c>
      <c r="R312" s="14">
        <v>51068</v>
      </c>
    </row>
    <row r="313" spans="1:18" ht="105" x14ac:dyDescent="0.25">
      <c r="A313" s="16" t="s">
        <v>8529</v>
      </c>
      <c r="B313" s="16" t="s">
        <v>8596</v>
      </c>
      <c r="C313" s="16" t="s">
        <v>8652</v>
      </c>
      <c r="D313" s="16" t="s">
        <v>8531</v>
      </c>
      <c r="E313" s="16" t="s">
        <v>3767</v>
      </c>
      <c r="F313" s="16" t="s">
        <v>3768</v>
      </c>
      <c r="G313" s="16" t="s">
        <v>37</v>
      </c>
      <c r="H313" s="16"/>
      <c r="I313" s="16"/>
      <c r="J313" s="16" t="s">
        <v>149</v>
      </c>
      <c r="K313" s="16"/>
      <c r="L313" s="14" t="s">
        <v>150</v>
      </c>
      <c r="M313" s="16" t="s">
        <v>3769</v>
      </c>
      <c r="N313" s="16"/>
      <c r="O313" s="16" t="s">
        <v>3770</v>
      </c>
      <c r="P313" s="16" t="str">
        <f>HYPERLINK("https://ceds.ed.gov/cedselementdetails.aspx?termid=18572")</f>
        <v>https://ceds.ed.gov/cedselementdetails.aspx?termid=18572</v>
      </c>
      <c r="Q313" s="16" t="str">
        <f>HYPERLINK("https://ceds.ed.gov/elementComment.aspx?elementName=Early Learning Enrollment Application Document Identifier &amp;elementID=18572", "Click here to submit comment")</f>
        <v>Click here to submit comment</v>
      </c>
      <c r="R313" s="16">
        <v>51062</v>
      </c>
    </row>
    <row r="314" spans="1:18" x14ac:dyDescent="0.25">
      <c r="A314" s="16"/>
      <c r="B314" s="16"/>
      <c r="C314" s="16"/>
      <c r="D314" s="16"/>
      <c r="E314" s="16"/>
      <c r="F314" s="16"/>
      <c r="G314" s="16"/>
      <c r="H314" s="16"/>
      <c r="I314" s="16"/>
      <c r="J314" s="16"/>
      <c r="K314" s="16"/>
      <c r="L314" s="14"/>
      <c r="M314" s="16"/>
      <c r="N314" s="16"/>
      <c r="O314" s="16"/>
      <c r="P314" s="16"/>
      <c r="Q314" s="16"/>
      <c r="R314" s="16"/>
    </row>
    <row r="315" spans="1:18" ht="90" x14ac:dyDescent="0.25">
      <c r="A315" s="16"/>
      <c r="B315" s="16"/>
      <c r="C315" s="16"/>
      <c r="D315" s="16"/>
      <c r="E315" s="16"/>
      <c r="F315" s="16"/>
      <c r="G315" s="16"/>
      <c r="H315" s="16"/>
      <c r="I315" s="16"/>
      <c r="J315" s="16"/>
      <c r="K315" s="16"/>
      <c r="L315" s="14" t="s">
        <v>153</v>
      </c>
      <c r="M315" s="16"/>
      <c r="N315" s="16"/>
      <c r="O315" s="16"/>
      <c r="P315" s="16"/>
      <c r="Q315" s="16"/>
      <c r="R315" s="16"/>
    </row>
    <row r="316" spans="1:18" ht="45" x14ac:dyDescent="0.25">
      <c r="A316" s="14" t="s">
        <v>8529</v>
      </c>
      <c r="B316" s="14" t="s">
        <v>8596</v>
      </c>
      <c r="C316" s="14" t="s">
        <v>8652</v>
      </c>
      <c r="D316" s="14" t="s">
        <v>8531</v>
      </c>
      <c r="E316" s="14" t="s">
        <v>3771</v>
      </c>
      <c r="F316" s="14" t="s">
        <v>3772</v>
      </c>
      <c r="G316" s="14" t="s">
        <v>37</v>
      </c>
      <c r="H316" s="14"/>
      <c r="I316" s="14"/>
      <c r="J316" s="14" t="s">
        <v>175</v>
      </c>
      <c r="K316" s="14"/>
      <c r="L316" s="14"/>
      <c r="M316" s="14" t="s">
        <v>3773</v>
      </c>
      <c r="N316" s="14"/>
      <c r="O316" s="14" t="s">
        <v>3774</v>
      </c>
      <c r="P316" s="14" t="str">
        <f>HYPERLINK("https://ceds.ed.gov/cedselementdetails.aspx?termid=18573")</f>
        <v>https://ceds.ed.gov/cedselementdetails.aspx?termid=18573</v>
      </c>
      <c r="Q316" s="14" t="str">
        <f>HYPERLINK("https://ceds.ed.gov/elementComment.aspx?elementName=Early Learning Enrollment Application Document Name &amp;elementID=18573", "Click here to submit comment")</f>
        <v>Click here to submit comment</v>
      </c>
      <c r="R316" s="14">
        <v>51063</v>
      </c>
    </row>
    <row r="317" spans="1:18" ht="45" x14ac:dyDescent="0.25">
      <c r="A317" s="14" t="s">
        <v>8529</v>
      </c>
      <c r="B317" s="14" t="s">
        <v>8596</v>
      </c>
      <c r="C317" s="14" t="s">
        <v>8652</v>
      </c>
      <c r="D317" s="14" t="s">
        <v>8531</v>
      </c>
      <c r="E317" s="14" t="s">
        <v>3775</v>
      </c>
      <c r="F317" s="14" t="s">
        <v>3776</v>
      </c>
      <c r="G317" s="14" t="s">
        <v>37</v>
      </c>
      <c r="H317" s="14"/>
      <c r="I317" s="14"/>
      <c r="J317" s="14" t="s">
        <v>874</v>
      </c>
      <c r="K317" s="14"/>
      <c r="L317" s="14"/>
      <c r="M317" s="14" t="s">
        <v>3777</v>
      </c>
      <c r="N317" s="14"/>
      <c r="O317" s="14" t="s">
        <v>3778</v>
      </c>
      <c r="P317" s="14" t="str">
        <f>HYPERLINK("https://ceds.ed.gov/cedselementdetails.aspx?termid=18574")</f>
        <v>https://ceds.ed.gov/cedselementdetails.aspx?termid=18574</v>
      </c>
      <c r="Q317" s="14" t="str">
        <f>HYPERLINK("https://ceds.ed.gov/elementComment.aspx?elementName=Early Learning Enrollment Application Document Type &amp;elementID=18574", "Click here to submit comment")</f>
        <v>Click here to submit comment</v>
      </c>
      <c r="R317" s="14">
        <v>51064</v>
      </c>
    </row>
    <row r="318" spans="1:18" ht="45" x14ac:dyDescent="0.25">
      <c r="A318" s="14" t="s">
        <v>8529</v>
      </c>
      <c r="B318" s="14" t="s">
        <v>8596</v>
      </c>
      <c r="C318" s="14" t="s">
        <v>8652</v>
      </c>
      <c r="D318" s="14" t="s">
        <v>8531</v>
      </c>
      <c r="E318" s="14" t="s">
        <v>3779</v>
      </c>
      <c r="F318" s="14" t="s">
        <v>3780</v>
      </c>
      <c r="G318" s="14" t="s">
        <v>37</v>
      </c>
      <c r="H318" s="14"/>
      <c r="I318" s="14"/>
      <c r="J318" s="14" t="s">
        <v>135</v>
      </c>
      <c r="K318" s="14"/>
      <c r="L318" s="14"/>
      <c r="M318" s="14" t="s">
        <v>3781</v>
      </c>
      <c r="N318" s="14"/>
      <c r="O318" s="14" t="s">
        <v>3782</v>
      </c>
      <c r="P318" s="14" t="str">
        <f>HYPERLINK("https://ceds.ed.gov/cedselementdetails.aspx?termid=18571")</f>
        <v>https://ceds.ed.gov/cedselementdetails.aspx?termid=18571</v>
      </c>
      <c r="Q318" s="14" t="str">
        <f>HYPERLINK("https://ceds.ed.gov/elementComment.aspx?elementName=Early Learning Enrollment Application Verification Date &amp;elementID=18571", "Click here to submit comment")</f>
        <v>Click here to submit comment</v>
      </c>
      <c r="R318" s="14">
        <v>51061</v>
      </c>
    </row>
    <row r="319" spans="1:18" ht="45" x14ac:dyDescent="0.25">
      <c r="A319" s="14" t="s">
        <v>8529</v>
      </c>
      <c r="B319" s="14" t="s">
        <v>8596</v>
      </c>
      <c r="C319" s="14" t="s">
        <v>8652</v>
      </c>
      <c r="D319" s="14" t="s">
        <v>8531</v>
      </c>
      <c r="E319" s="14" t="s">
        <v>3783</v>
      </c>
      <c r="F319" s="14" t="s">
        <v>3784</v>
      </c>
      <c r="G319" s="14" t="s">
        <v>37</v>
      </c>
      <c r="H319" s="14"/>
      <c r="I319" s="14"/>
      <c r="J319" s="14" t="s">
        <v>874</v>
      </c>
      <c r="K319" s="14"/>
      <c r="L319" s="14"/>
      <c r="M319" s="14" t="s">
        <v>3785</v>
      </c>
      <c r="N319" s="14"/>
      <c r="O319" s="14" t="s">
        <v>3786</v>
      </c>
      <c r="P319" s="14" t="str">
        <f>HYPERLINK("https://ceds.ed.gov/cedselementdetails.aspx?termid=18579")</f>
        <v>https://ceds.ed.gov/cedselementdetails.aspx?termid=18579</v>
      </c>
      <c r="Q319" s="14" t="str">
        <f>HYPERLINK("https://ceds.ed.gov/elementComment.aspx?elementName=Early Learning Enrollment Application Verification Reason Type &amp;elementID=18579", "Click here to submit comment")</f>
        <v>Click here to submit comment</v>
      </c>
      <c r="R319" s="14">
        <v>51069</v>
      </c>
    </row>
    <row r="320" spans="1:18" ht="45" x14ac:dyDescent="0.25">
      <c r="A320" s="14" t="s">
        <v>8529</v>
      </c>
      <c r="B320" s="14" t="s">
        <v>8596</v>
      </c>
      <c r="C320" s="14" t="s">
        <v>8652</v>
      </c>
      <c r="D320" s="14" t="s">
        <v>8531</v>
      </c>
      <c r="E320" s="14" t="s">
        <v>7790</v>
      </c>
      <c r="F320" s="14" t="s">
        <v>7791</v>
      </c>
      <c r="G320" s="14" t="s">
        <v>37</v>
      </c>
      <c r="H320" s="14"/>
      <c r="I320" s="14"/>
      <c r="J320" s="14" t="s">
        <v>129</v>
      </c>
      <c r="K320" s="14"/>
      <c r="L320" s="14"/>
      <c r="M320" s="14" t="s">
        <v>7792</v>
      </c>
      <c r="N320" s="14"/>
      <c r="O320" s="14" t="s">
        <v>7793</v>
      </c>
      <c r="P320" s="14" t="str">
        <f>HYPERLINK("https://ceds.ed.gov/cedselementdetails.aspx?termid=18608")</f>
        <v>https://ceds.ed.gov/cedselementdetails.aspx?termid=18608</v>
      </c>
      <c r="Q320" s="14" t="str">
        <f>HYPERLINK("https://ceds.ed.gov/elementComment.aspx?elementName=Site Preference Rank &amp;elementID=18608", "Click here to submit comment")</f>
        <v>Click here to submit comment</v>
      </c>
      <c r="R320" s="14">
        <v>51108</v>
      </c>
    </row>
    <row r="321" spans="1:18" ht="75" x14ac:dyDescent="0.25">
      <c r="A321" s="14" t="s">
        <v>8529</v>
      </c>
      <c r="B321" s="14" t="s">
        <v>8596</v>
      </c>
      <c r="C321" s="14" t="s">
        <v>8653</v>
      </c>
      <c r="D321" s="14" t="s">
        <v>8531</v>
      </c>
      <c r="E321" s="14" t="s">
        <v>7699</v>
      </c>
      <c r="F321" s="14" t="s">
        <v>7700</v>
      </c>
      <c r="G321" s="14" t="s">
        <v>37</v>
      </c>
      <c r="H321" s="14"/>
      <c r="I321" s="14"/>
      <c r="J321" s="14" t="s">
        <v>874</v>
      </c>
      <c r="K321" s="14"/>
      <c r="L321" s="14"/>
      <c r="M321" s="14" t="s">
        <v>7701</v>
      </c>
      <c r="N321" s="14"/>
      <c r="O321" s="14" t="s">
        <v>7702</v>
      </c>
      <c r="P321" s="14" t="str">
        <f>HYPERLINK("https://ceds.ed.gov/cedselementdetails.aspx?termid=18606")</f>
        <v>https://ceds.ed.gov/cedselementdetails.aspx?termid=18606</v>
      </c>
      <c r="Q321" s="14" t="str">
        <f>HYPERLINK("https://ceds.ed.gov/elementComment.aspx?elementName=Service Partner Name &amp;elementID=18606", "Click here to submit comment")</f>
        <v>Click here to submit comment</v>
      </c>
      <c r="R321" s="14">
        <v>51105</v>
      </c>
    </row>
    <row r="322" spans="1:18" ht="45" x14ac:dyDescent="0.25">
      <c r="A322" s="14" t="s">
        <v>8529</v>
      </c>
      <c r="B322" s="14" t="s">
        <v>8596</v>
      </c>
      <c r="C322" s="14" t="s">
        <v>8653</v>
      </c>
      <c r="D322" s="14" t="s">
        <v>8531</v>
      </c>
      <c r="E322" s="14" t="s">
        <v>7694</v>
      </c>
      <c r="F322" s="14" t="s">
        <v>7695</v>
      </c>
      <c r="G322" s="14" t="s">
        <v>37</v>
      </c>
      <c r="H322" s="14"/>
      <c r="I322" s="14"/>
      <c r="J322" s="14" t="s">
        <v>129</v>
      </c>
      <c r="K322" s="14"/>
      <c r="L322" s="14"/>
      <c r="M322" s="14" t="s">
        <v>7697</v>
      </c>
      <c r="N322" s="14"/>
      <c r="O322" s="14" t="s">
        <v>7698</v>
      </c>
      <c r="P322" s="14" t="str">
        <f>HYPERLINK("https://ceds.ed.gov/cedselementdetails.aspx?termid=18603")</f>
        <v>https://ceds.ed.gov/cedselementdetails.aspx?termid=18603</v>
      </c>
      <c r="Q322" s="14" t="str">
        <f>HYPERLINK("https://ceds.ed.gov/elementComment.aspx?elementName=Service Partner Description &amp;elementID=18603", "Click here to submit comment")</f>
        <v>Click here to submit comment</v>
      </c>
      <c r="R322" s="14">
        <v>51102</v>
      </c>
    </row>
    <row r="323" spans="1:18" ht="270" x14ac:dyDescent="0.25">
      <c r="A323" s="14" t="s">
        <v>8529</v>
      </c>
      <c r="B323" s="14" t="s">
        <v>8596</v>
      </c>
      <c r="C323" s="14" t="s">
        <v>8654</v>
      </c>
      <c r="D323" s="14" t="s">
        <v>8531</v>
      </c>
      <c r="E323" s="14" t="s">
        <v>5450</v>
      </c>
      <c r="F323" s="14" t="s">
        <v>5451</v>
      </c>
      <c r="G323" s="8" t="s">
        <v>8648</v>
      </c>
      <c r="H323" s="14" t="s">
        <v>467</v>
      </c>
      <c r="I323" s="14"/>
      <c r="J323" s="14"/>
      <c r="K323" s="14"/>
      <c r="L323" s="14"/>
      <c r="M323" s="14" t="s">
        <v>5454</v>
      </c>
      <c r="N323" s="14"/>
      <c r="O323" s="14" t="s">
        <v>5455</v>
      </c>
      <c r="P323" s="14" t="str">
        <f>HYPERLINK("https://ceds.ed.gov/cedselementdetails.aspx?termid=17320")</f>
        <v>https://ceds.ed.gov/cedselementdetails.aspx?termid=17320</v>
      </c>
      <c r="Q323" s="14" t="str">
        <f>HYPERLINK("https://ceds.ed.gov/elementComment.aspx?elementName=Individualized Program Type &amp;elementID=17320", "Click here to submit comment")</f>
        <v>Click here to submit comment</v>
      </c>
      <c r="R323" s="14">
        <v>47649</v>
      </c>
    </row>
    <row r="324" spans="1:18" ht="120" x14ac:dyDescent="0.25">
      <c r="A324" s="14" t="s">
        <v>8529</v>
      </c>
      <c r="B324" s="14" t="s">
        <v>8596</v>
      </c>
      <c r="C324" s="14" t="s">
        <v>8654</v>
      </c>
      <c r="D324" s="14" t="s">
        <v>8531</v>
      </c>
      <c r="E324" s="14" t="s">
        <v>5391</v>
      </c>
      <c r="F324" s="14" t="s">
        <v>5392</v>
      </c>
      <c r="G324" s="8" t="s">
        <v>8655</v>
      </c>
      <c r="H324" s="14"/>
      <c r="I324" s="14"/>
      <c r="J324" s="14"/>
      <c r="K324" s="14"/>
      <c r="L324" s="14"/>
      <c r="M324" s="14" t="s">
        <v>5394</v>
      </c>
      <c r="N324" s="14"/>
      <c r="O324" s="14" t="s">
        <v>5395</v>
      </c>
      <c r="P324" s="14" t="str">
        <f>HYPERLINK("https://ceds.ed.gov/cedselementdetails.aspx?termid=18196")</f>
        <v>https://ceds.ed.gov/cedselementdetails.aspx?termid=18196</v>
      </c>
      <c r="Q324" s="14" t="str">
        <f>HYPERLINK("https://ceds.ed.gov/elementComment.aspx?elementName=Individualized Program Service Plan Date Type &amp;elementID=18196", "Click here to submit comment")</f>
        <v>Click here to submit comment</v>
      </c>
      <c r="R324" s="14">
        <v>48684</v>
      </c>
    </row>
    <row r="325" spans="1:18" ht="45" x14ac:dyDescent="0.25">
      <c r="A325" s="14" t="s">
        <v>8529</v>
      </c>
      <c r="B325" s="14" t="s">
        <v>8596</v>
      </c>
      <c r="C325" s="14" t="s">
        <v>8654</v>
      </c>
      <c r="D325" s="14" t="s">
        <v>8531</v>
      </c>
      <c r="E325" s="14" t="s">
        <v>5387</v>
      </c>
      <c r="F325" s="14" t="s">
        <v>5388</v>
      </c>
      <c r="G325" s="14" t="s">
        <v>37</v>
      </c>
      <c r="H325" s="14"/>
      <c r="I325" s="14"/>
      <c r="J325" s="14" t="s">
        <v>135</v>
      </c>
      <c r="K325" s="14"/>
      <c r="L325" s="14"/>
      <c r="M325" s="14" t="s">
        <v>5389</v>
      </c>
      <c r="N325" s="14"/>
      <c r="O325" s="14" t="s">
        <v>5390</v>
      </c>
      <c r="P325" s="14" t="str">
        <f>HYPERLINK("https://ceds.ed.gov/cedselementdetails.aspx?termid=18201")</f>
        <v>https://ceds.ed.gov/cedselementdetails.aspx?termid=18201</v>
      </c>
      <c r="Q325" s="14" t="str">
        <f>HYPERLINK("https://ceds.ed.gov/elementComment.aspx?elementName=Individualized Program Service Plan Date &amp;elementID=18201", "Click here to submit comment")</f>
        <v>Click here to submit comment</v>
      </c>
      <c r="R325" s="14">
        <v>48694</v>
      </c>
    </row>
    <row r="326" spans="1:18" ht="45" x14ac:dyDescent="0.25">
      <c r="A326" s="14" t="s">
        <v>8529</v>
      </c>
      <c r="B326" s="14" t="s">
        <v>8596</v>
      </c>
      <c r="C326" s="14" t="s">
        <v>8654</v>
      </c>
      <c r="D326" s="14" t="s">
        <v>8531</v>
      </c>
      <c r="E326" s="14" t="s">
        <v>5345</v>
      </c>
      <c r="F326" s="14" t="s">
        <v>5346</v>
      </c>
      <c r="G326" s="14" t="s">
        <v>37</v>
      </c>
      <c r="H326" s="14"/>
      <c r="I326" s="14"/>
      <c r="J326" s="14" t="s">
        <v>135</v>
      </c>
      <c r="K326" s="14"/>
      <c r="L326" s="14"/>
      <c r="M326" s="14" t="s">
        <v>5348</v>
      </c>
      <c r="N326" s="14"/>
      <c r="O326" s="14" t="s">
        <v>5349</v>
      </c>
      <c r="P326" s="14" t="str">
        <f>HYPERLINK("https://ceds.ed.gov/cedselementdetails.aspx?termid=18197")</f>
        <v>https://ceds.ed.gov/cedselementdetails.aspx?termid=18197</v>
      </c>
      <c r="Q326" s="14" t="str">
        <f>HYPERLINK("https://ceds.ed.gov/elementComment.aspx?elementName=Individualized Program Date &amp;elementID=18197", "Click here to submit comment")</f>
        <v>Click here to submit comment</v>
      </c>
      <c r="R326" s="14">
        <v>48686</v>
      </c>
    </row>
    <row r="327" spans="1:18" ht="255" x14ac:dyDescent="0.25">
      <c r="A327" s="14" t="s">
        <v>8529</v>
      </c>
      <c r="B327" s="14" t="s">
        <v>8596</v>
      </c>
      <c r="C327" s="14" t="s">
        <v>8654</v>
      </c>
      <c r="D327" s="14" t="s">
        <v>8531</v>
      </c>
      <c r="E327" s="14" t="s">
        <v>5404</v>
      </c>
      <c r="F327" s="14" t="s">
        <v>5405</v>
      </c>
      <c r="G327" s="8" t="s">
        <v>8656</v>
      </c>
      <c r="H327" s="14"/>
      <c r="I327" s="14"/>
      <c r="J327" s="14"/>
      <c r="K327" s="14"/>
      <c r="L327" s="14"/>
      <c r="M327" s="14" t="s">
        <v>5407</v>
      </c>
      <c r="N327" s="14"/>
      <c r="O327" s="14" t="s">
        <v>5408</v>
      </c>
      <c r="P327" s="14" t="str">
        <f>HYPERLINK("https://ceds.ed.gov/cedselementdetails.aspx?termid=18202")</f>
        <v>https://ceds.ed.gov/cedselementdetails.aspx?termid=18202</v>
      </c>
      <c r="Q327" s="14" t="str">
        <f>HYPERLINK("https://ceds.ed.gov/elementComment.aspx?elementName=Individualized Program Service Plan Meeting Location &amp;elementID=18202", "Click here to submit comment")</f>
        <v>Click here to submit comment</v>
      </c>
      <c r="R327" s="14">
        <v>48696</v>
      </c>
    </row>
    <row r="328" spans="1:18" ht="45" x14ac:dyDescent="0.25">
      <c r="A328" s="14" t="s">
        <v>8529</v>
      </c>
      <c r="B328" s="14" t="s">
        <v>8596</v>
      </c>
      <c r="C328" s="14" t="s">
        <v>8654</v>
      </c>
      <c r="D328" s="14" t="s">
        <v>8531</v>
      </c>
      <c r="E328" s="14" t="s">
        <v>5409</v>
      </c>
      <c r="F328" s="14" t="s">
        <v>5410</v>
      </c>
      <c r="G328" s="14" t="s">
        <v>37</v>
      </c>
      <c r="H328" s="14"/>
      <c r="I328" s="14"/>
      <c r="J328" s="14" t="s">
        <v>382</v>
      </c>
      <c r="K328" s="14"/>
      <c r="L328" s="14"/>
      <c r="M328" s="14" t="s">
        <v>5411</v>
      </c>
      <c r="N328" s="14"/>
      <c r="O328" s="14" t="s">
        <v>5412</v>
      </c>
      <c r="P328" s="14" t="str">
        <f>HYPERLINK("https://ceds.ed.gov/cedselementdetails.aspx?termid=18203")</f>
        <v>https://ceds.ed.gov/cedselementdetails.aspx?termid=18203</v>
      </c>
      <c r="Q328" s="14" t="str">
        <f>HYPERLINK("https://ceds.ed.gov/elementComment.aspx?elementName=Individualized Program Service Plan Meeting Participants &amp;elementID=18203", "Click here to submit comment")</f>
        <v>Click here to submit comment</v>
      </c>
      <c r="R328" s="14">
        <v>48698</v>
      </c>
    </row>
    <row r="329" spans="1:18" ht="45" x14ac:dyDescent="0.25">
      <c r="A329" s="14" t="s">
        <v>8529</v>
      </c>
      <c r="B329" s="14" t="s">
        <v>8596</v>
      </c>
      <c r="C329" s="14" t="s">
        <v>8654</v>
      </c>
      <c r="D329" s="14" t="s">
        <v>8531</v>
      </c>
      <c r="E329" s="14" t="s">
        <v>5441</v>
      </c>
      <c r="F329" s="14" t="s">
        <v>5442</v>
      </c>
      <c r="G329" s="14" t="s">
        <v>37</v>
      </c>
      <c r="H329" s="14"/>
      <c r="I329" s="14"/>
      <c r="J329" s="14" t="s">
        <v>382</v>
      </c>
      <c r="K329" s="14"/>
      <c r="L329" s="14"/>
      <c r="M329" s="14" t="s">
        <v>5443</v>
      </c>
      <c r="N329" s="14"/>
      <c r="O329" s="14" t="s">
        <v>5444</v>
      </c>
      <c r="P329" s="14" t="str">
        <f>HYPERLINK("https://ceds.ed.gov/cedselementdetails.aspx?termid=18204")</f>
        <v>https://ceds.ed.gov/cedselementdetails.aspx?termid=18204</v>
      </c>
      <c r="Q329" s="14" t="str">
        <f>HYPERLINK("https://ceds.ed.gov/elementComment.aspx?elementName=Individualized Program Service Plan Signed By &amp;elementID=18204", "Click here to submit comment")</f>
        <v>Click here to submit comment</v>
      </c>
      <c r="R329" s="14">
        <v>48700</v>
      </c>
    </row>
    <row r="330" spans="1:18" ht="45" x14ac:dyDescent="0.25">
      <c r="A330" s="14" t="s">
        <v>8529</v>
      </c>
      <c r="B330" s="14" t="s">
        <v>8596</v>
      </c>
      <c r="C330" s="14" t="s">
        <v>8654</v>
      </c>
      <c r="D330" s="14" t="s">
        <v>8531</v>
      </c>
      <c r="E330" s="14" t="s">
        <v>5437</v>
      </c>
      <c r="F330" s="14" t="s">
        <v>5438</v>
      </c>
      <c r="G330" s="14" t="s">
        <v>37</v>
      </c>
      <c r="H330" s="14"/>
      <c r="I330" s="14"/>
      <c r="J330" s="14" t="s">
        <v>135</v>
      </c>
      <c r="K330" s="14"/>
      <c r="L330" s="14"/>
      <c r="M330" s="14" t="s">
        <v>5439</v>
      </c>
      <c r="N330" s="14"/>
      <c r="O330" s="14" t="s">
        <v>5440</v>
      </c>
      <c r="P330" s="14" t="str">
        <f>HYPERLINK("https://ceds.ed.gov/cedselementdetails.aspx?termid=18205")</f>
        <v>https://ceds.ed.gov/cedselementdetails.aspx?termid=18205</v>
      </c>
      <c r="Q330" s="14" t="str">
        <f>HYPERLINK("https://ceds.ed.gov/elementComment.aspx?elementName=Individualized Program Service Plan Signature Date &amp;elementID=18205", "Click here to submit comment")</f>
        <v>Click here to submit comment</v>
      </c>
      <c r="R330" s="14">
        <v>48702</v>
      </c>
    </row>
    <row r="331" spans="1:18" ht="45" x14ac:dyDescent="0.25">
      <c r="A331" s="14" t="s">
        <v>8529</v>
      </c>
      <c r="B331" s="14" t="s">
        <v>8596</v>
      </c>
      <c r="C331" s="14" t="s">
        <v>8654</v>
      </c>
      <c r="D331" s="14" t="s">
        <v>8531</v>
      </c>
      <c r="E331" s="14" t="s">
        <v>5433</v>
      </c>
      <c r="F331" s="14" t="s">
        <v>5434</v>
      </c>
      <c r="G331" s="14" t="s">
        <v>37</v>
      </c>
      <c r="H331" s="14"/>
      <c r="I331" s="14"/>
      <c r="J331" s="14" t="s">
        <v>135</v>
      </c>
      <c r="K331" s="14"/>
      <c r="L331" s="14"/>
      <c r="M331" s="14" t="s">
        <v>5435</v>
      </c>
      <c r="N331" s="14"/>
      <c r="O331" s="14" t="s">
        <v>5436</v>
      </c>
      <c r="P331" s="14" t="str">
        <f>HYPERLINK("https://ceds.ed.gov/cedselementdetails.aspx?termid=18207")</f>
        <v>https://ceds.ed.gov/cedselementdetails.aspx?termid=18207</v>
      </c>
      <c r="Q331" s="14" t="str">
        <f>HYPERLINK("https://ceds.ed.gov/elementComment.aspx?elementName=Individualized Program Service Plan Reevaluation Date &amp;elementID=18207", "Click here to submit comment")</f>
        <v>Click here to submit comment</v>
      </c>
      <c r="R331" s="14">
        <v>48704</v>
      </c>
    </row>
    <row r="332" spans="1:18" ht="45" x14ac:dyDescent="0.25">
      <c r="A332" s="14" t="s">
        <v>8529</v>
      </c>
      <c r="B332" s="14" t="s">
        <v>8596</v>
      </c>
      <c r="C332" s="14" t="s">
        <v>8654</v>
      </c>
      <c r="D332" s="14" t="s">
        <v>8531</v>
      </c>
      <c r="E332" s="14" t="s">
        <v>6214</v>
      </c>
      <c r="F332" s="14" t="s">
        <v>6215</v>
      </c>
      <c r="G332" s="8" t="s">
        <v>8657</v>
      </c>
      <c r="H332" s="14"/>
      <c r="I332" s="14"/>
      <c r="J332" s="14" t="s">
        <v>175</v>
      </c>
      <c r="K332" s="14"/>
      <c r="L332" s="14"/>
      <c r="M332" s="14" t="s">
        <v>6217</v>
      </c>
      <c r="N332" s="14"/>
      <c r="O332" s="14" t="s">
        <v>6218</v>
      </c>
      <c r="P332" s="14" t="str">
        <f>HYPERLINK("https://ceds.ed.gov/cedselementdetails.aspx?termid=18482")</f>
        <v>https://ceds.ed.gov/cedselementdetails.aspx?termid=18482</v>
      </c>
      <c r="Q332" s="14" t="str">
        <f>HYPERLINK("https://ceds.ed.gov/elementComment.aspx?elementName=Method of Service Delivery &amp;elementID=18482", "Click here to submit comment")</f>
        <v>Click here to submit comment</v>
      </c>
      <c r="R332" s="14">
        <v>50688</v>
      </c>
    </row>
    <row r="333" spans="1:18" ht="60" x14ac:dyDescent="0.25">
      <c r="A333" s="14" t="s">
        <v>8529</v>
      </c>
      <c r="B333" s="14" t="s">
        <v>8596</v>
      </c>
      <c r="C333" s="14" t="s">
        <v>8654</v>
      </c>
      <c r="D333" s="14" t="s">
        <v>8531</v>
      </c>
      <c r="E333" s="14" t="s">
        <v>5355</v>
      </c>
      <c r="F333" s="14" t="s">
        <v>5356</v>
      </c>
      <c r="G333" s="14" t="s">
        <v>37</v>
      </c>
      <c r="H333" s="14"/>
      <c r="I333" s="14"/>
      <c r="J333" s="14" t="s">
        <v>370</v>
      </c>
      <c r="K333" s="14"/>
      <c r="L333" s="14"/>
      <c r="M333" s="14" t="s">
        <v>5357</v>
      </c>
      <c r="N333" s="14"/>
      <c r="O333" s="14" t="s">
        <v>5358</v>
      </c>
      <c r="P333" s="14" t="str">
        <f>HYPERLINK("https://ceds.ed.gov/cedselementdetails.aspx?termid=18198")</f>
        <v>https://ceds.ed.gov/cedselementdetails.aspx?termid=18198</v>
      </c>
      <c r="Q333" s="14" t="str">
        <f>HYPERLINK("https://ceds.ed.gov/elementComment.aspx?elementName=Individualized Program NonInclusion Minutes Per Week &amp;elementID=18198", "Click here to submit comment")</f>
        <v>Click here to submit comment</v>
      </c>
      <c r="R333" s="14">
        <v>48688</v>
      </c>
    </row>
    <row r="334" spans="1:18" ht="60" x14ac:dyDescent="0.25">
      <c r="A334" s="14" t="s">
        <v>8529</v>
      </c>
      <c r="B334" s="14" t="s">
        <v>8596</v>
      </c>
      <c r="C334" s="14" t="s">
        <v>8654</v>
      </c>
      <c r="D334" s="14" t="s">
        <v>8531</v>
      </c>
      <c r="E334" s="14" t="s">
        <v>5350</v>
      </c>
      <c r="F334" s="14" t="s">
        <v>5351</v>
      </c>
      <c r="G334" s="14" t="s">
        <v>37</v>
      </c>
      <c r="H334" s="14"/>
      <c r="I334" s="14"/>
      <c r="J334" s="14" t="s">
        <v>370</v>
      </c>
      <c r="K334" s="14"/>
      <c r="L334" s="14"/>
      <c r="M334" s="14" t="s">
        <v>5353</v>
      </c>
      <c r="N334" s="14"/>
      <c r="O334" s="14" t="s">
        <v>5354</v>
      </c>
      <c r="P334" s="14" t="str">
        <f>HYPERLINK("https://ceds.ed.gov/cedselementdetails.aspx?termid=18199")</f>
        <v>https://ceds.ed.gov/cedselementdetails.aspx?termid=18199</v>
      </c>
      <c r="Q334" s="14" t="str">
        <f>HYPERLINK("https://ceds.ed.gov/elementComment.aspx?elementName=Individualized Program Inclusion Minutes Per Week &amp;elementID=18199", "Click here to submit comment")</f>
        <v>Click here to submit comment</v>
      </c>
      <c r="R334" s="14">
        <v>48690</v>
      </c>
    </row>
    <row r="335" spans="1:18" ht="60" x14ac:dyDescent="0.25">
      <c r="A335" s="14" t="s">
        <v>8529</v>
      </c>
      <c r="B335" s="14" t="s">
        <v>8596</v>
      </c>
      <c r="C335" s="14" t="s">
        <v>8654</v>
      </c>
      <c r="D335" s="14" t="s">
        <v>8531</v>
      </c>
      <c r="E335" s="14" t="s">
        <v>5080</v>
      </c>
      <c r="F335" s="14" t="s">
        <v>5081</v>
      </c>
      <c r="G335" s="8" t="s">
        <v>8658</v>
      </c>
      <c r="H335" s="14"/>
      <c r="I335" s="14"/>
      <c r="J335" s="14"/>
      <c r="K335" s="14"/>
      <c r="L335" s="14"/>
      <c r="M335" s="14" t="s">
        <v>5084</v>
      </c>
      <c r="N335" s="14"/>
      <c r="O335" s="14" t="s">
        <v>5085</v>
      </c>
      <c r="P335" s="14" t="str">
        <f>HYPERLINK("https://ceds.ed.gov/cedselementdetails.aspx?termid=18473")</f>
        <v>https://ceds.ed.gov/cedselementdetails.aspx?termid=18473</v>
      </c>
      <c r="Q335" s="14" t="str">
        <f>HYPERLINK("https://ceds.ed.gov/elementComment.aspx?elementName=IDEA IEP Status &amp;elementID=18473", "Click here to submit comment")</f>
        <v>Click here to submit comment</v>
      </c>
      <c r="R335" s="14">
        <v>50461</v>
      </c>
    </row>
    <row r="336" spans="1:18" ht="90" x14ac:dyDescent="0.25">
      <c r="A336" s="14" t="s">
        <v>8529</v>
      </c>
      <c r="B336" s="14" t="s">
        <v>8596</v>
      </c>
      <c r="C336" s="14" t="s">
        <v>8654</v>
      </c>
      <c r="D336" s="14" t="s">
        <v>8531</v>
      </c>
      <c r="E336" s="14" t="s">
        <v>5105</v>
      </c>
      <c r="F336" s="14" t="s">
        <v>5106</v>
      </c>
      <c r="G336" s="8" t="s">
        <v>8659</v>
      </c>
      <c r="H336" s="14"/>
      <c r="I336" s="14"/>
      <c r="J336" s="14"/>
      <c r="K336" s="14"/>
      <c r="L336" s="6" t="s">
        <v>5108</v>
      </c>
      <c r="M336" s="14" t="s">
        <v>5109</v>
      </c>
      <c r="N336" s="14"/>
      <c r="O336" s="14" t="s">
        <v>5110</v>
      </c>
      <c r="P336" s="14" t="str">
        <f>HYPERLINK("https://ceds.ed.gov/cedselementdetails.aspx?termid=18637")</f>
        <v>https://ceds.ed.gov/cedselementdetails.aspx?termid=18637</v>
      </c>
      <c r="Q336" s="14" t="str">
        <f>HYPERLINK("https://ceds.ed.gov/elementComment.aspx?elementName=IDEA Part C Eligibility Category &amp;elementID=18637", "Click here to submit comment")</f>
        <v>Click here to submit comment</v>
      </c>
      <c r="R336" s="14">
        <v>51354</v>
      </c>
    </row>
    <row r="337" spans="1:18" ht="45" x14ac:dyDescent="0.25">
      <c r="A337" s="14" t="s">
        <v>8529</v>
      </c>
      <c r="B337" s="14" t="s">
        <v>8596</v>
      </c>
      <c r="C337" s="14" t="s">
        <v>8654</v>
      </c>
      <c r="D337" s="14" t="s">
        <v>8531</v>
      </c>
      <c r="E337" s="14" t="s">
        <v>2189</v>
      </c>
      <c r="F337" s="14" t="s">
        <v>2190</v>
      </c>
      <c r="G337" s="14" t="s">
        <v>37</v>
      </c>
      <c r="H337" s="14"/>
      <c r="I337" s="14"/>
      <c r="J337" s="14" t="s">
        <v>135</v>
      </c>
      <c r="K337" s="14"/>
      <c r="L337" s="14"/>
      <c r="M337" s="14" t="s">
        <v>2192</v>
      </c>
      <c r="N337" s="14"/>
      <c r="O337" s="14" t="s">
        <v>2193</v>
      </c>
      <c r="P337" s="14" t="str">
        <f>HYPERLINK("https://ceds.ed.gov/cedselementdetails.aspx?termid=18255")</f>
        <v>https://ceds.ed.gov/cedselementdetails.aspx?termid=18255</v>
      </c>
      <c r="Q337" s="14" t="str">
        <f>HYPERLINK("https://ceds.ed.gov/elementComment.aspx?elementName=Career Education Plan Date &amp;elementID=18255", "Click here to submit comment")</f>
        <v>Click here to submit comment</v>
      </c>
      <c r="R337" s="14">
        <v>50826</v>
      </c>
    </row>
    <row r="338" spans="1:18" ht="75" x14ac:dyDescent="0.25">
      <c r="A338" s="14" t="s">
        <v>8529</v>
      </c>
      <c r="B338" s="14" t="s">
        <v>8596</v>
      </c>
      <c r="C338" s="14" t="s">
        <v>8654</v>
      </c>
      <c r="D338" s="14" t="s">
        <v>8531</v>
      </c>
      <c r="E338" s="14" t="s">
        <v>2194</v>
      </c>
      <c r="F338" s="14" t="s">
        <v>2195</v>
      </c>
      <c r="G338" s="8" t="s">
        <v>8660</v>
      </c>
      <c r="H338" s="14"/>
      <c r="I338" s="14" t="s">
        <v>195</v>
      </c>
      <c r="J338" s="14"/>
      <c r="K338" s="14" t="s">
        <v>2197</v>
      </c>
      <c r="L338" s="14"/>
      <c r="M338" s="14" t="s">
        <v>2198</v>
      </c>
      <c r="N338" s="14"/>
      <c r="O338" s="14" t="s">
        <v>2199</v>
      </c>
      <c r="P338" s="14" t="str">
        <f>HYPERLINK("https://ceds.ed.gov/cedselementdetails.aspx?termid=18256")</f>
        <v>https://ceds.ed.gov/cedselementdetails.aspx?termid=18256</v>
      </c>
      <c r="Q338" s="14" t="str">
        <f>HYPERLINK("https://ceds.ed.gov/elementComment.aspx?elementName=Career Education Plan Type &amp;elementID=18256", "Click here to submit comment")</f>
        <v>Click here to submit comment</v>
      </c>
      <c r="R338" s="14">
        <v>50829</v>
      </c>
    </row>
    <row r="339" spans="1:18" ht="45" x14ac:dyDescent="0.25">
      <c r="A339" s="14" t="s">
        <v>8529</v>
      </c>
      <c r="B339" s="14" t="s">
        <v>8596</v>
      </c>
      <c r="C339" s="14" t="s">
        <v>8661</v>
      </c>
      <c r="D339" s="14" t="s">
        <v>8531</v>
      </c>
      <c r="E339" s="14" t="s">
        <v>4801</v>
      </c>
      <c r="F339" s="14" t="s">
        <v>4802</v>
      </c>
      <c r="G339" s="14" t="s">
        <v>37</v>
      </c>
      <c r="H339" s="14"/>
      <c r="I339" s="14"/>
      <c r="J339" s="14" t="s">
        <v>135</v>
      </c>
      <c r="K339" s="14"/>
      <c r="L339" s="14"/>
      <c r="M339" s="14" t="s">
        <v>4803</v>
      </c>
      <c r="N339" s="14"/>
      <c r="O339" s="14" t="s">
        <v>4804</v>
      </c>
      <c r="P339" s="14" t="str">
        <f>HYPERLINK("https://ceds.ed.gov/cedselementdetails.aspx?termid=18169")</f>
        <v>https://ceds.ed.gov/cedselementdetails.aspx?termid=18169</v>
      </c>
      <c r="Q339" s="14" t="str">
        <f>HYPERLINK("https://ceds.ed.gov/elementComment.aspx?elementName=Goal Start Date &amp;elementID=18169", "Click here to submit comment")</f>
        <v>Click here to submit comment</v>
      </c>
      <c r="R339" s="14">
        <v>50889</v>
      </c>
    </row>
    <row r="340" spans="1:18" ht="105" x14ac:dyDescent="0.25">
      <c r="A340" s="14" t="s">
        <v>8529</v>
      </c>
      <c r="B340" s="14" t="s">
        <v>8596</v>
      </c>
      <c r="C340" s="14" t="s">
        <v>8661</v>
      </c>
      <c r="D340" s="14" t="s">
        <v>8531</v>
      </c>
      <c r="E340" s="14" t="s">
        <v>4765</v>
      </c>
      <c r="F340" s="14" t="s">
        <v>4766</v>
      </c>
      <c r="G340" s="14" t="s">
        <v>37</v>
      </c>
      <c r="H340" s="14"/>
      <c r="I340" s="14"/>
      <c r="J340" s="14" t="s">
        <v>135</v>
      </c>
      <c r="K340" s="14"/>
      <c r="L340" s="14" t="s">
        <v>4767</v>
      </c>
      <c r="M340" s="14" t="s">
        <v>4768</v>
      </c>
      <c r="N340" s="14"/>
      <c r="O340" s="14" t="s">
        <v>4769</v>
      </c>
      <c r="P340" s="14" t="str">
        <f>HYPERLINK("https://ceds.ed.gov/cedselementdetails.aspx?termid=18170")</f>
        <v>https://ceds.ed.gov/cedselementdetails.aspx?termid=18170</v>
      </c>
      <c r="Q340" s="14" t="str">
        <f>HYPERLINK("https://ceds.ed.gov/elementComment.aspx?elementName=Goal End Date &amp;elementID=18170", "Click here to submit comment")</f>
        <v>Click here to submit comment</v>
      </c>
      <c r="R340" s="14">
        <v>51817</v>
      </c>
    </row>
    <row r="341" spans="1:18" ht="45" x14ac:dyDescent="0.25">
      <c r="A341" s="14" t="s">
        <v>8529</v>
      </c>
      <c r="B341" s="14" t="s">
        <v>8596</v>
      </c>
      <c r="C341" s="14" t="s">
        <v>8661</v>
      </c>
      <c r="D341" s="14" t="s">
        <v>8531</v>
      </c>
      <c r="E341" s="14" t="s">
        <v>4760</v>
      </c>
      <c r="F341" s="14" t="s">
        <v>4761</v>
      </c>
      <c r="G341" s="14" t="s">
        <v>37</v>
      </c>
      <c r="H341" s="14"/>
      <c r="I341" s="14"/>
      <c r="J341" s="14" t="s">
        <v>129</v>
      </c>
      <c r="K341" s="14"/>
      <c r="L341" s="14"/>
      <c r="M341" s="14" t="s">
        <v>4763</v>
      </c>
      <c r="N341" s="14"/>
      <c r="O341" s="14" t="s">
        <v>4764</v>
      </c>
      <c r="P341" s="14" t="str">
        <f>HYPERLINK("https://ceds.ed.gov/cedselementdetails.aspx?termid=17903")</f>
        <v>https://ceds.ed.gov/cedselementdetails.aspx?termid=17903</v>
      </c>
      <c r="Q341" s="14" t="str">
        <f>HYPERLINK("https://ceds.ed.gov/elementComment.aspx?elementName=Goal Description &amp;elementID=17903", "Click here to submit comment")</f>
        <v>Click here to submit comment</v>
      </c>
      <c r="R341" s="14">
        <v>50881</v>
      </c>
    </row>
    <row r="342" spans="1:18" ht="60" x14ac:dyDescent="0.25">
      <c r="A342" s="14" t="s">
        <v>8529</v>
      </c>
      <c r="B342" s="14" t="s">
        <v>8596</v>
      </c>
      <c r="C342" s="14" t="s">
        <v>8661</v>
      </c>
      <c r="D342" s="14" t="s">
        <v>8531</v>
      </c>
      <c r="E342" s="14" t="s">
        <v>4815</v>
      </c>
      <c r="F342" s="14" t="s">
        <v>4816</v>
      </c>
      <c r="G342" s="14" t="s">
        <v>37</v>
      </c>
      <c r="H342" s="14"/>
      <c r="I342" s="14"/>
      <c r="J342" s="14" t="s">
        <v>129</v>
      </c>
      <c r="K342" s="14"/>
      <c r="L342" s="14"/>
      <c r="M342" s="14" t="s">
        <v>4817</v>
      </c>
      <c r="N342" s="14"/>
      <c r="O342" s="14" t="s">
        <v>4818</v>
      </c>
      <c r="P342" s="14" t="str">
        <f>HYPERLINK("https://ceds.ed.gov/cedselementdetails.aspx?termid=17902")</f>
        <v>https://ceds.ed.gov/cedselementdetails.aspx?termid=17902</v>
      </c>
      <c r="Q342" s="14" t="str">
        <f>HYPERLINK("https://ceds.ed.gov/elementComment.aspx?elementName=Goal Success Criteria &amp;elementID=17902", "Click here to submit comment")</f>
        <v>Click here to submit comment</v>
      </c>
      <c r="R342" s="14">
        <v>50891</v>
      </c>
    </row>
    <row r="343" spans="1:18" ht="45" x14ac:dyDescent="0.25">
      <c r="A343" s="14" t="s">
        <v>8529</v>
      </c>
      <c r="B343" s="14" t="s">
        <v>8596</v>
      </c>
      <c r="C343" s="14" t="s">
        <v>8662</v>
      </c>
      <c r="D343" s="14" t="s">
        <v>8531</v>
      </c>
      <c r="E343" s="14" t="s">
        <v>3435</v>
      </c>
      <c r="F343" s="14" t="s">
        <v>3436</v>
      </c>
      <c r="G343" s="14" t="s">
        <v>37</v>
      </c>
      <c r="H343" s="14"/>
      <c r="I343" s="14"/>
      <c r="J343" s="14" t="s">
        <v>135</v>
      </c>
      <c r="K343" s="14"/>
      <c r="L343" s="14"/>
      <c r="M343" s="14" t="s">
        <v>3438</v>
      </c>
      <c r="N343" s="14"/>
      <c r="O343" s="14" t="s">
        <v>3439</v>
      </c>
      <c r="P343" s="14" t="str">
        <f>HYPERLINK("https://ceds.ed.gov/cedselementdetails.aspx?termid=18335")</f>
        <v>https://ceds.ed.gov/cedselementdetails.aspx?termid=18335</v>
      </c>
      <c r="Q343" s="14" t="str">
        <f>HYPERLINK("https://ceds.ed.gov/elementComment.aspx?elementName=Date of Transition Plan &amp;elementID=18335", "Click here to submit comment")</f>
        <v>Click here to submit comment</v>
      </c>
      <c r="R343" s="14">
        <v>50222</v>
      </c>
    </row>
    <row r="344" spans="1:18" ht="45" x14ac:dyDescent="0.25">
      <c r="A344" s="14" t="s">
        <v>8529</v>
      </c>
      <c r="B344" s="14" t="s">
        <v>8596</v>
      </c>
      <c r="C344" s="14" t="s">
        <v>8662</v>
      </c>
      <c r="D344" s="14" t="s">
        <v>8531</v>
      </c>
      <c r="E344" s="14" t="s">
        <v>5101</v>
      </c>
      <c r="F344" s="14" t="s">
        <v>5102</v>
      </c>
      <c r="G344" s="14" t="s">
        <v>24</v>
      </c>
      <c r="H344" s="14"/>
      <c r="I344" s="14"/>
      <c r="J344" s="14"/>
      <c r="K344" s="14"/>
      <c r="L344" s="14"/>
      <c r="M344" s="14" t="s">
        <v>5103</v>
      </c>
      <c r="N344" s="14"/>
      <c r="O344" s="14" t="s">
        <v>5104</v>
      </c>
      <c r="P344" s="14" t="str">
        <f>HYPERLINK("https://ceds.ed.gov/cedselementdetails.aspx?termid=18327")</f>
        <v>https://ceds.ed.gov/cedselementdetails.aspx?termid=18327</v>
      </c>
      <c r="Q344" s="14" t="str">
        <f>HYPERLINK("https://ceds.ed.gov/elementComment.aspx?elementName=IDEA Part B 619 Potential Eligibility Indicator &amp;elementID=18327", "Click here to submit comment")</f>
        <v>Click here to submit comment</v>
      </c>
      <c r="R344" s="14">
        <v>50215</v>
      </c>
    </row>
    <row r="345" spans="1:18" ht="90" x14ac:dyDescent="0.25">
      <c r="A345" s="14" t="s">
        <v>8529</v>
      </c>
      <c r="B345" s="14" t="s">
        <v>8596</v>
      </c>
      <c r="C345" s="14" t="s">
        <v>8662</v>
      </c>
      <c r="D345" s="14" t="s">
        <v>8531</v>
      </c>
      <c r="E345" s="14" t="s">
        <v>5111</v>
      </c>
      <c r="F345" s="14" t="s">
        <v>5112</v>
      </c>
      <c r="G345" s="14" t="s">
        <v>37</v>
      </c>
      <c r="H345" s="14"/>
      <c r="I345" s="14"/>
      <c r="J345" s="14" t="s">
        <v>135</v>
      </c>
      <c r="K345" s="14"/>
      <c r="L345" s="14"/>
      <c r="M345" s="14" t="s">
        <v>5113</v>
      </c>
      <c r="N345" s="14"/>
      <c r="O345" s="14" t="s">
        <v>5114</v>
      </c>
      <c r="P345" s="14" t="str">
        <f>HYPERLINK("https://ceds.ed.gov/cedselementdetails.aspx?termid=18472")</f>
        <v>https://ceds.ed.gov/cedselementdetails.aspx?termid=18472</v>
      </c>
      <c r="Q345" s="14" t="str">
        <f>HYPERLINK("https://ceds.ed.gov/elementComment.aspx?elementName=IDEA Part C to Part B Notification Date &amp;elementID=18472", "Click here to submit comment")</f>
        <v>Click here to submit comment</v>
      </c>
      <c r="R345" s="14">
        <v>50458</v>
      </c>
    </row>
    <row r="346" spans="1:18" ht="75" x14ac:dyDescent="0.25">
      <c r="A346" s="14" t="s">
        <v>8529</v>
      </c>
      <c r="B346" s="14" t="s">
        <v>8596</v>
      </c>
      <c r="C346" s="14" t="s">
        <v>8662</v>
      </c>
      <c r="D346" s="14" t="s">
        <v>8531</v>
      </c>
      <c r="E346" s="14" t="s">
        <v>5119</v>
      </c>
      <c r="F346" s="14" t="s">
        <v>5120</v>
      </c>
      <c r="G346" s="14" t="s">
        <v>24</v>
      </c>
      <c r="H346" s="14"/>
      <c r="I346" s="14"/>
      <c r="J346" s="14"/>
      <c r="K346" s="14"/>
      <c r="L346" s="14"/>
      <c r="M346" s="14" t="s">
        <v>5121</v>
      </c>
      <c r="N346" s="14"/>
      <c r="O346" s="14" t="s">
        <v>5122</v>
      </c>
      <c r="P346" s="14" t="str">
        <f>HYPERLINK("https://ceds.ed.gov/cedselementdetails.aspx?termid=18330")</f>
        <v>https://ceds.ed.gov/cedselementdetails.aspx?termid=18330</v>
      </c>
      <c r="Q346" s="14" t="str">
        <f>HYPERLINK("https://ceds.ed.gov/elementComment.aspx?elementName=IDEA Part C to Part B Notification Opt Out Indicator &amp;elementID=18330", "Click here to submit comment")</f>
        <v>Click here to submit comment</v>
      </c>
      <c r="R346" s="14">
        <v>50218</v>
      </c>
    </row>
    <row r="347" spans="1:18" ht="75" x14ac:dyDescent="0.25">
      <c r="A347" s="14" t="s">
        <v>8529</v>
      </c>
      <c r="B347" s="14" t="s">
        <v>8596</v>
      </c>
      <c r="C347" s="14" t="s">
        <v>8662</v>
      </c>
      <c r="D347" s="14" t="s">
        <v>8531</v>
      </c>
      <c r="E347" s="14" t="s">
        <v>5115</v>
      </c>
      <c r="F347" s="14" t="s">
        <v>5116</v>
      </c>
      <c r="G347" s="14" t="s">
        <v>37</v>
      </c>
      <c r="H347" s="14"/>
      <c r="I347" s="14"/>
      <c r="J347" s="14" t="s">
        <v>135</v>
      </c>
      <c r="K347" s="14"/>
      <c r="L347" s="14"/>
      <c r="M347" s="14" t="s">
        <v>5117</v>
      </c>
      <c r="N347" s="14"/>
      <c r="O347" s="14" t="s">
        <v>5118</v>
      </c>
      <c r="P347" s="14" t="str">
        <f>HYPERLINK("https://ceds.ed.gov/cedselementdetails.aspx?termid=18331")</f>
        <v>https://ceds.ed.gov/cedselementdetails.aspx?termid=18331</v>
      </c>
      <c r="Q347" s="14" t="str">
        <f>HYPERLINK("https://ceds.ed.gov/elementComment.aspx?elementName=IDEA Part C to Part B Notification Opt Out Date &amp;elementID=18331", "Click here to submit comment")</f>
        <v>Click here to submit comment</v>
      </c>
      <c r="R347" s="14">
        <v>50219</v>
      </c>
    </row>
    <row r="348" spans="1:18" ht="60" x14ac:dyDescent="0.25">
      <c r="A348" s="14" t="s">
        <v>8529</v>
      </c>
      <c r="B348" s="14" t="s">
        <v>8596</v>
      </c>
      <c r="C348" s="14" t="s">
        <v>8662</v>
      </c>
      <c r="D348" s="14" t="s">
        <v>8531</v>
      </c>
      <c r="E348" s="14" t="s">
        <v>8355</v>
      </c>
      <c r="F348" s="14" t="s">
        <v>8356</v>
      </c>
      <c r="G348" s="14" t="s">
        <v>37</v>
      </c>
      <c r="H348" s="14"/>
      <c r="I348" s="14"/>
      <c r="J348" s="14" t="s">
        <v>135</v>
      </c>
      <c r="K348" s="14"/>
      <c r="L348" s="14"/>
      <c r="M348" s="14" t="s">
        <v>8357</v>
      </c>
      <c r="N348" s="14"/>
      <c r="O348" s="14" t="s">
        <v>8358</v>
      </c>
      <c r="P348" s="14" t="str">
        <f>HYPERLINK("https://ceds.ed.gov/cedselementdetails.aspx?termid=18333")</f>
        <v>https://ceds.ed.gov/cedselementdetails.aspx?termid=18333</v>
      </c>
      <c r="Q348" s="14" t="str">
        <f>HYPERLINK("https://ceds.ed.gov/elementComment.aspx?elementName=Transition Conference Date &amp;elementID=18333", "Click here to submit comment")</f>
        <v>Click here to submit comment</v>
      </c>
      <c r="R348" s="14">
        <v>50220</v>
      </c>
    </row>
    <row r="349" spans="1:18" ht="105" x14ac:dyDescent="0.25">
      <c r="A349" s="14" t="s">
        <v>8529</v>
      </c>
      <c r="B349" s="14" t="s">
        <v>8596</v>
      </c>
      <c r="C349" s="14" t="s">
        <v>8662</v>
      </c>
      <c r="D349" s="14" t="s">
        <v>8531</v>
      </c>
      <c r="E349" s="14" t="s">
        <v>7299</v>
      </c>
      <c r="F349" s="14" t="s">
        <v>7300</v>
      </c>
      <c r="G349" s="8" t="s">
        <v>8663</v>
      </c>
      <c r="H349" s="14"/>
      <c r="I349" s="14"/>
      <c r="J349" s="14"/>
      <c r="K349" s="14"/>
      <c r="L349" s="14"/>
      <c r="M349" s="14" t="s">
        <v>7302</v>
      </c>
      <c r="N349" s="14"/>
      <c r="O349" s="14" t="s">
        <v>7303</v>
      </c>
      <c r="P349" s="14" t="str">
        <f>HYPERLINK("https://ceds.ed.gov/cedselementdetails.aspx?termid=18494")</f>
        <v>https://ceds.ed.gov/cedselementdetails.aspx?termid=18494</v>
      </c>
      <c r="Q349" s="14" t="str">
        <f>HYPERLINK("https://ceds.ed.gov/elementComment.aspx?elementName=Reason for Delay of Transition Conference &amp;elementID=18494", "Click here to submit comment")</f>
        <v>Click here to submit comment</v>
      </c>
      <c r="R349" s="14">
        <v>50674</v>
      </c>
    </row>
    <row r="350" spans="1:18" ht="60" x14ac:dyDescent="0.25">
      <c r="A350" s="14" t="s">
        <v>8529</v>
      </c>
      <c r="B350" s="14" t="s">
        <v>8596</v>
      </c>
      <c r="C350" s="14" t="s">
        <v>8662</v>
      </c>
      <c r="D350" s="14" t="s">
        <v>8531</v>
      </c>
      <c r="E350" s="14" t="s">
        <v>8359</v>
      </c>
      <c r="F350" s="14" t="s">
        <v>8360</v>
      </c>
      <c r="G350" s="14" t="s">
        <v>37</v>
      </c>
      <c r="H350" s="14"/>
      <c r="I350" s="14"/>
      <c r="J350" s="14" t="s">
        <v>135</v>
      </c>
      <c r="K350" s="14"/>
      <c r="L350" s="14"/>
      <c r="M350" s="14" t="s">
        <v>8361</v>
      </c>
      <c r="N350" s="14"/>
      <c r="O350" s="14" t="s">
        <v>8362</v>
      </c>
      <c r="P350" s="14" t="str">
        <f>HYPERLINK("https://ceds.ed.gov/cedselementdetails.aspx?termid=18334")</f>
        <v>https://ceds.ed.gov/cedselementdetails.aspx?termid=18334</v>
      </c>
      <c r="Q350" s="14" t="str">
        <f>HYPERLINK("https://ceds.ed.gov/elementComment.aspx?elementName=Transition Conference Decline Date &amp;elementID=18334", "Click here to submit comment")</f>
        <v>Click here to submit comment</v>
      </c>
      <c r="R350" s="14">
        <v>50221</v>
      </c>
    </row>
    <row r="351" spans="1:18" ht="45" x14ac:dyDescent="0.25">
      <c r="A351" s="14" t="s">
        <v>8529</v>
      </c>
      <c r="B351" s="14" t="s">
        <v>8596</v>
      </c>
      <c r="C351" s="14" t="s">
        <v>8664</v>
      </c>
      <c r="D351" s="14" t="s">
        <v>8531</v>
      </c>
      <c r="E351" s="14" t="s">
        <v>2304</v>
      </c>
      <c r="F351" s="14" t="s">
        <v>2305</v>
      </c>
      <c r="G351" s="14" t="s">
        <v>24</v>
      </c>
      <c r="H351" s="14"/>
      <c r="I351" s="14"/>
      <c r="J351" s="14"/>
      <c r="K351" s="14"/>
      <c r="L351" s="14"/>
      <c r="M351" s="14" t="s">
        <v>2307</v>
      </c>
      <c r="N351" s="14" t="s">
        <v>2308</v>
      </c>
      <c r="O351" s="14" t="s">
        <v>2309</v>
      </c>
      <c r="P351" s="14" t="str">
        <f>HYPERLINK("https://ceds.ed.gov/cedselementdetails.aspx?termid=18476")</f>
        <v>https://ceds.ed.gov/cedselementdetails.aspx?termid=18476</v>
      </c>
      <c r="Q351" s="14" t="str">
        <f>HYPERLINK("https://ceds.ed.gov/elementComment.aspx?elementName=Child Outcomes Summary Progress A Indicator &amp;elementID=18476", "Click here to submit comment")</f>
        <v>Click here to submit comment</v>
      </c>
      <c r="R351" s="14">
        <v>50694</v>
      </c>
    </row>
    <row r="352" spans="1:18" ht="60" x14ac:dyDescent="0.25">
      <c r="A352" s="14" t="s">
        <v>8529</v>
      </c>
      <c r="B352" s="14" t="s">
        <v>8596</v>
      </c>
      <c r="C352" s="14" t="s">
        <v>8664</v>
      </c>
      <c r="D352" s="14" t="s">
        <v>8531</v>
      </c>
      <c r="E352" s="14" t="s">
        <v>2310</v>
      </c>
      <c r="F352" s="14" t="s">
        <v>2311</v>
      </c>
      <c r="G352" s="14" t="s">
        <v>24</v>
      </c>
      <c r="H352" s="14"/>
      <c r="I352" s="14"/>
      <c r="J352" s="14"/>
      <c r="K352" s="14"/>
      <c r="L352" s="14"/>
      <c r="M352" s="14" t="s">
        <v>2312</v>
      </c>
      <c r="N352" s="14" t="s">
        <v>2313</v>
      </c>
      <c r="O352" s="14" t="s">
        <v>2314</v>
      </c>
      <c r="P352" s="14" t="str">
        <f>HYPERLINK("https://ceds.ed.gov/cedselementdetails.aspx?termid=18477")</f>
        <v>https://ceds.ed.gov/cedselementdetails.aspx?termid=18477</v>
      </c>
      <c r="Q352" s="14" t="str">
        <f>HYPERLINK("https://ceds.ed.gov/elementComment.aspx?elementName=Child Outcomes Summary Progress B Indicator &amp;elementID=18477", "Click here to submit comment")</f>
        <v>Click here to submit comment</v>
      </c>
      <c r="R352" s="14">
        <v>50693</v>
      </c>
    </row>
    <row r="353" spans="1:18" ht="45" x14ac:dyDescent="0.25">
      <c r="A353" s="14" t="s">
        <v>8529</v>
      </c>
      <c r="B353" s="14" t="s">
        <v>8596</v>
      </c>
      <c r="C353" s="14" t="s">
        <v>8664</v>
      </c>
      <c r="D353" s="14" t="s">
        <v>8531</v>
      </c>
      <c r="E353" s="14" t="s">
        <v>2315</v>
      </c>
      <c r="F353" s="14" t="s">
        <v>2316</v>
      </c>
      <c r="G353" s="14" t="s">
        <v>24</v>
      </c>
      <c r="H353" s="14"/>
      <c r="I353" s="14"/>
      <c r="J353" s="14"/>
      <c r="K353" s="14"/>
      <c r="L353" s="14"/>
      <c r="M353" s="14" t="s">
        <v>2317</v>
      </c>
      <c r="N353" s="14" t="s">
        <v>2318</v>
      </c>
      <c r="O353" s="14" t="s">
        <v>2319</v>
      </c>
      <c r="P353" s="14" t="str">
        <f>HYPERLINK("https://ceds.ed.gov/cedselementdetails.aspx?termid=18478")</f>
        <v>https://ceds.ed.gov/cedselementdetails.aspx?termid=18478</v>
      </c>
      <c r="Q353" s="14" t="str">
        <f>HYPERLINK("https://ceds.ed.gov/elementComment.aspx?elementName=Child Outcomes Summary Progress C Indicator &amp;elementID=18478", "Click here to submit comment")</f>
        <v>Click here to submit comment</v>
      </c>
      <c r="R353" s="14">
        <v>50692</v>
      </c>
    </row>
    <row r="354" spans="1:18" ht="330" x14ac:dyDescent="0.25">
      <c r="A354" s="14" t="s">
        <v>8529</v>
      </c>
      <c r="B354" s="14" t="s">
        <v>8596</v>
      </c>
      <c r="C354" s="14" t="s">
        <v>8664</v>
      </c>
      <c r="D354" s="14" t="s">
        <v>8531</v>
      </c>
      <c r="E354" s="14" t="s">
        <v>2320</v>
      </c>
      <c r="F354" s="14" t="s">
        <v>2321</v>
      </c>
      <c r="G354" s="8" t="s">
        <v>8665</v>
      </c>
      <c r="H354" s="14"/>
      <c r="I354" s="14"/>
      <c r="J354" s="14"/>
      <c r="K354" s="14"/>
      <c r="L354" s="14"/>
      <c r="M354" s="14" t="s">
        <v>2323</v>
      </c>
      <c r="N354" s="14" t="s">
        <v>2324</v>
      </c>
      <c r="O354" s="14" t="s">
        <v>2325</v>
      </c>
      <c r="P354" s="14" t="str">
        <f>HYPERLINK("https://ceds.ed.gov/cedselementdetails.aspx?termid=18479")</f>
        <v>https://ceds.ed.gov/cedselementdetails.aspx?termid=18479</v>
      </c>
      <c r="Q354" s="14" t="str">
        <f>HYPERLINK("https://ceds.ed.gov/elementComment.aspx?elementName=Child Outcomes Summary Rating A &amp;elementID=18479", "Click here to submit comment")</f>
        <v>Click here to submit comment</v>
      </c>
      <c r="R354" s="14">
        <v>50689</v>
      </c>
    </row>
    <row r="355" spans="1:18" ht="330" x14ac:dyDescent="0.25">
      <c r="A355" s="14" t="s">
        <v>8529</v>
      </c>
      <c r="B355" s="14" t="s">
        <v>8596</v>
      </c>
      <c r="C355" s="14" t="s">
        <v>8664</v>
      </c>
      <c r="D355" s="14" t="s">
        <v>8531</v>
      </c>
      <c r="E355" s="14" t="s">
        <v>2326</v>
      </c>
      <c r="F355" s="14" t="s">
        <v>2327</v>
      </c>
      <c r="G355" s="8" t="s">
        <v>8665</v>
      </c>
      <c r="H355" s="14"/>
      <c r="I355" s="14"/>
      <c r="J355" s="14"/>
      <c r="K355" s="14"/>
      <c r="L355" s="14"/>
      <c r="M355" s="14" t="s">
        <v>2328</v>
      </c>
      <c r="N355" s="14" t="s">
        <v>2329</v>
      </c>
      <c r="O355" s="14" t="s">
        <v>2330</v>
      </c>
      <c r="P355" s="14" t="str">
        <f>HYPERLINK("https://ceds.ed.gov/cedselementdetails.aspx?termid=18480")</f>
        <v>https://ceds.ed.gov/cedselementdetails.aspx?termid=18480</v>
      </c>
      <c r="Q355" s="14" t="str">
        <f>HYPERLINK("https://ceds.ed.gov/elementComment.aspx?elementName=Child Outcomes Summary Rating B &amp;elementID=18480", "Click here to submit comment")</f>
        <v>Click here to submit comment</v>
      </c>
      <c r="R355" s="14">
        <v>50690</v>
      </c>
    </row>
    <row r="356" spans="1:18" ht="330" x14ac:dyDescent="0.25">
      <c r="A356" s="14" t="s">
        <v>8529</v>
      </c>
      <c r="B356" s="14" t="s">
        <v>8596</v>
      </c>
      <c r="C356" s="14" t="s">
        <v>8664</v>
      </c>
      <c r="D356" s="14" t="s">
        <v>8531</v>
      </c>
      <c r="E356" s="14" t="s">
        <v>2331</v>
      </c>
      <c r="F356" s="14" t="s">
        <v>2332</v>
      </c>
      <c r="G356" s="8" t="s">
        <v>8665</v>
      </c>
      <c r="H356" s="14"/>
      <c r="I356" s="14"/>
      <c r="J356" s="14"/>
      <c r="K356" s="14"/>
      <c r="L356" s="14"/>
      <c r="M356" s="14" t="s">
        <v>2333</v>
      </c>
      <c r="N356" s="14" t="s">
        <v>2334</v>
      </c>
      <c r="O356" s="14" t="s">
        <v>2335</v>
      </c>
      <c r="P356" s="14" t="str">
        <f>HYPERLINK("https://ceds.ed.gov/cedselementdetails.aspx?termid=18481")</f>
        <v>https://ceds.ed.gov/cedselementdetails.aspx?termid=18481</v>
      </c>
      <c r="Q356" s="14" t="str">
        <f>HYPERLINK("https://ceds.ed.gov/elementComment.aspx?elementName=Child Outcomes Summary Rating C &amp;elementID=18481", "Click here to submit comment")</f>
        <v>Click here to submit comment</v>
      </c>
      <c r="R356" s="14">
        <v>50691</v>
      </c>
    </row>
    <row r="357" spans="1:18" ht="75" x14ac:dyDescent="0.25">
      <c r="A357" s="14" t="s">
        <v>8529</v>
      </c>
      <c r="B357" s="14" t="s">
        <v>8596</v>
      </c>
      <c r="C357" s="14" t="s">
        <v>8664</v>
      </c>
      <c r="D357" s="14" t="s">
        <v>8531</v>
      </c>
      <c r="E357" s="14" t="s">
        <v>3817</v>
      </c>
      <c r="F357" s="14" t="s">
        <v>3818</v>
      </c>
      <c r="G357" s="8" t="s">
        <v>8666</v>
      </c>
      <c r="H357" s="14"/>
      <c r="I357" s="14"/>
      <c r="J357" s="14"/>
      <c r="K357" s="14"/>
      <c r="L357" s="14"/>
      <c r="M357" s="14" t="s">
        <v>3820</v>
      </c>
      <c r="N357" s="14"/>
      <c r="O357" s="14" t="s">
        <v>3821</v>
      </c>
      <c r="P357" s="14" t="str">
        <f>HYPERLINK("https://ceds.ed.gov/cedselementdetails.aspx?termid=18303")</f>
        <v>https://ceds.ed.gov/cedselementdetails.aspx?termid=18303</v>
      </c>
      <c r="Q357" s="14" t="str">
        <f>HYPERLINK("https://ceds.ed.gov/elementComment.aspx?elementName=Early Learning Outcome Measurement Level &amp;elementID=18303", "Click here to submit comment")</f>
        <v>Click here to submit comment</v>
      </c>
      <c r="R357" s="14">
        <v>51375</v>
      </c>
    </row>
    <row r="358" spans="1:18" ht="75" x14ac:dyDescent="0.25">
      <c r="A358" s="14" t="s">
        <v>8529</v>
      </c>
      <c r="B358" s="14" t="s">
        <v>8596</v>
      </c>
      <c r="C358" s="14" t="s">
        <v>8664</v>
      </c>
      <c r="D358" s="14" t="s">
        <v>8531</v>
      </c>
      <c r="E358" s="14" t="s">
        <v>3822</v>
      </c>
      <c r="F358" s="14" t="s">
        <v>3823</v>
      </c>
      <c r="G358" s="8" t="s">
        <v>8667</v>
      </c>
      <c r="H358" s="14"/>
      <c r="I358" s="14"/>
      <c r="J358" s="14"/>
      <c r="K358" s="14"/>
      <c r="L358" s="14"/>
      <c r="M358" s="14" t="s">
        <v>3825</v>
      </c>
      <c r="N358" s="14"/>
      <c r="O358" s="14" t="s">
        <v>3826</v>
      </c>
      <c r="P358" s="14" t="str">
        <f>HYPERLINK("https://ceds.ed.gov/cedselementdetails.aspx?termid=18475")</f>
        <v>https://ceds.ed.gov/cedselementdetails.aspx?termid=18475</v>
      </c>
      <c r="Q358" s="14" t="str">
        <f>HYPERLINK("https://ceds.ed.gov/elementComment.aspx?elementName=Early Learning Outcome Time Point &amp;elementID=18475", "Click here to submit comment")</f>
        <v>Click here to submit comment</v>
      </c>
      <c r="R358" s="14">
        <v>51376</v>
      </c>
    </row>
    <row r="359" spans="1:18" ht="409.5" x14ac:dyDescent="0.25">
      <c r="A359" s="14" t="s">
        <v>8529</v>
      </c>
      <c r="B359" s="14" t="s">
        <v>8596</v>
      </c>
      <c r="C359" s="14" t="s">
        <v>8668</v>
      </c>
      <c r="D359" s="14" t="s">
        <v>8531</v>
      </c>
      <c r="E359" s="14" t="s">
        <v>7163</v>
      </c>
      <c r="F359" s="14" t="s">
        <v>7164</v>
      </c>
      <c r="G359" s="8" t="s">
        <v>8669</v>
      </c>
      <c r="H359" s="14" t="s">
        <v>72</v>
      </c>
      <c r="I359" s="14"/>
      <c r="J359" s="14"/>
      <c r="K359" s="14"/>
      <c r="L359" s="14"/>
      <c r="M359" s="14" t="s">
        <v>7167</v>
      </c>
      <c r="N359" s="14"/>
      <c r="O359" s="14" t="s">
        <v>7168</v>
      </c>
      <c r="P359" s="14" t="str">
        <f>HYPERLINK("https://ceds.ed.gov/cedselementdetails.aspx?termid=17225")</f>
        <v>https://ceds.ed.gov/cedselementdetails.aspx?termid=17225</v>
      </c>
      <c r="Q359" s="14" t="str">
        <f>HYPERLINK("https://ceds.ed.gov/elementComment.aspx?elementName=Program Type &amp;elementID=17225", "Click here to submit comment")</f>
        <v>Click here to submit comment</v>
      </c>
      <c r="R359" s="14">
        <v>51446</v>
      </c>
    </row>
    <row r="360" spans="1:18" ht="210" x14ac:dyDescent="0.25">
      <c r="A360" s="14" t="s">
        <v>8529</v>
      </c>
      <c r="B360" s="14" t="s">
        <v>8596</v>
      </c>
      <c r="C360" s="14" t="s">
        <v>8668</v>
      </c>
      <c r="D360" s="14" t="s">
        <v>8531</v>
      </c>
      <c r="E360" s="14" t="s">
        <v>3709</v>
      </c>
      <c r="F360" s="14" t="s">
        <v>3710</v>
      </c>
      <c r="G360" s="8" t="s">
        <v>8556</v>
      </c>
      <c r="H360" s="14" t="s">
        <v>125</v>
      </c>
      <c r="I360" s="14"/>
      <c r="J360" s="14"/>
      <c r="K360" s="14"/>
      <c r="L360" s="14"/>
      <c r="M360" s="14" t="s">
        <v>3712</v>
      </c>
      <c r="N360" s="14"/>
      <c r="O360" s="14" t="s">
        <v>3713</v>
      </c>
      <c r="P360" s="14" t="str">
        <f>HYPERLINK("https://ceds.ed.gov/cedselementdetails.aspx?termid=17829")</f>
        <v>https://ceds.ed.gov/cedselementdetails.aspx?termid=17829</v>
      </c>
      <c r="Q360" s="14" t="str">
        <f>HYPERLINK("https://ceds.ed.gov/elementComment.aspx?elementName=Early Childhood Program Enrollment Type &amp;elementID=17829", "Click here to submit comment")</f>
        <v>Click here to submit comment</v>
      </c>
      <c r="R360" s="14">
        <v>51133</v>
      </c>
    </row>
    <row r="361" spans="1:18" ht="135" x14ac:dyDescent="0.25">
      <c r="A361" s="14" t="s">
        <v>8529</v>
      </c>
      <c r="B361" s="14" t="s">
        <v>8596</v>
      </c>
      <c r="C361" s="14" t="s">
        <v>8668</v>
      </c>
      <c r="D361" s="14" t="s">
        <v>8531</v>
      </c>
      <c r="E361" s="14" t="s">
        <v>7130</v>
      </c>
      <c r="F361" s="14" t="s">
        <v>7131</v>
      </c>
      <c r="G361" s="8" t="s">
        <v>8670</v>
      </c>
      <c r="H361" s="14" t="s">
        <v>2944</v>
      </c>
      <c r="I361" s="14"/>
      <c r="J361" s="14"/>
      <c r="K361" s="14"/>
      <c r="L361" s="14"/>
      <c r="M361" s="14" t="s">
        <v>7134</v>
      </c>
      <c r="N361" s="14"/>
      <c r="O361" s="14" t="s">
        <v>7135</v>
      </c>
      <c r="P361" s="14" t="str">
        <f>HYPERLINK("https://ceds.ed.gov/cedselementdetails.aspx?termid=18209")</f>
        <v>https://ceds.ed.gov/cedselementdetails.aspx?termid=18209</v>
      </c>
      <c r="Q361" s="14" t="str">
        <f>HYPERLINK("https://ceds.ed.gov/elementComment.aspx?elementName=Program Participation Status &amp;elementID=18209", "Click here to submit comment")</f>
        <v>Click here to submit comment</v>
      </c>
      <c r="R361" s="14">
        <v>51447</v>
      </c>
    </row>
    <row r="362" spans="1:18" ht="60" x14ac:dyDescent="0.25">
      <c r="A362" s="14" t="s">
        <v>8529</v>
      </c>
      <c r="B362" s="14" t="s">
        <v>8596</v>
      </c>
      <c r="C362" s="14" t="s">
        <v>8668</v>
      </c>
      <c r="D362" s="14" t="s">
        <v>8531</v>
      </c>
      <c r="E362" s="14" t="s">
        <v>7125</v>
      </c>
      <c r="F362" s="14" t="s">
        <v>7126</v>
      </c>
      <c r="G362" s="14" t="s">
        <v>37</v>
      </c>
      <c r="H362" s="14" t="s">
        <v>7129</v>
      </c>
      <c r="I362" s="14"/>
      <c r="J362" s="14" t="s">
        <v>135</v>
      </c>
      <c r="K362" s="14"/>
      <c r="L362" s="14"/>
      <c r="M362" s="14" t="s">
        <v>7127</v>
      </c>
      <c r="N362" s="14"/>
      <c r="O362" s="14" t="s">
        <v>7128</v>
      </c>
      <c r="P362" s="14" t="str">
        <f>HYPERLINK("https://ceds.ed.gov/cedselementdetails.aspx?termid=17583")</f>
        <v>https://ceds.ed.gov/cedselementdetails.aspx?termid=17583</v>
      </c>
      <c r="Q362" s="14" t="str">
        <f>HYPERLINK("https://ceds.ed.gov/elementComment.aspx?elementName=Program Participation Start Date &amp;elementID=17583", "Click here to submit comment")</f>
        <v>Click here to submit comment</v>
      </c>
      <c r="R362" s="14">
        <v>47661</v>
      </c>
    </row>
    <row r="363" spans="1:18" ht="75" x14ac:dyDescent="0.25">
      <c r="A363" s="14" t="s">
        <v>8529</v>
      </c>
      <c r="B363" s="14" t="s">
        <v>8596</v>
      </c>
      <c r="C363" s="14" t="s">
        <v>8668</v>
      </c>
      <c r="D363" s="14" t="s">
        <v>8531</v>
      </c>
      <c r="E363" s="14" t="s">
        <v>7120</v>
      </c>
      <c r="F363" s="14" t="s">
        <v>2201</v>
      </c>
      <c r="G363" s="14" t="s">
        <v>37</v>
      </c>
      <c r="H363" s="14" t="s">
        <v>7124</v>
      </c>
      <c r="I363" s="14"/>
      <c r="J363" s="14" t="s">
        <v>135</v>
      </c>
      <c r="K363" s="14"/>
      <c r="L363" s="14" t="s">
        <v>160</v>
      </c>
      <c r="M363" s="14" t="s">
        <v>7122</v>
      </c>
      <c r="N363" s="14"/>
      <c r="O363" s="14" t="s">
        <v>7123</v>
      </c>
      <c r="P363" s="14" t="str">
        <f>HYPERLINK("https://ceds.ed.gov/cedselementdetails.aspx?termid=17584")</f>
        <v>https://ceds.ed.gov/cedselementdetails.aspx?termid=17584</v>
      </c>
      <c r="Q363" s="14" t="str">
        <f>HYPERLINK("https://ceds.ed.gov/elementComment.aspx?elementName=Program Participation Exit Date &amp;elementID=17584", "Click here to submit comment")</f>
        <v>Click here to submit comment</v>
      </c>
      <c r="R363" s="14">
        <v>47662</v>
      </c>
    </row>
    <row r="364" spans="1:18" ht="409.5" x14ac:dyDescent="0.25">
      <c r="A364" s="14" t="s">
        <v>8529</v>
      </c>
      <c r="B364" s="14" t="s">
        <v>8596</v>
      </c>
      <c r="C364" s="14" t="s">
        <v>8668</v>
      </c>
      <c r="D364" s="14" t="s">
        <v>8531</v>
      </c>
      <c r="E364" s="14" t="s">
        <v>4141</v>
      </c>
      <c r="F364" s="14" t="s">
        <v>4142</v>
      </c>
      <c r="G364" s="8" t="s">
        <v>8637</v>
      </c>
      <c r="H364" s="14"/>
      <c r="I364" s="14"/>
      <c r="J364" s="14"/>
      <c r="K364" s="14"/>
      <c r="L364" s="14"/>
      <c r="M364" s="14" t="s">
        <v>4145</v>
      </c>
      <c r="N364" s="14"/>
      <c r="O364" s="14" t="s">
        <v>4146</v>
      </c>
      <c r="P364" s="14" t="str">
        <f>HYPERLINK("https://ceds.ed.gov/cedselementdetails.aspx?termid=17222")</f>
        <v>https://ceds.ed.gov/cedselementdetails.aspx?termid=17222</v>
      </c>
      <c r="Q364" s="14" t="str">
        <f>HYPERLINK("https://ceds.ed.gov/elementComment.aspx?elementName=Exit Reason &amp;elementID=17222", "Click here to submit comment")</f>
        <v>Click here to submit comment</v>
      </c>
      <c r="R364" s="14">
        <v>51450</v>
      </c>
    </row>
    <row r="365" spans="1:18" ht="135" x14ac:dyDescent="0.25">
      <c r="A365" s="14" t="s">
        <v>8529</v>
      </c>
      <c r="B365" s="14" t="s">
        <v>8596</v>
      </c>
      <c r="C365" s="14" t="s">
        <v>8668</v>
      </c>
      <c r="D365" s="14" t="s">
        <v>8531</v>
      </c>
      <c r="E365" s="14" t="s">
        <v>2416</v>
      </c>
      <c r="F365" s="14" t="s">
        <v>2417</v>
      </c>
      <c r="G365" s="8" t="s">
        <v>8559</v>
      </c>
      <c r="H365" s="14"/>
      <c r="I365" s="14"/>
      <c r="J365" s="14"/>
      <c r="K365" s="14"/>
      <c r="L365" s="14"/>
      <c r="M365" s="14" t="s">
        <v>2420</v>
      </c>
      <c r="N365" s="14"/>
      <c r="O365" s="14" t="s">
        <v>2421</v>
      </c>
      <c r="P365" s="14" t="str">
        <f>HYPERLINK("https://ceds.ed.gov/cedselementdetails.aspx?termid=18614")</f>
        <v>https://ceds.ed.gov/cedselementdetails.aspx?termid=18614</v>
      </c>
      <c r="Q365" s="14" t="str">
        <f>HYPERLINK("https://ceds.ed.gov/elementComment.aspx?elementName=Community-based Type &amp;elementID=18614", "Click here to submit comment")</f>
        <v>Click here to submit comment</v>
      </c>
      <c r="R365" s="14">
        <v>51130</v>
      </c>
    </row>
    <row r="366" spans="1:18" ht="45" x14ac:dyDescent="0.25">
      <c r="A366" s="14" t="s">
        <v>8529</v>
      </c>
      <c r="B366" s="14" t="s">
        <v>8596</v>
      </c>
      <c r="C366" s="14" t="s">
        <v>8668</v>
      </c>
      <c r="D366" s="14" t="s">
        <v>8531</v>
      </c>
      <c r="E366" s="14" t="s">
        <v>5316</v>
      </c>
      <c r="F366" s="14" t="s">
        <v>5317</v>
      </c>
      <c r="G366" s="14" t="s">
        <v>24</v>
      </c>
      <c r="H366" s="14"/>
      <c r="I366" s="14"/>
      <c r="J366" s="14"/>
      <c r="K366" s="14"/>
      <c r="L366" s="14"/>
      <c r="M366" s="14" t="s">
        <v>5319</v>
      </c>
      <c r="N366" s="14"/>
      <c r="O366" s="14" t="s">
        <v>5320</v>
      </c>
      <c r="P366" s="14" t="str">
        <f>HYPERLINK("https://ceds.ed.gov/cedselementdetails.aspx?termid=18615")</f>
        <v>https://ceds.ed.gov/cedselementdetails.aspx?termid=18615</v>
      </c>
      <c r="Q366" s="14" t="str">
        <f>HYPERLINK("https://ceds.ed.gov/elementComment.aspx?elementName=Inclusive Setting Indicator &amp;elementID=18615", "Click here to submit comment")</f>
        <v>Click here to submit comment</v>
      </c>
      <c r="R366" s="14">
        <v>51139</v>
      </c>
    </row>
    <row r="367" spans="1:18" ht="255" x14ac:dyDescent="0.25">
      <c r="A367" s="14" t="s">
        <v>8529</v>
      </c>
      <c r="B367" s="14" t="s">
        <v>8596</v>
      </c>
      <c r="C367" s="14" t="s">
        <v>8668</v>
      </c>
      <c r="D367" s="14" t="s">
        <v>8531</v>
      </c>
      <c r="E367" s="14" t="s">
        <v>6524</v>
      </c>
      <c r="F367" s="14" t="s">
        <v>6525</v>
      </c>
      <c r="G367" s="8" t="s">
        <v>8534</v>
      </c>
      <c r="H367" s="14" t="s">
        <v>125</v>
      </c>
      <c r="I367" s="14"/>
      <c r="J367" s="14"/>
      <c r="K367" s="14"/>
      <c r="L367" s="14"/>
      <c r="M367" s="14" t="s">
        <v>6528</v>
      </c>
      <c r="N367" s="14"/>
      <c r="O367" s="14" t="s">
        <v>6529</v>
      </c>
      <c r="P367" s="14" t="str">
        <f>HYPERLINK("https://ceds.ed.gov/cedselementdetails.aspx?termid=17827")</f>
        <v>https://ceds.ed.gov/cedselementdetails.aspx?termid=17827</v>
      </c>
      <c r="Q367" s="14" t="str">
        <f>HYPERLINK("https://ceds.ed.gov/elementComment.aspx?elementName=Organization Identification System &amp;elementID=17827", "Click here to submit comment")</f>
        <v>Click here to submit comment</v>
      </c>
      <c r="R367" s="14">
        <v>51379</v>
      </c>
    </row>
    <row r="368" spans="1:18" ht="60" x14ac:dyDescent="0.25">
      <c r="A368" s="16" t="s">
        <v>8529</v>
      </c>
      <c r="B368" s="16" t="s">
        <v>8596</v>
      </c>
      <c r="C368" s="16" t="s">
        <v>8668</v>
      </c>
      <c r="D368" s="16" t="s">
        <v>8531</v>
      </c>
      <c r="E368" s="16" t="s">
        <v>7409</v>
      </c>
      <c r="F368" s="16" t="s">
        <v>7410</v>
      </c>
      <c r="G368" s="16" t="s">
        <v>37</v>
      </c>
      <c r="H368" s="16"/>
      <c r="I368" s="16"/>
      <c r="J368" s="16" t="s">
        <v>149</v>
      </c>
      <c r="K368" s="16"/>
      <c r="L368" s="14" t="s">
        <v>7412</v>
      </c>
      <c r="M368" s="16" t="s">
        <v>7413</v>
      </c>
      <c r="N368" s="16"/>
      <c r="O368" s="16" t="s">
        <v>7414</v>
      </c>
      <c r="P368" s="16" t="str">
        <f>HYPERLINK("https://ceds.ed.gov/cedselementdetails.aspx?termid=18438")</f>
        <v>https://ceds.ed.gov/cedselementdetails.aspx?termid=18438</v>
      </c>
      <c r="Q368" s="16" t="str">
        <f>HYPERLINK("https://ceds.ed.gov/elementComment.aspx?elementName=Responsible Organization Identifier &amp;elementID=18438", "Click here to submit comment")</f>
        <v>Click here to submit comment</v>
      </c>
      <c r="R368" s="16">
        <v>51383</v>
      </c>
    </row>
    <row r="369" spans="1:18" x14ac:dyDescent="0.25">
      <c r="A369" s="16"/>
      <c r="B369" s="16"/>
      <c r="C369" s="16"/>
      <c r="D369" s="16"/>
      <c r="E369" s="16"/>
      <c r="F369" s="16"/>
      <c r="G369" s="16"/>
      <c r="H369" s="16"/>
      <c r="I369" s="16"/>
      <c r="J369" s="16"/>
      <c r="K369" s="16"/>
      <c r="L369" s="14"/>
      <c r="M369" s="16"/>
      <c r="N369" s="16"/>
      <c r="O369" s="16"/>
      <c r="P369" s="16"/>
      <c r="Q369" s="16"/>
      <c r="R369" s="16"/>
    </row>
    <row r="370" spans="1:18" ht="105" x14ac:dyDescent="0.25">
      <c r="A370" s="16"/>
      <c r="B370" s="16"/>
      <c r="C370" s="16"/>
      <c r="D370" s="16"/>
      <c r="E370" s="16"/>
      <c r="F370" s="16"/>
      <c r="G370" s="16"/>
      <c r="H370" s="16"/>
      <c r="I370" s="16"/>
      <c r="J370" s="16"/>
      <c r="K370" s="16"/>
      <c r="L370" s="14" t="s">
        <v>150</v>
      </c>
      <c r="M370" s="16"/>
      <c r="N370" s="16"/>
      <c r="O370" s="16"/>
      <c r="P370" s="16"/>
      <c r="Q370" s="16"/>
      <c r="R370" s="16"/>
    </row>
    <row r="371" spans="1:18" x14ac:dyDescent="0.25">
      <c r="A371" s="16"/>
      <c r="B371" s="16"/>
      <c r="C371" s="16"/>
      <c r="D371" s="16"/>
      <c r="E371" s="16"/>
      <c r="F371" s="16"/>
      <c r="G371" s="16"/>
      <c r="H371" s="16"/>
      <c r="I371" s="16"/>
      <c r="J371" s="16"/>
      <c r="K371" s="16"/>
      <c r="L371" s="14"/>
      <c r="M371" s="16"/>
      <c r="N371" s="16"/>
      <c r="O371" s="16"/>
      <c r="P371" s="16"/>
      <c r="Q371" s="16"/>
      <c r="R371" s="16"/>
    </row>
    <row r="372" spans="1:18" ht="90" x14ac:dyDescent="0.25">
      <c r="A372" s="16"/>
      <c r="B372" s="16"/>
      <c r="C372" s="16"/>
      <c r="D372" s="16"/>
      <c r="E372" s="16"/>
      <c r="F372" s="16"/>
      <c r="G372" s="16"/>
      <c r="H372" s="16"/>
      <c r="I372" s="16"/>
      <c r="J372" s="16"/>
      <c r="K372" s="16"/>
      <c r="L372" s="14" t="s">
        <v>153</v>
      </c>
      <c r="M372" s="16"/>
      <c r="N372" s="16"/>
      <c r="O372" s="16"/>
      <c r="P372" s="16"/>
      <c r="Q372" s="16"/>
      <c r="R372" s="16"/>
    </row>
    <row r="373" spans="1:18" ht="120" x14ac:dyDescent="0.25">
      <c r="A373" s="14" t="s">
        <v>8529</v>
      </c>
      <c r="B373" s="14" t="s">
        <v>8596</v>
      </c>
      <c r="C373" s="14" t="s">
        <v>8668</v>
      </c>
      <c r="D373" s="14" t="s">
        <v>8531</v>
      </c>
      <c r="E373" s="14" t="s">
        <v>7415</v>
      </c>
      <c r="F373" s="14" t="s">
        <v>7416</v>
      </c>
      <c r="G373" s="8" t="s">
        <v>8639</v>
      </c>
      <c r="H373" s="14"/>
      <c r="I373" s="14"/>
      <c r="J373" s="14"/>
      <c r="K373" s="14"/>
      <c r="L373" s="14" t="s">
        <v>7412</v>
      </c>
      <c r="M373" s="14" t="s">
        <v>7417</v>
      </c>
      <c r="N373" s="14"/>
      <c r="O373" s="14" t="s">
        <v>7418</v>
      </c>
      <c r="P373" s="14" t="str">
        <f>HYPERLINK("https://ceds.ed.gov/cedselementdetails.aspx?termid=18439")</f>
        <v>https://ceds.ed.gov/cedselementdetails.aspx?termid=18439</v>
      </c>
      <c r="Q373" s="14" t="str">
        <f>HYPERLINK("https://ceds.ed.gov/elementComment.aspx?elementName=Responsible Organization Type &amp;elementID=18439", "Click here to submit comment")</f>
        <v>Click here to submit comment</v>
      </c>
      <c r="R373" s="14">
        <v>51386</v>
      </c>
    </row>
    <row r="374" spans="1:18" ht="105" x14ac:dyDescent="0.25">
      <c r="A374" s="16" t="s">
        <v>8529</v>
      </c>
      <c r="B374" s="16" t="s">
        <v>8596</v>
      </c>
      <c r="C374" s="16" t="s">
        <v>8668</v>
      </c>
      <c r="D374" s="16" t="s">
        <v>8531</v>
      </c>
      <c r="E374" s="16" t="s">
        <v>7098</v>
      </c>
      <c r="F374" s="16" t="s">
        <v>7099</v>
      </c>
      <c r="G374" s="16" t="s">
        <v>37</v>
      </c>
      <c r="H374" s="16" t="s">
        <v>2944</v>
      </c>
      <c r="I374" s="16"/>
      <c r="J374" s="16" t="s">
        <v>149</v>
      </c>
      <c r="K374" s="16"/>
      <c r="L374" s="14" t="s">
        <v>150</v>
      </c>
      <c r="M374" s="16" t="s">
        <v>7101</v>
      </c>
      <c r="N374" s="16"/>
      <c r="O374" s="16" t="s">
        <v>7102</v>
      </c>
      <c r="P374" s="16" t="str">
        <f>HYPERLINK("https://ceds.ed.gov/cedselementdetails.aspx?termid=17618")</f>
        <v>https://ceds.ed.gov/cedselementdetails.aspx?termid=17618</v>
      </c>
      <c r="Q374" s="16" t="str">
        <f>HYPERLINK("https://ceds.ed.gov/elementComment.aspx?elementName=Program Identifier &amp;elementID=17618", "Click here to submit comment")</f>
        <v>Click here to submit comment</v>
      </c>
      <c r="R374" s="16">
        <v>51451</v>
      </c>
    </row>
    <row r="375" spans="1:18" x14ac:dyDescent="0.25">
      <c r="A375" s="16"/>
      <c r="B375" s="16"/>
      <c r="C375" s="16"/>
      <c r="D375" s="16"/>
      <c r="E375" s="16"/>
      <c r="F375" s="16"/>
      <c r="G375" s="16"/>
      <c r="H375" s="16"/>
      <c r="I375" s="16"/>
      <c r="J375" s="16"/>
      <c r="K375" s="16"/>
      <c r="L375" s="14"/>
      <c r="M375" s="16"/>
      <c r="N375" s="16"/>
      <c r="O375" s="16"/>
      <c r="P375" s="16"/>
      <c r="Q375" s="16"/>
      <c r="R375" s="16"/>
    </row>
    <row r="376" spans="1:18" ht="90" x14ac:dyDescent="0.25">
      <c r="A376" s="16"/>
      <c r="B376" s="16"/>
      <c r="C376" s="16"/>
      <c r="D376" s="16"/>
      <c r="E376" s="16"/>
      <c r="F376" s="16"/>
      <c r="G376" s="16"/>
      <c r="H376" s="16"/>
      <c r="I376" s="16"/>
      <c r="J376" s="16"/>
      <c r="K376" s="16"/>
      <c r="L376" s="14" t="s">
        <v>153</v>
      </c>
      <c r="M376" s="16"/>
      <c r="N376" s="16"/>
      <c r="O376" s="16"/>
      <c r="P376" s="16"/>
      <c r="Q376" s="16"/>
      <c r="R376" s="16"/>
    </row>
    <row r="377" spans="1:18" ht="60" x14ac:dyDescent="0.25">
      <c r="A377" s="14" t="s">
        <v>8529</v>
      </c>
      <c r="B377" s="14" t="s">
        <v>8596</v>
      </c>
      <c r="C377" s="14" t="s">
        <v>8668</v>
      </c>
      <c r="D377" s="14" t="s">
        <v>8531</v>
      </c>
      <c r="E377" s="14" t="s">
        <v>7115</v>
      </c>
      <c r="F377" s="14" t="s">
        <v>7116</v>
      </c>
      <c r="G377" s="14" t="s">
        <v>37</v>
      </c>
      <c r="H377" s="14" t="s">
        <v>2944</v>
      </c>
      <c r="I377" s="14"/>
      <c r="J377" s="14" t="s">
        <v>175</v>
      </c>
      <c r="K377" s="14"/>
      <c r="L377" s="14"/>
      <c r="M377" s="14" t="s">
        <v>7118</v>
      </c>
      <c r="N377" s="14"/>
      <c r="O377" s="14" t="s">
        <v>7119</v>
      </c>
      <c r="P377" s="14" t="str">
        <f>HYPERLINK("https://ceds.ed.gov/cedselementdetails.aspx?termid=17619")</f>
        <v>https://ceds.ed.gov/cedselementdetails.aspx?termid=17619</v>
      </c>
      <c r="Q377" s="14" t="str">
        <f>HYPERLINK("https://ceds.ed.gov/elementComment.aspx?elementName=Program Name &amp;elementID=17619", "Click here to submit comment")</f>
        <v>Click here to submit comment</v>
      </c>
      <c r="R377" s="14">
        <v>51452</v>
      </c>
    </row>
    <row r="378" spans="1:18" ht="45" x14ac:dyDescent="0.25">
      <c r="A378" s="14" t="s">
        <v>8529</v>
      </c>
      <c r="B378" s="14" t="s">
        <v>8596</v>
      </c>
      <c r="C378" s="14" t="s">
        <v>8668</v>
      </c>
      <c r="D378" s="14" t="s">
        <v>8541</v>
      </c>
      <c r="E378" s="14" t="s">
        <v>7077</v>
      </c>
      <c r="F378" s="14" t="s">
        <v>7078</v>
      </c>
      <c r="G378" s="14" t="s">
        <v>37</v>
      </c>
      <c r="H378" s="14"/>
      <c r="I378" s="14" t="s">
        <v>188</v>
      </c>
      <c r="J378" s="14" t="s">
        <v>129</v>
      </c>
      <c r="K378" s="14" t="s">
        <v>1721</v>
      </c>
      <c r="L378" s="14"/>
      <c r="M378" s="14" t="s">
        <v>7080</v>
      </c>
      <c r="N378" s="14"/>
      <c r="O378" s="14" t="s">
        <v>7081</v>
      </c>
      <c r="P378" s="14" t="str">
        <f>HYPERLINK("https://ceds.ed.gov/cedselementdetails.aspx?termid=18909")</f>
        <v>https://ceds.ed.gov/cedselementdetails.aspx?termid=18909</v>
      </c>
      <c r="Q378" s="14" t="str">
        <f>HYPERLINK("https://ceds.ed.gov/elementComment.aspx?elementName=Program Entry Reason &amp;elementID=18909", "Click here to submit comment")</f>
        <v>Click here to submit comment</v>
      </c>
      <c r="R378" s="14">
        <v>52269</v>
      </c>
    </row>
    <row r="379" spans="1:18" ht="45" x14ac:dyDescent="0.25">
      <c r="A379" s="14" t="s">
        <v>8529</v>
      </c>
      <c r="B379" s="14" t="s">
        <v>8596</v>
      </c>
      <c r="C379" s="14" t="s">
        <v>8671</v>
      </c>
      <c r="D379" s="14" t="s">
        <v>8531</v>
      </c>
      <c r="E379" s="14" t="s">
        <v>5019</v>
      </c>
      <c r="F379" s="14" t="s">
        <v>5020</v>
      </c>
      <c r="G379" s="14" t="s">
        <v>24</v>
      </c>
      <c r="H379" s="14"/>
      <c r="I379" s="14"/>
      <c r="J379" s="14"/>
      <c r="K379" s="14"/>
      <c r="L379" s="14"/>
      <c r="M379" s="14" t="s">
        <v>5022</v>
      </c>
      <c r="N379" s="14"/>
      <c r="O379" s="14" t="s">
        <v>5023</v>
      </c>
      <c r="P379" s="14" t="str">
        <f>HYPERLINK("https://ceds.ed.gov/cedselementdetails.aspx?termid=17147")</f>
        <v>https://ceds.ed.gov/cedselementdetails.aspx?termid=17147</v>
      </c>
      <c r="Q379" s="14" t="str">
        <f>HYPERLINK("https://ceds.ed.gov/elementComment.aspx?elementName=Homeless Serviced Indicator &amp;elementID=17147", "Click here to submit comment")</f>
        <v>Click here to submit comment</v>
      </c>
      <c r="R379" s="14">
        <v>52165</v>
      </c>
    </row>
    <row r="380" spans="1:18" ht="135" x14ac:dyDescent="0.25">
      <c r="A380" s="14" t="s">
        <v>8529</v>
      </c>
      <c r="B380" s="14" t="s">
        <v>8596</v>
      </c>
      <c r="C380" s="14" t="s">
        <v>8671</v>
      </c>
      <c r="D380" s="14" t="s">
        <v>8541</v>
      </c>
      <c r="E380" s="14" t="s">
        <v>5012</v>
      </c>
      <c r="F380" s="14" t="s">
        <v>5013</v>
      </c>
      <c r="G380" s="8" t="s">
        <v>8672</v>
      </c>
      <c r="H380" s="14" t="s">
        <v>258</v>
      </c>
      <c r="I380" s="14" t="s">
        <v>195</v>
      </c>
      <c r="J380" s="14"/>
      <c r="K380" s="14" t="s">
        <v>5016</v>
      </c>
      <c r="L380" s="14"/>
      <c r="M380" s="14" t="s">
        <v>5017</v>
      </c>
      <c r="N380" s="14"/>
      <c r="O380" s="14" t="s">
        <v>5018</v>
      </c>
      <c r="P380" s="14" t="str">
        <f>HYPERLINK("https://ceds.ed.gov/cedselementdetails.aspx?termid=17146")</f>
        <v>https://ceds.ed.gov/cedselementdetails.aspx?termid=17146</v>
      </c>
      <c r="Q380" s="14" t="str">
        <f>HYPERLINK("https://ceds.ed.gov/elementComment.aspx?elementName=Homeless Primary Nighttime Residence &amp;elementID=17146", "Click here to submit comment")</f>
        <v>Click here to submit comment</v>
      </c>
      <c r="R380" s="14">
        <v>52268</v>
      </c>
    </row>
    <row r="381" spans="1:18" ht="409.5" x14ac:dyDescent="0.25">
      <c r="A381" s="14" t="s">
        <v>8529</v>
      </c>
      <c r="B381" s="14" t="s">
        <v>8596</v>
      </c>
      <c r="C381" s="14" t="s">
        <v>8673</v>
      </c>
      <c r="D381" s="14" t="s">
        <v>8541</v>
      </c>
      <c r="E381" s="14" t="s">
        <v>6727</v>
      </c>
      <c r="F381" s="14" t="s">
        <v>6728</v>
      </c>
      <c r="G381" s="8" t="s">
        <v>8674</v>
      </c>
      <c r="H381" s="14" t="s">
        <v>1751</v>
      </c>
      <c r="I381" s="14" t="s">
        <v>195</v>
      </c>
      <c r="J381" s="14"/>
      <c r="K381" s="14" t="s">
        <v>6731</v>
      </c>
      <c r="L381" s="14" t="s">
        <v>6732</v>
      </c>
      <c r="M381" s="14" t="s">
        <v>6733</v>
      </c>
      <c r="N381" s="14"/>
      <c r="O381" s="14" t="s">
        <v>6734</v>
      </c>
      <c r="P381" s="14" t="str">
        <f>HYPERLINK("https://ceds.ed.gov/cedselementdetails.aspx?termid=17415")</f>
        <v>https://ceds.ed.gov/cedselementdetails.aspx?termid=17415</v>
      </c>
      <c r="Q381" s="14" t="str">
        <f>HYPERLINK("https://ceds.ed.gov/elementComment.aspx?elementName=Person Relationship Type &amp;elementID=17415", "Click here to submit comment")</f>
        <v>Click here to submit comment</v>
      </c>
      <c r="R381" s="14">
        <v>52270</v>
      </c>
    </row>
    <row r="382" spans="1:18" ht="45" x14ac:dyDescent="0.25">
      <c r="A382" s="14" t="s">
        <v>8529</v>
      </c>
      <c r="B382" s="14" t="s">
        <v>8596</v>
      </c>
      <c r="C382" s="14" t="s">
        <v>4</v>
      </c>
      <c r="D382" s="14" t="s">
        <v>8541</v>
      </c>
      <c r="E382" s="14" t="s">
        <v>1719</v>
      </c>
      <c r="F382" s="14" t="s">
        <v>1720</v>
      </c>
      <c r="G382" s="14" t="s">
        <v>24</v>
      </c>
      <c r="H382" s="14"/>
      <c r="I382" s="14" t="s">
        <v>188</v>
      </c>
      <c r="J382" s="14"/>
      <c r="K382" s="14" t="s">
        <v>1721</v>
      </c>
      <c r="L382" s="14"/>
      <c r="M382" s="14" t="s">
        <v>1722</v>
      </c>
      <c r="N382" s="14"/>
      <c r="O382" s="14" t="s">
        <v>1723</v>
      </c>
      <c r="P382" s="14" t="str">
        <f>HYPERLINK("https://ceds.ed.gov/cedselementdetails.aspx?termid=18903")</f>
        <v>https://ceds.ed.gov/cedselementdetails.aspx?termid=18903</v>
      </c>
      <c r="Q382" s="14" t="str">
        <f>HYPERLINK("https://ceds.ed.gov/elementComment.aspx?elementName=Awaiting Foster Care Status &amp;elementID=18903", "Click here to submit comment")</f>
        <v>Click here to submit comment</v>
      </c>
      <c r="R382" s="14">
        <v>52271</v>
      </c>
    </row>
    <row r="383" spans="1:18" ht="75" x14ac:dyDescent="0.25">
      <c r="A383" s="14" t="s">
        <v>8529</v>
      </c>
      <c r="B383" s="14" t="s">
        <v>8596</v>
      </c>
      <c r="C383" s="14" t="s">
        <v>4</v>
      </c>
      <c r="D383" s="14" t="s">
        <v>8541</v>
      </c>
      <c r="E383" s="14" t="s">
        <v>7201</v>
      </c>
      <c r="F383" s="14" t="s">
        <v>7202</v>
      </c>
      <c r="G383" s="14" t="s">
        <v>24</v>
      </c>
      <c r="H383" s="14"/>
      <c r="I383" s="14" t="s">
        <v>195</v>
      </c>
      <c r="J383" s="14"/>
      <c r="K383" s="14" t="s">
        <v>2856</v>
      </c>
      <c r="L383" s="14"/>
      <c r="M383" s="14" t="s">
        <v>7204</v>
      </c>
      <c r="N383" s="14"/>
      <c r="O383" s="14" t="s">
        <v>7205</v>
      </c>
      <c r="P383" s="14" t="str">
        <f>HYPERLINK("https://ceds.ed.gov/cedselementdetails.aspx?termid=17760")</f>
        <v>https://ceds.ed.gov/cedselementdetails.aspx?termid=17760</v>
      </c>
      <c r="Q383" s="14" t="str">
        <f>HYPERLINK("https://ceds.ed.gov/elementComment.aspx?elementName=Public Assistance Status &amp;elementID=17760", "Click here to submit comment")</f>
        <v>Click here to submit comment</v>
      </c>
      <c r="R383" s="14">
        <v>52272</v>
      </c>
    </row>
    <row r="384" spans="1:18" ht="45" x14ac:dyDescent="0.25">
      <c r="A384" s="14" t="s">
        <v>8529</v>
      </c>
      <c r="B384" s="14" t="s">
        <v>8675</v>
      </c>
      <c r="C384" s="14"/>
      <c r="D384" s="14" t="s">
        <v>8531</v>
      </c>
      <c r="E384" s="14" t="s">
        <v>5311</v>
      </c>
      <c r="F384" s="14" t="s">
        <v>5312</v>
      </c>
      <c r="G384" s="14" t="s">
        <v>24</v>
      </c>
      <c r="H384" s="14"/>
      <c r="I384" s="14"/>
      <c r="J384" s="14"/>
      <c r="K384" s="14"/>
      <c r="L384" s="14"/>
      <c r="M384" s="14" t="s">
        <v>5314</v>
      </c>
      <c r="N384" s="14"/>
      <c r="O384" s="14" t="s">
        <v>5315</v>
      </c>
      <c r="P384" s="14" t="str">
        <f>HYPERLINK("https://ceds.ed.gov/cedselementdetails.aspx?termid=18591")</f>
        <v>https://ceds.ed.gov/cedselementdetails.aspx?termid=18591</v>
      </c>
      <c r="Q384" s="14" t="str">
        <f>HYPERLINK("https://ceds.ed.gov/elementComment.aspx?elementName=Included in Counted Family Size &amp;elementID=18591", "Click here to submit comment")</f>
        <v>Click here to submit comment</v>
      </c>
      <c r="R384" s="14">
        <v>51083</v>
      </c>
    </row>
    <row r="385" spans="1:18" ht="195" x14ac:dyDescent="0.25">
      <c r="A385" s="14" t="s">
        <v>8529</v>
      </c>
      <c r="B385" s="14" t="s">
        <v>8675</v>
      </c>
      <c r="C385" s="14" t="s">
        <v>8597</v>
      </c>
      <c r="D385" s="14" t="s">
        <v>8531</v>
      </c>
      <c r="E385" s="14" t="s">
        <v>4667</v>
      </c>
      <c r="F385" s="14" t="s">
        <v>4668</v>
      </c>
      <c r="G385" s="14" t="s">
        <v>37</v>
      </c>
      <c r="H385" s="14" t="s">
        <v>4673</v>
      </c>
      <c r="I385" s="14"/>
      <c r="J385" s="14" t="s">
        <v>1468</v>
      </c>
      <c r="K385" s="14"/>
      <c r="L385" s="14" t="s">
        <v>4670</v>
      </c>
      <c r="M385" s="14" t="s">
        <v>4671</v>
      </c>
      <c r="N385" s="14"/>
      <c r="O385" s="14" t="s">
        <v>4672</v>
      </c>
      <c r="P385" s="14" t="str">
        <f>HYPERLINK("https://ceds.ed.gov/cedselementdetails.aspx?termid=17115")</f>
        <v>https://ceds.ed.gov/cedselementdetails.aspx?termid=17115</v>
      </c>
      <c r="Q385" s="14" t="str">
        <f>HYPERLINK("https://ceds.ed.gov/elementComment.aspx?elementName=First Name &amp;elementID=17115", "Click here to submit comment")</f>
        <v>Click here to submit comment</v>
      </c>
      <c r="R385" s="14">
        <v>48150</v>
      </c>
    </row>
    <row r="386" spans="1:18" x14ac:dyDescent="0.25">
      <c r="A386" s="16" t="s">
        <v>8529</v>
      </c>
      <c r="B386" s="16" t="s">
        <v>8675</v>
      </c>
      <c r="C386" s="16" t="s">
        <v>8597</v>
      </c>
      <c r="D386" s="16" t="s">
        <v>8531</v>
      </c>
      <c r="E386" s="16" t="s">
        <v>6223</v>
      </c>
      <c r="F386" s="16" t="s">
        <v>6224</v>
      </c>
      <c r="G386" s="16" t="s">
        <v>37</v>
      </c>
      <c r="H386" s="16" t="s">
        <v>4673</v>
      </c>
      <c r="I386" s="16"/>
      <c r="J386" s="16" t="s">
        <v>1468</v>
      </c>
      <c r="K386" s="16"/>
      <c r="L386" s="14" t="s">
        <v>4746</v>
      </c>
      <c r="M386" s="16" t="s">
        <v>6226</v>
      </c>
      <c r="N386" s="16"/>
      <c r="O386" s="16" t="s">
        <v>6227</v>
      </c>
      <c r="P386" s="16" t="str">
        <f>HYPERLINK("https://ceds.ed.gov/cedselementdetails.aspx?termid=17184")</f>
        <v>https://ceds.ed.gov/cedselementdetails.aspx?termid=17184</v>
      </c>
      <c r="Q386" s="16" t="str">
        <f>HYPERLINK("https://ceds.ed.gov/elementComment.aspx?elementName=Middle Name &amp;elementID=17184", "Click here to submit comment")</f>
        <v>Click here to submit comment</v>
      </c>
      <c r="R386" s="16">
        <v>48154</v>
      </c>
    </row>
    <row r="387" spans="1:18" ht="90" x14ac:dyDescent="0.25">
      <c r="A387" s="16"/>
      <c r="B387" s="16"/>
      <c r="C387" s="16"/>
      <c r="D387" s="16"/>
      <c r="E387" s="16"/>
      <c r="F387" s="16"/>
      <c r="G387" s="16"/>
      <c r="H387" s="16"/>
      <c r="I387" s="16"/>
      <c r="J387" s="16"/>
      <c r="K387" s="16"/>
      <c r="L387" s="14" t="s">
        <v>4750</v>
      </c>
      <c r="M387" s="16"/>
      <c r="N387" s="16"/>
      <c r="O387" s="16"/>
      <c r="P387" s="16"/>
      <c r="Q387" s="16"/>
      <c r="R387" s="16"/>
    </row>
    <row r="388" spans="1:18" x14ac:dyDescent="0.25">
      <c r="A388" s="16" t="s">
        <v>8529</v>
      </c>
      <c r="B388" s="16" t="s">
        <v>8675</v>
      </c>
      <c r="C388" s="16" t="s">
        <v>8597</v>
      </c>
      <c r="D388" s="16" t="s">
        <v>8531</v>
      </c>
      <c r="E388" s="16" t="s">
        <v>5727</v>
      </c>
      <c r="F388" s="16" t="s">
        <v>5728</v>
      </c>
      <c r="G388" s="16" t="s">
        <v>37</v>
      </c>
      <c r="H388" s="16" t="s">
        <v>4673</v>
      </c>
      <c r="I388" s="16"/>
      <c r="J388" s="16" t="s">
        <v>1468</v>
      </c>
      <c r="K388" s="16"/>
      <c r="L388" s="14" t="s">
        <v>4746</v>
      </c>
      <c r="M388" s="16" t="s">
        <v>5729</v>
      </c>
      <c r="N388" s="16" t="s">
        <v>5730</v>
      </c>
      <c r="O388" s="16" t="s">
        <v>5731</v>
      </c>
      <c r="P388" s="16" t="str">
        <f>HYPERLINK("https://ceds.ed.gov/cedselementdetails.aspx?termid=17172")</f>
        <v>https://ceds.ed.gov/cedselementdetails.aspx?termid=17172</v>
      </c>
      <c r="Q388" s="16" t="str">
        <f>HYPERLINK("https://ceds.ed.gov/elementComment.aspx?elementName=Last or Surname &amp;elementID=17172", "Click here to submit comment")</f>
        <v>Click here to submit comment</v>
      </c>
      <c r="R388" s="16">
        <v>48153</v>
      </c>
    </row>
    <row r="389" spans="1:18" ht="90" x14ac:dyDescent="0.25">
      <c r="A389" s="16"/>
      <c r="B389" s="16"/>
      <c r="C389" s="16"/>
      <c r="D389" s="16"/>
      <c r="E389" s="16"/>
      <c r="F389" s="16"/>
      <c r="G389" s="16"/>
      <c r="H389" s="16"/>
      <c r="I389" s="16"/>
      <c r="J389" s="16"/>
      <c r="K389" s="16"/>
      <c r="L389" s="14" t="s">
        <v>4750</v>
      </c>
      <c r="M389" s="16"/>
      <c r="N389" s="16"/>
      <c r="O389" s="16"/>
      <c r="P389" s="16"/>
      <c r="Q389" s="16"/>
      <c r="R389" s="16"/>
    </row>
    <row r="390" spans="1:18" x14ac:dyDescent="0.25">
      <c r="A390" s="16" t="s">
        <v>8529</v>
      </c>
      <c r="B390" s="16" t="s">
        <v>8675</v>
      </c>
      <c r="C390" s="16" t="s">
        <v>8597</v>
      </c>
      <c r="D390" s="16" t="s">
        <v>8531</v>
      </c>
      <c r="E390" s="16" t="s">
        <v>4743</v>
      </c>
      <c r="F390" s="16" t="s">
        <v>4744</v>
      </c>
      <c r="G390" s="16" t="s">
        <v>37</v>
      </c>
      <c r="H390" s="16" t="s">
        <v>4749</v>
      </c>
      <c r="I390" s="16"/>
      <c r="J390" s="16" t="s">
        <v>3096</v>
      </c>
      <c r="K390" s="16"/>
      <c r="L390" s="14" t="s">
        <v>4746</v>
      </c>
      <c r="M390" s="16" t="s">
        <v>4747</v>
      </c>
      <c r="N390" s="16"/>
      <c r="O390" s="16" t="s">
        <v>4748</v>
      </c>
      <c r="P390" s="16" t="str">
        <f>HYPERLINK("https://ceds.ed.gov/cedselementdetails.aspx?termid=17121")</f>
        <v>https://ceds.ed.gov/cedselementdetails.aspx?termid=17121</v>
      </c>
      <c r="Q390" s="16" t="str">
        <f>HYPERLINK("https://ceds.ed.gov/elementComment.aspx?elementName=Generation Code or Suffix &amp;elementID=17121", "Click here to submit comment")</f>
        <v>Click here to submit comment</v>
      </c>
      <c r="R390" s="16">
        <v>48151</v>
      </c>
    </row>
    <row r="391" spans="1:18" ht="90" x14ac:dyDescent="0.25">
      <c r="A391" s="16"/>
      <c r="B391" s="16"/>
      <c r="C391" s="16"/>
      <c r="D391" s="16"/>
      <c r="E391" s="16"/>
      <c r="F391" s="16"/>
      <c r="G391" s="16"/>
      <c r="H391" s="16"/>
      <c r="I391" s="16"/>
      <c r="J391" s="16"/>
      <c r="K391" s="16"/>
      <c r="L391" s="14" t="s">
        <v>4750</v>
      </c>
      <c r="M391" s="16"/>
      <c r="N391" s="16"/>
      <c r="O391" s="16"/>
      <c r="P391" s="16"/>
      <c r="Q391" s="16"/>
      <c r="R391" s="16"/>
    </row>
    <row r="392" spans="1:18" ht="105" x14ac:dyDescent="0.25">
      <c r="A392" s="14" t="s">
        <v>8529</v>
      </c>
      <c r="B392" s="14" t="s">
        <v>8675</v>
      </c>
      <c r="C392" s="14" t="s">
        <v>8597</v>
      </c>
      <c r="D392" s="14" t="s">
        <v>8531</v>
      </c>
      <c r="E392" s="14" t="s">
        <v>6741</v>
      </c>
      <c r="F392" s="14" t="s">
        <v>6742</v>
      </c>
      <c r="G392" s="14" t="s">
        <v>37</v>
      </c>
      <c r="H392" s="14" t="s">
        <v>6747</v>
      </c>
      <c r="I392" s="14"/>
      <c r="J392" s="14" t="s">
        <v>97</v>
      </c>
      <c r="K392" s="14"/>
      <c r="L392" s="14"/>
      <c r="M392" s="14" t="s">
        <v>6744</v>
      </c>
      <c r="N392" s="14" t="s">
        <v>6745</v>
      </c>
      <c r="O392" s="14" t="s">
        <v>6746</v>
      </c>
      <c r="P392" s="14" t="str">
        <f>HYPERLINK("https://ceds.ed.gov/cedselementdetails.aspx?termid=17212")</f>
        <v>https://ceds.ed.gov/cedselementdetails.aspx?termid=17212</v>
      </c>
      <c r="Q392" s="14" t="str">
        <f>HYPERLINK("https://ceds.ed.gov/elementComment.aspx?elementName=Personal Title or Prefix &amp;elementID=17212", "Click here to submit comment")</f>
        <v>Click here to submit comment</v>
      </c>
      <c r="R392" s="14">
        <v>48155</v>
      </c>
    </row>
    <row r="393" spans="1:18" ht="165" x14ac:dyDescent="0.25">
      <c r="A393" s="14" t="s">
        <v>8529</v>
      </c>
      <c r="B393" s="14" t="s">
        <v>8675</v>
      </c>
      <c r="C393" s="14" t="s">
        <v>8598</v>
      </c>
      <c r="D393" s="14" t="s">
        <v>8531</v>
      </c>
      <c r="E393" s="14" t="s">
        <v>6606</v>
      </c>
      <c r="F393" s="14" t="s">
        <v>6607</v>
      </c>
      <c r="G393" s="8" t="s">
        <v>8554</v>
      </c>
      <c r="H393" s="14" t="s">
        <v>6612</v>
      </c>
      <c r="I393" s="14"/>
      <c r="J393" s="14" t="s">
        <v>97</v>
      </c>
      <c r="K393" s="14"/>
      <c r="L393" s="14"/>
      <c r="M393" s="14" t="s">
        <v>6610</v>
      </c>
      <c r="N393" s="14"/>
      <c r="O393" s="14" t="s">
        <v>6611</v>
      </c>
      <c r="P393" s="14" t="str">
        <f>HYPERLINK("https://ceds.ed.gov/cedselementdetails.aspx?termid=17627")</f>
        <v>https://ceds.ed.gov/cedselementdetails.aspx?termid=17627</v>
      </c>
      <c r="Q393" s="14" t="str">
        <f>HYPERLINK("https://ceds.ed.gov/elementComment.aspx?elementName=Other Name Type &amp;elementID=17627", "Click here to submit comment")</f>
        <v>Click here to submit comment</v>
      </c>
      <c r="R393" s="14">
        <v>48967</v>
      </c>
    </row>
    <row r="394" spans="1:18" ht="45" x14ac:dyDescent="0.25">
      <c r="A394" s="14" t="s">
        <v>8529</v>
      </c>
      <c r="B394" s="14" t="s">
        <v>8675</v>
      </c>
      <c r="C394" s="14" t="s">
        <v>8598</v>
      </c>
      <c r="D394" s="14" t="s">
        <v>8531</v>
      </c>
      <c r="E394" s="14" t="s">
        <v>6586</v>
      </c>
      <c r="F394" s="14" t="s">
        <v>6587</v>
      </c>
      <c r="G394" s="14" t="s">
        <v>37</v>
      </c>
      <c r="H394" s="14"/>
      <c r="I394" s="14"/>
      <c r="J394" s="14" t="s">
        <v>1468</v>
      </c>
      <c r="K394" s="14"/>
      <c r="L394" s="14" t="s">
        <v>6589</v>
      </c>
      <c r="M394" s="14" t="s">
        <v>6590</v>
      </c>
      <c r="N394" s="14"/>
      <c r="O394" s="14" t="s">
        <v>6591</v>
      </c>
      <c r="P394" s="14" t="str">
        <f>HYPERLINK("https://ceds.ed.gov/cedselementdetails.aspx?termid=18486")</f>
        <v>https://ceds.ed.gov/cedselementdetails.aspx?termid=18486</v>
      </c>
      <c r="Q394" s="14" t="str">
        <f>HYPERLINK("https://ceds.ed.gov/elementComment.aspx?elementName=Other First Name &amp;elementID=18486", "Click here to submit comment")</f>
        <v>Click here to submit comment</v>
      </c>
      <c r="R394" s="14">
        <v>50628</v>
      </c>
    </row>
    <row r="395" spans="1:18" ht="45" x14ac:dyDescent="0.25">
      <c r="A395" s="14" t="s">
        <v>8529</v>
      </c>
      <c r="B395" s="14" t="s">
        <v>8675</v>
      </c>
      <c r="C395" s="14" t="s">
        <v>8598</v>
      </c>
      <c r="D395" s="14" t="s">
        <v>8531</v>
      </c>
      <c r="E395" s="14" t="s">
        <v>6597</v>
      </c>
      <c r="F395" s="14" t="s">
        <v>6598</v>
      </c>
      <c r="G395" s="14" t="s">
        <v>37</v>
      </c>
      <c r="H395" s="14"/>
      <c r="I395" s="14"/>
      <c r="J395" s="14" t="s">
        <v>1468</v>
      </c>
      <c r="K395" s="14"/>
      <c r="L395" s="14" t="s">
        <v>6599</v>
      </c>
      <c r="M395" s="14" t="s">
        <v>6600</v>
      </c>
      <c r="N395" s="14"/>
      <c r="O395" s="14" t="s">
        <v>6601</v>
      </c>
      <c r="P395" s="14" t="str">
        <f>HYPERLINK("https://ceds.ed.gov/cedselementdetails.aspx?termid=18487")</f>
        <v>https://ceds.ed.gov/cedselementdetails.aspx?termid=18487</v>
      </c>
      <c r="Q395" s="14" t="str">
        <f>HYPERLINK("https://ceds.ed.gov/elementComment.aspx?elementName=Other Middle Name &amp;elementID=18487", "Click here to submit comment")</f>
        <v>Click here to submit comment</v>
      </c>
      <c r="R395" s="14">
        <v>50644</v>
      </c>
    </row>
    <row r="396" spans="1:18" ht="45" x14ac:dyDescent="0.25">
      <c r="A396" s="14" t="s">
        <v>8529</v>
      </c>
      <c r="B396" s="14" t="s">
        <v>8675</v>
      </c>
      <c r="C396" s="14" t="s">
        <v>8598</v>
      </c>
      <c r="D396" s="14" t="s">
        <v>8531</v>
      </c>
      <c r="E396" s="14" t="s">
        <v>6592</v>
      </c>
      <c r="F396" s="14" t="s">
        <v>6593</v>
      </c>
      <c r="G396" s="14" t="s">
        <v>37</v>
      </c>
      <c r="H396" s="14"/>
      <c r="I396" s="14"/>
      <c r="J396" s="14" t="s">
        <v>1468</v>
      </c>
      <c r="K396" s="14"/>
      <c r="L396" s="14" t="s">
        <v>6594</v>
      </c>
      <c r="M396" s="14" t="s">
        <v>6595</v>
      </c>
      <c r="N396" s="14"/>
      <c r="O396" s="14" t="s">
        <v>6596</v>
      </c>
      <c r="P396" s="14" t="str">
        <f>HYPERLINK("https://ceds.ed.gov/cedselementdetails.aspx?termid=18485")</f>
        <v>https://ceds.ed.gov/cedselementdetails.aspx?termid=18485</v>
      </c>
      <c r="Q396" s="14" t="str">
        <f>HYPERLINK("https://ceds.ed.gov/elementComment.aspx?elementName=Other Last Name &amp;elementID=18485", "Click here to submit comment")</f>
        <v>Click here to submit comment</v>
      </c>
      <c r="R396" s="14">
        <v>50612</v>
      </c>
    </row>
    <row r="397" spans="1:18" ht="150" x14ac:dyDescent="0.25">
      <c r="A397" s="14" t="s">
        <v>8529</v>
      </c>
      <c r="B397" s="14" t="s">
        <v>8675</v>
      </c>
      <c r="C397" s="14" t="s">
        <v>8598</v>
      </c>
      <c r="D397" s="14" t="s">
        <v>8531</v>
      </c>
      <c r="E397" s="14" t="s">
        <v>6602</v>
      </c>
      <c r="F397" s="14" t="s">
        <v>6603</v>
      </c>
      <c r="G397" s="14" t="s">
        <v>37</v>
      </c>
      <c r="H397" s="14" t="s">
        <v>4749</v>
      </c>
      <c r="I397" s="14"/>
      <c r="J397" s="14" t="s">
        <v>149</v>
      </c>
      <c r="K397" s="14"/>
      <c r="L397" s="14"/>
      <c r="M397" s="14" t="s">
        <v>6604</v>
      </c>
      <c r="N397" s="14"/>
      <c r="O397" s="14" t="s">
        <v>6605</v>
      </c>
      <c r="P397" s="14" t="str">
        <f>HYPERLINK("https://ceds.ed.gov/cedselementdetails.aspx?termid=17206")</f>
        <v>https://ceds.ed.gov/cedselementdetails.aspx?termid=17206</v>
      </c>
      <c r="Q397" s="14" t="str">
        <f>HYPERLINK("https://ceds.ed.gov/elementComment.aspx?elementName=Other Name &amp;elementID=17206", "Click here to submit comment")</f>
        <v>Click here to submit comment</v>
      </c>
      <c r="R397" s="14">
        <v>48968</v>
      </c>
    </row>
    <row r="398" spans="1:18" ht="105" x14ac:dyDescent="0.25">
      <c r="A398" s="16" t="s">
        <v>8529</v>
      </c>
      <c r="B398" s="16" t="s">
        <v>8675</v>
      </c>
      <c r="C398" s="16" t="s">
        <v>8599</v>
      </c>
      <c r="D398" s="16" t="s">
        <v>8531</v>
      </c>
      <c r="E398" s="16" t="s">
        <v>6711</v>
      </c>
      <c r="F398" s="16" t="s">
        <v>6712</v>
      </c>
      <c r="G398" s="16" t="s">
        <v>37</v>
      </c>
      <c r="H398" s="16"/>
      <c r="I398" s="16"/>
      <c r="J398" s="16" t="s">
        <v>149</v>
      </c>
      <c r="K398" s="16"/>
      <c r="L398" s="14" t="s">
        <v>150</v>
      </c>
      <c r="M398" s="16" t="s">
        <v>6713</v>
      </c>
      <c r="N398" s="16"/>
      <c r="O398" s="16" t="s">
        <v>6714</v>
      </c>
      <c r="P398" s="16" t="str">
        <f>HYPERLINK("https://ceds.ed.gov/cedselementdetails.aspx?termid=18551")</f>
        <v>https://ceds.ed.gov/cedselementdetails.aspx?termid=18551</v>
      </c>
      <c r="Q398" s="16" t="str">
        <f>HYPERLINK("https://ceds.ed.gov/elementComment.aspx?elementName=Person Identifier &amp;elementID=18551", "Click here to submit comment")</f>
        <v>Click here to submit comment</v>
      </c>
      <c r="R398" s="16">
        <v>50908</v>
      </c>
    </row>
    <row r="399" spans="1:18" x14ac:dyDescent="0.25">
      <c r="A399" s="16"/>
      <c r="B399" s="16"/>
      <c r="C399" s="16"/>
      <c r="D399" s="16"/>
      <c r="E399" s="16"/>
      <c r="F399" s="16"/>
      <c r="G399" s="16"/>
      <c r="H399" s="16"/>
      <c r="I399" s="16"/>
      <c r="J399" s="16"/>
      <c r="K399" s="16"/>
      <c r="L399" s="14"/>
      <c r="M399" s="16"/>
      <c r="N399" s="16"/>
      <c r="O399" s="16"/>
      <c r="P399" s="16"/>
      <c r="Q399" s="16"/>
      <c r="R399" s="16"/>
    </row>
    <row r="400" spans="1:18" ht="90" x14ac:dyDescent="0.25">
      <c r="A400" s="16"/>
      <c r="B400" s="16"/>
      <c r="C400" s="16"/>
      <c r="D400" s="16"/>
      <c r="E400" s="16"/>
      <c r="F400" s="16"/>
      <c r="G400" s="16"/>
      <c r="H400" s="16"/>
      <c r="I400" s="16"/>
      <c r="J400" s="16"/>
      <c r="K400" s="16"/>
      <c r="L400" s="14" t="s">
        <v>153</v>
      </c>
      <c r="M400" s="16"/>
      <c r="N400" s="16"/>
      <c r="O400" s="16"/>
      <c r="P400" s="16"/>
      <c r="Q400" s="16"/>
      <c r="R400" s="16"/>
    </row>
    <row r="401" spans="1:18" ht="375" x14ac:dyDescent="0.25">
      <c r="A401" s="14" t="s">
        <v>8529</v>
      </c>
      <c r="B401" s="14" t="s">
        <v>8675</v>
      </c>
      <c r="C401" s="14" t="s">
        <v>8599</v>
      </c>
      <c r="D401" s="14" t="s">
        <v>8531</v>
      </c>
      <c r="E401" s="14" t="s">
        <v>6705</v>
      </c>
      <c r="F401" s="14" t="s">
        <v>6706</v>
      </c>
      <c r="G401" s="8" t="s">
        <v>8676</v>
      </c>
      <c r="H401" s="14"/>
      <c r="I401" s="14"/>
      <c r="J401" s="14"/>
      <c r="K401" s="14"/>
      <c r="L401" s="14"/>
      <c r="M401" s="14" t="s">
        <v>6709</v>
      </c>
      <c r="N401" s="14"/>
      <c r="O401" s="14" t="s">
        <v>6710</v>
      </c>
      <c r="P401" s="14" t="str">
        <f>HYPERLINK("https://ceds.ed.gov/cedselementdetails.aspx?termid=18550")</f>
        <v>https://ceds.ed.gov/cedselementdetails.aspx?termid=18550</v>
      </c>
      <c r="Q401" s="14" t="str">
        <f>HYPERLINK("https://ceds.ed.gov/elementComment.aspx?elementName=Person Identification System &amp;elementID=18550", "Click here to submit comment")</f>
        <v>Click here to submit comment</v>
      </c>
      <c r="R401" s="14">
        <v>50903</v>
      </c>
    </row>
    <row r="402" spans="1:18" ht="409.5" x14ac:dyDescent="0.25">
      <c r="A402" s="14" t="s">
        <v>8529</v>
      </c>
      <c r="B402" s="14" t="s">
        <v>8675</v>
      </c>
      <c r="C402" s="14" t="s">
        <v>8673</v>
      </c>
      <c r="D402" s="14" t="s">
        <v>8531</v>
      </c>
      <c r="E402" s="14" t="s">
        <v>6727</v>
      </c>
      <c r="F402" s="14" t="s">
        <v>6728</v>
      </c>
      <c r="G402" s="8" t="s">
        <v>8674</v>
      </c>
      <c r="H402" s="14" t="s">
        <v>1751</v>
      </c>
      <c r="I402" s="14" t="s">
        <v>195</v>
      </c>
      <c r="J402" s="14"/>
      <c r="K402" s="14" t="s">
        <v>6731</v>
      </c>
      <c r="L402" s="14" t="s">
        <v>6732</v>
      </c>
      <c r="M402" s="14" t="s">
        <v>6733</v>
      </c>
      <c r="N402" s="14"/>
      <c r="O402" s="14" t="s">
        <v>6734</v>
      </c>
      <c r="P402" s="14" t="str">
        <f>HYPERLINK("https://ceds.ed.gov/cedselementdetails.aspx?termid=17415")</f>
        <v>https://ceds.ed.gov/cedselementdetails.aspx?termid=17415</v>
      </c>
      <c r="Q402" s="14" t="str">
        <f>HYPERLINK("https://ceds.ed.gov/elementComment.aspx?elementName=Person Relationship Type &amp;elementID=17415", "Click here to submit comment")</f>
        <v>Click here to submit comment</v>
      </c>
      <c r="R402" s="14">
        <v>48157</v>
      </c>
    </row>
    <row r="403" spans="1:18" ht="90" x14ac:dyDescent="0.25">
      <c r="A403" s="14" t="s">
        <v>8529</v>
      </c>
      <c r="B403" s="14" t="s">
        <v>8675</v>
      </c>
      <c r="C403" s="14" t="s">
        <v>8673</v>
      </c>
      <c r="D403" s="14" t="s">
        <v>8531</v>
      </c>
      <c r="E403" s="14" t="s">
        <v>6852</v>
      </c>
      <c r="F403" s="14" t="s">
        <v>6853</v>
      </c>
      <c r="G403" s="14" t="s">
        <v>24</v>
      </c>
      <c r="H403" s="14"/>
      <c r="I403" s="14"/>
      <c r="J403" s="14"/>
      <c r="K403" s="14"/>
      <c r="L403" s="14"/>
      <c r="M403" s="14" t="s">
        <v>6855</v>
      </c>
      <c r="N403" s="14"/>
      <c r="O403" s="14" t="s">
        <v>6856</v>
      </c>
      <c r="P403" s="14" t="str">
        <f>HYPERLINK("https://ceds.ed.gov/cedselementdetails.aspx?termid=18397")</f>
        <v>https://ceds.ed.gov/cedselementdetails.aspx?termid=18397</v>
      </c>
      <c r="Q403" s="14" t="str">
        <f>HYPERLINK("https://ceds.ed.gov/elementComment.aspx?elementName=Primary Contact Indicator &amp;elementID=18397", "Click here to submit comment")</f>
        <v>Click here to submit comment</v>
      </c>
      <c r="R403" s="14">
        <v>50322</v>
      </c>
    </row>
    <row r="404" spans="1:18" ht="90" x14ac:dyDescent="0.25">
      <c r="A404" s="14" t="s">
        <v>8529</v>
      </c>
      <c r="B404" s="14" t="s">
        <v>8675</v>
      </c>
      <c r="C404" s="14" t="s">
        <v>8673</v>
      </c>
      <c r="D404" s="14" t="s">
        <v>8531</v>
      </c>
      <c r="E404" s="14" t="s">
        <v>3428</v>
      </c>
      <c r="F404" s="14" t="s">
        <v>3429</v>
      </c>
      <c r="G404" s="14" t="s">
        <v>3430</v>
      </c>
      <c r="H404" s="14" t="s">
        <v>467</v>
      </c>
      <c r="I404" s="14" t="s">
        <v>195</v>
      </c>
      <c r="J404" s="14"/>
      <c r="K404" s="14" t="s">
        <v>3432</v>
      </c>
      <c r="L404" s="14"/>
      <c r="M404" s="14" t="s">
        <v>3433</v>
      </c>
      <c r="N404" s="14"/>
      <c r="O404" s="14" t="s">
        <v>3434</v>
      </c>
      <c r="P404" s="14" t="str">
        <f>HYPERLINK("https://ceds.ed.gov/cedselementdetails.aspx?termid=17328")</f>
        <v>https://ceds.ed.gov/cedselementdetails.aspx?termid=17328</v>
      </c>
      <c r="Q404" s="14" t="str">
        <f>HYPERLINK("https://ceds.ed.gov/elementComment.aspx?elementName=Custodial Parent or Guardian Indicator &amp;elementID=17328", "Click here to submit comment")</f>
        <v>Click here to submit comment</v>
      </c>
      <c r="R404" s="14">
        <v>48156</v>
      </c>
    </row>
    <row r="405" spans="1:18" ht="225" x14ac:dyDescent="0.25">
      <c r="A405" s="14" t="s">
        <v>8529</v>
      </c>
      <c r="B405" s="14" t="s">
        <v>8675</v>
      </c>
      <c r="C405" s="14" t="s">
        <v>8673</v>
      </c>
      <c r="D405" s="14" t="s">
        <v>8531</v>
      </c>
      <c r="E405" s="14" t="s">
        <v>2292</v>
      </c>
      <c r="F405" s="14" t="s">
        <v>2293</v>
      </c>
      <c r="G405" s="8" t="s">
        <v>8600</v>
      </c>
      <c r="H405" s="14" t="s">
        <v>2298</v>
      </c>
      <c r="I405" s="14"/>
      <c r="J405" s="14"/>
      <c r="K405" s="14"/>
      <c r="L405" s="14"/>
      <c r="M405" s="14" t="s">
        <v>2296</v>
      </c>
      <c r="N405" s="14"/>
      <c r="O405" s="14" t="s">
        <v>2297</v>
      </c>
      <c r="P405" s="14" t="str">
        <f>HYPERLINK("https://ceds.ed.gov/cedselementdetails.aspx?termid=17782")</f>
        <v>https://ceds.ed.gov/cedselementdetails.aspx?termid=17782</v>
      </c>
      <c r="Q405" s="14" t="str">
        <f>HYPERLINK("https://ceds.ed.gov/elementComment.aspx?elementName=Child Identification System &amp;elementID=17782", "Click here to submit comment")</f>
        <v>Click here to submit comment</v>
      </c>
      <c r="R405" s="14">
        <v>51019</v>
      </c>
    </row>
    <row r="406" spans="1:18" ht="45" x14ac:dyDescent="0.25">
      <c r="A406" s="14" t="s">
        <v>8529</v>
      </c>
      <c r="B406" s="14" t="s">
        <v>8675</v>
      </c>
      <c r="C406" s="14" t="s">
        <v>8673</v>
      </c>
      <c r="D406" s="14" t="s">
        <v>8531</v>
      </c>
      <c r="E406" s="14" t="s">
        <v>3971</v>
      </c>
      <c r="F406" s="14" t="s">
        <v>3972</v>
      </c>
      <c r="G406" s="14" t="s">
        <v>24</v>
      </c>
      <c r="H406" s="14"/>
      <c r="I406" s="14"/>
      <c r="J406" s="14"/>
      <c r="K406" s="14"/>
      <c r="L406" s="14"/>
      <c r="M406" s="14" t="s">
        <v>3974</v>
      </c>
      <c r="N406" s="14"/>
      <c r="O406" s="14" t="s">
        <v>3975</v>
      </c>
      <c r="P406" s="14" t="str">
        <f>HYPERLINK("https://ceds.ed.gov/cedselementdetails.aspx?termid=18308")</f>
        <v>https://ceds.ed.gov/cedselementdetails.aspx?termid=18308</v>
      </c>
      <c r="Q406" s="14" t="str">
        <f>HYPERLINK("https://ceds.ed.gov/elementComment.aspx?elementName=Emergency Contact Indicator &amp;elementID=18308", "Click here to submit comment")</f>
        <v>Click here to submit comment</v>
      </c>
      <c r="R406" s="14">
        <v>50150</v>
      </c>
    </row>
    <row r="407" spans="1:18" ht="45" x14ac:dyDescent="0.25">
      <c r="A407" s="14" t="s">
        <v>8529</v>
      </c>
      <c r="B407" s="14" t="s">
        <v>8675</v>
      </c>
      <c r="C407" s="14" t="s">
        <v>8673</v>
      </c>
      <c r="D407" s="14" t="s">
        <v>8531</v>
      </c>
      <c r="E407" s="14" t="s">
        <v>6715</v>
      </c>
      <c r="F407" s="14" t="s">
        <v>6716</v>
      </c>
      <c r="G407" s="14" t="s">
        <v>37</v>
      </c>
      <c r="H407" s="14"/>
      <c r="I407" s="14"/>
      <c r="J407" s="14" t="s">
        <v>370</v>
      </c>
      <c r="K407" s="14"/>
      <c r="L407" s="14"/>
      <c r="M407" s="14" t="s">
        <v>6717</v>
      </c>
      <c r="N407" s="14"/>
      <c r="O407" s="14" t="s">
        <v>6718</v>
      </c>
      <c r="P407" s="14" t="str">
        <f>HYPERLINK("https://ceds.ed.gov/cedselementdetails.aspx?termid=18392")</f>
        <v>https://ceds.ed.gov/cedselementdetails.aspx?termid=18392</v>
      </c>
      <c r="Q407" s="14" t="str">
        <f>HYPERLINK("https://ceds.ed.gov/elementComment.aspx?elementName=Person Relationship to Learner Contact Priority Number &amp;elementID=18392", "Click here to submit comment")</f>
        <v>Click here to submit comment</v>
      </c>
      <c r="R407" s="14">
        <v>50307</v>
      </c>
    </row>
    <row r="408" spans="1:18" ht="60" x14ac:dyDescent="0.25">
      <c r="A408" s="14" t="s">
        <v>8529</v>
      </c>
      <c r="B408" s="14" t="s">
        <v>8675</v>
      </c>
      <c r="C408" s="14" t="s">
        <v>8673</v>
      </c>
      <c r="D408" s="14" t="s">
        <v>8531</v>
      </c>
      <c r="E408" s="14" t="s">
        <v>6719</v>
      </c>
      <c r="F408" s="14" t="s">
        <v>6720</v>
      </c>
      <c r="G408" s="14" t="s">
        <v>37</v>
      </c>
      <c r="H408" s="14"/>
      <c r="I408" s="14"/>
      <c r="J408" s="14" t="s">
        <v>382</v>
      </c>
      <c r="K408" s="14"/>
      <c r="L408" s="14"/>
      <c r="M408" s="14" t="s">
        <v>6721</v>
      </c>
      <c r="N408" s="14"/>
      <c r="O408" s="14" t="s">
        <v>6722</v>
      </c>
      <c r="P408" s="14" t="str">
        <f>HYPERLINK("https://ceds.ed.gov/cedselementdetails.aspx?termid=18393")</f>
        <v>https://ceds.ed.gov/cedselementdetails.aspx?termid=18393</v>
      </c>
      <c r="Q408" s="14" t="str">
        <f>HYPERLINK("https://ceds.ed.gov/elementComment.aspx?elementName=Person Relationship to Learner Contact Restrictions Description &amp;elementID=18393", "Click here to submit comment")</f>
        <v>Click here to submit comment</v>
      </c>
      <c r="R408" s="14">
        <v>50309</v>
      </c>
    </row>
    <row r="409" spans="1:18" ht="45" x14ac:dyDescent="0.25">
      <c r="A409" s="14" t="s">
        <v>8529</v>
      </c>
      <c r="B409" s="14" t="s">
        <v>8675</v>
      </c>
      <c r="C409" s="14" t="s">
        <v>8673</v>
      </c>
      <c r="D409" s="14" t="s">
        <v>8531</v>
      </c>
      <c r="E409" s="14" t="s">
        <v>6723</v>
      </c>
      <c r="F409" s="14" t="s">
        <v>6724</v>
      </c>
      <c r="G409" s="14" t="s">
        <v>24</v>
      </c>
      <c r="H409" s="14"/>
      <c r="I409" s="14"/>
      <c r="J409" s="14"/>
      <c r="K409" s="14"/>
      <c r="L409" s="14"/>
      <c r="M409" s="14" t="s">
        <v>6725</v>
      </c>
      <c r="N409" s="14"/>
      <c r="O409" s="14" t="s">
        <v>6726</v>
      </c>
      <c r="P409" s="14" t="str">
        <f>HYPERLINK("https://ceds.ed.gov/cedselementdetails.aspx?termid=18394")</f>
        <v>https://ceds.ed.gov/cedselementdetails.aspx?termid=18394</v>
      </c>
      <c r="Q409" s="14" t="str">
        <f>HYPERLINK("https://ceds.ed.gov/elementComment.aspx?elementName=Person Relationship to Learner Lives with Indicator &amp;elementID=18394", "Click here to submit comment")</f>
        <v>Click here to submit comment</v>
      </c>
      <c r="R409" s="14">
        <v>50311</v>
      </c>
    </row>
    <row r="410" spans="1:18" ht="45" x14ac:dyDescent="0.25">
      <c r="A410" s="14" t="s">
        <v>8529</v>
      </c>
      <c r="B410" s="14" t="s">
        <v>8675</v>
      </c>
      <c r="C410" s="14" t="s">
        <v>8673</v>
      </c>
      <c r="D410" s="14" t="s">
        <v>8531</v>
      </c>
      <c r="E410" s="14" t="s">
        <v>5311</v>
      </c>
      <c r="F410" s="14" t="s">
        <v>5312</v>
      </c>
      <c r="G410" s="14" t="s">
        <v>24</v>
      </c>
      <c r="H410" s="14"/>
      <c r="I410" s="14"/>
      <c r="J410" s="14"/>
      <c r="K410" s="14"/>
      <c r="L410" s="14"/>
      <c r="M410" s="14" t="s">
        <v>5314</v>
      </c>
      <c r="N410" s="14"/>
      <c r="O410" s="14" t="s">
        <v>5315</v>
      </c>
      <c r="P410" s="14" t="str">
        <f>HYPERLINK("https://ceds.ed.gov/cedselementdetails.aspx?termid=18591")</f>
        <v>https://ceds.ed.gov/cedselementdetails.aspx?termid=18591</v>
      </c>
      <c r="Q410" s="14" t="str">
        <f>HYPERLINK("https://ceds.ed.gov/elementComment.aspx?elementName=Included in Counted Family Size &amp;elementID=18591", "Click here to submit comment")</f>
        <v>Click here to submit comment</v>
      </c>
      <c r="R410" s="14">
        <v>51085</v>
      </c>
    </row>
    <row r="411" spans="1:18" ht="210" x14ac:dyDescent="0.25">
      <c r="A411" s="14" t="s">
        <v>8529</v>
      </c>
      <c r="B411" s="14" t="s">
        <v>8675</v>
      </c>
      <c r="C411" s="14" t="s">
        <v>8547</v>
      </c>
      <c r="D411" s="14" t="s">
        <v>8531</v>
      </c>
      <c r="E411" s="14" t="s">
        <v>219</v>
      </c>
      <c r="F411" s="14" t="s">
        <v>220</v>
      </c>
      <c r="G411" s="8" t="s">
        <v>8602</v>
      </c>
      <c r="H411" s="14" t="s">
        <v>225</v>
      </c>
      <c r="I411" s="14"/>
      <c r="J411" s="14" t="s">
        <v>97</v>
      </c>
      <c r="K411" s="14"/>
      <c r="L411" s="14"/>
      <c r="M411" s="14" t="s">
        <v>223</v>
      </c>
      <c r="N411" s="14"/>
      <c r="O411" s="14" t="s">
        <v>224</v>
      </c>
      <c r="P411" s="14" t="str">
        <f>HYPERLINK("https://ceds.ed.gov/cedselementdetails.aspx?termid=17358")</f>
        <v>https://ceds.ed.gov/cedselementdetails.aspx?termid=17358</v>
      </c>
      <c r="Q411" s="14" t="str">
        <f>HYPERLINK("https://ceds.ed.gov/elementComment.aspx?elementName=Address Type for Learner or Family &amp;elementID=17358", "Click here to submit comment")</f>
        <v>Click here to submit comment</v>
      </c>
      <c r="R411" s="14">
        <v>49129</v>
      </c>
    </row>
    <row r="412" spans="1:18" ht="225" x14ac:dyDescent="0.25">
      <c r="A412" s="14" t="s">
        <v>8529</v>
      </c>
      <c r="B412" s="14" t="s">
        <v>8675</v>
      </c>
      <c r="C412" s="14" t="s">
        <v>8547</v>
      </c>
      <c r="D412" s="14" t="s">
        <v>8531</v>
      </c>
      <c r="E412" s="14" t="s">
        <v>214</v>
      </c>
      <c r="F412" s="14" t="s">
        <v>215</v>
      </c>
      <c r="G412" s="14" t="s">
        <v>37</v>
      </c>
      <c r="H412" s="14" t="s">
        <v>199</v>
      </c>
      <c r="I412" s="14" t="s">
        <v>195</v>
      </c>
      <c r="J412" s="14" t="s">
        <v>216</v>
      </c>
      <c r="K412" s="14" t="s">
        <v>196</v>
      </c>
      <c r="L412" s="14"/>
      <c r="M412" s="14" t="s">
        <v>217</v>
      </c>
      <c r="N412" s="14"/>
      <c r="O412" s="14" t="s">
        <v>218</v>
      </c>
      <c r="P412" s="14" t="str">
        <f>HYPERLINK("https://ceds.ed.gov/cedselementdetails.aspx?termid=17269")</f>
        <v>https://ceds.ed.gov/cedselementdetails.aspx?termid=17269</v>
      </c>
      <c r="Q412" s="14" t="str">
        <f>HYPERLINK("https://ceds.ed.gov/elementComment.aspx?elementName=Address Street Number and Name &amp;elementID=17269", "Click here to submit comment")</f>
        <v>Click here to submit comment</v>
      </c>
      <c r="R412" s="14">
        <v>48969</v>
      </c>
    </row>
    <row r="413" spans="1:18" ht="225" x14ac:dyDescent="0.25">
      <c r="A413" s="14" t="s">
        <v>8529</v>
      </c>
      <c r="B413" s="14" t="s">
        <v>8675</v>
      </c>
      <c r="C413" s="14" t="s">
        <v>8547</v>
      </c>
      <c r="D413" s="14" t="s">
        <v>8531</v>
      </c>
      <c r="E413" s="14" t="s">
        <v>192</v>
      </c>
      <c r="F413" s="14" t="s">
        <v>193</v>
      </c>
      <c r="G413" s="14" t="s">
        <v>37</v>
      </c>
      <c r="H413" s="14" t="s">
        <v>199</v>
      </c>
      <c r="I413" s="14" t="s">
        <v>195</v>
      </c>
      <c r="J413" s="14" t="s">
        <v>175</v>
      </c>
      <c r="K413" s="14" t="s">
        <v>196</v>
      </c>
      <c r="L413" s="14"/>
      <c r="M413" s="14" t="s">
        <v>197</v>
      </c>
      <c r="N413" s="14"/>
      <c r="O413" s="14" t="s">
        <v>198</v>
      </c>
      <c r="P413" s="14" t="str">
        <f>HYPERLINK("https://ceds.ed.gov/cedselementdetails.aspx?termid=17019")</f>
        <v>https://ceds.ed.gov/cedselementdetails.aspx?termid=17019</v>
      </c>
      <c r="Q413" s="14" t="str">
        <f>HYPERLINK("https://ceds.ed.gov/elementComment.aspx?elementName=Address Apartment Room or Suite Number &amp;elementID=17019", "Click here to submit comment")</f>
        <v>Click here to submit comment</v>
      </c>
      <c r="R413" s="14">
        <v>48970</v>
      </c>
    </row>
    <row r="414" spans="1:18" ht="225" x14ac:dyDescent="0.25">
      <c r="A414" s="14" t="s">
        <v>8529</v>
      </c>
      <c r="B414" s="14" t="s">
        <v>8675</v>
      </c>
      <c r="C414" s="14" t="s">
        <v>8547</v>
      </c>
      <c r="D414" s="14" t="s">
        <v>8531</v>
      </c>
      <c r="E414" s="14" t="s">
        <v>200</v>
      </c>
      <c r="F414" s="14" t="s">
        <v>201</v>
      </c>
      <c r="G414" s="14" t="s">
        <v>37</v>
      </c>
      <c r="H414" s="14" t="s">
        <v>199</v>
      </c>
      <c r="I414" s="14"/>
      <c r="J414" s="14" t="s">
        <v>97</v>
      </c>
      <c r="K414" s="14"/>
      <c r="L414" s="14"/>
      <c r="M414" s="14" t="s">
        <v>202</v>
      </c>
      <c r="N414" s="14"/>
      <c r="O414" s="14" t="s">
        <v>203</v>
      </c>
      <c r="P414" s="14" t="str">
        <f>HYPERLINK("https://ceds.ed.gov/cedselementdetails.aspx?termid=17040")</f>
        <v>https://ceds.ed.gov/cedselementdetails.aspx?termid=17040</v>
      </c>
      <c r="Q414" s="14" t="str">
        <f>HYPERLINK("https://ceds.ed.gov/elementComment.aspx?elementName=Address City &amp;elementID=17040", "Click here to submit comment")</f>
        <v>Click here to submit comment</v>
      </c>
      <c r="R414" s="14">
        <v>48971</v>
      </c>
    </row>
    <row r="415" spans="1:18" ht="409.5" x14ac:dyDescent="0.25">
      <c r="A415" s="14" t="s">
        <v>8529</v>
      </c>
      <c r="B415" s="14" t="s">
        <v>8675</v>
      </c>
      <c r="C415" s="14" t="s">
        <v>8547</v>
      </c>
      <c r="D415" s="14" t="s">
        <v>8531</v>
      </c>
      <c r="E415" s="14" t="s">
        <v>7960</v>
      </c>
      <c r="F415" s="14" t="s">
        <v>7961</v>
      </c>
      <c r="G415" s="8" t="s">
        <v>8540</v>
      </c>
      <c r="H415" s="14" t="s">
        <v>7964</v>
      </c>
      <c r="I415" s="14"/>
      <c r="J415" s="14"/>
      <c r="K415" s="14"/>
      <c r="L415" s="14"/>
      <c r="M415" s="14" t="s">
        <v>7962</v>
      </c>
      <c r="N415" s="14"/>
      <c r="O415" s="14" t="s">
        <v>7963</v>
      </c>
      <c r="P415" s="14" t="str">
        <f>HYPERLINK("https://ceds.ed.gov/cedselementdetails.aspx?termid=17267")</f>
        <v>https://ceds.ed.gov/cedselementdetails.aspx?termid=17267</v>
      </c>
      <c r="Q415" s="14" t="str">
        <f>HYPERLINK("https://ceds.ed.gov/elementComment.aspx?elementName=State Abbreviation &amp;elementID=17267", "Click here to submit comment")</f>
        <v>Click here to submit comment</v>
      </c>
      <c r="R415" s="14">
        <v>48972</v>
      </c>
    </row>
    <row r="416" spans="1:18" ht="225" x14ac:dyDescent="0.25">
      <c r="A416" s="14" t="s">
        <v>8529</v>
      </c>
      <c r="B416" s="14" t="s">
        <v>8675</v>
      </c>
      <c r="C416" s="14" t="s">
        <v>8547</v>
      </c>
      <c r="D416" s="14" t="s">
        <v>8531</v>
      </c>
      <c r="E416" s="14" t="s">
        <v>209</v>
      </c>
      <c r="F416" s="14" t="s">
        <v>210</v>
      </c>
      <c r="G416" s="14" t="s">
        <v>37</v>
      </c>
      <c r="H416" s="14" t="s">
        <v>199</v>
      </c>
      <c r="I416" s="14"/>
      <c r="J416" s="14" t="s">
        <v>211</v>
      </c>
      <c r="K416" s="14"/>
      <c r="L416" s="14"/>
      <c r="M416" s="14" t="s">
        <v>212</v>
      </c>
      <c r="N416" s="14"/>
      <c r="O416" s="14" t="s">
        <v>213</v>
      </c>
      <c r="P416" s="14" t="str">
        <f>HYPERLINK("https://ceds.ed.gov/cedselementdetails.aspx?termid=17214")</f>
        <v>https://ceds.ed.gov/cedselementdetails.aspx?termid=17214</v>
      </c>
      <c r="Q416" s="14" t="str">
        <f>HYPERLINK("https://ceds.ed.gov/elementComment.aspx?elementName=Address Postal Code &amp;elementID=17214", "Click here to submit comment")</f>
        <v>Click here to submit comment</v>
      </c>
      <c r="R416" s="14">
        <v>48973</v>
      </c>
    </row>
    <row r="417" spans="1:18" ht="225" x14ac:dyDescent="0.25">
      <c r="A417" s="14" t="s">
        <v>8529</v>
      </c>
      <c r="B417" s="14" t="s">
        <v>8675</v>
      </c>
      <c r="C417" s="14" t="s">
        <v>8547</v>
      </c>
      <c r="D417" s="14" t="s">
        <v>8531</v>
      </c>
      <c r="E417" s="14" t="s">
        <v>204</v>
      </c>
      <c r="F417" s="14" t="s">
        <v>205</v>
      </c>
      <c r="G417" s="14" t="s">
        <v>37</v>
      </c>
      <c r="H417" s="14" t="s">
        <v>199</v>
      </c>
      <c r="I417" s="14"/>
      <c r="J417" s="14" t="s">
        <v>97</v>
      </c>
      <c r="K417" s="14"/>
      <c r="L417" s="14"/>
      <c r="M417" s="14" t="s">
        <v>207</v>
      </c>
      <c r="N417" s="14"/>
      <c r="O417" s="14" t="s">
        <v>208</v>
      </c>
      <c r="P417" s="14" t="str">
        <f>HYPERLINK("https://ceds.ed.gov/cedselementdetails.aspx?termid=17190")</f>
        <v>https://ceds.ed.gov/cedselementdetails.aspx?termid=17190</v>
      </c>
      <c r="Q417" s="14" t="str">
        <f>HYPERLINK("https://ceds.ed.gov/elementComment.aspx?elementName=Address County Name &amp;elementID=17190", "Click here to submit comment")</f>
        <v>Click here to submit comment</v>
      </c>
      <c r="R417" s="14">
        <v>48974</v>
      </c>
    </row>
    <row r="418" spans="1:18" ht="409.5" x14ac:dyDescent="0.25">
      <c r="A418" s="14" t="s">
        <v>8529</v>
      </c>
      <c r="B418" s="14" t="s">
        <v>8675</v>
      </c>
      <c r="C418" s="14" t="s">
        <v>8547</v>
      </c>
      <c r="D418" s="14" t="s">
        <v>8531</v>
      </c>
      <c r="E418" s="14" t="s">
        <v>2845</v>
      </c>
      <c r="F418" s="14" t="s">
        <v>2846</v>
      </c>
      <c r="G418" s="8" t="s">
        <v>8548</v>
      </c>
      <c r="H418" s="14" t="s">
        <v>2852</v>
      </c>
      <c r="I418" s="14"/>
      <c r="J418" s="14"/>
      <c r="K418" s="14"/>
      <c r="L418" s="6" t="s">
        <v>2849</v>
      </c>
      <c r="M418" s="14" t="s">
        <v>2850</v>
      </c>
      <c r="N418" s="14"/>
      <c r="O418" s="14" t="s">
        <v>2851</v>
      </c>
      <c r="P418" s="14" t="str">
        <f>HYPERLINK("https://ceds.ed.gov/cedselementdetails.aspx?termid=17050")</f>
        <v>https://ceds.ed.gov/cedselementdetails.aspx?termid=17050</v>
      </c>
      <c r="Q418" s="14" t="str">
        <f>HYPERLINK("https://ceds.ed.gov/elementComment.aspx?elementName=Country Code &amp;elementID=17050", "Click here to submit comment")</f>
        <v>Click here to submit comment</v>
      </c>
      <c r="R418" s="14">
        <v>48975</v>
      </c>
    </row>
    <row r="419" spans="1:18" ht="75" x14ac:dyDescent="0.25">
      <c r="A419" s="14" t="s">
        <v>8529</v>
      </c>
      <c r="B419" s="14" t="s">
        <v>8675</v>
      </c>
      <c r="C419" s="14" t="s">
        <v>8547</v>
      </c>
      <c r="D419" s="14" t="s">
        <v>8531</v>
      </c>
      <c r="E419" s="14" t="s">
        <v>5736</v>
      </c>
      <c r="F419" s="14" t="s">
        <v>5737</v>
      </c>
      <c r="G419" s="14" t="s">
        <v>37</v>
      </c>
      <c r="H419" s="14"/>
      <c r="I419" s="14"/>
      <c r="J419" s="14" t="s">
        <v>1307</v>
      </c>
      <c r="K419" s="14"/>
      <c r="L419" s="14"/>
      <c r="M419" s="14" t="s">
        <v>5739</v>
      </c>
      <c r="N419" s="14"/>
      <c r="O419" s="14" t="s">
        <v>5736</v>
      </c>
      <c r="P419" s="14" t="str">
        <f>HYPERLINK("https://ceds.ed.gov/cedselementdetails.aspx?termid=17599")</f>
        <v>https://ceds.ed.gov/cedselementdetails.aspx?termid=17599</v>
      </c>
      <c r="Q419" s="14" t="str">
        <f>HYPERLINK("https://ceds.ed.gov/elementComment.aspx?elementName=Latitude &amp;elementID=17599", "Click here to submit comment")</f>
        <v>Click here to submit comment</v>
      </c>
      <c r="R419" s="14">
        <v>51256</v>
      </c>
    </row>
    <row r="420" spans="1:18" ht="75" x14ac:dyDescent="0.25">
      <c r="A420" s="14" t="s">
        <v>8529</v>
      </c>
      <c r="B420" s="14" t="s">
        <v>8675</v>
      </c>
      <c r="C420" s="14" t="s">
        <v>8547</v>
      </c>
      <c r="D420" s="14" t="s">
        <v>8531</v>
      </c>
      <c r="E420" s="14" t="s">
        <v>6174</v>
      </c>
      <c r="F420" s="14" t="s">
        <v>6175</v>
      </c>
      <c r="G420" s="14" t="s">
        <v>37</v>
      </c>
      <c r="H420" s="14"/>
      <c r="I420" s="14"/>
      <c r="J420" s="14" t="s">
        <v>1307</v>
      </c>
      <c r="K420" s="14"/>
      <c r="L420" s="14"/>
      <c r="M420" s="14" t="s">
        <v>6176</v>
      </c>
      <c r="N420" s="14"/>
      <c r="O420" s="14" t="s">
        <v>6174</v>
      </c>
      <c r="P420" s="14" t="str">
        <f>HYPERLINK("https://ceds.ed.gov/cedselementdetails.aspx?termid=17600")</f>
        <v>https://ceds.ed.gov/cedselementdetails.aspx?termid=17600</v>
      </c>
      <c r="Q420" s="14" t="str">
        <f>HYPERLINK("https://ceds.ed.gov/elementComment.aspx?elementName=Longitude &amp;elementID=17600", "Click here to submit comment")</f>
        <v>Click here to submit comment</v>
      </c>
      <c r="R420" s="14">
        <v>51279</v>
      </c>
    </row>
    <row r="421" spans="1:18" ht="195" x14ac:dyDescent="0.25">
      <c r="A421" s="14" t="s">
        <v>8529</v>
      </c>
      <c r="B421" s="14" t="s">
        <v>8675</v>
      </c>
      <c r="C421" s="14" t="s">
        <v>8547</v>
      </c>
      <c r="D421" s="14" t="s">
        <v>8541</v>
      </c>
      <c r="E421" s="14" t="s">
        <v>2860</v>
      </c>
      <c r="F421" s="14" t="s">
        <v>2861</v>
      </c>
      <c r="G421" s="14" t="s">
        <v>37</v>
      </c>
      <c r="H421" s="14"/>
      <c r="I421" s="14" t="s">
        <v>195</v>
      </c>
      <c r="J421" s="14" t="s">
        <v>2863</v>
      </c>
      <c r="K421" s="14" t="s">
        <v>2864</v>
      </c>
      <c r="L421" s="14"/>
      <c r="M421" s="14" t="s">
        <v>2865</v>
      </c>
      <c r="N421" s="14"/>
      <c r="O421" s="14" t="s">
        <v>2866</v>
      </c>
      <c r="P421" s="14" t="str">
        <f>HYPERLINK("https://ceds.ed.gov/cedselementdetails.aspx?termid=18176")</f>
        <v>https://ceds.ed.gov/cedselementdetails.aspx?termid=18176</v>
      </c>
      <c r="Q421" s="14" t="str">
        <f>HYPERLINK("https://ceds.ed.gov/elementComment.aspx?elementName=County ANSI Code &amp;elementID=18176", "Click here to submit comment")</f>
        <v>Click here to submit comment</v>
      </c>
      <c r="R421" s="14">
        <v>52297</v>
      </c>
    </row>
    <row r="422" spans="1:18" ht="60" x14ac:dyDescent="0.25">
      <c r="A422" s="14" t="s">
        <v>8529</v>
      </c>
      <c r="B422" s="14" t="s">
        <v>8675</v>
      </c>
      <c r="C422" s="14" t="s">
        <v>8547</v>
      </c>
      <c r="D422" s="14" t="s">
        <v>8541</v>
      </c>
      <c r="E422" s="14" t="s">
        <v>3651</v>
      </c>
      <c r="F422" s="14" t="s">
        <v>3652</v>
      </c>
      <c r="G422" s="14" t="s">
        <v>3430</v>
      </c>
      <c r="H422" s="14"/>
      <c r="I422" s="14" t="s">
        <v>188</v>
      </c>
      <c r="J422" s="14"/>
      <c r="K422" s="14" t="s">
        <v>1721</v>
      </c>
      <c r="L422" s="14"/>
      <c r="M422" s="14" t="s">
        <v>3654</v>
      </c>
      <c r="N422" s="14"/>
      <c r="O422" s="14" t="s">
        <v>3655</v>
      </c>
      <c r="P422" s="14" t="str">
        <f>HYPERLINK("https://ceds.ed.gov/cedselementdetails.aspx?termid=18905")</f>
        <v>https://ceds.ed.gov/cedselementdetails.aspx?termid=18905</v>
      </c>
      <c r="Q422" s="14" t="str">
        <f>HYPERLINK("https://ceds.ed.gov/elementComment.aspx?elementName=Do Not Publish Indicator &amp;elementID=18905", "Click here to submit comment")</f>
        <v>Click here to submit comment</v>
      </c>
      <c r="R422" s="14">
        <v>52298</v>
      </c>
    </row>
    <row r="423" spans="1:18" ht="90" x14ac:dyDescent="0.25">
      <c r="A423" s="14" t="s">
        <v>8529</v>
      </c>
      <c r="B423" s="14" t="s">
        <v>8675</v>
      </c>
      <c r="C423" s="14" t="s">
        <v>8549</v>
      </c>
      <c r="D423" s="14" t="s">
        <v>8531</v>
      </c>
      <c r="E423" s="14" t="s">
        <v>8217</v>
      </c>
      <c r="F423" s="14" t="s">
        <v>8218</v>
      </c>
      <c r="G423" s="14" t="s">
        <v>37</v>
      </c>
      <c r="H423" s="14" t="s">
        <v>72</v>
      </c>
      <c r="I423" s="14"/>
      <c r="J423" s="14" t="s">
        <v>8220</v>
      </c>
      <c r="K423" s="14"/>
      <c r="L423" s="14"/>
      <c r="M423" s="14" t="s">
        <v>8221</v>
      </c>
      <c r="N423" s="14"/>
      <c r="O423" s="14" t="s">
        <v>8222</v>
      </c>
      <c r="P423" s="14" t="str">
        <f>HYPERLINK("https://ceds.ed.gov/cedselementdetails.aspx?termid=17279")</f>
        <v>https://ceds.ed.gov/cedselementdetails.aspx?termid=17279</v>
      </c>
      <c r="Q423" s="14" t="str">
        <f>HYPERLINK("https://ceds.ed.gov/elementComment.aspx?elementName=Telephone Number &amp;elementID=17279", "Click here to submit comment")</f>
        <v>Click here to submit comment</v>
      </c>
      <c r="R423" s="14">
        <v>48977</v>
      </c>
    </row>
    <row r="424" spans="1:18" ht="90" x14ac:dyDescent="0.25">
      <c r="A424" s="14" t="s">
        <v>8529</v>
      </c>
      <c r="B424" s="14" t="s">
        <v>8675</v>
      </c>
      <c r="C424" s="14" t="s">
        <v>8549</v>
      </c>
      <c r="D424" s="14" t="s">
        <v>8531</v>
      </c>
      <c r="E424" s="14" t="s">
        <v>8229</v>
      </c>
      <c r="F424" s="14" t="s">
        <v>8230</v>
      </c>
      <c r="G424" s="8" t="s">
        <v>8550</v>
      </c>
      <c r="H424" s="14" t="s">
        <v>72</v>
      </c>
      <c r="I424" s="14"/>
      <c r="J424" s="14" t="s">
        <v>2870</v>
      </c>
      <c r="K424" s="14"/>
      <c r="L424" s="14"/>
      <c r="M424" s="14" t="s">
        <v>8233</v>
      </c>
      <c r="N424" s="14"/>
      <c r="O424" s="14" t="s">
        <v>8234</v>
      </c>
      <c r="P424" s="14" t="str">
        <f>HYPERLINK("https://ceds.ed.gov/cedselementdetails.aspx?termid=17280")</f>
        <v>https://ceds.ed.gov/cedselementdetails.aspx?termid=17280</v>
      </c>
      <c r="Q424" s="14" t="str">
        <f>HYPERLINK("https://ceds.ed.gov/elementComment.aspx?elementName=Telephone Number Type &amp;elementID=17280", "Click here to submit comment")</f>
        <v>Click here to submit comment</v>
      </c>
      <c r="R424" s="14">
        <v>48976</v>
      </c>
    </row>
    <row r="425" spans="1:18" ht="90" x14ac:dyDescent="0.25">
      <c r="A425" s="14" t="s">
        <v>8529</v>
      </c>
      <c r="B425" s="14" t="s">
        <v>8675</v>
      </c>
      <c r="C425" s="14" t="s">
        <v>8549</v>
      </c>
      <c r="D425" s="14" t="s">
        <v>8531</v>
      </c>
      <c r="E425" s="14" t="s">
        <v>6865</v>
      </c>
      <c r="F425" s="14" t="s">
        <v>6866</v>
      </c>
      <c r="G425" s="14" t="s">
        <v>24</v>
      </c>
      <c r="H425" s="14" t="s">
        <v>72</v>
      </c>
      <c r="I425" s="14"/>
      <c r="J425" s="14"/>
      <c r="K425" s="14"/>
      <c r="L425" s="14"/>
      <c r="M425" s="14" t="s">
        <v>6868</v>
      </c>
      <c r="N425" s="14"/>
      <c r="O425" s="14" t="s">
        <v>6869</v>
      </c>
      <c r="P425" s="14" t="str">
        <f>HYPERLINK("https://ceds.ed.gov/cedselementdetails.aspx?termid=17219")</f>
        <v>https://ceds.ed.gov/cedselementdetails.aspx?termid=17219</v>
      </c>
      <c r="Q425" s="14" t="str">
        <f>HYPERLINK("https://ceds.ed.gov/elementComment.aspx?elementName=Primary Telephone Number Indicator &amp;elementID=17219", "Click here to submit comment")</f>
        <v>Click here to submit comment</v>
      </c>
      <c r="R425" s="14">
        <v>49212</v>
      </c>
    </row>
    <row r="426" spans="1:18" ht="60" x14ac:dyDescent="0.25">
      <c r="A426" s="14" t="s">
        <v>8529</v>
      </c>
      <c r="B426" s="14" t="s">
        <v>8675</v>
      </c>
      <c r="C426" s="14" t="s">
        <v>8549</v>
      </c>
      <c r="D426" s="14" t="s">
        <v>8541</v>
      </c>
      <c r="E426" s="14" t="s">
        <v>3651</v>
      </c>
      <c r="F426" s="14" t="s">
        <v>3652</v>
      </c>
      <c r="G426" s="14" t="s">
        <v>3430</v>
      </c>
      <c r="H426" s="14"/>
      <c r="I426" s="14" t="s">
        <v>188</v>
      </c>
      <c r="J426" s="14"/>
      <c r="K426" s="14" t="s">
        <v>1721</v>
      </c>
      <c r="L426" s="14"/>
      <c r="M426" s="14" t="s">
        <v>3654</v>
      </c>
      <c r="N426" s="14"/>
      <c r="O426" s="14" t="s">
        <v>3655</v>
      </c>
      <c r="P426" s="14" t="str">
        <f>HYPERLINK("https://ceds.ed.gov/cedselementdetails.aspx?termid=18905")</f>
        <v>https://ceds.ed.gov/cedselementdetails.aspx?termid=18905</v>
      </c>
      <c r="Q426" s="14" t="str">
        <f>HYPERLINK("https://ceds.ed.gov/elementComment.aspx?elementName=Do Not Publish Indicator &amp;elementID=18905", "Click here to submit comment")</f>
        <v>Click here to submit comment</v>
      </c>
      <c r="R426" s="14">
        <v>52300</v>
      </c>
    </row>
    <row r="427" spans="1:18" ht="60" x14ac:dyDescent="0.25">
      <c r="A427" s="14" t="s">
        <v>8529</v>
      </c>
      <c r="B427" s="14" t="s">
        <v>8675</v>
      </c>
      <c r="C427" s="14" t="s">
        <v>8549</v>
      </c>
      <c r="D427" s="14" t="s">
        <v>8541</v>
      </c>
      <c r="E427" s="14" t="s">
        <v>8223</v>
      </c>
      <c r="F427" s="14" t="s">
        <v>8224</v>
      </c>
      <c r="G427" s="8" t="s">
        <v>8544</v>
      </c>
      <c r="H427" s="14"/>
      <c r="I427" s="14" t="s">
        <v>188</v>
      </c>
      <c r="J427" s="14"/>
      <c r="K427" s="14" t="s">
        <v>1721</v>
      </c>
      <c r="L427" s="14"/>
      <c r="M427" s="14" t="s">
        <v>8227</v>
      </c>
      <c r="N427" s="14"/>
      <c r="O427" s="14" t="s">
        <v>8228</v>
      </c>
      <c r="P427" s="14" t="str">
        <f>HYPERLINK("https://ceds.ed.gov/cedselementdetails.aspx?termid=18911")</f>
        <v>https://ceds.ed.gov/cedselementdetails.aspx?termid=18911</v>
      </c>
      <c r="Q427" s="14" t="str">
        <f>HYPERLINK("https://ceds.ed.gov/elementComment.aspx?elementName=Telephone Number Listed Status &amp;elementID=18911", "Click here to submit comment")</f>
        <v>Click here to submit comment</v>
      </c>
      <c r="R427" s="14">
        <v>52301</v>
      </c>
    </row>
    <row r="428" spans="1:18" ht="90" x14ac:dyDescent="0.25">
      <c r="A428" s="14" t="s">
        <v>8529</v>
      </c>
      <c r="B428" s="14" t="s">
        <v>8675</v>
      </c>
      <c r="C428" s="14" t="s">
        <v>8551</v>
      </c>
      <c r="D428" s="14" t="s">
        <v>8531</v>
      </c>
      <c r="E428" s="14" t="s">
        <v>3931</v>
      </c>
      <c r="F428" s="14" t="s">
        <v>3932</v>
      </c>
      <c r="G428" s="14" t="s">
        <v>37</v>
      </c>
      <c r="H428" s="14" t="s">
        <v>72</v>
      </c>
      <c r="I428" s="14"/>
      <c r="J428" s="14" t="s">
        <v>3934</v>
      </c>
      <c r="K428" s="14"/>
      <c r="L428" s="14"/>
      <c r="M428" s="14" t="s">
        <v>3935</v>
      </c>
      <c r="N428" s="14" t="s">
        <v>3936</v>
      </c>
      <c r="O428" s="14" t="s">
        <v>3937</v>
      </c>
      <c r="P428" s="14" t="str">
        <f>HYPERLINK("https://ceds.ed.gov/cedselementdetails.aspx?termid=17088")</f>
        <v>https://ceds.ed.gov/cedselementdetails.aspx?termid=17088</v>
      </c>
      <c r="Q428" s="14" t="str">
        <f>HYPERLINK("https://ceds.ed.gov/elementComment.aspx?elementName=Electronic Mail Address &amp;elementID=17088", "Click here to submit comment")</f>
        <v>Click here to submit comment</v>
      </c>
      <c r="R428" s="14">
        <v>48979</v>
      </c>
    </row>
    <row r="429" spans="1:18" ht="90" x14ac:dyDescent="0.25">
      <c r="A429" s="14" t="s">
        <v>8529</v>
      </c>
      <c r="B429" s="14" t="s">
        <v>8675</v>
      </c>
      <c r="C429" s="14" t="s">
        <v>8551</v>
      </c>
      <c r="D429" s="14" t="s">
        <v>8531</v>
      </c>
      <c r="E429" s="14" t="s">
        <v>3938</v>
      </c>
      <c r="F429" s="14" t="s">
        <v>3939</v>
      </c>
      <c r="G429" s="8" t="s">
        <v>8552</v>
      </c>
      <c r="H429" s="14" t="s">
        <v>72</v>
      </c>
      <c r="I429" s="14"/>
      <c r="J429" s="14"/>
      <c r="K429" s="14"/>
      <c r="L429" s="14"/>
      <c r="M429" s="14" t="s">
        <v>3941</v>
      </c>
      <c r="N429" s="14" t="s">
        <v>3942</v>
      </c>
      <c r="O429" s="14" t="s">
        <v>3943</v>
      </c>
      <c r="P429" s="14" t="str">
        <f>HYPERLINK("https://ceds.ed.gov/cedselementdetails.aspx?termid=17089")</f>
        <v>https://ceds.ed.gov/cedselementdetails.aspx?termid=17089</v>
      </c>
      <c r="Q429" s="14" t="str">
        <f>HYPERLINK("https://ceds.ed.gov/elementComment.aspx?elementName=Electronic Mail Address Type &amp;elementID=17089", "Click here to submit comment")</f>
        <v>Click here to submit comment</v>
      </c>
      <c r="R429" s="14">
        <v>48978</v>
      </c>
    </row>
    <row r="430" spans="1:18" ht="60" x14ac:dyDescent="0.25">
      <c r="A430" s="14" t="s">
        <v>8529</v>
      </c>
      <c r="B430" s="14" t="s">
        <v>8675</v>
      </c>
      <c r="C430" s="14" t="s">
        <v>8551</v>
      </c>
      <c r="D430" s="14" t="s">
        <v>8541</v>
      </c>
      <c r="E430" s="14" t="s">
        <v>3651</v>
      </c>
      <c r="F430" s="14" t="s">
        <v>3652</v>
      </c>
      <c r="G430" s="14" t="s">
        <v>3430</v>
      </c>
      <c r="H430" s="14"/>
      <c r="I430" s="14" t="s">
        <v>188</v>
      </c>
      <c r="J430" s="14"/>
      <c r="K430" s="14" t="s">
        <v>1721</v>
      </c>
      <c r="L430" s="14"/>
      <c r="M430" s="14" t="s">
        <v>3654</v>
      </c>
      <c r="N430" s="14"/>
      <c r="O430" s="14" t="s">
        <v>3655</v>
      </c>
      <c r="P430" s="14" t="str">
        <f>HYPERLINK("https://ceds.ed.gov/cedselementdetails.aspx?termid=18905")</f>
        <v>https://ceds.ed.gov/cedselementdetails.aspx?termid=18905</v>
      </c>
      <c r="Q430" s="14" t="str">
        <f>HYPERLINK("https://ceds.ed.gov/elementComment.aspx?elementName=Do Not Publish Indicator &amp;elementID=18905", "Click here to submit comment")</f>
        <v>Click here to submit comment</v>
      </c>
      <c r="R430" s="14">
        <v>52299</v>
      </c>
    </row>
    <row r="431" spans="1:18" ht="240" x14ac:dyDescent="0.25">
      <c r="A431" s="14" t="s">
        <v>8529</v>
      </c>
      <c r="B431" s="14" t="s">
        <v>8675</v>
      </c>
      <c r="C431" s="14" t="s">
        <v>8603</v>
      </c>
      <c r="D431" s="14" t="s">
        <v>8531</v>
      </c>
      <c r="E431" s="14" t="s">
        <v>1741</v>
      </c>
      <c r="F431" s="14" t="s">
        <v>1742</v>
      </c>
      <c r="G431" s="14" t="s">
        <v>37</v>
      </c>
      <c r="H431" s="14" t="s">
        <v>1745</v>
      </c>
      <c r="I431" s="14"/>
      <c r="J431" s="14" t="s">
        <v>135</v>
      </c>
      <c r="K431" s="14"/>
      <c r="L431" s="14"/>
      <c r="M431" s="14" t="s">
        <v>1744</v>
      </c>
      <c r="N431" s="14"/>
      <c r="O431" s="14" t="s">
        <v>1741</v>
      </c>
      <c r="P431" s="14" t="str">
        <f>HYPERLINK("https://ceds.ed.gov/cedselementdetails.aspx?termid=17033")</f>
        <v>https://ceds.ed.gov/cedselementdetails.aspx?termid=17033</v>
      </c>
      <c r="Q431" s="14" t="str">
        <f>HYPERLINK("https://ceds.ed.gov/elementComment.aspx?elementName=Birthdate &amp;elementID=17033", "Click here to submit comment")</f>
        <v>Click here to submit comment</v>
      </c>
      <c r="R431" s="14">
        <v>50660</v>
      </c>
    </row>
    <row r="432" spans="1:18" ht="255" x14ac:dyDescent="0.25">
      <c r="A432" s="14" t="s">
        <v>8529</v>
      </c>
      <c r="B432" s="14" t="s">
        <v>8675</v>
      </c>
      <c r="C432" s="14" t="s">
        <v>8603</v>
      </c>
      <c r="D432" s="14" t="s">
        <v>8531</v>
      </c>
      <c r="E432" s="14" t="s">
        <v>7756</v>
      </c>
      <c r="F432" s="14" t="s">
        <v>7757</v>
      </c>
      <c r="G432" s="8" t="s">
        <v>8604</v>
      </c>
      <c r="H432" s="14" t="s">
        <v>7761</v>
      </c>
      <c r="I432" s="14"/>
      <c r="J432" s="14"/>
      <c r="K432" s="14"/>
      <c r="L432" s="14" t="s">
        <v>7759</v>
      </c>
      <c r="M432" s="14" t="s">
        <v>7760</v>
      </c>
      <c r="N432" s="14"/>
      <c r="O432" s="14" t="s">
        <v>7756</v>
      </c>
      <c r="P432" s="14" t="str">
        <f>HYPERLINK("https://ceds.ed.gov/cedselementdetails.aspx?termid=17255")</f>
        <v>https://ceds.ed.gov/cedselementdetails.aspx?termid=17255</v>
      </c>
      <c r="Q432" s="14" t="str">
        <f>HYPERLINK("https://ceds.ed.gov/elementComment.aspx?elementName=Sex &amp;elementID=17255", "Click here to submit comment")</f>
        <v>Click here to submit comment</v>
      </c>
      <c r="R432" s="14">
        <v>51470</v>
      </c>
    </row>
    <row r="433" spans="1:18" ht="120" x14ac:dyDescent="0.25">
      <c r="A433" s="14" t="s">
        <v>8529</v>
      </c>
      <c r="B433" s="14" t="s">
        <v>8675</v>
      </c>
      <c r="C433" s="14" t="s">
        <v>8603</v>
      </c>
      <c r="D433" s="14" t="s">
        <v>8531</v>
      </c>
      <c r="E433" s="14" t="s">
        <v>7940</v>
      </c>
      <c r="F433" s="14" t="s">
        <v>7941</v>
      </c>
      <c r="G433" s="14" t="s">
        <v>37</v>
      </c>
      <c r="H433" s="14" t="s">
        <v>80</v>
      </c>
      <c r="I433" s="14" t="s">
        <v>195</v>
      </c>
      <c r="J433" s="14" t="s">
        <v>7943</v>
      </c>
      <c r="K433" s="14" t="s">
        <v>2856</v>
      </c>
      <c r="L433" s="14"/>
      <c r="M433" s="14" t="s">
        <v>7944</v>
      </c>
      <c r="N433" s="14"/>
      <c r="O433" s="14" t="s">
        <v>7945</v>
      </c>
      <c r="P433" s="14" t="str">
        <f>HYPERLINK("https://ceds.ed.gov/cedselementdetails.aspx?termid=17707")</f>
        <v>https://ceds.ed.gov/cedselementdetails.aspx?termid=17707</v>
      </c>
      <c r="Q433" s="14" t="str">
        <f>HYPERLINK("https://ceds.ed.gov/elementComment.aspx?elementName=Standard Occupational Classification &amp;elementID=17707", "Click here to submit comment")</f>
        <v>Click here to submit comment</v>
      </c>
      <c r="R433" s="14">
        <v>51471</v>
      </c>
    </row>
    <row r="434" spans="1:18" ht="409.5" x14ac:dyDescent="0.25">
      <c r="A434" s="14" t="s">
        <v>8529</v>
      </c>
      <c r="B434" s="14" t="s">
        <v>8675</v>
      </c>
      <c r="C434" s="14" t="s">
        <v>8603</v>
      </c>
      <c r="D434" s="14" t="s">
        <v>8541</v>
      </c>
      <c r="E434" s="14" t="s">
        <v>2853</v>
      </c>
      <c r="F434" s="14" t="s">
        <v>2854</v>
      </c>
      <c r="G434" s="8" t="s">
        <v>8548</v>
      </c>
      <c r="H434" s="14" t="s">
        <v>2859</v>
      </c>
      <c r="I434" s="14" t="s">
        <v>195</v>
      </c>
      <c r="J434" s="14"/>
      <c r="K434" s="14" t="s">
        <v>2856</v>
      </c>
      <c r="L434" s="6" t="s">
        <v>2849</v>
      </c>
      <c r="M434" s="14" t="s">
        <v>2857</v>
      </c>
      <c r="N434" s="14"/>
      <c r="O434" s="14" t="s">
        <v>2858</v>
      </c>
      <c r="P434" s="14" t="str">
        <f>HYPERLINK("https://ceds.ed.gov/cedselementdetails.aspx?termid=17051")</f>
        <v>https://ceds.ed.gov/cedselementdetails.aspx?termid=17051</v>
      </c>
      <c r="Q434" s="14" t="str">
        <f>HYPERLINK("https://ceds.ed.gov/elementComment.aspx?elementName=Country of Birth Code &amp;elementID=17051", "Click here to submit comment")</f>
        <v>Click here to submit comment</v>
      </c>
      <c r="R434" s="14">
        <v>52302</v>
      </c>
    </row>
    <row r="435" spans="1:18" ht="105" x14ac:dyDescent="0.25">
      <c r="A435" s="14" t="s">
        <v>8529</v>
      </c>
      <c r="B435" s="14" t="s">
        <v>8675</v>
      </c>
      <c r="C435" s="14" t="s">
        <v>8603</v>
      </c>
      <c r="D435" s="14" t="s">
        <v>8541</v>
      </c>
      <c r="E435" s="14" t="s">
        <v>6304</v>
      </c>
      <c r="F435" s="14" t="s">
        <v>6305</v>
      </c>
      <c r="G435" s="8" t="s">
        <v>8677</v>
      </c>
      <c r="H435" s="14"/>
      <c r="I435" s="14" t="s">
        <v>195</v>
      </c>
      <c r="J435" s="14"/>
      <c r="K435" s="14" t="s">
        <v>6308</v>
      </c>
      <c r="L435" s="14"/>
      <c r="M435" s="14" t="s">
        <v>6309</v>
      </c>
      <c r="N435" s="14"/>
      <c r="O435" s="14" t="s">
        <v>6310</v>
      </c>
      <c r="P435" s="14" t="str">
        <f>HYPERLINK("https://ceds.ed.gov/cedselementdetails.aspx?termid=18621")</f>
        <v>https://ceds.ed.gov/cedselementdetails.aspx?termid=18621</v>
      </c>
      <c r="Q435" s="14" t="str">
        <f>HYPERLINK("https://ceds.ed.gov/elementComment.aspx?elementName=Military Branch &amp;elementID=18621", "Click here to submit comment")</f>
        <v>Click here to submit comment</v>
      </c>
      <c r="R435" s="14">
        <v>52303</v>
      </c>
    </row>
    <row r="436" spans="1:18" ht="105" x14ac:dyDescent="0.25">
      <c r="A436" s="14" t="s">
        <v>8529</v>
      </c>
      <c r="B436" s="14" t="s">
        <v>8675</v>
      </c>
      <c r="C436" s="14" t="s">
        <v>8603</v>
      </c>
      <c r="D436" s="14" t="s">
        <v>8541</v>
      </c>
      <c r="E436" s="14" t="s">
        <v>8363</v>
      </c>
      <c r="F436" s="14" t="s">
        <v>8364</v>
      </c>
      <c r="G436" s="14" t="s">
        <v>8527</v>
      </c>
      <c r="H436" s="14"/>
      <c r="I436" s="14" t="s">
        <v>195</v>
      </c>
      <c r="J436" s="14"/>
      <c r="K436" s="14" t="s">
        <v>8366</v>
      </c>
      <c r="L436" s="14"/>
      <c r="M436" s="14" t="s">
        <v>8367</v>
      </c>
      <c r="N436" s="14"/>
      <c r="O436" s="14" t="s">
        <v>8368</v>
      </c>
      <c r="P436" s="14" t="str">
        <f>HYPERLINK("https://ceds.ed.gov/cedselementdetails.aspx?termid=18638")</f>
        <v>https://ceds.ed.gov/cedselementdetails.aspx?termid=18638</v>
      </c>
      <c r="Q436" s="14" t="str">
        <f>HYPERLINK("https://ceds.ed.gov/elementComment.aspx?elementName=Tribal Affiliation &amp;elementID=18638", "Click here to submit comment")</f>
        <v>Click here to submit comment</v>
      </c>
      <c r="R436" s="14">
        <v>52304</v>
      </c>
    </row>
    <row r="437" spans="1:18" ht="409.5" x14ac:dyDescent="0.25">
      <c r="A437" s="14" t="s">
        <v>8529</v>
      </c>
      <c r="B437" s="14" t="s">
        <v>8675</v>
      </c>
      <c r="C437" s="14" t="s">
        <v>8678</v>
      </c>
      <c r="D437" s="14" t="s">
        <v>8531</v>
      </c>
      <c r="E437" s="14" t="s">
        <v>4989</v>
      </c>
      <c r="F437" s="14" t="s">
        <v>4990</v>
      </c>
      <c r="G437" s="8" t="s">
        <v>8679</v>
      </c>
      <c r="H437" s="14" t="s">
        <v>4994</v>
      </c>
      <c r="I437" s="14"/>
      <c r="J437" s="14"/>
      <c r="K437" s="14"/>
      <c r="L437" s="14"/>
      <c r="M437" s="14" t="s">
        <v>4992</v>
      </c>
      <c r="N437" s="14"/>
      <c r="O437" s="14" t="s">
        <v>4993</v>
      </c>
      <c r="P437" s="14" t="str">
        <f>HYPERLINK("https://ceds.ed.gov/cedselementdetails.aspx?termid=17141")</f>
        <v>https://ceds.ed.gov/cedselementdetails.aspx?termid=17141</v>
      </c>
      <c r="Q437" s="14" t="str">
        <f>HYPERLINK("https://ceds.ed.gov/elementComment.aspx?elementName=Highest Level of Education Completed &amp;elementID=17141", "Click here to submit comment")</f>
        <v>Click here to submit comment</v>
      </c>
      <c r="R437" s="14">
        <v>48152</v>
      </c>
    </row>
    <row r="438" spans="1:18" ht="210" x14ac:dyDescent="0.25">
      <c r="A438" s="14" t="s">
        <v>8529</v>
      </c>
      <c r="B438" s="14" t="s">
        <v>8675</v>
      </c>
      <c r="C438" s="14" t="s">
        <v>8680</v>
      </c>
      <c r="D438" s="14" t="s">
        <v>8531</v>
      </c>
      <c r="E438" s="14" t="s">
        <v>5543</v>
      </c>
      <c r="F438" s="14" t="s">
        <v>5544</v>
      </c>
      <c r="G438" s="8" t="s">
        <v>8619</v>
      </c>
      <c r="H438" s="14" t="s">
        <v>3500</v>
      </c>
      <c r="I438" s="14"/>
      <c r="J438" s="14"/>
      <c r="K438" s="14"/>
      <c r="L438" s="14" t="s">
        <v>3497</v>
      </c>
      <c r="M438" s="14" t="s">
        <v>5545</v>
      </c>
      <c r="N438" s="14"/>
      <c r="O438" s="14" t="s">
        <v>5546</v>
      </c>
      <c r="P438" s="14" t="str">
        <f>HYPERLINK("https://ceds.ed.gov/cedselementdetails.aspx?termid=17334")</f>
        <v>https://ceds.ed.gov/cedselementdetails.aspx?termid=17334</v>
      </c>
      <c r="Q438" s="14" t="str">
        <f>HYPERLINK("https://ceds.ed.gov/elementComment.aspx?elementName=Insurance Coverage &amp;elementID=17334", "Click here to submit comment")</f>
        <v>Click here to submit comment</v>
      </c>
      <c r="R438" s="14">
        <v>51001</v>
      </c>
    </row>
    <row r="439" spans="1:18" ht="210" x14ac:dyDescent="0.25">
      <c r="A439" s="14" t="s">
        <v>8529</v>
      </c>
      <c r="B439" s="14" t="s">
        <v>8675</v>
      </c>
      <c r="C439" s="14" t="s">
        <v>8680</v>
      </c>
      <c r="D439" s="14" t="s">
        <v>8531</v>
      </c>
      <c r="E439" s="14" t="s">
        <v>3493</v>
      </c>
      <c r="F439" s="14" t="s">
        <v>3494</v>
      </c>
      <c r="G439" s="8" t="s">
        <v>8619</v>
      </c>
      <c r="H439" s="14" t="s">
        <v>3500</v>
      </c>
      <c r="I439" s="14"/>
      <c r="J439" s="14"/>
      <c r="K439" s="14"/>
      <c r="L439" s="14" t="s">
        <v>3497</v>
      </c>
      <c r="M439" s="14" t="s">
        <v>3498</v>
      </c>
      <c r="N439" s="14"/>
      <c r="O439" s="14" t="s">
        <v>3499</v>
      </c>
      <c r="P439" s="14" t="str">
        <f>HYPERLINK("https://ceds.ed.gov/cedselementdetails.aspx?termid=17335")</f>
        <v>https://ceds.ed.gov/cedselementdetails.aspx?termid=17335</v>
      </c>
      <c r="Q439" s="14" t="str">
        <f>HYPERLINK("https://ceds.ed.gov/elementComment.aspx?elementName=Dental Insurance Coverage Type &amp;elementID=17335", "Click here to submit comment")</f>
        <v>Click here to submit comment</v>
      </c>
      <c r="R439" s="14">
        <v>51002</v>
      </c>
    </row>
    <row r="440" spans="1:18" ht="90" x14ac:dyDescent="0.25">
      <c r="A440" s="14" t="s">
        <v>8529</v>
      </c>
      <c r="B440" s="14" t="s">
        <v>8675</v>
      </c>
      <c r="C440" s="14" t="s">
        <v>8632</v>
      </c>
      <c r="D440" s="14" t="s">
        <v>8541</v>
      </c>
      <c r="E440" s="14" t="s">
        <v>5662</v>
      </c>
      <c r="F440" s="14" t="s">
        <v>5663</v>
      </c>
      <c r="G440" s="14" t="s">
        <v>8527</v>
      </c>
      <c r="H440" s="14" t="s">
        <v>5668</v>
      </c>
      <c r="I440" s="14" t="s">
        <v>195</v>
      </c>
      <c r="J440" s="14"/>
      <c r="K440" s="14" t="s">
        <v>5665</v>
      </c>
      <c r="L440" s="6" t="s">
        <v>1087</v>
      </c>
      <c r="M440" s="14" t="s">
        <v>5666</v>
      </c>
      <c r="N440" s="14"/>
      <c r="O440" s="14" t="s">
        <v>5667</v>
      </c>
      <c r="P440" s="14" t="str">
        <f>HYPERLINK("https://ceds.ed.gov/cedselementdetails.aspx?termid=17317")</f>
        <v>https://ceds.ed.gov/cedselementdetails.aspx?termid=17317</v>
      </c>
      <c r="Q440" s="14" t="str">
        <f>HYPERLINK("https://ceds.ed.gov/elementComment.aspx?elementName=ISO 639-2 Language Code &amp;elementID=17317", "Click here to submit comment")</f>
        <v>Click here to submit comment</v>
      </c>
      <c r="R440" s="14">
        <v>52305</v>
      </c>
    </row>
    <row r="441" spans="1:18" ht="105" x14ac:dyDescent="0.25">
      <c r="A441" s="14" t="s">
        <v>8529</v>
      </c>
      <c r="B441" s="14" t="s">
        <v>8675</v>
      </c>
      <c r="C441" s="14" t="s">
        <v>8632</v>
      </c>
      <c r="D441" s="14" t="s">
        <v>8541</v>
      </c>
      <c r="E441" s="14" t="s">
        <v>5669</v>
      </c>
      <c r="F441" s="14" t="s">
        <v>5663</v>
      </c>
      <c r="G441" s="14" t="s">
        <v>8527</v>
      </c>
      <c r="H441" s="14"/>
      <c r="I441" s="14" t="s">
        <v>195</v>
      </c>
      <c r="J441" s="14"/>
      <c r="K441" s="14" t="s">
        <v>5670</v>
      </c>
      <c r="L441" s="6" t="s">
        <v>5671</v>
      </c>
      <c r="M441" s="14" t="s">
        <v>5672</v>
      </c>
      <c r="N441" s="14"/>
      <c r="O441" s="14" t="s">
        <v>5673</v>
      </c>
      <c r="P441" s="14" t="str">
        <f>HYPERLINK("https://ceds.ed.gov/cedselementdetails.aspx?termid=18618")</f>
        <v>https://ceds.ed.gov/cedselementdetails.aspx?termid=18618</v>
      </c>
      <c r="Q441" s="14" t="str">
        <f>HYPERLINK("https://ceds.ed.gov/elementComment.aspx?elementName=ISO 639-3 Language Code &amp;elementID=18618", "Click here to submit comment")</f>
        <v>Click here to submit comment</v>
      </c>
      <c r="R441" s="14">
        <v>52306</v>
      </c>
    </row>
    <row r="442" spans="1:18" ht="409.5" x14ac:dyDescent="0.25">
      <c r="A442" s="14" t="s">
        <v>8529</v>
      </c>
      <c r="B442" s="14" t="s">
        <v>8675</v>
      </c>
      <c r="C442" s="14" t="s">
        <v>8632</v>
      </c>
      <c r="D442" s="14" t="s">
        <v>8541</v>
      </c>
      <c r="E442" s="14" t="s">
        <v>5674</v>
      </c>
      <c r="F442" s="14" t="s">
        <v>5675</v>
      </c>
      <c r="G442" s="8" t="s">
        <v>8634</v>
      </c>
      <c r="H442" s="14"/>
      <c r="I442" s="14" t="s">
        <v>195</v>
      </c>
      <c r="J442" s="14"/>
      <c r="K442" s="14" t="s">
        <v>2856</v>
      </c>
      <c r="L442" s="6" t="s">
        <v>5677</v>
      </c>
      <c r="M442" s="14" t="s">
        <v>5678</v>
      </c>
      <c r="N442" s="14"/>
      <c r="O442" s="14" t="s">
        <v>5679</v>
      </c>
      <c r="P442" s="14" t="str">
        <f>HYPERLINK("https://ceds.ed.gov/cedselementdetails.aspx?termid=18619")</f>
        <v>https://ceds.ed.gov/cedselementdetails.aspx?termid=18619</v>
      </c>
      <c r="Q442" s="14" t="str">
        <f>HYPERLINK("https://ceds.ed.gov/elementComment.aspx?elementName=ISO 639-5 Language Family &amp;elementID=18619", "Click here to submit comment")</f>
        <v>Click here to submit comment</v>
      </c>
      <c r="R442" s="14">
        <v>52307</v>
      </c>
    </row>
    <row r="443" spans="1:18" ht="135" x14ac:dyDescent="0.25">
      <c r="A443" s="14" t="s">
        <v>8529</v>
      </c>
      <c r="B443" s="14" t="s">
        <v>8675</v>
      </c>
      <c r="C443" s="14" t="s">
        <v>8632</v>
      </c>
      <c r="D443" s="14" t="s">
        <v>8541</v>
      </c>
      <c r="E443" s="14" t="s">
        <v>5717</v>
      </c>
      <c r="F443" s="14" t="s">
        <v>5718</v>
      </c>
      <c r="G443" s="8" t="s">
        <v>8633</v>
      </c>
      <c r="H443" s="14" t="s">
        <v>5668</v>
      </c>
      <c r="I443" s="14" t="s">
        <v>195</v>
      </c>
      <c r="J443" s="14"/>
      <c r="K443" s="14" t="s">
        <v>2856</v>
      </c>
      <c r="L443" s="14"/>
      <c r="M443" s="14" t="s">
        <v>5721</v>
      </c>
      <c r="N443" s="14"/>
      <c r="O443" s="14" t="s">
        <v>5722</v>
      </c>
      <c r="P443" s="14" t="str">
        <f>HYPERLINK("https://ceds.ed.gov/cedselementdetails.aspx?termid=17316")</f>
        <v>https://ceds.ed.gov/cedselementdetails.aspx?termid=17316</v>
      </c>
      <c r="Q443" s="14" t="str">
        <f>HYPERLINK("https://ceds.ed.gov/elementComment.aspx?elementName=Language Type &amp;elementID=17316", "Click here to submit comment")</f>
        <v>Click here to submit comment</v>
      </c>
      <c r="R443" s="14">
        <v>52308</v>
      </c>
    </row>
    <row r="444" spans="1:18" ht="75" x14ac:dyDescent="0.25">
      <c r="A444" s="14" t="s">
        <v>8529</v>
      </c>
      <c r="B444" s="14" t="s">
        <v>8675</v>
      </c>
      <c r="C444" s="14" t="s">
        <v>4</v>
      </c>
      <c r="D444" s="14" t="s">
        <v>8541</v>
      </c>
      <c r="E444" s="14" t="s">
        <v>7201</v>
      </c>
      <c r="F444" s="14" t="s">
        <v>7202</v>
      </c>
      <c r="G444" s="14" t="s">
        <v>24</v>
      </c>
      <c r="H444" s="14"/>
      <c r="I444" s="14" t="s">
        <v>195</v>
      </c>
      <c r="J444" s="14"/>
      <c r="K444" s="14" t="s">
        <v>2856</v>
      </c>
      <c r="L444" s="14"/>
      <c r="M444" s="14" t="s">
        <v>7204</v>
      </c>
      <c r="N444" s="14"/>
      <c r="O444" s="14" t="s">
        <v>7205</v>
      </c>
      <c r="P444" s="14" t="str">
        <f>HYPERLINK("https://ceds.ed.gov/cedselementdetails.aspx?termid=17760")</f>
        <v>https://ceds.ed.gov/cedselementdetails.aspx?termid=17760</v>
      </c>
      <c r="Q444" s="14" t="str">
        <f>HYPERLINK("https://ceds.ed.gov/elementComment.aspx?elementName=Public Assistance Status &amp;elementID=17760", "Click here to submit comment")</f>
        <v>Click here to submit comment</v>
      </c>
      <c r="R444" s="14">
        <v>52309</v>
      </c>
    </row>
    <row r="445" spans="1:18" ht="105" x14ac:dyDescent="0.25">
      <c r="A445" s="16" t="s">
        <v>8529</v>
      </c>
      <c r="B445" s="16" t="s">
        <v>8681</v>
      </c>
      <c r="C445" s="16" t="s">
        <v>8533</v>
      </c>
      <c r="D445" s="16" t="s">
        <v>8531</v>
      </c>
      <c r="E445" s="16" t="s">
        <v>4457</v>
      </c>
      <c r="F445" s="16" t="s">
        <v>4458</v>
      </c>
      <c r="G445" s="16" t="s">
        <v>37</v>
      </c>
      <c r="H445" s="16" t="s">
        <v>2298</v>
      </c>
      <c r="I445" s="16"/>
      <c r="J445" s="16" t="s">
        <v>149</v>
      </c>
      <c r="K445" s="16"/>
      <c r="L445" s="14" t="s">
        <v>150</v>
      </c>
      <c r="M445" s="16" t="s">
        <v>4460</v>
      </c>
      <c r="N445" s="16"/>
      <c r="O445" s="16" t="s">
        <v>4461</v>
      </c>
      <c r="P445" s="16" t="str">
        <f>HYPERLINK("https://ceds.ed.gov/cedselementdetails.aspx?termid=17784")</f>
        <v>https://ceds.ed.gov/cedselementdetails.aspx?termid=17784</v>
      </c>
      <c r="Q445" s="16" t="str">
        <f>HYPERLINK("https://ceds.ed.gov/elementComment.aspx?elementName=Family Identifier &amp;elementID=17784", "Click here to submit comment")</f>
        <v>Click here to submit comment</v>
      </c>
      <c r="R445" s="16">
        <v>49224</v>
      </c>
    </row>
    <row r="446" spans="1:18" x14ac:dyDescent="0.25">
      <c r="A446" s="16"/>
      <c r="B446" s="16"/>
      <c r="C446" s="16"/>
      <c r="D446" s="16"/>
      <c r="E446" s="16"/>
      <c r="F446" s="16"/>
      <c r="G446" s="16"/>
      <c r="H446" s="16"/>
      <c r="I446" s="16"/>
      <c r="J446" s="16"/>
      <c r="K446" s="16"/>
      <c r="L446" s="14"/>
      <c r="M446" s="16"/>
      <c r="N446" s="16"/>
      <c r="O446" s="16"/>
      <c r="P446" s="16"/>
      <c r="Q446" s="16"/>
      <c r="R446" s="16"/>
    </row>
    <row r="447" spans="1:18" ht="90" x14ac:dyDescent="0.25">
      <c r="A447" s="16"/>
      <c r="B447" s="16"/>
      <c r="C447" s="16"/>
      <c r="D447" s="16"/>
      <c r="E447" s="16"/>
      <c r="F447" s="16"/>
      <c r="G447" s="16"/>
      <c r="H447" s="16"/>
      <c r="I447" s="16"/>
      <c r="J447" s="16"/>
      <c r="K447" s="16"/>
      <c r="L447" s="14" t="s">
        <v>153</v>
      </c>
      <c r="M447" s="16"/>
      <c r="N447" s="16"/>
      <c r="O447" s="16"/>
      <c r="P447" s="16"/>
      <c r="Q447" s="16"/>
      <c r="R447" s="16"/>
    </row>
    <row r="448" spans="1:18" ht="195" x14ac:dyDescent="0.25">
      <c r="A448" s="14" t="s">
        <v>8529</v>
      </c>
      <c r="B448" s="14" t="s">
        <v>8681</v>
      </c>
      <c r="C448" s="14" t="s">
        <v>8682</v>
      </c>
      <c r="D448" s="14" t="s">
        <v>8531</v>
      </c>
      <c r="E448" s="14" t="s">
        <v>6474</v>
      </c>
      <c r="F448" s="14" t="s">
        <v>6475</v>
      </c>
      <c r="G448" s="14" t="s">
        <v>37</v>
      </c>
      <c r="H448" s="14" t="s">
        <v>3500</v>
      </c>
      <c r="I448" s="14"/>
      <c r="J448" s="14" t="s">
        <v>370</v>
      </c>
      <c r="K448" s="14"/>
      <c r="L448" s="14"/>
      <c r="M448" s="14" t="s">
        <v>6476</v>
      </c>
      <c r="N448" s="14"/>
      <c r="O448" s="14" t="s">
        <v>6477</v>
      </c>
      <c r="P448" s="14" t="str">
        <f>HYPERLINK("https://ceds.ed.gov/cedselementdetails.aspx?termid=17329")</f>
        <v>https://ceds.ed.gov/cedselementdetails.aspx?termid=17329</v>
      </c>
      <c r="Q448" s="14" t="str">
        <f>HYPERLINK("https://ceds.ed.gov/elementComment.aspx?elementName=Number of People in Family &amp;elementID=17329", "Click here to submit comment")</f>
        <v>Click here to submit comment</v>
      </c>
      <c r="R448" s="14">
        <v>47672</v>
      </c>
    </row>
    <row r="449" spans="1:18" ht="45" x14ac:dyDescent="0.25">
      <c r="A449" s="14" t="s">
        <v>8529</v>
      </c>
      <c r="B449" s="14" t="s">
        <v>8681</v>
      </c>
      <c r="C449" s="14" t="s">
        <v>8682</v>
      </c>
      <c r="D449" s="14" t="s">
        <v>8531</v>
      </c>
      <c r="E449" s="14" t="s">
        <v>6478</v>
      </c>
      <c r="F449" s="14" t="s">
        <v>6479</v>
      </c>
      <c r="G449" s="14" t="s">
        <v>37</v>
      </c>
      <c r="H449" s="14" t="s">
        <v>3500</v>
      </c>
      <c r="I449" s="14"/>
      <c r="J449" s="14" t="s">
        <v>370</v>
      </c>
      <c r="K449" s="14"/>
      <c r="L449" s="14"/>
      <c r="M449" s="14" t="s">
        <v>6480</v>
      </c>
      <c r="N449" s="14"/>
      <c r="O449" s="14" t="s">
        <v>6481</v>
      </c>
      <c r="P449" s="14" t="str">
        <f>HYPERLINK("https://ceds.ed.gov/cedselementdetails.aspx?termid=17330")</f>
        <v>https://ceds.ed.gov/cedselementdetails.aspx?termid=17330</v>
      </c>
      <c r="Q449" s="14" t="str">
        <f>HYPERLINK("https://ceds.ed.gov/elementComment.aspx?elementName=Number of People in Household &amp;elementID=17330", "Click here to submit comment")</f>
        <v>Click here to submit comment</v>
      </c>
      <c r="R449" s="14">
        <v>47673</v>
      </c>
    </row>
    <row r="450" spans="1:18" ht="409.5" x14ac:dyDescent="0.25">
      <c r="A450" s="14" t="s">
        <v>8529</v>
      </c>
      <c r="B450" s="14" t="s">
        <v>8681</v>
      </c>
      <c r="C450" s="14" t="s">
        <v>8682</v>
      </c>
      <c r="D450" s="14" t="s">
        <v>8531</v>
      </c>
      <c r="E450" s="14" t="s">
        <v>4462</v>
      </c>
      <c r="F450" s="14" t="s">
        <v>4463</v>
      </c>
      <c r="G450" s="14" t="s">
        <v>37</v>
      </c>
      <c r="H450" s="14" t="s">
        <v>467</v>
      </c>
      <c r="I450" s="14"/>
      <c r="J450" s="14" t="s">
        <v>1710</v>
      </c>
      <c r="K450" s="14"/>
      <c r="L450" s="14" t="s">
        <v>4465</v>
      </c>
      <c r="M450" s="14" t="s">
        <v>4466</v>
      </c>
      <c r="N450" s="14"/>
      <c r="O450" s="14" t="s">
        <v>4467</v>
      </c>
      <c r="P450" s="14" t="str">
        <f>HYPERLINK("https://ceds.ed.gov/cedselementdetails.aspx?termid=17331")</f>
        <v>https://ceds.ed.gov/cedselementdetails.aspx?termid=17331</v>
      </c>
      <c r="Q450" s="14" t="str">
        <f>HYPERLINK("https://ceds.ed.gov/elementComment.aspx?elementName=Family Income &amp;elementID=17331", "Click here to submit comment")</f>
        <v>Click here to submit comment</v>
      </c>
      <c r="R450" s="14">
        <v>47674</v>
      </c>
    </row>
    <row r="451" spans="1:18" ht="180" x14ac:dyDescent="0.25">
      <c r="A451" s="14" t="s">
        <v>8529</v>
      </c>
      <c r="B451" s="14" t="s">
        <v>8681</v>
      </c>
      <c r="C451" s="14" t="s">
        <v>8682</v>
      </c>
      <c r="D451" s="14" t="s">
        <v>8531</v>
      </c>
      <c r="E451" s="14" t="s">
        <v>7802</v>
      </c>
      <c r="F451" s="14" t="s">
        <v>7803</v>
      </c>
      <c r="G451" s="8" t="s">
        <v>8683</v>
      </c>
      <c r="H451" s="14" t="s">
        <v>467</v>
      </c>
      <c r="I451" s="14"/>
      <c r="J451" s="14"/>
      <c r="K451" s="14"/>
      <c r="L451" s="14"/>
      <c r="M451" s="14" t="s">
        <v>7805</v>
      </c>
      <c r="N451" s="14"/>
      <c r="O451" s="14" t="s">
        <v>7806</v>
      </c>
      <c r="P451" s="14" t="str">
        <f>HYPERLINK("https://ceds.ed.gov/cedselementdetails.aspx?termid=17332")</f>
        <v>https://ceds.ed.gov/cedselementdetails.aspx?termid=17332</v>
      </c>
      <c r="Q451" s="14" t="str">
        <f>HYPERLINK("https://ceds.ed.gov/elementComment.aspx?elementName=Source of Family Income &amp;elementID=17332", "Click here to submit comment")</f>
        <v>Click here to submit comment</v>
      </c>
      <c r="R451" s="14">
        <v>47675</v>
      </c>
    </row>
    <row r="452" spans="1:18" ht="60" x14ac:dyDescent="0.25">
      <c r="A452" s="14" t="s">
        <v>8529</v>
      </c>
      <c r="B452" s="14" t="s">
        <v>8681</v>
      </c>
      <c r="C452" s="14" t="s">
        <v>8682</v>
      </c>
      <c r="D452" s="14" t="s">
        <v>8531</v>
      </c>
      <c r="E452" s="14" t="s">
        <v>5321</v>
      </c>
      <c r="F452" s="14" t="s">
        <v>5322</v>
      </c>
      <c r="G452" s="8" t="s">
        <v>8684</v>
      </c>
      <c r="H452" s="14"/>
      <c r="I452" s="14"/>
      <c r="J452" s="14"/>
      <c r="K452" s="14"/>
      <c r="L452" s="14"/>
      <c r="M452" s="14" t="s">
        <v>5324</v>
      </c>
      <c r="N452" s="14"/>
      <c r="O452" s="14" t="s">
        <v>5325</v>
      </c>
      <c r="P452" s="14" t="str">
        <f>HYPERLINK("https://ceds.ed.gov/cedselementdetails.aspx?termid=17333")</f>
        <v>https://ceds.ed.gov/cedselementdetails.aspx?termid=17333</v>
      </c>
      <c r="Q452" s="14" t="str">
        <f>HYPERLINK("https://ceds.ed.gov/elementComment.aspx?elementName=Income Calculation Method &amp;elementID=17333", "Click here to submit comment")</f>
        <v>Click here to submit comment</v>
      </c>
      <c r="R452" s="14">
        <v>47676</v>
      </c>
    </row>
    <row r="453" spans="1:18" ht="75" x14ac:dyDescent="0.25">
      <c r="A453" s="14" t="s">
        <v>8529</v>
      </c>
      <c r="B453" s="14" t="s">
        <v>8681</v>
      </c>
      <c r="C453" s="14" t="s">
        <v>8682</v>
      </c>
      <c r="D453" s="14" t="s">
        <v>8531</v>
      </c>
      <c r="E453" s="14" t="s">
        <v>7192</v>
      </c>
      <c r="F453" s="14" t="s">
        <v>7193</v>
      </c>
      <c r="G453" s="8" t="s">
        <v>8685</v>
      </c>
      <c r="H453" s="14" t="s">
        <v>3500</v>
      </c>
      <c r="I453" s="14"/>
      <c r="J453" s="14"/>
      <c r="K453" s="14"/>
      <c r="L453" s="14"/>
      <c r="M453" s="14" t="s">
        <v>7195</v>
      </c>
      <c r="N453" s="14"/>
      <c r="O453" s="14" t="s">
        <v>7196</v>
      </c>
      <c r="P453" s="14" t="str">
        <f>HYPERLINK("https://ceds.ed.gov/cedselementdetails.aspx?termid=17305")</f>
        <v>https://ceds.ed.gov/cedselementdetails.aspx?termid=17305</v>
      </c>
      <c r="Q453" s="14" t="str">
        <f>HYPERLINK("https://ceds.ed.gov/elementComment.aspx?elementName=Proof of Residency Type &amp;elementID=17305", "Click here to submit comment")</f>
        <v>Click here to submit comment</v>
      </c>
      <c r="R453" s="14">
        <v>47671</v>
      </c>
    </row>
    <row r="454" spans="1:18" ht="45" x14ac:dyDescent="0.25">
      <c r="A454" s="14" t="s">
        <v>8529</v>
      </c>
      <c r="B454" s="14" t="s">
        <v>8681</v>
      </c>
      <c r="C454" s="14" t="s">
        <v>8682</v>
      </c>
      <c r="D454" s="14" t="s">
        <v>8531</v>
      </c>
      <c r="E454" s="14" t="s">
        <v>5311</v>
      </c>
      <c r="F454" s="14" t="s">
        <v>5312</v>
      </c>
      <c r="G454" s="14" t="s">
        <v>24</v>
      </c>
      <c r="H454" s="14"/>
      <c r="I454" s="14"/>
      <c r="J454" s="14"/>
      <c r="K454" s="14"/>
      <c r="L454" s="14"/>
      <c r="M454" s="14" t="s">
        <v>5314</v>
      </c>
      <c r="N454" s="14"/>
      <c r="O454" s="14" t="s">
        <v>5315</v>
      </c>
      <c r="P454" s="14" t="str">
        <f>HYPERLINK("https://ceds.ed.gov/cedselementdetails.aspx?termid=18591")</f>
        <v>https://ceds.ed.gov/cedselementdetails.aspx?termid=18591</v>
      </c>
      <c r="Q454" s="14" t="str">
        <f>HYPERLINK("https://ceds.ed.gov/elementComment.aspx?elementName=Included in Counted Family Size &amp;elementID=18591", "Click here to submit comment")</f>
        <v>Click here to submit comment</v>
      </c>
      <c r="R454" s="14">
        <v>51082</v>
      </c>
    </row>
    <row r="455" spans="1:18" ht="195" x14ac:dyDescent="0.25">
      <c r="A455" s="14" t="s">
        <v>8529</v>
      </c>
      <c r="B455" s="14" t="s">
        <v>8686</v>
      </c>
      <c r="C455" s="14" t="s">
        <v>8597</v>
      </c>
      <c r="D455" s="14" t="s">
        <v>8531</v>
      </c>
      <c r="E455" s="14" t="s">
        <v>4667</v>
      </c>
      <c r="F455" s="14" t="s">
        <v>4668</v>
      </c>
      <c r="G455" s="14" t="s">
        <v>37</v>
      </c>
      <c r="H455" s="14" t="s">
        <v>4673</v>
      </c>
      <c r="I455" s="14"/>
      <c r="J455" s="14" t="s">
        <v>1468</v>
      </c>
      <c r="K455" s="14"/>
      <c r="L455" s="14" t="s">
        <v>4670</v>
      </c>
      <c r="M455" s="14" t="s">
        <v>4671</v>
      </c>
      <c r="N455" s="14"/>
      <c r="O455" s="14" t="s">
        <v>4672</v>
      </c>
      <c r="P455" s="14" t="str">
        <f>HYPERLINK("https://ceds.ed.gov/cedselementdetails.aspx?termid=17115")</f>
        <v>https://ceds.ed.gov/cedselementdetails.aspx?termid=17115</v>
      </c>
      <c r="Q455" s="14" t="str">
        <f>HYPERLINK("https://ceds.ed.gov/elementComment.aspx?elementName=First Name &amp;elementID=17115", "Click here to submit comment")</f>
        <v>Click here to submit comment</v>
      </c>
      <c r="R455" s="14">
        <v>47682</v>
      </c>
    </row>
    <row r="456" spans="1:18" x14ac:dyDescent="0.25">
      <c r="A456" s="16" t="s">
        <v>8529</v>
      </c>
      <c r="B456" s="16" t="s">
        <v>8686</v>
      </c>
      <c r="C456" s="16" t="s">
        <v>8597</v>
      </c>
      <c r="D456" s="16" t="s">
        <v>8531</v>
      </c>
      <c r="E456" s="16" t="s">
        <v>6223</v>
      </c>
      <c r="F456" s="16" t="s">
        <v>6224</v>
      </c>
      <c r="G456" s="16" t="s">
        <v>37</v>
      </c>
      <c r="H456" s="16" t="s">
        <v>4673</v>
      </c>
      <c r="I456" s="16"/>
      <c r="J456" s="16" t="s">
        <v>1468</v>
      </c>
      <c r="K456" s="16"/>
      <c r="L456" s="14" t="s">
        <v>4746</v>
      </c>
      <c r="M456" s="16" t="s">
        <v>6226</v>
      </c>
      <c r="N456" s="16"/>
      <c r="O456" s="16" t="s">
        <v>6227</v>
      </c>
      <c r="P456" s="16" t="str">
        <f>HYPERLINK("https://ceds.ed.gov/cedselementdetails.aspx?termid=17184")</f>
        <v>https://ceds.ed.gov/cedselementdetails.aspx?termid=17184</v>
      </c>
      <c r="Q456" s="16" t="str">
        <f>HYPERLINK("https://ceds.ed.gov/elementComment.aspx?elementName=Middle Name &amp;elementID=17184", "Click here to submit comment")</f>
        <v>Click here to submit comment</v>
      </c>
      <c r="R456" s="16">
        <v>47686</v>
      </c>
    </row>
    <row r="457" spans="1:18" ht="90" x14ac:dyDescent="0.25">
      <c r="A457" s="16"/>
      <c r="B457" s="16"/>
      <c r="C457" s="16"/>
      <c r="D457" s="16"/>
      <c r="E457" s="16"/>
      <c r="F457" s="16"/>
      <c r="G457" s="16"/>
      <c r="H457" s="16"/>
      <c r="I457" s="16"/>
      <c r="J457" s="16"/>
      <c r="K457" s="16"/>
      <c r="L457" s="14" t="s">
        <v>4750</v>
      </c>
      <c r="M457" s="16"/>
      <c r="N457" s="16"/>
      <c r="O457" s="16"/>
      <c r="P457" s="16"/>
      <c r="Q457" s="16"/>
      <c r="R457" s="16"/>
    </row>
    <row r="458" spans="1:18" x14ac:dyDescent="0.25">
      <c r="A458" s="16" t="s">
        <v>8529</v>
      </c>
      <c r="B458" s="16" t="s">
        <v>8686</v>
      </c>
      <c r="C458" s="16" t="s">
        <v>8597</v>
      </c>
      <c r="D458" s="16" t="s">
        <v>8531</v>
      </c>
      <c r="E458" s="16" t="s">
        <v>5727</v>
      </c>
      <c r="F458" s="16" t="s">
        <v>5728</v>
      </c>
      <c r="G458" s="16" t="s">
        <v>37</v>
      </c>
      <c r="H458" s="16" t="s">
        <v>4673</v>
      </c>
      <c r="I458" s="16"/>
      <c r="J458" s="16" t="s">
        <v>1468</v>
      </c>
      <c r="K458" s="16"/>
      <c r="L458" s="14" t="s">
        <v>4746</v>
      </c>
      <c r="M458" s="16" t="s">
        <v>5729</v>
      </c>
      <c r="N458" s="16" t="s">
        <v>5730</v>
      </c>
      <c r="O458" s="16" t="s">
        <v>5731</v>
      </c>
      <c r="P458" s="16" t="str">
        <f>HYPERLINK("https://ceds.ed.gov/cedselementdetails.aspx?termid=17172")</f>
        <v>https://ceds.ed.gov/cedselementdetails.aspx?termid=17172</v>
      </c>
      <c r="Q458" s="16" t="str">
        <f>HYPERLINK("https://ceds.ed.gov/elementComment.aspx?elementName=Last or Surname &amp;elementID=17172", "Click here to submit comment")</f>
        <v>Click here to submit comment</v>
      </c>
      <c r="R458" s="16">
        <v>47685</v>
      </c>
    </row>
    <row r="459" spans="1:18" ht="90" x14ac:dyDescent="0.25">
      <c r="A459" s="16"/>
      <c r="B459" s="16"/>
      <c r="C459" s="16"/>
      <c r="D459" s="16"/>
      <c r="E459" s="16"/>
      <c r="F459" s="16"/>
      <c r="G459" s="16"/>
      <c r="H459" s="16"/>
      <c r="I459" s="16"/>
      <c r="J459" s="16"/>
      <c r="K459" s="16"/>
      <c r="L459" s="14" t="s">
        <v>4750</v>
      </c>
      <c r="M459" s="16"/>
      <c r="N459" s="16"/>
      <c r="O459" s="16"/>
      <c r="P459" s="16"/>
      <c r="Q459" s="16"/>
      <c r="R459" s="16"/>
    </row>
    <row r="460" spans="1:18" x14ac:dyDescent="0.25">
      <c r="A460" s="16" t="s">
        <v>8529</v>
      </c>
      <c r="B460" s="16" t="s">
        <v>8686</v>
      </c>
      <c r="C460" s="16" t="s">
        <v>8597</v>
      </c>
      <c r="D460" s="16" t="s">
        <v>8531</v>
      </c>
      <c r="E460" s="16" t="s">
        <v>4743</v>
      </c>
      <c r="F460" s="16" t="s">
        <v>4744</v>
      </c>
      <c r="G460" s="16" t="s">
        <v>37</v>
      </c>
      <c r="H460" s="16" t="s">
        <v>4749</v>
      </c>
      <c r="I460" s="16"/>
      <c r="J460" s="16" t="s">
        <v>3096</v>
      </c>
      <c r="K460" s="16"/>
      <c r="L460" s="14" t="s">
        <v>4746</v>
      </c>
      <c r="M460" s="16" t="s">
        <v>4747</v>
      </c>
      <c r="N460" s="16"/>
      <c r="O460" s="16" t="s">
        <v>4748</v>
      </c>
      <c r="P460" s="16" t="str">
        <f>HYPERLINK("https://ceds.ed.gov/cedselementdetails.aspx?termid=17121")</f>
        <v>https://ceds.ed.gov/cedselementdetails.aspx?termid=17121</v>
      </c>
      <c r="Q460" s="16" t="str">
        <f>HYPERLINK("https://ceds.ed.gov/elementComment.aspx?elementName=Generation Code or Suffix &amp;elementID=17121", "Click here to submit comment")</f>
        <v>Click here to submit comment</v>
      </c>
      <c r="R460" s="16">
        <v>47683</v>
      </c>
    </row>
    <row r="461" spans="1:18" ht="90" x14ac:dyDescent="0.25">
      <c r="A461" s="16"/>
      <c r="B461" s="16"/>
      <c r="C461" s="16"/>
      <c r="D461" s="16"/>
      <c r="E461" s="16"/>
      <c r="F461" s="16"/>
      <c r="G461" s="16"/>
      <c r="H461" s="16"/>
      <c r="I461" s="16"/>
      <c r="J461" s="16"/>
      <c r="K461" s="16"/>
      <c r="L461" s="14" t="s">
        <v>4750</v>
      </c>
      <c r="M461" s="16"/>
      <c r="N461" s="16"/>
      <c r="O461" s="16"/>
      <c r="P461" s="16"/>
      <c r="Q461" s="16"/>
      <c r="R461" s="16"/>
    </row>
    <row r="462" spans="1:18" ht="105" x14ac:dyDescent="0.25">
      <c r="A462" s="14" t="s">
        <v>8529</v>
      </c>
      <c r="B462" s="14" t="s">
        <v>8686</v>
      </c>
      <c r="C462" s="14" t="s">
        <v>8597</v>
      </c>
      <c r="D462" s="14" t="s">
        <v>8531</v>
      </c>
      <c r="E462" s="14" t="s">
        <v>6741</v>
      </c>
      <c r="F462" s="14" t="s">
        <v>6742</v>
      </c>
      <c r="G462" s="14" t="s">
        <v>37</v>
      </c>
      <c r="H462" s="14" t="s">
        <v>6747</v>
      </c>
      <c r="I462" s="14"/>
      <c r="J462" s="14" t="s">
        <v>97</v>
      </c>
      <c r="K462" s="14"/>
      <c r="L462" s="14"/>
      <c r="M462" s="14" t="s">
        <v>6744</v>
      </c>
      <c r="N462" s="14" t="s">
        <v>6745</v>
      </c>
      <c r="O462" s="14" t="s">
        <v>6746</v>
      </c>
      <c r="P462" s="14" t="str">
        <f>HYPERLINK("https://ceds.ed.gov/cedselementdetails.aspx?termid=17212")</f>
        <v>https://ceds.ed.gov/cedselementdetails.aspx?termid=17212</v>
      </c>
      <c r="Q462" s="14" t="str">
        <f>HYPERLINK("https://ceds.ed.gov/elementComment.aspx?elementName=Personal Title or Prefix &amp;elementID=17212", "Click here to submit comment")</f>
        <v>Click here to submit comment</v>
      </c>
      <c r="R462" s="14">
        <v>47689</v>
      </c>
    </row>
    <row r="463" spans="1:18" ht="165" x14ac:dyDescent="0.25">
      <c r="A463" s="14" t="s">
        <v>8529</v>
      </c>
      <c r="B463" s="14" t="s">
        <v>8686</v>
      </c>
      <c r="C463" s="14" t="s">
        <v>8598</v>
      </c>
      <c r="D463" s="14" t="s">
        <v>8531</v>
      </c>
      <c r="E463" s="14" t="s">
        <v>6606</v>
      </c>
      <c r="F463" s="14" t="s">
        <v>6607</v>
      </c>
      <c r="G463" s="8" t="s">
        <v>8554</v>
      </c>
      <c r="H463" s="14" t="s">
        <v>6612</v>
      </c>
      <c r="I463" s="14"/>
      <c r="J463" s="14" t="s">
        <v>97</v>
      </c>
      <c r="K463" s="14"/>
      <c r="L463" s="14"/>
      <c r="M463" s="14" t="s">
        <v>6610</v>
      </c>
      <c r="N463" s="14"/>
      <c r="O463" s="14" t="s">
        <v>6611</v>
      </c>
      <c r="P463" s="14" t="str">
        <f>HYPERLINK("https://ceds.ed.gov/cedselementdetails.aspx?termid=17627")</f>
        <v>https://ceds.ed.gov/cedselementdetails.aspx?termid=17627</v>
      </c>
      <c r="Q463" s="14" t="str">
        <f>HYPERLINK("https://ceds.ed.gov/elementComment.aspx?elementName=Other Name Type &amp;elementID=17627", "Click here to submit comment")</f>
        <v>Click here to submit comment</v>
      </c>
      <c r="R463" s="14">
        <v>49246</v>
      </c>
    </row>
    <row r="464" spans="1:18" ht="45" x14ac:dyDescent="0.25">
      <c r="A464" s="14" t="s">
        <v>8529</v>
      </c>
      <c r="B464" s="14" t="s">
        <v>8686</v>
      </c>
      <c r="C464" s="14" t="s">
        <v>8598</v>
      </c>
      <c r="D464" s="14" t="s">
        <v>8531</v>
      </c>
      <c r="E464" s="14" t="s">
        <v>6586</v>
      </c>
      <c r="F464" s="14" t="s">
        <v>6587</v>
      </c>
      <c r="G464" s="14" t="s">
        <v>37</v>
      </c>
      <c r="H464" s="14"/>
      <c r="I464" s="14"/>
      <c r="J464" s="14" t="s">
        <v>1468</v>
      </c>
      <c r="K464" s="14"/>
      <c r="L464" s="14" t="s">
        <v>6589</v>
      </c>
      <c r="M464" s="14" t="s">
        <v>6590</v>
      </c>
      <c r="N464" s="14"/>
      <c r="O464" s="14" t="s">
        <v>6591</v>
      </c>
      <c r="P464" s="14" t="str">
        <f>HYPERLINK("https://ceds.ed.gov/cedselementdetails.aspx?termid=18486")</f>
        <v>https://ceds.ed.gov/cedselementdetails.aspx?termid=18486</v>
      </c>
      <c r="Q464" s="14" t="str">
        <f>HYPERLINK("https://ceds.ed.gov/elementComment.aspx?elementName=Other First Name &amp;elementID=18486", "Click here to submit comment")</f>
        <v>Click here to submit comment</v>
      </c>
      <c r="R464" s="14">
        <v>50629</v>
      </c>
    </row>
    <row r="465" spans="1:18" ht="45" x14ac:dyDescent="0.25">
      <c r="A465" s="14" t="s">
        <v>8529</v>
      </c>
      <c r="B465" s="14" t="s">
        <v>8686</v>
      </c>
      <c r="C465" s="14" t="s">
        <v>8598</v>
      </c>
      <c r="D465" s="14" t="s">
        <v>8531</v>
      </c>
      <c r="E465" s="14" t="s">
        <v>6597</v>
      </c>
      <c r="F465" s="14" t="s">
        <v>6598</v>
      </c>
      <c r="G465" s="14" t="s">
        <v>37</v>
      </c>
      <c r="H465" s="14"/>
      <c r="I465" s="14"/>
      <c r="J465" s="14" t="s">
        <v>1468</v>
      </c>
      <c r="K465" s="14"/>
      <c r="L465" s="14" t="s">
        <v>6599</v>
      </c>
      <c r="M465" s="14" t="s">
        <v>6600</v>
      </c>
      <c r="N465" s="14"/>
      <c r="O465" s="14" t="s">
        <v>6601</v>
      </c>
      <c r="P465" s="14" t="str">
        <f>HYPERLINK("https://ceds.ed.gov/cedselementdetails.aspx?termid=18487")</f>
        <v>https://ceds.ed.gov/cedselementdetails.aspx?termid=18487</v>
      </c>
      <c r="Q465" s="14" t="str">
        <f>HYPERLINK("https://ceds.ed.gov/elementComment.aspx?elementName=Other Middle Name &amp;elementID=18487", "Click here to submit comment")</f>
        <v>Click here to submit comment</v>
      </c>
      <c r="R465" s="14">
        <v>50645</v>
      </c>
    </row>
    <row r="466" spans="1:18" ht="45" x14ac:dyDescent="0.25">
      <c r="A466" s="14" t="s">
        <v>8529</v>
      </c>
      <c r="B466" s="14" t="s">
        <v>8686</v>
      </c>
      <c r="C466" s="14" t="s">
        <v>8598</v>
      </c>
      <c r="D466" s="14" t="s">
        <v>8531</v>
      </c>
      <c r="E466" s="14" t="s">
        <v>6592</v>
      </c>
      <c r="F466" s="14" t="s">
        <v>6593</v>
      </c>
      <c r="G466" s="14" t="s">
        <v>37</v>
      </c>
      <c r="H466" s="14"/>
      <c r="I466" s="14"/>
      <c r="J466" s="14" t="s">
        <v>1468</v>
      </c>
      <c r="K466" s="14"/>
      <c r="L466" s="14" t="s">
        <v>6594</v>
      </c>
      <c r="M466" s="14" t="s">
        <v>6595</v>
      </c>
      <c r="N466" s="14"/>
      <c r="O466" s="14" t="s">
        <v>6596</v>
      </c>
      <c r="P466" s="14" t="str">
        <f>HYPERLINK("https://ceds.ed.gov/cedselementdetails.aspx?termid=18485")</f>
        <v>https://ceds.ed.gov/cedselementdetails.aspx?termid=18485</v>
      </c>
      <c r="Q466" s="14" t="str">
        <f>HYPERLINK("https://ceds.ed.gov/elementComment.aspx?elementName=Other Last Name &amp;elementID=18485", "Click here to submit comment")</f>
        <v>Click here to submit comment</v>
      </c>
      <c r="R466" s="14">
        <v>50613</v>
      </c>
    </row>
    <row r="467" spans="1:18" ht="150" x14ac:dyDescent="0.25">
      <c r="A467" s="14" t="s">
        <v>8529</v>
      </c>
      <c r="B467" s="14" t="s">
        <v>8686</v>
      </c>
      <c r="C467" s="14" t="s">
        <v>8598</v>
      </c>
      <c r="D467" s="14" t="s">
        <v>8531</v>
      </c>
      <c r="E467" s="14" t="s">
        <v>6602</v>
      </c>
      <c r="F467" s="14" t="s">
        <v>6603</v>
      </c>
      <c r="G467" s="14" t="s">
        <v>37</v>
      </c>
      <c r="H467" s="14" t="s">
        <v>4749</v>
      </c>
      <c r="I467" s="14"/>
      <c r="J467" s="14" t="s">
        <v>149</v>
      </c>
      <c r="K467" s="14"/>
      <c r="L467" s="14"/>
      <c r="M467" s="14" t="s">
        <v>6604</v>
      </c>
      <c r="N467" s="14"/>
      <c r="O467" s="14" t="s">
        <v>6605</v>
      </c>
      <c r="P467" s="14" t="str">
        <f>HYPERLINK("https://ceds.ed.gov/cedselementdetails.aspx?termid=17206")</f>
        <v>https://ceds.ed.gov/cedselementdetails.aspx?termid=17206</v>
      </c>
      <c r="Q467" s="14" t="str">
        <f>HYPERLINK("https://ceds.ed.gov/elementComment.aspx?elementName=Other Name &amp;elementID=17206", "Click here to submit comment")</f>
        <v>Click here to submit comment</v>
      </c>
      <c r="R467" s="14">
        <v>49245</v>
      </c>
    </row>
    <row r="468" spans="1:18" ht="105" x14ac:dyDescent="0.25">
      <c r="A468" s="16" t="s">
        <v>8529</v>
      </c>
      <c r="B468" s="16" t="s">
        <v>8686</v>
      </c>
      <c r="C468" s="16" t="s">
        <v>8599</v>
      </c>
      <c r="D468" s="16" t="s">
        <v>8531</v>
      </c>
      <c r="E468" s="16" t="s">
        <v>7927</v>
      </c>
      <c r="F468" s="16" t="s">
        <v>7928</v>
      </c>
      <c r="G468" s="16" t="s">
        <v>37</v>
      </c>
      <c r="H468" s="16" t="s">
        <v>7931</v>
      </c>
      <c r="I468" s="16"/>
      <c r="J468" s="16" t="s">
        <v>149</v>
      </c>
      <c r="K468" s="16"/>
      <c r="L468" s="14" t="s">
        <v>150</v>
      </c>
      <c r="M468" s="16" t="s">
        <v>7929</v>
      </c>
      <c r="N468" s="16"/>
      <c r="O468" s="16" t="s">
        <v>7930</v>
      </c>
      <c r="P468" s="16" t="str">
        <f>HYPERLINK("https://ceds.ed.gov/cedselementdetails.aspx?termid=17156")</f>
        <v>https://ceds.ed.gov/cedselementdetails.aspx?termid=17156</v>
      </c>
      <c r="Q468" s="16" t="str">
        <f>HYPERLINK("https://ceds.ed.gov/elementComment.aspx?elementName=Staff Member Identifier &amp;elementID=17156", "Click here to submit comment")</f>
        <v>Click here to submit comment</v>
      </c>
      <c r="R468" s="16">
        <v>49247</v>
      </c>
    </row>
    <row r="469" spans="1:18" x14ac:dyDescent="0.25">
      <c r="A469" s="16"/>
      <c r="B469" s="16"/>
      <c r="C469" s="16"/>
      <c r="D469" s="16"/>
      <c r="E469" s="16"/>
      <c r="F469" s="16"/>
      <c r="G469" s="16"/>
      <c r="H469" s="16"/>
      <c r="I469" s="16"/>
      <c r="J469" s="16"/>
      <c r="K469" s="16"/>
      <c r="L469" s="14"/>
      <c r="M469" s="16"/>
      <c r="N469" s="16"/>
      <c r="O469" s="16"/>
      <c r="P469" s="16"/>
      <c r="Q469" s="16"/>
      <c r="R469" s="16"/>
    </row>
    <row r="470" spans="1:18" ht="90" x14ac:dyDescent="0.25">
      <c r="A470" s="16"/>
      <c r="B470" s="16"/>
      <c r="C470" s="16"/>
      <c r="D470" s="16"/>
      <c r="E470" s="16"/>
      <c r="F470" s="16"/>
      <c r="G470" s="16"/>
      <c r="H470" s="16"/>
      <c r="I470" s="16"/>
      <c r="J470" s="16"/>
      <c r="K470" s="16"/>
      <c r="L470" s="14" t="s">
        <v>153</v>
      </c>
      <c r="M470" s="16"/>
      <c r="N470" s="16"/>
      <c r="O470" s="16"/>
      <c r="P470" s="16"/>
      <c r="Q470" s="16"/>
      <c r="R470" s="16"/>
    </row>
    <row r="471" spans="1:18" ht="345" x14ac:dyDescent="0.25">
      <c r="A471" s="14" t="s">
        <v>8529</v>
      </c>
      <c r="B471" s="14" t="s">
        <v>8686</v>
      </c>
      <c r="C471" s="14" t="s">
        <v>8599</v>
      </c>
      <c r="D471" s="14" t="s">
        <v>8531</v>
      </c>
      <c r="E471" s="14" t="s">
        <v>7920</v>
      </c>
      <c r="F471" s="14" t="s">
        <v>7921</v>
      </c>
      <c r="G471" s="8" t="s">
        <v>8687</v>
      </c>
      <c r="H471" s="14" t="s">
        <v>7926</v>
      </c>
      <c r="I471" s="14"/>
      <c r="J471" s="14"/>
      <c r="K471" s="14"/>
      <c r="L471" s="14"/>
      <c r="M471" s="14" t="s">
        <v>7924</v>
      </c>
      <c r="N471" s="14"/>
      <c r="O471" s="14" t="s">
        <v>7925</v>
      </c>
      <c r="P471" s="14" t="str">
        <f>HYPERLINK("https://ceds.ed.gov/cedselementdetails.aspx?termid=17162")</f>
        <v>https://ceds.ed.gov/cedselementdetails.aspx?termid=17162</v>
      </c>
      <c r="Q471" s="14" t="str">
        <f>HYPERLINK("https://ceds.ed.gov/elementComment.aspx?elementName=Staff Member Identification System &amp;elementID=17162", "Click here to submit comment")</f>
        <v>Click here to submit comment</v>
      </c>
      <c r="R471" s="14">
        <v>49248</v>
      </c>
    </row>
    <row r="472" spans="1:18" ht="105" x14ac:dyDescent="0.25">
      <c r="A472" s="14" t="s">
        <v>8529</v>
      </c>
      <c r="B472" s="14" t="s">
        <v>8686</v>
      </c>
      <c r="C472" s="14" t="s">
        <v>8547</v>
      </c>
      <c r="D472" s="14" t="s">
        <v>8531</v>
      </c>
      <c r="E472" s="14" t="s">
        <v>232</v>
      </c>
      <c r="F472" s="14" t="s">
        <v>233</v>
      </c>
      <c r="G472" s="8" t="s">
        <v>8688</v>
      </c>
      <c r="H472" s="14" t="s">
        <v>238</v>
      </c>
      <c r="I472" s="14"/>
      <c r="J472" s="14" t="s">
        <v>97</v>
      </c>
      <c r="K472" s="14"/>
      <c r="L472" s="14"/>
      <c r="M472" s="14" t="s">
        <v>236</v>
      </c>
      <c r="N472" s="14"/>
      <c r="O472" s="14" t="s">
        <v>237</v>
      </c>
      <c r="P472" s="14" t="str">
        <f>HYPERLINK("https://ceds.ed.gov/cedselementdetails.aspx?termid=17698")</f>
        <v>https://ceds.ed.gov/cedselementdetails.aspx?termid=17698</v>
      </c>
      <c r="Q472" s="14" t="str">
        <f>HYPERLINK("https://ceds.ed.gov/elementComment.aspx?elementName=Address Type for Staff &amp;elementID=17698", "Click here to submit comment")</f>
        <v>Click here to submit comment</v>
      </c>
      <c r="R472" s="14">
        <v>49225</v>
      </c>
    </row>
    <row r="473" spans="1:18" ht="225" x14ac:dyDescent="0.25">
      <c r="A473" s="14" t="s">
        <v>8529</v>
      </c>
      <c r="B473" s="14" t="s">
        <v>8686</v>
      </c>
      <c r="C473" s="14" t="s">
        <v>8547</v>
      </c>
      <c r="D473" s="14" t="s">
        <v>8531</v>
      </c>
      <c r="E473" s="14" t="s">
        <v>214</v>
      </c>
      <c r="F473" s="14" t="s">
        <v>215</v>
      </c>
      <c r="G473" s="14" t="s">
        <v>37</v>
      </c>
      <c r="H473" s="14" t="s">
        <v>199</v>
      </c>
      <c r="I473" s="14" t="s">
        <v>195</v>
      </c>
      <c r="J473" s="14" t="s">
        <v>216</v>
      </c>
      <c r="K473" s="14" t="s">
        <v>196</v>
      </c>
      <c r="L473" s="14"/>
      <c r="M473" s="14" t="s">
        <v>217</v>
      </c>
      <c r="N473" s="14"/>
      <c r="O473" s="14" t="s">
        <v>218</v>
      </c>
      <c r="P473" s="14" t="str">
        <f>HYPERLINK("https://ceds.ed.gov/cedselementdetails.aspx?termid=17269")</f>
        <v>https://ceds.ed.gov/cedselementdetails.aspx?termid=17269</v>
      </c>
      <c r="Q473" s="14" t="str">
        <f>HYPERLINK("https://ceds.ed.gov/elementComment.aspx?elementName=Address Street Number and Name &amp;elementID=17269", "Click here to submit comment")</f>
        <v>Click here to submit comment</v>
      </c>
      <c r="R473" s="14">
        <v>47693</v>
      </c>
    </row>
    <row r="474" spans="1:18" ht="225" x14ac:dyDescent="0.25">
      <c r="A474" s="14" t="s">
        <v>8529</v>
      </c>
      <c r="B474" s="14" t="s">
        <v>8686</v>
      </c>
      <c r="C474" s="14" t="s">
        <v>8547</v>
      </c>
      <c r="D474" s="14" t="s">
        <v>8531</v>
      </c>
      <c r="E474" s="14" t="s">
        <v>192</v>
      </c>
      <c r="F474" s="14" t="s">
        <v>193</v>
      </c>
      <c r="G474" s="14" t="s">
        <v>37</v>
      </c>
      <c r="H474" s="14" t="s">
        <v>199</v>
      </c>
      <c r="I474" s="14" t="s">
        <v>195</v>
      </c>
      <c r="J474" s="14" t="s">
        <v>175</v>
      </c>
      <c r="K474" s="14" t="s">
        <v>196</v>
      </c>
      <c r="L474" s="14"/>
      <c r="M474" s="14" t="s">
        <v>197</v>
      </c>
      <c r="N474" s="14"/>
      <c r="O474" s="14" t="s">
        <v>198</v>
      </c>
      <c r="P474" s="14" t="str">
        <f>HYPERLINK("https://ceds.ed.gov/cedselementdetails.aspx?termid=17019")</f>
        <v>https://ceds.ed.gov/cedselementdetails.aspx?termid=17019</v>
      </c>
      <c r="Q474" s="14" t="str">
        <f>HYPERLINK("https://ceds.ed.gov/elementComment.aspx?elementName=Address Apartment Room or Suite Number &amp;elementID=17019", "Click here to submit comment")</f>
        <v>Click here to submit comment</v>
      </c>
      <c r="R474" s="14">
        <v>47677</v>
      </c>
    </row>
    <row r="475" spans="1:18" ht="225" x14ac:dyDescent="0.25">
      <c r="A475" s="14" t="s">
        <v>8529</v>
      </c>
      <c r="B475" s="14" t="s">
        <v>8686</v>
      </c>
      <c r="C475" s="14" t="s">
        <v>8547</v>
      </c>
      <c r="D475" s="14" t="s">
        <v>8531</v>
      </c>
      <c r="E475" s="14" t="s">
        <v>200</v>
      </c>
      <c r="F475" s="14" t="s">
        <v>201</v>
      </c>
      <c r="G475" s="14" t="s">
        <v>37</v>
      </c>
      <c r="H475" s="14" t="s">
        <v>199</v>
      </c>
      <c r="I475" s="14"/>
      <c r="J475" s="14" t="s">
        <v>97</v>
      </c>
      <c r="K475" s="14"/>
      <c r="L475" s="14"/>
      <c r="M475" s="14" t="s">
        <v>202</v>
      </c>
      <c r="N475" s="14"/>
      <c r="O475" s="14" t="s">
        <v>203</v>
      </c>
      <c r="P475" s="14" t="str">
        <f>HYPERLINK("https://ceds.ed.gov/cedselementdetails.aspx?termid=17040")</f>
        <v>https://ceds.ed.gov/cedselementdetails.aspx?termid=17040</v>
      </c>
      <c r="Q475" s="14" t="str">
        <f>HYPERLINK("https://ceds.ed.gov/elementComment.aspx?elementName=Address City &amp;elementID=17040", "Click here to submit comment")</f>
        <v>Click here to submit comment</v>
      </c>
      <c r="R475" s="14">
        <v>47679</v>
      </c>
    </row>
    <row r="476" spans="1:18" ht="409.5" x14ac:dyDescent="0.25">
      <c r="A476" s="14" t="s">
        <v>8529</v>
      </c>
      <c r="B476" s="14" t="s">
        <v>8686</v>
      </c>
      <c r="C476" s="14" t="s">
        <v>8547</v>
      </c>
      <c r="D476" s="14" t="s">
        <v>8531</v>
      </c>
      <c r="E476" s="14" t="s">
        <v>7960</v>
      </c>
      <c r="F476" s="14" t="s">
        <v>7961</v>
      </c>
      <c r="G476" s="8" t="s">
        <v>8540</v>
      </c>
      <c r="H476" s="14" t="s">
        <v>7964</v>
      </c>
      <c r="I476" s="14"/>
      <c r="J476" s="14"/>
      <c r="K476" s="14"/>
      <c r="L476" s="14"/>
      <c r="M476" s="14" t="s">
        <v>7962</v>
      </c>
      <c r="N476" s="14"/>
      <c r="O476" s="14" t="s">
        <v>7963</v>
      </c>
      <c r="P476" s="14" t="str">
        <f>HYPERLINK("https://ceds.ed.gov/cedselementdetails.aspx?termid=17267")</f>
        <v>https://ceds.ed.gov/cedselementdetails.aspx?termid=17267</v>
      </c>
      <c r="Q476" s="14" t="str">
        <f>HYPERLINK("https://ceds.ed.gov/elementComment.aspx?elementName=State Abbreviation &amp;elementID=17267", "Click here to submit comment")</f>
        <v>Click here to submit comment</v>
      </c>
      <c r="R476" s="14">
        <v>47692</v>
      </c>
    </row>
    <row r="477" spans="1:18" ht="225" x14ac:dyDescent="0.25">
      <c r="A477" s="14" t="s">
        <v>8529</v>
      </c>
      <c r="B477" s="14" t="s">
        <v>8686</v>
      </c>
      <c r="C477" s="14" t="s">
        <v>8547</v>
      </c>
      <c r="D477" s="14" t="s">
        <v>8531</v>
      </c>
      <c r="E477" s="14" t="s">
        <v>209</v>
      </c>
      <c r="F477" s="14" t="s">
        <v>210</v>
      </c>
      <c r="G477" s="14" t="s">
        <v>37</v>
      </c>
      <c r="H477" s="14" t="s">
        <v>199</v>
      </c>
      <c r="I477" s="14"/>
      <c r="J477" s="14" t="s">
        <v>211</v>
      </c>
      <c r="K477" s="14"/>
      <c r="L477" s="14"/>
      <c r="M477" s="14" t="s">
        <v>212</v>
      </c>
      <c r="N477" s="14"/>
      <c r="O477" s="14" t="s">
        <v>213</v>
      </c>
      <c r="P477" s="14" t="str">
        <f>HYPERLINK("https://ceds.ed.gov/cedselementdetails.aspx?termid=17214")</f>
        <v>https://ceds.ed.gov/cedselementdetails.aspx?termid=17214</v>
      </c>
      <c r="Q477" s="14" t="str">
        <f>HYPERLINK("https://ceds.ed.gov/elementComment.aspx?elementName=Address Postal Code &amp;elementID=17214", "Click here to submit comment")</f>
        <v>Click here to submit comment</v>
      </c>
      <c r="R477" s="14">
        <v>47690</v>
      </c>
    </row>
    <row r="478" spans="1:18" ht="225" x14ac:dyDescent="0.25">
      <c r="A478" s="14" t="s">
        <v>8529</v>
      </c>
      <c r="B478" s="14" t="s">
        <v>8686</v>
      </c>
      <c r="C478" s="14" t="s">
        <v>8547</v>
      </c>
      <c r="D478" s="14" t="s">
        <v>8531</v>
      </c>
      <c r="E478" s="14" t="s">
        <v>204</v>
      </c>
      <c r="F478" s="14" t="s">
        <v>205</v>
      </c>
      <c r="G478" s="14" t="s">
        <v>37</v>
      </c>
      <c r="H478" s="14" t="s">
        <v>199</v>
      </c>
      <c r="I478" s="14"/>
      <c r="J478" s="14" t="s">
        <v>97</v>
      </c>
      <c r="K478" s="14"/>
      <c r="L478" s="14"/>
      <c r="M478" s="14" t="s">
        <v>207</v>
      </c>
      <c r="N478" s="14"/>
      <c r="O478" s="14" t="s">
        <v>208</v>
      </c>
      <c r="P478" s="14" t="str">
        <f>HYPERLINK("https://ceds.ed.gov/cedselementdetails.aspx?termid=17190")</f>
        <v>https://ceds.ed.gov/cedselementdetails.aspx?termid=17190</v>
      </c>
      <c r="Q478" s="14" t="str">
        <f>HYPERLINK("https://ceds.ed.gov/elementComment.aspx?elementName=Address County Name &amp;elementID=17190", "Click here to submit comment")</f>
        <v>Click here to submit comment</v>
      </c>
      <c r="R478" s="14">
        <v>47687</v>
      </c>
    </row>
    <row r="479" spans="1:18" ht="409.5" x14ac:dyDescent="0.25">
      <c r="A479" s="14" t="s">
        <v>8529</v>
      </c>
      <c r="B479" s="14" t="s">
        <v>8686</v>
      </c>
      <c r="C479" s="14" t="s">
        <v>8547</v>
      </c>
      <c r="D479" s="14" t="s">
        <v>8531</v>
      </c>
      <c r="E479" s="14" t="s">
        <v>2845</v>
      </c>
      <c r="F479" s="14" t="s">
        <v>2846</v>
      </c>
      <c r="G479" s="8" t="s">
        <v>8548</v>
      </c>
      <c r="H479" s="14" t="s">
        <v>2852</v>
      </c>
      <c r="I479" s="14"/>
      <c r="J479" s="14"/>
      <c r="K479" s="14"/>
      <c r="L479" s="6" t="s">
        <v>2849</v>
      </c>
      <c r="M479" s="14" t="s">
        <v>2850</v>
      </c>
      <c r="N479" s="14"/>
      <c r="O479" s="14" t="s">
        <v>2851</v>
      </c>
      <c r="P479" s="14" t="str">
        <f>HYPERLINK("https://ceds.ed.gov/cedselementdetails.aspx?termid=17050")</f>
        <v>https://ceds.ed.gov/cedselementdetails.aspx?termid=17050</v>
      </c>
      <c r="Q479" s="14" t="str">
        <f>HYPERLINK("https://ceds.ed.gov/elementComment.aspx?elementName=Country Code &amp;elementID=17050", "Click here to submit comment")</f>
        <v>Click here to submit comment</v>
      </c>
      <c r="R479" s="14">
        <v>47680</v>
      </c>
    </row>
    <row r="480" spans="1:18" ht="75" x14ac:dyDescent="0.25">
      <c r="A480" s="14" t="s">
        <v>8529</v>
      </c>
      <c r="B480" s="14" t="s">
        <v>8686</v>
      </c>
      <c r="C480" s="14" t="s">
        <v>8547</v>
      </c>
      <c r="D480" s="14" t="s">
        <v>8531</v>
      </c>
      <c r="E480" s="14" t="s">
        <v>5736</v>
      </c>
      <c r="F480" s="14" t="s">
        <v>5737</v>
      </c>
      <c r="G480" s="14" t="s">
        <v>37</v>
      </c>
      <c r="H480" s="14"/>
      <c r="I480" s="14"/>
      <c r="J480" s="14" t="s">
        <v>1307</v>
      </c>
      <c r="K480" s="14"/>
      <c r="L480" s="14"/>
      <c r="M480" s="14" t="s">
        <v>5739</v>
      </c>
      <c r="N480" s="14"/>
      <c r="O480" s="14" t="s">
        <v>5736</v>
      </c>
      <c r="P480" s="14" t="str">
        <f>HYPERLINK("https://ceds.ed.gov/cedselementdetails.aspx?termid=17599")</f>
        <v>https://ceds.ed.gov/cedselementdetails.aspx?termid=17599</v>
      </c>
      <c r="Q480" s="14" t="str">
        <f>HYPERLINK("https://ceds.ed.gov/elementComment.aspx?elementName=Latitude &amp;elementID=17599", "Click here to submit comment")</f>
        <v>Click here to submit comment</v>
      </c>
      <c r="R480" s="14">
        <v>51258</v>
      </c>
    </row>
    <row r="481" spans="1:18" ht="75" x14ac:dyDescent="0.25">
      <c r="A481" s="14" t="s">
        <v>8529</v>
      </c>
      <c r="B481" s="14" t="s">
        <v>8686</v>
      </c>
      <c r="C481" s="14" t="s">
        <v>8547</v>
      </c>
      <c r="D481" s="14" t="s">
        <v>8531</v>
      </c>
      <c r="E481" s="14" t="s">
        <v>6174</v>
      </c>
      <c r="F481" s="14" t="s">
        <v>6175</v>
      </c>
      <c r="G481" s="14" t="s">
        <v>37</v>
      </c>
      <c r="H481" s="14"/>
      <c r="I481" s="14"/>
      <c r="J481" s="14" t="s">
        <v>1307</v>
      </c>
      <c r="K481" s="14"/>
      <c r="L481" s="14"/>
      <c r="M481" s="14" t="s">
        <v>6176</v>
      </c>
      <c r="N481" s="14"/>
      <c r="O481" s="14" t="s">
        <v>6174</v>
      </c>
      <c r="P481" s="14" t="str">
        <f>HYPERLINK("https://ceds.ed.gov/cedselementdetails.aspx?termid=17600")</f>
        <v>https://ceds.ed.gov/cedselementdetails.aspx?termid=17600</v>
      </c>
      <c r="Q481" s="14" t="str">
        <f>HYPERLINK("https://ceds.ed.gov/elementComment.aspx?elementName=Longitude &amp;elementID=17600", "Click here to submit comment")</f>
        <v>Click here to submit comment</v>
      </c>
      <c r="R481" s="14">
        <v>51281</v>
      </c>
    </row>
    <row r="482" spans="1:18" ht="195" x14ac:dyDescent="0.25">
      <c r="A482" s="14" t="s">
        <v>8529</v>
      </c>
      <c r="B482" s="14" t="s">
        <v>8686</v>
      </c>
      <c r="C482" s="14" t="s">
        <v>8547</v>
      </c>
      <c r="D482" s="14" t="s">
        <v>8541</v>
      </c>
      <c r="E482" s="14" t="s">
        <v>2860</v>
      </c>
      <c r="F482" s="14" t="s">
        <v>2861</v>
      </c>
      <c r="G482" s="14" t="s">
        <v>37</v>
      </c>
      <c r="H482" s="14"/>
      <c r="I482" s="14" t="s">
        <v>195</v>
      </c>
      <c r="J482" s="14" t="s">
        <v>2863</v>
      </c>
      <c r="K482" s="14" t="s">
        <v>2864</v>
      </c>
      <c r="L482" s="14"/>
      <c r="M482" s="14" t="s">
        <v>2865</v>
      </c>
      <c r="N482" s="14"/>
      <c r="O482" s="14" t="s">
        <v>2866</v>
      </c>
      <c r="P482" s="14" t="str">
        <f>HYPERLINK("https://ceds.ed.gov/cedselementdetails.aspx?termid=18176")</f>
        <v>https://ceds.ed.gov/cedselementdetails.aspx?termid=18176</v>
      </c>
      <c r="Q482" s="14" t="str">
        <f>HYPERLINK("https://ceds.ed.gov/elementComment.aspx?elementName=County ANSI Code &amp;elementID=18176", "Click here to submit comment")</f>
        <v>Click here to submit comment</v>
      </c>
      <c r="R482" s="14">
        <v>52280</v>
      </c>
    </row>
    <row r="483" spans="1:18" ht="60" x14ac:dyDescent="0.25">
      <c r="A483" s="14" t="s">
        <v>8529</v>
      </c>
      <c r="B483" s="14" t="s">
        <v>8686</v>
      </c>
      <c r="C483" s="14" t="s">
        <v>8547</v>
      </c>
      <c r="D483" s="14" t="s">
        <v>8541</v>
      </c>
      <c r="E483" s="14" t="s">
        <v>3651</v>
      </c>
      <c r="F483" s="14" t="s">
        <v>3652</v>
      </c>
      <c r="G483" s="14" t="s">
        <v>3430</v>
      </c>
      <c r="H483" s="14"/>
      <c r="I483" s="14" t="s">
        <v>188</v>
      </c>
      <c r="J483" s="14"/>
      <c r="K483" s="14" t="s">
        <v>1721</v>
      </c>
      <c r="L483" s="14"/>
      <c r="M483" s="14" t="s">
        <v>3654</v>
      </c>
      <c r="N483" s="14"/>
      <c r="O483" s="14" t="s">
        <v>3655</v>
      </c>
      <c r="P483" s="14" t="str">
        <f>HYPERLINK("https://ceds.ed.gov/cedselementdetails.aspx?termid=18905")</f>
        <v>https://ceds.ed.gov/cedselementdetails.aspx?termid=18905</v>
      </c>
      <c r="Q483" s="14" t="str">
        <f>HYPERLINK("https://ceds.ed.gov/elementComment.aspx?elementName=Do Not Publish Indicator &amp;elementID=18905", "Click here to submit comment")</f>
        <v>Click here to submit comment</v>
      </c>
      <c r="R483" s="14">
        <v>52281</v>
      </c>
    </row>
    <row r="484" spans="1:18" ht="90" x14ac:dyDescent="0.25">
      <c r="A484" s="14" t="s">
        <v>8529</v>
      </c>
      <c r="B484" s="14" t="s">
        <v>8686</v>
      </c>
      <c r="C484" s="14" t="s">
        <v>8549</v>
      </c>
      <c r="D484" s="14" t="s">
        <v>8531</v>
      </c>
      <c r="E484" s="14" t="s">
        <v>8217</v>
      </c>
      <c r="F484" s="14" t="s">
        <v>8218</v>
      </c>
      <c r="G484" s="14" t="s">
        <v>37</v>
      </c>
      <c r="H484" s="14" t="s">
        <v>72</v>
      </c>
      <c r="I484" s="14"/>
      <c r="J484" s="14" t="s">
        <v>8220</v>
      </c>
      <c r="K484" s="14"/>
      <c r="L484" s="14"/>
      <c r="M484" s="14" t="s">
        <v>8221</v>
      </c>
      <c r="N484" s="14"/>
      <c r="O484" s="14" t="s">
        <v>8222</v>
      </c>
      <c r="P484" s="14" t="str">
        <f>HYPERLINK("https://ceds.ed.gov/cedselementdetails.aspx?termid=17279")</f>
        <v>https://ceds.ed.gov/cedselementdetails.aspx?termid=17279</v>
      </c>
      <c r="Q484" s="14" t="str">
        <f>HYPERLINK("https://ceds.ed.gov/elementComment.aspx?elementName=Telephone Number &amp;elementID=17279", "Click here to submit comment")</f>
        <v>Click here to submit comment</v>
      </c>
      <c r="R484" s="14">
        <v>48726</v>
      </c>
    </row>
    <row r="485" spans="1:18" ht="90" x14ac:dyDescent="0.25">
      <c r="A485" s="14" t="s">
        <v>8529</v>
      </c>
      <c r="B485" s="14" t="s">
        <v>8686</v>
      </c>
      <c r="C485" s="14" t="s">
        <v>8549</v>
      </c>
      <c r="D485" s="14" t="s">
        <v>8531</v>
      </c>
      <c r="E485" s="14" t="s">
        <v>8229</v>
      </c>
      <c r="F485" s="14" t="s">
        <v>8230</v>
      </c>
      <c r="G485" s="8" t="s">
        <v>8550</v>
      </c>
      <c r="H485" s="14" t="s">
        <v>72</v>
      </c>
      <c r="I485" s="14"/>
      <c r="J485" s="14" t="s">
        <v>2870</v>
      </c>
      <c r="K485" s="14"/>
      <c r="L485" s="14"/>
      <c r="M485" s="14" t="s">
        <v>8233</v>
      </c>
      <c r="N485" s="14"/>
      <c r="O485" s="14" t="s">
        <v>8234</v>
      </c>
      <c r="P485" s="14" t="str">
        <f>HYPERLINK("https://ceds.ed.gov/cedselementdetails.aspx?termid=17280")</f>
        <v>https://ceds.ed.gov/cedselementdetails.aspx?termid=17280</v>
      </c>
      <c r="Q485" s="14" t="str">
        <f>HYPERLINK("https://ceds.ed.gov/elementComment.aspx?elementName=Telephone Number Type &amp;elementID=17280", "Click here to submit comment")</f>
        <v>Click here to submit comment</v>
      </c>
      <c r="R485" s="14">
        <v>48724</v>
      </c>
    </row>
    <row r="486" spans="1:18" ht="90" x14ac:dyDescent="0.25">
      <c r="A486" s="14" t="s">
        <v>8529</v>
      </c>
      <c r="B486" s="14" t="s">
        <v>8686</v>
      </c>
      <c r="C486" s="14" t="s">
        <v>8549</v>
      </c>
      <c r="D486" s="14" t="s">
        <v>8531</v>
      </c>
      <c r="E486" s="14" t="s">
        <v>6865</v>
      </c>
      <c r="F486" s="14" t="s">
        <v>6866</v>
      </c>
      <c r="G486" s="14" t="s">
        <v>24</v>
      </c>
      <c r="H486" s="14" t="s">
        <v>72</v>
      </c>
      <c r="I486" s="14"/>
      <c r="J486" s="14"/>
      <c r="K486" s="14"/>
      <c r="L486" s="14"/>
      <c r="M486" s="14" t="s">
        <v>6868</v>
      </c>
      <c r="N486" s="14"/>
      <c r="O486" s="14" t="s">
        <v>6869</v>
      </c>
      <c r="P486" s="14" t="str">
        <f>HYPERLINK("https://ceds.ed.gov/cedselementdetails.aspx?termid=17219")</f>
        <v>https://ceds.ed.gov/cedselementdetails.aspx?termid=17219</v>
      </c>
      <c r="Q486" s="14" t="str">
        <f>HYPERLINK("https://ceds.ed.gov/elementComment.aspx?elementName=Primary Telephone Number Indicator &amp;elementID=17219", "Click here to submit comment")</f>
        <v>Click here to submit comment</v>
      </c>
      <c r="R486" s="14">
        <v>48725</v>
      </c>
    </row>
    <row r="487" spans="1:18" ht="60" x14ac:dyDescent="0.25">
      <c r="A487" s="14" t="s">
        <v>8529</v>
      </c>
      <c r="B487" s="14" t="s">
        <v>8686</v>
      </c>
      <c r="C487" s="14" t="s">
        <v>8549</v>
      </c>
      <c r="D487" s="14" t="s">
        <v>8541</v>
      </c>
      <c r="E487" s="14" t="s">
        <v>3651</v>
      </c>
      <c r="F487" s="14" t="s">
        <v>3652</v>
      </c>
      <c r="G487" s="14" t="s">
        <v>3430</v>
      </c>
      <c r="H487" s="14"/>
      <c r="I487" s="14" t="s">
        <v>188</v>
      </c>
      <c r="J487" s="14"/>
      <c r="K487" s="14" t="s">
        <v>1721</v>
      </c>
      <c r="L487" s="14"/>
      <c r="M487" s="14" t="s">
        <v>3654</v>
      </c>
      <c r="N487" s="14"/>
      <c r="O487" s="14" t="s">
        <v>3655</v>
      </c>
      <c r="P487" s="14" t="str">
        <f>HYPERLINK("https://ceds.ed.gov/cedselementdetails.aspx?termid=18905")</f>
        <v>https://ceds.ed.gov/cedselementdetails.aspx?termid=18905</v>
      </c>
      <c r="Q487" s="14" t="str">
        <f>HYPERLINK("https://ceds.ed.gov/elementComment.aspx?elementName=Do Not Publish Indicator &amp;elementID=18905", "Click here to submit comment")</f>
        <v>Click here to submit comment</v>
      </c>
      <c r="R487" s="14">
        <v>52283</v>
      </c>
    </row>
    <row r="488" spans="1:18" ht="60" x14ac:dyDescent="0.25">
      <c r="A488" s="14" t="s">
        <v>8529</v>
      </c>
      <c r="B488" s="14" t="s">
        <v>8686</v>
      </c>
      <c r="C488" s="14" t="s">
        <v>8549</v>
      </c>
      <c r="D488" s="14" t="s">
        <v>8541</v>
      </c>
      <c r="E488" s="14" t="s">
        <v>8223</v>
      </c>
      <c r="F488" s="14" t="s">
        <v>8224</v>
      </c>
      <c r="G488" s="8" t="s">
        <v>8544</v>
      </c>
      <c r="H488" s="14"/>
      <c r="I488" s="14" t="s">
        <v>188</v>
      </c>
      <c r="J488" s="14"/>
      <c r="K488" s="14" t="s">
        <v>1721</v>
      </c>
      <c r="L488" s="14"/>
      <c r="M488" s="14" t="s">
        <v>8227</v>
      </c>
      <c r="N488" s="14"/>
      <c r="O488" s="14" t="s">
        <v>8228</v>
      </c>
      <c r="P488" s="14" t="str">
        <f>HYPERLINK("https://ceds.ed.gov/cedselementdetails.aspx?termid=18911")</f>
        <v>https://ceds.ed.gov/cedselementdetails.aspx?termid=18911</v>
      </c>
      <c r="Q488" s="14" t="str">
        <f>HYPERLINK("https://ceds.ed.gov/elementComment.aspx?elementName=Telephone Number Listed Status &amp;elementID=18911", "Click here to submit comment")</f>
        <v>Click here to submit comment</v>
      </c>
      <c r="R488" s="14">
        <v>52284</v>
      </c>
    </row>
    <row r="489" spans="1:18" ht="90" x14ac:dyDescent="0.25">
      <c r="A489" s="14" t="s">
        <v>8529</v>
      </c>
      <c r="B489" s="14" t="s">
        <v>8686</v>
      </c>
      <c r="C489" s="14" t="s">
        <v>8551</v>
      </c>
      <c r="D489" s="14" t="s">
        <v>8531</v>
      </c>
      <c r="E489" s="14" t="s">
        <v>3931</v>
      </c>
      <c r="F489" s="14" t="s">
        <v>3932</v>
      </c>
      <c r="G489" s="14" t="s">
        <v>37</v>
      </c>
      <c r="H489" s="14" t="s">
        <v>72</v>
      </c>
      <c r="I489" s="14"/>
      <c r="J489" s="14" t="s">
        <v>3934</v>
      </c>
      <c r="K489" s="14"/>
      <c r="L489" s="14"/>
      <c r="M489" s="14" t="s">
        <v>3935</v>
      </c>
      <c r="N489" s="14" t="s">
        <v>3936</v>
      </c>
      <c r="O489" s="14" t="s">
        <v>3937</v>
      </c>
      <c r="P489" s="14" t="str">
        <f>HYPERLINK("https://ceds.ed.gov/cedselementdetails.aspx?termid=17088")</f>
        <v>https://ceds.ed.gov/cedselementdetails.aspx?termid=17088</v>
      </c>
      <c r="Q489" s="14" t="str">
        <f>HYPERLINK("https://ceds.ed.gov/elementComment.aspx?elementName=Electronic Mail Address &amp;elementID=17088", "Click here to submit comment")</f>
        <v>Click here to submit comment</v>
      </c>
      <c r="R489" s="14">
        <v>48728</v>
      </c>
    </row>
    <row r="490" spans="1:18" ht="90" x14ac:dyDescent="0.25">
      <c r="A490" s="14" t="s">
        <v>8529</v>
      </c>
      <c r="B490" s="14" t="s">
        <v>8686</v>
      </c>
      <c r="C490" s="14" t="s">
        <v>8551</v>
      </c>
      <c r="D490" s="14" t="s">
        <v>8531</v>
      </c>
      <c r="E490" s="14" t="s">
        <v>3938</v>
      </c>
      <c r="F490" s="14" t="s">
        <v>3939</v>
      </c>
      <c r="G490" s="8" t="s">
        <v>8552</v>
      </c>
      <c r="H490" s="14" t="s">
        <v>72</v>
      </c>
      <c r="I490" s="14"/>
      <c r="J490" s="14"/>
      <c r="K490" s="14"/>
      <c r="L490" s="14"/>
      <c r="M490" s="14" t="s">
        <v>3941</v>
      </c>
      <c r="N490" s="14" t="s">
        <v>3942</v>
      </c>
      <c r="O490" s="14" t="s">
        <v>3943</v>
      </c>
      <c r="P490" s="14" t="str">
        <f>HYPERLINK("https://ceds.ed.gov/cedselementdetails.aspx?termid=17089")</f>
        <v>https://ceds.ed.gov/cedselementdetails.aspx?termid=17089</v>
      </c>
      <c r="Q490" s="14" t="str">
        <f>HYPERLINK("https://ceds.ed.gov/elementComment.aspx?elementName=Electronic Mail Address Type &amp;elementID=17089", "Click here to submit comment")</f>
        <v>Click here to submit comment</v>
      </c>
      <c r="R490" s="14">
        <v>48727</v>
      </c>
    </row>
    <row r="491" spans="1:18" ht="60" x14ac:dyDescent="0.25">
      <c r="A491" s="14" t="s">
        <v>8529</v>
      </c>
      <c r="B491" s="14" t="s">
        <v>8686</v>
      </c>
      <c r="C491" s="14" t="s">
        <v>8551</v>
      </c>
      <c r="D491" s="14" t="s">
        <v>8541</v>
      </c>
      <c r="E491" s="14" t="s">
        <v>3651</v>
      </c>
      <c r="F491" s="14" t="s">
        <v>3652</v>
      </c>
      <c r="G491" s="14" t="s">
        <v>3430</v>
      </c>
      <c r="H491" s="14"/>
      <c r="I491" s="14" t="s">
        <v>188</v>
      </c>
      <c r="J491" s="14"/>
      <c r="K491" s="14" t="s">
        <v>1721</v>
      </c>
      <c r="L491" s="14"/>
      <c r="M491" s="14" t="s">
        <v>3654</v>
      </c>
      <c r="N491" s="14"/>
      <c r="O491" s="14" t="s">
        <v>3655</v>
      </c>
      <c r="P491" s="14" t="str">
        <f>HYPERLINK("https://ceds.ed.gov/cedselementdetails.aspx?termid=18905")</f>
        <v>https://ceds.ed.gov/cedselementdetails.aspx?termid=18905</v>
      </c>
      <c r="Q491" s="14" t="str">
        <f>HYPERLINK("https://ceds.ed.gov/elementComment.aspx?elementName=Do Not Publish Indicator &amp;elementID=18905", "Click here to submit comment")</f>
        <v>Click here to submit comment</v>
      </c>
      <c r="R491" s="14">
        <v>52282</v>
      </c>
    </row>
    <row r="492" spans="1:18" ht="240" x14ac:dyDescent="0.25">
      <c r="A492" s="14" t="s">
        <v>8529</v>
      </c>
      <c r="B492" s="14" t="s">
        <v>8686</v>
      </c>
      <c r="C492" s="14" t="s">
        <v>8603</v>
      </c>
      <c r="D492" s="14" t="s">
        <v>8531</v>
      </c>
      <c r="E492" s="14" t="s">
        <v>1741</v>
      </c>
      <c r="F492" s="14" t="s">
        <v>1742</v>
      </c>
      <c r="G492" s="14" t="s">
        <v>37</v>
      </c>
      <c r="H492" s="14" t="s">
        <v>1745</v>
      </c>
      <c r="I492" s="14"/>
      <c r="J492" s="14" t="s">
        <v>135</v>
      </c>
      <c r="K492" s="14"/>
      <c r="L492" s="14"/>
      <c r="M492" s="14" t="s">
        <v>1744</v>
      </c>
      <c r="N492" s="14"/>
      <c r="O492" s="14" t="s">
        <v>1741</v>
      </c>
      <c r="P492" s="14" t="str">
        <f>HYPERLINK("https://ceds.ed.gov/cedselementdetails.aspx?termid=17033")</f>
        <v>https://ceds.ed.gov/cedselementdetails.aspx?termid=17033</v>
      </c>
      <c r="Q492" s="14" t="str">
        <f>HYPERLINK("https://ceds.ed.gov/elementComment.aspx?elementName=Birthdate &amp;elementID=17033", "Click here to submit comment")</f>
        <v>Click here to submit comment</v>
      </c>
      <c r="R492" s="14">
        <v>47678</v>
      </c>
    </row>
    <row r="493" spans="1:18" ht="255" x14ac:dyDescent="0.25">
      <c r="A493" s="14" t="s">
        <v>8529</v>
      </c>
      <c r="B493" s="14" t="s">
        <v>8686</v>
      </c>
      <c r="C493" s="14" t="s">
        <v>8603</v>
      </c>
      <c r="D493" s="14" t="s">
        <v>8531</v>
      </c>
      <c r="E493" s="14" t="s">
        <v>7756</v>
      </c>
      <c r="F493" s="14" t="s">
        <v>7757</v>
      </c>
      <c r="G493" s="8" t="s">
        <v>8604</v>
      </c>
      <c r="H493" s="14" t="s">
        <v>7761</v>
      </c>
      <c r="I493" s="14"/>
      <c r="J493" s="14"/>
      <c r="K493" s="14"/>
      <c r="L493" s="14" t="s">
        <v>7759</v>
      </c>
      <c r="M493" s="14" t="s">
        <v>7760</v>
      </c>
      <c r="N493" s="14"/>
      <c r="O493" s="14" t="s">
        <v>7756</v>
      </c>
      <c r="P493" s="14" t="str">
        <f>HYPERLINK("https://ceds.ed.gov/cedselementdetails.aspx?termid=17255")</f>
        <v>https://ceds.ed.gov/cedselementdetails.aspx?termid=17255</v>
      </c>
      <c r="Q493" s="14" t="str">
        <f>HYPERLINK("https://ceds.ed.gov/elementComment.aspx?elementName=Sex &amp;elementID=17255", "Click here to submit comment")</f>
        <v>Click here to submit comment</v>
      </c>
      <c r="R493" s="14">
        <v>47691</v>
      </c>
    </row>
    <row r="494" spans="1:18" ht="30" x14ac:dyDescent="0.25">
      <c r="A494" s="16" t="s">
        <v>8529</v>
      </c>
      <c r="B494" s="16" t="s">
        <v>8686</v>
      </c>
      <c r="C494" s="16" t="s">
        <v>8603</v>
      </c>
      <c r="D494" s="16" t="s">
        <v>8531</v>
      </c>
      <c r="E494" s="16" t="s">
        <v>418</v>
      </c>
      <c r="F494" s="16" t="s">
        <v>419</v>
      </c>
      <c r="G494" s="18" t="s">
        <v>8605</v>
      </c>
      <c r="H494" s="16" t="s">
        <v>426</v>
      </c>
      <c r="I494" s="16"/>
      <c r="J494" s="16"/>
      <c r="K494" s="16"/>
      <c r="L494" s="14" t="s">
        <v>422</v>
      </c>
      <c r="M494" s="16" t="s">
        <v>423</v>
      </c>
      <c r="N494" s="16" t="s">
        <v>424</v>
      </c>
      <c r="O494" s="16" t="s">
        <v>425</v>
      </c>
      <c r="P494" s="16" t="str">
        <f>HYPERLINK("https://ceds.ed.gov/cedselementdetails.aspx?termid=17655")</f>
        <v>https://ceds.ed.gov/cedselementdetails.aspx?termid=17655</v>
      </c>
      <c r="Q494" s="16" t="str">
        <f>HYPERLINK("https://ceds.ed.gov/elementComment.aspx?elementName=American Indian or Alaska Native &amp;elementID=17655", "Click here to submit comment")</f>
        <v>Click here to submit comment</v>
      </c>
      <c r="R494" s="16">
        <v>49226</v>
      </c>
    </row>
    <row r="495" spans="1:18" x14ac:dyDescent="0.25">
      <c r="A495" s="16"/>
      <c r="B495" s="16"/>
      <c r="C495" s="16"/>
      <c r="D495" s="16"/>
      <c r="E495" s="16"/>
      <c r="F495" s="16"/>
      <c r="G495" s="16"/>
      <c r="H495" s="16"/>
      <c r="I495" s="16"/>
      <c r="J495" s="16"/>
      <c r="K495" s="16"/>
      <c r="L495" s="14"/>
      <c r="M495" s="16"/>
      <c r="N495" s="16"/>
      <c r="O495" s="16"/>
      <c r="P495" s="16"/>
      <c r="Q495" s="16"/>
      <c r="R495" s="16"/>
    </row>
    <row r="496" spans="1:18" x14ac:dyDescent="0.25">
      <c r="A496" s="16"/>
      <c r="B496" s="16"/>
      <c r="C496" s="16"/>
      <c r="D496" s="16"/>
      <c r="E496" s="16"/>
      <c r="F496" s="16"/>
      <c r="G496" s="16"/>
      <c r="H496" s="16"/>
      <c r="I496" s="16"/>
      <c r="J496" s="16"/>
      <c r="K496" s="16"/>
      <c r="L496" s="14" t="s">
        <v>427</v>
      </c>
      <c r="M496" s="16"/>
      <c r="N496" s="16"/>
      <c r="O496" s="16"/>
      <c r="P496" s="16"/>
      <c r="Q496" s="16"/>
      <c r="R496" s="16"/>
    </row>
    <row r="497" spans="1:18" ht="30" x14ac:dyDescent="0.25">
      <c r="A497" s="16"/>
      <c r="B497" s="16"/>
      <c r="C497" s="16"/>
      <c r="D497" s="16"/>
      <c r="E497" s="16"/>
      <c r="F497" s="16"/>
      <c r="G497" s="16"/>
      <c r="H497" s="16"/>
      <c r="I497" s="16"/>
      <c r="J497" s="16"/>
      <c r="K497" s="16"/>
      <c r="L497" s="14" t="s">
        <v>428</v>
      </c>
      <c r="M497" s="16"/>
      <c r="N497" s="16"/>
      <c r="O497" s="16"/>
      <c r="P497" s="16"/>
      <c r="Q497" s="16"/>
      <c r="R497" s="16"/>
    </row>
    <row r="498" spans="1:18" x14ac:dyDescent="0.25">
      <c r="A498" s="16"/>
      <c r="B498" s="16"/>
      <c r="C498" s="16"/>
      <c r="D498" s="16"/>
      <c r="E498" s="16"/>
      <c r="F498" s="16"/>
      <c r="G498" s="16"/>
      <c r="H498" s="16"/>
      <c r="I498" s="16"/>
      <c r="J498" s="16"/>
      <c r="K498" s="16"/>
      <c r="L498" s="14" t="s">
        <v>429</v>
      </c>
      <c r="M498" s="16"/>
      <c r="N498" s="16"/>
      <c r="O498" s="16"/>
      <c r="P498" s="16"/>
      <c r="Q498" s="16"/>
      <c r="R498" s="16"/>
    </row>
    <row r="499" spans="1:18" ht="30" x14ac:dyDescent="0.25">
      <c r="A499" s="16" t="s">
        <v>8529</v>
      </c>
      <c r="B499" s="16" t="s">
        <v>8686</v>
      </c>
      <c r="C499" s="16" t="s">
        <v>8603</v>
      </c>
      <c r="D499" s="16" t="s">
        <v>8531</v>
      </c>
      <c r="E499" s="16" t="s">
        <v>468</v>
      </c>
      <c r="F499" s="16" t="s">
        <v>469</v>
      </c>
      <c r="G499" s="18" t="s">
        <v>8605</v>
      </c>
      <c r="H499" s="16" t="s">
        <v>426</v>
      </c>
      <c r="I499" s="16"/>
      <c r="J499" s="16"/>
      <c r="K499" s="16"/>
      <c r="L499" s="14" t="s">
        <v>422</v>
      </c>
      <c r="M499" s="16" t="s">
        <v>470</v>
      </c>
      <c r="N499" s="16" t="s">
        <v>471</v>
      </c>
      <c r="O499" s="16" t="s">
        <v>468</v>
      </c>
      <c r="P499" s="16" t="str">
        <f>HYPERLINK("https://ceds.ed.gov/cedselementdetails.aspx?termid=17656")</f>
        <v>https://ceds.ed.gov/cedselementdetails.aspx?termid=17656</v>
      </c>
      <c r="Q499" s="16" t="str">
        <f>HYPERLINK("https://ceds.ed.gov/elementComment.aspx?elementName=Asian &amp;elementID=17656", "Click here to submit comment")</f>
        <v>Click here to submit comment</v>
      </c>
      <c r="R499" s="16">
        <v>49227</v>
      </c>
    </row>
    <row r="500" spans="1:18" x14ac:dyDescent="0.25">
      <c r="A500" s="16"/>
      <c r="B500" s="16"/>
      <c r="C500" s="16"/>
      <c r="D500" s="16"/>
      <c r="E500" s="16"/>
      <c r="F500" s="16"/>
      <c r="G500" s="16"/>
      <c r="H500" s="16"/>
      <c r="I500" s="16"/>
      <c r="J500" s="16"/>
      <c r="K500" s="16"/>
      <c r="L500" s="14"/>
      <c r="M500" s="16"/>
      <c r="N500" s="16"/>
      <c r="O500" s="16"/>
      <c r="P500" s="16"/>
      <c r="Q500" s="16"/>
      <c r="R500" s="16"/>
    </row>
    <row r="501" spans="1:18" x14ac:dyDescent="0.25">
      <c r="A501" s="16"/>
      <c r="B501" s="16"/>
      <c r="C501" s="16"/>
      <c r="D501" s="16"/>
      <c r="E501" s="16"/>
      <c r="F501" s="16"/>
      <c r="G501" s="16"/>
      <c r="H501" s="16"/>
      <c r="I501" s="16"/>
      <c r="J501" s="16"/>
      <c r="K501" s="16"/>
      <c r="L501" s="14" t="s">
        <v>427</v>
      </c>
      <c r="M501" s="16"/>
      <c r="N501" s="16"/>
      <c r="O501" s="16"/>
      <c r="P501" s="16"/>
      <c r="Q501" s="16"/>
      <c r="R501" s="16"/>
    </row>
    <row r="502" spans="1:18" ht="30" x14ac:dyDescent="0.25">
      <c r="A502" s="16"/>
      <c r="B502" s="16"/>
      <c r="C502" s="16"/>
      <c r="D502" s="16"/>
      <c r="E502" s="16"/>
      <c r="F502" s="16"/>
      <c r="G502" s="16"/>
      <c r="H502" s="16"/>
      <c r="I502" s="16"/>
      <c r="J502" s="16"/>
      <c r="K502" s="16"/>
      <c r="L502" s="14" t="s">
        <v>428</v>
      </c>
      <c r="M502" s="16"/>
      <c r="N502" s="16"/>
      <c r="O502" s="16"/>
      <c r="P502" s="16"/>
      <c r="Q502" s="16"/>
      <c r="R502" s="16"/>
    </row>
    <row r="503" spans="1:18" x14ac:dyDescent="0.25">
      <c r="A503" s="16"/>
      <c r="B503" s="16"/>
      <c r="C503" s="16"/>
      <c r="D503" s="16"/>
      <c r="E503" s="16"/>
      <c r="F503" s="16"/>
      <c r="G503" s="16"/>
      <c r="H503" s="16"/>
      <c r="I503" s="16"/>
      <c r="J503" s="16"/>
      <c r="K503" s="16"/>
      <c r="L503" s="14" t="s">
        <v>429</v>
      </c>
      <c r="M503" s="16"/>
      <c r="N503" s="16"/>
      <c r="O503" s="16"/>
      <c r="P503" s="16"/>
      <c r="Q503" s="16"/>
      <c r="R503" s="16"/>
    </row>
    <row r="504" spans="1:18" ht="30" x14ac:dyDescent="0.25">
      <c r="A504" s="16" t="s">
        <v>8529</v>
      </c>
      <c r="B504" s="16" t="s">
        <v>8686</v>
      </c>
      <c r="C504" s="16" t="s">
        <v>8603</v>
      </c>
      <c r="D504" s="16" t="s">
        <v>8531</v>
      </c>
      <c r="E504" s="16" t="s">
        <v>1752</v>
      </c>
      <c r="F504" s="16" t="s">
        <v>1753</v>
      </c>
      <c r="G504" s="18" t="s">
        <v>8605</v>
      </c>
      <c r="H504" s="16" t="s">
        <v>426</v>
      </c>
      <c r="I504" s="16"/>
      <c r="J504" s="16"/>
      <c r="K504" s="16"/>
      <c r="L504" s="14" t="s">
        <v>422</v>
      </c>
      <c r="M504" s="16" t="s">
        <v>1754</v>
      </c>
      <c r="N504" s="16" t="s">
        <v>1755</v>
      </c>
      <c r="O504" s="16" t="s">
        <v>1756</v>
      </c>
      <c r="P504" s="16" t="str">
        <f>HYPERLINK("https://ceds.ed.gov/cedselementdetails.aspx?termid=17657")</f>
        <v>https://ceds.ed.gov/cedselementdetails.aspx?termid=17657</v>
      </c>
      <c r="Q504" s="16" t="str">
        <f>HYPERLINK("https://ceds.ed.gov/elementComment.aspx?elementName=Black or African American &amp;elementID=17657", "Click here to submit comment")</f>
        <v>Click here to submit comment</v>
      </c>
      <c r="R504" s="16">
        <v>49228</v>
      </c>
    </row>
    <row r="505" spans="1:18" x14ac:dyDescent="0.25">
      <c r="A505" s="16"/>
      <c r="B505" s="16"/>
      <c r="C505" s="16"/>
      <c r="D505" s="16"/>
      <c r="E505" s="16"/>
      <c r="F505" s="16"/>
      <c r="G505" s="16"/>
      <c r="H505" s="16"/>
      <c r="I505" s="16"/>
      <c r="J505" s="16"/>
      <c r="K505" s="16"/>
      <c r="L505" s="14"/>
      <c r="M505" s="16"/>
      <c r="N505" s="16"/>
      <c r="O505" s="16"/>
      <c r="P505" s="16"/>
      <c r="Q505" s="16"/>
      <c r="R505" s="16"/>
    </row>
    <row r="506" spans="1:18" x14ac:dyDescent="0.25">
      <c r="A506" s="16"/>
      <c r="B506" s="16"/>
      <c r="C506" s="16"/>
      <c r="D506" s="16"/>
      <c r="E506" s="16"/>
      <c r="F506" s="16"/>
      <c r="G506" s="16"/>
      <c r="H506" s="16"/>
      <c r="I506" s="16"/>
      <c r="J506" s="16"/>
      <c r="K506" s="16"/>
      <c r="L506" s="14" t="s">
        <v>427</v>
      </c>
      <c r="M506" s="16"/>
      <c r="N506" s="16"/>
      <c r="O506" s="16"/>
      <c r="P506" s="16"/>
      <c r="Q506" s="16"/>
      <c r="R506" s="16"/>
    </row>
    <row r="507" spans="1:18" ht="30" x14ac:dyDescent="0.25">
      <c r="A507" s="16"/>
      <c r="B507" s="16"/>
      <c r="C507" s="16"/>
      <c r="D507" s="16"/>
      <c r="E507" s="16"/>
      <c r="F507" s="16"/>
      <c r="G507" s="16"/>
      <c r="H507" s="16"/>
      <c r="I507" s="16"/>
      <c r="J507" s="16"/>
      <c r="K507" s="16"/>
      <c r="L507" s="14" t="s">
        <v>428</v>
      </c>
      <c r="M507" s="16"/>
      <c r="N507" s="16"/>
      <c r="O507" s="16"/>
      <c r="P507" s="16"/>
      <c r="Q507" s="16"/>
      <c r="R507" s="16"/>
    </row>
    <row r="508" spans="1:18" x14ac:dyDescent="0.25">
      <c r="A508" s="16"/>
      <c r="B508" s="16"/>
      <c r="C508" s="16"/>
      <c r="D508" s="16"/>
      <c r="E508" s="16"/>
      <c r="F508" s="16"/>
      <c r="G508" s="16"/>
      <c r="H508" s="16"/>
      <c r="I508" s="16"/>
      <c r="J508" s="16"/>
      <c r="K508" s="16"/>
      <c r="L508" s="14" t="s">
        <v>429</v>
      </c>
      <c r="M508" s="16"/>
      <c r="N508" s="16"/>
      <c r="O508" s="16"/>
      <c r="P508" s="16"/>
      <c r="Q508" s="16"/>
      <c r="R508" s="16"/>
    </row>
    <row r="509" spans="1:18" ht="30" x14ac:dyDescent="0.25">
      <c r="A509" s="16" t="s">
        <v>8529</v>
      </c>
      <c r="B509" s="16" t="s">
        <v>8686</v>
      </c>
      <c r="C509" s="16" t="s">
        <v>8603</v>
      </c>
      <c r="D509" s="16" t="s">
        <v>8531</v>
      </c>
      <c r="E509" s="16" t="s">
        <v>6378</v>
      </c>
      <c r="F509" s="16" t="s">
        <v>6379</v>
      </c>
      <c r="G509" s="18" t="s">
        <v>8605</v>
      </c>
      <c r="H509" s="16" t="s">
        <v>426</v>
      </c>
      <c r="I509" s="16"/>
      <c r="J509" s="16"/>
      <c r="K509" s="16"/>
      <c r="L509" s="14" t="s">
        <v>422</v>
      </c>
      <c r="M509" s="16" t="s">
        <v>6380</v>
      </c>
      <c r="N509" s="16" t="s">
        <v>6381</v>
      </c>
      <c r="O509" s="16" t="s">
        <v>6382</v>
      </c>
      <c r="P509" s="16" t="str">
        <f>HYPERLINK("https://ceds.ed.gov/cedselementdetails.aspx?termid=17658")</f>
        <v>https://ceds.ed.gov/cedselementdetails.aspx?termid=17658</v>
      </c>
      <c r="Q509" s="16" t="str">
        <f>HYPERLINK("https://ceds.ed.gov/elementComment.aspx?elementName=Native Hawaiian or Other Pacific Islander &amp;elementID=17658", "Click here to submit comment")</f>
        <v>Click here to submit comment</v>
      </c>
      <c r="R509" s="16">
        <v>49229</v>
      </c>
    </row>
    <row r="510" spans="1:18" x14ac:dyDescent="0.25">
      <c r="A510" s="16"/>
      <c r="B510" s="16"/>
      <c r="C510" s="16"/>
      <c r="D510" s="16"/>
      <c r="E510" s="16"/>
      <c r="F510" s="16"/>
      <c r="G510" s="16"/>
      <c r="H510" s="16"/>
      <c r="I510" s="16"/>
      <c r="J510" s="16"/>
      <c r="K510" s="16"/>
      <c r="L510" s="14"/>
      <c r="M510" s="16"/>
      <c r="N510" s="16"/>
      <c r="O510" s="16"/>
      <c r="P510" s="16"/>
      <c r="Q510" s="16"/>
      <c r="R510" s="16"/>
    </row>
    <row r="511" spans="1:18" x14ac:dyDescent="0.25">
      <c r="A511" s="16"/>
      <c r="B511" s="16"/>
      <c r="C511" s="16"/>
      <c r="D511" s="16"/>
      <c r="E511" s="16"/>
      <c r="F511" s="16"/>
      <c r="G511" s="16"/>
      <c r="H511" s="16"/>
      <c r="I511" s="16"/>
      <c r="J511" s="16"/>
      <c r="K511" s="16"/>
      <c r="L511" s="14" t="s">
        <v>427</v>
      </c>
      <c r="M511" s="16"/>
      <c r="N511" s="16"/>
      <c r="O511" s="16"/>
      <c r="P511" s="16"/>
      <c r="Q511" s="16"/>
      <c r="R511" s="16"/>
    </row>
    <row r="512" spans="1:18" ht="30" x14ac:dyDescent="0.25">
      <c r="A512" s="16"/>
      <c r="B512" s="16"/>
      <c r="C512" s="16"/>
      <c r="D512" s="16"/>
      <c r="E512" s="16"/>
      <c r="F512" s="16"/>
      <c r="G512" s="16"/>
      <c r="H512" s="16"/>
      <c r="I512" s="16"/>
      <c r="J512" s="16"/>
      <c r="K512" s="16"/>
      <c r="L512" s="14" t="s">
        <v>428</v>
      </c>
      <c r="M512" s="16"/>
      <c r="N512" s="16"/>
      <c r="O512" s="16"/>
      <c r="P512" s="16"/>
      <c r="Q512" s="16"/>
      <c r="R512" s="16"/>
    </row>
    <row r="513" spans="1:18" x14ac:dyDescent="0.25">
      <c r="A513" s="16"/>
      <c r="B513" s="16"/>
      <c r="C513" s="16"/>
      <c r="D513" s="16"/>
      <c r="E513" s="16"/>
      <c r="F513" s="16"/>
      <c r="G513" s="16"/>
      <c r="H513" s="16"/>
      <c r="I513" s="16"/>
      <c r="J513" s="16"/>
      <c r="K513" s="16"/>
      <c r="L513" s="14" t="s">
        <v>429</v>
      </c>
      <c r="M513" s="16"/>
      <c r="N513" s="16"/>
      <c r="O513" s="16"/>
      <c r="P513" s="16"/>
      <c r="Q513" s="16"/>
      <c r="R513" s="16"/>
    </row>
    <row r="514" spans="1:18" ht="30" x14ac:dyDescent="0.25">
      <c r="A514" s="16" t="s">
        <v>8529</v>
      </c>
      <c r="B514" s="16" t="s">
        <v>8686</v>
      </c>
      <c r="C514" s="16" t="s">
        <v>8603</v>
      </c>
      <c r="D514" s="16" t="s">
        <v>8531</v>
      </c>
      <c r="E514" s="16" t="s">
        <v>8488</v>
      </c>
      <c r="F514" s="16" t="s">
        <v>8489</v>
      </c>
      <c r="G514" s="18" t="s">
        <v>8605</v>
      </c>
      <c r="H514" s="16" t="s">
        <v>426</v>
      </c>
      <c r="I514" s="16"/>
      <c r="J514" s="16"/>
      <c r="K514" s="16"/>
      <c r="L514" s="14" t="s">
        <v>422</v>
      </c>
      <c r="M514" s="16" t="s">
        <v>8490</v>
      </c>
      <c r="N514" s="16" t="s">
        <v>8491</v>
      </c>
      <c r="O514" s="16" t="s">
        <v>8488</v>
      </c>
      <c r="P514" s="16" t="str">
        <f>HYPERLINK("https://ceds.ed.gov/cedselementdetails.aspx?termid=17659")</f>
        <v>https://ceds.ed.gov/cedselementdetails.aspx?termid=17659</v>
      </c>
      <c r="Q514" s="16" t="str">
        <f>HYPERLINK("https://ceds.ed.gov/elementComment.aspx?elementName=White &amp;elementID=17659", "Click here to submit comment")</f>
        <v>Click here to submit comment</v>
      </c>
      <c r="R514" s="16">
        <v>49230</v>
      </c>
    </row>
    <row r="515" spans="1:18" x14ac:dyDescent="0.25">
      <c r="A515" s="16"/>
      <c r="B515" s="16"/>
      <c r="C515" s="16"/>
      <c r="D515" s="16"/>
      <c r="E515" s="16"/>
      <c r="F515" s="16"/>
      <c r="G515" s="16"/>
      <c r="H515" s="16"/>
      <c r="I515" s="16"/>
      <c r="J515" s="16"/>
      <c r="K515" s="16"/>
      <c r="L515" s="14"/>
      <c r="M515" s="16"/>
      <c r="N515" s="16"/>
      <c r="O515" s="16"/>
      <c r="P515" s="16"/>
      <c r="Q515" s="16"/>
      <c r="R515" s="16"/>
    </row>
    <row r="516" spans="1:18" x14ac:dyDescent="0.25">
      <c r="A516" s="16"/>
      <c r="B516" s="16"/>
      <c r="C516" s="16"/>
      <c r="D516" s="16"/>
      <c r="E516" s="16"/>
      <c r="F516" s="16"/>
      <c r="G516" s="16"/>
      <c r="H516" s="16"/>
      <c r="I516" s="16"/>
      <c r="J516" s="16"/>
      <c r="K516" s="16"/>
      <c r="L516" s="14" t="s">
        <v>427</v>
      </c>
      <c r="M516" s="16"/>
      <c r="N516" s="16"/>
      <c r="O516" s="16"/>
      <c r="P516" s="16"/>
      <c r="Q516" s="16"/>
      <c r="R516" s="16"/>
    </row>
    <row r="517" spans="1:18" ht="30" x14ac:dyDescent="0.25">
      <c r="A517" s="16"/>
      <c r="B517" s="16"/>
      <c r="C517" s="16"/>
      <c r="D517" s="16"/>
      <c r="E517" s="16"/>
      <c r="F517" s="16"/>
      <c r="G517" s="16"/>
      <c r="H517" s="16"/>
      <c r="I517" s="16"/>
      <c r="J517" s="16"/>
      <c r="K517" s="16"/>
      <c r="L517" s="14" t="s">
        <v>428</v>
      </c>
      <c r="M517" s="16"/>
      <c r="N517" s="16"/>
      <c r="O517" s="16"/>
      <c r="P517" s="16"/>
      <c r="Q517" s="16"/>
      <c r="R517" s="16"/>
    </row>
    <row r="518" spans="1:18" x14ac:dyDescent="0.25">
      <c r="A518" s="16"/>
      <c r="B518" s="16"/>
      <c r="C518" s="16"/>
      <c r="D518" s="16"/>
      <c r="E518" s="16"/>
      <c r="F518" s="16"/>
      <c r="G518" s="16"/>
      <c r="H518" s="16"/>
      <c r="I518" s="16"/>
      <c r="J518" s="16"/>
      <c r="K518" s="16"/>
      <c r="L518" s="14" t="s">
        <v>429</v>
      </c>
      <c r="M518" s="16"/>
      <c r="N518" s="16"/>
      <c r="O518" s="16"/>
      <c r="P518" s="16"/>
      <c r="Q518" s="16"/>
      <c r="R518" s="16"/>
    </row>
    <row r="519" spans="1:18" ht="30" x14ac:dyDescent="0.25">
      <c r="A519" s="16" t="s">
        <v>8529</v>
      </c>
      <c r="B519" s="16" t="s">
        <v>8686</v>
      </c>
      <c r="C519" s="16" t="s">
        <v>8603</v>
      </c>
      <c r="D519" s="16" t="s">
        <v>8531</v>
      </c>
      <c r="E519" s="16" t="s">
        <v>5008</v>
      </c>
      <c r="F519" s="16" t="s">
        <v>5009</v>
      </c>
      <c r="G519" s="18" t="s">
        <v>8605</v>
      </c>
      <c r="H519" s="16" t="s">
        <v>426</v>
      </c>
      <c r="I519" s="16"/>
      <c r="J519" s="16"/>
      <c r="K519" s="16"/>
      <c r="L519" s="14" t="s">
        <v>422</v>
      </c>
      <c r="M519" s="16" t="s">
        <v>5010</v>
      </c>
      <c r="N519" s="16"/>
      <c r="O519" s="16" t="s">
        <v>5011</v>
      </c>
      <c r="P519" s="16" t="str">
        <f>HYPERLINK("https://ceds.ed.gov/cedselementdetails.aspx?termid=17144")</f>
        <v>https://ceds.ed.gov/cedselementdetails.aspx?termid=17144</v>
      </c>
      <c r="Q519" s="16" t="str">
        <f>HYPERLINK("https://ceds.ed.gov/elementComment.aspx?elementName=Hispanic or Latino Ethnicity &amp;elementID=17144", "Click here to submit comment")</f>
        <v>Click here to submit comment</v>
      </c>
      <c r="R519" s="16">
        <v>49231</v>
      </c>
    </row>
    <row r="520" spans="1:18" x14ac:dyDescent="0.25">
      <c r="A520" s="16"/>
      <c r="B520" s="16"/>
      <c r="C520" s="16"/>
      <c r="D520" s="16"/>
      <c r="E520" s="16"/>
      <c r="F520" s="16"/>
      <c r="G520" s="16"/>
      <c r="H520" s="16"/>
      <c r="I520" s="16"/>
      <c r="J520" s="16"/>
      <c r="K520" s="16"/>
      <c r="L520" s="14"/>
      <c r="M520" s="16"/>
      <c r="N520" s="16"/>
      <c r="O520" s="16"/>
      <c r="P520" s="16"/>
      <c r="Q520" s="16"/>
      <c r="R520" s="16"/>
    </row>
    <row r="521" spans="1:18" x14ac:dyDescent="0.25">
      <c r="A521" s="16"/>
      <c r="B521" s="16"/>
      <c r="C521" s="16"/>
      <c r="D521" s="16"/>
      <c r="E521" s="16"/>
      <c r="F521" s="16"/>
      <c r="G521" s="16"/>
      <c r="H521" s="16"/>
      <c r="I521" s="16"/>
      <c r="J521" s="16"/>
      <c r="K521" s="16"/>
      <c r="L521" s="14" t="s">
        <v>427</v>
      </c>
      <c r="M521" s="16"/>
      <c r="N521" s="16"/>
      <c r="O521" s="16"/>
      <c r="P521" s="16"/>
      <c r="Q521" s="16"/>
      <c r="R521" s="16"/>
    </row>
    <row r="522" spans="1:18" ht="30" x14ac:dyDescent="0.25">
      <c r="A522" s="16"/>
      <c r="B522" s="16"/>
      <c r="C522" s="16"/>
      <c r="D522" s="16"/>
      <c r="E522" s="16"/>
      <c r="F522" s="16"/>
      <c r="G522" s="16"/>
      <c r="H522" s="16"/>
      <c r="I522" s="16"/>
      <c r="J522" s="16"/>
      <c r="K522" s="16"/>
      <c r="L522" s="14" t="s">
        <v>428</v>
      </c>
      <c r="M522" s="16"/>
      <c r="N522" s="16"/>
      <c r="O522" s="16"/>
      <c r="P522" s="16"/>
      <c r="Q522" s="16"/>
      <c r="R522" s="16"/>
    </row>
    <row r="523" spans="1:18" x14ac:dyDescent="0.25">
      <c r="A523" s="16"/>
      <c r="B523" s="16"/>
      <c r="C523" s="16"/>
      <c r="D523" s="16"/>
      <c r="E523" s="16"/>
      <c r="F523" s="16"/>
      <c r="G523" s="16"/>
      <c r="H523" s="16"/>
      <c r="I523" s="16"/>
      <c r="J523" s="16"/>
      <c r="K523" s="16"/>
      <c r="L523" s="14" t="s">
        <v>429</v>
      </c>
      <c r="M523" s="16"/>
      <c r="N523" s="16"/>
      <c r="O523" s="16"/>
      <c r="P523" s="16"/>
      <c r="Q523" s="16"/>
      <c r="R523" s="16"/>
    </row>
    <row r="524" spans="1:18" ht="75" x14ac:dyDescent="0.25">
      <c r="A524" s="14" t="s">
        <v>8529</v>
      </c>
      <c r="B524" s="14" t="s">
        <v>8686</v>
      </c>
      <c r="C524" s="14" t="s">
        <v>8603</v>
      </c>
      <c r="D524" s="14" t="s">
        <v>8531</v>
      </c>
      <c r="E524" s="14" t="s">
        <v>3488</v>
      </c>
      <c r="F524" s="14" t="s">
        <v>3489</v>
      </c>
      <c r="G524" s="14" t="s">
        <v>24</v>
      </c>
      <c r="H524" s="14"/>
      <c r="I524" s="14"/>
      <c r="J524" s="14"/>
      <c r="K524" s="14"/>
      <c r="L524" s="14" t="s">
        <v>3490</v>
      </c>
      <c r="M524" s="14" t="s">
        <v>3491</v>
      </c>
      <c r="N524" s="14"/>
      <c r="O524" s="14" t="s">
        <v>3492</v>
      </c>
      <c r="P524" s="14" t="str">
        <f>HYPERLINK("https://ceds.ed.gov/cedselementdetails.aspx?termid=17974")</f>
        <v>https://ceds.ed.gov/cedselementdetails.aspx?termid=17974</v>
      </c>
      <c r="Q524" s="14" t="str">
        <f>HYPERLINK("https://ceds.ed.gov/elementComment.aspx?elementName=Demographic Race Two or More Races &amp;elementID=17974", "Click here to submit comment")</f>
        <v>Click here to submit comment</v>
      </c>
      <c r="R524" s="14">
        <v>52167</v>
      </c>
    </row>
    <row r="525" spans="1:18" ht="409.5" x14ac:dyDescent="0.25">
      <c r="A525" s="14" t="s">
        <v>8529</v>
      </c>
      <c r="B525" s="14" t="s">
        <v>8686</v>
      </c>
      <c r="C525" s="14" t="s">
        <v>8603</v>
      </c>
      <c r="D525" s="14" t="s">
        <v>8541</v>
      </c>
      <c r="E525" s="14" t="s">
        <v>2853</v>
      </c>
      <c r="F525" s="14" t="s">
        <v>2854</v>
      </c>
      <c r="G525" s="8" t="s">
        <v>8548</v>
      </c>
      <c r="H525" s="14" t="s">
        <v>2859</v>
      </c>
      <c r="I525" s="14" t="s">
        <v>195</v>
      </c>
      <c r="J525" s="14"/>
      <c r="K525" s="14" t="s">
        <v>2856</v>
      </c>
      <c r="L525" s="6" t="s">
        <v>2849</v>
      </c>
      <c r="M525" s="14" t="s">
        <v>2857</v>
      </c>
      <c r="N525" s="14"/>
      <c r="O525" s="14" t="s">
        <v>2858</v>
      </c>
      <c r="P525" s="14" t="str">
        <f>HYPERLINK("https://ceds.ed.gov/cedselementdetails.aspx?termid=17051")</f>
        <v>https://ceds.ed.gov/cedselementdetails.aspx?termid=17051</v>
      </c>
      <c r="Q525" s="14" t="str">
        <f>HYPERLINK("https://ceds.ed.gov/elementComment.aspx?elementName=Country of Birth Code &amp;elementID=17051", "Click here to submit comment")</f>
        <v>Click here to submit comment</v>
      </c>
      <c r="R525" s="14">
        <v>52285</v>
      </c>
    </row>
    <row r="526" spans="1:18" ht="105" x14ac:dyDescent="0.25">
      <c r="A526" s="14" t="s">
        <v>8529</v>
      </c>
      <c r="B526" s="14" t="s">
        <v>8686</v>
      </c>
      <c r="C526" s="14" t="s">
        <v>8603</v>
      </c>
      <c r="D526" s="14" t="s">
        <v>8541</v>
      </c>
      <c r="E526" s="14" t="s">
        <v>6304</v>
      </c>
      <c r="F526" s="14" t="s">
        <v>6305</v>
      </c>
      <c r="G526" s="8" t="s">
        <v>8677</v>
      </c>
      <c r="H526" s="14"/>
      <c r="I526" s="14" t="s">
        <v>195</v>
      </c>
      <c r="J526" s="14"/>
      <c r="K526" s="14" t="s">
        <v>6308</v>
      </c>
      <c r="L526" s="14"/>
      <c r="M526" s="14" t="s">
        <v>6309</v>
      </c>
      <c r="N526" s="14"/>
      <c r="O526" s="14" t="s">
        <v>6310</v>
      </c>
      <c r="P526" s="14" t="str">
        <f>HYPERLINK("https://ceds.ed.gov/cedselementdetails.aspx?termid=18621")</f>
        <v>https://ceds.ed.gov/cedselementdetails.aspx?termid=18621</v>
      </c>
      <c r="Q526" s="14" t="str">
        <f>HYPERLINK("https://ceds.ed.gov/elementComment.aspx?elementName=Military Branch &amp;elementID=18621", "Click here to submit comment")</f>
        <v>Click here to submit comment</v>
      </c>
      <c r="R526" s="14">
        <v>52286</v>
      </c>
    </row>
    <row r="527" spans="1:18" ht="105" x14ac:dyDescent="0.25">
      <c r="A527" s="14" t="s">
        <v>8529</v>
      </c>
      <c r="B527" s="14" t="s">
        <v>8686</v>
      </c>
      <c r="C527" s="14" t="s">
        <v>8603</v>
      </c>
      <c r="D527" s="14" t="s">
        <v>8541</v>
      </c>
      <c r="E527" s="14" t="s">
        <v>8363</v>
      </c>
      <c r="F527" s="14" t="s">
        <v>8364</v>
      </c>
      <c r="G527" s="14" t="s">
        <v>8527</v>
      </c>
      <c r="H527" s="14"/>
      <c r="I527" s="14" t="s">
        <v>195</v>
      </c>
      <c r="J527" s="14"/>
      <c r="K527" s="14" t="s">
        <v>8366</v>
      </c>
      <c r="L527" s="14"/>
      <c r="M527" s="14" t="s">
        <v>8367</v>
      </c>
      <c r="N527" s="14"/>
      <c r="O527" s="14" t="s">
        <v>8368</v>
      </c>
      <c r="P527" s="14" t="str">
        <f>HYPERLINK("https://ceds.ed.gov/cedselementdetails.aspx?termid=18638")</f>
        <v>https://ceds.ed.gov/cedselementdetails.aspx?termid=18638</v>
      </c>
      <c r="Q527" s="14" t="str">
        <f>HYPERLINK("https://ceds.ed.gov/elementComment.aspx?elementName=Tribal Affiliation &amp;elementID=18638", "Click here to submit comment")</f>
        <v>Click here to submit comment</v>
      </c>
      <c r="R527" s="14">
        <v>52287</v>
      </c>
    </row>
    <row r="528" spans="1:18" ht="225" x14ac:dyDescent="0.25">
      <c r="A528" s="14" t="s">
        <v>8529</v>
      </c>
      <c r="B528" s="14" t="s">
        <v>8686</v>
      </c>
      <c r="C528" s="14" t="s">
        <v>8678</v>
      </c>
      <c r="D528" s="14" t="s">
        <v>8531</v>
      </c>
      <c r="E528" s="14" t="s">
        <v>6353</v>
      </c>
      <c r="F528" s="14" t="s">
        <v>6354</v>
      </c>
      <c r="G528" s="14" t="s">
        <v>37</v>
      </c>
      <c r="H528" s="14" t="s">
        <v>6358</v>
      </c>
      <c r="I528" s="14"/>
      <c r="J528" s="14" t="s">
        <v>175</v>
      </c>
      <c r="K528" s="14"/>
      <c r="L528" s="14"/>
      <c r="M528" s="14" t="s">
        <v>6356</v>
      </c>
      <c r="N528" s="14"/>
      <c r="O528" s="14" t="s">
        <v>6357</v>
      </c>
      <c r="P528" s="14" t="str">
        <f>HYPERLINK("https://ceds.ed.gov/cedselementdetails.aspx?termid=17191")</f>
        <v>https://ceds.ed.gov/cedselementdetails.aspx?termid=17191</v>
      </c>
      <c r="Q528" s="14" t="str">
        <f>HYPERLINK("https://ceds.ed.gov/elementComment.aspx?elementName=Name of Institution &amp;elementID=17191", "Click here to submit comment")</f>
        <v>Click here to submit comment</v>
      </c>
      <c r="R528" s="14">
        <v>47688</v>
      </c>
    </row>
    <row r="529" spans="1:18" ht="45" x14ac:dyDescent="0.25">
      <c r="A529" s="14" t="s">
        <v>8529</v>
      </c>
      <c r="B529" s="14" t="s">
        <v>8686</v>
      </c>
      <c r="C529" s="14" t="s">
        <v>8678</v>
      </c>
      <c r="D529" s="14" t="s">
        <v>8531</v>
      </c>
      <c r="E529" s="14" t="s">
        <v>3699</v>
      </c>
      <c r="F529" s="14" t="s">
        <v>3700</v>
      </c>
      <c r="G529" s="14" t="s">
        <v>24</v>
      </c>
      <c r="H529" s="14" t="s">
        <v>238</v>
      </c>
      <c r="I529" s="14"/>
      <c r="J529" s="14"/>
      <c r="K529" s="14"/>
      <c r="L529" s="14"/>
      <c r="M529" s="14" t="s">
        <v>3702</v>
      </c>
      <c r="N529" s="14"/>
      <c r="O529" s="14" t="s">
        <v>3703</v>
      </c>
      <c r="P529" s="14" t="str">
        <f>HYPERLINK("https://ceds.ed.gov/cedselementdetails.aspx?termid=17786")</f>
        <v>https://ceds.ed.gov/cedselementdetails.aspx?termid=17786</v>
      </c>
      <c r="Q529" s="14" t="str">
        <f>HYPERLINK("https://ceds.ed.gov/elementComment.aspx?elementName=Early Childhood Degree or Certificate Holder &amp;elementID=17786", "Click here to submit comment")</f>
        <v>Click here to submit comment</v>
      </c>
      <c r="R529" s="14">
        <v>49232</v>
      </c>
    </row>
    <row r="530" spans="1:18" ht="105" x14ac:dyDescent="0.25">
      <c r="A530" s="14" t="s">
        <v>8529</v>
      </c>
      <c r="B530" s="14" t="s">
        <v>8686</v>
      </c>
      <c r="C530" s="14" t="s">
        <v>8678</v>
      </c>
      <c r="D530" s="14" t="s">
        <v>8531</v>
      </c>
      <c r="E530" s="14" t="s">
        <v>6087</v>
      </c>
      <c r="F530" s="14" t="s">
        <v>6088</v>
      </c>
      <c r="G530" s="8" t="s">
        <v>8689</v>
      </c>
      <c r="H530" s="14" t="s">
        <v>4041</v>
      </c>
      <c r="I530" s="14"/>
      <c r="J530" s="14"/>
      <c r="K530" s="14"/>
      <c r="L530" s="14"/>
      <c r="M530" s="14" t="s">
        <v>6090</v>
      </c>
      <c r="N530" s="14"/>
      <c r="O530" s="14" t="s">
        <v>6091</v>
      </c>
      <c r="P530" s="14" t="str">
        <f>HYPERLINK("https://ceds.ed.gov/cedselementdetails.aspx?termid=17340")</f>
        <v>https://ceds.ed.gov/cedselementdetails.aspx?termid=17340</v>
      </c>
      <c r="Q530" s="14" t="str">
        <f>HYPERLINK("https://ceds.ed.gov/elementComment.aspx?elementName=Level of Specialization in Early Learning &amp;elementID=17340", "Click here to submit comment")</f>
        <v>Click here to submit comment</v>
      </c>
      <c r="R530" s="14">
        <v>47696</v>
      </c>
    </row>
    <row r="531" spans="1:18" ht="60" x14ac:dyDescent="0.25">
      <c r="A531" s="14" t="s">
        <v>8529</v>
      </c>
      <c r="B531" s="14" t="s">
        <v>8686</v>
      </c>
      <c r="C531" s="14" t="s">
        <v>8678</v>
      </c>
      <c r="D531" s="14" t="s">
        <v>8531</v>
      </c>
      <c r="E531" s="14" t="s">
        <v>3479</v>
      </c>
      <c r="F531" s="14" t="s">
        <v>3480</v>
      </c>
      <c r="G531" s="14" t="s">
        <v>37</v>
      </c>
      <c r="H531" s="14" t="s">
        <v>3474</v>
      </c>
      <c r="I531" s="14"/>
      <c r="J531" s="14" t="s">
        <v>1510</v>
      </c>
      <c r="K531" s="14"/>
      <c r="L531" s="14"/>
      <c r="M531" s="14" t="s">
        <v>3481</v>
      </c>
      <c r="N531" s="14"/>
      <c r="O531" s="14" t="s">
        <v>3482</v>
      </c>
      <c r="P531" s="14" t="str">
        <f>HYPERLINK("https://ceds.ed.gov/cedselementdetails.aspx?termid=17341")</f>
        <v>https://ceds.ed.gov/cedselementdetails.aspx?termid=17341</v>
      </c>
      <c r="Q531" s="14" t="str">
        <f>HYPERLINK("https://ceds.ed.gov/elementComment.aspx?elementName=Degree or Certificate Title or Subject &amp;elementID=17341", "Click here to submit comment")</f>
        <v>Click here to submit comment</v>
      </c>
      <c r="R531" s="14">
        <v>47697</v>
      </c>
    </row>
    <row r="532" spans="1:18" ht="405" x14ac:dyDescent="0.25">
      <c r="A532" s="14" t="s">
        <v>8529</v>
      </c>
      <c r="B532" s="14" t="s">
        <v>8686</v>
      </c>
      <c r="C532" s="14" t="s">
        <v>8678</v>
      </c>
      <c r="D532" s="14" t="s">
        <v>8531</v>
      </c>
      <c r="E532" s="14" t="s">
        <v>3483</v>
      </c>
      <c r="F532" s="14" t="s">
        <v>3484</v>
      </c>
      <c r="G532" s="8" t="s">
        <v>8690</v>
      </c>
      <c r="H532" s="14" t="s">
        <v>3474</v>
      </c>
      <c r="I532" s="14"/>
      <c r="J532" s="14"/>
      <c r="K532" s="14"/>
      <c r="L532" s="14"/>
      <c r="M532" s="14" t="s">
        <v>3486</v>
      </c>
      <c r="N532" s="14"/>
      <c r="O532" s="14" t="s">
        <v>3487</v>
      </c>
      <c r="P532" s="14" t="str">
        <f>HYPERLINK("https://ceds.ed.gov/cedselementdetails.aspx?termid=17342")</f>
        <v>https://ceds.ed.gov/cedselementdetails.aspx?termid=17342</v>
      </c>
      <c r="Q532" s="14" t="str">
        <f>HYPERLINK("https://ceds.ed.gov/elementComment.aspx?elementName=Degree or Certificate Type &amp;elementID=17342", "Click here to submit comment")</f>
        <v>Click here to submit comment</v>
      </c>
      <c r="R532" s="14">
        <v>47698</v>
      </c>
    </row>
    <row r="533" spans="1:18" ht="60" x14ac:dyDescent="0.25">
      <c r="A533" s="14" t="s">
        <v>8529</v>
      </c>
      <c r="B533" s="14" t="s">
        <v>8686</v>
      </c>
      <c r="C533" s="14" t="s">
        <v>8678</v>
      </c>
      <c r="D533" s="14" t="s">
        <v>8531</v>
      </c>
      <c r="E533" s="14" t="s">
        <v>3469</v>
      </c>
      <c r="F533" s="14" t="s">
        <v>3470</v>
      </c>
      <c r="G533" s="14" t="s">
        <v>37</v>
      </c>
      <c r="H533" s="14" t="s">
        <v>3474</v>
      </c>
      <c r="I533" s="14"/>
      <c r="J533" s="14" t="s">
        <v>135</v>
      </c>
      <c r="K533" s="14"/>
      <c r="L533" s="14"/>
      <c r="M533" s="14" t="s">
        <v>3472</v>
      </c>
      <c r="N533" s="14"/>
      <c r="O533" s="14" t="s">
        <v>3473</v>
      </c>
      <c r="P533" s="14" t="str">
        <f>HYPERLINK("https://ceds.ed.gov/cedselementdetails.aspx?termid=17343")</f>
        <v>https://ceds.ed.gov/cedselementdetails.aspx?termid=17343</v>
      </c>
      <c r="Q533" s="14" t="str">
        <f>HYPERLINK("https://ceds.ed.gov/elementComment.aspx?elementName=Degree or Certificate Conferring Date &amp;elementID=17343", "Click here to submit comment")</f>
        <v>Click here to submit comment</v>
      </c>
      <c r="R533" s="14">
        <v>47699</v>
      </c>
    </row>
    <row r="534" spans="1:18" ht="90" x14ac:dyDescent="0.25">
      <c r="A534" s="14" t="s">
        <v>8529</v>
      </c>
      <c r="B534" s="14" t="s">
        <v>8686</v>
      </c>
      <c r="C534" s="14" t="s">
        <v>8678</v>
      </c>
      <c r="D534" s="14" t="s">
        <v>8531</v>
      </c>
      <c r="E534" s="14" t="s">
        <v>8338</v>
      </c>
      <c r="F534" s="14" t="s">
        <v>8339</v>
      </c>
      <c r="G534" s="14" t="s">
        <v>37</v>
      </c>
      <c r="H534" s="14" t="s">
        <v>238</v>
      </c>
      <c r="I534" s="14"/>
      <c r="J534" s="14" t="s">
        <v>1710</v>
      </c>
      <c r="K534" s="14"/>
      <c r="L534" s="14"/>
      <c r="M534" s="14" t="s">
        <v>8340</v>
      </c>
      <c r="N534" s="14"/>
      <c r="O534" s="14" t="s">
        <v>8341</v>
      </c>
      <c r="P534" s="14" t="str">
        <f>HYPERLINK("https://ceds.ed.gov/cedselementdetails.aspx?termid=17787")</f>
        <v>https://ceds.ed.gov/cedselementdetails.aspx?termid=17787</v>
      </c>
      <c r="Q534" s="14" t="str">
        <f>HYPERLINK("https://ceds.ed.gov/elementComment.aspx?elementName=Total Approved Early Childhood Credits Earned &amp;elementID=17787", "Click here to submit comment")</f>
        <v>Click here to submit comment</v>
      </c>
      <c r="R534" s="14">
        <v>49233</v>
      </c>
    </row>
    <row r="535" spans="1:18" ht="75" x14ac:dyDescent="0.25">
      <c r="A535" s="14" t="s">
        <v>8529</v>
      </c>
      <c r="B535" s="14" t="s">
        <v>8686</v>
      </c>
      <c r="C535" s="14" t="s">
        <v>8678</v>
      </c>
      <c r="D535" s="14" t="s">
        <v>8531</v>
      </c>
      <c r="E535" s="14" t="s">
        <v>3889</v>
      </c>
      <c r="F535" s="14" t="s">
        <v>3890</v>
      </c>
      <c r="G535" s="14" t="s">
        <v>37</v>
      </c>
      <c r="H535" s="14" t="s">
        <v>238</v>
      </c>
      <c r="I535" s="14"/>
      <c r="J535" s="14" t="s">
        <v>1710</v>
      </c>
      <c r="K535" s="14"/>
      <c r="L535" s="14"/>
      <c r="M535" s="14" t="s">
        <v>3891</v>
      </c>
      <c r="N535" s="14"/>
      <c r="O535" s="14" t="s">
        <v>3892</v>
      </c>
      <c r="P535" s="14" t="str">
        <f>HYPERLINK("https://ceds.ed.gov/cedselementdetails.aspx?termid=17791")</f>
        <v>https://ceds.ed.gov/cedselementdetails.aspx?termid=17791</v>
      </c>
      <c r="Q535" s="14" t="str">
        <f>HYPERLINK("https://ceds.ed.gov/elementComment.aspx?elementName=Early Learning Staff Total College Credits Earned &amp;elementID=17791", "Click here to submit comment")</f>
        <v>Click here to submit comment</v>
      </c>
      <c r="R535" s="14">
        <v>49235</v>
      </c>
    </row>
    <row r="536" spans="1:18" ht="75" x14ac:dyDescent="0.25">
      <c r="A536" s="14" t="s">
        <v>8529</v>
      </c>
      <c r="B536" s="14" t="s">
        <v>8686</v>
      </c>
      <c r="C536" s="14" t="s">
        <v>8678</v>
      </c>
      <c r="D536" s="14" t="s">
        <v>8531</v>
      </c>
      <c r="E536" s="14" t="s">
        <v>6488</v>
      </c>
      <c r="F536" s="14" t="s">
        <v>6489</v>
      </c>
      <c r="G536" s="14" t="s">
        <v>37</v>
      </c>
      <c r="H536" s="14" t="s">
        <v>238</v>
      </c>
      <c r="I536" s="14"/>
      <c r="J536" s="14" t="s">
        <v>1710</v>
      </c>
      <c r="K536" s="14"/>
      <c r="L536" s="14"/>
      <c r="M536" s="14" t="s">
        <v>6490</v>
      </c>
      <c r="N536" s="14"/>
      <c r="O536" s="14" t="s">
        <v>6491</v>
      </c>
      <c r="P536" s="14" t="str">
        <f>HYPERLINK("https://ceds.ed.gov/cedselementdetails.aspx?termid=17815")</f>
        <v>https://ceds.ed.gov/cedselementdetails.aspx?termid=17815</v>
      </c>
      <c r="Q536" s="14" t="str">
        <f>HYPERLINK("https://ceds.ed.gov/elementComment.aspx?elementName=Number of School-age Education Postsecondary Credit Hours &amp;elementID=17815", "Click here to submit comment")</f>
        <v>Click here to submit comment</v>
      </c>
      <c r="R536" s="14">
        <v>49263</v>
      </c>
    </row>
    <row r="537" spans="1:18" ht="75" x14ac:dyDescent="0.25">
      <c r="A537" s="14" t="s">
        <v>8529</v>
      </c>
      <c r="B537" s="14" t="s">
        <v>8686</v>
      </c>
      <c r="C537" s="14" t="s">
        <v>8678</v>
      </c>
      <c r="D537" s="14" t="s">
        <v>8531</v>
      </c>
      <c r="E537" s="14" t="s">
        <v>7889</v>
      </c>
      <c r="F537" s="14" t="s">
        <v>7890</v>
      </c>
      <c r="G537" s="14" t="s">
        <v>37</v>
      </c>
      <c r="H537" s="14" t="s">
        <v>238</v>
      </c>
      <c r="I537" s="14"/>
      <c r="J537" s="14" t="s">
        <v>135</v>
      </c>
      <c r="K537" s="14"/>
      <c r="L537" s="14"/>
      <c r="M537" s="14" t="s">
        <v>7891</v>
      </c>
      <c r="N537" s="14"/>
      <c r="O537" s="14" t="s">
        <v>7892</v>
      </c>
      <c r="P537" s="14" t="str">
        <f>HYPERLINK("https://ceds.ed.gov/cedselementdetails.aspx?termid=17792")</f>
        <v>https://ceds.ed.gov/cedselementdetails.aspx?termid=17792</v>
      </c>
      <c r="Q537" s="14" t="str">
        <f>HYPERLINK("https://ceds.ed.gov/elementComment.aspx?elementName=Staff Education Entry Date &amp;elementID=17792", "Click here to submit comment")</f>
        <v>Click here to submit comment</v>
      </c>
      <c r="R537" s="14">
        <v>49236</v>
      </c>
    </row>
    <row r="538" spans="1:18" ht="75" x14ac:dyDescent="0.25">
      <c r="A538" s="14" t="s">
        <v>8529</v>
      </c>
      <c r="B538" s="14" t="s">
        <v>8686</v>
      </c>
      <c r="C538" s="14" t="s">
        <v>8678</v>
      </c>
      <c r="D538" s="14" t="s">
        <v>8531</v>
      </c>
      <c r="E538" s="14" t="s">
        <v>7893</v>
      </c>
      <c r="F538" s="14" t="s">
        <v>7894</v>
      </c>
      <c r="G538" s="14" t="s">
        <v>37</v>
      </c>
      <c r="H538" s="14" t="s">
        <v>238</v>
      </c>
      <c r="I538" s="14"/>
      <c r="J538" s="14" t="s">
        <v>135</v>
      </c>
      <c r="K538" s="14"/>
      <c r="L538" s="14"/>
      <c r="M538" s="14" t="s">
        <v>7895</v>
      </c>
      <c r="N538" s="14"/>
      <c r="O538" s="14" t="s">
        <v>7896</v>
      </c>
      <c r="P538" s="14" t="str">
        <f>HYPERLINK("https://ceds.ed.gov/cedselementdetails.aspx?termid=17793")</f>
        <v>https://ceds.ed.gov/cedselementdetails.aspx?termid=17793</v>
      </c>
      <c r="Q538" s="14" t="str">
        <f>HYPERLINK("https://ceds.ed.gov/elementComment.aspx?elementName=Staff Education Withdrawal Date &amp;elementID=17793", "Click here to submit comment")</f>
        <v>Click here to submit comment</v>
      </c>
      <c r="R538" s="14">
        <v>49237</v>
      </c>
    </row>
    <row r="539" spans="1:18" ht="409.5" x14ac:dyDescent="0.25">
      <c r="A539" s="14" t="s">
        <v>8529</v>
      </c>
      <c r="B539" s="14" t="s">
        <v>8686</v>
      </c>
      <c r="C539" s="14" t="s">
        <v>8678</v>
      </c>
      <c r="D539" s="14" t="s">
        <v>8531</v>
      </c>
      <c r="E539" s="14" t="s">
        <v>4989</v>
      </c>
      <c r="F539" s="14" t="s">
        <v>4990</v>
      </c>
      <c r="G539" s="8" t="s">
        <v>8679</v>
      </c>
      <c r="H539" s="14" t="s">
        <v>4994</v>
      </c>
      <c r="I539" s="14"/>
      <c r="J539" s="14"/>
      <c r="K539" s="14"/>
      <c r="L539" s="14"/>
      <c r="M539" s="14" t="s">
        <v>4992</v>
      </c>
      <c r="N539" s="14"/>
      <c r="O539" s="14" t="s">
        <v>4993</v>
      </c>
      <c r="P539" s="14" t="str">
        <f>HYPERLINK("https://ceds.ed.gov/cedselementdetails.aspx?termid=17141")</f>
        <v>https://ceds.ed.gov/cedselementdetails.aspx?termid=17141</v>
      </c>
      <c r="Q539" s="14" t="str">
        <f>HYPERLINK("https://ceds.ed.gov/elementComment.aspx?elementName=Highest Level of Education Completed &amp;elementID=17141", "Click here to submit comment")</f>
        <v>Click here to submit comment</v>
      </c>
      <c r="R539" s="14">
        <v>49238</v>
      </c>
    </row>
    <row r="540" spans="1:18" ht="90" x14ac:dyDescent="0.25">
      <c r="A540" s="14" t="s">
        <v>8529</v>
      </c>
      <c r="B540" s="14" t="s">
        <v>8686</v>
      </c>
      <c r="C540" s="14" t="s">
        <v>8678</v>
      </c>
      <c r="D540" s="14" t="s">
        <v>8531</v>
      </c>
      <c r="E540" s="14" t="s">
        <v>7766</v>
      </c>
      <c r="F540" s="14" t="s">
        <v>7767</v>
      </c>
      <c r="G540" s="14" t="s">
        <v>37</v>
      </c>
      <c r="H540" s="14"/>
      <c r="I540" s="14"/>
      <c r="J540" s="14" t="s">
        <v>97</v>
      </c>
      <c r="K540" s="14"/>
      <c r="L540" s="14" t="s">
        <v>7769</v>
      </c>
      <c r="M540" s="14" t="s">
        <v>7770</v>
      </c>
      <c r="N540" s="14"/>
      <c r="O540" s="14" t="s">
        <v>7771</v>
      </c>
      <c r="P540" s="14" t="str">
        <f>HYPERLINK("https://ceds.ed.gov/cedselementdetails.aspx?termid=18459")</f>
        <v>https://ceds.ed.gov/cedselementdetails.aspx?termid=18459</v>
      </c>
      <c r="Q540" s="14" t="str">
        <f>HYPERLINK("https://ceds.ed.gov/elementComment.aspx?elementName=Short Name of Institution &amp;elementID=18459", "Click here to submit comment")</f>
        <v>Click here to submit comment</v>
      </c>
      <c r="R540" s="14">
        <v>50420</v>
      </c>
    </row>
    <row r="541" spans="1:18" ht="120" x14ac:dyDescent="0.25">
      <c r="A541" s="14" t="s">
        <v>8529</v>
      </c>
      <c r="B541" s="14" t="s">
        <v>8686</v>
      </c>
      <c r="C541" s="14" t="s">
        <v>8678</v>
      </c>
      <c r="D541" s="14" t="s">
        <v>8531</v>
      </c>
      <c r="E541" s="14" t="s">
        <v>4984</v>
      </c>
      <c r="F541" s="14" t="s">
        <v>4985</v>
      </c>
      <c r="G541" s="8" t="s">
        <v>8691</v>
      </c>
      <c r="H541" s="14" t="s">
        <v>238</v>
      </c>
      <c r="I541" s="14"/>
      <c r="J541" s="14"/>
      <c r="K541" s="14"/>
      <c r="L541" s="14"/>
      <c r="M541" s="14" t="s">
        <v>4987</v>
      </c>
      <c r="N541" s="14"/>
      <c r="O541" s="14" t="s">
        <v>4988</v>
      </c>
      <c r="P541" s="14" t="str">
        <f>HYPERLINK("https://ceds.ed.gov/cedselementdetails.aspx?termid=17817")</f>
        <v>https://ceds.ed.gov/cedselementdetails.aspx?termid=17817</v>
      </c>
      <c r="Q541" s="14" t="str">
        <f>HYPERLINK("https://ceds.ed.gov/elementComment.aspx?elementName=Higher Education Institution Accreditation Status &amp;elementID=17817", "Click here to submit comment")</f>
        <v>Click here to submit comment</v>
      </c>
      <c r="R541" s="14">
        <v>49265</v>
      </c>
    </row>
    <row r="542" spans="1:18" ht="90" x14ac:dyDescent="0.25">
      <c r="A542" s="14" t="s">
        <v>8529</v>
      </c>
      <c r="B542" s="14" t="s">
        <v>8686</v>
      </c>
      <c r="C542" s="14" t="s">
        <v>8678</v>
      </c>
      <c r="D542" s="14" t="s">
        <v>8531</v>
      </c>
      <c r="E542" s="14" t="s">
        <v>3921</v>
      </c>
      <c r="F542" s="14" t="s">
        <v>3922</v>
      </c>
      <c r="G542" s="8" t="s">
        <v>8692</v>
      </c>
      <c r="H542" s="14"/>
      <c r="I542" s="14"/>
      <c r="J542" s="14"/>
      <c r="K542" s="14"/>
      <c r="L542" s="14"/>
      <c r="M542" s="14" t="s">
        <v>3925</v>
      </c>
      <c r="N542" s="14"/>
      <c r="O542" s="14" t="s">
        <v>3926</v>
      </c>
      <c r="P542" s="14" t="str">
        <f>HYPERLINK("https://ceds.ed.gov/cedselementdetails.aspx?termid=18586")</f>
        <v>https://ceds.ed.gov/cedselementdetails.aspx?termid=18586</v>
      </c>
      <c r="Q542" s="14" t="str">
        <f>HYPERLINK("https://ceds.ed.gov/elementComment.aspx?elementName=Education Verification Method &amp;elementID=18586", "Click here to submit comment")</f>
        <v>Click here to submit comment</v>
      </c>
      <c r="R542" s="14">
        <v>51077</v>
      </c>
    </row>
    <row r="543" spans="1:18" ht="210" x14ac:dyDescent="0.25">
      <c r="A543" s="14" t="s">
        <v>8529</v>
      </c>
      <c r="B543" s="14" t="s">
        <v>8686</v>
      </c>
      <c r="C543" s="14" t="s">
        <v>8693</v>
      </c>
      <c r="D543" s="14" t="s">
        <v>8531</v>
      </c>
      <c r="E543" s="14" t="s">
        <v>4042</v>
      </c>
      <c r="F543" s="14" t="s">
        <v>342</v>
      </c>
      <c r="G543" s="8" t="s">
        <v>8694</v>
      </c>
      <c r="H543" s="14" t="s">
        <v>3474</v>
      </c>
      <c r="I543" s="14"/>
      <c r="J543" s="14"/>
      <c r="K543" s="14"/>
      <c r="L543" s="14"/>
      <c r="M543" s="14" t="s">
        <v>4044</v>
      </c>
      <c r="N543" s="14"/>
      <c r="O543" s="14" t="s">
        <v>4045</v>
      </c>
      <c r="P543" s="14" t="str">
        <f>HYPERLINK("https://ceds.ed.gov/cedselementdetails.aspx?termid=17346")</f>
        <v>https://ceds.ed.gov/cedselementdetails.aspx?termid=17346</v>
      </c>
      <c r="Q543" s="14" t="str">
        <f>HYPERLINK("https://ceds.ed.gov/elementComment.aspx?elementName=Employment Status &amp;elementID=17346", "Click here to submit comment")</f>
        <v>Click here to submit comment</v>
      </c>
      <c r="R543" s="14">
        <v>47702</v>
      </c>
    </row>
    <row r="544" spans="1:18" ht="210" x14ac:dyDescent="0.25">
      <c r="A544" s="14" t="s">
        <v>8529</v>
      </c>
      <c r="B544" s="14" t="s">
        <v>8686</v>
      </c>
      <c r="C544" s="14" t="s">
        <v>8693</v>
      </c>
      <c r="D544" s="14" t="s">
        <v>8531</v>
      </c>
      <c r="E544" s="14" t="s">
        <v>5001</v>
      </c>
      <c r="F544" s="14" t="s">
        <v>5002</v>
      </c>
      <c r="G544" s="14" t="s">
        <v>37</v>
      </c>
      <c r="H544" s="14" t="s">
        <v>5007</v>
      </c>
      <c r="I544" s="14"/>
      <c r="J544" s="14" t="s">
        <v>135</v>
      </c>
      <c r="K544" s="14"/>
      <c r="L544" s="14" t="s">
        <v>5004</v>
      </c>
      <c r="M544" s="14" t="s">
        <v>5005</v>
      </c>
      <c r="N544" s="14"/>
      <c r="O544" s="14" t="s">
        <v>5006</v>
      </c>
      <c r="P544" s="14" t="str">
        <f>HYPERLINK("https://ceds.ed.gov/cedselementdetails.aspx?termid=17143")</f>
        <v>https://ceds.ed.gov/cedselementdetails.aspx?termid=17143</v>
      </c>
      <c r="Q544" s="14" t="str">
        <f>HYPERLINK("https://ceds.ed.gov/elementComment.aspx?elementName=Hire Date &amp;elementID=17143", "Click here to submit comment")</f>
        <v>Click here to submit comment</v>
      </c>
      <c r="R544" s="14">
        <v>47684</v>
      </c>
    </row>
    <row r="545" spans="1:18" ht="60" x14ac:dyDescent="0.25">
      <c r="A545" s="14" t="s">
        <v>8529</v>
      </c>
      <c r="B545" s="14" t="s">
        <v>8686</v>
      </c>
      <c r="C545" s="14" t="s">
        <v>8693</v>
      </c>
      <c r="D545" s="14" t="s">
        <v>8531</v>
      </c>
      <c r="E545" s="14" t="s">
        <v>4037</v>
      </c>
      <c r="F545" s="14" t="s">
        <v>4038</v>
      </c>
      <c r="G545" s="14" t="s">
        <v>37</v>
      </c>
      <c r="H545" s="14" t="s">
        <v>4041</v>
      </c>
      <c r="I545" s="14"/>
      <c r="J545" s="14" t="s">
        <v>135</v>
      </c>
      <c r="K545" s="14"/>
      <c r="L545" s="14"/>
      <c r="M545" s="14" t="s">
        <v>4039</v>
      </c>
      <c r="N545" s="14"/>
      <c r="O545" s="14" t="s">
        <v>4040</v>
      </c>
      <c r="P545" s="14" t="str">
        <f>HYPERLINK("https://ceds.ed.gov/cedselementdetails.aspx?termid=17345")</f>
        <v>https://ceds.ed.gov/cedselementdetails.aspx?termid=17345</v>
      </c>
      <c r="Q545" s="14" t="str">
        <f>HYPERLINK("https://ceds.ed.gov/elementComment.aspx?elementName=Employment Start Date &amp;elementID=17345", "Click here to submit comment")</f>
        <v>Click here to submit comment</v>
      </c>
      <c r="R545" s="14">
        <v>47701</v>
      </c>
    </row>
    <row r="546" spans="1:18" ht="75" x14ac:dyDescent="0.25">
      <c r="A546" s="14" t="s">
        <v>8529</v>
      </c>
      <c r="B546" s="14" t="s">
        <v>8686</v>
      </c>
      <c r="C546" s="14" t="s">
        <v>8693</v>
      </c>
      <c r="D546" s="14" t="s">
        <v>8531</v>
      </c>
      <c r="E546" s="14" t="s">
        <v>3995</v>
      </c>
      <c r="F546" s="14" t="s">
        <v>3996</v>
      </c>
      <c r="G546" s="14" t="s">
        <v>37</v>
      </c>
      <c r="H546" s="14" t="s">
        <v>238</v>
      </c>
      <c r="I546" s="14"/>
      <c r="J546" s="14" t="s">
        <v>135</v>
      </c>
      <c r="K546" s="14"/>
      <c r="L546" s="14" t="s">
        <v>160</v>
      </c>
      <c r="M546" s="14" t="s">
        <v>3998</v>
      </c>
      <c r="N546" s="14"/>
      <c r="O546" s="14" t="s">
        <v>3999</v>
      </c>
      <c r="P546" s="14" t="str">
        <f>HYPERLINK("https://ceds.ed.gov/cedselementdetails.aspx?termid=17794")</f>
        <v>https://ceds.ed.gov/cedselementdetails.aspx?termid=17794</v>
      </c>
      <c r="Q546" s="14" t="str">
        <f>HYPERLINK("https://ceds.ed.gov/elementComment.aspx?elementName=Employment End Date &amp;elementID=17794", "Click here to submit comment")</f>
        <v>Click here to submit comment</v>
      </c>
      <c r="R546" s="14">
        <v>49240</v>
      </c>
    </row>
    <row r="547" spans="1:18" ht="405" x14ac:dyDescent="0.25">
      <c r="A547" s="14" t="s">
        <v>8529</v>
      </c>
      <c r="B547" s="14" t="s">
        <v>8686</v>
      </c>
      <c r="C547" s="14" t="s">
        <v>8693</v>
      </c>
      <c r="D547" s="14" t="s">
        <v>8531</v>
      </c>
      <c r="E547" s="14" t="s">
        <v>3762</v>
      </c>
      <c r="F547" s="14" t="s">
        <v>3763</v>
      </c>
      <c r="G547" s="8" t="s">
        <v>8695</v>
      </c>
      <c r="H547" s="14"/>
      <c r="I547" s="14"/>
      <c r="J547" s="14"/>
      <c r="K547" s="14"/>
      <c r="L547" s="14"/>
      <c r="M547" s="14" t="s">
        <v>3765</v>
      </c>
      <c r="N547" s="14"/>
      <c r="O547" s="14" t="s">
        <v>3766</v>
      </c>
      <c r="P547" s="14" t="str">
        <f>HYPERLINK("https://ceds.ed.gov/cedselementdetails.aspx?termid=18613")</f>
        <v>https://ceds.ed.gov/cedselementdetails.aspx?termid=18613</v>
      </c>
      <c r="Q547" s="14" t="str">
        <f>HYPERLINK("https://ceds.ed.gov/elementComment.aspx?elementName=Early Learning Employment Separation Reason &amp;elementID=18613", "Click here to submit comment")</f>
        <v>Click here to submit comment</v>
      </c>
      <c r="R547" s="14">
        <v>51121</v>
      </c>
    </row>
    <row r="548" spans="1:18" ht="405" x14ac:dyDescent="0.25">
      <c r="A548" s="14" t="s">
        <v>8529</v>
      </c>
      <c r="B548" s="14" t="s">
        <v>8686</v>
      </c>
      <c r="C548" s="14" t="s">
        <v>8693</v>
      </c>
      <c r="D548" s="14" t="s">
        <v>8531</v>
      </c>
      <c r="E548" s="14" t="s">
        <v>4027</v>
      </c>
      <c r="F548" s="14" t="s">
        <v>3763</v>
      </c>
      <c r="G548" s="8" t="s">
        <v>8695</v>
      </c>
      <c r="H548" s="14"/>
      <c r="I548" s="14" t="s">
        <v>195</v>
      </c>
      <c r="J548" s="14"/>
      <c r="K548" s="14" t="s">
        <v>2856</v>
      </c>
      <c r="L548" s="14"/>
      <c r="M548" s="14" t="s">
        <v>4029</v>
      </c>
      <c r="N548" s="14"/>
      <c r="O548" s="14" t="s">
        <v>4030</v>
      </c>
      <c r="P548" s="14" t="str">
        <f>HYPERLINK("https://ceds.ed.gov/cedselementdetails.aspx?termid=17613")</f>
        <v>https://ceds.ed.gov/cedselementdetails.aspx?termid=17613</v>
      </c>
      <c r="Q548" s="14" t="str">
        <f>HYPERLINK("https://ceds.ed.gov/elementComment.aspx?elementName=Employment Separation Reason &amp;elementID=17613", "Click here to submit comment")</f>
        <v>Click here to submit comment</v>
      </c>
      <c r="R548" s="14">
        <v>51134</v>
      </c>
    </row>
    <row r="549" spans="1:18" ht="75" x14ac:dyDescent="0.25">
      <c r="A549" s="14" t="s">
        <v>8529</v>
      </c>
      <c r="B549" s="14" t="s">
        <v>8686</v>
      </c>
      <c r="C549" s="14" t="s">
        <v>8693</v>
      </c>
      <c r="D549" s="14" t="s">
        <v>8531</v>
      </c>
      <c r="E549" s="14" t="s">
        <v>4031</v>
      </c>
      <c r="F549" s="14" t="s">
        <v>4032</v>
      </c>
      <c r="G549" s="8" t="s">
        <v>8696</v>
      </c>
      <c r="H549" s="14"/>
      <c r="I549" s="14"/>
      <c r="J549" s="14"/>
      <c r="K549" s="14"/>
      <c r="L549" s="14"/>
      <c r="M549" s="14" t="s">
        <v>4035</v>
      </c>
      <c r="N549" s="14"/>
      <c r="O549" s="14" t="s">
        <v>4036</v>
      </c>
      <c r="P549" s="14" t="str">
        <f>HYPERLINK("https://ceds.ed.gov/cedselementdetails.aspx?termid=17614")</f>
        <v>https://ceds.ed.gov/cedselementdetails.aspx?termid=17614</v>
      </c>
      <c r="Q549" s="14" t="str">
        <f>HYPERLINK("https://ceds.ed.gov/elementComment.aspx?elementName=Employment Separation Type &amp;elementID=17614", "Click here to submit comment")</f>
        <v>Click here to submit comment</v>
      </c>
      <c r="R549" s="14">
        <v>51120</v>
      </c>
    </row>
    <row r="550" spans="1:18" ht="45" x14ac:dyDescent="0.25">
      <c r="A550" s="14" t="s">
        <v>8529</v>
      </c>
      <c r="B550" s="14" t="s">
        <v>8686</v>
      </c>
      <c r="C550" s="14" t="s">
        <v>8693</v>
      </c>
      <c r="D550" s="14" t="s">
        <v>8531</v>
      </c>
      <c r="E550" s="14" t="s">
        <v>8472</v>
      </c>
      <c r="F550" s="14" t="s">
        <v>8473</v>
      </c>
      <c r="G550" s="14" t="s">
        <v>37</v>
      </c>
      <c r="H550" s="14"/>
      <c r="I550" s="14"/>
      <c r="J550" s="14" t="s">
        <v>1922</v>
      </c>
      <c r="K550" s="14"/>
      <c r="L550" s="14"/>
      <c r="M550" s="14" t="s">
        <v>8474</v>
      </c>
      <c r="N550" s="14"/>
      <c r="O550" s="14" t="s">
        <v>8475</v>
      </c>
      <c r="P550" s="14" t="str">
        <f>HYPERLINK("https://ceds.ed.gov/cedselementdetails.aspx?termid=18470")</f>
        <v>https://ceds.ed.gov/cedselementdetails.aspx?termid=18470</v>
      </c>
      <c r="Q550" s="14" t="str">
        <f>HYPERLINK("https://ceds.ed.gov/elementComment.aspx?elementName=Weeks Employed Per Year &amp;elementID=18470", "Click here to submit comment")</f>
        <v>Click here to submit comment</v>
      </c>
      <c r="R550" s="14">
        <v>50452</v>
      </c>
    </row>
    <row r="551" spans="1:18" ht="45" x14ac:dyDescent="0.25">
      <c r="A551" s="14" t="s">
        <v>8529</v>
      </c>
      <c r="B551" s="14" t="s">
        <v>8686</v>
      </c>
      <c r="C551" s="14" t="s">
        <v>8693</v>
      </c>
      <c r="D551" s="14" t="s">
        <v>8531</v>
      </c>
      <c r="E551" s="14" t="s">
        <v>5047</v>
      </c>
      <c r="F551" s="14" t="s">
        <v>5048</v>
      </c>
      <c r="G551" s="14" t="s">
        <v>37</v>
      </c>
      <c r="H551" s="14" t="s">
        <v>238</v>
      </c>
      <c r="I551" s="14"/>
      <c r="J551" s="14" t="s">
        <v>1710</v>
      </c>
      <c r="K551" s="14"/>
      <c r="L551" s="14"/>
      <c r="M551" s="14" t="s">
        <v>5049</v>
      </c>
      <c r="N551" s="14"/>
      <c r="O551" s="14" t="s">
        <v>5050</v>
      </c>
      <c r="P551" s="14" t="str">
        <f>HYPERLINK("https://ceds.ed.gov/cedselementdetails.aspx?termid=17795")</f>
        <v>https://ceds.ed.gov/cedselementdetails.aspx?termid=17795</v>
      </c>
      <c r="Q551" s="14" t="str">
        <f>HYPERLINK("https://ceds.ed.gov/elementComment.aspx?elementName=Hours Worked Per Week &amp;elementID=17795", "Click here to submit comment")</f>
        <v>Click here to submit comment</v>
      </c>
      <c r="R551" s="14">
        <v>49241</v>
      </c>
    </row>
    <row r="552" spans="1:18" ht="45" x14ac:dyDescent="0.25">
      <c r="A552" s="14" t="s">
        <v>8529</v>
      </c>
      <c r="B552" s="14" t="s">
        <v>8686</v>
      </c>
      <c r="C552" s="14" t="s">
        <v>8693</v>
      </c>
      <c r="D552" s="14" t="s">
        <v>8531</v>
      </c>
      <c r="E552" s="14" t="s">
        <v>5039</v>
      </c>
      <c r="F552" s="14" t="s">
        <v>5040</v>
      </c>
      <c r="G552" s="14" t="s">
        <v>37</v>
      </c>
      <c r="H552" s="14" t="s">
        <v>238</v>
      </c>
      <c r="I552" s="14"/>
      <c r="J552" s="14" t="s">
        <v>1710</v>
      </c>
      <c r="K552" s="14"/>
      <c r="L552" s="14"/>
      <c r="M552" s="14" t="s">
        <v>5041</v>
      </c>
      <c r="N552" s="14"/>
      <c r="O552" s="14" t="s">
        <v>5042</v>
      </c>
      <c r="P552" s="14" t="str">
        <f>HYPERLINK("https://ceds.ed.gov/cedselementdetails.aspx?termid=17796")</f>
        <v>https://ceds.ed.gov/cedselementdetails.aspx?termid=17796</v>
      </c>
      <c r="Q552" s="14" t="str">
        <f>HYPERLINK("https://ceds.ed.gov/elementComment.aspx?elementName=Hourly Wage &amp;elementID=17796", "Click here to submit comment")</f>
        <v>Click here to submit comment</v>
      </c>
      <c r="R552" s="14">
        <v>49242</v>
      </c>
    </row>
    <row r="553" spans="1:18" ht="135" x14ac:dyDescent="0.25">
      <c r="A553" s="14" t="s">
        <v>8529</v>
      </c>
      <c r="B553" s="14" t="s">
        <v>8686</v>
      </c>
      <c r="C553" s="14" t="s">
        <v>8693</v>
      </c>
      <c r="D553" s="14" t="s">
        <v>8531</v>
      </c>
      <c r="E553" s="14" t="s">
        <v>8447</v>
      </c>
      <c r="F553" s="14" t="s">
        <v>8448</v>
      </c>
      <c r="G553" s="8" t="s">
        <v>8697</v>
      </c>
      <c r="H553" s="14" t="s">
        <v>238</v>
      </c>
      <c r="I553" s="14"/>
      <c r="J553" s="14"/>
      <c r="K553" s="14"/>
      <c r="L553" s="14"/>
      <c r="M553" s="14" t="s">
        <v>8450</v>
      </c>
      <c r="N553" s="14"/>
      <c r="O553" s="14" t="s">
        <v>8451</v>
      </c>
      <c r="P553" s="14" t="str">
        <f>HYPERLINK("https://ceds.ed.gov/cedselementdetails.aspx?termid=17797")</f>
        <v>https://ceds.ed.gov/cedselementdetails.aspx?termid=17797</v>
      </c>
      <c r="Q553" s="14" t="str">
        <f>HYPERLINK("https://ceds.ed.gov/elementComment.aspx?elementName=Wage Collection Code &amp;elementID=17797", "Click here to submit comment")</f>
        <v>Click here to submit comment</v>
      </c>
      <c r="R553" s="14">
        <v>49266</v>
      </c>
    </row>
    <row r="554" spans="1:18" ht="60" x14ac:dyDescent="0.25">
      <c r="A554" s="14" t="s">
        <v>8529</v>
      </c>
      <c r="B554" s="14" t="s">
        <v>8686</v>
      </c>
      <c r="C554" s="14" t="s">
        <v>8693</v>
      </c>
      <c r="D554" s="14" t="s">
        <v>8531</v>
      </c>
      <c r="E554" s="14" t="s">
        <v>8452</v>
      </c>
      <c r="F554" s="14" t="s">
        <v>8453</v>
      </c>
      <c r="G554" s="8" t="s">
        <v>8698</v>
      </c>
      <c r="H554" s="14" t="s">
        <v>238</v>
      </c>
      <c r="I554" s="14"/>
      <c r="J554" s="14"/>
      <c r="K554" s="14"/>
      <c r="L554" s="14"/>
      <c r="M554" s="14" t="s">
        <v>8455</v>
      </c>
      <c r="N554" s="14"/>
      <c r="O554" s="14" t="s">
        <v>8456</v>
      </c>
      <c r="P554" s="14" t="str">
        <f>HYPERLINK("https://ceds.ed.gov/cedselementdetails.aspx?termid=17818")</f>
        <v>https://ceds.ed.gov/cedselementdetails.aspx?termid=17818</v>
      </c>
      <c r="Q554" s="14" t="str">
        <f>HYPERLINK("https://ceds.ed.gov/elementComment.aspx?elementName=Wage Verification Code &amp;elementID=17818", "Click here to submit comment")</f>
        <v>Click here to submit comment</v>
      </c>
      <c r="R554" s="14">
        <v>49267</v>
      </c>
    </row>
    <row r="555" spans="1:18" ht="225" x14ac:dyDescent="0.25">
      <c r="A555" s="14" t="s">
        <v>8529</v>
      </c>
      <c r="B555" s="14" t="s">
        <v>8686</v>
      </c>
      <c r="C555" s="14" t="s">
        <v>8693</v>
      </c>
      <c r="D555" s="14" t="s">
        <v>8531</v>
      </c>
      <c r="E555" s="14" t="s">
        <v>7864</v>
      </c>
      <c r="F555" s="14" t="s">
        <v>7865</v>
      </c>
      <c r="G555" s="14" t="s">
        <v>37</v>
      </c>
      <c r="H555" s="14" t="s">
        <v>2807</v>
      </c>
      <c r="I555" s="14"/>
      <c r="J555" s="14" t="s">
        <v>1710</v>
      </c>
      <c r="K555" s="14"/>
      <c r="L555" s="14" t="s">
        <v>7866</v>
      </c>
      <c r="M555" s="14" t="s">
        <v>7867</v>
      </c>
      <c r="N555" s="14"/>
      <c r="O555" s="14" t="s">
        <v>7868</v>
      </c>
      <c r="P555" s="14" t="str">
        <f>HYPERLINK("https://ceds.ed.gov/cedselementdetails.aspx?termid=17032")</f>
        <v>https://ceds.ed.gov/cedselementdetails.aspx?termid=17032</v>
      </c>
      <c r="Q555" s="14" t="str">
        <f>HYPERLINK("https://ceds.ed.gov/elementComment.aspx?elementName=Staff Compensation Base Salary &amp;elementID=17032", "Click here to submit comment")</f>
        <v>Click here to submit comment</v>
      </c>
      <c r="R555" s="14">
        <v>50428</v>
      </c>
    </row>
    <row r="556" spans="1:18" ht="60" x14ac:dyDescent="0.25">
      <c r="A556" s="14" t="s">
        <v>8529</v>
      </c>
      <c r="B556" s="14" t="s">
        <v>8686</v>
      </c>
      <c r="C556" s="14" t="s">
        <v>8693</v>
      </c>
      <c r="D556" s="14" t="s">
        <v>8531</v>
      </c>
      <c r="E556" s="14" t="s">
        <v>7885</v>
      </c>
      <c r="F556" s="14" t="s">
        <v>7886</v>
      </c>
      <c r="G556" s="14" t="s">
        <v>37</v>
      </c>
      <c r="H556" s="14" t="s">
        <v>2807</v>
      </c>
      <c r="I556" s="14"/>
      <c r="J556" s="14" t="s">
        <v>1710</v>
      </c>
      <c r="K556" s="14"/>
      <c r="L556" s="14"/>
      <c r="M556" s="14" t="s">
        <v>7887</v>
      </c>
      <c r="N556" s="14"/>
      <c r="O556" s="14" t="s">
        <v>7888</v>
      </c>
      <c r="P556" s="14" t="str">
        <f>HYPERLINK("https://ceds.ed.gov/cedselementdetails.aspx?termid=17295")</f>
        <v>https://ceds.ed.gov/cedselementdetails.aspx?termid=17295</v>
      </c>
      <c r="Q556" s="14" t="str">
        <f>HYPERLINK("https://ceds.ed.gov/elementComment.aspx?elementName=Staff Compensation Total Salary &amp;elementID=17295", "Click here to submit comment")</f>
        <v>Click here to submit comment</v>
      </c>
      <c r="R556" s="14">
        <v>50998</v>
      </c>
    </row>
    <row r="557" spans="1:18" ht="135" x14ac:dyDescent="0.25">
      <c r="A557" s="14" t="s">
        <v>8529</v>
      </c>
      <c r="B557" s="14" t="s">
        <v>8686</v>
      </c>
      <c r="C557" s="14" t="s">
        <v>8693</v>
      </c>
      <c r="D557" s="14" t="s">
        <v>8531</v>
      </c>
      <c r="E557" s="14" t="s">
        <v>7869</v>
      </c>
      <c r="F557" s="14" t="s">
        <v>7870</v>
      </c>
      <c r="G557" s="14" t="s">
        <v>37</v>
      </c>
      <c r="H557" s="14" t="s">
        <v>2807</v>
      </c>
      <c r="I557" s="14"/>
      <c r="J557" s="14" t="s">
        <v>1710</v>
      </c>
      <c r="K557" s="14"/>
      <c r="L557" s="14"/>
      <c r="M557" s="14" t="s">
        <v>7871</v>
      </c>
      <c r="N557" s="14"/>
      <c r="O557" s="14" t="s">
        <v>7872</v>
      </c>
      <c r="P557" s="14" t="str">
        <f>HYPERLINK("https://ceds.ed.gov/cedselementdetails.aspx?termid=17136")</f>
        <v>https://ceds.ed.gov/cedselementdetails.aspx?termid=17136</v>
      </c>
      <c r="Q557" s="14" t="str">
        <f>HYPERLINK("https://ceds.ed.gov/elementComment.aspx?elementName=Staff Compensation Health Benefits &amp;elementID=17136", "Click here to submit comment")</f>
        <v>Click here to submit comment</v>
      </c>
      <c r="R557" s="14">
        <v>50973</v>
      </c>
    </row>
    <row r="558" spans="1:18" ht="135" x14ac:dyDescent="0.25">
      <c r="A558" s="14" t="s">
        <v>8529</v>
      </c>
      <c r="B558" s="14" t="s">
        <v>8686</v>
      </c>
      <c r="C558" s="14" t="s">
        <v>8693</v>
      </c>
      <c r="D558" s="14" t="s">
        <v>8531</v>
      </c>
      <c r="E558" s="14" t="s">
        <v>7877</v>
      </c>
      <c r="F558" s="14" t="s">
        <v>7878</v>
      </c>
      <c r="G558" s="14" t="s">
        <v>37</v>
      </c>
      <c r="H558" s="14" t="s">
        <v>2807</v>
      </c>
      <c r="I558" s="14"/>
      <c r="J558" s="14" t="s">
        <v>1710</v>
      </c>
      <c r="K558" s="14"/>
      <c r="L558" s="14"/>
      <c r="M558" s="14" t="s">
        <v>7879</v>
      </c>
      <c r="N558" s="14"/>
      <c r="O558" s="14" t="s">
        <v>7880</v>
      </c>
      <c r="P558" s="14" t="str">
        <f>HYPERLINK("https://ceds.ed.gov/cedselementdetails.aspx?termid=17233")</f>
        <v>https://ceds.ed.gov/cedselementdetails.aspx?termid=17233</v>
      </c>
      <c r="Q558" s="14" t="str">
        <f>HYPERLINK("https://ceds.ed.gov/elementComment.aspx?elementName=Staff Compensation Retirement Benefits &amp;elementID=17233", "Click here to submit comment")</f>
        <v>Click here to submit comment</v>
      </c>
      <c r="R558" s="14">
        <v>50991</v>
      </c>
    </row>
    <row r="559" spans="1:18" ht="150" x14ac:dyDescent="0.25">
      <c r="A559" s="14" t="s">
        <v>8529</v>
      </c>
      <c r="B559" s="14" t="s">
        <v>8686</v>
      </c>
      <c r="C559" s="14" t="s">
        <v>8693</v>
      </c>
      <c r="D559" s="14" t="s">
        <v>8531</v>
      </c>
      <c r="E559" s="14" t="s">
        <v>7873</v>
      </c>
      <c r="F559" s="14" t="s">
        <v>7874</v>
      </c>
      <c r="G559" s="14" t="s">
        <v>37</v>
      </c>
      <c r="H559" s="14" t="s">
        <v>2807</v>
      </c>
      <c r="I559" s="14"/>
      <c r="J559" s="14" t="s">
        <v>1710</v>
      </c>
      <c r="K559" s="14"/>
      <c r="L559" s="14"/>
      <c r="M559" s="14" t="s">
        <v>7875</v>
      </c>
      <c r="N559" s="14"/>
      <c r="O559" s="14" t="s">
        <v>7876</v>
      </c>
      <c r="P559" s="14" t="str">
        <f>HYPERLINK("https://ceds.ed.gov/cedselementdetails.aspx?termid=17205")</f>
        <v>https://ceds.ed.gov/cedselementdetails.aspx?termid=17205</v>
      </c>
      <c r="Q559" s="14" t="str">
        <f>HYPERLINK("https://ceds.ed.gov/elementComment.aspx?elementName=Staff Compensation Other Benefits &amp;elementID=17205", "Click here to submit comment")</f>
        <v>Click here to submit comment</v>
      </c>
      <c r="R559" s="14">
        <v>50985</v>
      </c>
    </row>
    <row r="560" spans="1:18" ht="165" x14ac:dyDescent="0.25">
      <c r="A560" s="14" t="s">
        <v>8529</v>
      </c>
      <c r="B560" s="14" t="s">
        <v>8686</v>
      </c>
      <c r="C560" s="14" t="s">
        <v>8693</v>
      </c>
      <c r="D560" s="14" t="s">
        <v>8531</v>
      </c>
      <c r="E560" s="14" t="s">
        <v>7881</v>
      </c>
      <c r="F560" s="14" t="s">
        <v>7882</v>
      </c>
      <c r="G560" s="14" t="s">
        <v>37</v>
      </c>
      <c r="H560" s="14" t="s">
        <v>2807</v>
      </c>
      <c r="I560" s="14"/>
      <c r="J560" s="14" t="s">
        <v>1710</v>
      </c>
      <c r="K560" s="14"/>
      <c r="L560" s="14"/>
      <c r="M560" s="14" t="s">
        <v>7883</v>
      </c>
      <c r="N560" s="14"/>
      <c r="O560" s="14" t="s">
        <v>7884</v>
      </c>
      <c r="P560" s="14" t="str">
        <f>HYPERLINK("https://ceds.ed.gov/cedselementdetails.aspx?termid=17293")</f>
        <v>https://ceds.ed.gov/cedselementdetails.aspx?termid=17293</v>
      </c>
      <c r="Q560" s="14" t="str">
        <f>HYPERLINK("https://ceds.ed.gov/elementComment.aspx?elementName=Staff Compensation Total Benefits &amp;elementID=17293", "Click here to submit comment")</f>
        <v>Click here to submit comment</v>
      </c>
      <c r="R560" s="14">
        <v>50997</v>
      </c>
    </row>
    <row r="561" spans="1:18" ht="45" x14ac:dyDescent="0.25">
      <c r="A561" s="14" t="s">
        <v>8529</v>
      </c>
      <c r="B561" s="14" t="s">
        <v>8686</v>
      </c>
      <c r="C561" s="14" t="s">
        <v>8693</v>
      </c>
      <c r="D561" s="14" t="s">
        <v>8531</v>
      </c>
      <c r="E561" s="14" t="s">
        <v>6545</v>
      </c>
      <c r="F561" s="14" t="s">
        <v>6546</v>
      </c>
      <c r="G561" s="14" t="s">
        <v>37</v>
      </c>
      <c r="H561" s="14" t="s">
        <v>238</v>
      </c>
      <c r="I561" s="14"/>
      <c r="J561" s="14" t="s">
        <v>175</v>
      </c>
      <c r="K561" s="14"/>
      <c r="L561" s="14"/>
      <c r="M561" s="14" t="s">
        <v>6548</v>
      </c>
      <c r="N561" s="14"/>
      <c r="O561" s="14" t="s">
        <v>6549</v>
      </c>
      <c r="P561" s="14" t="str">
        <f>HYPERLINK("https://ceds.ed.gov/cedselementdetails.aspx?termid=17204")</f>
        <v>https://ceds.ed.gov/cedselementdetails.aspx?termid=17204</v>
      </c>
      <c r="Q561" s="14" t="str">
        <f>HYPERLINK("https://ceds.ed.gov/elementComment.aspx?elementName=Organization Name &amp;elementID=17204", "Click here to submit comment")</f>
        <v>Click here to submit comment</v>
      </c>
      <c r="R561" s="14">
        <v>49243</v>
      </c>
    </row>
    <row r="562" spans="1:18" ht="45" x14ac:dyDescent="0.25">
      <c r="A562" s="14" t="s">
        <v>8529</v>
      </c>
      <c r="B562" s="14" t="s">
        <v>8686</v>
      </c>
      <c r="C562" s="14" t="s">
        <v>8693</v>
      </c>
      <c r="D562" s="14" t="s">
        <v>8531</v>
      </c>
      <c r="E562" s="14" t="s">
        <v>8412</v>
      </c>
      <c r="F562" s="14" t="s">
        <v>8413</v>
      </c>
      <c r="G562" s="14" t="s">
        <v>24</v>
      </c>
      <c r="H562" s="14" t="s">
        <v>238</v>
      </c>
      <c r="I562" s="14"/>
      <c r="J562" s="14"/>
      <c r="K562" s="14"/>
      <c r="L562" s="14"/>
      <c r="M562" s="14" t="s">
        <v>8414</v>
      </c>
      <c r="N562" s="14"/>
      <c r="O562" s="14" t="s">
        <v>8415</v>
      </c>
      <c r="P562" s="14" t="str">
        <f>HYPERLINK("https://ceds.ed.gov/cedselementdetails.aspx?termid=17798")</f>
        <v>https://ceds.ed.gov/cedselementdetails.aspx?termid=17798</v>
      </c>
      <c r="Q562" s="14" t="str">
        <f>HYPERLINK("https://ceds.ed.gov/elementComment.aspx?elementName=Union Membership Status &amp;elementID=17798", "Click here to submit comment")</f>
        <v>Click here to submit comment</v>
      </c>
      <c r="R562" s="14">
        <v>49244</v>
      </c>
    </row>
    <row r="563" spans="1:18" ht="45" x14ac:dyDescent="0.25">
      <c r="A563" s="14" t="s">
        <v>8529</v>
      </c>
      <c r="B563" s="14" t="s">
        <v>8686</v>
      </c>
      <c r="C563" s="14" t="s">
        <v>8693</v>
      </c>
      <c r="D563" s="14" t="s">
        <v>8531</v>
      </c>
      <c r="E563" s="14" t="s">
        <v>8408</v>
      </c>
      <c r="F563" s="14" t="s">
        <v>8409</v>
      </c>
      <c r="G563" s="14" t="s">
        <v>37</v>
      </c>
      <c r="H563" s="14"/>
      <c r="I563" s="14"/>
      <c r="J563" s="14" t="s">
        <v>382</v>
      </c>
      <c r="K563" s="14"/>
      <c r="L563" s="14"/>
      <c r="M563" s="14" t="s">
        <v>8410</v>
      </c>
      <c r="N563" s="14"/>
      <c r="O563" s="14" t="s">
        <v>8411</v>
      </c>
      <c r="P563" s="14" t="str">
        <f>HYPERLINK("https://ceds.ed.gov/cedselementdetails.aspx?termid=18469")</f>
        <v>https://ceds.ed.gov/cedselementdetails.aspx?termid=18469</v>
      </c>
      <c r="Q563" s="14" t="str">
        <f>HYPERLINK("https://ceds.ed.gov/elementComment.aspx?elementName=Union Membership Name &amp;elementID=18469", "Click here to submit comment")</f>
        <v>Click here to submit comment</v>
      </c>
      <c r="R563" s="14">
        <v>50450</v>
      </c>
    </row>
    <row r="564" spans="1:18" ht="409.5" x14ac:dyDescent="0.25">
      <c r="A564" s="14" t="s">
        <v>8529</v>
      </c>
      <c r="B564" s="14" t="s">
        <v>8686</v>
      </c>
      <c r="C564" s="14" t="s">
        <v>8693</v>
      </c>
      <c r="D564" s="14" t="s">
        <v>8531</v>
      </c>
      <c r="E564" s="14" t="s">
        <v>3756</v>
      </c>
      <c r="F564" s="14" t="s">
        <v>3757</v>
      </c>
      <c r="G564" s="8" t="s">
        <v>8699</v>
      </c>
      <c r="H564" s="14"/>
      <c r="I564" s="14"/>
      <c r="J564" s="14"/>
      <c r="K564" s="14"/>
      <c r="L564" s="14"/>
      <c r="M564" s="14" t="s">
        <v>3760</v>
      </c>
      <c r="N564" s="14"/>
      <c r="O564" s="14" t="s">
        <v>3761</v>
      </c>
      <c r="P564" s="14" t="str">
        <f>HYPERLINK("https://ceds.ed.gov/cedselementdetails.aspx?termid=18581")</f>
        <v>https://ceds.ed.gov/cedselementdetails.aspx?termid=18581</v>
      </c>
      <c r="Q564" s="14" t="str">
        <f>HYPERLINK("https://ceds.ed.gov/elementComment.aspx?elementName=Early Learning Education Staff Classification &amp;elementID=18581", "Click here to submit comment")</f>
        <v>Click here to submit comment</v>
      </c>
      <c r="R564" s="14">
        <v>51071</v>
      </c>
    </row>
    <row r="565" spans="1:18" ht="409.5" x14ac:dyDescent="0.25">
      <c r="A565" s="14" t="s">
        <v>8529</v>
      </c>
      <c r="B565" s="14" t="s">
        <v>8686</v>
      </c>
      <c r="C565" s="14" t="s">
        <v>8693</v>
      </c>
      <c r="D565" s="14" t="s">
        <v>8531</v>
      </c>
      <c r="E565" s="14" t="s">
        <v>3879</v>
      </c>
      <c r="F565" s="14" t="s">
        <v>3880</v>
      </c>
      <c r="G565" s="8" t="s">
        <v>8700</v>
      </c>
      <c r="H565" s="14"/>
      <c r="I565" s="14"/>
      <c r="J565" s="14"/>
      <c r="K565" s="14"/>
      <c r="L565" s="14"/>
      <c r="M565" s="14" t="s">
        <v>3882</v>
      </c>
      <c r="N565" s="14"/>
      <c r="O565" s="14" t="s">
        <v>3883</v>
      </c>
      <c r="P565" s="14" t="str">
        <f>HYPERLINK("https://ceds.ed.gov/cedselementdetails.aspx?termid=18617")</f>
        <v>https://ceds.ed.gov/cedselementdetails.aspx?termid=18617</v>
      </c>
      <c r="Q565" s="14" t="str">
        <f>HYPERLINK("https://ceds.ed.gov/elementComment.aspx?elementName=Early Learning Service Professional Staff Classification &amp;elementID=18617", "Click here to submit comment")</f>
        <v>Click here to submit comment</v>
      </c>
      <c r="R565" s="14">
        <v>51142</v>
      </c>
    </row>
    <row r="566" spans="1:18" ht="45" x14ac:dyDescent="0.25">
      <c r="A566" s="14" t="s">
        <v>8529</v>
      </c>
      <c r="B566" s="14" t="s">
        <v>8686</v>
      </c>
      <c r="C566" s="14" t="s">
        <v>8693</v>
      </c>
      <c r="D566" s="14" t="s">
        <v>8531</v>
      </c>
      <c r="E566" s="14" t="s">
        <v>5680</v>
      </c>
      <c r="F566" s="14" t="s">
        <v>5681</v>
      </c>
      <c r="G566" s="14" t="s">
        <v>24</v>
      </c>
      <c r="H566" s="14"/>
      <c r="I566" s="14"/>
      <c r="J566" s="14"/>
      <c r="K566" s="14"/>
      <c r="L566" s="14"/>
      <c r="M566" s="14" t="s">
        <v>5682</v>
      </c>
      <c r="N566" s="14"/>
      <c r="O566" s="14" t="s">
        <v>5683</v>
      </c>
      <c r="P566" s="14" t="str">
        <f>HYPERLINK("https://ceds.ed.gov/cedselementdetails.aspx?termid=18353")</f>
        <v>https://ceds.ed.gov/cedselementdetails.aspx?termid=18353</v>
      </c>
      <c r="Q566" s="14" t="str">
        <f>HYPERLINK("https://ceds.ed.gov/elementComment.aspx?elementName=Itinerant Provider &amp;elementID=18353", "Click here to submit comment")</f>
        <v>Click here to submit comment</v>
      </c>
      <c r="R566" s="14">
        <v>50231</v>
      </c>
    </row>
    <row r="567" spans="1:18" ht="45" x14ac:dyDescent="0.25">
      <c r="A567" s="14" t="s">
        <v>8529</v>
      </c>
      <c r="B567" s="14" t="s">
        <v>8686</v>
      </c>
      <c r="C567" s="14" t="s">
        <v>8693</v>
      </c>
      <c r="D567" s="14" t="s">
        <v>8531</v>
      </c>
      <c r="E567" s="14" t="s">
        <v>7860</v>
      </c>
      <c r="F567" s="14" t="s">
        <v>7861</v>
      </c>
      <c r="G567" s="14" t="s">
        <v>24</v>
      </c>
      <c r="H567" s="14"/>
      <c r="I567" s="14"/>
      <c r="J567" s="14"/>
      <c r="K567" s="14"/>
      <c r="L567" s="14"/>
      <c r="M567" s="14" t="s">
        <v>7862</v>
      </c>
      <c r="N567" s="14"/>
      <c r="O567" s="14" t="s">
        <v>7863</v>
      </c>
      <c r="P567" s="14" t="str">
        <f>HYPERLINK("https://ceds.ed.gov/cedselementdetails.aspx?termid=18560")</f>
        <v>https://ceds.ed.gov/cedselementdetails.aspx?termid=18560</v>
      </c>
      <c r="Q567" s="14" t="str">
        <f>HYPERLINK("https://ceds.ed.gov/elementComment.aspx?elementName=Staff Approval Indicator &amp;elementID=18560", "Click here to submit comment")</f>
        <v>Click here to submit comment</v>
      </c>
      <c r="R567" s="14">
        <v>51036</v>
      </c>
    </row>
    <row r="568" spans="1:18" ht="60" x14ac:dyDescent="0.25">
      <c r="A568" s="14" t="s">
        <v>8529</v>
      </c>
      <c r="B568" s="14" t="s">
        <v>8686</v>
      </c>
      <c r="C568" s="14" t="s">
        <v>8693</v>
      </c>
      <c r="D568" s="14" t="s">
        <v>8531</v>
      </c>
      <c r="E568" s="14" t="s">
        <v>7913</v>
      </c>
      <c r="F568" s="14" t="s">
        <v>7914</v>
      </c>
      <c r="G568" s="14" t="s">
        <v>37</v>
      </c>
      <c r="H568" s="14" t="s">
        <v>7919</v>
      </c>
      <c r="I568" s="14"/>
      <c r="J568" s="14" t="s">
        <v>4773</v>
      </c>
      <c r="K568" s="14"/>
      <c r="L568" s="14"/>
      <c r="M568" s="14" t="s">
        <v>7916</v>
      </c>
      <c r="N568" s="14" t="s">
        <v>7917</v>
      </c>
      <c r="O568" s="14" t="s">
        <v>7918</v>
      </c>
      <c r="P568" s="14" t="str">
        <f>HYPERLINK("https://ceds.ed.gov/cedselementdetails.aspx?termid=17118")</f>
        <v>https://ceds.ed.gov/cedselementdetails.aspx?termid=17118</v>
      </c>
      <c r="Q568" s="14" t="str">
        <f>HYPERLINK("https://ceds.ed.gov/elementComment.aspx?elementName=Staff Full Time Equivalency &amp;elementID=17118", "Click here to submit comment")</f>
        <v>Click here to submit comment</v>
      </c>
      <c r="R568" s="14">
        <v>50429</v>
      </c>
    </row>
    <row r="569" spans="1:18" ht="120" x14ac:dyDescent="0.25">
      <c r="A569" s="14" t="s">
        <v>8529</v>
      </c>
      <c r="B569" s="14" t="s">
        <v>8686</v>
      </c>
      <c r="C569" s="14" t="s">
        <v>8693</v>
      </c>
      <c r="D569" s="14" t="s">
        <v>8541</v>
      </c>
      <c r="E569" s="14" t="s">
        <v>7940</v>
      </c>
      <c r="F569" s="14" t="s">
        <v>7941</v>
      </c>
      <c r="G569" s="14" t="s">
        <v>37</v>
      </c>
      <c r="H569" s="14" t="s">
        <v>80</v>
      </c>
      <c r="I569" s="14" t="s">
        <v>195</v>
      </c>
      <c r="J569" s="14" t="s">
        <v>7943</v>
      </c>
      <c r="K569" s="14" t="s">
        <v>2856</v>
      </c>
      <c r="L569" s="14"/>
      <c r="M569" s="14" t="s">
        <v>7944</v>
      </c>
      <c r="N569" s="14"/>
      <c r="O569" s="14" t="s">
        <v>7945</v>
      </c>
      <c r="P569" s="14" t="str">
        <f>HYPERLINK("https://ceds.ed.gov/cedselementdetails.aspx?termid=17707")</f>
        <v>https://ceds.ed.gov/cedselementdetails.aspx?termid=17707</v>
      </c>
      <c r="Q569" s="14" t="str">
        <f>HYPERLINK("https://ceds.ed.gov/elementComment.aspx?elementName=Standard Occupational Classification &amp;elementID=17707", "Click here to submit comment")</f>
        <v>Click here to submit comment</v>
      </c>
      <c r="R569" s="14">
        <v>52288</v>
      </c>
    </row>
    <row r="570" spans="1:18" ht="135" x14ac:dyDescent="0.25">
      <c r="A570" s="14" t="s">
        <v>8529</v>
      </c>
      <c r="B570" s="14" t="s">
        <v>8686</v>
      </c>
      <c r="C570" s="14" t="s">
        <v>8632</v>
      </c>
      <c r="D570" s="14" t="s">
        <v>8531</v>
      </c>
      <c r="E570" s="14" t="s">
        <v>5717</v>
      </c>
      <c r="F570" s="14" t="s">
        <v>5718</v>
      </c>
      <c r="G570" s="8" t="s">
        <v>8633</v>
      </c>
      <c r="H570" s="14" t="s">
        <v>5668</v>
      </c>
      <c r="I570" s="14" t="s">
        <v>195</v>
      </c>
      <c r="J570" s="14"/>
      <c r="K570" s="14" t="s">
        <v>2856</v>
      </c>
      <c r="L570" s="14"/>
      <c r="M570" s="14" t="s">
        <v>5721</v>
      </c>
      <c r="N570" s="14"/>
      <c r="O570" s="14" t="s">
        <v>5722</v>
      </c>
      <c r="P570" s="14" t="str">
        <f>HYPERLINK("https://ceds.ed.gov/cedselementdetails.aspx?termid=17316")</f>
        <v>https://ceds.ed.gov/cedselementdetails.aspx?termid=17316</v>
      </c>
      <c r="Q570" s="14" t="str">
        <f>HYPERLINK("https://ceds.ed.gov/elementComment.aspx?elementName=Language Type &amp;elementID=17316", "Click here to submit comment")</f>
        <v>Click here to submit comment</v>
      </c>
      <c r="R570" s="14">
        <v>47694</v>
      </c>
    </row>
    <row r="571" spans="1:18" ht="90" x14ac:dyDescent="0.25">
      <c r="A571" s="14" t="s">
        <v>8529</v>
      </c>
      <c r="B571" s="14" t="s">
        <v>8686</v>
      </c>
      <c r="C571" s="14" t="s">
        <v>8632</v>
      </c>
      <c r="D571" s="14" t="s">
        <v>8531</v>
      </c>
      <c r="E571" s="14" t="s">
        <v>5662</v>
      </c>
      <c r="F571" s="14" t="s">
        <v>5663</v>
      </c>
      <c r="G571" s="14" t="s">
        <v>8527</v>
      </c>
      <c r="H571" s="14" t="s">
        <v>5668</v>
      </c>
      <c r="I571" s="14" t="s">
        <v>195</v>
      </c>
      <c r="J571" s="14"/>
      <c r="K571" s="14" t="s">
        <v>5665</v>
      </c>
      <c r="L571" s="6" t="s">
        <v>1087</v>
      </c>
      <c r="M571" s="14" t="s">
        <v>5666</v>
      </c>
      <c r="N571" s="14"/>
      <c r="O571" s="14" t="s">
        <v>5667</v>
      </c>
      <c r="P571" s="14" t="str">
        <f>HYPERLINK("https://ceds.ed.gov/cedselementdetails.aspx?termid=17317")</f>
        <v>https://ceds.ed.gov/cedselementdetails.aspx?termid=17317</v>
      </c>
      <c r="Q571" s="14" t="str">
        <f>HYPERLINK("https://ceds.ed.gov/elementComment.aspx?elementName=ISO 639-2 Language Code &amp;elementID=17317", "Click here to submit comment")</f>
        <v>Click here to submit comment</v>
      </c>
      <c r="R571" s="14">
        <v>47695</v>
      </c>
    </row>
    <row r="572" spans="1:18" ht="105" x14ac:dyDescent="0.25">
      <c r="A572" s="14" t="s">
        <v>8529</v>
      </c>
      <c r="B572" s="14" t="s">
        <v>8686</v>
      </c>
      <c r="C572" s="14" t="s">
        <v>8632</v>
      </c>
      <c r="D572" s="14" t="s">
        <v>8531</v>
      </c>
      <c r="E572" s="14" t="s">
        <v>5669</v>
      </c>
      <c r="F572" s="14" t="s">
        <v>5663</v>
      </c>
      <c r="G572" s="14" t="s">
        <v>8527</v>
      </c>
      <c r="H572" s="14"/>
      <c r="I572" s="14" t="s">
        <v>195</v>
      </c>
      <c r="J572" s="14"/>
      <c r="K572" s="14" t="s">
        <v>5670</v>
      </c>
      <c r="L572" s="6" t="s">
        <v>5671</v>
      </c>
      <c r="M572" s="14" t="s">
        <v>5672</v>
      </c>
      <c r="N572" s="14"/>
      <c r="O572" s="14" t="s">
        <v>5673</v>
      </c>
      <c r="P572" s="14" t="str">
        <f>HYPERLINK("https://ceds.ed.gov/cedselementdetails.aspx?termid=18618")</f>
        <v>https://ceds.ed.gov/cedselementdetails.aspx?termid=18618</v>
      </c>
      <c r="Q572" s="14" t="str">
        <f>HYPERLINK("https://ceds.ed.gov/elementComment.aspx?elementName=ISO 639-3 Language Code &amp;elementID=18618", "Click here to submit comment")</f>
        <v>Click here to submit comment</v>
      </c>
      <c r="R572" s="14">
        <v>51218</v>
      </c>
    </row>
    <row r="573" spans="1:18" ht="409.5" x14ac:dyDescent="0.25">
      <c r="A573" s="14" t="s">
        <v>8529</v>
      </c>
      <c r="B573" s="14" t="s">
        <v>8686</v>
      </c>
      <c r="C573" s="14" t="s">
        <v>8632</v>
      </c>
      <c r="D573" s="14" t="s">
        <v>8531</v>
      </c>
      <c r="E573" s="14" t="s">
        <v>5674</v>
      </c>
      <c r="F573" s="14" t="s">
        <v>5675</v>
      </c>
      <c r="G573" s="8" t="s">
        <v>8634</v>
      </c>
      <c r="H573" s="14"/>
      <c r="I573" s="14" t="s">
        <v>195</v>
      </c>
      <c r="J573" s="14"/>
      <c r="K573" s="14" t="s">
        <v>2856</v>
      </c>
      <c r="L573" s="6" t="s">
        <v>5677</v>
      </c>
      <c r="M573" s="14" t="s">
        <v>5678</v>
      </c>
      <c r="N573" s="14"/>
      <c r="O573" s="14" t="s">
        <v>5679</v>
      </c>
      <c r="P573" s="14" t="str">
        <f>HYPERLINK("https://ceds.ed.gov/cedselementdetails.aspx?termid=18619")</f>
        <v>https://ceds.ed.gov/cedselementdetails.aspx?termid=18619</v>
      </c>
      <c r="Q573" s="14" t="str">
        <f>HYPERLINK("https://ceds.ed.gov/elementComment.aspx?elementName=ISO 639-5 Language Family &amp;elementID=18619", "Click here to submit comment")</f>
        <v>Click here to submit comment</v>
      </c>
      <c r="R573" s="14">
        <v>51225</v>
      </c>
    </row>
    <row r="574" spans="1:18" ht="180" x14ac:dyDescent="0.25">
      <c r="A574" s="14" t="s">
        <v>8529</v>
      </c>
      <c r="B574" s="14" t="s">
        <v>8686</v>
      </c>
      <c r="C574" s="14" t="s">
        <v>8701</v>
      </c>
      <c r="D574" s="14" t="s">
        <v>8531</v>
      </c>
      <c r="E574" s="14" t="s">
        <v>3694</v>
      </c>
      <c r="F574" s="14" t="s">
        <v>3695</v>
      </c>
      <c r="G574" s="8" t="s">
        <v>8702</v>
      </c>
      <c r="H574" s="14" t="s">
        <v>3474</v>
      </c>
      <c r="I574" s="14"/>
      <c r="J574" s="14"/>
      <c r="K574" s="14"/>
      <c r="L574" s="14"/>
      <c r="M574" s="14" t="s">
        <v>3697</v>
      </c>
      <c r="N574" s="14"/>
      <c r="O574" s="14" t="s">
        <v>3698</v>
      </c>
      <c r="P574" s="14" t="str">
        <f>HYPERLINK("https://ceds.ed.gov/cedselementdetails.aspx?termid=17344")</f>
        <v>https://ceds.ed.gov/cedselementdetails.aspx?termid=17344</v>
      </c>
      <c r="Q574" s="14" t="str">
        <f>HYPERLINK("https://ceds.ed.gov/elementComment.aspx?elementName=Early Childhood Credential &amp;elementID=17344", "Click here to submit comment")</f>
        <v>Click here to submit comment</v>
      </c>
      <c r="R574" s="14">
        <v>47700</v>
      </c>
    </row>
    <row r="575" spans="1:18" ht="45" x14ac:dyDescent="0.25">
      <c r="A575" s="14" t="s">
        <v>8529</v>
      </c>
      <c r="B575" s="14" t="s">
        <v>8686</v>
      </c>
      <c r="C575" s="14" t="s">
        <v>8701</v>
      </c>
      <c r="D575" s="14" t="s">
        <v>8531</v>
      </c>
      <c r="E575" s="14" t="s">
        <v>6878</v>
      </c>
      <c r="F575" s="14" t="s">
        <v>6879</v>
      </c>
      <c r="G575" s="14" t="s">
        <v>37</v>
      </c>
      <c r="H575" s="14"/>
      <c r="I575" s="14"/>
      <c r="J575" s="14" t="s">
        <v>97</v>
      </c>
      <c r="K575" s="14"/>
      <c r="L575" s="14"/>
      <c r="M575" s="14" t="s">
        <v>6880</v>
      </c>
      <c r="N575" s="14"/>
      <c r="O575" s="14" t="s">
        <v>6881</v>
      </c>
      <c r="P575" s="14" t="str">
        <f>HYPERLINK("https://ceds.ed.gov/cedselementdetails.aspx?termid=18398")</f>
        <v>https://ceds.ed.gov/cedselementdetails.aspx?termid=18398</v>
      </c>
      <c r="Q575" s="14" t="str">
        <f>HYPERLINK("https://ceds.ed.gov/elementComment.aspx?elementName=Professional Certificate or License Number &amp;elementID=18398", "Click here to submit comment")</f>
        <v>Click here to submit comment</v>
      </c>
      <c r="R575" s="14">
        <v>50328</v>
      </c>
    </row>
    <row r="576" spans="1:18" ht="45" x14ac:dyDescent="0.25">
      <c r="A576" s="14" t="s">
        <v>8529</v>
      </c>
      <c r="B576" s="14" t="s">
        <v>8686</v>
      </c>
      <c r="C576" s="14" t="s">
        <v>8701</v>
      </c>
      <c r="D576" s="14" t="s">
        <v>8531</v>
      </c>
      <c r="E576" s="14" t="s">
        <v>6359</v>
      </c>
      <c r="F576" s="14" t="s">
        <v>6360</v>
      </c>
      <c r="G576" s="14" t="s">
        <v>37</v>
      </c>
      <c r="H576" s="14" t="s">
        <v>238</v>
      </c>
      <c r="I576" s="14"/>
      <c r="J576" s="14" t="s">
        <v>175</v>
      </c>
      <c r="K576" s="14"/>
      <c r="L576" s="14"/>
      <c r="M576" s="14" t="s">
        <v>6361</v>
      </c>
      <c r="N576" s="14"/>
      <c r="O576" s="14" t="s">
        <v>6362</v>
      </c>
      <c r="P576" s="14" t="str">
        <f>HYPERLINK("https://ceds.ed.gov/cedselementdetails.aspx?termid=18064")</f>
        <v>https://ceds.ed.gov/cedselementdetails.aspx?termid=18064</v>
      </c>
      <c r="Q576" s="14" t="str">
        <f>HYPERLINK("https://ceds.ed.gov/elementComment.aspx?elementName=Name of Professional Credential or License &amp;elementID=18064", "Click here to submit comment")</f>
        <v>Click here to submit comment</v>
      </c>
      <c r="R576" s="14">
        <v>48499</v>
      </c>
    </row>
    <row r="577" spans="1:18" ht="409.5" x14ac:dyDescent="0.25">
      <c r="A577" s="14" t="s">
        <v>8529</v>
      </c>
      <c r="B577" s="14" t="s">
        <v>8686</v>
      </c>
      <c r="C577" s="14" t="s">
        <v>8701</v>
      </c>
      <c r="D577" s="14" t="s">
        <v>8531</v>
      </c>
      <c r="E577" s="14" t="s">
        <v>8004</v>
      </c>
      <c r="F577" s="14" t="s">
        <v>8005</v>
      </c>
      <c r="G577" s="8" t="s">
        <v>8703</v>
      </c>
      <c r="H577" s="14" t="s">
        <v>238</v>
      </c>
      <c r="I577" s="14"/>
      <c r="J577" s="14"/>
      <c r="K577" s="14"/>
      <c r="L577" s="14"/>
      <c r="M577" s="14" t="s">
        <v>8007</v>
      </c>
      <c r="N577" s="14"/>
      <c r="O577" s="14" t="s">
        <v>8008</v>
      </c>
      <c r="P577" s="14" t="str">
        <f>HYPERLINK("https://ceds.ed.gov/cedselementdetails.aspx?termid=17804")</f>
        <v>https://ceds.ed.gov/cedselementdetails.aspx?termid=17804</v>
      </c>
      <c r="Q577" s="14" t="str">
        <f>HYPERLINK("https://ceds.ed.gov/elementComment.aspx?elementName=State Issuing Professional Credential or License &amp;elementID=17804", "Click here to submit comment")</f>
        <v>Click here to submit comment</v>
      </c>
      <c r="R577" s="14">
        <v>49250</v>
      </c>
    </row>
    <row r="578" spans="1:18" ht="45" x14ac:dyDescent="0.25">
      <c r="A578" s="14" t="s">
        <v>8529</v>
      </c>
      <c r="B578" s="14" t="s">
        <v>8686</v>
      </c>
      <c r="C578" s="14" t="s">
        <v>8701</v>
      </c>
      <c r="D578" s="14" t="s">
        <v>8531</v>
      </c>
      <c r="E578" s="14" t="s">
        <v>3324</v>
      </c>
      <c r="F578" s="14" t="s">
        <v>3325</v>
      </c>
      <c r="G578" s="14" t="s">
        <v>37</v>
      </c>
      <c r="H578" s="14"/>
      <c r="I578" s="14"/>
      <c r="J578" s="14" t="s">
        <v>175</v>
      </c>
      <c r="K578" s="14"/>
      <c r="L578" s="14"/>
      <c r="M578" s="14" t="s">
        <v>3326</v>
      </c>
      <c r="N578" s="14"/>
      <c r="O578" s="14" t="s">
        <v>3327</v>
      </c>
      <c r="P578" s="14" t="str">
        <f>HYPERLINK("https://ceds.ed.gov/cedselementdetails.aspx?termid=18566")</f>
        <v>https://ceds.ed.gov/cedselementdetails.aspx?termid=18566</v>
      </c>
      <c r="Q578" s="14" t="str">
        <f>HYPERLINK("https://ceds.ed.gov/elementComment.aspx?elementName=Credential or License Award Entity &amp;elementID=18566", "Click here to submit comment")</f>
        <v>Click here to submit comment</v>
      </c>
      <c r="R578" s="14">
        <v>51054</v>
      </c>
    </row>
    <row r="579" spans="1:18" ht="90" x14ac:dyDescent="0.25">
      <c r="A579" s="14" t="s">
        <v>8529</v>
      </c>
      <c r="B579" s="14" t="s">
        <v>8686</v>
      </c>
      <c r="C579" s="14" t="s">
        <v>8701</v>
      </c>
      <c r="D579" s="14" t="s">
        <v>8531</v>
      </c>
      <c r="E579" s="14" t="s">
        <v>3341</v>
      </c>
      <c r="F579" s="14" t="s">
        <v>3342</v>
      </c>
      <c r="G579" s="8" t="s">
        <v>8704</v>
      </c>
      <c r="H579" s="14"/>
      <c r="I579" s="14"/>
      <c r="J579" s="14"/>
      <c r="K579" s="14"/>
      <c r="L579" s="14"/>
      <c r="M579" s="14" t="s">
        <v>3345</v>
      </c>
      <c r="N579" s="14"/>
      <c r="O579" s="14" t="s">
        <v>3346</v>
      </c>
      <c r="P579" s="14" t="str">
        <f>HYPERLINK("https://ceds.ed.gov/cedselementdetails.aspx?termid=17071")</f>
        <v>https://ceds.ed.gov/cedselementdetails.aspx?termid=17071</v>
      </c>
      <c r="Q579" s="14" t="str">
        <f>HYPERLINK("https://ceds.ed.gov/elementComment.aspx?elementName=Credential Type &amp;elementID=17071", "Click here to submit comment")</f>
        <v>Click here to submit comment</v>
      </c>
      <c r="R579" s="14">
        <v>51131</v>
      </c>
    </row>
    <row r="580" spans="1:18" ht="120" x14ac:dyDescent="0.25">
      <c r="A580" s="14" t="s">
        <v>8529</v>
      </c>
      <c r="B580" s="14" t="s">
        <v>8686</v>
      </c>
      <c r="C580" s="14" t="s">
        <v>8701</v>
      </c>
      <c r="D580" s="14" t="s">
        <v>8531</v>
      </c>
      <c r="E580" s="14" t="s">
        <v>2278</v>
      </c>
      <c r="F580" s="14" t="s">
        <v>2279</v>
      </c>
      <c r="G580" s="8" t="s">
        <v>8705</v>
      </c>
      <c r="H580" s="14" t="s">
        <v>238</v>
      </c>
      <c r="I580" s="14"/>
      <c r="J580" s="14"/>
      <c r="K580" s="14"/>
      <c r="L580" s="14"/>
      <c r="M580" s="14" t="s">
        <v>2282</v>
      </c>
      <c r="N580" s="14" t="s">
        <v>2283</v>
      </c>
      <c r="O580" s="14" t="s">
        <v>2284</v>
      </c>
      <c r="P580" s="14" t="str">
        <f>HYPERLINK("https://ceds.ed.gov/cedselementdetails.aspx?termid=17805")</f>
        <v>https://ceds.ed.gov/cedselementdetails.aspx?termid=17805</v>
      </c>
      <c r="Q580" s="14" t="str">
        <f>HYPERLINK("https://ceds.ed.gov/elementComment.aspx?elementName=Child Development Associate Type &amp;elementID=17805", "Click here to submit comment")</f>
        <v>Click here to submit comment</v>
      </c>
      <c r="R580" s="14">
        <v>49253</v>
      </c>
    </row>
    <row r="581" spans="1:18" ht="45" x14ac:dyDescent="0.25">
      <c r="A581" s="14" t="s">
        <v>8529</v>
      </c>
      <c r="B581" s="14" t="s">
        <v>8686</v>
      </c>
      <c r="C581" s="14" t="s">
        <v>8701</v>
      </c>
      <c r="D581" s="14" t="s">
        <v>8531</v>
      </c>
      <c r="E581" s="14" t="s">
        <v>3306</v>
      </c>
      <c r="F581" s="14" t="s">
        <v>3307</v>
      </c>
      <c r="G581" s="14" t="s">
        <v>37</v>
      </c>
      <c r="H581" s="14" t="s">
        <v>238</v>
      </c>
      <c r="I581" s="14"/>
      <c r="J581" s="14" t="s">
        <v>135</v>
      </c>
      <c r="K581" s="14"/>
      <c r="L581" s="14"/>
      <c r="M581" s="14" t="s">
        <v>3308</v>
      </c>
      <c r="N581" s="14"/>
      <c r="O581" s="14" t="s">
        <v>3309</v>
      </c>
      <c r="P581" s="14" t="str">
        <f>HYPERLINK("https://ceds.ed.gov/cedselementdetails.aspx?termid=17070")</f>
        <v>https://ceds.ed.gov/cedselementdetails.aspx?termid=17070</v>
      </c>
      <c r="Q581" s="14" t="str">
        <f>HYPERLINK("https://ceds.ed.gov/elementComment.aspx?elementName=Credential Issuance Date &amp;elementID=17070", "Click here to submit comment")</f>
        <v>Click here to submit comment</v>
      </c>
      <c r="R581" s="14">
        <v>49252</v>
      </c>
    </row>
    <row r="582" spans="1:18" ht="45" x14ac:dyDescent="0.25">
      <c r="A582" s="14" t="s">
        <v>8529</v>
      </c>
      <c r="B582" s="14" t="s">
        <v>8686</v>
      </c>
      <c r="C582" s="14" t="s">
        <v>8701</v>
      </c>
      <c r="D582" s="14" t="s">
        <v>8531</v>
      </c>
      <c r="E582" s="14" t="s">
        <v>3296</v>
      </c>
      <c r="F582" s="14" t="s">
        <v>3297</v>
      </c>
      <c r="G582" s="14" t="s">
        <v>37</v>
      </c>
      <c r="H582" s="14" t="s">
        <v>238</v>
      </c>
      <c r="I582" s="14"/>
      <c r="J582" s="14" t="s">
        <v>135</v>
      </c>
      <c r="K582" s="14"/>
      <c r="L582" s="14"/>
      <c r="M582" s="14" t="s">
        <v>3299</v>
      </c>
      <c r="N582" s="14"/>
      <c r="O582" s="14" t="s">
        <v>3300</v>
      </c>
      <c r="P582" s="14" t="str">
        <f>HYPERLINK("https://ceds.ed.gov/cedselementdetails.aspx?termid=17069")</f>
        <v>https://ceds.ed.gov/cedselementdetails.aspx?termid=17069</v>
      </c>
      <c r="Q582" s="14" t="str">
        <f>HYPERLINK("https://ceds.ed.gov/elementComment.aspx?elementName=Credential Expiration Date &amp;elementID=17069", "Click here to submit comment")</f>
        <v>Click here to submit comment</v>
      </c>
      <c r="R582" s="14">
        <v>49251</v>
      </c>
    </row>
    <row r="583" spans="1:18" ht="60" x14ac:dyDescent="0.25">
      <c r="A583" s="14" t="s">
        <v>8529</v>
      </c>
      <c r="B583" s="14" t="s">
        <v>8686</v>
      </c>
      <c r="C583" s="14" t="s">
        <v>8586</v>
      </c>
      <c r="D583" s="14" t="s">
        <v>8531</v>
      </c>
      <c r="E583" s="14" t="s">
        <v>7936</v>
      </c>
      <c r="F583" s="14" t="s">
        <v>7937</v>
      </c>
      <c r="G583" s="14" t="s">
        <v>37</v>
      </c>
      <c r="H583" s="14" t="s">
        <v>238</v>
      </c>
      <c r="I583" s="14"/>
      <c r="J583" s="14" t="s">
        <v>135</v>
      </c>
      <c r="K583" s="14"/>
      <c r="L583" s="14"/>
      <c r="M583" s="14" t="s">
        <v>7938</v>
      </c>
      <c r="N583" s="14"/>
      <c r="O583" s="14" t="s">
        <v>7939</v>
      </c>
      <c r="P583" s="14" t="str">
        <f>HYPERLINK("https://ceds.ed.gov/cedselementdetails.aspx?termid=18067")</f>
        <v>https://ceds.ed.gov/cedselementdetails.aspx?termid=18067</v>
      </c>
      <c r="Q583" s="14" t="str">
        <f>HYPERLINK("https://ceds.ed.gov/elementComment.aspx?elementName=Staff Professional Development Activity Start Date &amp;elementID=18067", "Click here to submit comment")</f>
        <v>Click here to submit comment</v>
      </c>
      <c r="R583" s="14">
        <v>48502</v>
      </c>
    </row>
    <row r="584" spans="1:18" ht="60" x14ac:dyDescent="0.25">
      <c r="A584" s="14" t="s">
        <v>8529</v>
      </c>
      <c r="B584" s="14" t="s">
        <v>8686</v>
      </c>
      <c r="C584" s="14" t="s">
        <v>8586</v>
      </c>
      <c r="D584" s="14" t="s">
        <v>8531</v>
      </c>
      <c r="E584" s="14" t="s">
        <v>7932</v>
      </c>
      <c r="F584" s="14" t="s">
        <v>7933</v>
      </c>
      <c r="G584" s="14" t="s">
        <v>37</v>
      </c>
      <c r="H584" s="14" t="s">
        <v>238</v>
      </c>
      <c r="I584" s="14"/>
      <c r="J584" s="14" t="s">
        <v>135</v>
      </c>
      <c r="K584" s="14"/>
      <c r="L584" s="14"/>
      <c r="M584" s="14" t="s">
        <v>7934</v>
      </c>
      <c r="N584" s="14"/>
      <c r="O584" s="14" t="s">
        <v>7935</v>
      </c>
      <c r="P584" s="14" t="str">
        <f>HYPERLINK("https://ceds.ed.gov/cedselementdetails.aspx?termid=18068")</f>
        <v>https://ceds.ed.gov/cedselementdetails.aspx?termid=18068</v>
      </c>
      <c r="Q584" s="14" t="str">
        <f>HYPERLINK("https://ceds.ed.gov/elementComment.aspx?elementName=Staff Professional Development Activity Completion Date &amp;elementID=18068", "Click here to submit comment")</f>
        <v>Click here to submit comment</v>
      </c>
      <c r="R584" s="14">
        <v>48503</v>
      </c>
    </row>
    <row r="585" spans="1:18" ht="45" x14ac:dyDescent="0.25">
      <c r="A585" s="14" t="s">
        <v>8529</v>
      </c>
      <c r="B585" s="14" t="s">
        <v>8686</v>
      </c>
      <c r="C585" s="14" t="s">
        <v>8586</v>
      </c>
      <c r="D585" s="14" t="s">
        <v>8531</v>
      </c>
      <c r="E585" s="14" t="s">
        <v>7396</v>
      </c>
      <c r="F585" s="14" t="s">
        <v>7397</v>
      </c>
      <c r="G585" s="14" t="s">
        <v>37</v>
      </c>
      <c r="H585" s="14" t="s">
        <v>238</v>
      </c>
      <c r="I585" s="14"/>
      <c r="J585" s="14" t="s">
        <v>1710</v>
      </c>
      <c r="K585" s="14"/>
      <c r="L585" s="14"/>
      <c r="M585" s="14" t="s">
        <v>7398</v>
      </c>
      <c r="N585" s="14"/>
      <c r="O585" s="14" t="s">
        <v>7399</v>
      </c>
      <c r="P585" s="14" t="str">
        <f>HYPERLINK("https://ceds.ed.gov/cedselementdetails.aspx?termid=17803")</f>
        <v>https://ceds.ed.gov/cedselementdetails.aspx?termid=17803</v>
      </c>
      <c r="Q585" s="14" t="str">
        <f>HYPERLINK("https://ceds.ed.gov/elementComment.aspx?elementName=Required Training Clock Hours &amp;elementID=17803", "Click here to submit comment")</f>
        <v>Click here to submit comment</v>
      </c>
      <c r="R585" s="14">
        <v>49249</v>
      </c>
    </row>
    <row r="586" spans="1:18" ht="120" x14ac:dyDescent="0.25">
      <c r="A586" s="14" t="s">
        <v>8529</v>
      </c>
      <c r="B586" s="14" t="s">
        <v>8686</v>
      </c>
      <c r="C586" s="14" t="s">
        <v>8586</v>
      </c>
      <c r="D586" s="14" t="s">
        <v>8531</v>
      </c>
      <c r="E586" s="14" t="s">
        <v>6436</v>
      </c>
      <c r="F586" s="14" t="s">
        <v>6437</v>
      </c>
      <c r="G586" s="14" t="s">
        <v>37</v>
      </c>
      <c r="H586" s="14" t="s">
        <v>6137</v>
      </c>
      <c r="I586" s="14"/>
      <c r="J586" s="14" t="s">
        <v>1710</v>
      </c>
      <c r="K586" s="14"/>
      <c r="L586" s="14"/>
      <c r="M586" s="14" t="s">
        <v>6439</v>
      </c>
      <c r="N586" s="14"/>
      <c r="O586" s="14" t="s">
        <v>6440</v>
      </c>
      <c r="P586" s="14" t="str">
        <f>HYPERLINK("https://ceds.ed.gov/cedselementdetails.aspx?termid=17200")</f>
        <v>https://ceds.ed.gov/cedselementdetails.aspx?termid=17200</v>
      </c>
      <c r="Q586" s="14" t="str">
        <f>HYPERLINK("https://ceds.ed.gov/elementComment.aspx?elementName=Number of Credits Earned &amp;elementID=17200", "Click here to submit comment")</f>
        <v>Click here to submit comment</v>
      </c>
      <c r="R586" s="14">
        <v>48513</v>
      </c>
    </row>
    <row r="587" spans="1:18" ht="165" x14ac:dyDescent="0.25">
      <c r="A587" s="14" t="s">
        <v>8529</v>
      </c>
      <c r="B587" s="14" t="s">
        <v>8686</v>
      </c>
      <c r="C587" s="14" t="s">
        <v>8586</v>
      </c>
      <c r="D587" s="14" t="s">
        <v>8531</v>
      </c>
      <c r="E587" s="14" t="s">
        <v>2925</v>
      </c>
      <c r="F587" s="14" t="s">
        <v>2926</v>
      </c>
      <c r="G587" s="8" t="s">
        <v>8706</v>
      </c>
      <c r="H587" s="14" t="s">
        <v>65</v>
      </c>
      <c r="I587" s="14"/>
      <c r="J587" s="14"/>
      <c r="K587" s="14"/>
      <c r="L587" s="14"/>
      <c r="M587" s="14" t="s">
        <v>2929</v>
      </c>
      <c r="N587" s="14"/>
      <c r="O587" s="14" t="s">
        <v>2930</v>
      </c>
      <c r="P587" s="14" t="str">
        <f>HYPERLINK("https://ceds.ed.gov/cedselementdetails.aspx?termid=17057")</f>
        <v>https://ceds.ed.gov/cedselementdetails.aspx?termid=17057</v>
      </c>
      <c r="Q587" s="14" t="str">
        <f>HYPERLINK("https://ceds.ed.gov/elementComment.aspx?elementName=Course Credit Units &amp;elementID=17057", "Click here to submit comment")</f>
        <v>Click here to submit comment</v>
      </c>
      <c r="R587" s="14">
        <v>48729</v>
      </c>
    </row>
    <row r="588" spans="1:18" ht="45" x14ac:dyDescent="0.25">
      <c r="A588" s="14" t="s">
        <v>8529</v>
      </c>
      <c r="B588" s="14" t="s">
        <v>8686</v>
      </c>
      <c r="C588" s="14" t="s">
        <v>8586</v>
      </c>
      <c r="D588" s="14" t="s">
        <v>8531</v>
      </c>
      <c r="E588" s="14" t="s">
        <v>6984</v>
      </c>
      <c r="F588" s="14" t="s">
        <v>6985</v>
      </c>
      <c r="G588" s="14" t="s">
        <v>24</v>
      </c>
      <c r="H588" s="14"/>
      <c r="I588" s="14"/>
      <c r="J588" s="14"/>
      <c r="K588" s="14"/>
      <c r="L588" s="14"/>
      <c r="M588" s="14" t="s">
        <v>6986</v>
      </c>
      <c r="N588" s="14"/>
      <c r="O588" s="14" t="s">
        <v>6987</v>
      </c>
      <c r="P588" s="14" t="str">
        <f>HYPERLINK("https://ceds.ed.gov/cedselementdetails.aspx?termid=18599")</f>
        <v>https://ceds.ed.gov/cedselementdetails.aspx?termid=18599</v>
      </c>
      <c r="Q588" s="14" t="str">
        <f>HYPERLINK("https://ceds.ed.gov/elementComment.aspx?elementName=Professional Development Plan Approved by Supervisor &amp;elementID=18599", "Click here to submit comment")</f>
        <v>Click here to submit comment</v>
      </c>
      <c r="R588" s="14">
        <v>51098</v>
      </c>
    </row>
    <row r="589" spans="1:18" ht="45" x14ac:dyDescent="0.25">
      <c r="A589" s="14" t="s">
        <v>8529</v>
      </c>
      <c r="B589" s="14" t="s">
        <v>8686</v>
      </c>
      <c r="C589" s="14" t="s">
        <v>8586</v>
      </c>
      <c r="D589" s="14" t="s">
        <v>8531</v>
      </c>
      <c r="E589" s="14" t="s">
        <v>6988</v>
      </c>
      <c r="F589" s="14" t="s">
        <v>6989</v>
      </c>
      <c r="G589" s="14" t="s">
        <v>37</v>
      </c>
      <c r="H589" s="14"/>
      <c r="I589" s="14"/>
      <c r="J589" s="14" t="s">
        <v>135</v>
      </c>
      <c r="K589" s="14"/>
      <c r="L589" s="14"/>
      <c r="M589" s="14" t="s">
        <v>6990</v>
      </c>
      <c r="N589" s="14"/>
      <c r="O589" s="14" t="s">
        <v>6991</v>
      </c>
      <c r="P589" s="14" t="str">
        <f>HYPERLINK("https://ceds.ed.gov/cedselementdetails.aspx?termid=18600")</f>
        <v>https://ceds.ed.gov/cedselementdetails.aspx?termid=18600</v>
      </c>
      <c r="Q589" s="14" t="str">
        <f>HYPERLINK("https://ceds.ed.gov/elementComment.aspx?elementName=Professional Development Plan Completion &amp;elementID=18600", "Click here to submit comment")</f>
        <v>Click here to submit comment</v>
      </c>
      <c r="R589" s="14">
        <v>51099</v>
      </c>
    </row>
    <row r="590" spans="1:18" ht="45" x14ac:dyDescent="0.25">
      <c r="A590" s="14" t="s">
        <v>8529</v>
      </c>
      <c r="B590" s="14" t="s">
        <v>8686</v>
      </c>
      <c r="C590" s="14" t="s">
        <v>8586</v>
      </c>
      <c r="D590" s="14" t="s">
        <v>8531</v>
      </c>
      <c r="E590" s="14" t="s">
        <v>2189</v>
      </c>
      <c r="F590" s="14" t="s">
        <v>2190</v>
      </c>
      <c r="G590" s="14" t="s">
        <v>37</v>
      </c>
      <c r="H590" s="14"/>
      <c r="I590" s="14"/>
      <c r="J590" s="14" t="s">
        <v>135</v>
      </c>
      <c r="K590" s="14"/>
      <c r="L590" s="14"/>
      <c r="M590" s="14" t="s">
        <v>2192</v>
      </c>
      <c r="N590" s="14"/>
      <c r="O590" s="14" t="s">
        <v>2193</v>
      </c>
      <c r="P590" s="14" t="str">
        <f>HYPERLINK("https://ceds.ed.gov/cedselementdetails.aspx?termid=18255")</f>
        <v>https://ceds.ed.gov/cedselementdetails.aspx?termid=18255</v>
      </c>
      <c r="Q590" s="14" t="str">
        <f>HYPERLINK("https://ceds.ed.gov/elementComment.aspx?elementName=Career Education Plan Date &amp;elementID=18255", "Click here to submit comment")</f>
        <v>Click here to submit comment</v>
      </c>
      <c r="R590" s="14">
        <v>50079</v>
      </c>
    </row>
    <row r="591" spans="1:18" ht="75" x14ac:dyDescent="0.25">
      <c r="A591" s="14" t="s">
        <v>8529</v>
      </c>
      <c r="B591" s="14" t="s">
        <v>8686</v>
      </c>
      <c r="C591" s="14" t="s">
        <v>8586</v>
      </c>
      <c r="D591" s="14" t="s">
        <v>8531</v>
      </c>
      <c r="E591" s="14" t="s">
        <v>2194</v>
      </c>
      <c r="F591" s="14" t="s">
        <v>2195</v>
      </c>
      <c r="G591" s="8" t="s">
        <v>8660</v>
      </c>
      <c r="H591" s="14"/>
      <c r="I591" s="14" t="s">
        <v>195</v>
      </c>
      <c r="J591" s="14"/>
      <c r="K591" s="14" t="s">
        <v>2197</v>
      </c>
      <c r="L591" s="14"/>
      <c r="M591" s="14" t="s">
        <v>2198</v>
      </c>
      <c r="N591" s="14"/>
      <c r="O591" s="14" t="s">
        <v>2199</v>
      </c>
      <c r="P591" s="14" t="str">
        <f>HYPERLINK("https://ceds.ed.gov/cedselementdetails.aspx?termid=18256")</f>
        <v>https://ceds.ed.gov/cedselementdetails.aspx?termid=18256</v>
      </c>
      <c r="Q591" s="14" t="str">
        <f>HYPERLINK("https://ceds.ed.gov/elementComment.aspx?elementName=Career Education Plan Type &amp;elementID=18256", "Click here to submit comment")</f>
        <v>Click here to submit comment</v>
      </c>
      <c r="R591" s="14">
        <v>50082</v>
      </c>
    </row>
    <row r="592" spans="1:18" ht="45" x14ac:dyDescent="0.25">
      <c r="A592" s="14" t="s">
        <v>8529</v>
      </c>
      <c r="B592" s="14" t="s">
        <v>8686</v>
      </c>
      <c r="C592" s="14" t="s">
        <v>8586</v>
      </c>
      <c r="D592" s="14" t="s">
        <v>8531</v>
      </c>
      <c r="E592" s="14" t="s">
        <v>6870</v>
      </c>
      <c r="F592" s="14" t="s">
        <v>6871</v>
      </c>
      <c r="G592" s="14" t="s">
        <v>24</v>
      </c>
      <c r="H592" s="14" t="s">
        <v>238</v>
      </c>
      <c r="I592" s="14"/>
      <c r="J592" s="14"/>
      <c r="K592" s="14"/>
      <c r="L592" s="14"/>
      <c r="M592" s="14" t="s">
        <v>6872</v>
      </c>
      <c r="N592" s="14"/>
      <c r="O592" s="14" t="s">
        <v>6873</v>
      </c>
      <c r="P592" s="14" t="str">
        <f>HYPERLINK("https://ceds.ed.gov/cedselementdetails.aspx?termid=17806")</f>
        <v>https://ceds.ed.gov/cedselementdetails.aspx?termid=17806</v>
      </c>
      <c r="Q592" s="14" t="str">
        <f>HYPERLINK("https://ceds.ed.gov/elementComment.aspx?elementName=Professional Association Membership Status &amp;elementID=17806", "Click here to submit comment")</f>
        <v>Click here to submit comment</v>
      </c>
      <c r="R592" s="14">
        <v>49254</v>
      </c>
    </row>
    <row r="593" spans="1:18" ht="45" x14ac:dyDescent="0.25">
      <c r="A593" s="14" t="s">
        <v>8529</v>
      </c>
      <c r="B593" s="14" t="s">
        <v>8686</v>
      </c>
      <c r="C593" s="14" t="s">
        <v>8586</v>
      </c>
      <c r="D593" s="14" t="s">
        <v>8531</v>
      </c>
      <c r="E593" s="14" t="s">
        <v>6874</v>
      </c>
      <c r="F593" s="14" t="s">
        <v>6875</v>
      </c>
      <c r="G593" s="14" t="s">
        <v>37</v>
      </c>
      <c r="H593" s="14" t="s">
        <v>238</v>
      </c>
      <c r="I593" s="14"/>
      <c r="J593" s="14" t="s">
        <v>175</v>
      </c>
      <c r="K593" s="14"/>
      <c r="L593" s="14"/>
      <c r="M593" s="14" t="s">
        <v>6876</v>
      </c>
      <c r="N593" s="14"/>
      <c r="O593" s="14" t="s">
        <v>6877</v>
      </c>
      <c r="P593" s="14" t="str">
        <f>HYPERLINK("https://ceds.ed.gov/cedselementdetails.aspx?termid=17807")</f>
        <v>https://ceds.ed.gov/cedselementdetails.aspx?termid=17807</v>
      </c>
      <c r="Q593" s="14" t="str">
        <f>HYPERLINK("https://ceds.ed.gov/elementComment.aspx?elementName=Professional Association Name &amp;elementID=17807", "Click here to submit comment")</f>
        <v>Click here to submit comment</v>
      </c>
      <c r="R593" s="14">
        <v>49255</v>
      </c>
    </row>
    <row r="594" spans="1:18" ht="60" x14ac:dyDescent="0.25">
      <c r="A594" s="14" t="s">
        <v>8529</v>
      </c>
      <c r="B594" s="14" t="s">
        <v>8686</v>
      </c>
      <c r="C594" s="14" t="s">
        <v>8586</v>
      </c>
      <c r="D594" s="14" t="s">
        <v>8531</v>
      </c>
      <c r="E594" s="14" t="s">
        <v>6996</v>
      </c>
      <c r="F594" s="14" t="s">
        <v>6997</v>
      </c>
      <c r="G594" s="14" t="s">
        <v>24</v>
      </c>
      <c r="H594" s="14" t="s">
        <v>238</v>
      </c>
      <c r="I594" s="14"/>
      <c r="J594" s="14"/>
      <c r="K594" s="14"/>
      <c r="L594" s="14"/>
      <c r="M594" s="14" t="s">
        <v>6998</v>
      </c>
      <c r="N594" s="14"/>
      <c r="O594" s="14" t="s">
        <v>6999</v>
      </c>
      <c r="P594" s="14" t="str">
        <f>HYPERLINK("https://ceds.ed.gov/cedselementdetails.aspx?termid=17810")</f>
        <v>https://ceds.ed.gov/cedselementdetails.aspx?termid=17810</v>
      </c>
      <c r="Q594" s="14" t="str">
        <f>HYPERLINK("https://ceds.ed.gov/elementComment.aspx?elementName=Professional Development Scholarship Status &amp;elementID=17810", "Click here to submit comment")</f>
        <v>Click here to submit comment</v>
      </c>
      <c r="R594" s="14">
        <v>49258</v>
      </c>
    </row>
    <row r="595" spans="1:18" ht="180" x14ac:dyDescent="0.25">
      <c r="A595" s="14" t="s">
        <v>8529</v>
      </c>
      <c r="B595" s="14" t="s">
        <v>8686</v>
      </c>
      <c r="C595" s="14" t="s">
        <v>8586</v>
      </c>
      <c r="D595" s="14" t="s">
        <v>8531</v>
      </c>
      <c r="E595" s="14" t="s">
        <v>6966</v>
      </c>
      <c r="F595" s="14" t="s">
        <v>6967</v>
      </c>
      <c r="G595" s="8" t="s">
        <v>8707</v>
      </c>
      <c r="H595" s="14" t="s">
        <v>238</v>
      </c>
      <c r="I595" s="14"/>
      <c r="J595" s="14"/>
      <c r="K595" s="14"/>
      <c r="L595" s="14"/>
      <c r="M595" s="14" t="s">
        <v>6969</v>
      </c>
      <c r="N595" s="14"/>
      <c r="O595" s="14" t="s">
        <v>6970</v>
      </c>
      <c r="P595" s="14" t="str">
        <f>HYPERLINK("https://ceds.ed.gov/cedselementdetails.aspx?termid=17811")</f>
        <v>https://ceds.ed.gov/cedselementdetails.aspx?termid=17811</v>
      </c>
      <c r="Q595" s="14" t="str">
        <f>HYPERLINK("https://ceds.ed.gov/elementComment.aspx?elementName=Professional Development Financial Support Type &amp;elementID=17811", "Click here to submit comment")</f>
        <v>Click here to submit comment</v>
      </c>
      <c r="R595" s="14">
        <v>49259</v>
      </c>
    </row>
    <row r="596" spans="1:18" ht="60" x14ac:dyDescent="0.25">
      <c r="A596" s="14" t="s">
        <v>8529</v>
      </c>
      <c r="B596" s="14" t="s">
        <v>8686</v>
      </c>
      <c r="C596" s="14" t="s">
        <v>8586</v>
      </c>
      <c r="D596" s="14" t="s">
        <v>8531</v>
      </c>
      <c r="E596" s="14" t="s">
        <v>8385</v>
      </c>
      <c r="F596" s="14" t="s">
        <v>8386</v>
      </c>
      <c r="G596" s="14" t="s">
        <v>24</v>
      </c>
      <c r="H596" s="14"/>
      <c r="I596" s="14"/>
      <c r="J596" s="14"/>
      <c r="K596" s="14"/>
      <c r="L596" s="14" t="s">
        <v>8388</v>
      </c>
      <c r="M596" s="14" t="s">
        <v>8389</v>
      </c>
      <c r="N596" s="14"/>
      <c r="O596" s="14" t="s">
        <v>8390</v>
      </c>
      <c r="P596" s="14" t="str">
        <f>HYPERLINK("https://ceds.ed.gov/cedselementdetails.aspx?termid=18554")</f>
        <v>https://ceds.ed.gov/cedselementdetails.aspx?termid=18554</v>
      </c>
      <c r="Q596" s="14" t="str">
        <f>HYPERLINK("https://ceds.ed.gov/elementComment.aspx?elementName=Tuition Funded &amp;elementID=18554", "Click here to submit comment")</f>
        <v>Click here to submit comment</v>
      </c>
      <c r="R596" s="14">
        <v>50929</v>
      </c>
    </row>
    <row r="597" spans="1:18" ht="45" x14ac:dyDescent="0.25">
      <c r="A597" s="14" t="s">
        <v>8529</v>
      </c>
      <c r="B597" s="14" t="s">
        <v>8686</v>
      </c>
      <c r="C597" s="14" t="s">
        <v>8586</v>
      </c>
      <c r="D597" s="14" t="s">
        <v>8531</v>
      </c>
      <c r="E597" s="14" t="s">
        <v>2139</v>
      </c>
      <c r="F597" s="14" t="s">
        <v>2140</v>
      </c>
      <c r="G597" s="14" t="s">
        <v>37</v>
      </c>
      <c r="H597" s="14" t="s">
        <v>238</v>
      </c>
      <c r="I597" s="14"/>
      <c r="J597" s="14" t="s">
        <v>135</v>
      </c>
      <c r="K597" s="14"/>
      <c r="L597" s="14"/>
      <c r="M597" s="14" t="s">
        <v>2142</v>
      </c>
      <c r="N597" s="14" t="s">
        <v>2143</v>
      </c>
      <c r="O597" s="14" t="s">
        <v>2144</v>
      </c>
      <c r="P597" s="14" t="str">
        <f>HYPERLINK("https://ceds.ed.gov/cedselementdetails.aspx?termid=18065")</f>
        <v>https://ceds.ed.gov/cedselementdetails.aspx?termid=18065</v>
      </c>
      <c r="Q597" s="14" t="str">
        <f>HYPERLINK("https://ceds.ed.gov/elementComment.aspx?elementName=Cardiopulmonary Resuscitation Certification Expiration Date &amp;elementID=18065", "Click here to submit comment")</f>
        <v>Click here to submit comment</v>
      </c>
      <c r="R597" s="14">
        <v>48500</v>
      </c>
    </row>
    <row r="598" spans="1:18" ht="45" x14ac:dyDescent="0.25">
      <c r="A598" s="14" t="s">
        <v>8529</v>
      </c>
      <c r="B598" s="14" t="s">
        <v>8686</v>
      </c>
      <c r="C598" s="14" t="s">
        <v>8586</v>
      </c>
      <c r="D598" s="14" t="s">
        <v>8531</v>
      </c>
      <c r="E598" s="14" t="s">
        <v>4654</v>
      </c>
      <c r="F598" s="14" t="s">
        <v>4655</v>
      </c>
      <c r="G598" s="14" t="s">
        <v>37</v>
      </c>
      <c r="H598" s="14" t="s">
        <v>238</v>
      </c>
      <c r="I598" s="14"/>
      <c r="J598" s="14" t="s">
        <v>135</v>
      </c>
      <c r="K598" s="14"/>
      <c r="L598" s="14"/>
      <c r="M598" s="14" t="s">
        <v>4656</v>
      </c>
      <c r="N598" s="14"/>
      <c r="O598" s="14" t="s">
        <v>4657</v>
      </c>
      <c r="P598" s="14" t="str">
        <f>HYPERLINK("https://ceds.ed.gov/cedselementdetails.aspx?termid=18066")</f>
        <v>https://ceds.ed.gov/cedselementdetails.aspx?termid=18066</v>
      </c>
      <c r="Q598" s="14" t="str">
        <f>HYPERLINK("https://ceds.ed.gov/elementComment.aspx?elementName=First Aid Certification Expiration Date &amp;elementID=18066", "Click here to submit comment")</f>
        <v>Click here to submit comment</v>
      </c>
      <c r="R598" s="14">
        <v>48501</v>
      </c>
    </row>
    <row r="599" spans="1:18" ht="165" x14ac:dyDescent="0.25">
      <c r="A599" s="14" t="s">
        <v>8529</v>
      </c>
      <c r="B599" s="14" t="s">
        <v>8686</v>
      </c>
      <c r="C599" s="14" t="s">
        <v>8586</v>
      </c>
      <c r="D599" s="14" t="s">
        <v>8531</v>
      </c>
      <c r="E599" s="14" t="s">
        <v>3751</v>
      </c>
      <c r="F599" s="14" t="s">
        <v>3752</v>
      </c>
      <c r="G599" s="8" t="s">
        <v>8708</v>
      </c>
      <c r="H599" s="14" t="s">
        <v>238</v>
      </c>
      <c r="I599" s="14"/>
      <c r="J599" s="14"/>
      <c r="K599" s="14"/>
      <c r="L599" s="14"/>
      <c r="M599" s="14" t="s">
        <v>3754</v>
      </c>
      <c r="N599" s="14"/>
      <c r="O599" s="14" t="s">
        <v>3755</v>
      </c>
      <c r="P599" s="14" t="str">
        <f>HYPERLINK("https://ceds.ed.gov/cedselementdetails.aspx?termid=17812")</f>
        <v>https://ceds.ed.gov/cedselementdetails.aspx?termid=17812</v>
      </c>
      <c r="Q599" s="14" t="str">
        <f>HYPERLINK("https://ceds.ed.gov/elementComment.aspx?elementName=Early Learning Core Knowledge Area &amp;elementID=17812", "Click here to submit comment")</f>
        <v>Click here to submit comment</v>
      </c>
      <c r="R599" s="14">
        <v>49260</v>
      </c>
    </row>
    <row r="600" spans="1:18" ht="45" x14ac:dyDescent="0.25">
      <c r="A600" s="14" t="s">
        <v>8529</v>
      </c>
      <c r="B600" s="14" t="s">
        <v>8686</v>
      </c>
      <c r="C600" s="14" t="s">
        <v>8586</v>
      </c>
      <c r="D600" s="14" t="s">
        <v>8531</v>
      </c>
      <c r="E600" s="14" t="s">
        <v>7987</v>
      </c>
      <c r="F600" s="14" t="s">
        <v>7988</v>
      </c>
      <c r="G600" s="14" t="s">
        <v>24</v>
      </c>
      <c r="H600" s="14" t="s">
        <v>238</v>
      </c>
      <c r="I600" s="14"/>
      <c r="J600" s="14"/>
      <c r="K600" s="14"/>
      <c r="L600" s="14"/>
      <c r="M600" s="14" t="s">
        <v>7989</v>
      </c>
      <c r="N600" s="14"/>
      <c r="O600" s="14" t="s">
        <v>7990</v>
      </c>
      <c r="P600" s="14" t="str">
        <f>HYPERLINK("https://ceds.ed.gov/cedselementdetails.aspx?termid=17813")</f>
        <v>https://ceds.ed.gov/cedselementdetails.aspx?termid=17813</v>
      </c>
      <c r="Q600" s="14" t="str">
        <f>HYPERLINK("https://ceds.ed.gov/elementComment.aspx?elementName=State Approved Trainer Status &amp;elementID=17813", "Click here to submit comment")</f>
        <v>Click here to submit comment</v>
      </c>
      <c r="R600" s="14">
        <v>49261</v>
      </c>
    </row>
    <row r="601" spans="1:18" ht="90" x14ac:dyDescent="0.25">
      <c r="A601" s="14" t="s">
        <v>8529</v>
      </c>
      <c r="B601" s="14" t="s">
        <v>8686</v>
      </c>
      <c r="C601" s="14" t="s">
        <v>8586</v>
      </c>
      <c r="D601" s="14" t="s">
        <v>8531</v>
      </c>
      <c r="E601" s="14" t="s">
        <v>7982</v>
      </c>
      <c r="F601" s="14" t="s">
        <v>7983</v>
      </c>
      <c r="G601" s="14" t="s">
        <v>24</v>
      </c>
      <c r="H601" s="14" t="s">
        <v>238</v>
      </c>
      <c r="I601" s="14"/>
      <c r="J601" s="14"/>
      <c r="K601" s="14"/>
      <c r="L601" s="6" t="s">
        <v>7984</v>
      </c>
      <c r="M601" s="14" t="s">
        <v>7985</v>
      </c>
      <c r="N601" s="14"/>
      <c r="O601" s="14" t="s">
        <v>7986</v>
      </c>
      <c r="P601" s="14" t="str">
        <f>HYPERLINK("https://ceds.ed.gov/cedselementdetails.aspx?termid=17814")</f>
        <v>https://ceds.ed.gov/cedselementdetails.aspx?termid=17814</v>
      </c>
      <c r="Q601" s="14" t="str">
        <f>HYPERLINK("https://ceds.ed.gov/elementComment.aspx?elementName=State Approved Technical Assistance Provider Status &amp;elementID=17814", "Click here to submit comment")</f>
        <v>Click here to submit comment</v>
      </c>
      <c r="R601" s="14">
        <v>49262</v>
      </c>
    </row>
    <row r="602" spans="1:18" ht="180" x14ac:dyDescent="0.25">
      <c r="A602" s="14" t="s">
        <v>8529</v>
      </c>
      <c r="B602" s="14" t="s">
        <v>8686</v>
      </c>
      <c r="C602" s="14" t="s">
        <v>8586</v>
      </c>
      <c r="D602" s="14" t="s">
        <v>8531</v>
      </c>
      <c r="E602" s="14" t="s">
        <v>3827</v>
      </c>
      <c r="F602" s="14" t="s">
        <v>3828</v>
      </c>
      <c r="G602" s="8" t="s">
        <v>8709</v>
      </c>
      <c r="H602" s="14"/>
      <c r="I602" s="14"/>
      <c r="J602" s="14"/>
      <c r="K602" s="14"/>
      <c r="L602" s="14"/>
      <c r="M602" s="14" t="s">
        <v>3830</v>
      </c>
      <c r="N602" s="14"/>
      <c r="O602" s="14" t="s">
        <v>3831</v>
      </c>
      <c r="P602" s="14" t="str">
        <f>HYPERLINK("https://ceds.ed.gov/cedselementdetails.aspx?termid=18304")</f>
        <v>https://ceds.ed.gov/cedselementdetails.aspx?termid=18304</v>
      </c>
      <c r="Q602" s="14" t="str">
        <f>HYPERLINK("https://ceds.ed.gov/elementComment.aspx?elementName=Early Learning Professional Development Topic Area &amp;elementID=18304", "Click here to submit comment")</f>
        <v>Click here to submit comment</v>
      </c>
      <c r="R602" s="14">
        <v>50143</v>
      </c>
    </row>
    <row r="603" spans="1:18" ht="45" x14ac:dyDescent="0.25">
      <c r="A603" s="14" t="s">
        <v>8529</v>
      </c>
      <c r="B603" s="14" t="s">
        <v>8686</v>
      </c>
      <c r="C603" s="14" t="s">
        <v>8586</v>
      </c>
      <c r="D603" s="14" t="s">
        <v>8531</v>
      </c>
      <c r="E603" s="14" t="s">
        <v>6956</v>
      </c>
      <c r="F603" s="14" t="s">
        <v>6957</v>
      </c>
      <c r="G603" s="8" t="s">
        <v>8657</v>
      </c>
      <c r="H603" s="14"/>
      <c r="I603" s="14"/>
      <c r="J603" s="14"/>
      <c r="K603" s="14"/>
      <c r="L603" s="14"/>
      <c r="M603" s="14" t="s">
        <v>6958</v>
      </c>
      <c r="N603" s="14"/>
      <c r="O603" s="14" t="s">
        <v>6959</v>
      </c>
      <c r="P603" s="14" t="str">
        <f>HYPERLINK("https://ceds.ed.gov/cedselementdetails.aspx?termid=18399")</f>
        <v>https://ceds.ed.gov/cedselementdetails.aspx?termid=18399</v>
      </c>
      <c r="Q603" s="14" t="str">
        <f>HYPERLINK("https://ceds.ed.gov/elementComment.aspx?elementName=Professional Development Audience Type &amp;elementID=18399", "Click here to submit comment")</f>
        <v>Click here to submit comment</v>
      </c>
      <c r="R603" s="14">
        <v>50329</v>
      </c>
    </row>
    <row r="604" spans="1:18" ht="45" x14ac:dyDescent="0.25">
      <c r="A604" s="14" t="s">
        <v>8529</v>
      </c>
      <c r="B604" s="14" t="s">
        <v>8686</v>
      </c>
      <c r="C604" s="14" t="s">
        <v>8586</v>
      </c>
      <c r="D604" s="14" t="s">
        <v>8531</v>
      </c>
      <c r="E604" s="14" t="s">
        <v>6992</v>
      </c>
      <c r="F604" s="14" t="s">
        <v>6993</v>
      </c>
      <c r="G604" s="14" t="s">
        <v>24</v>
      </c>
      <c r="H604" s="14"/>
      <c r="I604" s="14"/>
      <c r="J604" s="14"/>
      <c r="K604" s="14"/>
      <c r="L604" s="14"/>
      <c r="M604" s="14" t="s">
        <v>6994</v>
      </c>
      <c r="N604" s="14"/>
      <c r="O604" s="14" t="s">
        <v>6995</v>
      </c>
      <c r="P604" s="14" t="str">
        <f>HYPERLINK("https://ceds.ed.gov/cedselementdetails.aspx?termid=18415")</f>
        <v>https://ceds.ed.gov/cedselementdetails.aspx?termid=18415</v>
      </c>
      <c r="Q604" s="14" t="str">
        <f>HYPERLINK("https://ceds.ed.gov/elementComment.aspx?elementName=Professional Development Publish Activity Indicator &amp;elementID=18415", "Click here to submit comment")</f>
        <v>Click here to submit comment</v>
      </c>
      <c r="R604" s="14">
        <v>50350</v>
      </c>
    </row>
    <row r="605" spans="1:18" ht="105" x14ac:dyDescent="0.25">
      <c r="A605" s="16" t="s">
        <v>8529</v>
      </c>
      <c r="B605" s="16" t="s">
        <v>8686</v>
      </c>
      <c r="C605" s="16" t="s">
        <v>8710</v>
      </c>
      <c r="D605" s="16" t="s">
        <v>8531</v>
      </c>
      <c r="E605" s="16" t="s">
        <v>7927</v>
      </c>
      <c r="F605" s="16" t="s">
        <v>7928</v>
      </c>
      <c r="G605" s="16" t="s">
        <v>37</v>
      </c>
      <c r="H605" s="16" t="s">
        <v>7931</v>
      </c>
      <c r="I605" s="16"/>
      <c r="J605" s="16" t="s">
        <v>149</v>
      </c>
      <c r="K605" s="16"/>
      <c r="L605" s="14" t="s">
        <v>150</v>
      </c>
      <c r="M605" s="16" t="s">
        <v>7929</v>
      </c>
      <c r="N605" s="16"/>
      <c r="O605" s="16" t="s">
        <v>7930</v>
      </c>
      <c r="P605" s="16" t="str">
        <f>HYPERLINK("https://ceds.ed.gov/cedselementdetails.aspx?termid=17156")</f>
        <v>https://ceds.ed.gov/cedselementdetails.aspx?termid=17156</v>
      </c>
      <c r="Q605" s="16" t="str">
        <f>HYPERLINK("https://ceds.ed.gov/elementComment.aspx?elementName=Staff Member Identifier &amp;elementID=17156", "Click here to submit comment")</f>
        <v>Click here to submit comment</v>
      </c>
      <c r="R605" s="16">
        <v>50514</v>
      </c>
    </row>
    <row r="606" spans="1:18" x14ac:dyDescent="0.25">
      <c r="A606" s="16"/>
      <c r="B606" s="16"/>
      <c r="C606" s="16"/>
      <c r="D606" s="16"/>
      <c r="E606" s="16"/>
      <c r="F606" s="16"/>
      <c r="G606" s="16"/>
      <c r="H606" s="16"/>
      <c r="I606" s="16"/>
      <c r="J606" s="16"/>
      <c r="K606" s="16"/>
      <c r="L606" s="14"/>
      <c r="M606" s="16"/>
      <c r="N606" s="16"/>
      <c r="O606" s="16"/>
      <c r="P606" s="16"/>
      <c r="Q606" s="16"/>
      <c r="R606" s="16"/>
    </row>
    <row r="607" spans="1:18" ht="90" x14ac:dyDescent="0.25">
      <c r="A607" s="16"/>
      <c r="B607" s="16"/>
      <c r="C607" s="16"/>
      <c r="D607" s="16"/>
      <c r="E607" s="16"/>
      <c r="F607" s="16"/>
      <c r="G607" s="16"/>
      <c r="H607" s="16"/>
      <c r="I607" s="16"/>
      <c r="J607" s="16"/>
      <c r="K607" s="16"/>
      <c r="L607" s="14" t="s">
        <v>153</v>
      </c>
      <c r="M607" s="16"/>
      <c r="N607" s="16"/>
      <c r="O607" s="16"/>
      <c r="P607" s="16"/>
      <c r="Q607" s="16"/>
      <c r="R607" s="16"/>
    </row>
    <row r="608" spans="1:18" ht="345" x14ac:dyDescent="0.25">
      <c r="A608" s="14" t="s">
        <v>8529</v>
      </c>
      <c r="B608" s="14" t="s">
        <v>8686</v>
      </c>
      <c r="C608" s="14" t="s">
        <v>8710</v>
      </c>
      <c r="D608" s="14" t="s">
        <v>8531</v>
      </c>
      <c r="E608" s="14" t="s">
        <v>7920</v>
      </c>
      <c r="F608" s="14" t="s">
        <v>7921</v>
      </c>
      <c r="G608" s="8" t="s">
        <v>8687</v>
      </c>
      <c r="H608" s="14" t="s">
        <v>7926</v>
      </c>
      <c r="I608" s="14"/>
      <c r="J608" s="14"/>
      <c r="K608" s="14"/>
      <c r="L608" s="14"/>
      <c r="M608" s="14" t="s">
        <v>7924</v>
      </c>
      <c r="N608" s="14"/>
      <c r="O608" s="14" t="s">
        <v>7925</v>
      </c>
      <c r="P608" s="14" t="str">
        <f>HYPERLINK("https://ceds.ed.gov/cedselementdetails.aspx?termid=17162")</f>
        <v>https://ceds.ed.gov/cedselementdetails.aspx?termid=17162</v>
      </c>
      <c r="Q608" s="14" t="str">
        <f>HYPERLINK("https://ceds.ed.gov/elementComment.aspx?elementName=Staff Member Identification System &amp;elementID=17162", "Click here to submit comment")</f>
        <v>Click here to submit comment</v>
      </c>
      <c r="R608" s="14">
        <v>50515</v>
      </c>
    </row>
    <row r="609" spans="1:18" ht="105" x14ac:dyDescent="0.25">
      <c r="A609" s="14" t="s">
        <v>8529</v>
      </c>
      <c r="B609" s="14" t="s">
        <v>8686</v>
      </c>
      <c r="C609" s="14" t="s">
        <v>8710</v>
      </c>
      <c r="D609" s="14" t="s">
        <v>8531</v>
      </c>
      <c r="E609" s="14" t="s">
        <v>6741</v>
      </c>
      <c r="F609" s="14" t="s">
        <v>6742</v>
      </c>
      <c r="G609" s="14" t="s">
        <v>37</v>
      </c>
      <c r="H609" s="14" t="s">
        <v>6747</v>
      </c>
      <c r="I609" s="14"/>
      <c r="J609" s="14" t="s">
        <v>97</v>
      </c>
      <c r="K609" s="14"/>
      <c r="L609" s="14"/>
      <c r="M609" s="14" t="s">
        <v>6744</v>
      </c>
      <c r="N609" s="14" t="s">
        <v>6745</v>
      </c>
      <c r="O609" s="14" t="s">
        <v>6746</v>
      </c>
      <c r="P609" s="14" t="str">
        <f>HYPERLINK("https://ceds.ed.gov/cedselementdetails.aspx?termid=17212")</f>
        <v>https://ceds.ed.gov/cedselementdetails.aspx?termid=17212</v>
      </c>
      <c r="Q609" s="14" t="str">
        <f>HYPERLINK("https://ceds.ed.gov/elementComment.aspx?elementName=Personal Title or Prefix &amp;elementID=17212", "Click here to submit comment")</f>
        <v>Click here to submit comment</v>
      </c>
      <c r="R609" s="14">
        <v>50318</v>
      </c>
    </row>
    <row r="610" spans="1:18" ht="195" x14ac:dyDescent="0.25">
      <c r="A610" s="14" t="s">
        <v>8529</v>
      </c>
      <c r="B610" s="14" t="s">
        <v>8686</v>
      </c>
      <c r="C610" s="14" t="s">
        <v>8710</v>
      </c>
      <c r="D610" s="14" t="s">
        <v>8531</v>
      </c>
      <c r="E610" s="14" t="s">
        <v>4667</v>
      </c>
      <c r="F610" s="14" t="s">
        <v>4668</v>
      </c>
      <c r="G610" s="14" t="s">
        <v>37</v>
      </c>
      <c r="H610" s="14" t="s">
        <v>4673</v>
      </c>
      <c r="I610" s="14"/>
      <c r="J610" s="14" t="s">
        <v>1468</v>
      </c>
      <c r="K610" s="14"/>
      <c r="L610" s="14" t="s">
        <v>4670</v>
      </c>
      <c r="M610" s="14" t="s">
        <v>4671</v>
      </c>
      <c r="N610" s="14"/>
      <c r="O610" s="14" t="s">
        <v>4672</v>
      </c>
      <c r="P610" s="14" t="str">
        <f>HYPERLINK("https://ceds.ed.gov/cedselementdetails.aspx?termid=17115")</f>
        <v>https://ceds.ed.gov/cedselementdetails.aspx?termid=17115</v>
      </c>
      <c r="Q610" s="14" t="str">
        <f>HYPERLINK("https://ceds.ed.gov/elementComment.aspx?elementName=First Name &amp;elementID=17115", "Click here to submit comment")</f>
        <v>Click here to submit comment</v>
      </c>
      <c r="R610" s="14">
        <v>50315</v>
      </c>
    </row>
    <row r="611" spans="1:18" x14ac:dyDescent="0.25">
      <c r="A611" s="16" t="s">
        <v>8529</v>
      </c>
      <c r="B611" s="16" t="s">
        <v>8686</v>
      </c>
      <c r="C611" s="16" t="s">
        <v>8710</v>
      </c>
      <c r="D611" s="16" t="s">
        <v>8531</v>
      </c>
      <c r="E611" s="16" t="s">
        <v>6223</v>
      </c>
      <c r="F611" s="16" t="s">
        <v>6224</v>
      </c>
      <c r="G611" s="16" t="s">
        <v>37</v>
      </c>
      <c r="H611" s="16" t="s">
        <v>4673</v>
      </c>
      <c r="I611" s="16"/>
      <c r="J611" s="16" t="s">
        <v>1468</v>
      </c>
      <c r="K611" s="16"/>
      <c r="L611" s="14" t="s">
        <v>4746</v>
      </c>
      <c r="M611" s="16" t="s">
        <v>6226</v>
      </c>
      <c r="N611" s="16"/>
      <c r="O611" s="16" t="s">
        <v>6227</v>
      </c>
      <c r="P611" s="16" t="str">
        <f>HYPERLINK("https://ceds.ed.gov/cedselementdetails.aspx?termid=17184")</f>
        <v>https://ceds.ed.gov/cedselementdetails.aspx?termid=17184</v>
      </c>
      <c r="Q611" s="16" t="str">
        <f>HYPERLINK("https://ceds.ed.gov/elementComment.aspx?elementName=Middle Name &amp;elementID=17184", "Click here to submit comment")</f>
        <v>Click here to submit comment</v>
      </c>
      <c r="R611" s="16">
        <v>50316</v>
      </c>
    </row>
    <row r="612" spans="1:18" ht="90" x14ac:dyDescent="0.25">
      <c r="A612" s="16"/>
      <c r="B612" s="16"/>
      <c r="C612" s="16"/>
      <c r="D612" s="16"/>
      <c r="E612" s="16"/>
      <c r="F612" s="16"/>
      <c r="G612" s="16"/>
      <c r="H612" s="16"/>
      <c r="I612" s="16"/>
      <c r="J612" s="16"/>
      <c r="K612" s="16"/>
      <c r="L612" s="14" t="s">
        <v>4750</v>
      </c>
      <c r="M612" s="16"/>
      <c r="N612" s="16"/>
      <c r="O612" s="16"/>
      <c r="P612" s="16"/>
      <c r="Q612" s="16"/>
      <c r="R612" s="16"/>
    </row>
    <row r="613" spans="1:18" x14ac:dyDescent="0.25">
      <c r="A613" s="16" t="s">
        <v>8529</v>
      </c>
      <c r="B613" s="16" t="s">
        <v>8686</v>
      </c>
      <c r="C613" s="16" t="s">
        <v>8710</v>
      </c>
      <c r="D613" s="16" t="s">
        <v>8531</v>
      </c>
      <c r="E613" s="16" t="s">
        <v>5727</v>
      </c>
      <c r="F613" s="16" t="s">
        <v>5728</v>
      </c>
      <c r="G613" s="16" t="s">
        <v>37</v>
      </c>
      <c r="H613" s="16" t="s">
        <v>4673</v>
      </c>
      <c r="I613" s="16"/>
      <c r="J613" s="16" t="s">
        <v>1468</v>
      </c>
      <c r="K613" s="16"/>
      <c r="L613" s="14" t="s">
        <v>4746</v>
      </c>
      <c r="M613" s="16" t="s">
        <v>5729</v>
      </c>
      <c r="N613" s="16" t="s">
        <v>5730</v>
      </c>
      <c r="O613" s="16" t="s">
        <v>5731</v>
      </c>
      <c r="P613" s="16" t="str">
        <f>HYPERLINK("https://ceds.ed.gov/cedselementdetails.aspx?termid=17172")</f>
        <v>https://ceds.ed.gov/cedselementdetails.aspx?termid=17172</v>
      </c>
      <c r="Q613" s="16" t="str">
        <f>HYPERLINK("https://ceds.ed.gov/elementComment.aspx?elementName=Last or Surname &amp;elementID=17172", "Click here to submit comment")</f>
        <v>Click here to submit comment</v>
      </c>
      <c r="R613" s="16">
        <v>50317</v>
      </c>
    </row>
    <row r="614" spans="1:18" ht="90" x14ac:dyDescent="0.25">
      <c r="A614" s="16"/>
      <c r="B614" s="16"/>
      <c r="C614" s="16"/>
      <c r="D614" s="16"/>
      <c r="E614" s="16"/>
      <c r="F614" s="16"/>
      <c r="G614" s="16"/>
      <c r="H614" s="16"/>
      <c r="I614" s="16"/>
      <c r="J614" s="16"/>
      <c r="K614" s="16"/>
      <c r="L614" s="14" t="s">
        <v>4750</v>
      </c>
      <c r="M614" s="16"/>
      <c r="N614" s="16"/>
      <c r="O614" s="16"/>
      <c r="P614" s="16"/>
      <c r="Q614" s="16"/>
      <c r="R614" s="16"/>
    </row>
    <row r="615" spans="1:18" x14ac:dyDescent="0.25">
      <c r="A615" s="16" t="s">
        <v>8529</v>
      </c>
      <c r="B615" s="16" t="s">
        <v>8686</v>
      </c>
      <c r="C615" s="16" t="s">
        <v>8710</v>
      </c>
      <c r="D615" s="16" t="s">
        <v>8531</v>
      </c>
      <c r="E615" s="16" t="s">
        <v>4743</v>
      </c>
      <c r="F615" s="16" t="s">
        <v>4744</v>
      </c>
      <c r="G615" s="16" t="s">
        <v>37</v>
      </c>
      <c r="H615" s="16" t="s">
        <v>4749</v>
      </c>
      <c r="I615" s="16"/>
      <c r="J615" s="16" t="s">
        <v>3096</v>
      </c>
      <c r="K615" s="16"/>
      <c r="L615" s="14" t="s">
        <v>4746</v>
      </c>
      <c r="M615" s="16" t="s">
        <v>4747</v>
      </c>
      <c r="N615" s="16"/>
      <c r="O615" s="16" t="s">
        <v>4748</v>
      </c>
      <c r="P615" s="16" t="str">
        <f>HYPERLINK("https://ceds.ed.gov/cedselementdetails.aspx?termid=17121")</f>
        <v>https://ceds.ed.gov/cedselementdetails.aspx?termid=17121</v>
      </c>
      <c r="Q615" s="16" t="str">
        <f>HYPERLINK("https://ceds.ed.gov/elementComment.aspx?elementName=Generation Code or Suffix &amp;elementID=17121", "Click here to submit comment")</f>
        <v>Click here to submit comment</v>
      </c>
      <c r="R615" s="16">
        <v>50319</v>
      </c>
    </row>
    <row r="616" spans="1:18" ht="90" x14ac:dyDescent="0.25">
      <c r="A616" s="16"/>
      <c r="B616" s="16"/>
      <c r="C616" s="16"/>
      <c r="D616" s="16"/>
      <c r="E616" s="16"/>
      <c r="F616" s="16"/>
      <c r="G616" s="16"/>
      <c r="H616" s="16"/>
      <c r="I616" s="16"/>
      <c r="J616" s="16"/>
      <c r="K616" s="16"/>
      <c r="L616" s="14" t="s">
        <v>4750</v>
      </c>
      <c r="M616" s="16"/>
      <c r="N616" s="16"/>
      <c r="O616" s="16"/>
      <c r="P616" s="16"/>
      <c r="Q616" s="16"/>
      <c r="R616" s="16"/>
    </row>
    <row r="617" spans="1:18" ht="90" x14ac:dyDescent="0.25">
      <c r="A617" s="14" t="s">
        <v>8529</v>
      </c>
      <c r="B617" s="14" t="s">
        <v>8686</v>
      </c>
      <c r="C617" s="14" t="s">
        <v>8710</v>
      </c>
      <c r="D617" s="14" t="s">
        <v>8531</v>
      </c>
      <c r="E617" s="14" t="s">
        <v>6758</v>
      </c>
      <c r="F617" s="14" t="s">
        <v>6759</v>
      </c>
      <c r="G617" s="14" t="s">
        <v>37</v>
      </c>
      <c r="H617" s="14" t="s">
        <v>72</v>
      </c>
      <c r="I617" s="14"/>
      <c r="J617" s="14" t="s">
        <v>1510</v>
      </c>
      <c r="K617" s="14"/>
      <c r="L617" s="14"/>
      <c r="M617" s="14" t="s">
        <v>6761</v>
      </c>
      <c r="N617" s="14"/>
      <c r="O617" s="14" t="s">
        <v>6762</v>
      </c>
      <c r="P617" s="14" t="str">
        <f>HYPERLINK("https://ceds.ed.gov/cedselementdetails.aspx?termid=17213")</f>
        <v>https://ceds.ed.gov/cedselementdetails.aspx?termid=17213</v>
      </c>
      <c r="Q617" s="14" t="str">
        <f>HYPERLINK("https://ceds.ed.gov/elementComment.aspx?elementName=Position Title &amp;elementID=17213", "Click here to submit comment")</f>
        <v>Click here to submit comment</v>
      </c>
      <c r="R617" s="14">
        <v>50314</v>
      </c>
    </row>
    <row r="618" spans="1:18" ht="180" x14ac:dyDescent="0.25">
      <c r="A618" s="14" t="s">
        <v>8529</v>
      </c>
      <c r="B618" s="14" t="s">
        <v>8686</v>
      </c>
      <c r="C618" s="14" t="s">
        <v>8710</v>
      </c>
      <c r="D618" s="14" t="s">
        <v>8531</v>
      </c>
      <c r="E618" s="14" t="s">
        <v>3898</v>
      </c>
      <c r="F618" s="14" t="s">
        <v>3899</v>
      </c>
      <c r="G618" s="8" t="s">
        <v>8711</v>
      </c>
      <c r="H618" s="14"/>
      <c r="I618" s="14"/>
      <c r="J618" s="14"/>
      <c r="K618" s="14"/>
      <c r="L618" s="14"/>
      <c r="M618" s="14" t="s">
        <v>3902</v>
      </c>
      <c r="N618" s="14"/>
      <c r="O618" s="14" t="s">
        <v>3903</v>
      </c>
      <c r="P618" s="14" t="str">
        <f>HYPERLINK("https://ceds.ed.gov/cedselementdetails.aspx?termid=18585")</f>
        <v>https://ceds.ed.gov/cedselementdetails.aspx?termid=18585</v>
      </c>
      <c r="Q618" s="14" t="str">
        <f>HYPERLINK("https://ceds.ed.gov/elementComment.aspx?elementName=Early Learning Trainer Core Knowledge Area &amp;elementID=18585", "Click here to submit comment")</f>
        <v>Click here to submit comment</v>
      </c>
      <c r="R618" s="14">
        <v>51075</v>
      </c>
    </row>
    <row r="619" spans="1:18" ht="90" x14ac:dyDescent="0.25">
      <c r="A619" s="14" t="s">
        <v>8529</v>
      </c>
      <c r="B619" s="14" t="s">
        <v>8686</v>
      </c>
      <c r="C619" s="14" t="s">
        <v>8710</v>
      </c>
      <c r="D619" s="14" t="s">
        <v>8531</v>
      </c>
      <c r="E619" s="14" t="s">
        <v>8342</v>
      </c>
      <c r="F619" s="14" t="s">
        <v>8343</v>
      </c>
      <c r="G619" s="14" t="s">
        <v>37</v>
      </c>
      <c r="H619" s="14"/>
      <c r="I619" s="14"/>
      <c r="J619" s="14" t="s">
        <v>874</v>
      </c>
      <c r="K619" s="14"/>
      <c r="L619" s="6" t="s">
        <v>7984</v>
      </c>
      <c r="M619" s="14" t="s">
        <v>8344</v>
      </c>
      <c r="N619" s="14"/>
      <c r="O619" s="14" t="s">
        <v>8345</v>
      </c>
      <c r="P619" s="14" t="str">
        <f>HYPERLINK("https://ceds.ed.gov/cedselementdetails.aspx?termid=18609")</f>
        <v>https://ceds.ed.gov/cedselementdetails.aspx?termid=18609</v>
      </c>
      <c r="Q619" s="14" t="str">
        <f>HYPERLINK("https://ceds.ed.gov/elementComment.aspx?elementName=Training and Technical Assistance Level &amp;elementID=18609", "Click here to submit comment")</f>
        <v>Click here to submit comment</v>
      </c>
      <c r="R619" s="14">
        <v>51109</v>
      </c>
    </row>
    <row r="620" spans="1:18" ht="105" x14ac:dyDescent="0.25">
      <c r="A620" s="14" t="s">
        <v>8529</v>
      </c>
      <c r="B620" s="14" t="s">
        <v>8686</v>
      </c>
      <c r="C620" s="14" t="s">
        <v>8710</v>
      </c>
      <c r="D620" s="14" t="s">
        <v>8531</v>
      </c>
      <c r="E620" s="14" t="s">
        <v>232</v>
      </c>
      <c r="F620" s="14" t="s">
        <v>233</v>
      </c>
      <c r="G620" s="8" t="s">
        <v>8688</v>
      </c>
      <c r="H620" s="14" t="s">
        <v>238</v>
      </c>
      <c r="I620" s="14"/>
      <c r="J620" s="14" t="s">
        <v>97</v>
      </c>
      <c r="K620" s="14"/>
      <c r="L620" s="14"/>
      <c r="M620" s="14" t="s">
        <v>236</v>
      </c>
      <c r="N620" s="14"/>
      <c r="O620" s="14" t="s">
        <v>237</v>
      </c>
      <c r="P620" s="14" t="str">
        <f>HYPERLINK("https://ceds.ed.gov/cedselementdetails.aspx?termid=17698")</f>
        <v>https://ceds.ed.gov/cedselementdetails.aspx?termid=17698</v>
      </c>
      <c r="Q620" s="14" t="str">
        <f>HYPERLINK("https://ceds.ed.gov/elementComment.aspx?elementName=Address Type for Staff &amp;elementID=17698", "Click here to submit comment")</f>
        <v>Click here to submit comment</v>
      </c>
      <c r="R620" s="14">
        <v>50349</v>
      </c>
    </row>
    <row r="621" spans="1:18" ht="225" x14ac:dyDescent="0.25">
      <c r="A621" s="14" t="s">
        <v>8529</v>
      </c>
      <c r="B621" s="14" t="s">
        <v>8686</v>
      </c>
      <c r="C621" s="14" t="s">
        <v>8710</v>
      </c>
      <c r="D621" s="14" t="s">
        <v>8531</v>
      </c>
      <c r="E621" s="14" t="s">
        <v>214</v>
      </c>
      <c r="F621" s="14" t="s">
        <v>215</v>
      </c>
      <c r="G621" s="14" t="s">
        <v>37</v>
      </c>
      <c r="H621" s="14" t="s">
        <v>199</v>
      </c>
      <c r="I621" s="14" t="s">
        <v>195</v>
      </c>
      <c r="J621" s="14" t="s">
        <v>216</v>
      </c>
      <c r="K621" s="14" t="s">
        <v>196</v>
      </c>
      <c r="L621" s="14"/>
      <c r="M621" s="14" t="s">
        <v>217</v>
      </c>
      <c r="N621" s="14"/>
      <c r="O621" s="14" t="s">
        <v>218</v>
      </c>
      <c r="P621" s="14" t="str">
        <f>HYPERLINK("https://ceds.ed.gov/cedselementdetails.aspx?termid=17269")</f>
        <v>https://ceds.ed.gov/cedselementdetails.aspx?termid=17269</v>
      </c>
      <c r="Q621" s="14" t="str">
        <f>HYPERLINK("https://ceds.ed.gov/elementComment.aspx?elementName=Address Street Number and Name &amp;elementID=17269", "Click here to submit comment")</f>
        <v>Click here to submit comment</v>
      </c>
      <c r="R621" s="14">
        <v>50348</v>
      </c>
    </row>
    <row r="622" spans="1:18" ht="225" x14ac:dyDescent="0.25">
      <c r="A622" s="14" t="s">
        <v>8529</v>
      </c>
      <c r="B622" s="14" t="s">
        <v>8686</v>
      </c>
      <c r="C622" s="14" t="s">
        <v>8710</v>
      </c>
      <c r="D622" s="14" t="s">
        <v>8531</v>
      </c>
      <c r="E622" s="14" t="s">
        <v>192</v>
      </c>
      <c r="F622" s="14" t="s">
        <v>193</v>
      </c>
      <c r="G622" s="14" t="s">
        <v>37</v>
      </c>
      <c r="H622" s="14" t="s">
        <v>199</v>
      </c>
      <c r="I622" s="14" t="s">
        <v>195</v>
      </c>
      <c r="J622" s="14" t="s">
        <v>175</v>
      </c>
      <c r="K622" s="14" t="s">
        <v>196</v>
      </c>
      <c r="L622" s="14"/>
      <c r="M622" s="14" t="s">
        <v>197</v>
      </c>
      <c r="N622" s="14"/>
      <c r="O622" s="14" t="s">
        <v>198</v>
      </c>
      <c r="P622" s="14" t="str">
        <f>HYPERLINK("https://ceds.ed.gov/cedselementdetails.aspx?termid=17019")</f>
        <v>https://ceds.ed.gov/cedselementdetails.aspx?termid=17019</v>
      </c>
      <c r="Q622" s="14" t="str">
        <f>HYPERLINK("https://ceds.ed.gov/elementComment.aspx?elementName=Address Apartment Room or Suite Number &amp;elementID=17019", "Click here to submit comment")</f>
        <v>Click here to submit comment</v>
      </c>
      <c r="R622" s="14">
        <v>50344</v>
      </c>
    </row>
    <row r="623" spans="1:18" ht="225" x14ac:dyDescent="0.25">
      <c r="A623" s="14" t="s">
        <v>8529</v>
      </c>
      <c r="B623" s="14" t="s">
        <v>8686</v>
      </c>
      <c r="C623" s="14" t="s">
        <v>8710</v>
      </c>
      <c r="D623" s="14" t="s">
        <v>8531</v>
      </c>
      <c r="E623" s="14" t="s">
        <v>200</v>
      </c>
      <c r="F623" s="14" t="s">
        <v>201</v>
      </c>
      <c r="G623" s="14" t="s">
        <v>37</v>
      </c>
      <c r="H623" s="14" t="s">
        <v>199</v>
      </c>
      <c r="I623" s="14"/>
      <c r="J623" s="14" t="s">
        <v>97</v>
      </c>
      <c r="K623" s="14"/>
      <c r="L623" s="14"/>
      <c r="M623" s="14" t="s">
        <v>202</v>
      </c>
      <c r="N623" s="14"/>
      <c r="O623" s="14" t="s">
        <v>203</v>
      </c>
      <c r="P623" s="14" t="str">
        <f>HYPERLINK("https://ceds.ed.gov/cedselementdetails.aspx?termid=17040")</f>
        <v>https://ceds.ed.gov/cedselementdetails.aspx?termid=17040</v>
      </c>
      <c r="Q623" s="14" t="str">
        <f>HYPERLINK("https://ceds.ed.gov/elementComment.aspx?elementName=Address City &amp;elementID=17040", "Click here to submit comment")</f>
        <v>Click here to submit comment</v>
      </c>
      <c r="R623" s="14">
        <v>50345</v>
      </c>
    </row>
    <row r="624" spans="1:18" ht="409.5" x14ac:dyDescent="0.25">
      <c r="A624" s="14" t="s">
        <v>8529</v>
      </c>
      <c r="B624" s="14" t="s">
        <v>8686</v>
      </c>
      <c r="C624" s="14" t="s">
        <v>8710</v>
      </c>
      <c r="D624" s="14" t="s">
        <v>8531</v>
      </c>
      <c r="E624" s="14" t="s">
        <v>7960</v>
      </c>
      <c r="F624" s="14" t="s">
        <v>7961</v>
      </c>
      <c r="G624" s="8" t="s">
        <v>8540</v>
      </c>
      <c r="H624" s="14" t="s">
        <v>7964</v>
      </c>
      <c r="I624" s="14"/>
      <c r="J624" s="14"/>
      <c r="K624" s="14"/>
      <c r="L624" s="14"/>
      <c r="M624" s="14" t="s">
        <v>7962</v>
      </c>
      <c r="N624" s="14"/>
      <c r="O624" s="14" t="s">
        <v>7963</v>
      </c>
      <c r="P624" s="14" t="str">
        <f>HYPERLINK("https://ceds.ed.gov/cedselementdetails.aspx?termid=17267")</f>
        <v>https://ceds.ed.gov/cedselementdetails.aspx?termid=17267</v>
      </c>
      <c r="Q624" s="14" t="str">
        <f>HYPERLINK("https://ceds.ed.gov/elementComment.aspx?elementName=State Abbreviation &amp;elementID=17267", "Click here to submit comment")</f>
        <v>Click here to submit comment</v>
      </c>
      <c r="R624" s="14">
        <v>50346</v>
      </c>
    </row>
    <row r="625" spans="1:18" ht="225" x14ac:dyDescent="0.25">
      <c r="A625" s="14" t="s">
        <v>8529</v>
      </c>
      <c r="B625" s="14" t="s">
        <v>8686</v>
      </c>
      <c r="C625" s="14" t="s">
        <v>8710</v>
      </c>
      <c r="D625" s="14" t="s">
        <v>8531</v>
      </c>
      <c r="E625" s="14" t="s">
        <v>209</v>
      </c>
      <c r="F625" s="14" t="s">
        <v>210</v>
      </c>
      <c r="G625" s="14" t="s">
        <v>37</v>
      </c>
      <c r="H625" s="14" t="s">
        <v>199</v>
      </c>
      <c r="I625" s="14"/>
      <c r="J625" s="14" t="s">
        <v>211</v>
      </c>
      <c r="K625" s="14"/>
      <c r="L625" s="14"/>
      <c r="M625" s="14" t="s">
        <v>212</v>
      </c>
      <c r="N625" s="14"/>
      <c r="O625" s="14" t="s">
        <v>213</v>
      </c>
      <c r="P625" s="14" t="str">
        <f>HYPERLINK("https://ceds.ed.gov/cedselementdetails.aspx?termid=17214")</f>
        <v>https://ceds.ed.gov/cedselementdetails.aspx?termid=17214</v>
      </c>
      <c r="Q625" s="14" t="str">
        <f>HYPERLINK("https://ceds.ed.gov/elementComment.aspx?elementName=Address Postal Code &amp;elementID=17214", "Click here to submit comment")</f>
        <v>Click here to submit comment</v>
      </c>
      <c r="R625" s="14">
        <v>50347</v>
      </c>
    </row>
    <row r="626" spans="1:18" ht="90" x14ac:dyDescent="0.25">
      <c r="A626" s="14" t="s">
        <v>8529</v>
      </c>
      <c r="B626" s="14" t="s">
        <v>8686</v>
      </c>
      <c r="C626" s="14" t="s">
        <v>8710</v>
      </c>
      <c r="D626" s="14" t="s">
        <v>8531</v>
      </c>
      <c r="E626" s="14" t="s">
        <v>6865</v>
      </c>
      <c r="F626" s="14" t="s">
        <v>6866</v>
      </c>
      <c r="G626" s="14" t="s">
        <v>24</v>
      </c>
      <c r="H626" s="14" t="s">
        <v>72</v>
      </c>
      <c r="I626" s="14"/>
      <c r="J626" s="14"/>
      <c r="K626" s="14"/>
      <c r="L626" s="14"/>
      <c r="M626" s="14" t="s">
        <v>6868</v>
      </c>
      <c r="N626" s="14"/>
      <c r="O626" s="14" t="s">
        <v>6869</v>
      </c>
      <c r="P626" s="14" t="str">
        <f>HYPERLINK("https://ceds.ed.gov/cedselementdetails.aspx?termid=17219")</f>
        <v>https://ceds.ed.gov/cedselementdetails.aspx?termid=17219</v>
      </c>
      <c r="Q626" s="14" t="str">
        <f>HYPERLINK("https://ceds.ed.gov/elementComment.aspx?elementName=Primary Telephone Number Indicator &amp;elementID=17219", "Click here to submit comment")</f>
        <v>Click here to submit comment</v>
      </c>
      <c r="R626" s="14">
        <v>50326</v>
      </c>
    </row>
    <row r="627" spans="1:18" ht="90" x14ac:dyDescent="0.25">
      <c r="A627" s="14" t="s">
        <v>8529</v>
      </c>
      <c r="B627" s="14" t="s">
        <v>8686</v>
      </c>
      <c r="C627" s="14" t="s">
        <v>8710</v>
      </c>
      <c r="D627" s="14" t="s">
        <v>8531</v>
      </c>
      <c r="E627" s="14" t="s">
        <v>8229</v>
      </c>
      <c r="F627" s="14" t="s">
        <v>8230</v>
      </c>
      <c r="G627" s="8" t="s">
        <v>8550</v>
      </c>
      <c r="H627" s="14" t="s">
        <v>72</v>
      </c>
      <c r="I627" s="14"/>
      <c r="J627" s="14" t="s">
        <v>2870</v>
      </c>
      <c r="K627" s="14"/>
      <c r="L627" s="14"/>
      <c r="M627" s="14" t="s">
        <v>8233</v>
      </c>
      <c r="N627" s="14"/>
      <c r="O627" s="14" t="s">
        <v>8234</v>
      </c>
      <c r="P627" s="14" t="str">
        <f>HYPERLINK("https://ceds.ed.gov/cedselementdetails.aspx?termid=17280")</f>
        <v>https://ceds.ed.gov/cedselementdetails.aspx?termid=17280</v>
      </c>
      <c r="Q627" s="14" t="str">
        <f>HYPERLINK("https://ceds.ed.gov/elementComment.aspx?elementName=Telephone Number Type &amp;elementID=17280", "Click here to submit comment")</f>
        <v>Click here to submit comment</v>
      </c>
      <c r="R627" s="14">
        <v>50448</v>
      </c>
    </row>
    <row r="628" spans="1:18" ht="90" x14ac:dyDescent="0.25">
      <c r="A628" s="14" t="s">
        <v>8529</v>
      </c>
      <c r="B628" s="14" t="s">
        <v>8686</v>
      </c>
      <c r="C628" s="14" t="s">
        <v>8710</v>
      </c>
      <c r="D628" s="14" t="s">
        <v>8531</v>
      </c>
      <c r="E628" s="14" t="s">
        <v>8217</v>
      </c>
      <c r="F628" s="14" t="s">
        <v>8218</v>
      </c>
      <c r="G628" s="14" t="s">
        <v>37</v>
      </c>
      <c r="H628" s="14" t="s">
        <v>72</v>
      </c>
      <c r="I628" s="14"/>
      <c r="J628" s="14" t="s">
        <v>8220</v>
      </c>
      <c r="K628" s="14"/>
      <c r="L628" s="14"/>
      <c r="M628" s="14" t="s">
        <v>8221</v>
      </c>
      <c r="N628" s="14"/>
      <c r="O628" s="14" t="s">
        <v>8222</v>
      </c>
      <c r="P628" s="14" t="str">
        <f>HYPERLINK("https://ceds.ed.gov/cedselementdetails.aspx?termid=17279")</f>
        <v>https://ceds.ed.gov/cedselementdetails.aspx?termid=17279</v>
      </c>
      <c r="Q628" s="14" t="str">
        <f>HYPERLINK("https://ceds.ed.gov/elementComment.aspx?elementName=Telephone Number &amp;elementID=17279", "Click here to submit comment")</f>
        <v>Click here to submit comment</v>
      </c>
      <c r="R628" s="14">
        <v>50446</v>
      </c>
    </row>
    <row r="629" spans="1:18" ht="195" x14ac:dyDescent="0.25">
      <c r="A629" s="14" t="s">
        <v>8529</v>
      </c>
      <c r="B629" s="14" t="s">
        <v>8686</v>
      </c>
      <c r="C629" s="14" t="s">
        <v>8710</v>
      </c>
      <c r="D629" s="14" t="s">
        <v>8541</v>
      </c>
      <c r="E629" s="14" t="s">
        <v>2860</v>
      </c>
      <c r="F629" s="14" t="s">
        <v>2861</v>
      </c>
      <c r="G629" s="14" t="s">
        <v>37</v>
      </c>
      <c r="H629" s="14"/>
      <c r="I629" s="14" t="s">
        <v>195</v>
      </c>
      <c r="J629" s="14" t="s">
        <v>2863</v>
      </c>
      <c r="K629" s="14" t="s">
        <v>2864</v>
      </c>
      <c r="L629" s="14"/>
      <c r="M629" s="14" t="s">
        <v>2865</v>
      </c>
      <c r="N629" s="14"/>
      <c r="O629" s="14" t="s">
        <v>2866</v>
      </c>
      <c r="P629" s="14" t="str">
        <f>HYPERLINK("https://ceds.ed.gov/cedselementdetails.aspx?termid=18176")</f>
        <v>https://ceds.ed.gov/cedselementdetails.aspx?termid=18176</v>
      </c>
      <c r="Q629" s="14" t="str">
        <f>HYPERLINK("https://ceds.ed.gov/elementComment.aspx?elementName=County ANSI Code &amp;elementID=18176", "Click here to submit comment")</f>
        <v>Click here to submit comment</v>
      </c>
      <c r="R629" s="14">
        <v>52289</v>
      </c>
    </row>
    <row r="630" spans="1:18" ht="60" x14ac:dyDescent="0.25">
      <c r="A630" s="14" t="s">
        <v>8529</v>
      </c>
      <c r="B630" s="14" t="s">
        <v>8686</v>
      </c>
      <c r="C630" s="14" t="s">
        <v>8710</v>
      </c>
      <c r="D630" s="14" t="s">
        <v>8541</v>
      </c>
      <c r="E630" s="14" t="s">
        <v>3651</v>
      </c>
      <c r="F630" s="14" t="s">
        <v>3652</v>
      </c>
      <c r="G630" s="14" t="s">
        <v>3430</v>
      </c>
      <c r="H630" s="14"/>
      <c r="I630" s="14" t="s">
        <v>188</v>
      </c>
      <c r="J630" s="14"/>
      <c r="K630" s="14" t="s">
        <v>1721</v>
      </c>
      <c r="L630" s="14"/>
      <c r="M630" s="14" t="s">
        <v>3654</v>
      </c>
      <c r="N630" s="14"/>
      <c r="O630" s="14" t="s">
        <v>3655</v>
      </c>
      <c r="P630" s="14" t="str">
        <f>HYPERLINK("https://ceds.ed.gov/cedselementdetails.aspx?termid=18905")</f>
        <v>https://ceds.ed.gov/cedselementdetails.aspx?termid=18905</v>
      </c>
      <c r="Q630" s="14" t="str">
        <f>HYPERLINK("https://ceds.ed.gov/elementComment.aspx?elementName=Do Not Publish Indicator &amp;elementID=18905", "Click here to submit comment")</f>
        <v>Click here to submit comment</v>
      </c>
      <c r="R630" s="14">
        <v>52290</v>
      </c>
    </row>
    <row r="631" spans="1:18" ht="60" x14ac:dyDescent="0.25">
      <c r="A631" s="14" t="s">
        <v>8529</v>
      </c>
      <c r="B631" s="14" t="s">
        <v>8686</v>
      </c>
      <c r="C631" s="14" t="s">
        <v>8710</v>
      </c>
      <c r="D631" s="14" t="s">
        <v>8541</v>
      </c>
      <c r="E631" s="14" t="s">
        <v>8223</v>
      </c>
      <c r="F631" s="14" t="s">
        <v>8224</v>
      </c>
      <c r="G631" s="8" t="s">
        <v>8544</v>
      </c>
      <c r="H631" s="14"/>
      <c r="I631" s="14" t="s">
        <v>188</v>
      </c>
      <c r="J631" s="14"/>
      <c r="K631" s="14" t="s">
        <v>1721</v>
      </c>
      <c r="L631" s="14"/>
      <c r="M631" s="14" t="s">
        <v>8227</v>
      </c>
      <c r="N631" s="14"/>
      <c r="O631" s="14" t="s">
        <v>8228</v>
      </c>
      <c r="P631" s="14" t="str">
        <f>HYPERLINK("https://ceds.ed.gov/cedselementdetails.aspx?termid=18911")</f>
        <v>https://ceds.ed.gov/cedselementdetails.aspx?termid=18911</v>
      </c>
      <c r="Q631" s="14" t="str">
        <f>HYPERLINK("https://ceds.ed.gov/elementComment.aspx?elementName=Telephone Number Listed Status &amp;elementID=18911", "Click here to submit comment")</f>
        <v>Click here to submit comment</v>
      </c>
      <c r="R631" s="14">
        <v>52291</v>
      </c>
    </row>
    <row r="632" spans="1:18" ht="105" x14ac:dyDescent="0.25">
      <c r="A632" s="14" t="s">
        <v>8529</v>
      </c>
      <c r="B632" s="14" t="s">
        <v>8686</v>
      </c>
      <c r="C632" s="14" t="s">
        <v>8712</v>
      </c>
      <c r="D632" s="14" t="s">
        <v>8531</v>
      </c>
      <c r="E632" s="14" t="s">
        <v>6923</v>
      </c>
      <c r="F632" s="14" t="s">
        <v>6924</v>
      </c>
      <c r="G632" s="14" t="s">
        <v>37</v>
      </c>
      <c r="H632" s="14" t="s">
        <v>238</v>
      </c>
      <c r="I632" s="14"/>
      <c r="J632" s="14" t="s">
        <v>149</v>
      </c>
      <c r="K632" s="14"/>
      <c r="L632" s="14" t="s">
        <v>150</v>
      </c>
      <c r="M632" s="14" t="s">
        <v>6925</v>
      </c>
      <c r="N632" s="14"/>
      <c r="O632" s="14" t="s">
        <v>6926</v>
      </c>
      <c r="P632" s="14" t="str">
        <f>HYPERLINK("https://ceds.ed.gov/cedselementdetails.aspx?termid=17808")</f>
        <v>https://ceds.ed.gov/cedselementdetails.aspx?termid=17808</v>
      </c>
      <c r="Q632" s="14" t="str">
        <f>HYPERLINK("https://ceds.ed.gov/elementComment.aspx?elementName=Professional Development Activity Identifier &amp;elementID=17808", "Click here to submit comment")</f>
        <v>Click here to submit comment</v>
      </c>
      <c r="R632" s="14">
        <v>49256</v>
      </c>
    </row>
    <row r="633" spans="1:18" ht="45" x14ac:dyDescent="0.25">
      <c r="A633" s="14" t="s">
        <v>8529</v>
      </c>
      <c r="B633" s="14" t="s">
        <v>8686</v>
      </c>
      <c r="C633" s="14" t="s">
        <v>8712</v>
      </c>
      <c r="D633" s="14" t="s">
        <v>8531</v>
      </c>
      <c r="E633" s="14" t="s">
        <v>6946</v>
      </c>
      <c r="F633" s="14" t="s">
        <v>6947</v>
      </c>
      <c r="G633" s="14" t="s">
        <v>37</v>
      </c>
      <c r="H633" s="14" t="s">
        <v>238</v>
      </c>
      <c r="I633" s="14"/>
      <c r="J633" s="14" t="s">
        <v>175</v>
      </c>
      <c r="K633" s="14"/>
      <c r="L633" s="14"/>
      <c r="M633" s="14" t="s">
        <v>6948</v>
      </c>
      <c r="N633" s="14"/>
      <c r="O633" s="14" t="s">
        <v>6949</v>
      </c>
      <c r="P633" s="14" t="str">
        <f>HYPERLINK("https://ceds.ed.gov/cedselementdetails.aspx?termid=17809")</f>
        <v>https://ceds.ed.gov/cedselementdetails.aspx?termid=17809</v>
      </c>
      <c r="Q633" s="14" t="str">
        <f>HYPERLINK("https://ceds.ed.gov/elementComment.aspx?elementName=Professional Development Activity Title &amp;elementID=17809", "Click here to submit comment")</f>
        <v>Click here to submit comment</v>
      </c>
      <c r="R633" s="14">
        <v>50340</v>
      </c>
    </row>
    <row r="634" spans="1:18" ht="210" x14ac:dyDescent="0.25">
      <c r="A634" s="14" t="s">
        <v>8529</v>
      </c>
      <c r="B634" s="14" t="s">
        <v>8686</v>
      </c>
      <c r="C634" s="14" t="s">
        <v>8712</v>
      </c>
      <c r="D634" s="14" t="s">
        <v>8531</v>
      </c>
      <c r="E634" s="14" t="s">
        <v>6950</v>
      </c>
      <c r="F634" s="14" t="s">
        <v>6951</v>
      </c>
      <c r="G634" s="8" t="s">
        <v>8713</v>
      </c>
      <c r="H634" s="14"/>
      <c r="I634" s="14"/>
      <c r="J634" s="14"/>
      <c r="K634" s="14"/>
      <c r="L634" s="14" t="s">
        <v>6953</v>
      </c>
      <c r="M634" s="14" t="s">
        <v>6954</v>
      </c>
      <c r="N634" s="14"/>
      <c r="O634" s="14" t="s">
        <v>6955</v>
      </c>
      <c r="P634" s="14" t="str">
        <f>HYPERLINK("https://ceds.ed.gov/cedselementdetails.aspx?termid=18412")</f>
        <v>https://ceds.ed.gov/cedselementdetails.aspx?termid=18412</v>
      </c>
      <c r="Q634" s="14" t="str">
        <f>HYPERLINK("https://ceds.ed.gov/elementComment.aspx?elementName=Professional Development Activity Type &amp;elementID=18412", "Click here to submit comment")</f>
        <v>Click here to submit comment</v>
      </c>
      <c r="R634" s="14">
        <v>50341</v>
      </c>
    </row>
    <row r="635" spans="1:18" ht="45" x14ac:dyDescent="0.25">
      <c r="A635" s="14" t="s">
        <v>8529</v>
      </c>
      <c r="B635" s="14" t="s">
        <v>8686</v>
      </c>
      <c r="C635" s="14" t="s">
        <v>8712</v>
      </c>
      <c r="D635" s="14" t="s">
        <v>8531</v>
      </c>
      <c r="E635" s="14" t="s">
        <v>6909</v>
      </c>
      <c r="F635" s="14" t="s">
        <v>6910</v>
      </c>
      <c r="G635" s="14" t="s">
        <v>37</v>
      </c>
      <c r="H635" s="14"/>
      <c r="I635" s="14"/>
      <c r="J635" s="14" t="s">
        <v>382</v>
      </c>
      <c r="K635" s="14"/>
      <c r="L635" s="14"/>
      <c r="M635" s="14" t="s">
        <v>6911</v>
      </c>
      <c r="N635" s="14"/>
      <c r="O635" s="14" t="s">
        <v>6912</v>
      </c>
      <c r="P635" s="14" t="str">
        <f>HYPERLINK("https://ceds.ed.gov/cedselementdetails.aspx?termid=18408")</f>
        <v>https://ceds.ed.gov/cedselementdetails.aspx?termid=18408</v>
      </c>
      <c r="Q635" s="14" t="str">
        <f>HYPERLINK("https://ceds.ed.gov/elementComment.aspx?elementName=Professional Development Activity Description &amp;elementID=18408", "Click here to submit comment")</f>
        <v>Click here to submit comment</v>
      </c>
      <c r="R635" s="14">
        <v>50337</v>
      </c>
    </row>
    <row r="636" spans="1:18" ht="409.5" x14ac:dyDescent="0.25">
      <c r="A636" s="14" t="s">
        <v>8529</v>
      </c>
      <c r="B636" s="14" t="s">
        <v>8686</v>
      </c>
      <c r="C636" s="14" t="s">
        <v>8712</v>
      </c>
      <c r="D636" s="14" t="s">
        <v>8531</v>
      </c>
      <c r="E636" s="14" t="s">
        <v>6913</v>
      </c>
      <c r="F636" s="14" t="s">
        <v>6914</v>
      </c>
      <c r="G636" s="8" t="s">
        <v>8714</v>
      </c>
      <c r="H636" s="14"/>
      <c r="I636" s="14"/>
      <c r="J636" s="14"/>
      <c r="K636" s="14"/>
      <c r="L636" s="14" t="s">
        <v>6916</v>
      </c>
      <c r="M636" s="14" t="s">
        <v>6917</v>
      </c>
      <c r="N636" s="14"/>
      <c r="O636" s="14" t="s">
        <v>6918</v>
      </c>
      <c r="P636" s="14" t="str">
        <f>HYPERLINK("https://ceds.ed.gov/cedselementdetails.aspx?termid=18245")</f>
        <v>https://ceds.ed.gov/cedselementdetails.aspx?termid=18245</v>
      </c>
      <c r="Q636" s="14" t="str">
        <f>HYPERLINK("https://ceds.ed.gov/elementComment.aspx?elementName=Professional Development Activity Education Levels Addressed &amp;elementID=18245", "Click here to submit comment")</f>
        <v>Click here to submit comment</v>
      </c>
      <c r="R636" s="14">
        <v>50062</v>
      </c>
    </row>
    <row r="637" spans="1:18" ht="45" x14ac:dyDescent="0.25">
      <c r="A637" s="14" t="s">
        <v>8529</v>
      </c>
      <c r="B637" s="14" t="s">
        <v>8686</v>
      </c>
      <c r="C637" s="14" t="s">
        <v>8712</v>
      </c>
      <c r="D637" s="14" t="s">
        <v>8531</v>
      </c>
      <c r="E637" s="14" t="s">
        <v>6932</v>
      </c>
      <c r="F637" s="14" t="s">
        <v>6933</v>
      </c>
      <c r="G637" s="14" t="s">
        <v>37</v>
      </c>
      <c r="H637" s="14"/>
      <c r="I637" s="14"/>
      <c r="J637" s="14" t="s">
        <v>382</v>
      </c>
      <c r="K637" s="14"/>
      <c r="L637" s="14"/>
      <c r="M637" s="14" t="s">
        <v>6934</v>
      </c>
      <c r="N637" s="14"/>
      <c r="O637" s="14" t="s">
        <v>6935</v>
      </c>
      <c r="P637" s="14" t="str">
        <f>HYPERLINK("https://ceds.ed.gov/cedselementdetails.aspx?termid=18410")</f>
        <v>https://ceds.ed.gov/cedselementdetails.aspx?termid=18410</v>
      </c>
      <c r="Q637" s="14" t="str">
        <f>HYPERLINK("https://ceds.ed.gov/elementComment.aspx?elementName=Professional Development Activity Objective &amp;elementID=18410", "Click here to submit comment")</f>
        <v>Click here to submit comment</v>
      </c>
      <c r="R637" s="14">
        <v>50338</v>
      </c>
    </row>
    <row r="638" spans="1:18" ht="60" x14ac:dyDescent="0.25">
      <c r="A638" s="14" t="s">
        <v>8529</v>
      </c>
      <c r="B638" s="14" t="s">
        <v>8686</v>
      </c>
      <c r="C638" s="14" t="s">
        <v>8712</v>
      </c>
      <c r="D638" s="14" t="s">
        <v>8531</v>
      </c>
      <c r="E638" s="14" t="s">
        <v>6927</v>
      </c>
      <c r="F638" s="14" t="s">
        <v>6928</v>
      </c>
      <c r="G638" s="8" t="s">
        <v>8715</v>
      </c>
      <c r="H638" s="14"/>
      <c r="I638" s="14"/>
      <c r="J638" s="14"/>
      <c r="K638" s="14"/>
      <c r="L638" s="14"/>
      <c r="M638" s="14" t="s">
        <v>6930</v>
      </c>
      <c r="N638" s="14"/>
      <c r="O638" s="14" t="s">
        <v>6931</v>
      </c>
      <c r="P638" s="14" t="str">
        <f>HYPERLINK("https://ceds.ed.gov/cedselementdetails.aspx?termid=18409")</f>
        <v>https://ceds.ed.gov/cedselementdetails.aspx?termid=18409</v>
      </c>
      <c r="Q638" s="14" t="str">
        <f>HYPERLINK("https://ceds.ed.gov/elementComment.aspx?elementName=Professional Development Activity Level &amp;elementID=18409", "Click here to submit comment")</f>
        <v>Click here to submit comment</v>
      </c>
      <c r="R638" s="14">
        <v>50339</v>
      </c>
    </row>
    <row r="639" spans="1:18" ht="75" x14ac:dyDescent="0.25">
      <c r="A639" s="14" t="s">
        <v>8529</v>
      </c>
      <c r="B639" s="14" t="s">
        <v>8686</v>
      </c>
      <c r="C639" s="14" t="s">
        <v>8712</v>
      </c>
      <c r="D639" s="14" t="s">
        <v>8531</v>
      </c>
      <c r="E639" s="14" t="s">
        <v>6900</v>
      </c>
      <c r="F639" s="14" t="s">
        <v>6901</v>
      </c>
      <c r="G639" s="8" t="s">
        <v>8716</v>
      </c>
      <c r="H639" s="14"/>
      <c r="I639" s="14"/>
      <c r="J639" s="14"/>
      <c r="K639" s="14"/>
      <c r="L639" s="14"/>
      <c r="M639" s="14" t="s">
        <v>6903</v>
      </c>
      <c r="N639" s="14"/>
      <c r="O639" s="14" t="s">
        <v>6904</v>
      </c>
      <c r="P639" s="14" t="str">
        <f>HYPERLINK("https://ceds.ed.gov/cedselementdetails.aspx?termid=18406")</f>
        <v>https://ceds.ed.gov/cedselementdetails.aspx?termid=18406</v>
      </c>
      <c r="Q639" s="14" t="str">
        <f>HYPERLINK("https://ceds.ed.gov/elementComment.aspx?elementName=Professional Development Activity Credit Type &amp;elementID=18406", "Click here to submit comment")</f>
        <v>Click here to submit comment</v>
      </c>
      <c r="R639" s="14">
        <v>50335</v>
      </c>
    </row>
    <row r="640" spans="1:18" ht="45" x14ac:dyDescent="0.25">
      <c r="A640" s="14" t="s">
        <v>8529</v>
      </c>
      <c r="B640" s="14" t="s">
        <v>8686</v>
      </c>
      <c r="C640" s="14" t="s">
        <v>8712</v>
      </c>
      <c r="D640" s="14" t="s">
        <v>8531</v>
      </c>
      <c r="E640" s="14" t="s">
        <v>6905</v>
      </c>
      <c r="F640" s="14" t="s">
        <v>6906</v>
      </c>
      <c r="G640" s="14" t="s">
        <v>37</v>
      </c>
      <c r="H640" s="14"/>
      <c r="I640" s="14"/>
      <c r="J640" s="14" t="s">
        <v>1710</v>
      </c>
      <c r="K640" s="14"/>
      <c r="L640" s="14"/>
      <c r="M640" s="14" t="s">
        <v>6907</v>
      </c>
      <c r="N640" s="14"/>
      <c r="O640" s="14" t="s">
        <v>6908</v>
      </c>
      <c r="P640" s="14" t="str">
        <f>HYPERLINK("https://ceds.ed.gov/cedselementdetails.aspx?termid=18407")</f>
        <v>https://ceds.ed.gov/cedselementdetails.aspx?termid=18407</v>
      </c>
      <c r="Q640" s="14" t="str">
        <f>HYPERLINK("https://ceds.ed.gov/elementComment.aspx?elementName=Professional Development Activity Credits &amp;elementID=18407", "Click here to submit comment")</f>
        <v>Click here to submit comment</v>
      </c>
      <c r="R640" s="14">
        <v>50336</v>
      </c>
    </row>
    <row r="641" spans="1:18" ht="409.5" x14ac:dyDescent="0.25">
      <c r="A641" s="14" t="s">
        <v>8529</v>
      </c>
      <c r="B641" s="14" t="s">
        <v>8686</v>
      </c>
      <c r="C641" s="14" t="s">
        <v>8712</v>
      </c>
      <c r="D641" s="14" t="s">
        <v>8531</v>
      </c>
      <c r="E641" s="14" t="s">
        <v>6941</v>
      </c>
      <c r="F641" s="14" t="s">
        <v>6942</v>
      </c>
      <c r="G641" s="8" t="s">
        <v>8717</v>
      </c>
      <c r="H641" s="14"/>
      <c r="I641" s="14"/>
      <c r="J641" s="14"/>
      <c r="K641" s="14"/>
      <c r="L641" s="14"/>
      <c r="M641" s="14" t="s">
        <v>6944</v>
      </c>
      <c r="N641" s="14"/>
      <c r="O641" s="14" t="s">
        <v>6945</v>
      </c>
      <c r="P641" s="14" t="str">
        <f>HYPERLINK("https://ceds.ed.gov/cedselementdetails.aspx?termid=18464")</f>
        <v>https://ceds.ed.gov/cedselementdetails.aspx?termid=18464</v>
      </c>
      <c r="Q641" s="14" t="str">
        <f>HYPERLINK("https://ceds.ed.gov/elementComment.aspx?elementName=Professional Development Activity Target Audience &amp;elementID=18464", "Click here to submit comment")</f>
        <v>Click here to submit comment</v>
      </c>
      <c r="R641" s="14">
        <v>50432</v>
      </c>
    </row>
    <row r="642" spans="1:18" ht="90" x14ac:dyDescent="0.25">
      <c r="A642" s="14" t="s">
        <v>8529</v>
      </c>
      <c r="B642" s="14" t="s">
        <v>8686</v>
      </c>
      <c r="C642" s="14" t="s">
        <v>8712</v>
      </c>
      <c r="D642" s="14" t="s">
        <v>8531</v>
      </c>
      <c r="E642" s="14" t="s">
        <v>7024</v>
      </c>
      <c r="F642" s="14" t="s">
        <v>7025</v>
      </c>
      <c r="G642" s="14" t="s">
        <v>8527</v>
      </c>
      <c r="H642" s="14"/>
      <c r="I642" s="14" t="s">
        <v>195</v>
      </c>
      <c r="J642" s="14"/>
      <c r="K642" s="14" t="s">
        <v>1086</v>
      </c>
      <c r="L642" s="6" t="s">
        <v>1087</v>
      </c>
      <c r="M642" s="14" t="s">
        <v>7026</v>
      </c>
      <c r="N642" s="14"/>
      <c r="O642" s="14" t="s">
        <v>7027</v>
      </c>
      <c r="P642" s="14" t="str">
        <f>HYPERLINK("https://ceds.ed.gov/cedselementdetails.aspx?termid=18357")</f>
        <v>https://ceds.ed.gov/cedselementdetails.aspx?termid=18357</v>
      </c>
      <c r="Q642" s="14" t="str">
        <f>HYPERLINK("https://ceds.ed.gov/elementComment.aspx?elementName=Professional Development Session Language &amp;elementID=18357", "Click here to submit comment")</f>
        <v>Click here to submit comment</v>
      </c>
      <c r="R642" s="14">
        <v>50861</v>
      </c>
    </row>
    <row r="643" spans="1:18" ht="45" x14ac:dyDescent="0.25">
      <c r="A643" s="14" t="s">
        <v>8529</v>
      </c>
      <c r="B643" s="14" t="s">
        <v>8686</v>
      </c>
      <c r="C643" s="14" t="s">
        <v>8712</v>
      </c>
      <c r="D643" s="14" t="s">
        <v>8531</v>
      </c>
      <c r="E643" s="14" t="s">
        <v>6936</v>
      </c>
      <c r="F643" s="14" t="s">
        <v>6937</v>
      </c>
      <c r="G643" s="14" t="s">
        <v>24</v>
      </c>
      <c r="H643" s="14"/>
      <c r="I643" s="14"/>
      <c r="J643" s="14"/>
      <c r="K643" s="14"/>
      <c r="L643" s="14"/>
      <c r="M643" s="14" t="s">
        <v>6939</v>
      </c>
      <c r="N643" s="14"/>
      <c r="O643" s="14" t="s">
        <v>6940</v>
      </c>
      <c r="P643" s="14" t="str">
        <f>HYPERLINK("https://ceds.ed.gov/cedselementdetails.aspx?termid=18598")</f>
        <v>https://ceds.ed.gov/cedselementdetails.aspx?termid=18598</v>
      </c>
      <c r="Q643" s="14" t="str">
        <f>HYPERLINK("https://ceds.ed.gov/elementComment.aspx?elementName=Professional Development Activity State Approved Status &amp;elementID=18598", "Click here to submit comment")</f>
        <v>Click here to submit comment</v>
      </c>
      <c r="R643" s="14">
        <v>51097</v>
      </c>
    </row>
    <row r="644" spans="1:18" ht="60" x14ac:dyDescent="0.25">
      <c r="A644" s="14" t="s">
        <v>8529</v>
      </c>
      <c r="B644" s="14" t="s">
        <v>8686</v>
      </c>
      <c r="C644" s="14" t="s">
        <v>8712</v>
      </c>
      <c r="D644" s="14" t="s">
        <v>8531</v>
      </c>
      <c r="E644" s="14" t="s">
        <v>6919</v>
      </c>
      <c r="F644" s="14" t="s">
        <v>6920</v>
      </c>
      <c r="G644" s="14" t="s">
        <v>37</v>
      </c>
      <c r="H644" s="14"/>
      <c r="I644" s="14"/>
      <c r="J644" s="14" t="s">
        <v>135</v>
      </c>
      <c r="K644" s="14"/>
      <c r="L644" s="14"/>
      <c r="M644" s="14" t="s">
        <v>6921</v>
      </c>
      <c r="N644" s="14"/>
      <c r="O644" s="14" t="s">
        <v>6922</v>
      </c>
      <c r="P644" s="14" t="str">
        <f>HYPERLINK("https://ceds.ed.gov/cedselementdetails.aspx?termid=18421")</f>
        <v>https://ceds.ed.gov/cedselementdetails.aspx?termid=18421</v>
      </c>
      <c r="Q644" s="14" t="str">
        <f>HYPERLINK("https://ceds.ed.gov/elementComment.aspx?elementName=Professional Development Activity Expiration Date &amp;elementID=18421", "Click here to submit comment")</f>
        <v>Click here to submit comment</v>
      </c>
      <c r="R644" s="14">
        <v>50356</v>
      </c>
    </row>
    <row r="645" spans="1:18" ht="90" x14ac:dyDescent="0.25">
      <c r="A645" s="14" t="s">
        <v>8529</v>
      </c>
      <c r="B645" s="14" t="s">
        <v>8686</v>
      </c>
      <c r="C645" s="14" t="s">
        <v>8712</v>
      </c>
      <c r="D645" s="14" t="s">
        <v>8531</v>
      </c>
      <c r="E645" s="14" t="s">
        <v>6887</v>
      </c>
      <c r="F645" s="14" t="s">
        <v>6888</v>
      </c>
      <c r="G645" s="8" t="s">
        <v>8718</v>
      </c>
      <c r="H645" s="14"/>
      <c r="I645" s="14"/>
      <c r="J645" s="14"/>
      <c r="K645" s="14"/>
      <c r="L645" s="14"/>
      <c r="M645" s="14" t="s">
        <v>6890</v>
      </c>
      <c r="N645" s="14"/>
      <c r="O645" s="14" t="s">
        <v>6891</v>
      </c>
      <c r="P645" s="14" t="str">
        <f>HYPERLINK("https://ceds.ed.gov/cedselementdetails.aspx?termid=18403")</f>
        <v>https://ceds.ed.gov/cedselementdetails.aspx?termid=18403</v>
      </c>
      <c r="Q645" s="14" t="str">
        <f>HYPERLINK("https://ceds.ed.gov/elementComment.aspx?elementName=Professional Development Activity Approved Purpose &amp;elementID=18403", "Click here to submit comment")</f>
        <v>Click here to submit comment</v>
      </c>
      <c r="R645" s="14">
        <v>50332</v>
      </c>
    </row>
    <row r="646" spans="1:18" ht="45" x14ac:dyDescent="0.25">
      <c r="A646" s="14" t="s">
        <v>8529</v>
      </c>
      <c r="B646" s="14" t="s">
        <v>8686</v>
      </c>
      <c r="C646" s="14" t="s">
        <v>8712</v>
      </c>
      <c r="D646" s="14" t="s">
        <v>8531</v>
      </c>
      <c r="E646" s="14" t="s">
        <v>6882</v>
      </c>
      <c r="F646" s="14" t="s">
        <v>6883</v>
      </c>
      <c r="G646" s="14" t="s">
        <v>37</v>
      </c>
      <c r="H646" s="14"/>
      <c r="I646" s="14"/>
      <c r="J646" s="14" t="s">
        <v>97</v>
      </c>
      <c r="K646" s="14"/>
      <c r="L646" s="14"/>
      <c r="M646" s="14" t="s">
        <v>6885</v>
      </c>
      <c r="N646" s="14"/>
      <c r="O646" s="14" t="s">
        <v>6886</v>
      </c>
      <c r="P646" s="14" t="str">
        <f>HYPERLINK("https://ceds.ed.gov/cedselementdetails.aspx?termid=18402")</f>
        <v>https://ceds.ed.gov/cedselementdetails.aspx?termid=18402</v>
      </c>
      <c r="Q646" s="14" t="str">
        <f>HYPERLINK("https://ceds.ed.gov/elementComment.aspx?elementName=Professional Development Activity Approval Code &amp;elementID=18402", "Click here to submit comment")</f>
        <v>Click here to submit comment</v>
      </c>
      <c r="R646" s="14">
        <v>50331</v>
      </c>
    </row>
    <row r="647" spans="1:18" ht="75" x14ac:dyDescent="0.25">
      <c r="A647" s="14" t="s">
        <v>8529</v>
      </c>
      <c r="B647" s="14" t="s">
        <v>8686</v>
      </c>
      <c r="C647" s="14" t="s">
        <v>8712</v>
      </c>
      <c r="D647" s="14" t="s">
        <v>8531</v>
      </c>
      <c r="E647" s="14" t="s">
        <v>6892</v>
      </c>
      <c r="F647" s="14" t="s">
        <v>6893</v>
      </c>
      <c r="G647" s="14" t="s">
        <v>37</v>
      </c>
      <c r="H647" s="14"/>
      <c r="I647" s="14"/>
      <c r="J647" s="14" t="s">
        <v>97</v>
      </c>
      <c r="K647" s="14"/>
      <c r="L647" s="14"/>
      <c r="M647" s="14" t="s">
        <v>6894</v>
      </c>
      <c r="N647" s="14"/>
      <c r="O647" s="14" t="s">
        <v>6895</v>
      </c>
      <c r="P647" s="14" t="str">
        <f>HYPERLINK("https://ceds.ed.gov/cedselementdetails.aspx?termid=18404")</f>
        <v>https://ceds.ed.gov/cedselementdetails.aspx?termid=18404</v>
      </c>
      <c r="Q647" s="14" t="str">
        <f>HYPERLINK("https://ceds.ed.gov/elementComment.aspx?elementName=Professional Development Activity Code &amp;elementID=18404", "Click here to submit comment")</f>
        <v>Click here to submit comment</v>
      </c>
      <c r="R647" s="14">
        <v>50333</v>
      </c>
    </row>
    <row r="648" spans="1:18" ht="45" x14ac:dyDescent="0.25">
      <c r="A648" s="14" t="s">
        <v>8529</v>
      </c>
      <c r="B648" s="14" t="s">
        <v>8686</v>
      </c>
      <c r="C648" s="14" t="s">
        <v>8712</v>
      </c>
      <c r="D648" s="14" t="s">
        <v>8531</v>
      </c>
      <c r="E648" s="14" t="s">
        <v>6896</v>
      </c>
      <c r="F648" s="14" t="s">
        <v>6897</v>
      </c>
      <c r="G648" s="14" t="s">
        <v>37</v>
      </c>
      <c r="H648" s="14"/>
      <c r="I648" s="14"/>
      <c r="J648" s="14" t="s">
        <v>1710</v>
      </c>
      <c r="K648" s="14"/>
      <c r="L648" s="14"/>
      <c r="M648" s="14" t="s">
        <v>6898</v>
      </c>
      <c r="N648" s="14"/>
      <c r="O648" s="14" t="s">
        <v>6899</v>
      </c>
      <c r="P648" s="14" t="str">
        <f>HYPERLINK("https://ceds.ed.gov/cedselementdetails.aspx?termid=18405")</f>
        <v>https://ceds.ed.gov/cedselementdetails.aspx?termid=18405</v>
      </c>
      <c r="Q648" s="14" t="str">
        <f>HYPERLINK("https://ceds.ed.gov/elementComment.aspx?elementName=Professional Development Activity Cost &amp;elementID=18405", "Click here to submit comment")</f>
        <v>Click here to submit comment</v>
      </c>
      <c r="R648" s="14">
        <v>50334</v>
      </c>
    </row>
    <row r="649" spans="1:18" ht="105" x14ac:dyDescent="0.25">
      <c r="A649" s="16" t="s">
        <v>8529</v>
      </c>
      <c r="B649" s="16" t="s">
        <v>8686</v>
      </c>
      <c r="C649" s="16" t="s">
        <v>8719</v>
      </c>
      <c r="D649" s="16" t="s">
        <v>8531</v>
      </c>
      <c r="E649" s="16" t="s">
        <v>7020</v>
      </c>
      <c r="F649" s="16" t="s">
        <v>7021</v>
      </c>
      <c r="G649" s="16" t="s">
        <v>37</v>
      </c>
      <c r="H649" s="16"/>
      <c r="I649" s="16"/>
      <c r="J649" s="16" t="s">
        <v>149</v>
      </c>
      <c r="K649" s="16"/>
      <c r="L649" s="14" t="s">
        <v>150</v>
      </c>
      <c r="M649" s="16" t="s">
        <v>7022</v>
      </c>
      <c r="N649" s="16"/>
      <c r="O649" s="16" t="s">
        <v>7023</v>
      </c>
      <c r="P649" s="16" t="str">
        <f>HYPERLINK("https://ceds.ed.gov/cedselementdetails.aspx?termid=18422")</f>
        <v>https://ceds.ed.gov/cedselementdetails.aspx?termid=18422</v>
      </c>
      <c r="Q649" s="16" t="str">
        <f>HYPERLINK("https://ceds.ed.gov/elementComment.aspx?elementName=Professional Development Session Identifier &amp;elementID=18422", "Click here to submit comment")</f>
        <v>Click here to submit comment</v>
      </c>
      <c r="R649" s="16">
        <v>50357</v>
      </c>
    </row>
    <row r="650" spans="1:18" x14ac:dyDescent="0.25">
      <c r="A650" s="16"/>
      <c r="B650" s="16"/>
      <c r="C650" s="16"/>
      <c r="D650" s="16"/>
      <c r="E650" s="16"/>
      <c r="F650" s="16"/>
      <c r="G650" s="16"/>
      <c r="H650" s="16"/>
      <c r="I650" s="16"/>
      <c r="J650" s="16"/>
      <c r="K650" s="16"/>
      <c r="L650" s="14"/>
      <c r="M650" s="16"/>
      <c r="N650" s="16"/>
      <c r="O650" s="16"/>
      <c r="P650" s="16"/>
      <c r="Q650" s="16"/>
      <c r="R650" s="16"/>
    </row>
    <row r="651" spans="1:18" ht="90" x14ac:dyDescent="0.25">
      <c r="A651" s="16"/>
      <c r="B651" s="16"/>
      <c r="C651" s="16"/>
      <c r="D651" s="16"/>
      <c r="E651" s="16"/>
      <c r="F651" s="16"/>
      <c r="G651" s="16"/>
      <c r="H651" s="16"/>
      <c r="I651" s="16"/>
      <c r="J651" s="16"/>
      <c r="K651" s="16"/>
      <c r="L651" s="14" t="s">
        <v>153</v>
      </c>
      <c r="M651" s="16"/>
      <c r="N651" s="16"/>
      <c r="O651" s="16"/>
      <c r="P651" s="16"/>
      <c r="Q651" s="16"/>
      <c r="R651" s="16"/>
    </row>
    <row r="652" spans="1:18" ht="45" x14ac:dyDescent="0.25">
      <c r="A652" s="14" t="s">
        <v>8529</v>
      </c>
      <c r="B652" s="14" t="s">
        <v>8686</v>
      </c>
      <c r="C652" s="14" t="s">
        <v>8719</v>
      </c>
      <c r="D652" s="14" t="s">
        <v>8531</v>
      </c>
      <c r="E652" s="14" t="s">
        <v>7033</v>
      </c>
      <c r="F652" s="14" t="s">
        <v>7034</v>
      </c>
      <c r="G652" s="14" t="s">
        <v>37</v>
      </c>
      <c r="H652" s="14"/>
      <c r="I652" s="14"/>
      <c r="J652" s="14" t="s">
        <v>135</v>
      </c>
      <c r="K652" s="14"/>
      <c r="L652" s="14"/>
      <c r="M652" s="14" t="s">
        <v>7035</v>
      </c>
      <c r="N652" s="14"/>
      <c r="O652" s="14" t="s">
        <v>7036</v>
      </c>
      <c r="P652" s="14" t="str">
        <f>HYPERLINK("https://ceds.ed.gov/cedselementdetails.aspx?termid=18426")</f>
        <v>https://ceds.ed.gov/cedselementdetails.aspx?termid=18426</v>
      </c>
      <c r="Q652" s="14" t="str">
        <f>HYPERLINK("https://ceds.ed.gov/elementComment.aspx?elementName=Professional Development Session Start Date &amp;elementID=18426", "Click here to submit comment")</f>
        <v>Click here to submit comment</v>
      </c>
      <c r="R652" s="14">
        <v>50361</v>
      </c>
    </row>
    <row r="653" spans="1:18" ht="75" x14ac:dyDescent="0.25">
      <c r="A653" s="14" t="s">
        <v>8529</v>
      </c>
      <c r="B653" s="14" t="s">
        <v>8686</v>
      </c>
      <c r="C653" s="14" t="s">
        <v>8719</v>
      </c>
      <c r="D653" s="14" t="s">
        <v>8531</v>
      </c>
      <c r="E653" s="14" t="s">
        <v>7004</v>
      </c>
      <c r="F653" s="14" t="s">
        <v>7005</v>
      </c>
      <c r="G653" s="14" t="s">
        <v>37</v>
      </c>
      <c r="H653" s="14"/>
      <c r="I653" s="14"/>
      <c r="J653" s="14" t="s">
        <v>135</v>
      </c>
      <c r="K653" s="14"/>
      <c r="L653" s="14" t="s">
        <v>160</v>
      </c>
      <c r="M653" s="14" t="s">
        <v>7006</v>
      </c>
      <c r="N653" s="14"/>
      <c r="O653" s="14" t="s">
        <v>7007</v>
      </c>
      <c r="P653" s="14" t="str">
        <f>HYPERLINK("https://ceds.ed.gov/cedselementdetails.aspx?termid=18417")</f>
        <v>https://ceds.ed.gov/cedselementdetails.aspx?termid=18417</v>
      </c>
      <c r="Q653" s="14" t="str">
        <f>HYPERLINK("https://ceds.ed.gov/elementComment.aspx?elementName=Professional Development Session End Date &amp;elementID=18417", "Click here to submit comment")</f>
        <v>Click here to submit comment</v>
      </c>
      <c r="R653" s="14">
        <v>50352</v>
      </c>
    </row>
    <row r="654" spans="1:18" ht="45" x14ac:dyDescent="0.25">
      <c r="A654" s="14" t="s">
        <v>8529</v>
      </c>
      <c r="B654" s="14" t="s">
        <v>8686</v>
      </c>
      <c r="C654" s="14" t="s">
        <v>8719</v>
      </c>
      <c r="D654" s="14" t="s">
        <v>8531</v>
      </c>
      <c r="E654" s="14" t="s">
        <v>7037</v>
      </c>
      <c r="F654" s="14" t="s">
        <v>7038</v>
      </c>
      <c r="G654" s="14" t="s">
        <v>37</v>
      </c>
      <c r="H654" s="14"/>
      <c r="I654" s="14"/>
      <c r="J654" s="14" t="s">
        <v>3202</v>
      </c>
      <c r="K654" s="14"/>
      <c r="L654" s="14"/>
      <c r="M654" s="14" t="s">
        <v>7039</v>
      </c>
      <c r="N654" s="14"/>
      <c r="O654" s="14" t="s">
        <v>7040</v>
      </c>
      <c r="P654" s="14" t="str">
        <f>HYPERLINK("https://ceds.ed.gov/cedselementdetails.aspx?termid=18427")</f>
        <v>https://ceds.ed.gov/cedselementdetails.aspx?termid=18427</v>
      </c>
      <c r="Q654" s="14" t="str">
        <f>HYPERLINK("https://ceds.ed.gov/elementComment.aspx?elementName=Professional Development Session Start Time &amp;elementID=18427", "Click here to submit comment")</f>
        <v>Click here to submit comment</v>
      </c>
      <c r="R654" s="14">
        <v>50362</v>
      </c>
    </row>
    <row r="655" spans="1:18" ht="45" x14ac:dyDescent="0.25">
      <c r="A655" s="14" t="s">
        <v>8529</v>
      </c>
      <c r="B655" s="14" t="s">
        <v>8686</v>
      </c>
      <c r="C655" s="14" t="s">
        <v>8719</v>
      </c>
      <c r="D655" s="14" t="s">
        <v>8531</v>
      </c>
      <c r="E655" s="14" t="s">
        <v>7008</v>
      </c>
      <c r="F655" s="14" t="s">
        <v>7009</v>
      </c>
      <c r="G655" s="14" t="s">
        <v>37</v>
      </c>
      <c r="H655" s="14"/>
      <c r="I655" s="14"/>
      <c r="J655" s="14" t="s">
        <v>3202</v>
      </c>
      <c r="K655" s="14"/>
      <c r="L655" s="14"/>
      <c r="M655" s="14" t="s">
        <v>7010</v>
      </c>
      <c r="N655" s="14"/>
      <c r="O655" s="14" t="s">
        <v>7011</v>
      </c>
      <c r="P655" s="14" t="str">
        <f>HYPERLINK("https://ceds.ed.gov/cedselementdetails.aspx?termid=18418")</f>
        <v>https://ceds.ed.gov/cedselementdetails.aspx?termid=18418</v>
      </c>
      <c r="Q655" s="14" t="str">
        <f>HYPERLINK("https://ceds.ed.gov/elementComment.aspx?elementName=Professional Development Session End Time &amp;elementID=18418", "Click here to submit comment")</f>
        <v>Click here to submit comment</v>
      </c>
      <c r="R655" s="14">
        <v>50353</v>
      </c>
    </row>
    <row r="656" spans="1:18" ht="45" x14ac:dyDescent="0.25">
      <c r="A656" s="14" t="s">
        <v>8529</v>
      </c>
      <c r="B656" s="14" t="s">
        <v>8686</v>
      </c>
      <c r="C656" s="14" t="s">
        <v>8719</v>
      </c>
      <c r="D656" s="14" t="s">
        <v>8531</v>
      </c>
      <c r="E656" s="14" t="s">
        <v>7000</v>
      </c>
      <c r="F656" s="14" t="s">
        <v>7001</v>
      </c>
      <c r="G656" s="14" t="s">
        <v>37</v>
      </c>
      <c r="H656" s="14"/>
      <c r="I656" s="14"/>
      <c r="J656" s="14" t="s">
        <v>370</v>
      </c>
      <c r="K656" s="14"/>
      <c r="L656" s="14"/>
      <c r="M656" s="14" t="s">
        <v>7002</v>
      </c>
      <c r="N656" s="14"/>
      <c r="O656" s="14" t="s">
        <v>7003</v>
      </c>
      <c r="P656" s="14" t="str">
        <f>HYPERLINK("https://ceds.ed.gov/cedselementdetails.aspx?termid=18416")</f>
        <v>https://ceds.ed.gov/cedselementdetails.aspx?termid=18416</v>
      </c>
      <c r="Q656" s="14" t="str">
        <f>HYPERLINK("https://ceds.ed.gov/elementComment.aspx?elementName=Professional Development Session Capacity &amp;elementID=18416", "Click here to submit comment")</f>
        <v>Click here to submit comment</v>
      </c>
      <c r="R656" s="14">
        <v>50351</v>
      </c>
    </row>
    <row r="657" spans="1:18" ht="180" x14ac:dyDescent="0.25">
      <c r="A657" s="14" t="s">
        <v>8529</v>
      </c>
      <c r="B657" s="14" t="s">
        <v>8686</v>
      </c>
      <c r="C657" s="14" t="s">
        <v>8719</v>
      </c>
      <c r="D657" s="14" t="s">
        <v>8531</v>
      </c>
      <c r="E657" s="14" t="s">
        <v>3898</v>
      </c>
      <c r="F657" s="14" t="s">
        <v>3899</v>
      </c>
      <c r="G657" s="8" t="s">
        <v>8711</v>
      </c>
      <c r="H657" s="14"/>
      <c r="I657" s="14"/>
      <c r="J657" s="14"/>
      <c r="K657" s="14"/>
      <c r="L657" s="14"/>
      <c r="M657" s="14" t="s">
        <v>3902</v>
      </c>
      <c r="N657" s="14"/>
      <c r="O657" s="14" t="s">
        <v>3903</v>
      </c>
      <c r="P657" s="14" t="str">
        <f>HYPERLINK("https://ceds.ed.gov/cedselementdetails.aspx?termid=18585")</f>
        <v>https://ceds.ed.gov/cedselementdetails.aspx?termid=18585</v>
      </c>
      <c r="Q657" s="14" t="str">
        <f>HYPERLINK("https://ceds.ed.gov/elementComment.aspx?elementName=Early Learning Trainer Core Knowledge Area &amp;elementID=18585", "Click here to submit comment")</f>
        <v>Click here to submit comment</v>
      </c>
      <c r="R657" s="14">
        <v>51076</v>
      </c>
    </row>
    <row r="658" spans="1:18" ht="90" x14ac:dyDescent="0.25">
      <c r="A658" s="14" t="s">
        <v>8529</v>
      </c>
      <c r="B658" s="14" t="s">
        <v>8686</v>
      </c>
      <c r="C658" s="14" t="s">
        <v>8719</v>
      </c>
      <c r="D658" s="14" t="s">
        <v>8531</v>
      </c>
      <c r="E658" s="14" t="s">
        <v>8342</v>
      </c>
      <c r="F658" s="14" t="s">
        <v>8343</v>
      </c>
      <c r="G658" s="14" t="s">
        <v>37</v>
      </c>
      <c r="H658" s="14"/>
      <c r="I658" s="14"/>
      <c r="J658" s="14" t="s">
        <v>874</v>
      </c>
      <c r="K658" s="14"/>
      <c r="L658" s="6" t="s">
        <v>7984</v>
      </c>
      <c r="M658" s="14" t="s">
        <v>8344</v>
      </c>
      <c r="N658" s="14"/>
      <c r="O658" s="14" t="s">
        <v>8345</v>
      </c>
      <c r="P658" s="14" t="str">
        <f>HYPERLINK("https://ceds.ed.gov/cedselementdetails.aspx?termid=18609")</f>
        <v>https://ceds.ed.gov/cedselementdetails.aspx?termid=18609</v>
      </c>
      <c r="Q658" s="14" t="str">
        <f>HYPERLINK("https://ceds.ed.gov/elementComment.aspx?elementName=Training and Technical Assistance Level &amp;elementID=18609", "Click here to submit comment")</f>
        <v>Click here to submit comment</v>
      </c>
      <c r="R658" s="14">
        <v>51110</v>
      </c>
    </row>
    <row r="659" spans="1:18" ht="75" x14ac:dyDescent="0.25">
      <c r="A659" s="14" t="s">
        <v>8529</v>
      </c>
      <c r="B659" s="14" t="s">
        <v>8686</v>
      </c>
      <c r="C659" s="14" t="s">
        <v>8719</v>
      </c>
      <c r="D659" s="14" t="s">
        <v>8531</v>
      </c>
      <c r="E659" s="14" t="s">
        <v>6960</v>
      </c>
      <c r="F659" s="14" t="s">
        <v>6961</v>
      </c>
      <c r="G659" s="8" t="s">
        <v>8587</v>
      </c>
      <c r="H659" s="14"/>
      <c r="I659" s="14"/>
      <c r="J659" s="14"/>
      <c r="K659" s="14"/>
      <c r="L659" s="14"/>
      <c r="M659" s="14" t="s">
        <v>6964</v>
      </c>
      <c r="N659" s="14"/>
      <c r="O659" s="14" t="s">
        <v>6965</v>
      </c>
      <c r="P659" s="14" t="str">
        <f>HYPERLINK("https://ceds.ed.gov/cedselementdetails.aspx?termid=18401")</f>
        <v>https://ceds.ed.gov/cedselementdetails.aspx?termid=18401</v>
      </c>
      <c r="Q659" s="14" t="str">
        <f>HYPERLINK("https://ceds.ed.gov/elementComment.aspx?elementName=Professional Development Delivery Method &amp;elementID=18401", "Click here to submit comment")</f>
        <v>Click here to submit comment</v>
      </c>
      <c r="R659" s="14">
        <v>50330</v>
      </c>
    </row>
    <row r="660" spans="1:18" ht="180" x14ac:dyDescent="0.25">
      <c r="A660" s="14" t="s">
        <v>8529</v>
      </c>
      <c r="B660" s="14" t="s">
        <v>8686</v>
      </c>
      <c r="C660" s="14" t="s">
        <v>8719</v>
      </c>
      <c r="D660" s="14" t="s">
        <v>8531</v>
      </c>
      <c r="E660" s="14" t="s">
        <v>6975</v>
      </c>
      <c r="F660" s="14" t="s">
        <v>6976</v>
      </c>
      <c r="G660" s="8" t="s">
        <v>8720</v>
      </c>
      <c r="H660" s="14"/>
      <c r="I660" s="14"/>
      <c r="J660" s="14"/>
      <c r="K660" s="14"/>
      <c r="L660" s="14"/>
      <c r="M660" s="14" t="s">
        <v>6978</v>
      </c>
      <c r="N660" s="14"/>
      <c r="O660" s="14" t="s">
        <v>6979</v>
      </c>
      <c r="P660" s="14" t="str">
        <f>HYPERLINK("https://ceds.ed.gov/cedselementdetails.aspx?termid=18429")</f>
        <v>https://ceds.ed.gov/cedselementdetails.aspx?termid=18429</v>
      </c>
      <c r="Q660" s="14" t="str">
        <f>HYPERLINK("https://ceds.ed.gov/elementComment.aspx?elementName=Professional Development Instructional Delivery Mode &amp;elementID=18429", "Click here to submit comment")</f>
        <v>Click here to submit comment</v>
      </c>
      <c r="R660" s="14">
        <v>50364</v>
      </c>
    </row>
    <row r="661" spans="1:18" ht="45" x14ac:dyDescent="0.25">
      <c r="A661" s="14" t="s">
        <v>8529</v>
      </c>
      <c r="B661" s="14" t="s">
        <v>8686</v>
      </c>
      <c r="C661" s="14" t="s">
        <v>8719</v>
      </c>
      <c r="D661" s="14" t="s">
        <v>8531</v>
      </c>
      <c r="E661" s="14" t="s">
        <v>7856</v>
      </c>
      <c r="F661" s="14" t="s">
        <v>7857</v>
      </c>
      <c r="G661" s="14" t="s">
        <v>37</v>
      </c>
      <c r="H661" s="14"/>
      <c r="I661" s="14"/>
      <c r="J661" s="14" t="s">
        <v>175</v>
      </c>
      <c r="K661" s="14"/>
      <c r="L661" s="14"/>
      <c r="M661" s="14" t="s">
        <v>7858</v>
      </c>
      <c r="N661" s="14"/>
      <c r="O661" s="14" t="s">
        <v>7859</v>
      </c>
      <c r="P661" s="14" t="str">
        <f>HYPERLINK("https://ceds.ed.gov/cedselementdetails.aspx?termid=18461")</f>
        <v>https://ceds.ed.gov/cedselementdetails.aspx?termid=18461</v>
      </c>
      <c r="Q661" s="14" t="str">
        <f>HYPERLINK("https://ceds.ed.gov/elementComment.aspx?elementName=Sponsoring Agency Name &amp;elementID=18461", "Click here to submit comment")</f>
        <v>Click here to submit comment</v>
      </c>
      <c r="R661" s="14">
        <v>50427</v>
      </c>
    </row>
    <row r="662" spans="1:18" ht="105" x14ac:dyDescent="0.25">
      <c r="A662" s="16" t="s">
        <v>8529</v>
      </c>
      <c r="B662" s="16" t="s">
        <v>8686</v>
      </c>
      <c r="C662" s="16" t="s">
        <v>8719</v>
      </c>
      <c r="D662" s="16" t="s">
        <v>8531</v>
      </c>
      <c r="E662" s="16" t="s">
        <v>6980</v>
      </c>
      <c r="F662" s="16" t="s">
        <v>6981</v>
      </c>
      <c r="G662" s="16" t="s">
        <v>37</v>
      </c>
      <c r="H662" s="16"/>
      <c r="I662" s="16"/>
      <c r="J662" s="16" t="s">
        <v>149</v>
      </c>
      <c r="K662" s="16"/>
      <c r="L662" s="14" t="s">
        <v>150</v>
      </c>
      <c r="M662" s="16" t="s">
        <v>6982</v>
      </c>
      <c r="N662" s="16"/>
      <c r="O662" s="16" t="s">
        <v>6983</v>
      </c>
      <c r="P662" s="16" t="str">
        <f>HYPERLINK("https://ceds.ed.gov/cedselementdetails.aspx?termid=18414")</f>
        <v>https://ceds.ed.gov/cedselementdetails.aspx?termid=18414</v>
      </c>
      <c r="Q662" s="16" t="str">
        <f>HYPERLINK("https://ceds.ed.gov/elementComment.aspx?elementName=Professional Development Instructor Identifier &amp;elementID=18414", "Click here to submit comment")</f>
        <v>Click here to submit comment</v>
      </c>
      <c r="R662" s="16">
        <v>50343</v>
      </c>
    </row>
    <row r="663" spans="1:18" x14ac:dyDescent="0.25">
      <c r="A663" s="16"/>
      <c r="B663" s="16"/>
      <c r="C663" s="16"/>
      <c r="D663" s="16"/>
      <c r="E663" s="16"/>
      <c r="F663" s="16"/>
      <c r="G663" s="16"/>
      <c r="H663" s="16"/>
      <c r="I663" s="16"/>
      <c r="J663" s="16"/>
      <c r="K663" s="16"/>
      <c r="L663" s="14"/>
      <c r="M663" s="16"/>
      <c r="N663" s="16"/>
      <c r="O663" s="16"/>
      <c r="P663" s="16"/>
      <c r="Q663" s="16"/>
      <c r="R663" s="16"/>
    </row>
    <row r="664" spans="1:18" ht="90" x14ac:dyDescent="0.25">
      <c r="A664" s="16"/>
      <c r="B664" s="16"/>
      <c r="C664" s="16"/>
      <c r="D664" s="16"/>
      <c r="E664" s="16"/>
      <c r="F664" s="16"/>
      <c r="G664" s="16"/>
      <c r="H664" s="16"/>
      <c r="I664" s="16"/>
      <c r="J664" s="16"/>
      <c r="K664" s="16"/>
      <c r="L664" s="14" t="s">
        <v>153</v>
      </c>
      <c r="M664" s="16"/>
      <c r="N664" s="16"/>
      <c r="O664" s="16"/>
      <c r="P664" s="16"/>
      <c r="Q664" s="16"/>
      <c r="R664" s="16"/>
    </row>
    <row r="665" spans="1:18" ht="45" x14ac:dyDescent="0.25">
      <c r="A665" s="14" t="s">
        <v>8529</v>
      </c>
      <c r="B665" s="14" t="s">
        <v>8686</v>
      </c>
      <c r="C665" s="14" t="s">
        <v>8719</v>
      </c>
      <c r="D665" s="14" t="s">
        <v>8531</v>
      </c>
      <c r="E665" s="14" t="s">
        <v>6971</v>
      </c>
      <c r="F665" s="14" t="s">
        <v>6972</v>
      </c>
      <c r="G665" s="14" t="s">
        <v>37</v>
      </c>
      <c r="H665" s="14"/>
      <c r="I665" s="14"/>
      <c r="J665" s="14" t="s">
        <v>97</v>
      </c>
      <c r="K665" s="14"/>
      <c r="L665" s="14"/>
      <c r="M665" s="14" t="s">
        <v>6973</v>
      </c>
      <c r="N665" s="14"/>
      <c r="O665" s="14" t="s">
        <v>6974</v>
      </c>
      <c r="P665" s="14" t="str">
        <f>HYPERLINK("https://ceds.ed.gov/cedselementdetails.aspx?termid=18413")</f>
        <v>https://ceds.ed.gov/cedselementdetails.aspx?termid=18413</v>
      </c>
      <c r="Q665" s="14" t="str">
        <f>HYPERLINK("https://ceds.ed.gov/elementComment.aspx?elementName=Professional Development Funding Source &amp;elementID=18413", "Click here to submit comment")</f>
        <v>Click here to submit comment</v>
      </c>
      <c r="R665" s="14">
        <v>50342</v>
      </c>
    </row>
    <row r="666" spans="1:18" ht="45" x14ac:dyDescent="0.25">
      <c r="A666" s="14" t="s">
        <v>8529</v>
      </c>
      <c r="B666" s="14" t="s">
        <v>8686</v>
      </c>
      <c r="C666" s="14" t="s">
        <v>8719</v>
      </c>
      <c r="D666" s="14" t="s">
        <v>8531</v>
      </c>
      <c r="E666" s="14" t="s">
        <v>7012</v>
      </c>
      <c r="F666" s="14" t="s">
        <v>7013</v>
      </c>
      <c r="G666" s="14" t="s">
        <v>37</v>
      </c>
      <c r="H666" s="14"/>
      <c r="I666" s="14"/>
      <c r="J666" s="14" t="s">
        <v>97</v>
      </c>
      <c r="K666" s="14"/>
      <c r="L666" s="14"/>
      <c r="M666" s="14" t="s">
        <v>7014</v>
      </c>
      <c r="N666" s="14"/>
      <c r="O666" s="14" t="s">
        <v>7015</v>
      </c>
      <c r="P666" s="14" t="str">
        <f>HYPERLINK("https://ceds.ed.gov/cedselementdetails.aspx?termid=18419")</f>
        <v>https://ceds.ed.gov/cedselementdetails.aspx?termid=18419</v>
      </c>
      <c r="Q666" s="14" t="str">
        <f>HYPERLINK("https://ceds.ed.gov/elementComment.aspx?elementName=Professional Development Session Evaluation Method &amp;elementID=18419", "Click here to submit comment")</f>
        <v>Click here to submit comment</v>
      </c>
      <c r="R666" s="14">
        <v>50354</v>
      </c>
    </row>
    <row r="667" spans="1:18" ht="45" x14ac:dyDescent="0.25">
      <c r="A667" s="14" t="s">
        <v>8529</v>
      </c>
      <c r="B667" s="14" t="s">
        <v>8686</v>
      </c>
      <c r="C667" s="14" t="s">
        <v>8719</v>
      </c>
      <c r="D667" s="14" t="s">
        <v>8531</v>
      </c>
      <c r="E667" s="14" t="s">
        <v>7016</v>
      </c>
      <c r="F667" s="14" t="s">
        <v>7017</v>
      </c>
      <c r="G667" s="14" t="s">
        <v>37</v>
      </c>
      <c r="H667" s="14"/>
      <c r="I667" s="14"/>
      <c r="J667" s="14" t="s">
        <v>97</v>
      </c>
      <c r="K667" s="14"/>
      <c r="L667" s="14"/>
      <c r="M667" s="14" t="s">
        <v>7018</v>
      </c>
      <c r="N667" s="14"/>
      <c r="O667" s="14" t="s">
        <v>7019</v>
      </c>
      <c r="P667" s="14" t="str">
        <f>HYPERLINK("https://ceds.ed.gov/cedselementdetails.aspx?termid=18420")</f>
        <v>https://ceds.ed.gov/cedselementdetails.aspx?termid=18420</v>
      </c>
      <c r="Q667" s="14" t="str">
        <f>HYPERLINK("https://ceds.ed.gov/elementComment.aspx?elementName=Professional Development Session Evaluation Score &amp;elementID=18420", "Click here to submit comment")</f>
        <v>Click here to submit comment</v>
      </c>
      <c r="R667" s="14">
        <v>50355</v>
      </c>
    </row>
    <row r="668" spans="1:18" ht="60" x14ac:dyDescent="0.25">
      <c r="A668" s="14" t="s">
        <v>8529</v>
      </c>
      <c r="B668" s="14" t="s">
        <v>8686</v>
      </c>
      <c r="C668" s="14" t="s">
        <v>8719</v>
      </c>
      <c r="D668" s="14" t="s">
        <v>8531</v>
      </c>
      <c r="E668" s="14" t="s">
        <v>7041</v>
      </c>
      <c r="F668" s="14" t="s">
        <v>7042</v>
      </c>
      <c r="G668" s="8" t="s">
        <v>8721</v>
      </c>
      <c r="H668" s="14"/>
      <c r="I668" s="14"/>
      <c r="J668" s="14"/>
      <c r="K668" s="14"/>
      <c r="L668" s="14"/>
      <c r="M668" s="14" t="s">
        <v>7044</v>
      </c>
      <c r="N668" s="14"/>
      <c r="O668" s="14" t="s">
        <v>7045</v>
      </c>
      <c r="P668" s="14" t="str">
        <f>HYPERLINK("https://ceds.ed.gov/cedselementdetails.aspx?termid=18428")</f>
        <v>https://ceds.ed.gov/cedselementdetails.aspx?termid=18428</v>
      </c>
      <c r="Q668" s="14" t="str">
        <f>HYPERLINK("https://ceds.ed.gov/elementComment.aspx?elementName=Professional Development Session Status &amp;elementID=18428", "Click here to submit comment")</f>
        <v>Click here to submit comment</v>
      </c>
      <c r="R668" s="14">
        <v>50363</v>
      </c>
    </row>
    <row r="669" spans="1:18" ht="45" x14ac:dyDescent="0.25">
      <c r="A669" s="14" t="s">
        <v>8529</v>
      </c>
      <c r="B669" s="14" t="s">
        <v>8686</v>
      </c>
      <c r="C669" s="14" t="s">
        <v>8722</v>
      </c>
      <c r="D669" s="14" t="s">
        <v>8531</v>
      </c>
      <c r="E669" s="14" t="s">
        <v>7028</v>
      </c>
      <c r="F669" s="14" t="s">
        <v>7029</v>
      </c>
      <c r="G669" s="14" t="s">
        <v>37</v>
      </c>
      <c r="H669" s="14"/>
      <c r="I669" s="14"/>
      <c r="J669" s="14" t="s">
        <v>175</v>
      </c>
      <c r="K669" s="14"/>
      <c r="L669" s="14"/>
      <c r="M669" s="14" t="s">
        <v>7031</v>
      </c>
      <c r="N669" s="14"/>
      <c r="O669" s="14" t="s">
        <v>7032</v>
      </c>
      <c r="P669" s="14" t="str">
        <f>HYPERLINK("https://ceds.ed.gov/cedselementdetails.aspx?termid=18424")</f>
        <v>https://ceds.ed.gov/cedselementdetails.aspx?termid=18424</v>
      </c>
      <c r="Q669" s="14" t="str">
        <f>HYPERLINK("https://ceds.ed.gov/elementComment.aspx?elementName=Professional Development Session Location Name &amp;elementID=18424", "Click here to submit comment")</f>
        <v>Click here to submit comment</v>
      </c>
      <c r="R669" s="14">
        <v>50603</v>
      </c>
    </row>
    <row r="670" spans="1:18" ht="225" x14ac:dyDescent="0.25">
      <c r="A670" s="14" t="s">
        <v>8529</v>
      </c>
      <c r="B670" s="14" t="s">
        <v>8686</v>
      </c>
      <c r="C670" s="14" t="s">
        <v>8722</v>
      </c>
      <c r="D670" s="14" t="s">
        <v>8531</v>
      </c>
      <c r="E670" s="14" t="s">
        <v>214</v>
      </c>
      <c r="F670" s="14" t="s">
        <v>215</v>
      </c>
      <c r="G670" s="14" t="s">
        <v>37</v>
      </c>
      <c r="H670" s="14" t="s">
        <v>199</v>
      </c>
      <c r="I670" s="14" t="s">
        <v>195</v>
      </c>
      <c r="J670" s="14" t="s">
        <v>216</v>
      </c>
      <c r="K670" s="14" t="s">
        <v>196</v>
      </c>
      <c r="L670" s="14"/>
      <c r="M670" s="14" t="s">
        <v>217</v>
      </c>
      <c r="N670" s="14"/>
      <c r="O670" s="14" t="s">
        <v>218</v>
      </c>
      <c r="P670" s="14" t="str">
        <f>HYPERLINK("https://ceds.ed.gov/cedselementdetails.aspx?termid=17269")</f>
        <v>https://ceds.ed.gov/cedselementdetails.aspx?termid=17269</v>
      </c>
      <c r="Q670" s="14" t="str">
        <f>HYPERLINK("https://ceds.ed.gov/elementComment.aspx?elementName=Address Street Number and Name &amp;elementID=17269", "Click here to submit comment")</f>
        <v>Click here to submit comment</v>
      </c>
      <c r="R670" s="14">
        <v>50591</v>
      </c>
    </row>
    <row r="671" spans="1:18" ht="225" x14ac:dyDescent="0.25">
      <c r="A671" s="14" t="s">
        <v>8529</v>
      </c>
      <c r="B671" s="14" t="s">
        <v>8686</v>
      </c>
      <c r="C671" s="14" t="s">
        <v>8722</v>
      </c>
      <c r="D671" s="14" t="s">
        <v>8531</v>
      </c>
      <c r="E671" s="14" t="s">
        <v>192</v>
      </c>
      <c r="F671" s="14" t="s">
        <v>193</v>
      </c>
      <c r="G671" s="14" t="s">
        <v>37</v>
      </c>
      <c r="H671" s="14" t="s">
        <v>199</v>
      </c>
      <c r="I671" s="14" t="s">
        <v>195</v>
      </c>
      <c r="J671" s="14" t="s">
        <v>175</v>
      </c>
      <c r="K671" s="14" t="s">
        <v>196</v>
      </c>
      <c r="L671" s="14"/>
      <c r="M671" s="14" t="s">
        <v>197</v>
      </c>
      <c r="N671" s="14"/>
      <c r="O671" s="14" t="s">
        <v>198</v>
      </c>
      <c r="P671" s="14" t="str">
        <f>HYPERLINK("https://ceds.ed.gov/cedselementdetails.aspx?termid=17019")</f>
        <v>https://ceds.ed.gov/cedselementdetails.aspx?termid=17019</v>
      </c>
      <c r="Q671" s="14" t="str">
        <f>HYPERLINK("https://ceds.ed.gov/elementComment.aspx?elementName=Address Apartment Room or Suite Number &amp;elementID=17019", "Click here to submit comment")</f>
        <v>Click here to submit comment</v>
      </c>
      <c r="R671" s="14">
        <v>50592</v>
      </c>
    </row>
    <row r="672" spans="1:18" ht="225" x14ac:dyDescent="0.25">
      <c r="A672" s="14" t="s">
        <v>8529</v>
      </c>
      <c r="B672" s="14" t="s">
        <v>8686</v>
      </c>
      <c r="C672" s="14" t="s">
        <v>8722</v>
      </c>
      <c r="D672" s="14" t="s">
        <v>8531</v>
      </c>
      <c r="E672" s="14" t="s">
        <v>200</v>
      </c>
      <c r="F672" s="14" t="s">
        <v>201</v>
      </c>
      <c r="G672" s="14" t="s">
        <v>37</v>
      </c>
      <c r="H672" s="14" t="s">
        <v>199</v>
      </c>
      <c r="I672" s="14"/>
      <c r="J672" s="14" t="s">
        <v>97</v>
      </c>
      <c r="K672" s="14"/>
      <c r="L672" s="14"/>
      <c r="M672" s="14" t="s">
        <v>202</v>
      </c>
      <c r="N672" s="14"/>
      <c r="O672" s="14" t="s">
        <v>203</v>
      </c>
      <c r="P672" s="14" t="str">
        <f>HYPERLINK("https://ceds.ed.gov/cedselementdetails.aspx?termid=17040")</f>
        <v>https://ceds.ed.gov/cedselementdetails.aspx?termid=17040</v>
      </c>
      <c r="Q672" s="14" t="str">
        <f>HYPERLINK("https://ceds.ed.gov/elementComment.aspx?elementName=Address City &amp;elementID=17040", "Click here to submit comment")</f>
        <v>Click here to submit comment</v>
      </c>
      <c r="R672" s="14">
        <v>50593</v>
      </c>
    </row>
    <row r="673" spans="1:18" ht="409.5" x14ac:dyDescent="0.25">
      <c r="A673" s="14" t="s">
        <v>8529</v>
      </c>
      <c r="B673" s="14" t="s">
        <v>8686</v>
      </c>
      <c r="C673" s="14" t="s">
        <v>8722</v>
      </c>
      <c r="D673" s="14" t="s">
        <v>8531</v>
      </c>
      <c r="E673" s="14" t="s">
        <v>7960</v>
      </c>
      <c r="F673" s="14" t="s">
        <v>7961</v>
      </c>
      <c r="G673" s="8" t="s">
        <v>8540</v>
      </c>
      <c r="H673" s="14" t="s">
        <v>7964</v>
      </c>
      <c r="I673" s="14"/>
      <c r="J673" s="14"/>
      <c r="K673" s="14"/>
      <c r="L673" s="14"/>
      <c r="M673" s="14" t="s">
        <v>7962</v>
      </c>
      <c r="N673" s="14"/>
      <c r="O673" s="14" t="s">
        <v>7963</v>
      </c>
      <c r="P673" s="14" t="str">
        <f>HYPERLINK("https://ceds.ed.gov/cedselementdetails.aspx?termid=17267")</f>
        <v>https://ceds.ed.gov/cedselementdetails.aspx?termid=17267</v>
      </c>
      <c r="Q673" s="14" t="str">
        <f>HYPERLINK("https://ceds.ed.gov/elementComment.aspx?elementName=State Abbreviation &amp;elementID=17267", "Click here to submit comment")</f>
        <v>Click here to submit comment</v>
      </c>
      <c r="R673" s="14">
        <v>50594</v>
      </c>
    </row>
    <row r="674" spans="1:18" ht="225" x14ac:dyDescent="0.25">
      <c r="A674" s="14" t="s">
        <v>8529</v>
      </c>
      <c r="B674" s="14" t="s">
        <v>8686</v>
      </c>
      <c r="C674" s="14" t="s">
        <v>8722</v>
      </c>
      <c r="D674" s="14" t="s">
        <v>8531</v>
      </c>
      <c r="E674" s="14" t="s">
        <v>209</v>
      </c>
      <c r="F674" s="14" t="s">
        <v>210</v>
      </c>
      <c r="G674" s="14" t="s">
        <v>37</v>
      </c>
      <c r="H674" s="14" t="s">
        <v>199</v>
      </c>
      <c r="I674" s="14"/>
      <c r="J674" s="14" t="s">
        <v>211</v>
      </c>
      <c r="K674" s="14"/>
      <c r="L674" s="14"/>
      <c r="M674" s="14" t="s">
        <v>212</v>
      </c>
      <c r="N674" s="14"/>
      <c r="O674" s="14" t="s">
        <v>213</v>
      </c>
      <c r="P674" s="14" t="str">
        <f>HYPERLINK("https://ceds.ed.gov/cedselementdetails.aspx?termid=17214")</f>
        <v>https://ceds.ed.gov/cedselementdetails.aspx?termid=17214</v>
      </c>
      <c r="Q674" s="14" t="str">
        <f>HYPERLINK("https://ceds.ed.gov/elementComment.aspx?elementName=Address Postal Code &amp;elementID=17214", "Click here to submit comment")</f>
        <v>Click here to submit comment</v>
      </c>
      <c r="R674" s="14">
        <v>50595</v>
      </c>
    </row>
    <row r="675" spans="1:18" ht="90" x14ac:dyDescent="0.25">
      <c r="A675" s="14" t="s">
        <v>8529</v>
      </c>
      <c r="B675" s="14" t="s">
        <v>8686</v>
      </c>
      <c r="C675" s="14" t="s">
        <v>8722</v>
      </c>
      <c r="D675" s="14" t="s">
        <v>8531</v>
      </c>
      <c r="E675" s="14" t="s">
        <v>8217</v>
      </c>
      <c r="F675" s="14" t="s">
        <v>8218</v>
      </c>
      <c r="G675" s="14" t="s">
        <v>37</v>
      </c>
      <c r="H675" s="14" t="s">
        <v>72</v>
      </c>
      <c r="I675" s="14"/>
      <c r="J675" s="14" t="s">
        <v>8220</v>
      </c>
      <c r="K675" s="14"/>
      <c r="L675" s="14"/>
      <c r="M675" s="14" t="s">
        <v>8221</v>
      </c>
      <c r="N675" s="14"/>
      <c r="O675" s="14" t="s">
        <v>8222</v>
      </c>
      <c r="P675" s="14" t="str">
        <f>HYPERLINK("https://ceds.ed.gov/cedselementdetails.aspx?termid=17279")</f>
        <v>https://ceds.ed.gov/cedselementdetails.aspx?termid=17279</v>
      </c>
      <c r="Q675" s="14" t="str">
        <f>HYPERLINK("https://ceds.ed.gov/elementComment.aspx?elementName=Telephone Number &amp;elementID=17279", "Click here to submit comment")</f>
        <v>Click here to submit comment</v>
      </c>
      <c r="R675" s="14">
        <v>50601</v>
      </c>
    </row>
    <row r="676" spans="1:18" ht="195" x14ac:dyDescent="0.25">
      <c r="A676" s="14" t="s">
        <v>8529</v>
      </c>
      <c r="B676" s="14" t="s">
        <v>8686</v>
      </c>
      <c r="C676" s="14" t="s">
        <v>8722</v>
      </c>
      <c r="D676" s="14" t="s">
        <v>8541</v>
      </c>
      <c r="E676" s="14" t="s">
        <v>2860</v>
      </c>
      <c r="F676" s="14" t="s">
        <v>2861</v>
      </c>
      <c r="G676" s="14" t="s">
        <v>37</v>
      </c>
      <c r="H676" s="14"/>
      <c r="I676" s="14" t="s">
        <v>195</v>
      </c>
      <c r="J676" s="14" t="s">
        <v>2863</v>
      </c>
      <c r="K676" s="14" t="s">
        <v>2864</v>
      </c>
      <c r="L676" s="14"/>
      <c r="M676" s="14" t="s">
        <v>2865</v>
      </c>
      <c r="N676" s="14"/>
      <c r="O676" s="14" t="s">
        <v>2866</v>
      </c>
      <c r="P676" s="14" t="str">
        <f>HYPERLINK("https://ceds.ed.gov/cedselementdetails.aspx?termid=18176")</f>
        <v>https://ceds.ed.gov/cedselementdetails.aspx?termid=18176</v>
      </c>
      <c r="Q676" s="14" t="str">
        <f>HYPERLINK("https://ceds.ed.gov/elementComment.aspx?elementName=County ANSI Code &amp;elementID=18176", "Click here to submit comment")</f>
        <v>Click here to submit comment</v>
      </c>
      <c r="R676" s="14">
        <v>52292</v>
      </c>
    </row>
    <row r="677" spans="1:18" ht="60" x14ac:dyDescent="0.25">
      <c r="A677" s="14" t="s">
        <v>8529</v>
      </c>
      <c r="B677" s="14" t="s">
        <v>8686</v>
      </c>
      <c r="C677" s="14" t="s">
        <v>8722</v>
      </c>
      <c r="D677" s="14" t="s">
        <v>8541</v>
      </c>
      <c r="E677" s="14" t="s">
        <v>3651</v>
      </c>
      <c r="F677" s="14" t="s">
        <v>3652</v>
      </c>
      <c r="G677" s="14" t="s">
        <v>3430</v>
      </c>
      <c r="H677" s="14"/>
      <c r="I677" s="14" t="s">
        <v>188</v>
      </c>
      <c r="J677" s="14"/>
      <c r="K677" s="14" t="s">
        <v>1721</v>
      </c>
      <c r="L677" s="14"/>
      <c r="M677" s="14" t="s">
        <v>3654</v>
      </c>
      <c r="N677" s="14"/>
      <c r="O677" s="14" t="s">
        <v>3655</v>
      </c>
      <c r="P677" s="14" t="str">
        <f>HYPERLINK("https://ceds.ed.gov/cedselementdetails.aspx?termid=18905")</f>
        <v>https://ceds.ed.gov/cedselementdetails.aspx?termid=18905</v>
      </c>
      <c r="Q677" s="14" t="str">
        <f>HYPERLINK("https://ceds.ed.gov/elementComment.aspx?elementName=Do Not Publish Indicator &amp;elementID=18905", "Click here to submit comment")</f>
        <v>Click here to submit comment</v>
      </c>
      <c r="R677" s="14">
        <v>52293</v>
      </c>
    </row>
    <row r="678" spans="1:18" ht="60" x14ac:dyDescent="0.25">
      <c r="A678" s="14" t="s">
        <v>8529</v>
      </c>
      <c r="B678" s="14" t="s">
        <v>8686</v>
      </c>
      <c r="C678" s="14" t="s">
        <v>8722</v>
      </c>
      <c r="D678" s="14" t="s">
        <v>8541</v>
      </c>
      <c r="E678" s="14" t="s">
        <v>8223</v>
      </c>
      <c r="F678" s="14" t="s">
        <v>8224</v>
      </c>
      <c r="G678" s="8" t="s">
        <v>8544</v>
      </c>
      <c r="H678" s="14"/>
      <c r="I678" s="14" t="s">
        <v>188</v>
      </c>
      <c r="J678" s="14"/>
      <c r="K678" s="14" t="s">
        <v>1721</v>
      </c>
      <c r="L678" s="14"/>
      <c r="M678" s="14" t="s">
        <v>8227</v>
      </c>
      <c r="N678" s="14"/>
      <c r="O678" s="14" t="s">
        <v>8228</v>
      </c>
      <c r="P678" s="14" t="str">
        <f>HYPERLINK("https://ceds.ed.gov/cedselementdetails.aspx?termid=18911")</f>
        <v>https://ceds.ed.gov/cedselementdetails.aspx?termid=18911</v>
      </c>
      <c r="Q678" s="14" t="str">
        <f>HYPERLINK("https://ceds.ed.gov/elementComment.aspx?elementName=Telephone Number Listed Status &amp;elementID=18911", "Click here to submit comment")</f>
        <v>Click here to submit comment</v>
      </c>
      <c r="R678" s="14">
        <v>52294</v>
      </c>
    </row>
    <row r="679" spans="1:18" ht="409.5" x14ac:dyDescent="0.25">
      <c r="A679" s="14" t="s">
        <v>8529</v>
      </c>
      <c r="B679" s="14" t="s">
        <v>8686</v>
      </c>
      <c r="C679" s="14" t="s">
        <v>8673</v>
      </c>
      <c r="D679" s="14" t="s">
        <v>8541</v>
      </c>
      <c r="E679" s="14" t="s">
        <v>6727</v>
      </c>
      <c r="F679" s="14" t="s">
        <v>6728</v>
      </c>
      <c r="G679" s="8" t="s">
        <v>8674</v>
      </c>
      <c r="H679" s="14" t="s">
        <v>1751</v>
      </c>
      <c r="I679" s="14" t="s">
        <v>195</v>
      </c>
      <c r="J679" s="14"/>
      <c r="K679" s="14" t="s">
        <v>6731</v>
      </c>
      <c r="L679" s="14" t="s">
        <v>6732</v>
      </c>
      <c r="M679" s="14" t="s">
        <v>6733</v>
      </c>
      <c r="N679" s="14"/>
      <c r="O679" s="14" t="s">
        <v>6734</v>
      </c>
      <c r="P679" s="14" t="str">
        <f>HYPERLINK("https://ceds.ed.gov/cedselementdetails.aspx?termid=17415")</f>
        <v>https://ceds.ed.gov/cedselementdetails.aspx?termid=17415</v>
      </c>
      <c r="Q679" s="14" t="str">
        <f>HYPERLINK("https://ceds.ed.gov/elementComment.aspx?elementName=Person Relationship Type &amp;elementID=17415", "Click here to submit comment")</f>
        <v>Click here to submit comment</v>
      </c>
      <c r="R679" s="14">
        <v>52295</v>
      </c>
    </row>
    <row r="680" spans="1:18" ht="75" x14ac:dyDescent="0.25">
      <c r="A680" s="14" t="s">
        <v>8529</v>
      </c>
      <c r="B680" s="14" t="s">
        <v>8686</v>
      </c>
      <c r="C680" s="14" t="s">
        <v>4</v>
      </c>
      <c r="D680" s="14" t="s">
        <v>8541</v>
      </c>
      <c r="E680" s="14" t="s">
        <v>7201</v>
      </c>
      <c r="F680" s="14" t="s">
        <v>7202</v>
      </c>
      <c r="G680" s="14" t="s">
        <v>24</v>
      </c>
      <c r="H680" s="14"/>
      <c r="I680" s="14" t="s">
        <v>195</v>
      </c>
      <c r="J680" s="14"/>
      <c r="K680" s="14" t="s">
        <v>2856</v>
      </c>
      <c r="L680" s="14"/>
      <c r="M680" s="14" t="s">
        <v>7204</v>
      </c>
      <c r="N680" s="14"/>
      <c r="O680" s="14" t="s">
        <v>7205</v>
      </c>
      <c r="P680" s="14" t="str">
        <f>HYPERLINK("https://ceds.ed.gov/cedselementdetails.aspx?termid=17760")</f>
        <v>https://ceds.ed.gov/cedselementdetails.aspx?termid=17760</v>
      </c>
      <c r="Q680" s="14" t="str">
        <f>HYPERLINK("https://ceds.ed.gov/elementComment.aspx?elementName=Public Assistance Status &amp;elementID=17760", "Click here to submit comment")</f>
        <v>Click here to submit comment</v>
      </c>
      <c r="R680" s="14">
        <v>52296</v>
      </c>
    </row>
    <row r="681" spans="1:18" ht="60" x14ac:dyDescent="0.25">
      <c r="A681" s="14" t="s">
        <v>8529</v>
      </c>
      <c r="B681" s="14" t="s">
        <v>8723</v>
      </c>
      <c r="C681" s="14"/>
      <c r="D681" s="14" t="s">
        <v>8531</v>
      </c>
      <c r="E681" s="14" t="s">
        <v>3747</v>
      </c>
      <c r="F681" s="14" t="s">
        <v>3748</v>
      </c>
      <c r="G681" s="14" t="s">
        <v>37</v>
      </c>
      <c r="H681" s="14" t="s">
        <v>2298</v>
      </c>
      <c r="I681" s="14"/>
      <c r="J681" s="14" t="s">
        <v>175</v>
      </c>
      <c r="K681" s="14"/>
      <c r="L681" s="14"/>
      <c r="M681" s="14" t="s">
        <v>3749</v>
      </c>
      <c r="N681" s="14"/>
      <c r="O681" s="14" t="s">
        <v>3750</v>
      </c>
      <c r="P681" s="14" t="str">
        <f>HYPERLINK("https://ceds.ed.gov/cedselementdetails.aspx?termid=17820")</f>
        <v>https://ceds.ed.gov/cedselementdetails.aspx?termid=17820</v>
      </c>
      <c r="Q681" s="14" t="str">
        <f>HYPERLINK("https://ceds.ed.gov/elementComment.aspx?elementName=Early Learning Class Group Name &amp;elementID=17820", "Click here to submit comment")</f>
        <v>Click here to submit comment</v>
      </c>
      <c r="R681" s="14">
        <v>49269</v>
      </c>
    </row>
    <row r="682" spans="1:18" ht="105" x14ac:dyDescent="0.25">
      <c r="A682" s="16" t="s">
        <v>8529</v>
      </c>
      <c r="B682" s="16" t="s">
        <v>8723</v>
      </c>
      <c r="C682" s="16"/>
      <c r="D682" s="16" t="s">
        <v>8531</v>
      </c>
      <c r="E682" s="16" t="s">
        <v>3743</v>
      </c>
      <c r="F682" s="16" t="s">
        <v>3744</v>
      </c>
      <c r="G682" s="16" t="s">
        <v>37</v>
      </c>
      <c r="H682" s="16" t="s">
        <v>2298</v>
      </c>
      <c r="I682" s="16"/>
      <c r="J682" s="16" t="s">
        <v>149</v>
      </c>
      <c r="K682" s="16"/>
      <c r="L682" s="14" t="s">
        <v>150</v>
      </c>
      <c r="M682" s="16" t="s">
        <v>3745</v>
      </c>
      <c r="N682" s="16"/>
      <c r="O682" s="16" t="s">
        <v>3746</v>
      </c>
      <c r="P682" s="16" t="str">
        <f>HYPERLINK("https://ceds.ed.gov/cedselementdetails.aspx?termid=17819")</f>
        <v>https://ceds.ed.gov/cedselementdetails.aspx?termid=17819</v>
      </c>
      <c r="Q682" s="16" t="str">
        <f>HYPERLINK("https://ceds.ed.gov/elementComment.aspx?elementName=Early Learning Class Group Identifier &amp;elementID=17819", "Click here to submit comment")</f>
        <v>Click here to submit comment</v>
      </c>
      <c r="R682" s="16">
        <v>49268</v>
      </c>
    </row>
    <row r="683" spans="1:18" x14ac:dyDescent="0.25">
      <c r="A683" s="16"/>
      <c r="B683" s="16"/>
      <c r="C683" s="16"/>
      <c r="D683" s="16"/>
      <c r="E683" s="16"/>
      <c r="F683" s="16"/>
      <c r="G683" s="16"/>
      <c r="H683" s="16"/>
      <c r="I683" s="16"/>
      <c r="J683" s="16"/>
      <c r="K683" s="16"/>
      <c r="L683" s="14"/>
      <c r="M683" s="16"/>
      <c r="N683" s="16"/>
      <c r="O683" s="16"/>
      <c r="P683" s="16"/>
      <c r="Q683" s="16"/>
      <c r="R683" s="16"/>
    </row>
    <row r="684" spans="1:18" ht="90" x14ac:dyDescent="0.25">
      <c r="A684" s="16"/>
      <c r="B684" s="16"/>
      <c r="C684" s="16"/>
      <c r="D684" s="16"/>
      <c r="E684" s="16"/>
      <c r="F684" s="16"/>
      <c r="G684" s="16"/>
      <c r="H684" s="16"/>
      <c r="I684" s="16"/>
      <c r="J684" s="16"/>
      <c r="K684" s="16"/>
      <c r="L684" s="14" t="s">
        <v>153</v>
      </c>
      <c r="M684" s="16"/>
      <c r="N684" s="16"/>
      <c r="O684" s="16"/>
      <c r="P684" s="16"/>
      <c r="Q684" s="16"/>
      <c r="R684" s="16"/>
    </row>
    <row r="685" spans="1:18" ht="45" x14ac:dyDescent="0.25">
      <c r="A685" s="14" t="s">
        <v>8529</v>
      </c>
      <c r="B685" s="14" t="s">
        <v>8723</v>
      </c>
      <c r="C685" s="14"/>
      <c r="D685" s="14" t="s">
        <v>8531</v>
      </c>
      <c r="E685" s="14" t="s">
        <v>2341</v>
      </c>
      <c r="F685" s="14" t="s">
        <v>2342</v>
      </c>
      <c r="G685" s="14" t="s">
        <v>37</v>
      </c>
      <c r="H685" s="14" t="s">
        <v>2346</v>
      </c>
      <c r="I685" s="14"/>
      <c r="J685" s="14" t="s">
        <v>501</v>
      </c>
      <c r="K685" s="14"/>
      <c r="L685" s="14"/>
      <c r="M685" s="14" t="s">
        <v>2344</v>
      </c>
      <c r="N685" s="14"/>
      <c r="O685" s="14" t="s">
        <v>2345</v>
      </c>
      <c r="P685" s="14" t="str">
        <f>HYPERLINK("https://ceds.ed.gov/cedselementdetails.aspx?termid=17510")</f>
        <v>https://ceds.ed.gov/cedselementdetails.aspx?termid=17510</v>
      </c>
      <c r="Q685" s="14" t="str">
        <f>HYPERLINK("https://ceds.ed.gov/elementComment.aspx?elementName=Class Beginning Time &amp;elementID=17510", "Click here to submit comment")</f>
        <v>Click here to submit comment</v>
      </c>
      <c r="R685" s="14">
        <v>49270</v>
      </c>
    </row>
    <row r="686" spans="1:18" ht="45" x14ac:dyDescent="0.25">
      <c r="A686" s="14" t="s">
        <v>8529</v>
      </c>
      <c r="B686" s="14" t="s">
        <v>8723</v>
      </c>
      <c r="C686" s="14"/>
      <c r="D686" s="14" t="s">
        <v>8531</v>
      </c>
      <c r="E686" s="14" t="s">
        <v>2347</v>
      </c>
      <c r="F686" s="14" t="s">
        <v>2348</v>
      </c>
      <c r="G686" s="14" t="s">
        <v>37</v>
      </c>
      <c r="H686" s="14" t="s">
        <v>2346</v>
      </c>
      <c r="I686" s="14"/>
      <c r="J686" s="14" t="s">
        <v>501</v>
      </c>
      <c r="K686" s="14"/>
      <c r="L686" s="14"/>
      <c r="M686" s="14" t="s">
        <v>2349</v>
      </c>
      <c r="N686" s="14"/>
      <c r="O686" s="14" t="s">
        <v>2350</v>
      </c>
      <c r="P686" s="14" t="str">
        <f>HYPERLINK("https://ceds.ed.gov/cedselementdetails.aspx?termid=17511")</f>
        <v>https://ceds.ed.gov/cedselementdetails.aspx?termid=17511</v>
      </c>
      <c r="Q686" s="14" t="str">
        <f>HYPERLINK("https://ceds.ed.gov/elementComment.aspx?elementName=Class Ending Time &amp;elementID=17511", "Click here to submit comment")</f>
        <v>Click here to submit comment</v>
      </c>
      <c r="R686" s="14">
        <v>49271</v>
      </c>
    </row>
    <row r="687" spans="1:18" ht="105" x14ac:dyDescent="0.25">
      <c r="A687" s="14" t="s">
        <v>8529</v>
      </c>
      <c r="B687" s="14" t="s">
        <v>8723</v>
      </c>
      <c r="C687" s="14"/>
      <c r="D687" s="14" t="s">
        <v>8531</v>
      </c>
      <c r="E687" s="14" t="s">
        <v>7689</v>
      </c>
      <c r="F687" s="14" t="s">
        <v>7690</v>
      </c>
      <c r="G687" s="8" t="s">
        <v>8561</v>
      </c>
      <c r="H687" s="14" t="s">
        <v>3454</v>
      </c>
      <c r="I687" s="14"/>
      <c r="J687" s="14"/>
      <c r="K687" s="14"/>
      <c r="L687" s="14"/>
      <c r="M687" s="14" t="s">
        <v>7692</v>
      </c>
      <c r="N687" s="14"/>
      <c r="O687" s="14" t="s">
        <v>7693</v>
      </c>
      <c r="P687" s="14" t="str">
        <f>HYPERLINK("https://ceds.ed.gov/cedselementdetails.aspx?termid=17352")</f>
        <v>https://ceds.ed.gov/cedselementdetails.aspx?termid=17352</v>
      </c>
      <c r="Q687" s="14" t="str">
        <f>HYPERLINK("https://ceds.ed.gov/elementComment.aspx?elementName=Service Option Variation &amp;elementID=17352", "Click here to submit comment")</f>
        <v>Click here to submit comment</v>
      </c>
      <c r="R687" s="14">
        <v>49276</v>
      </c>
    </row>
    <row r="688" spans="1:18" ht="60" x14ac:dyDescent="0.25">
      <c r="A688" s="14" t="s">
        <v>8529</v>
      </c>
      <c r="B688" s="14" t="s">
        <v>8723</v>
      </c>
      <c r="C688" s="14"/>
      <c r="D688" s="14" t="s">
        <v>8531</v>
      </c>
      <c r="E688" s="14" t="s">
        <v>5043</v>
      </c>
      <c r="F688" s="14" t="s">
        <v>5044</v>
      </c>
      <c r="G688" s="14" t="s">
        <v>37</v>
      </c>
      <c r="H688" s="14" t="s">
        <v>3454</v>
      </c>
      <c r="I688" s="14"/>
      <c r="J688" s="14" t="s">
        <v>1710</v>
      </c>
      <c r="K688" s="14"/>
      <c r="L688" s="14"/>
      <c r="M688" s="14" t="s">
        <v>5045</v>
      </c>
      <c r="N688" s="14"/>
      <c r="O688" s="14" t="s">
        <v>5046</v>
      </c>
      <c r="P688" s="14" t="str">
        <f>HYPERLINK("https://ceds.ed.gov/cedselementdetails.aspx?termid=17353")</f>
        <v>https://ceds.ed.gov/cedselementdetails.aspx?termid=17353</v>
      </c>
      <c r="Q688" s="14" t="str">
        <f>HYPERLINK("https://ceds.ed.gov/elementComment.aspx?elementName=Hours Available Per Day &amp;elementID=17353", "Click here to submit comment")</f>
        <v>Click here to submit comment</v>
      </c>
      <c r="R688" s="14">
        <v>49277</v>
      </c>
    </row>
    <row r="689" spans="1:18" ht="60" x14ac:dyDescent="0.25">
      <c r="A689" s="14" t="s">
        <v>8529</v>
      </c>
      <c r="B689" s="14" t="s">
        <v>8723</v>
      </c>
      <c r="C689" s="14"/>
      <c r="D689" s="14" t="s">
        <v>8531</v>
      </c>
      <c r="E689" s="14" t="s">
        <v>3449</v>
      </c>
      <c r="F689" s="14" t="s">
        <v>3450</v>
      </c>
      <c r="G689" s="14" t="s">
        <v>37</v>
      </c>
      <c r="H689" s="14" t="s">
        <v>3454</v>
      </c>
      <c r="I689" s="14"/>
      <c r="J689" s="14" t="s">
        <v>370</v>
      </c>
      <c r="K689" s="14"/>
      <c r="L689" s="14"/>
      <c r="M689" s="14" t="s">
        <v>3452</v>
      </c>
      <c r="N689" s="14"/>
      <c r="O689" s="14" t="s">
        <v>3453</v>
      </c>
      <c r="P689" s="14" t="str">
        <f>HYPERLINK("https://ceds.ed.gov/cedselementdetails.aspx?termid=17354")</f>
        <v>https://ceds.ed.gov/cedselementdetails.aspx?termid=17354</v>
      </c>
      <c r="Q689" s="14" t="str">
        <f>HYPERLINK("https://ceds.ed.gov/elementComment.aspx?elementName=Days Available Per Week &amp;elementID=17354", "Click here to submit comment")</f>
        <v>Click here to submit comment</v>
      </c>
      <c r="R689" s="14">
        <v>49278</v>
      </c>
    </row>
    <row r="690" spans="1:18" ht="195" x14ac:dyDescent="0.25">
      <c r="A690" s="14" t="s">
        <v>8529</v>
      </c>
      <c r="B690" s="14" t="s">
        <v>8723</v>
      </c>
      <c r="C690" s="14"/>
      <c r="D690" s="14" t="s">
        <v>8531</v>
      </c>
      <c r="E690" s="14" t="s">
        <v>3723</v>
      </c>
      <c r="F690" s="14" t="s">
        <v>3724</v>
      </c>
      <c r="G690" s="8" t="s">
        <v>8562</v>
      </c>
      <c r="H690" s="14" t="s">
        <v>3454</v>
      </c>
      <c r="I690" s="14"/>
      <c r="J690" s="14"/>
      <c r="K690" s="14"/>
      <c r="L690" s="14"/>
      <c r="M690" s="14" t="s">
        <v>3726</v>
      </c>
      <c r="N690" s="14"/>
      <c r="O690" s="14" t="s">
        <v>3727</v>
      </c>
      <c r="P690" s="14" t="str">
        <f>HYPERLINK("https://ceds.ed.gov/cedselementdetails.aspx?termid=17355")</f>
        <v>https://ceds.ed.gov/cedselementdetails.aspx?termid=17355</v>
      </c>
      <c r="Q690" s="14" t="str">
        <f>HYPERLINK("https://ceds.ed.gov/elementComment.aspx?elementName=Early Childhood Setting &amp;elementID=17355", "Click here to submit comment")</f>
        <v>Click here to submit comment</v>
      </c>
      <c r="R690" s="14">
        <v>49279</v>
      </c>
    </row>
    <row r="691" spans="1:18" ht="45" x14ac:dyDescent="0.25">
      <c r="A691" s="14" t="s">
        <v>8529</v>
      </c>
      <c r="B691" s="14" t="s">
        <v>8723</v>
      </c>
      <c r="C691" s="14"/>
      <c r="D691" s="14" t="s">
        <v>8531</v>
      </c>
      <c r="E691" s="14" t="s">
        <v>3832</v>
      </c>
      <c r="F691" s="14" t="s">
        <v>3833</v>
      </c>
      <c r="G691" s="14" t="s">
        <v>37</v>
      </c>
      <c r="H691" s="14" t="s">
        <v>2346</v>
      </c>
      <c r="I691" s="14"/>
      <c r="J691" s="14" t="s">
        <v>3835</v>
      </c>
      <c r="K691" s="14"/>
      <c r="L691" s="14"/>
      <c r="M691" s="14" t="s">
        <v>3836</v>
      </c>
      <c r="N691" s="14"/>
      <c r="O691" s="14" t="s">
        <v>3837</v>
      </c>
      <c r="P691" s="14" t="str">
        <f>HYPERLINK("https://ceds.ed.gov/cedselementdetails.aspx?termid=17824")</f>
        <v>https://ceds.ed.gov/cedselementdetails.aspx?termid=17824</v>
      </c>
      <c r="Q691" s="14" t="str">
        <f>HYPERLINK("https://ceds.ed.gov/elementComment.aspx?elementName=Early Learning Program Annual Operating Weeks &amp;elementID=17824", "Click here to submit comment")</f>
        <v>Click here to submit comment</v>
      </c>
      <c r="R691" s="14">
        <v>49281</v>
      </c>
    </row>
    <row r="692" spans="1:18" ht="60" x14ac:dyDescent="0.25">
      <c r="A692" s="14" t="s">
        <v>8529</v>
      </c>
      <c r="B692" s="14" t="s">
        <v>8723</v>
      </c>
      <c r="C692" s="14"/>
      <c r="D692" s="14" t="s">
        <v>8531</v>
      </c>
      <c r="E692" s="14" t="s">
        <v>3904</v>
      </c>
      <c r="F692" s="14" t="s">
        <v>3905</v>
      </c>
      <c r="G692" s="14" t="s">
        <v>37</v>
      </c>
      <c r="H692" s="14" t="s">
        <v>3811</v>
      </c>
      <c r="I692" s="14"/>
      <c r="J692" s="14" t="s">
        <v>370</v>
      </c>
      <c r="K692" s="14"/>
      <c r="L692" s="14"/>
      <c r="M692" s="14" t="s">
        <v>3906</v>
      </c>
      <c r="N692" s="14"/>
      <c r="O692" s="14" t="s">
        <v>3907</v>
      </c>
      <c r="P692" s="14" t="str">
        <f>HYPERLINK("https://ceds.ed.gov/cedselementdetails.aspx?termid=17626")</f>
        <v>https://ceds.ed.gov/cedselementdetails.aspx?termid=17626</v>
      </c>
      <c r="Q692" s="14" t="str">
        <f>HYPERLINK("https://ceds.ed.gov/elementComment.aspx?elementName=Early Learning Youngest Age Authorized to Serve &amp;elementID=17626", "Click here to submit comment")</f>
        <v>Click here to submit comment</v>
      </c>
      <c r="R692" s="14">
        <v>49272</v>
      </c>
    </row>
    <row r="693" spans="1:18" ht="60" x14ac:dyDescent="0.25">
      <c r="A693" s="14" t="s">
        <v>8529</v>
      </c>
      <c r="B693" s="14" t="s">
        <v>8723</v>
      </c>
      <c r="C693" s="14"/>
      <c r="D693" s="14" t="s">
        <v>8531</v>
      </c>
      <c r="E693" s="14" t="s">
        <v>3807</v>
      </c>
      <c r="F693" s="14" t="s">
        <v>3808</v>
      </c>
      <c r="G693" s="14" t="s">
        <v>37</v>
      </c>
      <c r="H693" s="14" t="s">
        <v>3811</v>
      </c>
      <c r="I693" s="14"/>
      <c r="J693" s="14" t="s">
        <v>370</v>
      </c>
      <c r="K693" s="14"/>
      <c r="L693" s="14"/>
      <c r="M693" s="14" t="s">
        <v>3809</v>
      </c>
      <c r="N693" s="14"/>
      <c r="O693" s="14" t="s">
        <v>3810</v>
      </c>
      <c r="P693" s="14" t="str">
        <f>HYPERLINK("https://ceds.ed.gov/cedselementdetails.aspx?termid=18189")</f>
        <v>https://ceds.ed.gov/cedselementdetails.aspx?termid=18189</v>
      </c>
      <c r="Q693" s="14" t="str">
        <f>HYPERLINK("https://ceds.ed.gov/elementComment.aspx?elementName=Early Learning Oldest Age Authorized to Serve &amp;elementID=18189", "Click here to submit comment")</f>
        <v>Click here to submit comment</v>
      </c>
      <c r="R693" s="14">
        <v>48961</v>
      </c>
    </row>
    <row r="694" spans="1:18" ht="45" x14ac:dyDescent="0.25">
      <c r="A694" s="14" t="s">
        <v>8529</v>
      </c>
      <c r="B694" s="14" t="s">
        <v>8723</v>
      </c>
      <c r="C694" s="14"/>
      <c r="D694" s="14" t="s">
        <v>8531</v>
      </c>
      <c r="E694" s="14" t="s">
        <v>3793</v>
      </c>
      <c r="F694" s="14" t="s">
        <v>3794</v>
      </c>
      <c r="G694" s="14" t="s">
        <v>37</v>
      </c>
      <c r="H694" s="14"/>
      <c r="I694" s="14"/>
      <c r="J694" s="14" t="s">
        <v>370</v>
      </c>
      <c r="K694" s="14"/>
      <c r="L694" s="14"/>
      <c r="M694" s="14" t="s">
        <v>3795</v>
      </c>
      <c r="N694" s="14"/>
      <c r="O694" s="14" t="s">
        <v>3796</v>
      </c>
      <c r="P694" s="14" t="str">
        <f>HYPERLINK("https://ceds.ed.gov/cedselementdetails.aspx?termid=18295")</f>
        <v>https://ceds.ed.gov/cedselementdetails.aspx?termid=18295</v>
      </c>
      <c r="Q694" s="14" t="str">
        <f>HYPERLINK("https://ceds.ed.gov/elementComment.aspx?elementName=Early Learning Group Size &amp;elementID=18295", "Click here to submit comment")</f>
        <v>Click here to submit comment</v>
      </c>
      <c r="R694" s="14">
        <v>50135</v>
      </c>
    </row>
    <row r="695" spans="1:18" ht="135" x14ac:dyDescent="0.25">
      <c r="A695" s="14" t="s">
        <v>8529</v>
      </c>
      <c r="B695" s="14" t="s">
        <v>8723</v>
      </c>
      <c r="C695" s="14"/>
      <c r="D695" s="14" t="s">
        <v>8531</v>
      </c>
      <c r="E695" s="14" t="s">
        <v>3797</v>
      </c>
      <c r="F695" s="14" t="s">
        <v>3798</v>
      </c>
      <c r="G695" s="8" t="s">
        <v>8724</v>
      </c>
      <c r="H695" s="14" t="s">
        <v>125</v>
      </c>
      <c r="I695" s="14"/>
      <c r="J695" s="14"/>
      <c r="K695" s="14"/>
      <c r="L695" s="14"/>
      <c r="M695" s="14" t="s">
        <v>3800</v>
      </c>
      <c r="N695" s="14"/>
      <c r="O695" s="14" t="s">
        <v>3801</v>
      </c>
      <c r="P695" s="14" t="str">
        <f>HYPERLINK("https://ceds.ed.gov/cedselementdetails.aspx?termid=17823")</f>
        <v>https://ceds.ed.gov/cedselementdetails.aspx?termid=17823</v>
      </c>
      <c r="Q695" s="14" t="str">
        <f>HYPERLINK("https://ceds.ed.gov/elementComment.aspx?elementName=Early Learning Group Size Standards Met &amp;elementID=17823", "Click here to submit comment")</f>
        <v>Click here to submit comment</v>
      </c>
      <c r="R695" s="14">
        <v>49275</v>
      </c>
    </row>
    <row r="696" spans="1:18" ht="45" x14ac:dyDescent="0.25">
      <c r="A696" s="14" t="s">
        <v>8529</v>
      </c>
      <c r="B696" s="14" t="s">
        <v>8723</v>
      </c>
      <c r="C696" s="14"/>
      <c r="D696" s="14" t="s">
        <v>8531</v>
      </c>
      <c r="E696" s="14" t="s">
        <v>7669</v>
      </c>
      <c r="F696" s="14" t="s">
        <v>7670</v>
      </c>
      <c r="G696" s="14" t="s">
        <v>24</v>
      </c>
      <c r="H696" s="14" t="s">
        <v>2346</v>
      </c>
      <c r="I696" s="14"/>
      <c r="J696" s="14"/>
      <c r="K696" s="14"/>
      <c r="L696" s="14"/>
      <c r="M696" s="14" t="s">
        <v>7671</v>
      </c>
      <c r="N696" s="14"/>
      <c r="O696" s="14" t="s">
        <v>7672</v>
      </c>
      <c r="P696" s="14" t="str">
        <f>HYPERLINK("https://ceds.ed.gov/cedselementdetails.aspx?termid=17821")</f>
        <v>https://ceds.ed.gov/cedselementdetails.aspx?termid=17821</v>
      </c>
      <c r="Q696" s="14" t="str">
        <f>HYPERLINK("https://ceds.ed.gov/elementComment.aspx?elementName=Serves Children with Special Needs &amp;elementID=17821", "Click here to submit comment")</f>
        <v>Click here to submit comment</v>
      </c>
      <c r="R696" s="14">
        <v>49273</v>
      </c>
    </row>
    <row r="697" spans="1:18" ht="180" x14ac:dyDescent="0.25">
      <c r="A697" s="14" t="s">
        <v>8529</v>
      </c>
      <c r="B697" s="14" t="s">
        <v>8723</v>
      </c>
      <c r="C697" s="14"/>
      <c r="D697" s="14" t="s">
        <v>8531</v>
      </c>
      <c r="E697" s="14" t="s">
        <v>3737</v>
      </c>
      <c r="F697" s="14" t="s">
        <v>3738</v>
      </c>
      <c r="G697" s="8" t="s">
        <v>8725</v>
      </c>
      <c r="H697" s="14" t="s">
        <v>125</v>
      </c>
      <c r="I697" s="14"/>
      <c r="J697" s="14" t="s">
        <v>175</v>
      </c>
      <c r="K697" s="14"/>
      <c r="L697" s="14"/>
      <c r="M697" s="14" t="s">
        <v>3741</v>
      </c>
      <c r="N697" s="14"/>
      <c r="O697" s="14" t="s">
        <v>3742</v>
      </c>
      <c r="P697" s="14" t="str">
        <f>HYPERLINK("https://ceds.ed.gov/cedselementdetails.aspx?termid=17822")</f>
        <v>https://ceds.ed.gov/cedselementdetails.aspx?termid=17822</v>
      </c>
      <c r="Q697" s="14" t="str">
        <f>HYPERLINK("https://ceds.ed.gov/elementComment.aspx?elementName=Early Learning Class Group Curriculum Type &amp;elementID=17822", "Click here to submit comment")</f>
        <v>Click here to submit comment</v>
      </c>
      <c r="R697" s="14">
        <v>49274</v>
      </c>
    </row>
    <row r="698" spans="1:18" ht="45" x14ac:dyDescent="0.25">
      <c r="A698" s="14" t="s">
        <v>8529</v>
      </c>
      <c r="B698" s="14" t="s">
        <v>8723</v>
      </c>
      <c r="C698" s="14"/>
      <c r="D698" s="14" t="s">
        <v>8531</v>
      </c>
      <c r="E698" s="14" t="s">
        <v>5712</v>
      </c>
      <c r="F698" s="14" t="s">
        <v>5713</v>
      </c>
      <c r="G698" s="14" t="s">
        <v>24</v>
      </c>
      <c r="H698" s="14"/>
      <c r="I698" s="14"/>
      <c r="J698" s="14"/>
      <c r="K698" s="14"/>
      <c r="L698" s="14"/>
      <c r="M698" s="14" t="s">
        <v>5715</v>
      </c>
      <c r="N698" s="14"/>
      <c r="O698" s="14" t="s">
        <v>5716</v>
      </c>
      <c r="P698" s="14" t="str">
        <f>HYPERLINK("https://ceds.ed.gov/cedselementdetails.aspx?termid=18190")</f>
        <v>https://ceds.ed.gov/cedselementdetails.aspx?termid=18190</v>
      </c>
      <c r="Q698" s="14" t="str">
        <f>HYPERLINK("https://ceds.ed.gov/elementComment.aspx?elementName=Language Translation Policy &amp;elementID=18190", "Click here to submit comment")</f>
        <v>Click here to submit comment</v>
      </c>
      <c r="R698" s="14">
        <v>48632</v>
      </c>
    </row>
    <row r="699" spans="1:18" ht="75" x14ac:dyDescent="0.25">
      <c r="A699" s="14" t="s">
        <v>8529</v>
      </c>
      <c r="B699" s="14" t="s">
        <v>8726</v>
      </c>
      <c r="C699" s="14"/>
      <c r="D699" s="14" t="s">
        <v>8531</v>
      </c>
      <c r="E699" s="14" t="s">
        <v>1735</v>
      </c>
      <c r="F699" s="14" t="s">
        <v>1736</v>
      </c>
      <c r="G699" s="8" t="s">
        <v>8727</v>
      </c>
      <c r="H699" s="14"/>
      <c r="I699" s="14"/>
      <c r="J699" s="14"/>
      <c r="K699" s="14"/>
      <c r="L699" s="14"/>
      <c r="M699" s="14" t="s">
        <v>1739</v>
      </c>
      <c r="N699" s="14"/>
      <c r="O699" s="14" t="s">
        <v>1740</v>
      </c>
      <c r="P699" s="14" t="str">
        <f>HYPERLINK("https://ceds.ed.gov/cedselementdetails.aspx?termid=18561")</f>
        <v>https://ceds.ed.gov/cedselementdetails.aspx?termid=18561</v>
      </c>
      <c r="Q699" s="14" t="str">
        <f>HYPERLINK("https://ceds.ed.gov/elementComment.aspx?elementName=Billable Basis Type &amp;elementID=18561", "Click here to submit comment")</f>
        <v>Click here to submit comment</v>
      </c>
      <c r="R699" s="14">
        <v>51037</v>
      </c>
    </row>
    <row r="700" spans="1:18" ht="180" x14ac:dyDescent="0.25">
      <c r="A700" s="14" t="s">
        <v>8529</v>
      </c>
      <c r="B700" s="14" t="s">
        <v>8726</v>
      </c>
      <c r="C700" s="14"/>
      <c r="D700" s="14" t="s">
        <v>8531</v>
      </c>
      <c r="E700" s="14" t="s">
        <v>3802</v>
      </c>
      <c r="F700" s="14" t="s">
        <v>3803</v>
      </c>
      <c r="G700" s="8" t="s">
        <v>8728</v>
      </c>
      <c r="H700" s="14"/>
      <c r="I700" s="14"/>
      <c r="J700" s="14"/>
      <c r="K700" s="14"/>
      <c r="L700" s="14"/>
      <c r="M700" s="14" t="s">
        <v>3805</v>
      </c>
      <c r="N700" s="14"/>
      <c r="O700" s="14" t="s">
        <v>3806</v>
      </c>
      <c r="P700" s="14" t="str">
        <f>HYPERLINK("https://ceds.ed.gov/cedselementdetails.aspx?termid=18582")</f>
        <v>https://ceds.ed.gov/cedselementdetails.aspx?termid=18582</v>
      </c>
      <c r="Q700" s="14" t="str">
        <f>HYPERLINK("https://ceds.ed.gov/elementComment.aspx?elementName=Early Learning Local Revenue Source &amp;elementID=18582", "Click here to submit comment")</f>
        <v>Click here to submit comment</v>
      </c>
      <c r="R700" s="14">
        <v>51072</v>
      </c>
    </row>
    <row r="701" spans="1:18" ht="409.5" x14ac:dyDescent="0.25">
      <c r="A701" s="14" t="s">
        <v>8529</v>
      </c>
      <c r="B701" s="14" t="s">
        <v>8726</v>
      </c>
      <c r="C701" s="14"/>
      <c r="D701" s="14" t="s">
        <v>8531</v>
      </c>
      <c r="E701" s="14" t="s">
        <v>3893</v>
      </c>
      <c r="F701" s="14" t="s">
        <v>3894</v>
      </c>
      <c r="G701" s="8" t="s">
        <v>8729</v>
      </c>
      <c r="H701" s="14"/>
      <c r="I701" s="14"/>
      <c r="J701" s="14"/>
      <c r="K701" s="14"/>
      <c r="L701" s="14"/>
      <c r="M701" s="14" t="s">
        <v>3896</v>
      </c>
      <c r="N701" s="14"/>
      <c r="O701" s="14" t="s">
        <v>3897</v>
      </c>
      <c r="P701" s="14" t="str">
        <f>HYPERLINK("https://ceds.ed.gov/cedselementdetails.aspx?termid=18584")</f>
        <v>https://ceds.ed.gov/cedselementdetails.aspx?termid=18584</v>
      </c>
      <c r="Q701" s="14" t="str">
        <f>HYPERLINK("https://ceds.ed.gov/elementComment.aspx?elementName=Early Learning State Revenue Source &amp;elementID=18584", "Click here to submit comment")</f>
        <v>Click here to submit comment</v>
      </c>
      <c r="R701" s="14">
        <v>51074</v>
      </c>
    </row>
    <row r="702" spans="1:18" ht="135" x14ac:dyDescent="0.25">
      <c r="A702" s="14" t="s">
        <v>8529</v>
      </c>
      <c r="B702" s="14" t="s">
        <v>8726</v>
      </c>
      <c r="C702" s="14"/>
      <c r="D702" s="14" t="s">
        <v>8531</v>
      </c>
      <c r="E702" s="14" t="s">
        <v>4474</v>
      </c>
      <c r="F702" s="14" t="s">
        <v>4475</v>
      </c>
      <c r="G702" s="14" t="s">
        <v>37</v>
      </c>
      <c r="H702" s="14" t="s">
        <v>258</v>
      </c>
      <c r="I702" s="14"/>
      <c r="J702" s="14" t="s">
        <v>1710</v>
      </c>
      <c r="K702" s="14"/>
      <c r="L702" s="14"/>
      <c r="M702" s="14" t="s">
        <v>4477</v>
      </c>
      <c r="N702" s="14"/>
      <c r="O702" s="14" t="s">
        <v>4478</v>
      </c>
      <c r="P702" s="14" t="str">
        <f>HYPERLINK("https://ceds.ed.gov/cedselementdetails.aspx?termid=17540")</f>
        <v>https://ceds.ed.gov/cedselementdetails.aspx?termid=17540</v>
      </c>
      <c r="Q702" s="14" t="str">
        <f>HYPERLINK("https://ceds.ed.gov/elementComment.aspx?elementName=Federal Programs Funding Allocation &amp;elementID=17540", "Click here to submit comment")</f>
        <v>Click here to submit comment</v>
      </c>
      <c r="R702" s="14">
        <v>50162</v>
      </c>
    </row>
    <row r="703" spans="1:18" ht="60" x14ac:dyDescent="0.25">
      <c r="A703" s="16" t="s">
        <v>8529</v>
      </c>
      <c r="B703" s="16" t="s">
        <v>8726</v>
      </c>
      <c r="C703" s="16"/>
      <c r="D703" s="16" t="s">
        <v>8531</v>
      </c>
      <c r="E703" s="16" t="s">
        <v>4517</v>
      </c>
      <c r="F703" s="16" t="s">
        <v>4518</v>
      </c>
      <c r="G703" s="18" t="s">
        <v>8730</v>
      </c>
      <c r="H703" s="16"/>
      <c r="I703" s="16"/>
      <c r="J703" s="16"/>
      <c r="K703" s="16"/>
      <c r="L703" s="6" t="s">
        <v>4504</v>
      </c>
      <c r="M703" s="16" t="s">
        <v>4521</v>
      </c>
      <c r="N703" s="16"/>
      <c r="O703" s="16" t="s">
        <v>4522</v>
      </c>
      <c r="P703" s="16" t="str">
        <f>HYPERLINK("https://ceds.ed.gov/cedselementdetails.aspx?termid=18440")</f>
        <v>https://ceds.ed.gov/cedselementdetails.aspx?termid=18440</v>
      </c>
      <c r="Q703" s="16" t="str">
        <f>HYPERLINK("https://ceds.ed.gov/elementComment.aspx?elementName=Financial Account K12 Revenue Code &amp;elementID=18440", "Click here to submit comment")</f>
        <v>Click here to submit comment</v>
      </c>
      <c r="R703" s="16">
        <v>51124</v>
      </c>
    </row>
    <row r="704" spans="1:18" x14ac:dyDescent="0.25">
      <c r="A704" s="16"/>
      <c r="B704" s="16"/>
      <c r="C704" s="16"/>
      <c r="D704" s="16"/>
      <c r="E704" s="16"/>
      <c r="F704" s="16"/>
      <c r="G704" s="16"/>
      <c r="H704" s="16"/>
      <c r="I704" s="16"/>
      <c r="J704" s="16"/>
      <c r="K704" s="16"/>
      <c r="L704" s="14"/>
      <c r="M704" s="16"/>
      <c r="N704" s="16"/>
      <c r="O704" s="16"/>
      <c r="P704" s="16"/>
      <c r="Q704" s="16"/>
      <c r="R704" s="16"/>
    </row>
    <row r="705" spans="1:18" ht="30" x14ac:dyDescent="0.25">
      <c r="A705" s="16"/>
      <c r="B705" s="16"/>
      <c r="C705" s="16"/>
      <c r="D705" s="16"/>
      <c r="E705" s="16"/>
      <c r="F705" s="16"/>
      <c r="G705" s="16"/>
      <c r="H705" s="16"/>
      <c r="I705" s="16"/>
      <c r="J705" s="16"/>
      <c r="K705" s="16"/>
      <c r="L705" s="14" t="s">
        <v>4523</v>
      </c>
      <c r="M705" s="16"/>
      <c r="N705" s="16"/>
      <c r="O705" s="16"/>
      <c r="P705" s="16"/>
      <c r="Q705" s="16"/>
      <c r="R705" s="16"/>
    </row>
    <row r="706" spans="1:18" ht="90" x14ac:dyDescent="0.25">
      <c r="A706" s="14" t="s">
        <v>8529</v>
      </c>
      <c r="B706" s="14" t="s">
        <v>8726</v>
      </c>
      <c r="C706" s="14"/>
      <c r="D706" s="14" t="s">
        <v>8531</v>
      </c>
      <c r="E706" s="14" t="s">
        <v>7366</v>
      </c>
      <c r="F706" s="14" t="s">
        <v>7367</v>
      </c>
      <c r="G706" s="8" t="s">
        <v>8731</v>
      </c>
      <c r="H706" s="14"/>
      <c r="I706" s="14"/>
      <c r="J706" s="14"/>
      <c r="K706" s="14"/>
      <c r="L706" s="14"/>
      <c r="M706" s="14" t="s">
        <v>7369</v>
      </c>
      <c r="N706" s="14"/>
      <c r="O706" s="14" t="s">
        <v>7370</v>
      </c>
      <c r="P706" s="14" t="str">
        <f>HYPERLINK("https://ceds.ed.gov/cedselementdetails.aspx?termid=18601")</f>
        <v>https://ceds.ed.gov/cedselementdetails.aspx?termid=18601</v>
      </c>
      <c r="Q706" s="14" t="str">
        <f>HYPERLINK("https://ceds.ed.gov/elementComment.aspx?elementName=Reimbursement Type &amp;elementID=18601", "Click here to submit comment")</f>
        <v>Click here to submit comment</v>
      </c>
      <c r="R706" s="14">
        <v>51100</v>
      </c>
    </row>
    <row r="707" spans="1:18" ht="45" x14ac:dyDescent="0.25">
      <c r="A707" s="14" t="s">
        <v>8732</v>
      </c>
      <c r="B707" s="14" t="s">
        <v>8733</v>
      </c>
      <c r="C707" s="14"/>
      <c r="D707" s="14" t="s">
        <v>8531</v>
      </c>
      <c r="E707" s="14" t="s">
        <v>6535</v>
      </c>
      <c r="F707" s="14" t="s">
        <v>6536</v>
      </c>
      <c r="G707" s="14" t="s">
        <v>37</v>
      </c>
      <c r="H707" s="14"/>
      <c r="I707" s="14"/>
      <c r="J707" s="14" t="s">
        <v>57</v>
      </c>
      <c r="K707" s="14"/>
      <c r="L707" s="14"/>
      <c r="M707" s="14" t="s">
        <v>6538</v>
      </c>
      <c r="N707" s="14"/>
      <c r="O707" s="14" t="s">
        <v>6539</v>
      </c>
      <c r="P707" s="14" t="str">
        <f>HYPERLINK("https://ceds.ed.gov/cedselementdetails.aspx?termid=18644")</f>
        <v>https://ceds.ed.gov/cedselementdetails.aspx?termid=18644</v>
      </c>
      <c r="Q707" s="14" t="str">
        <f>HYPERLINK("https://ceds.ed.gov/elementComment.aspx?elementName=Organization Image URL &amp;elementID=18644", "Click here to submit comment")</f>
        <v>Click here to submit comment</v>
      </c>
      <c r="R707" s="14">
        <v>51977</v>
      </c>
    </row>
    <row r="708" spans="1:18" ht="45" x14ac:dyDescent="0.25">
      <c r="A708" s="14" t="s">
        <v>8732</v>
      </c>
      <c r="B708" s="14" t="s">
        <v>8733</v>
      </c>
      <c r="C708" s="14"/>
      <c r="D708" s="14" t="s">
        <v>8531</v>
      </c>
      <c r="E708" s="14" t="s">
        <v>6556</v>
      </c>
      <c r="F708" s="14" t="s">
        <v>6557</v>
      </c>
      <c r="G708" s="14" t="s">
        <v>37</v>
      </c>
      <c r="H708" s="14"/>
      <c r="I708" s="14"/>
      <c r="J708" s="14" t="s">
        <v>3227</v>
      </c>
      <c r="K708" s="14"/>
      <c r="L708" s="14"/>
      <c r="M708" s="14" t="s">
        <v>6559</v>
      </c>
      <c r="N708" s="14"/>
      <c r="O708" s="14" t="s">
        <v>6560</v>
      </c>
      <c r="P708" s="14" t="str">
        <f>HYPERLINK("https://ceds.ed.gov/cedselementdetails.aspx?termid=18731")</f>
        <v>https://ceds.ed.gov/cedselementdetails.aspx?termid=18731</v>
      </c>
      <c r="Q708" s="14" t="str">
        <f>HYPERLINK("https://ceds.ed.gov/elementComment.aspx?elementName=Organization Region GeoJSON &amp;elementID=18731", "Click here to submit comment")</f>
        <v>Click here to submit comment</v>
      </c>
      <c r="R708" s="14">
        <v>51984</v>
      </c>
    </row>
    <row r="709" spans="1:18" ht="60" x14ac:dyDescent="0.25">
      <c r="A709" s="14" t="s">
        <v>8732</v>
      </c>
      <c r="B709" s="14" t="s">
        <v>8733</v>
      </c>
      <c r="C709" s="14"/>
      <c r="D709" s="14" t="s">
        <v>8531</v>
      </c>
      <c r="E709" s="14" t="s">
        <v>6550</v>
      </c>
      <c r="F709" s="14" t="s">
        <v>6551</v>
      </c>
      <c r="G709" s="8" t="s">
        <v>8532</v>
      </c>
      <c r="H709" s="14"/>
      <c r="I709" s="14"/>
      <c r="J709" s="14"/>
      <c r="K709" s="14"/>
      <c r="L709" s="14"/>
      <c r="M709" s="14" t="s">
        <v>6554</v>
      </c>
      <c r="N709" s="14"/>
      <c r="O709" s="14" t="s">
        <v>6555</v>
      </c>
      <c r="P709" s="14" t="str">
        <f>HYPERLINK("https://ceds.ed.gov/cedselementdetails.aspx?termid=18387")</f>
        <v>https://ceds.ed.gov/cedselementdetails.aspx?termid=18387</v>
      </c>
      <c r="Q709" s="14" t="str">
        <f>HYPERLINK("https://ceds.ed.gov/elementComment.aspx?elementName=Organization Operational Status &amp;elementID=18387", "Click here to submit comment")</f>
        <v>Click here to submit comment</v>
      </c>
      <c r="R709" s="14">
        <v>50299</v>
      </c>
    </row>
    <row r="710" spans="1:18" ht="105" x14ac:dyDescent="0.25">
      <c r="A710" s="16" t="s">
        <v>8732</v>
      </c>
      <c r="B710" s="16" t="s">
        <v>8733</v>
      </c>
      <c r="C710" s="16" t="s">
        <v>8533</v>
      </c>
      <c r="D710" s="16" t="s">
        <v>8531</v>
      </c>
      <c r="E710" s="16" t="s">
        <v>6530</v>
      </c>
      <c r="F710" s="16" t="s">
        <v>6531</v>
      </c>
      <c r="G710" s="16" t="s">
        <v>37</v>
      </c>
      <c r="H710" s="16" t="s">
        <v>125</v>
      </c>
      <c r="I710" s="16"/>
      <c r="J710" s="16" t="s">
        <v>149</v>
      </c>
      <c r="K710" s="16"/>
      <c r="L710" s="14" t="s">
        <v>150</v>
      </c>
      <c r="M710" s="16" t="s">
        <v>6533</v>
      </c>
      <c r="N710" s="16"/>
      <c r="O710" s="16" t="s">
        <v>6534</v>
      </c>
      <c r="P710" s="16" t="str">
        <f>HYPERLINK("https://ceds.ed.gov/cedselementdetails.aspx?termid=17825")</f>
        <v>https://ceds.ed.gov/cedselementdetails.aspx?termid=17825</v>
      </c>
      <c r="Q710" s="16" t="str">
        <f>HYPERLINK("https://ceds.ed.gov/elementComment.aspx?elementName=Organization Identifier &amp;elementID=17825", "Click here to submit comment")</f>
        <v>Click here to submit comment</v>
      </c>
      <c r="R710" s="16">
        <v>50715</v>
      </c>
    </row>
    <row r="711" spans="1:18" x14ac:dyDescent="0.25">
      <c r="A711" s="16"/>
      <c r="B711" s="16"/>
      <c r="C711" s="16"/>
      <c r="D711" s="16"/>
      <c r="E711" s="16"/>
      <c r="F711" s="16"/>
      <c r="G711" s="16"/>
      <c r="H711" s="16"/>
      <c r="I711" s="16"/>
      <c r="J711" s="16"/>
      <c r="K711" s="16"/>
      <c r="L711" s="14"/>
      <c r="M711" s="16"/>
      <c r="N711" s="16"/>
      <c r="O711" s="16"/>
      <c r="P711" s="16"/>
      <c r="Q711" s="16"/>
      <c r="R711" s="16"/>
    </row>
    <row r="712" spans="1:18" ht="90" x14ac:dyDescent="0.25">
      <c r="A712" s="16"/>
      <c r="B712" s="16"/>
      <c r="C712" s="16"/>
      <c r="D712" s="16"/>
      <c r="E712" s="16"/>
      <c r="F712" s="16"/>
      <c r="G712" s="16"/>
      <c r="H712" s="16"/>
      <c r="I712" s="16"/>
      <c r="J712" s="16"/>
      <c r="K712" s="16"/>
      <c r="L712" s="14" t="s">
        <v>153</v>
      </c>
      <c r="M712" s="16"/>
      <c r="N712" s="16"/>
      <c r="O712" s="16"/>
      <c r="P712" s="16"/>
      <c r="Q712" s="16"/>
      <c r="R712" s="16"/>
    </row>
    <row r="713" spans="1:18" ht="255" x14ac:dyDescent="0.25">
      <c r="A713" s="14" t="s">
        <v>8732</v>
      </c>
      <c r="B713" s="14" t="s">
        <v>8733</v>
      </c>
      <c r="C713" s="14" t="s">
        <v>8533</v>
      </c>
      <c r="D713" s="14" t="s">
        <v>8531</v>
      </c>
      <c r="E713" s="14" t="s">
        <v>6524</v>
      </c>
      <c r="F713" s="14" t="s">
        <v>6525</v>
      </c>
      <c r="G713" s="8" t="s">
        <v>8534</v>
      </c>
      <c r="H713" s="14" t="s">
        <v>125</v>
      </c>
      <c r="I713" s="14"/>
      <c r="J713" s="14"/>
      <c r="K713" s="14"/>
      <c r="L713" s="14"/>
      <c r="M713" s="14" t="s">
        <v>6528</v>
      </c>
      <c r="N713" s="14"/>
      <c r="O713" s="14" t="s">
        <v>6529</v>
      </c>
      <c r="P713" s="14" t="str">
        <f>HYPERLINK("https://ceds.ed.gov/cedselementdetails.aspx?termid=17827")</f>
        <v>https://ceds.ed.gov/cedselementdetails.aspx?termid=17827</v>
      </c>
      <c r="Q713" s="14" t="str">
        <f>HYPERLINK("https://ceds.ed.gov/elementComment.aspx?elementName=Organization Identification System &amp;elementID=17827", "Click here to submit comment")</f>
        <v>Click here to submit comment</v>
      </c>
      <c r="R713" s="14">
        <v>50717</v>
      </c>
    </row>
    <row r="714" spans="1:18" ht="45" x14ac:dyDescent="0.25">
      <c r="A714" s="14" t="s">
        <v>8732</v>
      </c>
      <c r="B714" s="14" t="s">
        <v>8733</v>
      </c>
      <c r="C714" s="14" t="s">
        <v>8533</v>
      </c>
      <c r="D714" s="14" t="s">
        <v>8531</v>
      </c>
      <c r="E714" s="14" t="s">
        <v>6545</v>
      </c>
      <c r="F714" s="14" t="s">
        <v>6546</v>
      </c>
      <c r="G714" s="14" t="s">
        <v>37</v>
      </c>
      <c r="H714" s="14" t="s">
        <v>238</v>
      </c>
      <c r="I714" s="14"/>
      <c r="J714" s="14" t="s">
        <v>175</v>
      </c>
      <c r="K714" s="14"/>
      <c r="L714" s="14"/>
      <c r="M714" s="14" t="s">
        <v>6548</v>
      </c>
      <c r="N714" s="14"/>
      <c r="O714" s="14" t="s">
        <v>6549</v>
      </c>
      <c r="P714" s="14" t="str">
        <f>HYPERLINK("https://ceds.ed.gov/cedselementdetails.aspx?termid=17204")</f>
        <v>https://ceds.ed.gov/cedselementdetails.aspx?termid=17204</v>
      </c>
      <c r="Q714" s="14" t="str">
        <f>HYPERLINK("https://ceds.ed.gov/elementComment.aspx?elementName=Organization Name &amp;elementID=17204", "Click here to submit comment")</f>
        <v>Click here to submit comment</v>
      </c>
      <c r="R714" s="14">
        <v>50713</v>
      </c>
    </row>
    <row r="715" spans="1:18" ht="409.5" x14ac:dyDescent="0.25">
      <c r="A715" s="14" t="s">
        <v>8732</v>
      </c>
      <c r="B715" s="14" t="s">
        <v>8733</v>
      </c>
      <c r="C715" s="14" t="s">
        <v>8533</v>
      </c>
      <c r="D715" s="14" t="s">
        <v>8531</v>
      </c>
      <c r="E715" s="14" t="s">
        <v>6571</v>
      </c>
      <c r="F715" s="14" t="s">
        <v>6572</v>
      </c>
      <c r="G715" s="8" t="s">
        <v>8535</v>
      </c>
      <c r="H715" s="14"/>
      <c r="I715" s="14" t="s">
        <v>195</v>
      </c>
      <c r="J715" s="14"/>
      <c r="K715" s="14" t="s">
        <v>6574</v>
      </c>
      <c r="L715" s="14" t="s">
        <v>6575</v>
      </c>
      <c r="M715" s="14" t="s">
        <v>6576</v>
      </c>
      <c r="N715" s="14"/>
      <c r="O715" s="14" t="s">
        <v>6577</v>
      </c>
      <c r="P715" s="14" t="str">
        <f>HYPERLINK("https://ceds.ed.gov/cedselementdetails.aspx?termid=18165")</f>
        <v>https://ceds.ed.gov/cedselementdetails.aspx?termid=18165</v>
      </c>
      <c r="Q715" s="14" t="str">
        <f>HYPERLINK("https://ceds.ed.gov/elementComment.aspx?elementName=Organization Type &amp;elementID=18165", "Click here to submit comment")</f>
        <v>Click here to submit comment</v>
      </c>
      <c r="R715" s="14">
        <v>51122</v>
      </c>
    </row>
    <row r="716" spans="1:18" ht="120" x14ac:dyDescent="0.25">
      <c r="A716" s="14" t="s">
        <v>8732</v>
      </c>
      <c r="B716" s="14" t="s">
        <v>8733</v>
      </c>
      <c r="C716" s="14" t="s">
        <v>8533</v>
      </c>
      <c r="D716" s="14" t="s">
        <v>8531</v>
      </c>
      <c r="E716" s="14" t="s">
        <v>2262</v>
      </c>
      <c r="F716" s="14" t="s">
        <v>2263</v>
      </c>
      <c r="G716" s="8" t="s">
        <v>8734</v>
      </c>
      <c r="H716" s="14" t="s">
        <v>258</v>
      </c>
      <c r="I716" s="14" t="s">
        <v>195</v>
      </c>
      <c r="J716" s="14"/>
      <c r="K716" s="14" t="s">
        <v>2266</v>
      </c>
      <c r="L716" s="14"/>
      <c r="M716" s="14" t="s">
        <v>2267</v>
      </c>
      <c r="N716" s="14"/>
      <c r="O716" s="14" t="s">
        <v>2268</v>
      </c>
      <c r="P716" s="14" t="str">
        <f>HYPERLINK("https://ceds.ed.gov/cedselementdetails.aspx?termid=18631")</f>
        <v>https://ceds.ed.gov/cedselementdetails.aspx?termid=18631</v>
      </c>
      <c r="Q716" s="14" t="str">
        <f>HYPERLINK("https://ceds.ed.gov/elementComment.aspx?elementName=Charter School Management Organization Type &amp;elementID=18631", "Click here to submit comment")</f>
        <v>Click here to submit comment</v>
      </c>
      <c r="R716" s="14">
        <v>51345</v>
      </c>
    </row>
    <row r="717" spans="1:18" ht="75" x14ac:dyDescent="0.25">
      <c r="A717" s="14" t="s">
        <v>8732</v>
      </c>
      <c r="B717" s="14" t="s">
        <v>8733</v>
      </c>
      <c r="C717" s="14" t="s">
        <v>8533</v>
      </c>
      <c r="D717" s="14" t="s">
        <v>8531</v>
      </c>
      <c r="E717" s="14" t="s">
        <v>6561</v>
      </c>
      <c r="F717" s="14" t="s">
        <v>6562</v>
      </c>
      <c r="G717" s="8" t="s">
        <v>8537</v>
      </c>
      <c r="H717" s="14"/>
      <c r="I717" s="14" t="s">
        <v>195</v>
      </c>
      <c r="J717" s="14"/>
      <c r="K717" s="14" t="s">
        <v>2266</v>
      </c>
      <c r="L717" s="14"/>
      <c r="M717" s="14" t="s">
        <v>6565</v>
      </c>
      <c r="N717" s="14"/>
      <c r="O717" s="14" t="s">
        <v>6566</v>
      </c>
      <c r="P717" s="14" t="str">
        <f>HYPERLINK("https://ceds.ed.gov/cedselementdetails.aspx?termid=18886")</f>
        <v>https://ceds.ed.gov/cedselementdetails.aspx?termid=18886</v>
      </c>
      <c r="Q717" s="14" t="str">
        <f>HYPERLINK("https://ceds.ed.gov/elementComment.aspx?elementName=Organization Relationship Type &amp;elementID=18886", "Click here to submit comment")</f>
        <v>Click here to submit comment</v>
      </c>
      <c r="R717" s="14">
        <v>52154</v>
      </c>
    </row>
    <row r="718" spans="1:18" ht="90" x14ac:dyDescent="0.25">
      <c r="A718" s="14" t="s">
        <v>8732</v>
      </c>
      <c r="B718" s="14" t="s">
        <v>8733</v>
      </c>
      <c r="C718" s="14" t="s">
        <v>8538</v>
      </c>
      <c r="D718" s="14" t="s">
        <v>8531</v>
      </c>
      <c r="E718" s="14" t="s">
        <v>226</v>
      </c>
      <c r="F718" s="14" t="s">
        <v>227</v>
      </c>
      <c r="G718" s="8" t="s">
        <v>8539</v>
      </c>
      <c r="H718" s="14" t="s">
        <v>72</v>
      </c>
      <c r="I718" s="14"/>
      <c r="J718" s="14" t="s">
        <v>97</v>
      </c>
      <c r="K718" s="14"/>
      <c r="L718" s="14"/>
      <c r="M718" s="14" t="s">
        <v>230</v>
      </c>
      <c r="N718" s="14"/>
      <c r="O718" s="14" t="s">
        <v>231</v>
      </c>
      <c r="P718" s="14" t="str">
        <f>HYPERLINK("https://ceds.ed.gov/cedselementdetails.aspx?termid=17644")</f>
        <v>https://ceds.ed.gov/cedselementdetails.aspx?termid=17644</v>
      </c>
      <c r="Q718" s="14" t="str">
        <f>HYPERLINK("https://ceds.ed.gov/elementComment.aspx?elementName=Address Type for Organization &amp;elementID=17644", "Click here to submit comment")</f>
        <v>Click here to submit comment</v>
      </c>
      <c r="R718" s="14">
        <v>50719</v>
      </c>
    </row>
    <row r="719" spans="1:18" ht="225" x14ac:dyDescent="0.25">
      <c r="A719" s="14" t="s">
        <v>8732</v>
      </c>
      <c r="B719" s="14" t="s">
        <v>8733</v>
      </c>
      <c r="C719" s="14" t="s">
        <v>8538</v>
      </c>
      <c r="D719" s="14" t="s">
        <v>8531</v>
      </c>
      <c r="E719" s="14" t="s">
        <v>214</v>
      </c>
      <c r="F719" s="14" t="s">
        <v>215</v>
      </c>
      <c r="G719" s="14" t="s">
        <v>37</v>
      </c>
      <c r="H719" s="14" t="s">
        <v>199</v>
      </c>
      <c r="I719" s="14" t="s">
        <v>195</v>
      </c>
      <c r="J719" s="14" t="s">
        <v>216</v>
      </c>
      <c r="K719" s="14" t="s">
        <v>196</v>
      </c>
      <c r="L719" s="14"/>
      <c r="M719" s="14" t="s">
        <v>217</v>
      </c>
      <c r="N719" s="14"/>
      <c r="O719" s="14" t="s">
        <v>218</v>
      </c>
      <c r="P719" s="14" t="str">
        <f>HYPERLINK("https://ceds.ed.gov/cedselementdetails.aspx?termid=17269")</f>
        <v>https://ceds.ed.gov/cedselementdetails.aspx?termid=17269</v>
      </c>
      <c r="Q719" s="14" t="str">
        <f>HYPERLINK("https://ceds.ed.gov/elementComment.aspx?elementName=Address Street Number and Name &amp;elementID=17269", "Click here to submit comment")</f>
        <v>Click here to submit comment</v>
      </c>
      <c r="R719" s="14">
        <v>50721</v>
      </c>
    </row>
    <row r="720" spans="1:18" ht="225" x14ac:dyDescent="0.25">
      <c r="A720" s="14" t="s">
        <v>8732</v>
      </c>
      <c r="B720" s="14" t="s">
        <v>8733</v>
      </c>
      <c r="C720" s="14" t="s">
        <v>8538</v>
      </c>
      <c r="D720" s="14" t="s">
        <v>8531</v>
      </c>
      <c r="E720" s="14" t="s">
        <v>192</v>
      </c>
      <c r="F720" s="14" t="s">
        <v>193</v>
      </c>
      <c r="G720" s="14" t="s">
        <v>37</v>
      </c>
      <c r="H720" s="14" t="s">
        <v>199</v>
      </c>
      <c r="I720" s="14" t="s">
        <v>195</v>
      </c>
      <c r="J720" s="14" t="s">
        <v>175</v>
      </c>
      <c r="K720" s="14" t="s">
        <v>196</v>
      </c>
      <c r="L720" s="14"/>
      <c r="M720" s="14" t="s">
        <v>197</v>
      </c>
      <c r="N720" s="14"/>
      <c r="O720" s="14" t="s">
        <v>198</v>
      </c>
      <c r="P720" s="14" t="str">
        <f>HYPERLINK("https://ceds.ed.gov/cedselementdetails.aspx?termid=17019")</f>
        <v>https://ceds.ed.gov/cedselementdetails.aspx?termid=17019</v>
      </c>
      <c r="Q720" s="14" t="str">
        <f>HYPERLINK("https://ceds.ed.gov/elementComment.aspx?elementName=Address Apartment Room or Suite Number &amp;elementID=17019", "Click here to submit comment")</f>
        <v>Click here to submit comment</v>
      </c>
      <c r="R720" s="14">
        <v>50723</v>
      </c>
    </row>
    <row r="721" spans="1:18" ht="225" x14ac:dyDescent="0.25">
      <c r="A721" s="14" t="s">
        <v>8732</v>
      </c>
      <c r="B721" s="14" t="s">
        <v>8733</v>
      </c>
      <c r="C721" s="14" t="s">
        <v>8538</v>
      </c>
      <c r="D721" s="14" t="s">
        <v>8531</v>
      </c>
      <c r="E721" s="14" t="s">
        <v>200</v>
      </c>
      <c r="F721" s="14" t="s">
        <v>201</v>
      </c>
      <c r="G721" s="14" t="s">
        <v>37</v>
      </c>
      <c r="H721" s="14" t="s">
        <v>199</v>
      </c>
      <c r="I721" s="14"/>
      <c r="J721" s="14" t="s">
        <v>97</v>
      </c>
      <c r="K721" s="14"/>
      <c r="L721" s="14"/>
      <c r="M721" s="14" t="s">
        <v>202</v>
      </c>
      <c r="N721" s="14"/>
      <c r="O721" s="14" t="s">
        <v>203</v>
      </c>
      <c r="P721" s="14" t="str">
        <f>HYPERLINK("https://ceds.ed.gov/cedselementdetails.aspx?termid=17040")</f>
        <v>https://ceds.ed.gov/cedselementdetails.aspx?termid=17040</v>
      </c>
      <c r="Q721" s="14" t="str">
        <f>HYPERLINK("https://ceds.ed.gov/elementComment.aspx?elementName=Address City &amp;elementID=17040", "Click here to submit comment")</f>
        <v>Click here to submit comment</v>
      </c>
      <c r="R721" s="14">
        <v>50725</v>
      </c>
    </row>
    <row r="722" spans="1:18" ht="409.5" x14ac:dyDescent="0.25">
      <c r="A722" s="14" t="s">
        <v>8732</v>
      </c>
      <c r="B722" s="14" t="s">
        <v>8733</v>
      </c>
      <c r="C722" s="14" t="s">
        <v>8538</v>
      </c>
      <c r="D722" s="14" t="s">
        <v>8531</v>
      </c>
      <c r="E722" s="14" t="s">
        <v>7960</v>
      </c>
      <c r="F722" s="14" t="s">
        <v>7961</v>
      </c>
      <c r="G722" s="8" t="s">
        <v>8540</v>
      </c>
      <c r="H722" s="14" t="s">
        <v>7964</v>
      </c>
      <c r="I722" s="14"/>
      <c r="J722" s="14"/>
      <c r="K722" s="14"/>
      <c r="L722" s="14"/>
      <c r="M722" s="14" t="s">
        <v>7962</v>
      </c>
      <c r="N722" s="14"/>
      <c r="O722" s="14" t="s">
        <v>7963</v>
      </c>
      <c r="P722" s="14" t="str">
        <f>HYPERLINK("https://ceds.ed.gov/cedselementdetails.aspx?termid=17267")</f>
        <v>https://ceds.ed.gov/cedselementdetails.aspx?termid=17267</v>
      </c>
      <c r="Q722" s="14" t="str">
        <f>HYPERLINK("https://ceds.ed.gov/elementComment.aspx?elementName=State Abbreviation &amp;elementID=17267", "Click here to submit comment")</f>
        <v>Click here to submit comment</v>
      </c>
      <c r="R722" s="14">
        <v>50727</v>
      </c>
    </row>
    <row r="723" spans="1:18" ht="225" x14ac:dyDescent="0.25">
      <c r="A723" s="14" t="s">
        <v>8732</v>
      </c>
      <c r="B723" s="14" t="s">
        <v>8733</v>
      </c>
      <c r="C723" s="14" t="s">
        <v>8538</v>
      </c>
      <c r="D723" s="14" t="s">
        <v>8531</v>
      </c>
      <c r="E723" s="14" t="s">
        <v>209</v>
      </c>
      <c r="F723" s="14" t="s">
        <v>210</v>
      </c>
      <c r="G723" s="14" t="s">
        <v>37</v>
      </c>
      <c r="H723" s="14" t="s">
        <v>199</v>
      </c>
      <c r="I723" s="14"/>
      <c r="J723" s="14" t="s">
        <v>211</v>
      </c>
      <c r="K723" s="14"/>
      <c r="L723" s="14"/>
      <c r="M723" s="14" t="s">
        <v>212</v>
      </c>
      <c r="N723" s="14"/>
      <c r="O723" s="14" t="s">
        <v>213</v>
      </c>
      <c r="P723" s="14" t="str">
        <f>HYPERLINK("https://ceds.ed.gov/cedselementdetails.aspx?termid=17214")</f>
        <v>https://ceds.ed.gov/cedselementdetails.aspx?termid=17214</v>
      </c>
      <c r="Q723" s="14" t="str">
        <f>HYPERLINK("https://ceds.ed.gov/elementComment.aspx?elementName=Address Postal Code &amp;elementID=17214", "Click here to submit comment")</f>
        <v>Click here to submit comment</v>
      </c>
      <c r="R723" s="14">
        <v>50729</v>
      </c>
    </row>
    <row r="724" spans="1:18" ht="225" x14ac:dyDescent="0.25">
      <c r="A724" s="14" t="s">
        <v>8732</v>
      </c>
      <c r="B724" s="14" t="s">
        <v>8733</v>
      </c>
      <c r="C724" s="14" t="s">
        <v>8538</v>
      </c>
      <c r="D724" s="14" t="s">
        <v>8531</v>
      </c>
      <c r="E724" s="14" t="s">
        <v>204</v>
      </c>
      <c r="F724" s="14" t="s">
        <v>205</v>
      </c>
      <c r="G724" s="14" t="s">
        <v>37</v>
      </c>
      <c r="H724" s="14" t="s">
        <v>199</v>
      </c>
      <c r="I724" s="14"/>
      <c r="J724" s="14" t="s">
        <v>97</v>
      </c>
      <c r="K724" s="14"/>
      <c r="L724" s="14"/>
      <c r="M724" s="14" t="s">
        <v>207</v>
      </c>
      <c r="N724" s="14"/>
      <c r="O724" s="14" t="s">
        <v>208</v>
      </c>
      <c r="P724" s="14" t="str">
        <f>HYPERLINK("https://ceds.ed.gov/cedselementdetails.aspx?termid=17190")</f>
        <v>https://ceds.ed.gov/cedselementdetails.aspx?termid=17190</v>
      </c>
      <c r="Q724" s="14" t="str">
        <f>HYPERLINK("https://ceds.ed.gov/elementComment.aspx?elementName=Address County Name &amp;elementID=17190", "Click here to submit comment")</f>
        <v>Click here to submit comment</v>
      </c>
      <c r="R724" s="14">
        <v>50731</v>
      </c>
    </row>
    <row r="725" spans="1:18" ht="195" x14ac:dyDescent="0.25">
      <c r="A725" s="14" t="s">
        <v>8732</v>
      </c>
      <c r="B725" s="14" t="s">
        <v>8733</v>
      </c>
      <c r="C725" s="14" t="s">
        <v>8538</v>
      </c>
      <c r="D725" s="14" t="s">
        <v>8531</v>
      </c>
      <c r="E725" s="14" t="s">
        <v>2860</v>
      </c>
      <c r="F725" s="14" t="s">
        <v>2861</v>
      </c>
      <c r="G725" s="14" t="s">
        <v>37</v>
      </c>
      <c r="H725" s="14"/>
      <c r="I725" s="14" t="s">
        <v>195</v>
      </c>
      <c r="J725" s="14" t="s">
        <v>2863</v>
      </c>
      <c r="K725" s="14" t="s">
        <v>2864</v>
      </c>
      <c r="L725" s="14"/>
      <c r="M725" s="14" t="s">
        <v>2865</v>
      </c>
      <c r="N725" s="14"/>
      <c r="O725" s="14" t="s">
        <v>2866</v>
      </c>
      <c r="P725" s="14" t="str">
        <f>HYPERLINK("https://ceds.ed.gov/cedselementdetails.aspx?termid=18176")</f>
        <v>https://ceds.ed.gov/cedselementdetails.aspx?termid=18176</v>
      </c>
      <c r="Q725" s="14" t="str">
        <f>HYPERLINK("https://ceds.ed.gov/elementComment.aspx?elementName=County ANSI Code &amp;elementID=18176", "Click here to submit comment")</f>
        <v>Click here to submit comment</v>
      </c>
      <c r="R725" s="14">
        <v>51390</v>
      </c>
    </row>
    <row r="726" spans="1:18" ht="45" x14ac:dyDescent="0.25">
      <c r="A726" s="14" t="s">
        <v>8732</v>
      </c>
      <c r="B726" s="14" t="s">
        <v>8733</v>
      </c>
      <c r="C726" s="14" t="s">
        <v>8538</v>
      </c>
      <c r="D726" s="14" t="s">
        <v>8531</v>
      </c>
      <c r="E726" s="14" t="s">
        <v>2039</v>
      </c>
      <c r="F726" s="14" t="s">
        <v>2040</v>
      </c>
      <c r="G726" s="14" t="s">
        <v>37</v>
      </c>
      <c r="H726" s="14"/>
      <c r="I726" s="14" t="s">
        <v>195</v>
      </c>
      <c r="J726" s="14" t="s">
        <v>175</v>
      </c>
      <c r="K726" s="14" t="s">
        <v>196</v>
      </c>
      <c r="L726" s="14"/>
      <c r="M726" s="14" t="s">
        <v>2042</v>
      </c>
      <c r="N726" s="14"/>
      <c r="O726" s="14" t="s">
        <v>2043</v>
      </c>
      <c r="P726" s="14" t="str">
        <f>HYPERLINK("https://ceds.ed.gov/cedselementdetails.aspx?termid=17595")</f>
        <v>https://ceds.ed.gov/cedselementdetails.aspx?termid=17595</v>
      </c>
      <c r="Q726" s="14" t="str">
        <f>HYPERLINK("https://ceds.ed.gov/elementComment.aspx?elementName=Building Site Number &amp;elementID=17595", "Click here to submit comment")</f>
        <v>Click here to submit comment</v>
      </c>
      <c r="R726" s="14">
        <v>51123</v>
      </c>
    </row>
    <row r="727" spans="1:18" ht="75" x14ac:dyDescent="0.25">
      <c r="A727" s="14" t="s">
        <v>8732</v>
      </c>
      <c r="B727" s="14" t="s">
        <v>8733</v>
      </c>
      <c r="C727" s="14" t="s">
        <v>8538</v>
      </c>
      <c r="D727" s="14" t="s">
        <v>8531</v>
      </c>
      <c r="E727" s="14" t="s">
        <v>5736</v>
      </c>
      <c r="F727" s="14" t="s">
        <v>5737</v>
      </c>
      <c r="G727" s="14" t="s">
        <v>37</v>
      </c>
      <c r="H727" s="14"/>
      <c r="I727" s="14"/>
      <c r="J727" s="14" t="s">
        <v>1307</v>
      </c>
      <c r="K727" s="14"/>
      <c r="L727" s="14"/>
      <c r="M727" s="14" t="s">
        <v>5739</v>
      </c>
      <c r="N727" s="14"/>
      <c r="O727" s="14" t="s">
        <v>5736</v>
      </c>
      <c r="P727" s="14" t="str">
        <f>HYPERLINK("https://ceds.ed.gov/cedselementdetails.aspx?termid=17599")</f>
        <v>https://ceds.ed.gov/cedselementdetails.aspx?termid=17599</v>
      </c>
      <c r="Q727" s="14" t="str">
        <f>HYPERLINK("https://ceds.ed.gov/elementComment.aspx?elementName=Latitude &amp;elementID=17599", "Click here to submit comment")</f>
        <v>Click here to submit comment</v>
      </c>
      <c r="R727" s="14">
        <v>51271</v>
      </c>
    </row>
    <row r="728" spans="1:18" ht="75" x14ac:dyDescent="0.25">
      <c r="A728" s="14" t="s">
        <v>8732</v>
      </c>
      <c r="B728" s="14" t="s">
        <v>8733</v>
      </c>
      <c r="C728" s="14" t="s">
        <v>8538</v>
      </c>
      <c r="D728" s="14" t="s">
        <v>8531</v>
      </c>
      <c r="E728" s="14" t="s">
        <v>6174</v>
      </c>
      <c r="F728" s="14" t="s">
        <v>6175</v>
      </c>
      <c r="G728" s="14" t="s">
        <v>37</v>
      </c>
      <c r="H728" s="14"/>
      <c r="I728" s="14"/>
      <c r="J728" s="14" t="s">
        <v>1307</v>
      </c>
      <c r="K728" s="14"/>
      <c r="L728" s="14"/>
      <c r="M728" s="14" t="s">
        <v>6176</v>
      </c>
      <c r="N728" s="14"/>
      <c r="O728" s="14" t="s">
        <v>6174</v>
      </c>
      <c r="P728" s="14" t="str">
        <f>HYPERLINK("https://ceds.ed.gov/cedselementdetails.aspx?termid=17600")</f>
        <v>https://ceds.ed.gov/cedselementdetails.aspx?termid=17600</v>
      </c>
      <c r="Q728" s="14" t="str">
        <f>HYPERLINK("https://ceds.ed.gov/elementComment.aspx?elementName=Longitude &amp;elementID=17600", "Click here to submit comment")</f>
        <v>Click here to submit comment</v>
      </c>
      <c r="R728" s="14">
        <v>51294</v>
      </c>
    </row>
    <row r="729" spans="1:18" ht="60" x14ac:dyDescent="0.25">
      <c r="A729" s="14" t="s">
        <v>8732</v>
      </c>
      <c r="B729" s="14" t="s">
        <v>8733</v>
      </c>
      <c r="C729" s="14" t="s">
        <v>8538</v>
      </c>
      <c r="D729" s="14" t="s">
        <v>8541</v>
      </c>
      <c r="E729" s="14" t="s">
        <v>3651</v>
      </c>
      <c r="F729" s="14" t="s">
        <v>3652</v>
      </c>
      <c r="G729" s="14" t="s">
        <v>3430</v>
      </c>
      <c r="H729" s="14"/>
      <c r="I729" s="14" t="s">
        <v>188</v>
      </c>
      <c r="J729" s="14"/>
      <c r="K729" s="14" t="s">
        <v>1721</v>
      </c>
      <c r="L729" s="14"/>
      <c r="M729" s="14" t="s">
        <v>3654</v>
      </c>
      <c r="N729" s="14"/>
      <c r="O729" s="14" t="s">
        <v>3655</v>
      </c>
      <c r="P729" s="14" t="str">
        <f>HYPERLINK("https://ceds.ed.gov/cedselementdetails.aspx?termid=18905")</f>
        <v>https://ceds.ed.gov/cedselementdetails.aspx?termid=18905</v>
      </c>
      <c r="Q729" s="14" t="str">
        <f>HYPERLINK("https://ceds.ed.gov/elementComment.aspx?elementName=Do Not Publish Indicator &amp;elementID=18905", "Click here to submit comment")</f>
        <v>Click here to submit comment</v>
      </c>
      <c r="R729" s="14">
        <v>52356</v>
      </c>
    </row>
    <row r="730" spans="1:18" ht="90" x14ac:dyDescent="0.25">
      <c r="A730" s="14" t="s">
        <v>8732</v>
      </c>
      <c r="B730" s="14" t="s">
        <v>8733</v>
      </c>
      <c r="C730" s="14" t="s">
        <v>8542</v>
      </c>
      <c r="D730" s="14" t="s">
        <v>8531</v>
      </c>
      <c r="E730" s="14" t="s">
        <v>8217</v>
      </c>
      <c r="F730" s="14" t="s">
        <v>8218</v>
      </c>
      <c r="G730" s="14" t="s">
        <v>37</v>
      </c>
      <c r="H730" s="14" t="s">
        <v>72</v>
      </c>
      <c r="I730" s="14"/>
      <c r="J730" s="14" t="s">
        <v>8220</v>
      </c>
      <c r="K730" s="14"/>
      <c r="L730" s="14"/>
      <c r="M730" s="14" t="s">
        <v>8221</v>
      </c>
      <c r="N730" s="14"/>
      <c r="O730" s="14" t="s">
        <v>8222</v>
      </c>
      <c r="P730" s="14" t="str">
        <f>HYPERLINK("https://ceds.ed.gov/cedselementdetails.aspx?termid=17279")</f>
        <v>https://ceds.ed.gov/cedselementdetails.aspx?termid=17279</v>
      </c>
      <c r="Q730" s="14" t="str">
        <f>HYPERLINK("https://ceds.ed.gov/elementComment.aspx?elementName=Telephone Number &amp;elementID=17279", "Click here to submit comment")</f>
        <v>Click here to submit comment</v>
      </c>
      <c r="R730" s="14">
        <v>51394</v>
      </c>
    </row>
    <row r="731" spans="1:18" ht="150" x14ac:dyDescent="0.25">
      <c r="A731" s="14" t="s">
        <v>8732</v>
      </c>
      <c r="B731" s="14" t="s">
        <v>8733</v>
      </c>
      <c r="C731" s="14" t="s">
        <v>8542</v>
      </c>
      <c r="D731" s="14" t="s">
        <v>8531</v>
      </c>
      <c r="E731" s="14" t="s">
        <v>5485</v>
      </c>
      <c r="F731" s="14" t="s">
        <v>5486</v>
      </c>
      <c r="G731" s="8" t="s">
        <v>8543</v>
      </c>
      <c r="H731" s="14"/>
      <c r="I731" s="14"/>
      <c r="J731" s="14"/>
      <c r="K731" s="14"/>
      <c r="L731" s="14"/>
      <c r="M731" s="14" t="s">
        <v>5489</v>
      </c>
      <c r="N731" s="14"/>
      <c r="O731" s="14" t="s">
        <v>5490</v>
      </c>
      <c r="P731" s="14" t="str">
        <f>HYPERLINK("https://ceds.ed.gov/cedselementdetails.aspx?termid=17167")</f>
        <v>https://ceds.ed.gov/cedselementdetails.aspx?termid=17167</v>
      </c>
      <c r="Q731" s="14" t="str">
        <f>HYPERLINK("https://ceds.ed.gov/elementComment.aspx?elementName=Institution Telephone Number Type &amp;elementID=17167", "Click here to submit comment")</f>
        <v>Click here to submit comment</v>
      </c>
      <c r="R731" s="14">
        <v>51392</v>
      </c>
    </row>
    <row r="732" spans="1:18" ht="90" x14ac:dyDescent="0.25">
      <c r="A732" s="14" t="s">
        <v>8732</v>
      </c>
      <c r="B732" s="14" t="s">
        <v>8733</v>
      </c>
      <c r="C732" s="14" t="s">
        <v>8542</v>
      </c>
      <c r="D732" s="14" t="s">
        <v>8531</v>
      </c>
      <c r="E732" s="14" t="s">
        <v>6865</v>
      </c>
      <c r="F732" s="14" t="s">
        <v>6866</v>
      </c>
      <c r="G732" s="14" t="s">
        <v>24</v>
      </c>
      <c r="H732" s="14" t="s">
        <v>72</v>
      </c>
      <c r="I732" s="14"/>
      <c r="J732" s="14"/>
      <c r="K732" s="14"/>
      <c r="L732" s="14"/>
      <c r="M732" s="14" t="s">
        <v>6868</v>
      </c>
      <c r="N732" s="14"/>
      <c r="O732" s="14" t="s">
        <v>6869</v>
      </c>
      <c r="P732" s="14" t="str">
        <f>HYPERLINK("https://ceds.ed.gov/cedselementdetails.aspx?termid=17219")</f>
        <v>https://ceds.ed.gov/cedselementdetails.aspx?termid=17219</v>
      </c>
      <c r="Q732" s="14" t="str">
        <f>HYPERLINK("https://ceds.ed.gov/elementComment.aspx?elementName=Primary Telephone Number Indicator &amp;elementID=17219", "Click here to submit comment")</f>
        <v>Click here to submit comment</v>
      </c>
      <c r="R732" s="14">
        <v>51393</v>
      </c>
    </row>
    <row r="733" spans="1:18" ht="60" x14ac:dyDescent="0.25">
      <c r="A733" s="14" t="s">
        <v>8732</v>
      </c>
      <c r="B733" s="14" t="s">
        <v>8733</v>
      </c>
      <c r="C733" s="14" t="s">
        <v>8542</v>
      </c>
      <c r="D733" s="14" t="s">
        <v>8541</v>
      </c>
      <c r="E733" s="14" t="s">
        <v>3651</v>
      </c>
      <c r="F733" s="14" t="s">
        <v>3652</v>
      </c>
      <c r="G733" s="14" t="s">
        <v>3430</v>
      </c>
      <c r="H733" s="14"/>
      <c r="I733" s="14" t="s">
        <v>188</v>
      </c>
      <c r="J733" s="14"/>
      <c r="K733" s="14" t="s">
        <v>1721</v>
      </c>
      <c r="L733" s="14"/>
      <c r="M733" s="14" t="s">
        <v>3654</v>
      </c>
      <c r="N733" s="14"/>
      <c r="O733" s="14" t="s">
        <v>3655</v>
      </c>
      <c r="P733" s="14" t="str">
        <f>HYPERLINK("https://ceds.ed.gov/cedselementdetails.aspx?termid=18905")</f>
        <v>https://ceds.ed.gov/cedselementdetails.aspx?termid=18905</v>
      </c>
      <c r="Q733" s="14" t="str">
        <f>HYPERLINK("https://ceds.ed.gov/elementComment.aspx?elementName=Do Not Publish Indicator &amp;elementID=18905", "Click here to submit comment")</f>
        <v>Click here to submit comment</v>
      </c>
      <c r="R733" s="14">
        <v>52363</v>
      </c>
    </row>
    <row r="734" spans="1:18" ht="60" x14ac:dyDescent="0.25">
      <c r="A734" s="14" t="s">
        <v>8732</v>
      </c>
      <c r="B734" s="14" t="s">
        <v>8733</v>
      </c>
      <c r="C734" s="14" t="s">
        <v>8542</v>
      </c>
      <c r="D734" s="14" t="s">
        <v>8541</v>
      </c>
      <c r="E734" s="14" t="s">
        <v>8223</v>
      </c>
      <c r="F734" s="14" t="s">
        <v>8224</v>
      </c>
      <c r="G734" s="8" t="s">
        <v>8544</v>
      </c>
      <c r="H734" s="14"/>
      <c r="I734" s="14" t="s">
        <v>188</v>
      </c>
      <c r="J734" s="14"/>
      <c r="K734" s="14" t="s">
        <v>1721</v>
      </c>
      <c r="L734" s="14"/>
      <c r="M734" s="14" t="s">
        <v>8227</v>
      </c>
      <c r="N734" s="14"/>
      <c r="O734" s="14" t="s">
        <v>8228</v>
      </c>
      <c r="P734" s="14" t="str">
        <f>HYPERLINK("https://ceds.ed.gov/cedselementdetails.aspx?termid=18911")</f>
        <v>https://ceds.ed.gov/cedselementdetails.aspx?termid=18911</v>
      </c>
      <c r="Q734" s="14" t="str">
        <f>HYPERLINK("https://ceds.ed.gov/elementComment.aspx?elementName=Telephone Number Listed Status &amp;elementID=18911", "Click here to submit comment")</f>
        <v>Click here to submit comment</v>
      </c>
      <c r="R734" s="14">
        <v>52364</v>
      </c>
    </row>
    <row r="735" spans="1:18" ht="90" x14ac:dyDescent="0.25">
      <c r="A735" s="14" t="s">
        <v>8732</v>
      </c>
      <c r="B735" s="14" t="s">
        <v>8733</v>
      </c>
      <c r="C735" s="14" t="s">
        <v>8545</v>
      </c>
      <c r="D735" s="14" t="s">
        <v>8531</v>
      </c>
      <c r="E735" s="14" t="s">
        <v>6758</v>
      </c>
      <c r="F735" s="14" t="s">
        <v>6759</v>
      </c>
      <c r="G735" s="14" t="s">
        <v>37</v>
      </c>
      <c r="H735" s="14" t="s">
        <v>72</v>
      </c>
      <c r="I735" s="14"/>
      <c r="J735" s="14" t="s">
        <v>1510</v>
      </c>
      <c r="K735" s="14"/>
      <c r="L735" s="14"/>
      <c r="M735" s="14" t="s">
        <v>6761</v>
      </c>
      <c r="N735" s="14"/>
      <c r="O735" s="14" t="s">
        <v>6762</v>
      </c>
      <c r="P735" s="14" t="str">
        <f>HYPERLINK("https://ceds.ed.gov/cedselementdetails.aspx?termid=17213")</f>
        <v>https://ceds.ed.gov/cedselementdetails.aspx?termid=17213</v>
      </c>
      <c r="Q735" s="14" t="str">
        <f>HYPERLINK("https://ceds.ed.gov/elementComment.aspx?elementName=Position Title &amp;elementID=17213", "Click here to submit comment")</f>
        <v>Click here to submit comment</v>
      </c>
      <c r="R735" s="14">
        <v>51180</v>
      </c>
    </row>
    <row r="736" spans="1:18" ht="90" x14ac:dyDescent="0.25">
      <c r="A736" s="14" t="s">
        <v>8732</v>
      </c>
      <c r="B736" s="14" t="s">
        <v>8733</v>
      </c>
      <c r="C736" s="14" t="s">
        <v>8545</v>
      </c>
      <c r="D736" s="14" t="s">
        <v>8531</v>
      </c>
      <c r="E736" s="14" t="s">
        <v>6852</v>
      </c>
      <c r="F736" s="14" t="s">
        <v>6853</v>
      </c>
      <c r="G736" s="14" t="s">
        <v>24</v>
      </c>
      <c r="H736" s="14"/>
      <c r="I736" s="14"/>
      <c r="J736" s="14"/>
      <c r="K736" s="14"/>
      <c r="L736" s="14"/>
      <c r="M736" s="14" t="s">
        <v>6855</v>
      </c>
      <c r="N736" s="14"/>
      <c r="O736" s="14" t="s">
        <v>6856</v>
      </c>
      <c r="P736" s="14" t="str">
        <f>HYPERLINK("https://ceds.ed.gov/cedselementdetails.aspx?termid=18397")</f>
        <v>https://ceds.ed.gov/cedselementdetails.aspx?termid=18397</v>
      </c>
      <c r="Q736" s="14" t="str">
        <f>HYPERLINK("https://ceds.ed.gov/elementComment.aspx?elementName=Primary Contact Indicator &amp;elementID=18397", "Click here to submit comment")</f>
        <v>Click here to submit comment</v>
      </c>
      <c r="R736" s="14">
        <v>51179</v>
      </c>
    </row>
    <row r="737" spans="1:18" ht="45" x14ac:dyDescent="0.25">
      <c r="A737" s="14" t="s">
        <v>8732</v>
      </c>
      <c r="B737" s="14" t="s">
        <v>8733</v>
      </c>
      <c r="C737" s="14" t="s">
        <v>8545</v>
      </c>
      <c r="D737" s="14" t="s">
        <v>8531</v>
      </c>
      <c r="E737" s="14" t="s">
        <v>8467</v>
      </c>
      <c r="F737" s="14" t="s">
        <v>8468</v>
      </c>
      <c r="G737" s="14" t="s">
        <v>37</v>
      </c>
      <c r="H737" s="14" t="s">
        <v>258</v>
      </c>
      <c r="I737" s="14"/>
      <c r="J737" s="14" t="s">
        <v>129</v>
      </c>
      <c r="K737" s="14"/>
      <c r="L737" s="14"/>
      <c r="M737" s="14" t="s">
        <v>8470</v>
      </c>
      <c r="N737" s="14"/>
      <c r="O737" s="14" t="s">
        <v>8471</v>
      </c>
      <c r="P737" s="14" t="str">
        <f>HYPERLINK("https://ceds.ed.gov/cedselementdetails.aspx?termid=17300")</f>
        <v>https://ceds.ed.gov/cedselementdetails.aspx?termid=17300</v>
      </c>
      <c r="Q737" s="14" t="str">
        <f>HYPERLINK("https://ceds.ed.gov/elementComment.aspx?elementName=Web Site Address &amp;elementID=17300", "Click here to submit comment")</f>
        <v>Click here to submit comment</v>
      </c>
      <c r="R737" s="14">
        <v>51173</v>
      </c>
    </row>
    <row r="738" spans="1:18" ht="195" x14ac:dyDescent="0.25">
      <c r="A738" s="14" t="s">
        <v>8732</v>
      </c>
      <c r="B738" s="14" t="s">
        <v>8733</v>
      </c>
      <c r="C738" s="14" t="s">
        <v>8546</v>
      </c>
      <c r="D738" s="14" t="s">
        <v>8531</v>
      </c>
      <c r="E738" s="14" t="s">
        <v>4667</v>
      </c>
      <c r="F738" s="14" t="s">
        <v>4668</v>
      </c>
      <c r="G738" s="14" t="s">
        <v>37</v>
      </c>
      <c r="H738" s="14" t="s">
        <v>4673</v>
      </c>
      <c r="I738" s="14"/>
      <c r="J738" s="14" t="s">
        <v>1468</v>
      </c>
      <c r="K738" s="14"/>
      <c r="L738" s="14" t="s">
        <v>4670</v>
      </c>
      <c r="M738" s="14" t="s">
        <v>4671</v>
      </c>
      <c r="N738" s="14"/>
      <c r="O738" s="14" t="s">
        <v>4672</v>
      </c>
      <c r="P738" s="14" t="str">
        <f>HYPERLINK("https://ceds.ed.gov/cedselementdetails.aspx?termid=17115")</f>
        <v>https://ceds.ed.gov/cedselementdetails.aspx?termid=17115</v>
      </c>
      <c r="Q738" s="14" t="str">
        <f>HYPERLINK("https://ceds.ed.gov/elementComment.aspx?elementName=First Name &amp;elementID=17115", "Click here to submit comment")</f>
        <v>Click here to submit comment</v>
      </c>
      <c r="R738" s="14">
        <v>51184</v>
      </c>
    </row>
    <row r="739" spans="1:18" x14ac:dyDescent="0.25">
      <c r="A739" s="16" t="s">
        <v>8732</v>
      </c>
      <c r="B739" s="16" t="s">
        <v>8733</v>
      </c>
      <c r="C739" s="16" t="s">
        <v>8546</v>
      </c>
      <c r="D739" s="16" t="s">
        <v>8531</v>
      </c>
      <c r="E739" s="16" t="s">
        <v>6223</v>
      </c>
      <c r="F739" s="16" t="s">
        <v>6224</v>
      </c>
      <c r="G739" s="16" t="s">
        <v>37</v>
      </c>
      <c r="H739" s="16" t="s">
        <v>4673</v>
      </c>
      <c r="I739" s="16"/>
      <c r="J739" s="16" t="s">
        <v>1468</v>
      </c>
      <c r="K739" s="16"/>
      <c r="L739" s="14" t="s">
        <v>4746</v>
      </c>
      <c r="M739" s="16" t="s">
        <v>6226</v>
      </c>
      <c r="N739" s="16"/>
      <c r="O739" s="16" t="s">
        <v>6227</v>
      </c>
      <c r="P739" s="16" t="str">
        <f>HYPERLINK("https://ceds.ed.gov/cedselementdetails.aspx?termid=17184")</f>
        <v>https://ceds.ed.gov/cedselementdetails.aspx?termid=17184</v>
      </c>
      <c r="Q739" s="16" t="str">
        <f>HYPERLINK("https://ceds.ed.gov/elementComment.aspx?elementName=Middle Name &amp;elementID=17184", "Click here to submit comment")</f>
        <v>Click here to submit comment</v>
      </c>
      <c r="R739" s="16">
        <v>51182</v>
      </c>
    </row>
    <row r="740" spans="1:18" ht="90" x14ac:dyDescent="0.25">
      <c r="A740" s="16"/>
      <c r="B740" s="16"/>
      <c r="C740" s="16"/>
      <c r="D740" s="16"/>
      <c r="E740" s="16"/>
      <c r="F740" s="16"/>
      <c r="G740" s="16"/>
      <c r="H740" s="16"/>
      <c r="I740" s="16"/>
      <c r="J740" s="16"/>
      <c r="K740" s="16"/>
      <c r="L740" s="14" t="s">
        <v>4750</v>
      </c>
      <c r="M740" s="16"/>
      <c r="N740" s="16"/>
      <c r="O740" s="16"/>
      <c r="P740" s="16"/>
      <c r="Q740" s="16"/>
      <c r="R740" s="16"/>
    </row>
    <row r="741" spans="1:18" x14ac:dyDescent="0.25">
      <c r="A741" s="16" t="s">
        <v>8732</v>
      </c>
      <c r="B741" s="16" t="s">
        <v>8733</v>
      </c>
      <c r="C741" s="16" t="s">
        <v>8546</v>
      </c>
      <c r="D741" s="16" t="s">
        <v>8531</v>
      </c>
      <c r="E741" s="16" t="s">
        <v>5727</v>
      </c>
      <c r="F741" s="16" t="s">
        <v>5728</v>
      </c>
      <c r="G741" s="16" t="s">
        <v>37</v>
      </c>
      <c r="H741" s="16" t="s">
        <v>4673</v>
      </c>
      <c r="I741" s="16"/>
      <c r="J741" s="16" t="s">
        <v>1468</v>
      </c>
      <c r="K741" s="16"/>
      <c r="L741" s="14" t="s">
        <v>4746</v>
      </c>
      <c r="M741" s="16" t="s">
        <v>5729</v>
      </c>
      <c r="N741" s="16" t="s">
        <v>5730</v>
      </c>
      <c r="O741" s="16" t="s">
        <v>5731</v>
      </c>
      <c r="P741" s="16" t="str">
        <f>HYPERLINK("https://ceds.ed.gov/cedselementdetails.aspx?termid=17172")</f>
        <v>https://ceds.ed.gov/cedselementdetails.aspx?termid=17172</v>
      </c>
      <c r="Q741" s="16" t="str">
        <f>HYPERLINK("https://ceds.ed.gov/elementComment.aspx?elementName=Last or Surname &amp;elementID=17172", "Click here to submit comment")</f>
        <v>Click here to submit comment</v>
      </c>
      <c r="R741" s="16">
        <v>51181</v>
      </c>
    </row>
    <row r="742" spans="1:18" ht="90" x14ac:dyDescent="0.25">
      <c r="A742" s="16"/>
      <c r="B742" s="16"/>
      <c r="C742" s="16"/>
      <c r="D742" s="16"/>
      <c r="E742" s="16"/>
      <c r="F742" s="16"/>
      <c r="G742" s="16"/>
      <c r="H742" s="16"/>
      <c r="I742" s="16"/>
      <c r="J742" s="16"/>
      <c r="K742" s="16"/>
      <c r="L742" s="14" t="s">
        <v>4750</v>
      </c>
      <c r="M742" s="16"/>
      <c r="N742" s="16"/>
      <c r="O742" s="16"/>
      <c r="P742" s="16"/>
      <c r="Q742" s="16"/>
      <c r="R742" s="16"/>
    </row>
    <row r="743" spans="1:18" x14ac:dyDescent="0.25">
      <c r="A743" s="16" t="s">
        <v>8732</v>
      </c>
      <c r="B743" s="16" t="s">
        <v>8733</v>
      </c>
      <c r="C743" s="16" t="s">
        <v>8546</v>
      </c>
      <c r="D743" s="16" t="s">
        <v>8531</v>
      </c>
      <c r="E743" s="16" t="s">
        <v>4743</v>
      </c>
      <c r="F743" s="16" t="s">
        <v>4744</v>
      </c>
      <c r="G743" s="16" t="s">
        <v>37</v>
      </c>
      <c r="H743" s="16" t="s">
        <v>4749</v>
      </c>
      <c r="I743" s="16"/>
      <c r="J743" s="16" t="s">
        <v>3096</v>
      </c>
      <c r="K743" s="16"/>
      <c r="L743" s="14" t="s">
        <v>4746</v>
      </c>
      <c r="M743" s="16" t="s">
        <v>4747</v>
      </c>
      <c r="N743" s="16"/>
      <c r="O743" s="16" t="s">
        <v>4748</v>
      </c>
      <c r="P743" s="16" t="str">
        <f>HYPERLINK("https://ceds.ed.gov/cedselementdetails.aspx?termid=17121")</f>
        <v>https://ceds.ed.gov/cedselementdetails.aspx?termid=17121</v>
      </c>
      <c r="Q743" s="16" t="str">
        <f>HYPERLINK("https://ceds.ed.gov/elementComment.aspx?elementName=Generation Code or Suffix &amp;elementID=17121", "Click here to submit comment")</f>
        <v>Click here to submit comment</v>
      </c>
      <c r="R743" s="16">
        <v>51185</v>
      </c>
    </row>
    <row r="744" spans="1:18" ht="90" x14ac:dyDescent="0.25">
      <c r="A744" s="16"/>
      <c r="B744" s="16"/>
      <c r="C744" s="16"/>
      <c r="D744" s="16"/>
      <c r="E744" s="16"/>
      <c r="F744" s="16"/>
      <c r="G744" s="16"/>
      <c r="H744" s="16"/>
      <c r="I744" s="16"/>
      <c r="J744" s="16"/>
      <c r="K744" s="16"/>
      <c r="L744" s="14" t="s">
        <v>4750</v>
      </c>
      <c r="M744" s="16"/>
      <c r="N744" s="16"/>
      <c r="O744" s="16"/>
      <c r="P744" s="16"/>
      <c r="Q744" s="16"/>
      <c r="R744" s="16"/>
    </row>
    <row r="745" spans="1:18" ht="105" x14ac:dyDescent="0.25">
      <c r="A745" s="14" t="s">
        <v>8732</v>
      </c>
      <c r="B745" s="14" t="s">
        <v>8733</v>
      </c>
      <c r="C745" s="14" t="s">
        <v>8546</v>
      </c>
      <c r="D745" s="14" t="s">
        <v>8531</v>
      </c>
      <c r="E745" s="14" t="s">
        <v>6741</v>
      </c>
      <c r="F745" s="14" t="s">
        <v>6742</v>
      </c>
      <c r="G745" s="14" t="s">
        <v>37</v>
      </c>
      <c r="H745" s="14" t="s">
        <v>6747</v>
      </c>
      <c r="I745" s="14"/>
      <c r="J745" s="14" t="s">
        <v>97</v>
      </c>
      <c r="K745" s="14"/>
      <c r="L745" s="14"/>
      <c r="M745" s="14" t="s">
        <v>6744</v>
      </c>
      <c r="N745" s="14" t="s">
        <v>6745</v>
      </c>
      <c r="O745" s="14" t="s">
        <v>6746</v>
      </c>
      <c r="P745" s="14" t="str">
        <f>HYPERLINK("https://ceds.ed.gov/cedselementdetails.aspx?termid=17212")</f>
        <v>https://ceds.ed.gov/cedselementdetails.aspx?termid=17212</v>
      </c>
      <c r="Q745" s="14" t="str">
        <f>HYPERLINK("https://ceds.ed.gov/elementComment.aspx?elementName=Personal Title or Prefix &amp;elementID=17212", "Click here to submit comment")</f>
        <v>Click here to submit comment</v>
      </c>
      <c r="R745" s="14">
        <v>51183</v>
      </c>
    </row>
    <row r="746" spans="1:18" ht="90" x14ac:dyDescent="0.25">
      <c r="A746" s="14" t="s">
        <v>8732</v>
      </c>
      <c r="B746" s="14" t="s">
        <v>8733</v>
      </c>
      <c r="C746" s="14" t="s">
        <v>8547</v>
      </c>
      <c r="D746" s="14" t="s">
        <v>8531</v>
      </c>
      <c r="E746" s="14" t="s">
        <v>226</v>
      </c>
      <c r="F746" s="14" t="s">
        <v>227</v>
      </c>
      <c r="G746" s="8" t="s">
        <v>8539</v>
      </c>
      <c r="H746" s="14" t="s">
        <v>72</v>
      </c>
      <c r="I746" s="14"/>
      <c r="J746" s="14" t="s">
        <v>97</v>
      </c>
      <c r="K746" s="14"/>
      <c r="L746" s="14"/>
      <c r="M746" s="14" t="s">
        <v>230</v>
      </c>
      <c r="N746" s="14"/>
      <c r="O746" s="14" t="s">
        <v>231</v>
      </c>
      <c r="P746" s="14" t="str">
        <f>HYPERLINK("https://ceds.ed.gov/cedselementdetails.aspx?termid=17644")</f>
        <v>https://ceds.ed.gov/cedselementdetails.aspx?termid=17644</v>
      </c>
      <c r="Q746" s="14" t="str">
        <f>HYPERLINK("https://ceds.ed.gov/elementComment.aspx?elementName=Address Type for Organization &amp;elementID=17644", "Click here to submit comment")</f>
        <v>Click here to submit comment</v>
      </c>
      <c r="R746" s="14">
        <v>51189</v>
      </c>
    </row>
    <row r="747" spans="1:18" ht="225" x14ac:dyDescent="0.25">
      <c r="A747" s="14" t="s">
        <v>8732</v>
      </c>
      <c r="B747" s="14" t="s">
        <v>8733</v>
      </c>
      <c r="C747" s="14" t="s">
        <v>8547</v>
      </c>
      <c r="D747" s="14" t="s">
        <v>8531</v>
      </c>
      <c r="E747" s="14" t="s">
        <v>214</v>
      </c>
      <c r="F747" s="14" t="s">
        <v>215</v>
      </c>
      <c r="G747" s="14" t="s">
        <v>37</v>
      </c>
      <c r="H747" s="14" t="s">
        <v>199</v>
      </c>
      <c r="I747" s="14" t="s">
        <v>195</v>
      </c>
      <c r="J747" s="14" t="s">
        <v>216</v>
      </c>
      <c r="K747" s="14" t="s">
        <v>196</v>
      </c>
      <c r="L747" s="14"/>
      <c r="M747" s="14" t="s">
        <v>217</v>
      </c>
      <c r="N747" s="14"/>
      <c r="O747" s="14" t="s">
        <v>218</v>
      </c>
      <c r="P747" s="14" t="str">
        <f>HYPERLINK("https://ceds.ed.gov/cedselementdetails.aspx?termid=17269")</f>
        <v>https://ceds.ed.gov/cedselementdetails.aspx?termid=17269</v>
      </c>
      <c r="Q747" s="14" t="str">
        <f>HYPERLINK("https://ceds.ed.gov/elementComment.aspx?elementName=Address Street Number and Name &amp;elementID=17269", "Click here to submit comment")</f>
        <v>Click here to submit comment</v>
      </c>
      <c r="R747" s="14">
        <v>51188</v>
      </c>
    </row>
    <row r="748" spans="1:18" ht="225" x14ac:dyDescent="0.25">
      <c r="A748" s="14" t="s">
        <v>8732</v>
      </c>
      <c r="B748" s="14" t="s">
        <v>8733</v>
      </c>
      <c r="C748" s="14" t="s">
        <v>8547</v>
      </c>
      <c r="D748" s="14" t="s">
        <v>8531</v>
      </c>
      <c r="E748" s="14" t="s">
        <v>192</v>
      </c>
      <c r="F748" s="14" t="s">
        <v>193</v>
      </c>
      <c r="G748" s="14" t="s">
        <v>37</v>
      </c>
      <c r="H748" s="14" t="s">
        <v>199</v>
      </c>
      <c r="I748" s="14" t="s">
        <v>195</v>
      </c>
      <c r="J748" s="14" t="s">
        <v>175</v>
      </c>
      <c r="K748" s="14" t="s">
        <v>196</v>
      </c>
      <c r="L748" s="14"/>
      <c r="M748" s="14" t="s">
        <v>197</v>
      </c>
      <c r="N748" s="14"/>
      <c r="O748" s="14" t="s">
        <v>198</v>
      </c>
      <c r="P748" s="14" t="str">
        <f>HYPERLINK("https://ceds.ed.gov/cedselementdetails.aspx?termid=17019")</f>
        <v>https://ceds.ed.gov/cedselementdetails.aspx?termid=17019</v>
      </c>
      <c r="Q748" s="14" t="str">
        <f>HYPERLINK("https://ceds.ed.gov/elementComment.aspx?elementName=Address Apartment Room or Suite Number &amp;elementID=17019", "Click here to submit comment")</f>
        <v>Click here to submit comment</v>
      </c>
      <c r="R748" s="14">
        <v>51190</v>
      </c>
    </row>
    <row r="749" spans="1:18" ht="225" x14ac:dyDescent="0.25">
      <c r="A749" s="14" t="s">
        <v>8732</v>
      </c>
      <c r="B749" s="14" t="s">
        <v>8733</v>
      </c>
      <c r="C749" s="14" t="s">
        <v>8547</v>
      </c>
      <c r="D749" s="14" t="s">
        <v>8531</v>
      </c>
      <c r="E749" s="14" t="s">
        <v>200</v>
      </c>
      <c r="F749" s="14" t="s">
        <v>201</v>
      </c>
      <c r="G749" s="14" t="s">
        <v>37</v>
      </c>
      <c r="H749" s="14" t="s">
        <v>199</v>
      </c>
      <c r="I749" s="14"/>
      <c r="J749" s="14" t="s">
        <v>97</v>
      </c>
      <c r="K749" s="14"/>
      <c r="L749" s="14"/>
      <c r="M749" s="14" t="s">
        <v>202</v>
      </c>
      <c r="N749" s="14"/>
      <c r="O749" s="14" t="s">
        <v>203</v>
      </c>
      <c r="P749" s="14" t="str">
        <f>HYPERLINK("https://ceds.ed.gov/cedselementdetails.aspx?termid=17040")</f>
        <v>https://ceds.ed.gov/cedselementdetails.aspx?termid=17040</v>
      </c>
      <c r="Q749" s="14" t="str">
        <f>HYPERLINK("https://ceds.ed.gov/elementComment.aspx?elementName=Address City &amp;elementID=17040", "Click here to submit comment")</f>
        <v>Click here to submit comment</v>
      </c>
      <c r="R749" s="14">
        <v>51191</v>
      </c>
    </row>
    <row r="750" spans="1:18" ht="409.5" x14ac:dyDescent="0.25">
      <c r="A750" s="14" t="s">
        <v>8732</v>
      </c>
      <c r="B750" s="14" t="s">
        <v>8733</v>
      </c>
      <c r="C750" s="14" t="s">
        <v>8547</v>
      </c>
      <c r="D750" s="14" t="s">
        <v>8531</v>
      </c>
      <c r="E750" s="14" t="s">
        <v>7960</v>
      </c>
      <c r="F750" s="14" t="s">
        <v>7961</v>
      </c>
      <c r="G750" s="8" t="s">
        <v>8540</v>
      </c>
      <c r="H750" s="14" t="s">
        <v>7964</v>
      </c>
      <c r="I750" s="14"/>
      <c r="J750" s="14"/>
      <c r="K750" s="14"/>
      <c r="L750" s="14"/>
      <c r="M750" s="14" t="s">
        <v>7962</v>
      </c>
      <c r="N750" s="14"/>
      <c r="O750" s="14" t="s">
        <v>7963</v>
      </c>
      <c r="P750" s="14" t="str">
        <f>HYPERLINK("https://ceds.ed.gov/cedselementdetails.aspx?termid=17267")</f>
        <v>https://ceds.ed.gov/cedselementdetails.aspx?termid=17267</v>
      </c>
      <c r="Q750" s="14" t="str">
        <f>HYPERLINK("https://ceds.ed.gov/elementComment.aspx?elementName=State Abbreviation &amp;elementID=17267", "Click here to submit comment")</f>
        <v>Click here to submit comment</v>
      </c>
      <c r="R750" s="14">
        <v>51187</v>
      </c>
    </row>
    <row r="751" spans="1:18" ht="225" x14ac:dyDescent="0.25">
      <c r="A751" s="14" t="s">
        <v>8732</v>
      </c>
      <c r="B751" s="14" t="s">
        <v>8733</v>
      </c>
      <c r="C751" s="14" t="s">
        <v>8547</v>
      </c>
      <c r="D751" s="14" t="s">
        <v>8531</v>
      </c>
      <c r="E751" s="14" t="s">
        <v>209</v>
      </c>
      <c r="F751" s="14" t="s">
        <v>210</v>
      </c>
      <c r="G751" s="14" t="s">
        <v>37</v>
      </c>
      <c r="H751" s="14" t="s">
        <v>199</v>
      </c>
      <c r="I751" s="14"/>
      <c r="J751" s="14" t="s">
        <v>211</v>
      </c>
      <c r="K751" s="14"/>
      <c r="L751" s="14"/>
      <c r="M751" s="14" t="s">
        <v>212</v>
      </c>
      <c r="N751" s="14"/>
      <c r="O751" s="14" t="s">
        <v>213</v>
      </c>
      <c r="P751" s="14" t="str">
        <f>HYPERLINK("https://ceds.ed.gov/cedselementdetails.aspx?termid=17214")</f>
        <v>https://ceds.ed.gov/cedselementdetails.aspx?termid=17214</v>
      </c>
      <c r="Q751" s="14" t="str">
        <f>HYPERLINK("https://ceds.ed.gov/elementComment.aspx?elementName=Address Postal Code &amp;elementID=17214", "Click here to submit comment")</f>
        <v>Click here to submit comment</v>
      </c>
      <c r="R751" s="14">
        <v>51193</v>
      </c>
    </row>
    <row r="752" spans="1:18" ht="225" x14ac:dyDescent="0.25">
      <c r="A752" s="14" t="s">
        <v>8732</v>
      </c>
      <c r="B752" s="14" t="s">
        <v>8733</v>
      </c>
      <c r="C752" s="14" t="s">
        <v>8547</v>
      </c>
      <c r="D752" s="14" t="s">
        <v>8531</v>
      </c>
      <c r="E752" s="14" t="s">
        <v>204</v>
      </c>
      <c r="F752" s="14" t="s">
        <v>205</v>
      </c>
      <c r="G752" s="14" t="s">
        <v>37</v>
      </c>
      <c r="H752" s="14" t="s">
        <v>199</v>
      </c>
      <c r="I752" s="14"/>
      <c r="J752" s="14" t="s">
        <v>97</v>
      </c>
      <c r="K752" s="14"/>
      <c r="L752" s="14"/>
      <c r="M752" s="14" t="s">
        <v>207</v>
      </c>
      <c r="N752" s="14"/>
      <c r="O752" s="14" t="s">
        <v>208</v>
      </c>
      <c r="P752" s="14" t="str">
        <f>HYPERLINK("https://ceds.ed.gov/cedselementdetails.aspx?termid=17190")</f>
        <v>https://ceds.ed.gov/cedselementdetails.aspx?termid=17190</v>
      </c>
      <c r="Q752" s="14" t="str">
        <f>HYPERLINK("https://ceds.ed.gov/elementComment.aspx?elementName=Address County Name &amp;elementID=17190", "Click here to submit comment")</f>
        <v>Click here to submit comment</v>
      </c>
      <c r="R752" s="14">
        <v>51186</v>
      </c>
    </row>
    <row r="753" spans="1:18" ht="409.5" x14ac:dyDescent="0.25">
      <c r="A753" s="14" t="s">
        <v>8732</v>
      </c>
      <c r="B753" s="14" t="s">
        <v>8733</v>
      </c>
      <c r="C753" s="14" t="s">
        <v>8547</v>
      </c>
      <c r="D753" s="14" t="s">
        <v>8531</v>
      </c>
      <c r="E753" s="14" t="s">
        <v>2845</v>
      </c>
      <c r="F753" s="14" t="s">
        <v>2846</v>
      </c>
      <c r="G753" s="8" t="s">
        <v>8548</v>
      </c>
      <c r="H753" s="14" t="s">
        <v>2852</v>
      </c>
      <c r="I753" s="14"/>
      <c r="J753" s="14"/>
      <c r="K753" s="14"/>
      <c r="L753" s="6" t="s">
        <v>2849</v>
      </c>
      <c r="M753" s="14" t="s">
        <v>2850</v>
      </c>
      <c r="N753" s="14"/>
      <c r="O753" s="14" t="s">
        <v>2851</v>
      </c>
      <c r="P753" s="14" t="str">
        <f>HYPERLINK("https://ceds.ed.gov/cedselementdetails.aspx?termid=17050")</f>
        <v>https://ceds.ed.gov/cedselementdetails.aspx?termid=17050</v>
      </c>
      <c r="Q753" s="14" t="str">
        <f>HYPERLINK("https://ceds.ed.gov/elementComment.aspx?elementName=Country Code &amp;elementID=17050", "Click here to submit comment")</f>
        <v>Click here to submit comment</v>
      </c>
      <c r="R753" s="14">
        <v>51192</v>
      </c>
    </row>
    <row r="754" spans="1:18" ht="195" x14ac:dyDescent="0.25">
      <c r="A754" s="14" t="s">
        <v>8732</v>
      </c>
      <c r="B754" s="14" t="s">
        <v>8733</v>
      </c>
      <c r="C754" s="14" t="s">
        <v>8547</v>
      </c>
      <c r="D754" s="14" t="s">
        <v>8531</v>
      </c>
      <c r="E754" s="14" t="s">
        <v>2860</v>
      </c>
      <c r="F754" s="14" t="s">
        <v>2861</v>
      </c>
      <c r="G754" s="14" t="s">
        <v>37</v>
      </c>
      <c r="H754" s="14"/>
      <c r="I754" s="14" t="s">
        <v>195</v>
      </c>
      <c r="J754" s="14" t="s">
        <v>2863</v>
      </c>
      <c r="K754" s="14" t="s">
        <v>2864</v>
      </c>
      <c r="L754" s="14"/>
      <c r="M754" s="14" t="s">
        <v>2865</v>
      </c>
      <c r="N754" s="14"/>
      <c r="O754" s="14" t="s">
        <v>2866</v>
      </c>
      <c r="P754" s="14" t="str">
        <f>HYPERLINK("https://ceds.ed.gov/cedselementdetails.aspx?termid=18176")</f>
        <v>https://ceds.ed.gov/cedselementdetails.aspx?termid=18176</v>
      </c>
      <c r="Q754" s="14" t="str">
        <f>HYPERLINK("https://ceds.ed.gov/elementComment.aspx?elementName=County ANSI Code &amp;elementID=18176", "Click here to submit comment")</f>
        <v>Click here to submit comment</v>
      </c>
      <c r="R754" s="14">
        <v>51391</v>
      </c>
    </row>
    <row r="755" spans="1:18" ht="75" x14ac:dyDescent="0.25">
      <c r="A755" s="14" t="s">
        <v>8732</v>
      </c>
      <c r="B755" s="14" t="s">
        <v>8733</v>
      </c>
      <c r="C755" s="14" t="s">
        <v>8547</v>
      </c>
      <c r="D755" s="14" t="s">
        <v>8531</v>
      </c>
      <c r="E755" s="14" t="s">
        <v>5736</v>
      </c>
      <c r="F755" s="14" t="s">
        <v>5737</v>
      </c>
      <c r="G755" s="14" t="s">
        <v>37</v>
      </c>
      <c r="H755" s="14"/>
      <c r="I755" s="14"/>
      <c r="J755" s="14" t="s">
        <v>1307</v>
      </c>
      <c r="K755" s="14"/>
      <c r="L755" s="14"/>
      <c r="M755" s="14" t="s">
        <v>5739</v>
      </c>
      <c r="N755" s="14"/>
      <c r="O755" s="14" t="s">
        <v>5736</v>
      </c>
      <c r="P755" s="14" t="str">
        <f>HYPERLINK("https://ceds.ed.gov/cedselementdetails.aspx?termid=17599")</f>
        <v>https://ceds.ed.gov/cedselementdetails.aspx?termid=17599</v>
      </c>
      <c r="Q755" s="14" t="str">
        <f>HYPERLINK("https://ceds.ed.gov/elementComment.aspx?elementName=Latitude &amp;elementID=17599", "Click here to submit comment")</f>
        <v>Click here to submit comment</v>
      </c>
      <c r="R755" s="14">
        <v>51274</v>
      </c>
    </row>
    <row r="756" spans="1:18" ht="75" x14ac:dyDescent="0.25">
      <c r="A756" s="14" t="s">
        <v>8732</v>
      </c>
      <c r="B756" s="14" t="s">
        <v>8733</v>
      </c>
      <c r="C756" s="14" t="s">
        <v>8547</v>
      </c>
      <c r="D756" s="14" t="s">
        <v>8531</v>
      </c>
      <c r="E756" s="14" t="s">
        <v>6174</v>
      </c>
      <c r="F756" s="14" t="s">
        <v>6175</v>
      </c>
      <c r="G756" s="14" t="s">
        <v>37</v>
      </c>
      <c r="H756" s="14"/>
      <c r="I756" s="14"/>
      <c r="J756" s="14" t="s">
        <v>1307</v>
      </c>
      <c r="K756" s="14"/>
      <c r="L756" s="14"/>
      <c r="M756" s="14" t="s">
        <v>6176</v>
      </c>
      <c r="N756" s="14"/>
      <c r="O756" s="14" t="s">
        <v>6174</v>
      </c>
      <c r="P756" s="14" t="str">
        <f>HYPERLINK("https://ceds.ed.gov/cedselementdetails.aspx?termid=17600")</f>
        <v>https://ceds.ed.gov/cedselementdetails.aspx?termid=17600</v>
      </c>
      <c r="Q756" s="14" t="str">
        <f>HYPERLINK("https://ceds.ed.gov/elementComment.aspx?elementName=Longitude &amp;elementID=17600", "Click here to submit comment")</f>
        <v>Click here to submit comment</v>
      </c>
      <c r="R756" s="14">
        <v>51297</v>
      </c>
    </row>
    <row r="757" spans="1:18" ht="60" x14ac:dyDescent="0.25">
      <c r="A757" s="14" t="s">
        <v>8732</v>
      </c>
      <c r="B757" s="14" t="s">
        <v>8733</v>
      </c>
      <c r="C757" s="14" t="s">
        <v>8547</v>
      </c>
      <c r="D757" s="14" t="s">
        <v>8541</v>
      </c>
      <c r="E757" s="14" t="s">
        <v>3651</v>
      </c>
      <c r="F757" s="14" t="s">
        <v>3652</v>
      </c>
      <c r="G757" s="14" t="s">
        <v>3430</v>
      </c>
      <c r="H757" s="14"/>
      <c r="I757" s="14" t="s">
        <v>188</v>
      </c>
      <c r="J757" s="14"/>
      <c r="K757" s="14" t="s">
        <v>1721</v>
      </c>
      <c r="L757" s="14"/>
      <c r="M757" s="14" t="s">
        <v>3654</v>
      </c>
      <c r="N757" s="14"/>
      <c r="O757" s="14" t="s">
        <v>3655</v>
      </c>
      <c r="P757" s="14" t="str">
        <f>HYPERLINK("https://ceds.ed.gov/cedselementdetails.aspx?termid=18905")</f>
        <v>https://ceds.ed.gov/cedselementdetails.aspx?termid=18905</v>
      </c>
      <c r="Q757" s="14" t="str">
        <f>HYPERLINK("https://ceds.ed.gov/elementComment.aspx?elementName=Do Not Publish Indicator &amp;elementID=18905", "Click here to submit comment")</f>
        <v>Click here to submit comment</v>
      </c>
      <c r="R757" s="14">
        <v>52357</v>
      </c>
    </row>
    <row r="758" spans="1:18" ht="90" x14ac:dyDescent="0.25">
      <c r="A758" s="14" t="s">
        <v>8732</v>
      </c>
      <c r="B758" s="14" t="s">
        <v>8733</v>
      </c>
      <c r="C758" s="14" t="s">
        <v>8551</v>
      </c>
      <c r="D758" s="14" t="s">
        <v>8531</v>
      </c>
      <c r="E758" s="14" t="s">
        <v>3931</v>
      </c>
      <c r="F758" s="14" t="s">
        <v>3932</v>
      </c>
      <c r="G758" s="14" t="s">
        <v>37</v>
      </c>
      <c r="H758" s="14" t="s">
        <v>72</v>
      </c>
      <c r="I758" s="14"/>
      <c r="J758" s="14" t="s">
        <v>3934</v>
      </c>
      <c r="K758" s="14"/>
      <c r="L758" s="14"/>
      <c r="M758" s="14" t="s">
        <v>3935</v>
      </c>
      <c r="N758" s="14" t="s">
        <v>3936</v>
      </c>
      <c r="O758" s="14" t="s">
        <v>3937</v>
      </c>
      <c r="P758" s="14" t="str">
        <f>HYPERLINK("https://ceds.ed.gov/cedselementdetails.aspx?termid=17088")</f>
        <v>https://ceds.ed.gov/cedselementdetails.aspx?termid=17088</v>
      </c>
      <c r="Q758" s="14" t="str">
        <f>HYPERLINK("https://ceds.ed.gov/elementComment.aspx?elementName=Electronic Mail Address &amp;elementID=17088", "Click here to submit comment")</f>
        <v>Click here to submit comment</v>
      </c>
      <c r="R758" s="14">
        <v>51194</v>
      </c>
    </row>
    <row r="759" spans="1:18" ht="90" x14ac:dyDescent="0.25">
      <c r="A759" s="14" t="s">
        <v>8732</v>
      </c>
      <c r="B759" s="14" t="s">
        <v>8733</v>
      </c>
      <c r="C759" s="14" t="s">
        <v>8551</v>
      </c>
      <c r="D759" s="14" t="s">
        <v>8531</v>
      </c>
      <c r="E759" s="14" t="s">
        <v>3938</v>
      </c>
      <c r="F759" s="14" t="s">
        <v>3939</v>
      </c>
      <c r="G759" s="8" t="s">
        <v>8552</v>
      </c>
      <c r="H759" s="14" t="s">
        <v>72</v>
      </c>
      <c r="I759" s="14"/>
      <c r="J759" s="14"/>
      <c r="K759" s="14"/>
      <c r="L759" s="14"/>
      <c r="M759" s="14" t="s">
        <v>3941</v>
      </c>
      <c r="N759" s="14" t="s">
        <v>3942</v>
      </c>
      <c r="O759" s="14" t="s">
        <v>3943</v>
      </c>
      <c r="P759" s="14" t="str">
        <f>HYPERLINK("https://ceds.ed.gov/cedselementdetails.aspx?termid=17089")</f>
        <v>https://ceds.ed.gov/cedselementdetails.aspx?termid=17089</v>
      </c>
      <c r="Q759" s="14" t="str">
        <f>HYPERLINK("https://ceds.ed.gov/elementComment.aspx?elementName=Electronic Mail Address Type &amp;elementID=17089", "Click here to submit comment")</f>
        <v>Click here to submit comment</v>
      </c>
      <c r="R759" s="14">
        <v>51195</v>
      </c>
    </row>
    <row r="760" spans="1:18" ht="60" x14ac:dyDescent="0.25">
      <c r="A760" s="14" t="s">
        <v>8732</v>
      </c>
      <c r="B760" s="14" t="s">
        <v>8733</v>
      </c>
      <c r="C760" s="14" t="s">
        <v>8551</v>
      </c>
      <c r="D760" s="14" t="s">
        <v>8541</v>
      </c>
      <c r="E760" s="14" t="s">
        <v>3651</v>
      </c>
      <c r="F760" s="14" t="s">
        <v>3652</v>
      </c>
      <c r="G760" s="14" t="s">
        <v>3430</v>
      </c>
      <c r="H760" s="14"/>
      <c r="I760" s="14" t="s">
        <v>188</v>
      </c>
      <c r="J760" s="14"/>
      <c r="K760" s="14" t="s">
        <v>1721</v>
      </c>
      <c r="L760" s="14"/>
      <c r="M760" s="14" t="s">
        <v>3654</v>
      </c>
      <c r="N760" s="14"/>
      <c r="O760" s="14" t="s">
        <v>3655</v>
      </c>
      <c r="P760" s="14" t="str">
        <f>HYPERLINK("https://ceds.ed.gov/cedselementdetails.aspx?termid=18905")</f>
        <v>https://ceds.ed.gov/cedselementdetails.aspx?termid=18905</v>
      </c>
      <c r="Q760" s="14" t="str">
        <f>HYPERLINK("https://ceds.ed.gov/elementComment.aspx?elementName=Do Not Publish Indicator &amp;elementID=18905", "Click here to submit comment")</f>
        <v>Click here to submit comment</v>
      </c>
      <c r="R760" s="14">
        <v>52358</v>
      </c>
    </row>
    <row r="761" spans="1:18" ht="90" x14ac:dyDescent="0.25">
      <c r="A761" s="14" t="s">
        <v>8732</v>
      </c>
      <c r="B761" s="14" t="s">
        <v>8733</v>
      </c>
      <c r="C761" s="14" t="s">
        <v>8549</v>
      </c>
      <c r="D761" s="14" t="s">
        <v>8531</v>
      </c>
      <c r="E761" s="14" t="s">
        <v>8217</v>
      </c>
      <c r="F761" s="14" t="s">
        <v>8218</v>
      </c>
      <c r="G761" s="14" t="s">
        <v>37</v>
      </c>
      <c r="H761" s="14" t="s">
        <v>72</v>
      </c>
      <c r="I761" s="14"/>
      <c r="J761" s="14" t="s">
        <v>8220</v>
      </c>
      <c r="K761" s="14"/>
      <c r="L761" s="14"/>
      <c r="M761" s="14" t="s">
        <v>8221</v>
      </c>
      <c r="N761" s="14"/>
      <c r="O761" s="14" t="s">
        <v>8222</v>
      </c>
      <c r="P761" s="14" t="str">
        <f>HYPERLINK("https://ceds.ed.gov/cedselementdetails.aspx?termid=17279")</f>
        <v>https://ceds.ed.gov/cedselementdetails.aspx?termid=17279</v>
      </c>
      <c r="Q761" s="14" t="str">
        <f>HYPERLINK("https://ceds.ed.gov/elementComment.aspx?elementName=Telephone Number &amp;elementID=17279", "Click here to submit comment")</f>
        <v>Click here to submit comment</v>
      </c>
      <c r="R761" s="14">
        <v>51196</v>
      </c>
    </row>
    <row r="762" spans="1:18" ht="90" x14ac:dyDescent="0.25">
      <c r="A762" s="14" t="s">
        <v>8732</v>
      </c>
      <c r="B762" s="14" t="s">
        <v>8733</v>
      </c>
      <c r="C762" s="14" t="s">
        <v>8549</v>
      </c>
      <c r="D762" s="14" t="s">
        <v>8531</v>
      </c>
      <c r="E762" s="14" t="s">
        <v>8229</v>
      </c>
      <c r="F762" s="14" t="s">
        <v>8230</v>
      </c>
      <c r="G762" s="8" t="s">
        <v>8550</v>
      </c>
      <c r="H762" s="14" t="s">
        <v>72</v>
      </c>
      <c r="I762" s="14"/>
      <c r="J762" s="14" t="s">
        <v>2870</v>
      </c>
      <c r="K762" s="14"/>
      <c r="L762" s="14"/>
      <c r="M762" s="14" t="s">
        <v>8233</v>
      </c>
      <c r="N762" s="14"/>
      <c r="O762" s="14" t="s">
        <v>8234</v>
      </c>
      <c r="P762" s="14" t="str">
        <f>HYPERLINK("https://ceds.ed.gov/cedselementdetails.aspx?termid=17280")</f>
        <v>https://ceds.ed.gov/cedselementdetails.aspx?termid=17280</v>
      </c>
      <c r="Q762" s="14" t="str">
        <f>HYPERLINK("https://ceds.ed.gov/elementComment.aspx?elementName=Telephone Number Type &amp;elementID=17280", "Click here to submit comment")</f>
        <v>Click here to submit comment</v>
      </c>
      <c r="R762" s="14">
        <v>51197</v>
      </c>
    </row>
    <row r="763" spans="1:18" ht="90" x14ac:dyDescent="0.25">
      <c r="A763" s="14" t="s">
        <v>8732</v>
      </c>
      <c r="B763" s="14" t="s">
        <v>8733</v>
      </c>
      <c r="C763" s="14" t="s">
        <v>8549</v>
      </c>
      <c r="D763" s="14" t="s">
        <v>8531</v>
      </c>
      <c r="E763" s="14" t="s">
        <v>6865</v>
      </c>
      <c r="F763" s="14" t="s">
        <v>6866</v>
      </c>
      <c r="G763" s="14" t="s">
        <v>24</v>
      </c>
      <c r="H763" s="14" t="s">
        <v>72</v>
      </c>
      <c r="I763" s="14"/>
      <c r="J763" s="14"/>
      <c r="K763" s="14"/>
      <c r="L763" s="14"/>
      <c r="M763" s="14" t="s">
        <v>6868</v>
      </c>
      <c r="N763" s="14"/>
      <c r="O763" s="14" t="s">
        <v>6869</v>
      </c>
      <c r="P763" s="14" t="str">
        <f>HYPERLINK("https://ceds.ed.gov/cedselementdetails.aspx?termid=17219")</f>
        <v>https://ceds.ed.gov/cedselementdetails.aspx?termid=17219</v>
      </c>
      <c r="Q763" s="14" t="str">
        <f>HYPERLINK("https://ceds.ed.gov/elementComment.aspx?elementName=Primary Telephone Number Indicator &amp;elementID=17219", "Click here to submit comment")</f>
        <v>Click here to submit comment</v>
      </c>
      <c r="R763" s="14">
        <v>51198</v>
      </c>
    </row>
    <row r="764" spans="1:18" ht="60" x14ac:dyDescent="0.25">
      <c r="A764" s="14" t="s">
        <v>8732</v>
      </c>
      <c r="B764" s="14" t="s">
        <v>8733</v>
      </c>
      <c r="C764" s="14" t="s">
        <v>8549</v>
      </c>
      <c r="D764" s="14" t="s">
        <v>8541</v>
      </c>
      <c r="E764" s="14" t="s">
        <v>3651</v>
      </c>
      <c r="F764" s="14" t="s">
        <v>3652</v>
      </c>
      <c r="G764" s="14" t="s">
        <v>3430</v>
      </c>
      <c r="H764" s="14"/>
      <c r="I764" s="14" t="s">
        <v>188</v>
      </c>
      <c r="J764" s="14"/>
      <c r="K764" s="14" t="s">
        <v>1721</v>
      </c>
      <c r="L764" s="14"/>
      <c r="M764" s="14" t="s">
        <v>3654</v>
      </c>
      <c r="N764" s="14"/>
      <c r="O764" s="14" t="s">
        <v>3655</v>
      </c>
      <c r="P764" s="14" t="str">
        <f>HYPERLINK("https://ceds.ed.gov/cedselementdetails.aspx?termid=18905")</f>
        <v>https://ceds.ed.gov/cedselementdetails.aspx?termid=18905</v>
      </c>
      <c r="Q764" s="14" t="str">
        <f>HYPERLINK("https://ceds.ed.gov/elementComment.aspx?elementName=Do Not Publish Indicator &amp;elementID=18905", "Click here to submit comment")</f>
        <v>Click here to submit comment</v>
      </c>
      <c r="R764" s="14">
        <v>52359</v>
      </c>
    </row>
    <row r="765" spans="1:18" ht="60" x14ac:dyDescent="0.25">
      <c r="A765" s="14" t="s">
        <v>8732</v>
      </c>
      <c r="B765" s="14" t="s">
        <v>8733</v>
      </c>
      <c r="C765" s="14" t="s">
        <v>8549</v>
      </c>
      <c r="D765" s="14" t="s">
        <v>8541</v>
      </c>
      <c r="E765" s="14" t="s">
        <v>8223</v>
      </c>
      <c r="F765" s="14" t="s">
        <v>8224</v>
      </c>
      <c r="G765" s="8" t="s">
        <v>8544</v>
      </c>
      <c r="H765" s="14"/>
      <c r="I765" s="14" t="s">
        <v>188</v>
      </c>
      <c r="J765" s="14"/>
      <c r="K765" s="14" t="s">
        <v>1721</v>
      </c>
      <c r="L765" s="14"/>
      <c r="M765" s="14" t="s">
        <v>8227</v>
      </c>
      <c r="N765" s="14"/>
      <c r="O765" s="14" t="s">
        <v>8228</v>
      </c>
      <c r="P765" s="14" t="str">
        <f>HYPERLINK("https://ceds.ed.gov/cedselementdetails.aspx?termid=18911")</f>
        <v>https://ceds.ed.gov/cedselementdetails.aspx?termid=18911</v>
      </c>
      <c r="Q765" s="14" t="str">
        <f>HYPERLINK("https://ceds.ed.gov/elementComment.aspx?elementName=Telephone Number Listed Status &amp;elementID=18911", "Click here to submit comment")</f>
        <v>Click here to submit comment</v>
      </c>
      <c r="R765" s="14">
        <v>52360</v>
      </c>
    </row>
    <row r="766" spans="1:18" ht="45" x14ac:dyDescent="0.25">
      <c r="A766" s="14" t="s">
        <v>8732</v>
      </c>
      <c r="B766" s="14" t="s">
        <v>8733</v>
      </c>
      <c r="C766" s="14" t="s">
        <v>8553</v>
      </c>
      <c r="D766" s="14" t="s">
        <v>8531</v>
      </c>
      <c r="E766" s="14" t="s">
        <v>6586</v>
      </c>
      <c r="F766" s="14" t="s">
        <v>6587</v>
      </c>
      <c r="G766" s="14" t="s">
        <v>37</v>
      </c>
      <c r="H766" s="14"/>
      <c r="I766" s="14"/>
      <c r="J766" s="14" t="s">
        <v>1468</v>
      </c>
      <c r="K766" s="14"/>
      <c r="L766" s="14" t="s">
        <v>6589</v>
      </c>
      <c r="M766" s="14" t="s">
        <v>6590</v>
      </c>
      <c r="N766" s="14"/>
      <c r="O766" s="14" t="s">
        <v>6591</v>
      </c>
      <c r="P766" s="14" t="str">
        <f>HYPERLINK("https://ceds.ed.gov/cedselementdetails.aspx?termid=18486")</f>
        <v>https://ceds.ed.gov/cedselementdetails.aspx?termid=18486</v>
      </c>
      <c r="Q766" s="14" t="str">
        <f>HYPERLINK("https://ceds.ed.gov/elementComment.aspx?elementName=Other First Name &amp;elementID=18486", "Click here to submit comment")</f>
        <v>Click here to submit comment</v>
      </c>
      <c r="R766" s="14">
        <v>51200</v>
      </c>
    </row>
    <row r="767" spans="1:18" ht="45" x14ac:dyDescent="0.25">
      <c r="A767" s="14" t="s">
        <v>8732</v>
      </c>
      <c r="B767" s="14" t="s">
        <v>8733</v>
      </c>
      <c r="C767" s="14" t="s">
        <v>8553</v>
      </c>
      <c r="D767" s="14" t="s">
        <v>8531</v>
      </c>
      <c r="E767" s="14" t="s">
        <v>6597</v>
      </c>
      <c r="F767" s="14" t="s">
        <v>6598</v>
      </c>
      <c r="G767" s="14" t="s">
        <v>37</v>
      </c>
      <c r="H767" s="14"/>
      <c r="I767" s="14"/>
      <c r="J767" s="14" t="s">
        <v>1468</v>
      </c>
      <c r="K767" s="14"/>
      <c r="L767" s="14" t="s">
        <v>6599</v>
      </c>
      <c r="M767" s="14" t="s">
        <v>6600</v>
      </c>
      <c r="N767" s="14"/>
      <c r="O767" s="14" t="s">
        <v>6601</v>
      </c>
      <c r="P767" s="14" t="str">
        <f>HYPERLINK("https://ceds.ed.gov/cedselementdetails.aspx?termid=18487")</f>
        <v>https://ceds.ed.gov/cedselementdetails.aspx?termid=18487</v>
      </c>
      <c r="Q767" s="14" t="str">
        <f>HYPERLINK("https://ceds.ed.gov/elementComment.aspx?elementName=Other Middle Name &amp;elementID=18487", "Click here to submit comment")</f>
        <v>Click here to submit comment</v>
      </c>
      <c r="R767" s="14">
        <v>51201</v>
      </c>
    </row>
    <row r="768" spans="1:18" ht="45" x14ac:dyDescent="0.25">
      <c r="A768" s="14" t="s">
        <v>8732</v>
      </c>
      <c r="B768" s="14" t="s">
        <v>8733</v>
      </c>
      <c r="C768" s="14" t="s">
        <v>8553</v>
      </c>
      <c r="D768" s="14" t="s">
        <v>8531</v>
      </c>
      <c r="E768" s="14" t="s">
        <v>6592</v>
      </c>
      <c r="F768" s="14" t="s">
        <v>6593</v>
      </c>
      <c r="G768" s="14" t="s">
        <v>37</v>
      </c>
      <c r="H768" s="14"/>
      <c r="I768" s="14"/>
      <c r="J768" s="14" t="s">
        <v>1468</v>
      </c>
      <c r="K768" s="14"/>
      <c r="L768" s="14" t="s">
        <v>6594</v>
      </c>
      <c r="M768" s="14" t="s">
        <v>6595</v>
      </c>
      <c r="N768" s="14"/>
      <c r="O768" s="14" t="s">
        <v>6596</v>
      </c>
      <c r="P768" s="14" t="str">
        <f>HYPERLINK("https://ceds.ed.gov/cedselementdetails.aspx?termid=18485")</f>
        <v>https://ceds.ed.gov/cedselementdetails.aspx?termid=18485</v>
      </c>
      <c r="Q768" s="14" t="str">
        <f>HYPERLINK("https://ceds.ed.gov/elementComment.aspx?elementName=Other Last Name &amp;elementID=18485", "Click here to submit comment")</f>
        <v>Click here to submit comment</v>
      </c>
      <c r="R768" s="14">
        <v>51199</v>
      </c>
    </row>
    <row r="769" spans="1:18" ht="150" x14ac:dyDescent="0.25">
      <c r="A769" s="14" t="s">
        <v>8732</v>
      </c>
      <c r="B769" s="14" t="s">
        <v>8733</v>
      </c>
      <c r="C769" s="14" t="s">
        <v>8553</v>
      </c>
      <c r="D769" s="14" t="s">
        <v>8531</v>
      </c>
      <c r="E769" s="14" t="s">
        <v>6602</v>
      </c>
      <c r="F769" s="14" t="s">
        <v>6603</v>
      </c>
      <c r="G769" s="14" t="s">
        <v>37</v>
      </c>
      <c r="H769" s="14" t="s">
        <v>4749</v>
      </c>
      <c r="I769" s="14"/>
      <c r="J769" s="14" t="s">
        <v>149</v>
      </c>
      <c r="K769" s="14"/>
      <c r="L769" s="14"/>
      <c r="M769" s="14" t="s">
        <v>6604</v>
      </c>
      <c r="N769" s="14"/>
      <c r="O769" s="14" t="s">
        <v>6605</v>
      </c>
      <c r="P769" s="14" t="str">
        <f>HYPERLINK("https://ceds.ed.gov/cedselementdetails.aspx?termid=17206")</f>
        <v>https://ceds.ed.gov/cedselementdetails.aspx?termid=17206</v>
      </c>
      <c r="Q769" s="14" t="str">
        <f>HYPERLINK("https://ceds.ed.gov/elementComment.aspx?elementName=Other Name &amp;elementID=17206", "Click here to submit comment")</f>
        <v>Click here to submit comment</v>
      </c>
      <c r="R769" s="14">
        <v>51203</v>
      </c>
    </row>
    <row r="770" spans="1:18" ht="165" x14ac:dyDescent="0.25">
      <c r="A770" s="14" t="s">
        <v>8732</v>
      </c>
      <c r="B770" s="14" t="s">
        <v>8733</v>
      </c>
      <c r="C770" s="14" t="s">
        <v>8553</v>
      </c>
      <c r="D770" s="14" t="s">
        <v>8531</v>
      </c>
      <c r="E770" s="14" t="s">
        <v>6606</v>
      </c>
      <c r="F770" s="14" t="s">
        <v>6607</v>
      </c>
      <c r="G770" s="8" t="s">
        <v>8554</v>
      </c>
      <c r="H770" s="14" t="s">
        <v>6612</v>
      </c>
      <c r="I770" s="14"/>
      <c r="J770" s="14" t="s">
        <v>97</v>
      </c>
      <c r="K770" s="14"/>
      <c r="L770" s="14"/>
      <c r="M770" s="14" t="s">
        <v>6610</v>
      </c>
      <c r="N770" s="14"/>
      <c r="O770" s="14" t="s">
        <v>6611</v>
      </c>
      <c r="P770" s="14" t="str">
        <f>HYPERLINK("https://ceds.ed.gov/cedselementdetails.aspx?termid=17627")</f>
        <v>https://ceds.ed.gov/cedselementdetails.aspx?termid=17627</v>
      </c>
      <c r="Q770" s="14" t="str">
        <f>HYPERLINK("https://ceds.ed.gov/elementComment.aspx?elementName=Other Name Type &amp;elementID=17627", "Click here to submit comment")</f>
        <v>Click here to submit comment</v>
      </c>
      <c r="R770" s="14">
        <v>51202</v>
      </c>
    </row>
    <row r="771" spans="1:18" ht="409.5" x14ac:dyDescent="0.25">
      <c r="A771" s="14" t="s">
        <v>8732</v>
      </c>
      <c r="B771" s="14" t="s">
        <v>8733</v>
      </c>
      <c r="C771" s="14" t="s">
        <v>8555</v>
      </c>
      <c r="D771" s="14" t="s">
        <v>8541</v>
      </c>
      <c r="E771" s="14" t="s">
        <v>4722</v>
      </c>
      <c r="F771" s="14" t="s">
        <v>4723</v>
      </c>
      <c r="G771" s="8" t="s">
        <v>8557</v>
      </c>
      <c r="H771" s="14" t="s">
        <v>3920</v>
      </c>
      <c r="I771" s="14" t="s">
        <v>195</v>
      </c>
      <c r="J771" s="14"/>
      <c r="K771" s="14" t="s">
        <v>2856</v>
      </c>
      <c r="L771" s="14"/>
      <c r="M771" s="14" t="s">
        <v>4726</v>
      </c>
      <c r="N771" s="14"/>
      <c r="O771" s="14" t="s">
        <v>4727</v>
      </c>
      <c r="P771" s="14" t="str">
        <f>HYPERLINK("https://ceds.ed.gov/cedselementdetails.aspx?termid=17866")</f>
        <v>https://ceds.ed.gov/cedselementdetails.aspx?termid=17866</v>
      </c>
      <c r="Q771" s="14" t="str">
        <f>HYPERLINK("https://ceds.ed.gov/elementComment.aspx?elementName=Full-Time Employee Benefits &amp;elementID=17866", "Click here to submit comment")</f>
        <v>Click here to submit comment</v>
      </c>
      <c r="R771" s="14">
        <v>52361</v>
      </c>
    </row>
    <row r="772" spans="1:18" ht="409.5" x14ac:dyDescent="0.25">
      <c r="A772" s="14" t="s">
        <v>8732</v>
      </c>
      <c r="B772" s="14" t="s">
        <v>8733</v>
      </c>
      <c r="C772" s="14" t="s">
        <v>8555</v>
      </c>
      <c r="D772" s="14" t="s">
        <v>8541</v>
      </c>
      <c r="E772" s="14" t="s">
        <v>6642</v>
      </c>
      <c r="F772" s="14" t="s">
        <v>6643</v>
      </c>
      <c r="G772" s="8" t="s">
        <v>8557</v>
      </c>
      <c r="H772" s="14" t="s">
        <v>3920</v>
      </c>
      <c r="I772" s="14" t="s">
        <v>195</v>
      </c>
      <c r="J772" s="14"/>
      <c r="K772" s="14" t="s">
        <v>2856</v>
      </c>
      <c r="L772" s="14"/>
      <c r="M772" s="14" t="s">
        <v>6644</v>
      </c>
      <c r="N772" s="14"/>
      <c r="O772" s="14" t="s">
        <v>6645</v>
      </c>
      <c r="P772" s="14" t="str">
        <f>HYPERLINK("https://ceds.ed.gov/cedselementdetails.aspx?termid=17867")</f>
        <v>https://ceds.ed.gov/cedselementdetails.aspx?termid=17867</v>
      </c>
      <c r="Q772" s="14" t="str">
        <f>HYPERLINK("https://ceds.ed.gov/elementComment.aspx?elementName=Part-Time Employee Benefits &amp;elementID=17867", "Click here to submit comment")</f>
        <v>Click here to submit comment</v>
      </c>
      <c r="R772" s="14">
        <v>52362</v>
      </c>
    </row>
    <row r="773" spans="1:18" ht="45" x14ac:dyDescent="0.25">
      <c r="A773" s="14" t="s">
        <v>8732</v>
      </c>
      <c r="B773" s="14" t="s">
        <v>8735</v>
      </c>
      <c r="C773" s="14"/>
      <c r="D773" s="14" t="s">
        <v>8531</v>
      </c>
      <c r="E773" s="14" t="s">
        <v>6535</v>
      </c>
      <c r="F773" s="14" t="s">
        <v>6536</v>
      </c>
      <c r="G773" s="14" t="s">
        <v>37</v>
      </c>
      <c r="H773" s="14"/>
      <c r="I773" s="14"/>
      <c r="J773" s="14" t="s">
        <v>57</v>
      </c>
      <c r="K773" s="14"/>
      <c r="L773" s="14"/>
      <c r="M773" s="14" t="s">
        <v>6538</v>
      </c>
      <c r="N773" s="14"/>
      <c r="O773" s="14" t="s">
        <v>6539</v>
      </c>
      <c r="P773" s="14" t="str">
        <f>HYPERLINK("https://ceds.ed.gov/cedselementdetails.aspx?termid=18644")</f>
        <v>https://ceds.ed.gov/cedselementdetails.aspx?termid=18644</v>
      </c>
      <c r="Q773" s="14" t="str">
        <f>HYPERLINK("https://ceds.ed.gov/elementComment.aspx?elementName=Organization Image URL &amp;elementID=18644", "Click here to submit comment")</f>
        <v>Click here to submit comment</v>
      </c>
      <c r="R773" s="14">
        <v>51975</v>
      </c>
    </row>
    <row r="774" spans="1:18" ht="45" x14ac:dyDescent="0.25">
      <c r="A774" s="14" t="s">
        <v>8732</v>
      </c>
      <c r="B774" s="14" t="s">
        <v>8735</v>
      </c>
      <c r="C774" s="14"/>
      <c r="D774" s="14" t="s">
        <v>8531</v>
      </c>
      <c r="E774" s="14" t="s">
        <v>6556</v>
      </c>
      <c r="F774" s="14" t="s">
        <v>6557</v>
      </c>
      <c r="G774" s="14" t="s">
        <v>37</v>
      </c>
      <c r="H774" s="14"/>
      <c r="I774" s="14"/>
      <c r="J774" s="14" t="s">
        <v>3227</v>
      </c>
      <c r="K774" s="14"/>
      <c r="L774" s="14"/>
      <c r="M774" s="14" t="s">
        <v>6559</v>
      </c>
      <c r="N774" s="14"/>
      <c r="O774" s="14" t="s">
        <v>6560</v>
      </c>
      <c r="P774" s="14" t="str">
        <f>HYPERLINK("https://ceds.ed.gov/cedselementdetails.aspx?termid=18731")</f>
        <v>https://ceds.ed.gov/cedselementdetails.aspx?termid=18731</v>
      </c>
      <c r="Q774" s="14" t="str">
        <f>HYPERLINK("https://ceds.ed.gov/elementComment.aspx?elementName=Organization Region GeoJSON &amp;elementID=18731", "Click here to submit comment")</f>
        <v>Click here to submit comment</v>
      </c>
      <c r="R774" s="14">
        <v>51982</v>
      </c>
    </row>
    <row r="775" spans="1:18" ht="105" x14ac:dyDescent="0.25">
      <c r="A775" s="16" t="s">
        <v>8732</v>
      </c>
      <c r="B775" s="16" t="s">
        <v>8735</v>
      </c>
      <c r="C775" s="16" t="s">
        <v>8533</v>
      </c>
      <c r="D775" s="16" t="s">
        <v>8531</v>
      </c>
      <c r="E775" s="16" t="s">
        <v>7605</v>
      </c>
      <c r="F775" s="16" t="s">
        <v>326</v>
      </c>
      <c r="G775" s="16" t="s">
        <v>37</v>
      </c>
      <c r="H775" s="16" t="s">
        <v>7604</v>
      </c>
      <c r="I775" s="16"/>
      <c r="J775" s="16" t="s">
        <v>149</v>
      </c>
      <c r="K775" s="16"/>
      <c r="L775" s="14" t="s">
        <v>150</v>
      </c>
      <c r="M775" s="16" t="s">
        <v>7606</v>
      </c>
      <c r="N775" s="16"/>
      <c r="O775" s="16" t="s">
        <v>7607</v>
      </c>
      <c r="P775" s="16" t="str">
        <f>HYPERLINK("https://ceds.ed.gov/cedselementdetails.aspx?termid=17155")</f>
        <v>https://ceds.ed.gov/cedselementdetails.aspx?termid=17155</v>
      </c>
      <c r="Q775" s="16" t="str">
        <f>HYPERLINK("https://ceds.ed.gov/elementComment.aspx?elementName=School Identifier &amp;elementID=17155", "Click here to submit comment")</f>
        <v>Click here to submit comment</v>
      </c>
      <c r="R775" s="16">
        <v>47825</v>
      </c>
    </row>
    <row r="776" spans="1:18" x14ac:dyDescent="0.25">
      <c r="A776" s="16"/>
      <c r="B776" s="16"/>
      <c r="C776" s="16"/>
      <c r="D776" s="16"/>
      <c r="E776" s="16"/>
      <c r="F776" s="16"/>
      <c r="G776" s="16"/>
      <c r="H776" s="16"/>
      <c r="I776" s="16"/>
      <c r="J776" s="16"/>
      <c r="K776" s="16"/>
      <c r="L776" s="14"/>
      <c r="M776" s="16"/>
      <c r="N776" s="16"/>
      <c r="O776" s="16"/>
      <c r="P776" s="16"/>
      <c r="Q776" s="16"/>
      <c r="R776" s="16"/>
    </row>
    <row r="777" spans="1:18" ht="90" x14ac:dyDescent="0.25">
      <c r="A777" s="16"/>
      <c r="B777" s="16"/>
      <c r="C777" s="16"/>
      <c r="D777" s="16"/>
      <c r="E777" s="16"/>
      <c r="F777" s="16"/>
      <c r="G777" s="16"/>
      <c r="H777" s="16"/>
      <c r="I777" s="16"/>
      <c r="J777" s="16"/>
      <c r="K777" s="16"/>
      <c r="L777" s="14" t="s">
        <v>153</v>
      </c>
      <c r="M777" s="16"/>
      <c r="N777" s="16"/>
      <c r="O777" s="16"/>
      <c r="P777" s="16"/>
      <c r="Q777" s="16"/>
      <c r="R777" s="16"/>
    </row>
    <row r="778" spans="1:18" ht="270" x14ac:dyDescent="0.25">
      <c r="A778" s="14" t="s">
        <v>8732</v>
      </c>
      <c r="B778" s="14" t="s">
        <v>8735</v>
      </c>
      <c r="C778" s="14" t="s">
        <v>8533</v>
      </c>
      <c r="D778" s="14" t="s">
        <v>8531</v>
      </c>
      <c r="E778" s="14" t="s">
        <v>7599</v>
      </c>
      <c r="F778" s="14" t="s">
        <v>320</v>
      </c>
      <c r="G778" s="8" t="s">
        <v>8736</v>
      </c>
      <c r="H778" s="14" t="s">
        <v>7604</v>
      </c>
      <c r="I778" s="14"/>
      <c r="J778" s="14"/>
      <c r="K778" s="14"/>
      <c r="L778" s="14"/>
      <c r="M778" s="14" t="s">
        <v>7602</v>
      </c>
      <c r="N778" s="14"/>
      <c r="O778" s="14" t="s">
        <v>7603</v>
      </c>
      <c r="P778" s="14" t="str">
        <f>HYPERLINK("https://ceds.ed.gov/cedselementdetails.aspx?termid=17161")</f>
        <v>https://ceds.ed.gov/cedselementdetails.aspx?termid=17161</v>
      </c>
      <c r="Q778" s="14" t="str">
        <f>HYPERLINK("https://ceds.ed.gov/elementComment.aspx?elementName=School Identification System &amp;elementID=17161", "Click here to submit comment")</f>
        <v>Click here to submit comment</v>
      </c>
      <c r="R778" s="14">
        <v>47826</v>
      </c>
    </row>
    <row r="779" spans="1:18" ht="225" x14ac:dyDescent="0.25">
      <c r="A779" s="14" t="s">
        <v>8732</v>
      </c>
      <c r="B779" s="14" t="s">
        <v>8735</v>
      </c>
      <c r="C779" s="14" t="s">
        <v>8533</v>
      </c>
      <c r="D779" s="14" t="s">
        <v>8531</v>
      </c>
      <c r="E779" s="14" t="s">
        <v>6353</v>
      </c>
      <c r="F779" s="14" t="s">
        <v>6354</v>
      </c>
      <c r="G779" s="14" t="s">
        <v>37</v>
      </c>
      <c r="H779" s="14" t="s">
        <v>6358</v>
      </c>
      <c r="I779" s="14"/>
      <c r="J779" s="14" t="s">
        <v>175</v>
      </c>
      <c r="K779" s="14"/>
      <c r="L779" s="14"/>
      <c r="M779" s="14" t="s">
        <v>6356</v>
      </c>
      <c r="N779" s="14"/>
      <c r="O779" s="14" t="s">
        <v>6357</v>
      </c>
      <c r="P779" s="14" t="str">
        <f>HYPERLINK("https://ceds.ed.gov/cedselementdetails.aspx?termid=17191")</f>
        <v>https://ceds.ed.gov/cedselementdetails.aspx?termid=17191</v>
      </c>
      <c r="Q779" s="14" t="str">
        <f>HYPERLINK("https://ceds.ed.gov/elementComment.aspx?elementName=Name of Institution &amp;elementID=17191", "Click here to submit comment")</f>
        <v>Click here to submit comment</v>
      </c>
      <c r="R779" s="14">
        <v>47831</v>
      </c>
    </row>
    <row r="780" spans="1:18" ht="90" x14ac:dyDescent="0.25">
      <c r="A780" s="14" t="s">
        <v>8732</v>
      </c>
      <c r="B780" s="14" t="s">
        <v>8735</v>
      </c>
      <c r="C780" s="14" t="s">
        <v>8533</v>
      </c>
      <c r="D780" s="14" t="s">
        <v>8531</v>
      </c>
      <c r="E780" s="14" t="s">
        <v>7766</v>
      </c>
      <c r="F780" s="14" t="s">
        <v>7767</v>
      </c>
      <c r="G780" s="14" t="s">
        <v>37</v>
      </c>
      <c r="H780" s="14"/>
      <c r="I780" s="14"/>
      <c r="J780" s="14" t="s">
        <v>97</v>
      </c>
      <c r="K780" s="14"/>
      <c r="L780" s="14" t="s">
        <v>7769</v>
      </c>
      <c r="M780" s="14" t="s">
        <v>7770</v>
      </c>
      <c r="N780" s="14"/>
      <c r="O780" s="14" t="s">
        <v>7771</v>
      </c>
      <c r="P780" s="14" t="str">
        <f>HYPERLINK("https://ceds.ed.gov/cedselementdetails.aspx?termid=18459")</f>
        <v>https://ceds.ed.gov/cedselementdetails.aspx?termid=18459</v>
      </c>
      <c r="Q780" s="14" t="str">
        <f>HYPERLINK("https://ceds.ed.gov/elementComment.aspx?elementName=Short Name of Institution &amp;elementID=18459", "Click here to submit comment")</f>
        <v>Click here to submit comment</v>
      </c>
      <c r="R780" s="14">
        <v>50423</v>
      </c>
    </row>
    <row r="781" spans="1:18" ht="409.5" x14ac:dyDescent="0.25">
      <c r="A781" s="14" t="s">
        <v>8732</v>
      </c>
      <c r="B781" s="14" t="s">
        <v>8735</v>
      </c>
      <c r="C781" s="14" t="s">
        <v>8533</v>
      </c>
      <c r="D781" s="14" t="s">
        <v>8531</v>
      </c>
      <c r="E781" s="14" t="s">
        <v>6571</v>
      </c>
      <c r="F781" s="14" t="s">
        <v>6572</v>
      </c>
      <c r="G781" s="8" t="s">
        <v>8535</v>
      </c>
      <c r="H781" s="14"/>
      <c r="I781" s="14" t="s">
        <v>195</v>
      </c>
      <c r="J781" s="14"/>
      <c r="K781" s="14" t="s">
        <v>6574</v>
      </c>
      <c r="L781" s="14" t="s">
        <v>6575</v>
      </c>
      <c r="M781" s="14" t="s">
        <v>6576</v>
      </c>
      <c r="N781" s="14"/>
      <c r="O781" s="14" t="s">
        <v>6577</v>
      </c>
      <c r="P781" s="14" t="str">
        <f>HYPERLINK("https://ceds.ed.gov/cedselementdetails.aspx?termid=18165")</f>
        <v>https://ceds.ed.gov/cedselementdetails.aspx?termid=18165</v>
      </c>
      <c r="Q781" s="14" t="str">
        <f>HYPERLINK("https://ceds.ed.gov/elementComment.aspx?elementName=Organization Type &amp;elementID=18165", "Click here to submit comment")</f>
        <v>Click here to submit comment</v>
      </c>
      <c r="R781" s="14">
        <v>48809</v>
      </c>
    </row>
    <row r="782" spans="1:18" ht="75" x14ac:dyDescent="0.25">
      <c r="A782" s="14" t="s">
        <v>8732</v>
      </c>
      <c r="B782" s="14" t="s">
        <v>8735</v>
      </c>
      <c r="C782" s="14" t="s">
        <v>8533</v>
      </c>
      <c r="D782" s="14" t="s">
        <v>8531</v>
      </c>
      <c r="E782" s="14" t="s">
        <v>6561</v>
      </c>
      <c r="F782" s="14" t="s">
        <v>6562</v>
      </c>
      <c r="G782" s="8" t="s">
        <v>8537</v>
      </c>
      <c r="H782" s="14"/>
      <c r="I782" s="14" t="s">
        <v>195</v>
      </c>
      <c r="J782" s="14"/>
      <c r="K782" s="14" t="s">
        <v>2266</v>
      </c>
      <c r="L782" s="14"/>
      <c r="M782" s="14" t="s">
        <v>6565</v>
      </c>
      <c r="N782" s="14"/>
      <c r="O782" s="14" t="s">
        <v>6566</v>
      </c>
      <c r="P782" s="14" t="str">
        <f>HYPERLINK("https://ceds.ed.gov/cedselementdetails.aspx?termid=18886")</f>
        <v>https://ceds.ed.gov/cedselementdetails.aspx?termid=18886</v>
      </c>
      <c r="Q782" s="14" t="str">
        <f>HYPERLINK("https://ceds.ed.gov/elementComment.aspx?elementName=Organization Relationship Type &amp;elementID=18886", "Click here to submit comment")</f>
        <v>Click here to submit comment</v>
      </c>
      <c r="R782" s="14">
        <v>52146</v>
      </c>
    </row>
    <row r="783" spans="1:18" ht="90" x14ac:dyDescent="0.25">
      <c r="A783" s="14" t="s">
        <v>8732</v>
      </c>
      <c r="B783" s="14" t="s">
        <v>8735</v>
      </c>
      <c r="C783" s="14" t="s">
        <v>8538</v>
      </c>
      <c r="D783" s="14" t="s">
        <v>8531</v>
      </c>
      <c r="E783" s="14" t="s">
        <v>226</v>
      </c>
      <c r="F783" s="14" t="s">
        <v>227</v>
      </c>
      <c r="G783" s="8" t="s">
        <v>8539</v>
      </c>
      <c r="H783" s="14" t="s">
        <v>72</v>
      </c>
      <c r="I783" s="14"/>
      <c r="J783" s="14" t="s">
        <v>97</v>
      </c>
      <c r="K783" s="14"/>
      <c r="L783" s="14"/>
      <c r="M783" s="14" t="s">
        <v>230</v>
      </c>
      <c r="N783" s="14"/>
      <c r="O783" s="14" t="s">
        <v>231</v>
      </c>
      <c r="P783" s="14" t="str">
        <f>HYPERLINK("https://ceds.ed.gov/cedselementdetails.aspx?termid=17644")</f>
        <v>https://ceds.ed.gov/cedselementdetails.aspx?termid=17644</v>
      </c>
      <c r="Q783" s="14" t="str">
        <f>HYPERLINK("https://ceds.ed.gov/elementComment.aspx?elementName=Address Type for Organization &amp;elementID=17644", "Click here to submit comment")</f>
        <v>Click here to submit comment</v>
      </c>
      <c r="R783" s="14">
        <v>47880</v>
      </c>
    </row>
    <row r="784" spans="1:18" ht="225" x14ac:dyDescent="0.25">
      <c r="A784" s="14" t="s">
        <v>8732</v>
      </c>
      <c r="B784" s="14" t="s">
        <v>8735</v>
      </c>
      <c r="C784" s="14" t="s">
        <v>8538</v>
      </c>
      <c r="D784" s="14" t="s">
        <v>8531</v>
      </c>
      <c r="E784" s="14" t="s">
        <v>214</v>
      </c>
      <c r="F784" s="14" t="s">
        <v>215</v>
      </c>
      <c r="G784" s="14" t="s">
        <v>37</v>
      </c>
      <c r="H784" s="14" t="s">
        <v>199</v>
      </c>
      <c r="I784" s="14" t="s">
        <v>195</v>
      </c>
      <c r="J784" s="14" t="s">
        <v>216</v>
      </c>
      <c r="K784" s="14" t="s">
        <v>196</v>
      </c>
      <c r="L784" s="14"/>
      <c r="M784" s="14" t="s">
        <v>217</v>
      </c>
      <c r="N784" s="14"/>
      <c r="O784" s="14" t="s">
        <v>218</v>
      </c>
      <c r="P784" s="14" t="str">
        <f>HYPERLINK("https://ceds.ed.gov/cedselementdetails.aspx?termid=17269")</f>
        <v>https://ceds.ed.gov/cedselementdetails.aspx?termid=17269</v>
      </c>
      <c r="Q784" s="14" t="str">
        <f>HYPERLINK("https://ceds.ed.gov/elementComment.aspx?elementName=Address Street Number and Name &amp;elementID=17269", "Click here to submit comment")</f>
        <v>Click here to submit comment</v>
      </c>
      <c r="R784" s="14">
        <v>47851</v>
      </c>
    </row>
    <row r="785" spans="1:18" ht="225" x14ac:dyDescent="0.25">
      <c r="A785" s="14" t="s">
        <v>8732</v>
      </c>
      <c r="B785" s="14" t="s">
        <v>8735</v>
      </c>
      <c r="C785" s="14" t="s">
        <v>8538</v>
      </c>
      <c r="D785" s="14" t="s">
        <v>8531</v>
      </c>
      <c r="E785" s="14" t="s">
        <v>192</v>
      </c>
      <c r="F785" s="14" t="s">
        <v>193</v>
      </c>
      <c r="G785" s="14" t="s">
        <v>37</v>
      </c>
      <c r="H785" s="14" t="s">
        <v>199</v>
      </c>
      <c r="I785" s="14" t="s">
        <v>195</v>
      </c>
      <c r="J785" s="14" t="s">
        <v>175</v>
      </c>
      <c r="K785" s="14" t="s">
        <v>196</v>
      </c>
      <c r="L785" s="14"/>
      <c r="M785" s="14" t="s">
        <v>197</v>
      </c>
      <c r="N785" s="14"/>
      <c r="O785" s="14" t="s">
        <v>198</v>
      </c>
      <c r="P785" s="14" t="str">
        <f>HYPERLINK("https://ceds.ed.gov/cedselementdetails.aspx?termid=17019")</f>
        <v>https://ceds.ed.gov/cedselementdetails.aspx?termid=17019</v>
      </c>
      <c r="Q785" s="14" t="str">
        <f>HYPERLINK("https://ceds.ed.gov/elementComment.aspx?elementName=Address Apartment Room or Suite Number &amp;elementID=17019", "Click here to submit comment")</f>
        <v>Click here to submit comment</v>
      </c>
      <c r="R785" s="14">
        <v>49145</v>
      </c>
    </row>
    <row r="786" spans="1:18" ht="225" x14ac:dyDescent="0.25">
      <c r="A786" s="14" t="s">
        <v>8732</v>
      </c>
      <c r="B786" s="14" t="s">
        <v>8735</v>
      </c>
      <c r="C786" s="14" t="s">
        <v>8538</v>
      </c>
      <c r="D786" s="14" t="s">
        <v>8531</v>
      </c>
      <c r="E786" s="14" t="s">
        <v>200</v>
      </c>
      <c r="F786" s="14" t="s">
        <v>201</v>
      </c>
      <c r="G786" s="14" t="s">
        <v>37</v>
      </c>
      <c r="H786" s="14" t="s">
        <v>199</v>
      </c>
      <c r="I786" s="14"/>
      <c r="J786" s="14" t="s">
        <v>97</v>
      </c>
      <c r="K786" s="14"/>
      <c r="L786" s="14"/>
      <c r="M786" s="14" t="s">
        <v>202</v>
      </c>
      <c r="N786" s="14"/>
      <c r="O786" s="14" t="s">
        <v>203</v>
      </c>
      <c r="P786" s="14" t="str">
        <f>HYPERLINK("https://ceds.ed.gov/cedselementdetails.aspx?termid=17040")</f>
        <v>https://ceds.ed.gov/cedselementdetails.aspx?termid=17040</v>
      </c>
      <c r="Q786" s="14" t="str">
        <f>HYPERLINK("https://ceds.ed.gov/elementComment.aspx?elementName=Address City &amp;elementID=17040", "Click here to submit comment")</f>
        <v>Click here to submit comment</v>
      </c>
      <c r="R786" s="14">
        <v>47818</v>
      </c>
    </row>
    <row r="787" spans="1:18" ht="409.5" x14ac:dyDescent="0.25">
      <c r="A787" s="14" t="s">
        <v>8732</v>
      </c>
      <c r="B787" s="14" t="s">
        <v>8735</v>
      </c>
      <c r="C787" s="14" t="s">
        <v>8538</v>
      </c>
      <c r="D787" s="14" t="s">
        <v>8531</v>
      </c>
      <c r="E787" s="14" t="s">
        <v>7960</v>
      </c>
      <c r="F787" s="14" t="s">
        <v>7961</v>
      </c>
      <c r="G787" s="8" t="s">
        <v>8540</v>
      </c>
      <c r="H787" s="14" t="s">
        <v>7964</v>
      </c>
      <c r="I787" s="14"/>
      <c r="J787" s="14"/>
      <c r="K787" s="14"/>
      <c r="L787" s="14"/>
      <c r="M787" s="14" t="s">
        <v>7962</v>
      </c>
      <c r="N787" s="14"/>
      <c r="O787" s="14" t="s">
        <v>7963</v>
      </c>
      <c r="P787" s="14" t="str">
        <f>HYPERLINK("https://ceds.ed.gov/cedselementdetails.aspx?termid=17267")</f>
        <v>https://ceds.ed.gov/cedselementdetails.aspx?termid=17267</v>
      </c>
      <c r="Q787" s="14" t="str">
        <f>HYPERLINK("https://ceds.ed.gov/elementComment.aspx?elementName=State Abbreviation &amp;elementID=17267", "Click here to submit comment")</f>
        <v>Click here to submit comment</v>
      </c>
      <c r="R787" s="14">
        <v>47850</v>
      </c>
    </row>
    <row r="788" spans="1:18" ht="225" x14ac:dyDescent="0.25">
      <c r="A788" s="14" t="s">
        <v>8732</v>
      </c>
      <c r="B788" s="14" t="s">
        <v>8735</v>
      </c>
      <c r="C788" s="14" t="s">
        <v>8538</v>
      </c>
      <c r="D788" s="14" t="s">
        <v>8531</v>
      </c>
      <c r="E788" s="14" t="s">
        <v>209</v>
      </c>
      <c r="F788" s="14" t="s">
        <v>210</v>
      </c>
      <c r="G788" s="14" t="s">
        <v>37</v>
      </c>
      <c r="H788" s="14" t="s">
        <v>199</v>
      </c>
      <c r="I788" s="14"/>
      <c r="J788" s="14" t="s">
        <v>211</v>
      </c>
      <c r="K788" s="14"/>
      <c r="L788" s="14"/>
      <c r="M788" s="14" t="s">
        <v>212</v>
      </c>
      <c r="N788" s="14"/>
      <c r="O788" s="14" t="s">
        <v>213</v>
      </c>
      <c r="P788" s="14" t="str">
        <f>HYPERLINK("https://ceds.ed.gov/cedselementdetails.aspx?termid=17214")</f>
        <v>https://ceds.ed.gov/cedselementdetails.aspx?termid=17214</v>
      </c>
      <c r="Q788" s="14" t="str">
        <f>HYPERLINK("https://ceds.ed.gov/elementComment.aspx?elementName=Address Postal Code &amp;elementID=17214", "Click here to submit comment")</f>
        <v>Click here to submit comment</v>
      </c>
      <c r="R788" s="14">
        <v>47836</v>
      </c>
    </row>
    <row r="789" spans="1:18" ht="225" x14ac:dyDescent="0.25">
      <c r="A789" s="14" t="s">
        <v>8732</v>
      </c>
      <c r="B789" s="14" t="s">
        <v>8735</v>
      </c>
      <c r="C789" s="14" t="s">
        <v>8538</v>
      </c>
      <c r="D789" s="14" t="s">
        <v>8531</v>
      </c>
      <c r="E789" s="14" t="s">
        <v>204</v>
      </c>
      <c r="F789" s="14" t="s">
        <v>205</v>
      </c>
      <c r="G789" s="14" t="s">
        <v>37</v>
      </c>
      <c r="H789" s="14" t="s">
        <v>199</v>
      </c>
      <c r="I789" s="14"/>
      <c r="J789" s="14" t="s">
        <v>97</v>
      </c>
      <c r="K789" s="14"/>
      <c r="L789" s="14"/>
      <c r="M789" s="14" t="s">
        <v>207</v>
      </c>
      <c r="N789" s="14"/>
      <c r="O789" s="14" t="s">
        <v>208</v>
      </c>
      <c r="P789" s="14" t="str">
        <f>HYPERLINK("https://ceds.ed.gov/cedselementdetails.aspx?termid=17190")</f>
        <v>https://ceds.ed.gov/cedselementdetails.aspx?termid=17190</v>
      </c>
      <c r="Q789" s="14" t="str">
        <f>HYPERLINK("https://ceds.ed.gov/elementComment.aspx?elementName=Address County Name &amp;elementID=17190", "Click here to submit comment")</f>
        <v>Click here to submit comment</v>
      </c>
      <c r="R789" s="14">
        <v>47830</v>
      </c>
    </row>
    <row r="790" spans="1:18" ht="195" x14ac:dyDescent="0.25">
      <c r="A790" s="14" t="s">
        <v>8732</v>
      </c>
      <c r="B790" s="14" t="s">
        <v>8735</v>
      </c>
      <c r="C790" s="14" t="s">
        <v>8538</v>
      </c>
      <c r="D790" s="14" t="s">
        <v>8531</v>
      </c>
      <c r="E790" s="14" t="s">
        <v>2860</v>
      </c>
      <c r="F790" s="14" t="s">
        <v>2861</v>
      </c>
      <c r="G790" s="14" t="s">
        <v>37</v>
      </c>
      <c r="H790" s="14"/>
      <c r="I790" s="14" t="s">
        <v>195</v>
      </c>
      <c r="J790" s="14" t="s">
        <v>2863</v>
      </c>
      <c r="K790" s="14" t="s">
        <v>2864</v>
      </c>
      <c r="L790" s="14"/>
      <c r="M790" s="14" t="s">
        <v>2865</v>
      </c>
      <c r="N790" s="14"/>
      <c r="O790" s="14" t="s">
        <v>2866</v>
      </c>
      <c r="P790" s="14" t="str">
        <f>HYPERLINK("https://ceds.ed.gov/cedselementdetails.aspx?termid=18176")</f>
        <v>https://ceds.ed.gov/cedselementdetails.aspx?termid=18176</v>
      </c>
      <c r="Q790" s="14" t="str">
        <f>HYPERLINK("https://ceds.ed.gov/elementComment.aspx?elementName=County ANSI Code &amp;elementID=18176", "Click here to submit comment")</f>
        <v>Click here to submit comment</v>
      </c>
      <c r="R790" s="14">
        <v>47820</v>
      </c>
    </row>
    <row r="791" spans="1:18" ht="45" x14ac:dyDescent="0.25">
      <c r="A791" s="14" t="s">
        <v>8732</v>
      </c>
      <c r="B791" s="14" t="s">
        <v>8735</v>
      </c>
      <c r="C791" s="14" t="s">
        <v>8538</v>
      </c>
      <c r="D791" s="14" t="s">
        <v>8531</v>
      </c>
      <c r="E791" s="14" t="s">
        <v>2039</v>
      </c>
      <c r="F791" s="14" t="s">
        <v>2040</v>
      </c>
      <c r="G791" s="14" t="s">
        <v>37</v>
      </c>
      <c r="H791" s="14"/>
      <c r="I791" s="14" t="s">
        <v>195</v>
      </c>
      <c r="J791" s="14" t="s">
        <v>175</v>
      </c>
      <c r="K791" s="14" t="s">
        <v>196</v>
      </c>
      <c r="L791" s="14"/>
      <c r="M791" s="14" t="s">
        <v>2042</v>
      </c>
      <c r="N791" s="14"/>
      <c r="O791" s="14" t="s">
        <v>2043</v>
      </c>
      <c r="P791" s="14" t="str">
        <f>HYPERLINK("https://ceds.ed.gov/cedselementdetails.aspx?termid=17595")</f>
        <v>https://ceds.ed.gov/cedselementdetails.aspx?termid=17595</v>
      </c>
      <c r="Q791" s="14" t="str">
        <f>HYPERLINK("https://ceds.ed.gov/elementComment.aspx?elementName=Building Site Number &amp;elementID=17595", "Click here to submit comment")</f>
        <v>Click here to submit comment</v>
      </c>
      <c r="R791" s="14">
        <v>47877</v>
      </c>
    </row>
    <row r="792" spans="1:18" ht="75" x14ac:dyDescent="0.25">
      <c r="A792" s="14" t="s">
        <v>8732</v>
      </c>
      <c r="B792" s="14" t="s">
        <v>8735</v>
      </c>
      <c r="C792" s="14" t="s">
        <v>8538</v>
      </c>
      <c r="D792" s="14" t="s">
        <v>8531</v>
      </c>
      <c r="E792" s="14" t="s">
        <v>5736</v>
      </c>
      <c r="F792" s="14" t="s">
        <v>5737</v>
      </c>
      <c r="G792" s="14" t="s">
        <v>37</v>
      </c>
      <c r="H792" s="14"/>
      <c r="I792" s="14"/>
      <c r="J792" s="14" t="s">
        <v>1307</v>
      </c>
      <c r="K792" s="14"/>
      <c r="L792" s="14"/>
      <c r="M792" s="14" t="s">
        <v>5739</v>
      </c>
      <c r="N792" s="14"/>
      <c r="O792" s="14" t="s">
        <v>5736</v>
      </c>
      <c r="P792" s="14" t="str">
        <f>HYPERLINK("https://ceds.ed.gov/cedselementdetails.aspx?termid=17599")</f>
        <v>https://ceds.ed.gov/cedselementdetails.aspx?termid=17599</v>
      </c>
      <c r="Q792" s="14" t="str">
        <f>HYPERLINK("https://ceds.ed.gov/elementComment.aspx?elementName=Latitude &amp;elementID=17599", "Click here to submit comment")</f>
        <v>Click here to submit comment</v>
      </c>
      <c r="R792" s="14">
        <v>47878</v>
      </c>
    </row>
    <row r="793" spans="1:18" ht="75" x14ac:dyDescent="0.25">
      <c r="A793" s="14" t="s">
        <v>8732</v>
      </c>
      <c r="B793" s="14" t="s">
        <v>8735</v>
      </c>
      <c r="C793" s="14" t="s">
        <v>8538</v>
      </c>
      <c r="D793" s="14" t="s">
        <v>8531</v>
      </c>
      <c r="E793" s="14" t="s">
        <v>6174</v>
      </c>
      <c r="F793" s="14" t="s">
        <v>6175</v>
      </c>
      <c r="G793" s="14" t="s">
        <v>37</v>
      </c>
      <c r="H793" s="14"/>
      <c r="I793" s="14"/>
      <c r="J793" s="14" t="s">
        <v>1307</v>
      </c>
      <c r="K793" s="14"/>
      <c r="L793" s="14"/>
      <c r="M793" s="14" t="s">
        <v>6176</v>
      </c>
      <c r="N793" s="14"/>
      <c r="O793" s="14" t="s">
        <v>6174</v>
      </c>
      <c r="P793" s="14" t="str">
        <f>HYPERLINK("https://ceds.ed.gov/cedselementdetails.aspx?termid=17600")</f>
        <v>https://ceds.ed.gov/cedselementdetails.aspx?termid=17600</v>
      </c>
      <c r="Q793" s="14" t="str">
        <f>HYPERLINK("https://ceds.ed.gov/elementComment.aspx?elementName=Longitude &amp;elementID=17600", "Click here to submit comment")</f>
        <v>Click here to submit comment</v>
      </c>
      <c r="R793" s="14">
        <v>47879</v>
      </c>
    </row>
    <row r="794" spans="1:18" ht="409.5" x14ac:dyDescent="0.25">
      <c r="A794" s="14" t="s">
        <v>8732</v>
      </c>
      <c r="B794" s="14" t="s">
        <v>8735</v>
      </c>
      <c r="C794" s="14" t="s">
        <v>8538</v>
      </c>
      <c r="D794" s="14" t="s">
        <v>8531</v>
      </c>
      <c r="E794" s="14" t="s">
        <v>7975</v>
      </c>
      <c r="F794" s="14" t="s">
        <v>7976</v>
      </c>
      <c r="G794" s="8" t="s">
        <v>8536</v>
      </c>
      <c r="H794" s="14" t="s">
        <v>7981</v>
      </c>
      <c r="I794" s="14"/>
      <c r="J794" s="14"/>
      <c r="K794" s="14"/>
      <c r="L794" s="14"/>
      <c r="M794" s="14" t="s">
        <v>7979</v>
      </c>
      <c r="N794" s="14"/>
      <c r="O794" s="14" t="s">
        <v>7980</v>
      </c>
      <c r="P794" s="14" t="str">
        <f>HYPERLINK("https://ceds.ed.gov/cedselementdetails.aspx?termid=17414")</f>
        <v>https://ceds.ed.gov/cedselementdetails.aspx?termid=17414</v>
      </c>
      <c r="Q794" s="14" t="str">
        <f>HYPERLINK("https://ceds.ed.gov/elementComment.aspx?elementName=State ANSI Code &amp;elementID=17414", "Click here to submit comment")</f>
        <v>Click here to submit comment</v>
      </c>
      <c r="R794" s="14">
        <v>52168</v>
      </c>
    </row>
    <row r="795" spans="1:18" ht="60" x14ac:dyDescent="0.25">
      <c r="A795" s="14" t="s">
        <v>8732</v>
      </c>
      <c r="B795" s="14" t="s">
        <v>8735</v>
      </c>
      <c r="C795" s="14" t="s">
        <v>8538</v>
      </c>
      <c r="D795" s="14" t="s">
        <v>8541</v>
      </c>
      <c r="E795" s="14" t="s">
        <v>3651</v>
      </c>
      <c r="F795" s="14" t="s">
        <v>3652</v>
      </c>
      <c r="G795" s="14" t="s">
        <v>3430</v>
      </c>
      <c r="H795" s="14"/>
      <c r="I795" s="14" t="s">
        <v>188</v>
      </c>
      <c r="J795" s="14"/>
      <c r="K795" s="14" t="s">
        <v>1721</v>
      </c>
      <c r="L795" s="14"/>
      <c r="M795" s="14" t="s">
        <v>3654</v>
      </c>
      <c r="N795" s="14"/>
      <c r="O795" s="14" t="s">
        <v>3655</v>
      </c>
      <c r="P795" s="14" t="str">
        <f>HYPERLINK("https://ceds.ed.gov/cedselementdetails.aspx?termid=18905")</f>
        <v>https://ceds.ed.gov/cedselementdetails.aspx?termid=18905</v>
      </c>
      <c r="Q795" s="14" t="str">
        <f>HYPERLINK("https://ceds.ed.gov/elementComment.aspx?elementName=Do Not Publish Indicator &amp;elementID=18905", "Click here to submit comment")</f>
        <v>Click here to submit comment</v>
      </c>
      <c r="R795" s="14">
        <v>52314</v>
      </c>
    </row>
    <row r="796" spans="1:18" ht="90" x14ac:dyDescent="0.25">
      <c r="A796" s="14" t="s">
        <v>8732</v>
      </c>
      <c r="B796" s="14" t="s">
        <v>8735</v>
      </c>
      <c r="C796" s="14" t="s">
        <v>8542</v>
      </c>
      <c r="D796" s="14" t="s">
        <v>8531</v>
      </c>
      <c r="E796" s="14" t="s">
        <v>8217</v>
      </c>
      <c r="F796" s="14" t="s">
        <v>8218</v>
      </c>
      <c r="G796" s="14" t="s">
        <v>37</v>
      </c>
      <c r="H796" s="14" t="s">
        <v>72</v>
      </c>
      <c r="I796" s="14"/>
      <c r="J796" s="14" t="s">
        <v>8220</v>
      </c>
      <c r="K796" s="14"/>
      <c r="L796" s="14"/>
      <c r="M796" s="14" t="s">
        <v>8221</v>
      </c>
      <c r="N796" s="14"/>
      <c r="O796" s="14" t="s">
        <v>8222</v>
      </c>
      <c r="P796" s="14" t="str">
        <f>HYPERLINK("https://ceds.ed.gov/cedselementdetails.aspx?termid=17279")</f>
        <v>https://ceds.ed.gov/cedselementdetails.aspx?termid=17279</v>
      </c>
      <c r="Q796" s="14" t="str">
        <f>HYPERLINK("https://ceds.ed.gov/elementComment.aspx?elementName=Telephone Number &amp;elementID=17279", "Click here to submit comment")</f>
        <v>Click here to submit comment</v>
      </c>
      <c r="R796" s="14">
        <v>47853</v>
      </c>
    </row>
    <row r="797" spans="1:18" ht="150" x14ac:dyDescent="0.25">
      <c r="A797" s="14" t="s">
        <v>8732</v>
      </c>
      <c r="B797" s="14" t="s">
        <v>8735</v>
      </c>
      <c r="C797" s="14" t="s">
        <v>8542</v>
      </c>
      <c r="D797" s="14" t="s">
        <v>8531</v>
      </c>
      <c r="E797" s="14" t="s">
        <v>5485</v>
      </c>
      <c r="F797" s="14" t="s">
        <v>5486</v>
      </c>
      <c r="G797" s="8" t="s">
        <v>8543</v>
      </c>
      <c r="H797" s="14"/>
      <c r="I797" s="14"/>
      <c r="J797" s="14"/>
      <c r="K797" s="14"/>
      <c r="L797" s="14"/>
      <c r="M797" s="14" t="s">
        <v>5489</v>
      </c>
      <c r="N797" s="14"/>
      <c r="O797" s="14" t="s">
        <v>5490</v>
      </c>
      <c r="P797" s="14" t="str">
        <f>HYPERLINK("https://ceds.ed.gov/cedselementdetails.aspx?termid=17167")</f>
        <v>https://ceds.ed.gov/cedselementdetails.aspx?termid=17167</v>
      </c>
      <c r="Q797" s="14" t="str">
        <f>HYPERLINK("https://ceds.ed.gov/elementComment.aspx?elementName=Institution Telephone Number Type &amp;elementID=17167", "Click here to submit comment")</f>
        <v>Click here to submit comment</v>
      </c>
      <c r="R797" s="14">
        <v>47828</v>
      </c>
    </row>
    <row r="798" spans="1:18" ht="90" x14ac:dyDescent="0.25">
      <c r="A798" s="14" t="s">
        <v>8732</v>
      </c>
      <c r="B798" s="14" t="s">
        <v>8735</v>
      </c>
      <c r="C798" s="14" t="s">
        <v>8542</v>
      </c>
      <c r="D798" s="14" t="s">
        <v>8531</v>
      </c>
      <c r="E798" s="14" t="s">
        <v>6865</v>
      </c>
      <c r="F798" s="14" t="s">
        <v>6866</v>
      </c>
      <c r="G798" s="14" t="s">
        <v>24</v>
      </c>
      <c r="H798" s="14" t="s">
        <v>72</v>
      </c>
      <c r="I798" s="14"/>
      <c r="J798" s="14"/>
      <c r="K798" s="14"/>
      <c r="L798" s="14"/>
      <c r="M798" s="14" t="s">
        <v>6868</v>
      </c>
      <c r="N798" s="14"/>
      <c r="O798" s="14" t="s">
        <v>6869</v>
      </c>
      <c r="P798" s="14" t="str">
        <f>HYPERLINK("https://ceds.ed.gov/cedselementdetails.aspx?termid=17219")</f>
        <v>https://ceds.ed.gov/cedselementdetails.aspx?termid=17219</v>
      </c>
      <c r="Q798" s="14" t="str">
        <f>HYPERLINK("https://ceds.ed.gov/elementComment.aspx?elementName=Primary Telephone Number Indicator &amp;elementID=17219", "Click here to submit comment")</f>
        <v>Click here to submit comment</v>
      </c>
      <c r="R798" s="14">
        <v>47837</v>
      </c>
    </row>
    <row r="799" spans="1:18" ht="60" x14ac:dyDescent="0.25">
      <c r="A799" s="14" t="s">
        <v>8732</v>
      </c>
      <c r="B799" s="14" t="s">
        <v>8735</v>
      </c>
      <c r="C799" s="14" t="s">
        <v>8542</v>
      </c>
      <c r="D799" s="14" t="s">
        <v>8541</v>
      </c>
      <c r="E799" s="14" t="s">
        <v>3651</v>
      </c>
      <c r="F799" s="14" t="s">
        <v>3652</v>
      </c>
      <c r="G799" s="14" t="s">
        <v>3430</v>
      </c>
      <c r="H799" s="14"/>
      <c r="I799" s="14" t="s">
        <v>188</v>
      </c>
      <c r="J799" s="14"/>
      <c r="K799" s="14" t="s">
        <v>1721</v>
      </c>
      <c r="L799" s="14"/>
      <c r="M799" s="14" t="s">
        <v>3654</v>
      </c>
      <c r="N799" s="14"/>
      <c r="O799" s="14" t="s">
        <v>3655</v>
      </c>
      <c r="P799" s="14" t="str">
        <f>HYPERLINK("https://ceds.ed.gov/cedselementdetails.aspx?termid=18905")</f>
        <v>https://ceds.ed.gov/cedselementdetails.aspx?termid=18905</v>
      </c>
      <c r="Q799" s="14" t="str">
        <f>HYPERLINK("https://ceds.ed.gov/elementComment.aspx?elementName=Do Not Publish Indicator &amp;elementID=18905", "Click here to submit comment")</f>
        <v>Click here to submit comment</v>
      </c>
      <c r="R799" s="14">
        <v>52316</v>
      </c>
    </row>
    <row r="800" spans="1:18" ht="60" x14ac:dyDescent="0.25">
      <c r="A800" s="14" t="s">
        <v>8732</v>
      </c>
      <c r="B800" s="14" t="s">
        <v>8735</v>
      </c>
      <c r="C800" s="14" t="s">
        <v>8542</v>
      </c>
      <c r="D800" s="14" t="s">
        <v>8541</v>
      </c>
      <c r="E800" s="14" t="s">
        <v>8223</v>
      </c>
      <c r="F800" s="14" t="s">
        <v>8224</v>
      </c>
      <c r="G800" s="8" t="s">
        <v>8544</v>
      </c>
      <c r="H800" s="14"/>
      <c r="I800" s="14" t="s">
        <v>188</v>
      </c>
      <c r="J800" s="14"/>
      <c r="K800" s="14" t="s">
        <v>1721</v>
      </c>
      <c r="L800" s="14"/>
      <c r="M800" s="14" t="s">
        <v>8227</v>
      </c>
      <c r="N800" s="14"/>
      <c r="O800" s="14" t="s">
        <v>8228</v>
      </c>
      <c r="P800" s="14" t="str">
        <f>HYPERLINK("https://ceds.ed.gov/cedselementdetails.aspx?termid=18911")</f>
        <v>https://ceds.ed.gov/cedselementdetails.aspx?termid=18911</v>
      </c>
      <c r="Q800" s="14" t="str">
        <f>HYPERLINK("https://ceds.ed.gov/elementComment.aspx?elementName=Telephone Number Listed Status &amp;elementID=18911", "Click here to submit comment")</f>
        <v>Click here to submit comment</v>
      </c>
      <c r="R800" s="14">
        <v>52317</v>
      </c>
    </row>
    <row r="801" spans="1:18" ht="120" x14ac:dyDescent="0.25">
      <c r="A801" s="14" t="s">
        <v>8732</v>
      </c>
      <c r="B801" s="14" t="s">
        <v>8735</v>
      </c>
      <c r="C801" s="14" t="s">
        <v>8560</v>
      </c>
      <c r="D801" s="14" t="s">
        <v>8531</v>
      </c>
      <c r="E801" s="14" t="s">
        <v>7644</v>
      </c>
      <c r="F801" s="14" t="s">
        <v>7645</v>
      </c>
      <c r="G801" s="8" t="s">
        <v>8737</v>
      </c>
      <c r="H801" s="14" t="s">
        <v>72</v>
      </c>
      <c r="I801" s="14"/>
      <c r="J801" s="14"/>
      <c r="K801" s="14"/>
      <c r="L801" s="14"/>
      <c r="M801" s="14" t="s">
        <v>7647</v>
      </c>
      <c r="N801" s="14"/>
      <c r="O801" s="14" t="s">
        <v>7648</v>
      </c>
      <c r="P801" s="14" t="str">
        <f>HYPERLINK("https://ceds.ed.gov/cedselementdetails.aspx?termid=17242")</f>
        <v>https://ceds.ed.gov/cedselementdetails.aspx?termid=17242</v>
      </c>
      <c r="Q801" s="14" t="str">
        <f>HYPERLINK("https://ceds.ed.gov/elementComment.aspx?elementName=School Type &amp;elementID=17242", "Click here to submit comment")</f>
        <v>Click here to submit comment</v>
      </c>
      <c r="R801" s="14">
        <v>47846</v>
      </c>
    </row>
    <row r="802" spans="1:18" ht="225" x14ac:dyDescent="0.25">
      <c r="A802" s="14" t="s">
        <v>8732</v>
      </c>
      <c r="B802" s="14" t="s">
        <v>8735</v>
      </c>
      <c r="C802" s="14" t="s">
        <v>8560</v>
      </c>
      <c r="D802" s="14" t="s">
        <v>8531</v>
      </c>
      <c r="E802" s="14" t="s">
        <v>7634</v>
      </c>
      <c r="F802" s="14" t="s">
        <v>7635</v>
      </c>
      <c r="G802" s="8" t="s">
        <v>8738</v>
      </c>
      <c r="H802" s="14"/>
      <c r="I802" s="14"/>
      <c r="J802" s="14"/>
      <c r="K802" s="14"/>
      <c r="L802" s="14"/>
      <c r="M802" s="14" t="s">
        <v>7637</v>
      </c>
      <c r="N802" s="14"/>
      <c r="O802" s="14" t="s">
        <v>7638</v>
      </c>
      <c r="P802" s="14" t="str">
        <f>HYPERLINK("https://ceds.ed.gov/cedselementdetails.aspx?termid=17241")</f>
        <v>https://ceds.ed.gov/cedselementdetails.aspx?termid=17241</v>
      </c>
      <c r="Q802" s="14" t="str">
        <f>HYPERLINK("https://ceds.ed.gov/elementComment.aspx?elementName=School Level &amp;elementID=17241", "Click here to submit comment")</f>
        <v>Click here to submit comment</v>
      </c>
      <c r="R802" s="14">
        <v>47845</v>
      </c>
    </row>
    <row r="803" spans="1:18" ht="135" x14ac:dyDescent="0.25">
      <c r="A803" s="14" t="s">
        <v>8732</v>
      </c>
      <c r="B803" s="14" t="s">
        <v>8735</v>
      </c>
      <c r="C803" s="14" t="s">
        <v>8560</v>
      </c>
      <c r="D803" s="14" t="s">
        <v>8531</v>
      </c>
      <c r="E803" s="14" t="s">
        <v>6181</v>
      </c>
      <c r="F803" s="14" t="s">
        <v>6182</v>
      </c>
      <c r="G803" s="8" t="s">
        <v>8739</v>
      </c>
      <c r="H803" s="14" t="s">
        <v>72</v>
      </c>
      <c r="I803" s="14"/>
      <c r="J803" s="14"/>
      <c r="K803" s="14"/>
      <c r="L803" s="14"/>
      <c r="M803" s="14" t="s">
        <v>6184</v>
      </c>
      <c r="N803" s="14"/>
      <c r="O803" s="14" t="s">
        <v>6185</v>
      </c>
      <c r="P803" s="14" t="str">
        <f>HYPERLINK("https://ceds.ed.gov/cedselementdetails.aspx?termid=17181")</f>
        <v>https://ceds.ed.gov/cedselementdetails.aspx?termid=17181</v>
      </c>
      <c r="Q803" s="14" t="str">
        <f>HYPERLINK("https://ceds.ed.gov/elementComment.aspx?elementName=Magnet or Special Program Emphasis School &amp;elementID=17181", "Click here to submit comment")</f>
        <v>Click here to submit comment</v>
      </c>
      <c r="R803" s="14">
        <v>47829</v>
      </c>
    </row>
    <row r="804" spans="1:18" ht="390" x14ac:dyDescent="0.25">
      <c r="A804" s="14" t="s">
        <v>8732</v>
      </c>
      <c r="B804" s="14" t="s">
        <v>8735</v>
      </c>
      <c r="C804" s="14" t="s">
        <v>8560</v>
      </c>
      <c r="D804" s="14" t="s">
        <v>8531</v>
      </c>
      <c r="E804" s="14" t="s">
        <v>4884</v>
      </c>
      <c r="F804" s="14" t="s">
        <v>4885</v>
      </c>
      <c r="G804" s="8" t="s">
        <v>8740</v>
      </c>
      <c r="H804" s="14" t="s">
        <v>72</v>
      </c>
      <c r="I804" s="14" t="s">
        <v>195</v>
      </c>
      <c r="J804" s="14"/>
      <c r="K804" s="14" t="s">
        <v>4887</v>
      </c>
      <c r="L804" s="14"/>
      <c r="M804" s="14" t="s">
        <v>4888</v>
      </c>
      <c r="N804" s="14"/>
      <c r="O804" s="14" t="s">
        <v>4889</v>
      </c>
      <c r="P804" s="14" t="str">
        <f>HYPERLINK("https://ceds.ed.gov/cedselementdetails.aspx?termid=17131")</f>
        <v>https://ceds.ed.gov/cedselementdetails.aspx?termid=17131</v>
      </c>
      <c r="Q804" s="14" t="str">
        <f>HYPERLINK("https://ceds.ed.gov/elementComment.aspx?elementName=Grades Offered &amp;elementID=17131", "Click here to submit comment")</f>
        <v>Click here to submit comment</v>
      </c>
      <c r="R804" s="14">
        <v>47822</v>
      </c>
    </row>
    <row r="805" spans="1:18" ht="60" x14ac:dyDescent="0.25">
      <c r="A805" s="14" t="s">
        <v>8732</v>
      </c>
      <c r="B805" s="14" t="s">
        <v>8735</v>
      </c>
      <c r="C805" s="14" t="s">
        <v>8560</v>
      </c>
      <c r="D805" s="14" t="s">
        <v>8531</v>
      </c>
      <c r="E805" s="14" t="s">
        <v>259</v>
      </c>
      <c r="F805" s="14" t="s">
        <v>260</v>
      </c>
      <c r="G805" s="8" t="s">
        <v>8741</v>
      </c>
      <c r="H805" s="14"/>
      <c r="I805" s="14"/>
      <c r="J805" s="14"/>
      <c r="K805" s="14"/>
      <c r="L805" s="14"/>
      <c r="M805" s="14" t="s">
        <v>263</v>
      </c>
      <c r="N805" s="14"/>
      <c r="O805" s="14" t="s">
        <v>264</v>
      </c>
      <c r="P805" s="14" t="str">
        <f>HYPERLINK("https://ceds.ed.gov/cedselementdetails.aspx?termid=17012")</f>
        <v>https://ceds.ed.gov/cedselementdetails.aspx?termid=17012</v>
      </c>
      <c r="Q805" s="14" t="str">
        <f>HYPERLINK("https://ceds.ed.gov/elementComment.aspx?elementName=Administrative Funding Control &amp;elementID=17012", "Click here to submit comment")</f>
        <v>Click here to submit comment</v>
      </c>
      <c r="R805" s="14">
        <v>47813</v>
      </c>
    </row>
    <row r="806" spans="1:18" ht="135" x14ac:dyDescent="0.25">
      <c r="A806" s="14" t="s">
        <v>8732</v>
      </c>
      <c r="B806" s="14" t="s">
        <v>8735</v>
      </c>
      <c r="C806" s="14" t="s">
        <v>8560</v>
      </c>
      <c r="D806" s="14" t="s">
        <v>8531</v>
      </c>
      <c r="E806" s="14" t="s">
        <v>7639</v>
      </c>
      <c r="F806" s="14" t="s">
        <v>7640</v>
      </c>
      <c r="G806" s="8" t="s">
        <v>8742</v>
      </c>
      <c r="H806" s="14" t="s">
        <v>258</v>
      </c>
      <c r="I806" s="14"/>
      <c r="J806" s="14"/>
      <c r="K806" s="14"/>
      <c r="L806" s="14"/>
      <c r="M806" s="14" t="s">
        <v>7642</v>
      </c>
      <c r="N806" s="14"/>
      <c r="O806" s="14" t="s">
        <v>7643</v>
      </c>
      <c r="P806" s="14" t="str">
        <f>HYPERLINK("https://ceds.ed.gov/cedselementdetails.aspx?termid=17524")</f>
        <v>https://ceds.ed.gov/cedselementdetails.aspx?termid=17524</v>
      </c>
      <c r="Q806" s="14" t="str">
        <f>HYPERLINK("https://ceds.ed.gov/elementComment.aspx?elementName=School Operational Status &amp;elementID=17524", "Click here to submit comment")</f>
        <v>Click here to submit comment</v>
      </c>
      <c r="R806" s="14">
        <v>47868</v>
      </c>
    </row>
    <row r="807" spans="1:18" ht="45" x14ac:dyDescent="0.25">
      <c r="A807" s="14" t="s">
        <v>8732</v>
      </c>
      <c r="B807" s="14" t="s">
        <v>8735</v>
      </c>
      <c r="C807" s="14" t="s">
        <v>8560</v>
      </c>
      <c r="D807" s="14" t="s">
        <v>8531</v>
      </c>
      <c r="E807" s="14" t="s">
        <v>6512</v>
      </c>
      <c r="F807" s="14" t="s">
        <v>6513</v>
      </c>
      <c r="G807" s="14" t="s">
        <v>37</v>
      </c>
      <c r="H807" s="14" t="s">
        <v>258</v>
      </c>
      <c r="I807" s="14"/>
      <c r="J807" s="14" t="s">
        <v>135</v>
      </c>
      <c r="K807" s="14"/>
      <c r="L807" s="14"/>
      <c r="M807" s="14" t="s">
        <v>6514</v>
      </c>
      <c r="N807" s="14"/>
      <c r="O807" s="14" t="s">
        <v>6515</v>
      </c>
      <c r="P807" s="14" t="str">
        <f>HYPERLINK("https://ceds.ed.gov/cedselementdetails.aspx?termid=17525")</f>
        <v>https://ceds.ed.gov/cedselementdetails.aspx?termid=17525</v>
      </c>
      <c r="Q807" s="14" t="str">
        <f>HYPERLINK("https://ceds.ed.gov/elementComment.aspx?elementName=Operational Status Effective Date &amp;elementID=17525", "Click here to submit comment")</f>
        <v>Click here to submit comment</v>
      </c>
      <c r="R807" s="14">
        <v>47869</v>
      </c>
    </row>
    <row r="808" spans="1:18" ht="105" x14ac:dyDescent="0.25">
      <c r="A808" s="14" t="s">
        <v>8732</v>
      </c>
      <c r="B808" s="14" t="s">
        <v>8735</v>
      </c>
      <c r="C808" s="14" t="s">
        <v>8560</v>
      </c>
      <c r="D808" s="14" t="s">
        <v>8531</v>
      </c>
      <c r="E808" s="14" t="s">
        <v>7629</v>
      </c>
      <c r="F808" s="14" t="s">
        <v>7630</v>
      </c>
      <c r="G808" s="8" t="s">
        <v>8743</v>
      </c>
      <c r="H808" s="14" t="s">
        <v>258</v>
      </c>
      <c r="I808" s="14"/>
      <c r="J808" s="14"/>
      <c r="K808" s="14"/>
      <c r="L808" s="14"/>
      <c r="M808" s="14" t="s">
        <v>7632</v>
      </c>
      <c r="N808" s="14"/>
      <c r="O808" s="14" t="s">
        <v>7633</v>
      </c>
      <c r="P808" s="14" t="str">
        <f>HYPERLINK("https://ceds.ed.gov/cedselementdetails.aspx?termid=17240")</f>
        <v>https://ceds.ed.gov/cedselementdetails.aspx?termid=17240</v>
      </c>
      <c r="Q808" s="14" t="str">
        <f>HYPERLINK("https://ceds.ed.gov/elementComment.aspx?elementName=School Improvement Status &amp;elementID=17240", "Click here to submit comment")</f>
        <v>Click here to submit comment</v>
      </c>
      <c r="R808" s="14">
        <v>47844</v>
      </c>
    </row>
    <row r="809" spans="1:18" ht="409.5" x14ac:dyDescent="0.25">
      <c r="A809" s="14" t="s">
        <v>8732</v>
      </c>
      <c r="B809" s="14" t="s">
        <v>8735</v>
      </c>
      <c r="C809" s="14" t="s">
        <v>8560</v>
      </c>
      <c r="D809" s="14" t="s">
        <v>8531</v>
      </c>
      <c r="E809" s="14" t="s">
        <v>7163</v>
      </c>
      <c r="F809" s="14" t="s">
        <v>7164</v>
      </c>
      <c r="G809" s="8" t="s">
        <v>8669</v>
      </c>
      <c r="H809" s="14" t="s">
        <v>72</v>
      </c>
      <c r="I809" s="14"/>
      <c r="J809" s="14"/>
      <c r="K809" s="14"/>
      <c r="L809" s="14"/>
      <c r="M809" s="14" t="s">
        <v>7167</v>
      </c>
      <c r="N809" s="14"/>
      <c r="O809" s="14" t="s">
        <v>7168</v>
      </c>
      <c r="P809" s="14" t="str">
        <f>HYPERLINK("https://ceds.ed.gov/cedselementdetails.aspx?termid=17225")</f>
        <v>https://ceds.ed.gov/cedselementdetails.aspx?termid=17225</v>
      </c>
      <c r="Q809" s="14" t="str">
        <f>HYPERLINK("https://ceds.ed.gov/elementComment.aspx?elementName=Program Type &amp;elementID=17225", "Click here to submit comment")</f>
        <v>Click here to submit comment</v>
      </c>
      <c r="R809" s="14">
        <v>47839</v>
      </c>
    </row>
    <row r="810" spans="1:18" ht="120" x14ac:dyDescent="0.25">
      <c r="A810" s="14" t="s">
        <v>8732</v>
      </c>
      <c r="B810" s="14" t="s">
        <v>8735</v>
      </c>
      <c r="C810" s="14" t="s">
        <v>8560</v>
      </c>
      <c r="D810" s="14" t="s">
        <v>8531</v>
      </c>
      <c r="E810" s="14" t="s">
        <v>413</v>
      </c>
      <c r="F810" s="14" t="s">
        <v>414</v>
      </c>
      <c r="G810" s="8" t="s">
        <v>8744</v>
      </c>
      <c r="H810" s="14" t="s">
        <v>28</v>
      </c>
      <c r="I810" s="14"/>
      <c r="J810" s="14"/>
      <c r="K810" s="14"/>
      <c r="L810" s="14"/>
      <c r="M810" s="14" t="s">
        <v>416</v>
      </c>
      <c r="N810" s="14"/>
      <c r="O810" s="14" t="s">
        <v>417</v>
      </c>
      <c r="P810" s="14" t="str">
        <f>HYPERLINK("https://ceds.ed.gov/cedselementdetails.aspx?termid=17015")</f>
        <v>https://ceds.ed.gov/cedselementdetails.aspx?termid=17015</v>
      </c>
      <c r="Q810" s="14" t="str">
        <f>HYPERLINK("https://ceds.ed.gov/elementComment.aspx?elementName=Alternative School Focus Type &amp;elementID=17015", "Click here to submit comment")</f>
        <v>Click here to submit comment</v>
      </c>
      <c r="R810" s="14">
        <v>47815</v>
      </c>
    </row>
    <row r="811" spans="1:18" ht="60" x14ac:dyDescent="0.25">
      <c r="A811" s="14" t="s">
        <v>8732</v>
      </c>
      <c r="B811" s="14" t="s">
        <v>8735</v>
      </c>
      <c r="C811" s="14" t="s">
        <v>8560</v>
      </c>
      <c r="D811" s="14" t="s">
        <v>8531</v>
      </c>
      <c r="E811" s="14" t="s">
        <v>362</v>
      </c>
      <c r="F811" s="14" t="s">
        <v>363</v>
      </c>
      <c r="G811" s="14" t="s">
        <v>24</v>
      </c>
      <c r="H811" s="14" t="s">
        <v>28</v>
      </c>
      <c r="I811" s="14"/>
      <c r="J811" s="14"/>
      <c r="K811" s="14"/>
      <c r="L811" s="14"/>
      <c r="M811" s="14" t="s">
        <v>364</v>
      </c>
      <c r="N811" s="14" t="s">
        <v>365</v>
      </c>
      <c r="O811" s="14" t="s">
        <v>366</v>
      </c>
      <c r="P811" s="14" t="str">
        <f>HYPERLINK("https://ceds.ed.gov/cedselementdetails.aspx?termid=17017")</f>
        <v>https://ceds.ed.gov/cedselementdetails.aspx?termid=17017</v>
      </c>
      <c r="Q811" s="14" t="str">
        <f>HYPERLINK("https://ceds.ed.gov/elementComment.aspx?elementName=Advanced Placement Course Self Selection &amp;elementID=17017", "Click here to submit comment")</f>
        <v>Click here to submit comment</v>
      </c>
      <c r="R811" s="14">
        <v>47816</v>
      </c>
    </row>
    <row r="812" spans="1:18" ht="135" x14ac:dyDescent="0.25">
      <c r="A812" s="14" t="s">
        <v>8732</v>
      </c>
      <c r="B812" s="14" t="s">
        <v>8735</v>
      </c>
      <c r="C812" s="14" t="s">
        <v>8560</v>
      </c>
      <c r="D812" s="14" t="s">
        <v>8531</v>
      </c>
      <c r="E812" s="14" t="s">
        <v>2256</v>
      </c>
      <c r="F812" s="14" t="s">
        <v>2257</v>
      </c>
      <c r="G812" s="14" t="s">
        <v>24</v>
      </c>
      <c r="H812" s="14" t="s">
        <v>72</v>
      </c>
      <c r="I812" s="14"/>
      <c r="J812" s="14"/>
      <c r="K812" s="14"/>
      <c r="L812" s="14" t="s">
        <v>2259</v>
      </c>
      <c r="M812" s="14" t="s">
        <v>2260</v>
      </c>
      <c r="N812" s="14"/>
      <c r="O812" s="14" t="s">
        <v>2261</v>
      </c>
      <c r="P812" s="14" t="str">
        <f>HYPERLINK("https://ceds.ed.gov/cedselementdetails.aspx?termid=17039")</f>
        <v>https://ceds.ed.gov/cedselementdetails.aspx?termid=17039</v>
      </c>
      <c r="Q812" s="14" t="str">
        <f>HYPERLINK("https://ceds.ed.gov/elementComment.aspx?elementName=Charter School Indicator &amp;elementID=17039", "Click here to submit comment")</f>
        <v>Click here to submit comment</v>
      </c>
      <c r="R812" s="14">
        <v>47817</v>
      </c>
    </row>
    <row r="813" spans="1:18" ht="75" x14ac:dyDescent="0.25">
      <c r="A813" s="14" t="s">
        <v>8732</v>
      </c>
      <c r="B813" s="14" t="s">
        <v>8735</v>
      </c>
      <c r="C813" s="14" t="s">
        <v>8560</v>
      </c>
      <c r="D813" s="14" t="s">
        <v>8531</v>
      </c>
      <c r="E813" s="14" t="s">
        <v>2273</v>
      </c>
      <c r="F813" s="14" t="s">
        <v>2274</v>
      </c>
      <c r="G813" s="8" t="s">
        <v>8745</v>
      </c>
      <c r="H813" s="14"/>
      <c r="I813" s="14"/>
      <c r="J813" s="14"/>
      <c r="K813" s="14"/>
      <c r="L813" s="14"/>
      <c r="M813" s="14" t="s">
        <v>2276</v>
      </c>
      <c r="N813" s="14"/>
      <c r="O813" s="14" t="s">
        <v>2277</v>
      </c>
      <c r="P813" s="14" t="str">
        <f>HYPERLINK("https://ceds.ed.gov/cedselementdetails.aspx?termid=17686")</f>
        <v>https://ceds.ed.gov/cedselementdetails.aspx?termid=17686</v>
      </c>
      <c r="Q813" s="14" t="str">
        <f>HYPERLINK("https://ceds.ed.gov/elementComment.aspx?elementName=Charter School Type &amp;elementID=17686", "Click here to submit comment")</f>
        <v>Click here to submit comment</v>
      </c>
      <c r="R813" s="14">
        <v>47881</v>
      </c>
    </row>
    <row r="814" spans="1:18" ht="75" x14ac:dyDescent="0.25">
      <c r="A814" s="14" t="s">
        <v>8732</v>
      </c>
      <c r="B814" s="14" t="s">
        <v>8735</v>
      </c>
      <c r="C814" s="14" t="s">
        <v>8560</v>
      </c>
      <c r="D814" s="14" t="s">
        <v>8531</v>
      </c>
      <c r="E814" s="14" t="s">
        <v>2248</v>
      </c>
      <c r="F814" s="14" t="s">
        <v>2249</v>
      </c>
      <c r="G814" s="14" t="s">
        <v>37</v>
      </c>
      <c r="H814" s="14" t="s">
        <v>258</v>
      </c>
      <c r="I814" s="14"/>
      <c r="J814" s="14" t="s">
        <v>97</v>
      </c>
      <c r="K814" s="14"/>
      <c r="L814" s="14"/>
      <c r="M814" s="14" t="s">
        <v>2250</v>
      </c>
      <c r="N814" s="14"/>
      <c r="O814" s="14" t="s">
        <v>2251</v>
      </c>
      <c r="P814" s="14" t="str">
        <f>HYPERLINK("https://ceds.ed.gov/cedselementdetails.aspx?termid=18632")</f>
        <v>https://ceds.ed.gov/cedselementdetails.aspx?termid=18632</v>
      </c>
      <c r="Q814" s="14" t="str">
        <f>HYPERLINK("https://ceds.ed.gov/elementComment.aspx?elementName=Charter School Contract Id Number &amp;elementID=18632", "Click here to submit comment")</f>
        <v>Click here to submit comment</v>
      </c>
      <c r="R814" s="14">
        <v>51346</v>
      </c>
    </row>
    <row r="815" spans="1:18" ht="90" x14ac:dyDescent="0.25">
      <c r="A815" s="14" t="s">
        <v>8732</v>
      </c>
      <c r="B815" s="14" t="s">
        <v>8735</v>
      </c>
      <c r="C815" s="14" t="s">
        <v>8560</v>
      </c>
      <c r="D815" s="14" t="s">
        <v>8531</v>
      </c>
      <c r="E815" s="14" t="s">
        <v>2244</v>
      </c>
      <c r="F815" s="14" t="s">
        <v>2245</v>
      </c>
      <c r="G815" s="14" t="s">
        <v>37</v>
      </c>
      <c r="H815" s="14" t="s">
        <v>258</v>
      </c>
      <c r="I815" s="14"/>
      <c r="J815" s="14" t="s">
        <v>135</v>
      </c>
      <c r="K815" s="14"/>
      <c r="L815" s="14"/>
      <c r="M815" s="14" t="s">
        <v>2246</v>
      </c>
      <c r="N815" s="14"/>
      <c r="O815" s="14" t="s">
        <v>2247</v>
      </c>
      <c r="P815" s="14" t="str">
        <f>HYPERLINK("https://ceds.ed.gov/cedselementdetails.aspx?termid=18633")</f>
        <v>https://ceds.ed.gov/cedselementdetails.aspx?termid=18633</v>
      </c>
      <c r="Q815" s="14" t="str">
        <f>HYPERLINK("https://ceds.ed.gov/elementComment.aspx?elementName=Charter School Contract Approval Date &amp;elementID=18633", "Click here to submit comment")</f>
        <v>Click here to submit comment</v>
      </c>
      <c r="R815" s="14">
        <v>51347</v>
      </c>
    </row>
    <row r="816" spans="1:18" ht="45" x14ac:dyDescent="0.25">
      <c r="A816" s="14" t="s">
        <v>8732</v>
      </c>
      <c r="B816" s="14" t="s">
        <v>8735</v>
      </c>
      <c r="C816" s="14" t="s">
        <v>8560</v>
      </c>
      <c r="D816" s="14" t="s">
        <v>8531</v>
      </c>
      <c r="E816" s="14" t="s">
        <v>2233</v>
      </c>
      <c r="F816" s="14" t="s">
        <v>2234</v>
      </c>
      <c r="G816" s="14" t="s">
        <v>37</v>
      </c>
      <c r="H816" s="14"/>
      <c r="I816" s="14"/>
      <c r="J816" s="14" t="s">
        <v>91</v>
      </c>
      <c r="K816" s="14"/>
      <c r="L816" s="14"/>
      <c r="M816" s="14" t="s">
        <v>2235</v>
      </c>
      <c r="N816" s="14"/>
      <c r="O816" s="14" t="s">
        <v>2236</v>
      </c>
      <c r="P816" s="14" t="str">
        <f>HYPERLINK("https://ceds.ed.gov/cedselementdetails.aspx?termid=18259")</f>
        <v>https://ceds.ed.gov/cedselementdetails.aspx?termid=18259</v>
      </c>
      <c r="Q816" s="14" t="str">
        <f>HYPERLINK("https://ceds.ed.gov/elementComment.aspx?elementName=Charter School Approval Year &amp;elementID=18259", "Click here to submit comment")</f>
        <v>Click here to submit comment</v>
      </c>
      <c r="R816" s="14">
        <v>50087</v>
      </c>
    </row>
    <row r="817" spans="1:18" ht="90" x14ac:dyDescent="0.25">
      <c r="A817" s="14" t="s">
        <v>8732</v>
      </c>
      <c r="B817" s="14" t="s">
        <v>8735</v>
      </c>
      <c r="C817" s="14" t="s">
        <v>8560</v>
      </c>
      <c r="D817" s="14" t="s">
        <v>8531</v>
      </c>
      <c r="E817" s="14" t="s">
        <v>2252</v>
      </c>
      <c r="F817" s="14" t="s">
        <v>2253</v>
      </c>
      <c r="G817" s="14" t="s">
        <v>37</v>
      </c>
      <c r="H817" s="14" t="s">
        <v>258</v>
      </c>
      <c r="I817" s="14"/>
      <c r="J817" s="14" t="s">
        <v>135</v>
      </c>
      <c r="K817" s="14"/>
      <c r="L817" s="14"/>
      <c r="M817" s="14" t="s">
        <v>2254</v>
      </c>
      <c r="N817" s="14"/>
      <c r="O817" s="14" t="s">
        <v>2255</v>
      </c>
      <c r="P817" s="14" t="str">
        <f>HYPERLINK("https://ceds.ed.gov/cedselementdetails.aspx?termid=18634")</f>
        <v>https://ceds.ed.gov/cedselementdetails.aspx?termid=18634</v>
      </c>
      <c r="Q817" s="14" t="str">
        <f>HYPERLINK("https://ceds.ed.gov/elementComment.aspx?elementName=Charter School Contract Renewal Date &amp;elementID=18634", "Click here to submit comment")</f>
        <v>Click here to submit comment</v>
      </c>
      <c r="R817" s="14">
        <v>51348</v>
      </c>
    </row>
    <row r="818" spans="1:18" ht="45" x14ac:dyDescent="0.25">
      <c r="A818" s="14" t="s">
        <v>8732</v>
      </c>
      <c r="B818" s="14" t="s">
        <v>8735</v>
      </c>
      <c r="C818" s="14" t="s">
        <v>8560</v>
      </c>
      <c r="D818" s="14" t="s">
        <v>8531</v>
      </c>
      <c r="E818" s="14" t="s">
        <v>2269</v>
      </c>
      <c r="F818" s="14" t="s">
        <v>2270</v>
      </c>
      <c r="G818" s="14" t="s">
        <v>24</v>
      </c>
      <c r="H818" s="14"/>
      <c r="I818" s="14"/>
      <c r="J818" s="14"/>
      <c r="K818" s="14"/>
      <c r="L818" s="14"/>
      <c r="M818" s="14" t="s">
        <v>2271</v>
      </c>
      <c r="N818" s="14"/>
      <c r="O818" s="14" t="s">
        <v>2272</v>
      </c>
      <c r="P818" s="14" t="str">
        <f>HYPERLINK("https://ceds.ed.gov/cedselementdetails.aspx?termid=18524")</f>
        <v>https://ceds.ed.gov/cedselementdetails.aspx?termid=18524</v>
      </c>
      <c r="Q818" s="14" t="str">
        <f>HYPERLINK("https://ceds.ed.gov/elementComment.aspx?elementName=Charter School Open Enrollment Indicator &amp;elementID=18524", "Click here to submit comment")</f>
        <v>Click here to submit comment</v>
      </c>
      <c r="R818" s="14">
        <v>50831</v>
      </c>
    </row>
    <row r="819" spans="1:18" ht="90" x14ac:dyDescent="0.25">
      <c r="A819" s="14" t="s">
        <v>8732</v>
      </c>
      <c r="B819" s="14" t="s">
        <v>8735</v>
      </c>
      <c r="C819" s="14" t="s">
        <v>8560</v>
      </c>
      <c r="D819" s="14" t="s">
        <v>8531</v>
      </c>
      <c r="E819" s="14" t="s">
        <v>7762</v>
      </c>
      <c r="F819" s="14" t="s">
        <v>7763</v>
      </c>
      <c r="G819" s="14" t="s">
        <v>24</v>
      </c>
      <c r="H819" s="14" t="s">
        <v>258</v>
      </c>
      <c r="I819" s="14"/>
      <c r="J819" s="14"/>
      <c r="K819" s="14"/>
      <c r="L819" s="14"/>
      <c r="M819" s="14" t="s">
        <v>7764</v>
      </c>
      <c r="N819" s="14"/>
      <c r="O819" s="14" t="s">
        <v>7765</v>
      </c>
      <c r="P819" s="14" t="str">
        <f>HYPERLINK("https://ceds.ed.gov/cedselementdetails.aspx?termid=17257")</f>
        <v>https://ceds.ed.gov/cedselementdetails.aspx?termid=17257</v>
      </c>
      <c r="Q819" s="14" t="str">
        <f>HYPERLINK("https://ceds.ed.gov/elementComment.aspx?elementName=Shared Time Indicator &amp;elementID=17257", "Click here to submit comment")</f>
        <v>Click here to submit comment</v>
      </c>
      <c r="R819" s="14">
        <v>47849</v>
      </c>
    </row>
    <row r="820" spans="1:18" ht="105" x14ac:dyDescent="0.25">
      <c r="A820" s="14" t="s">
        <v>8732</v>
      </c>
      <c r="B820" s="14" t="s">
        <v>8735</v>
      </c>
      <c r="C820" s="14" t="s">
        <v>8560</v>
      </c>
      <c r="D820" s="14" t="s">
        <v>8531</v>
      </c>
      <c r="E820" s="14" t="s">
        <v>8423</v>
      </c>
      <c r="F820" s="14" t="s">
        <v>8424</v>
      </c>
      <c r="G820" s="14" t="s">
        <v>24</v>
      </c>
      <c r="H820" s="14"/>
      <c r="I820" s="14"/>
      <c r="J820" s="14"/>
      <c r="K820" s="14"/>
      <c r="L820" s="14"/>
      <c r="M820" s="14" t="s">
        <v>8426</v>
      </c>
      <c r="N820" s="14"/>
      <c r="O820" s="14" t="s">
        <v>8427</v>
      </c>
      <c r="P820" s="14" t="str">
        <f>HYPERLINK("https://ceds.ed.gov/cedselementdetails.aspx?termid=18167")</f>
        <v>https://ceds.ed.gov/cedselementdetails.aspx?termid=18167</v>
      </c>
      <c r="Q820" s="14" t="str">
        <f>HYPERLINK("https://ceds.ed.gov/elementComment.aspx?elementName=Virtual Indicator &amp;elementID=18167", "Click here to submit comment")</f>
        <v>Click here to submit comment</v>
      </c>
      <c r="R820" s="14">
        <v>48575</v>
      </c>
    </row>
    <row r="821" spans="1:18" ht="45" x14ac:dyDescent="0.25">
      <c r="A821" s="14" t="s">
        <v>8732</v>
      </c>
      <c r="B821" s="14" t="s">
        <v>8735</v>
      </c>
      <c r="C821" s="14" t="s">
        <v>8560</v>
      </c>
      <c r="D821" s="14" t="s">
        <v>8531</v>
      </c>
      <c r="E821" s="14" t="s">
        <v>8467</v>
      </c>
      <c r="F821" s="14" t="s">
        <v>8468</v>
      </c>
      <c r="G821" s="14" t="s">
        <v>37</v>
      </c>
      <c r="H821" s="14" t="s">
        <v>258</v>
      </c>
      <c r="I821" s="14"/>
      <c r="J821" s="14" t="s">
        <v>129</v>
      </c>
      <c r="K821" s="14"/>
      <c r="L821" s="14"/>
      <c r="M821" s="14" t="s">
        <v>8470</v>
      </c>
      <c r="N821" s="14"/>
      <c r="O821" s="14" t="s">
        <v>8471</v>
      </c>
      <c r="P821" s="14" t="str">
        <f>HYPERLINK("https://ceds.ed.gov/cedselementdetails.aspx?termid=17300")</f>
        <v>https://ceds.ed.gov/cedselementdetails.aspx?termid=17300</v>
      </c>
      <c r="Q821" s="14" t="str">
        <f>HYPERLINK("https://ceds.ed.gov/elementComment.aspx?elementName=Web Site Address &amp;elementID=17300", "Click here to submit comment")</f>
        <v>Click here to submit comment</v>
      </c>
      <c r="R821" s="14">
        <v>47856</v>
      </c>
    </row>
    <row r="822" spans="1:18" ht="60" x14ac:dyDescent="0.25">
      <c r="A822" s="14" t="s">
        <v>8732</v>
      </c>
      <c r="B822" s="14" t="s">
        <v>8735</v>
      </c>
      <c r="C822" s="14" t="s">
        <v>8560</v>
      </c>
      <c r="D822" s="14" t="s">
        <v>8531</v>
      </c>
      <c r="E822" s="14" t="s">
        <v>5560</v>
      </c>
      <c r="F822" s="14" t="s">
        <v>5561</v>
      </c>
      <c r="G822" s="8" t="s">
        <v>8746</v>
      </c>
      <c r="H822" s="14" t="s">
        <v>258</v>
      </c>
      <c r="I822" s="14"/>
      <c r="J822" s="14"/>
      <c r="K822" s="14"/>
      <c r="L822" s="14"/>
      <c r="M822" s="14" t="s">
        <v>5563</v>
      </c>
      <c r="N822" s="14"/>
      <c r="O822" s="14" t="s">
        <v>5564</v>
      </c>
      <c r="P822" s="14" t="str">
        <f>HYPERLINK("https://ceds.ed.gov/cedselementdetails.aspx?termid=17580")</f>
        <v>https://ceds.ed.gov/cedselementdetails.aspx?termid=17580</v>
      </c>
      <c r="Q822" s="14" t="str">
        <f>HYPERLINK("https://ceds.ed.gov/elementComment.aspx?elementName=Internet Access &amp;elementID=17580", "Click here to submit comment")</f>
        <v>Click here to submit comment</v>
      </c>
      <c r="R822" s="14">
        <v>47875</v>
      </c>
    </row>
    <row r="823" spans="1:18" ht="105" x14ac:dyDescent="0.25">
      <c r="A823" s="14" t="s">
        <v>8732</v>
      </c>
      <c r="B823" s="14" t="s">
        <v>8735</v>
      </c>
      <c r="C823" s="14" t="s">
        <v>8560</v>
      </c>
      <c r="D823" s="14" t="s">
        <v>8531</v>
      </c>
      <c r="E823" s="14" t="s">
        <v>8428</v>
      </c>
      <c r="F823" s="14" t="s">
        <v>8429</v>
      </c>
      <c r="G823" s="8" t="s">
        <v>8747</v>
      </c>
      <c r="H823" s="14"/>
      <c r="I823" s="14"/>
      <c r="J823" s="14"/>
      <c r="K823" s="14"/>
      <c r="L823" s="14"/>
      <c r="M823" s="14" t="s">
        <v>8431</v>
      </c>
      <c r="N823" s="14"/>
      <c r="O823" s="14" t="s">
        <v>8432</v>
      </c>
      <c r="P823" s="14" t="str">
        <f>HYPERLINK("https://ceds.ed.gov/cedselementdetails.aspx?termid=18747")</f>
        <v>https://ceds.ed.gov/cedselementdetails.aspx?termid=18747</v>
      </c>
      <c r="Q823" s="14" t="str">
        <f>HYPERLINK("https://ceds.ed.gov/elementComment.aspx?elementName=Virtual School Status &amp;elementID=18747", "Click here to submit comment")</f>
        <v>Click here to submit comment</v>
      </c>
      <c r="R823" s="14">
        <v>52145</v>
      </c>
    </row>
    <row r="824" spans="1:18" ht="165" x14ac:dyDescent="0.25">
      <c r="A824" s="14" t="s">
        <v>8732</v>
      </c>
      <c r="B824" s="14" t="s">
        <v>8735</v>
      </c>
      <c r="C824" s="14" t="s">
        <v>8560</v>
      </c>
      <c r="D824" s="14" t="s">
        <v>8531</v>
      </c>
      <c r="E824" s="14" t="s">
        <v>1757</v>
      </c>
      <c r="F824" s="14" t="s">
        <v>1758</v>
      </c>
      <c r="G824" s="8" t="s">
        <v>8748</v>
      </c>
      <c r="H824" s="14"/>
      <c r="I824" s="14" t="s">
        <v>195</v>
      </c>
      <c r="J824" s="14"/>
      <c r="K824" s="14" t="s">
        <v>1761</v>
      </c>
      <c r="L824" s="14" t="s">
        <v>1762</v>
      </c>
      <c r="M824" s="14" t="s">
        <v>1763</v>
      </c>
      <c r="N824" s="14"/>
      <c r="O824" s="14" t="s">
        <v>1764</v>
      </c>
      <c r="P824" s="14" t="str">
        <f>HYPERLINK("https://ceds.ed.gov/cedselementdetails.aspx?termid=18253")</f>
        <v>https://ceds.ed.gov/cedselementdetails.aspx?termid=18253</v>
      </c>
      <c r="Q824" s="14" t="str">
        <f>HYPERLINK("https://ceds.ed.gov/elementComment.aspx?elementName=Blended Learning Model Type &amp;elementID=18253", "Click here to submit comment")</f>
        <v>Click here to submit comment</v>
      </c>
      <c r="R824" s="14">
        <v>52169</v>
      </c>
    </row>
    <row r="825" spans="1:18" ht="75" x14ac:dyDescent="0.25">
      <c r="A825" s="14" t="s">
        <v>8732</v>
      </c>
      <c r="B825" s="14" t="s">
        <v>8735</v>
      </c>
      <c r="C825" s="14" t="s">
        <v>8560</v>
      </c>
      <c r="D825" s="14" t="s">
        <v>8531</v>
      </c>
      <c r="E825" s="14" t="s">
        <v>7169</v>
      </c>
      <c r="F825" s="14" t="s">
        <v>7170</v>
      </c>
      <c r="G825" s="8" t="s">
        <v>8749</v>
      </c>
      <c r="H825" s="14"/>
      <c r="I825" s="14"/>
      <c r="J825" s="14"/>
      <c r="K825" s="14"/>
      <c r="L825" s="14"/>
      <c r="M825" s="14" t="s">
        <v>7172</v>
      </c>
      <c r="N825" s="14"/>
      <c r="O825" s="14" t="s">
        <v>7173</v>
      </c>
      <c r="P825" s="14" t="str">
        <f>HYPERLINK("https://ceds.ed.gov/cedselementdetails.aspx?termid=18896")</f>
        <v>https://ceds.ed.gov/cedselementdetails.aspx?termid=18896</v>
      </c>
      <c r="Q825" s="14" t="str">
        <f>HYPERLINK("https://ceds.ed.gov/elementComment.aspx?elementName=Progress Achieving English Language Proficiency Indicator Type &amp;elementID=18896", "Click here to submit comment")</f>
        <v>Click here to submit comment</v>
      </c>
      <c r="R825" s="14">
        <v>52195</v>
      </c>
    </row>
    <row r="826" spans="1:18" ht="60" x14ac:dyDescent="0.25">
      <c r="A826" s="14" t="s">
        <v>8732</v>
      </c>
      <c r="B826" s="14" t="s">
        <v>8735</v>
      </c>
      <c r="C826" s="14" t="s">
        <v>8560</v>
      </c>
      <c r="D826" s="14" t="s">
        <v>8531</v>
      </c>
      <c r="E826" s="14" t="s">
        <v>7174</v>
      </c>
      <c r="F826" s="14" t="s">
        <v>7175</v>
      </c>
      <c r="G826" s="14" t="s">
        <v>37</v>
      </c>
      <c r="H826" s="14"/>
      <c r="I826" s="14"/>
      <c r="J826" s="14"/>
      <c r="K826" s="14"/>
      <c r="L826" s="14"/>
      <c r="M826" s="14" t="s">
        <v>7176</v>
      </c>
      <c r="N826" s="14"/>
      <c r="O826" s="14" t="s">
        <v>7177</v>
      </c>
      <c r="P826" s="14" t="str">
        <f>HYPERLINK("https://ceds.ed.gov/cedselementdetails.aspx?termid=18897")</f>
        <v>https://ceds.ed.gov/cedselementdetails.aspx?termid=18897</v>
      </c>
      <c r="Q826" s="14" t="str">
        <f>HYPERLINK("https://ceds.ed.gov/elementComment.aspx?elementName=Progress Achieving English Language Proficiency State Defined Status &amp;elementID=18897", "Click here to submit comment")</f>
        <v>Click here to submit comment</v>
      </c>
      <c r="R826" s="14">
        <v>52196</v>
      </c>
    </row>
    <row r="827" spans="1:18" ht="390" x14ac:dyDescent="0.25">
      <c r="A827" s="14" t="s">
        <v>8732</v>
      </c>
      <c r="B827" s="14" t="s">
        <v>8735</v>
      </c>
      <c r="C827" s="14" t="s">
        <v>8560</v>
      </c>
      <c r="D827" s="14" t="s">
        <v>8541</v>
      </c>
      <c r="E827" s="14" t="s">
        <v>4835</v>
      </c>
      <c r="F827" s="14" t="s">
        <v>4836</v>
      </c>
      <c r="G827" s="8" t="s">
        <v>8740</v>
      </c>
      <c r="H827" s="14"/>
      <c r="I827" s="14" t="s">
        <v>188</v>
      </c>
      <c r="J827" s="14"/>
      <c r="K827" s="14" t="s">
        <v>1721</v>
      </c>
      <c r="L827" s="14"/>
      <c r="M827" s="14" t="s">
        <v>4839</v>
      </c>
      <c r="N827" s="14"/>
      <c r="O827" s="14" t="s">
        <v>4840</v>
      </c>
      <c r="P827" s="14" t="str">
        <f>HYPERLINK("https://ceds.ed.gov/cedselementdetails.aspx?termid=18907")</f>
        <v>https://ceds.ed.gov/cedselementdetails.aspx?termid=18907</v>
      </c>
      <c r="Q827" s="14" t="str">
        <f>HYPERLINK("https://ceds.ed.gov/elementComment.aspx?elementName=Grade Levels Approved &amp;elementID=18907", "Click here to submit comment")</f>
        <v>Click here to submit comment</v>
      </c>
      <c r="R827" s="14">
        <v>52315</v>
      </c>
    </row>
    <row r="828" spans="1:18" ht="105" x14ac:dyDescent="0.25">
      <c r="A828" s="16" t="s">
        <v>8732</v>
      </c>
      <c r="B828" s="16" t="s">
        <v>8735</v>
      </c>
      <c r="C828" s="16" t="s">
        <v>8750</v>
      </c>
      <c r="D828" s="16" t="s">
        <v>8531</v>
      </c>
      <c r="E828" s="16" t="s">
        <v>6530</v>
      </c>
      <c r="F828" s="16" t="s">
        <v>6531</v>
      </c>
      <c r="G828" s="16" t="s">
        <v>37</v>
      </c>
      <c r="H828" s="16" t="s">
        <v>125</v>
      </c>
      <c r="I828" s="16"/>
      <c r="J828" s="16" t="s">
        <v>149</v>
      </c>
      <c r="K828" s="16"/>
      <c r="L828" s="14" t="s">
        <v>150</v>
      </c>
      <c r="M828" s="16" t="s">
        <v>6533</v>
      </c>
      <c r="N828" s="16"/>
      <c r="O828" s="16" t="s">
        <v>6534</v>
      </c>
      <c r="P828" s="16" t="str">
        <f>HYPERLINK("https://ceds.ed.gov/cedselementdetails.aspx?termid=17825")</f>
        <v>https://ceds.ed.gov/cedselementdetails.aspx?termid=17825</v>
      </c>
      <c r="Q828" s="16" t="str">
        <f>HYPERLINK("https://ceds.ed.gov/elementComment.aspx?elementName=Organization Identifier &amp;elementID=17825", "Click here to submit comment")</f>
        <v>Click here to submit comment</v>
      </c>
      <c r="R828" s="16">
        <v>51299</v>
      </c>
    </row>
    <row r="829" spans="1:18" x14ac:dyDescent="0.25">
      <c r="A829" s="16"/>
      <c r="B829" s="16"/>
      <c r="C829" s="16"/>
      <c r="D829" s="16"/>
      <c r="E829" s="16"/>
      <c r="F829" s="16"/>
      <c r="G829" s="16"/>
      <c r="H829" s="16"/>
      <c r="I829" s="16"/>
      <c r="J829" s="16"/>
      <c r="K829" s="16"/>
      <c r="L829" s="14"/>
      <c r="M829" s="16"/>
      <c r="N829" s="16"/>
      <c r="O829" s="16"/>
      <c r="P829" s="16"/>
      <c r="Q829" s="16"/>
      <c r="R829" s="16"/>
    </row>
    <row r="830" spans="1:18" ht="90" x14ac:dyDescent="0.25">
      <c r="A830" s="16"/>
      <c r="B830" s="16"/>
      <c r="C830" s="16"/>
      <c r="D830" s="16"/>
      <c r="E830" s="16"/>
      <c r="F830" s="16"/>
      <c r="G830" s="16"/>
      <c r="H830" s="16"/>
      <c r="I830" s="16"/>
      <c r="J830" s="16"/>
      <c r="K830" s="16"/>
      <c r="L830" s="14" t="s">
        <v>153</v>
      </c>
      <c r="M830" s="16"/>
      <c r="N830" s="16"/>
      <c r="O830" s="16"/>
      <c r="P830" s="16"/>
      <c r="Q830" s="16"/>
      <c r="R830" s="16"/>
    </row>
    <row r="831" spans="1:18" ht="255" x14ac:dyDescent="0.25">
      <c r="A831" s="14" t="s">
        <v>8732</v>
      </c>
      <c r="B831" s="14" t="s">
        <v>8735</v>
      </c>
      <c r="C831" s="14" t="s">
        <v>8750</v>
      </c>
      <c r="D831" s="14" t="s">
        <v>8531</v>
      </c>
      <c r="E831" s="14" t="s">
        <v>6524</v>
      </c>
      <c r="F831" s="14" t="s">
        <v>6525</v>
      </c>
      <c r="G831" s="8" t="s">
        <v>8534</v>
      </c>
      <c r="H831" s="14" t="s">
        <v>125</v>
      </c>
      <c r="I831" s="14"/>
      <c r="J831" s="14"/>
      <c r="K831" s="14"/>
      <c r="L831" s="14"/>
      <c r="M831" s="14" t="s">
        <v>6528</v>
      </c>
      <c r="N831" s="14"/>
      <c r="O831" s="14" t="s">
        <v>6529</v>
      </c>
      <c r="P831" s="14" t="str">
        <f>HYPERLINK("https://ceds.ed.gov/cedselementdetails.aspx?termid=17827")</f>
        <v>https://ceds.ed.gov/cedselementdetails.aspx?termid=17827</v>
      </c>
      <c r="Q831" s="14" t="str">
        <f>HYPERLINK("https://ceds.ed.gov/elementComment.aspx?elementName=Organization Identification System &amp;elementID=17827", "Click here to submit comment")</f>
        <v>Click here to submit comment</v>
      </c>
      <c r="R831" s="14">
        <v>51300</v>
      </c>
    </row>
    <row r="832" spans="1:18" ht="180" x14ac:dyDescent="0.25">
      <c r="A832" s="14" t="s">
        <v>8732</v>
      </c>
      <c r="B832" s="14" t="s">
        <v>8735</v>
      </c>
      <c r="C832" s="14" t="s">
        <v>8750</v>
      </c>
      <c r="D832" s="14" t="s">
        <v>8531</v>
      </c>
      <c r="E832" s="14" t="s">
        <v>2237</v>
      </c>
      <c r="F832" s="14" t="s">
        <v>2238</v>
      </c>
      <c r="G832" s="8" t="s">
        <v>8751</v>
      </c>
      <c r="H832" s="14"/>
      <c r="I832" s="14" t="s">
        <v>195</v>
      </c>
      <c r="J832" s="14"/>
      <c r="K832" s="14" t="s">
        <v>2241</v>
      </c>
      <c r="L832" s="14"/>
      <c r="M832" s="14" t="s">
        <v>2242</v>
      </c>
      <c r="N832" s="14"/>
      <c r="O832" s="14" t="s">
        <v>2243</v>
      </c>
      <c r="P832" s="14" t="str">
        <f>HYPERLINK("https://ceds.ed.gov/cedselementdetails.aspx?termid=18258")</f>
        <v>https://ceds.ed.gov/cedselementdetails.aspx?termid=18258</v>
      </c>
      <c r="Q832" s="14" t="str">
        <f>HYPERLINK("https://ceds.ed.gov/elementComment.aspx?elementName=Charter School Authorizer Type &amp;elementID=18258", "Click here to submit comment")</f>
        <v>Click here to submit comment</v>
      </c>
      <c r="R832" s="14">
        <v>51301</v>
      </c>
    </row>
    <row r="833" spans="1:18" ht="105" x14ac:dyDescent="0.25">
      <c r="A833" s="16" t="s">
        <v>8732</v>
      </c>
      <c r="B833" s="16" t="s">
        <v>8735</v>
      </c>
      <c r="C833" s="16" t="s">
        <v>8752</v>
      </c>
      <c r="D833" s="16" t="s">
        <v>8531</v>
      </c>
      <c r="E833" s="16" t="s">
        <v>6530</v>
      </c>
      <c r="F833" s="16" t="s">
        <v>6531</v>
      </c>
      <c r="G833" s="16" t="s">
        <v>37</v>
      </c>
      <c r="H833" s="16" t="s">
        <v>125</v>
      </c>
      <c r="I833" s="16"/>
      <c r="J833" s="16" t="s">
        <v>149</v>
      </c>
      <c r="K833" s="16"/>
      <c r="L833" s="14" t="s">
        <v>150</v>
      </c>
      <c r="M833" s="16" t="s">
        <v>6533</v>
      </c>
      <c r="N833" s="16"/>
      <c r="O833" s="16" t="s">
        <v>6534</v>
      </c>
      <c r="P833" s="16" t="str">
        <f>HYPERLINK("https://ceds.ed.gov/cedselementdetails.aspx?termid=17825")</f>
        <v>https://ceds.ed.gov/cedselementdetails.aspx?termid=17825</v>
      </c>
      <c r="Q833" s="16" t="str">
        <f>HYPERLINK("https://ceds.ed.gov/elementComment.aspx?elementName=Organization Identifier &amp;elementID=17825", "Click here to submit comment")</f>
        <v>Click here to submit comment</v>
      </c>
      <c r="R833" s="16">
        <v>51302</v>
      </c>
    </row>
    <row r="834" spans="1:18" x14ac:dyDescent="0.25">
      <c r="A834" s="16"/>
      <c r="B834" s="16"/>
      <c r="C834" s="16"/>
      <c r="D834" s="16"/>
      <c r="E834" s="16"/>
      <c r="F834" s="16"/>
      <c r="G834" s="16"/>
      <c r="H834" s="16"/>
      <c r="I834" s="16"/>
      <c r="J834" s="16"/>
      <c r="K834" s="16"/>
      <c r="L834" s="14"/>
      <c r="M834" s="16"/>
      <c r="N834" s="16"/>
      <c r="O834" s="16"/>
      <c r="P834" s="16"/>
      <c r="Q834" s="16"/>
      <c r="R834" s="16"/>
    </row>
    <row r="835" spans="1:18" ht="90" x14ac:dyDescent="0.25">
      <c r="A835" s="16"/>
      <c r="B835" s="16"/>
      <c r="C835" s="16"/>
      <c r="D835" s="16"/>
      <c r="E835" s="16"/>
      <c r="F835" s="16"/>
      <c r="G835" s="16"/>
      <c r="H835" s="16"/>
      <c r="I835" s="16"/>
      <c r="J835" s="16"/>
      <c r="K835" s="16"/>
      <c r="L835" s="14" t="s">
        <v>153</v>
      </c>
      <c r="M835" s="16"/>
      <c r="N835" s="16"/>
      <c r="O835" s="16"/>
      <c r="P835" s="16"/>
      <c r="Q835" s="16"/>
      <c r="R835" s="16"/>
    </row>
    <row r="836" spans="1:18" ht="255" x14ac:dyDescent="0.25">
      <c r="A836" s="14" t="s">
        <v>8732</v>
      </c>
      <c r="B836" s="14" t="s">
        <v>8735</v>
      </c>
      <c r="C836" s="14" t="s">
        <v>8752</v>
      </c>
      <c r="D836" s="14" t="s">
        <v>8531</v>
      </c>
      <c r="E836" s="14" t="s">
        <v>6524</v>
      </c>
      <c r="F836" s="14" t="s">
        <v>6525</v>
      </c>
      <c r="G836" s="8" t="s">
        <v>8534</v>
      </c>
      <c r="H836" s="14" t="s">
        <v>125</v>
      </c>
      <c r="I836" s="14"/>
      <c r="J836" s="14"/>
      <c r="K836" s="14"/>
      <c r="L836" s="14"/>
      <c r="M836" s="14" t="s">
        <v>6528</v>
      </c>
      <c r="N836" s="14"/>
      <c r="O836" s="14" t="s">
        <v>6529</v>
      </c>
      <c r="P836" s="14" t="str">
        <f>HYPERLINK("https://ceds.ed.gov/cedselementdetails.aspx?termid=17827")</f>
        <v>https://ceds.ed.gov/cedselementdetails.aspx?termid=17827</v>
      </c>
      <c r="Q836" s="14" t="str">
        <f>HYPERLINK("https://ceds.ed.gov/elementComment.aspx?elementName=Organization Identification System &amp;elementID=17827", "Click here to submit comment")</f>
        <v>Click here to submit comment</v>
      </c>
      <c r="R836" s="14">
        <v>51303</v>
      </c>
    </row>
    <row r="837" spans="1:18" ht="120" x14ac:dyDescent="0.25">
      <c r="A837" s="14" t="s">
        <v>8732</v>
      </c>
      <c r="B837" s="14" t="s">
        <v>8735</v>
      </c>
      <c r="C837" s="14" t="s">
        <v>8752</v>
      </c>
      <c r="D837" s="14" t="s">
        <v>8531</v>
      </c>
      <c r="E837" s="14" t="s">
        <v>2262</v>
      </c>
      <c r="F837" s="14" t="s">
        <v>2263</v>
      </c>
      <c r="G837" s="8" t="s">
        <v>8734</v>
      </c>
      <c r="H837" s="14" t="s">
        <v>258</v>
      </c>
      <c r="I837" s="14" t="s">
        <v>195</v>
      </c>
      <c r="J837" s="14"/>
      <c r="K837" s="14" t="s">
        <v>2266</v>
      </c>
      <c r="L837" s="14"/>
      <c r="M837" s="14" t="s">
        <v>2267</v>
      </c>
      <c r="N837" s="14"/>
      <c r="O837" s="14" t="s">
        <v>2268</v>
      </c>
      <c r="P837" s="14" t="str">
        <f>HYPERLINK("https://ceds.ed.gov/cedselementdetails.aspx?termid=18631")</f>
        <v>https://ceds.ed.gov/cedselementdetails.aspx?termid=18631</v>
      </c>
      <c r="Q837" s="14" t="str">
        <f>HYPERLINK("https://ceds.ed.gov/elementComment.aspx?elementName=Charter School Management Organization Type &amp;elementID=18631", "Click here to submit comment")</f>
        <v>Click here to submit comment</v>
      </c>
      <c r="R837" s="14">
        <v>51344</v>
      </c>
    </row>
    <row r="838" spans="1:18" ht="75" x14ac:dyDescent="0.25">
      <c r="A838" s="14" t="s">
        <v>8732</v>
      </c>
      <c r="B838" s="14" t="s">
        <v>8735</v>
      </c>
      <c r="C838" s="14" t="s">
        <v>8753</v>
      </c>
      <c r="D838" s="14" t="s">
        <v>8531</v>
      </c>
      <c r="E838" s="14" t="s">
        <v>22</v>
      </c>
      <c r="F838" s="14" t="s">
        <v>23</v>
      </c>
      <c r="G838" s="14" t="s">
        <v>24</v>
      </c>
      <c r="H838" s="14" t="s">
        <v>28</v>
      </c>
      <c r="I838" s="14"/>
      <c r="J838" s="14"/>
      <c r="K838" s="14"/>
      <c r="L838" s="14"/>
      <c r="M838" s="14" t="s">
        <v>26</v>
      </c>
      <c r="N838" s="14"/>
      <c r="O838" s="14" t="s">
        <v>27</v>
      </c>
      <c r="P838" s="14" t="str">
        <f>HYPERLINK("https://ceds.ed.gov/cedselementdetails.aspx?termid=17000")</f>
        <v>https://ceds.ed.gov/cedselementdetails.aspx?termid=17000</v>
      </c>
      <c r="Q838" s="14" t="str">
        <f>HYPERLINK("https://ceds.ed.gov/elementComment.aspx?elementName=Ability Grouping Status &amp;elementID=17000", "Click here to submit comment")</f>
        <v>Click here to submit comment</v>
      </c>
      <c r="R838" s="14">
        <v>47811</v>
      </c>
    </row>
    <row r="839" spans="1:18" ht="409.5" x14ac:dyDescent="0.25">
      <c r="A839" s="14" t="s">
        <v>8732</v>
      </c>
      <c r="B839" s="14" t="s">
        <v>8735</v>
      </c>
      <c r="C839" s="14" t="s">
        <v>8753</v>
      </c>
      <c r="D839" s="14" t="s">
        <v>8531</v>
      </c>
      <c r="E839" s="14" t="s">
        <v>7087</v>
      </c>
      <c r="F839" s="14" t="s">
        <v>7088</v>
      </c>
      <c r="G839" s="8" t="s">
        <v>8754</v>
      </c>
      <c r="H839" s="14"/>
      <c r="I839" s="14"/>
      <c r="J839" s="14"/>
      <c r="K839" s="14"/>
      <c r="L839" s="14"/>
      <c r="M839" s="14" t="s">
        <v>7091</v>
      </c>
      <c r="N839" s="14"/>
      <c r="O839" s="14" t="s">
        <v>7092</v>
      </c>
      <c r="P839" s="14" t="str">
        <f>HYPERLINK("https://ceds.ed.gov/cedselementdetails.aspx?termid=18210")</f>
        <v>https://ceds.ed.gov/cedselementdetails.aspx?termid=18210</v>
      </c>
      <c r="Q839" s="14" t="str">
        <f>HYPERLINK("https://ceds.ed.gov/elementComment.aspx?elementName=Program Gifted Eligibility Criteria &amp;elementID=18210", "Click here to submit comment")</f>
        <v>Click here to submit comment</v>
      </c>
      <c r="R839" s="14">
        <v>48709</v>
      </c>
    </row>
    <row r="840" spans="1:18" ht="120" x14ac:dyDescent="0.25">
      <c r="A840" s="14" t="s">
        <v>8732</v>
      </c>
      <c r="B840" s="14" t="s">
        <v>8735</v>
      </c>
      <c r="C840" s="14" t="s">
        <v>8753</v>
      </c>
      <c r="D840" s="14" t="s">
        <v>8531</v>
      </c>
      <c r="E840" s="14" t="s">
        <v>5326</v>
      </c>
      <c r="F840" s="14" t="s">
        <v>5327</v>
      </c>
      <c r="G840" s="8" t="s">
        <v>8755</v>
      </c>
      <c r="H840" s="14" t="s">
        <v>258</v>
      </c>
      <c r="I840" s="14"/>
      <c r="J840" s="14"/>
      <c r="K840" s="14"/>
      <c r="L840" s="14"/>
      <c r="M840" s="14" t="s">
        <v>5329</v>
      </c>
      <c r="N840" s="14"/>
      <c r="O840" s="14" t="s">
        <v>5330</v>
      </c>
      <c r="P840" s="14" t="str">
        <f>HYPERLINK("https://ceds.ed.gov/cedselementdetails.aspx?termid=17164")</f>
        <v>https://ceds.ed.gov/cedselementdetails.aspx?termid=17164</v>
      </c>
      <c r="Q840" s="14" t="str">
        <f>HYPERLINK("https://ceds.ed.gov/elementComment.aspx?elementName=Increased Learning Time Type &amp;elementID=17164", "Click here to submit comment")</f>
        <v>Click here to submit comment</v>
      </c>
      <c r="R840" s="14">
        <v>47827</v>
      </c>
    </row>
    <row r="841" spans="1:18" ht="105" x14ac:dyDescent="0.25">
      <c r="A841" s="14" t="s">
        <v>8732</v>
      </c>
      <c r="B841" s="14" t="s">
        <v>8735</v>
      </c>
      <c r="C841" s="14" t="s">
        <v>8753</v>
      </c>
      <c r="D841" s="14" t="s">
        <v>8531</v>
      </c>
      <c r="E841" s="14" t="s">
        <v>8022</v>
      </c>
      <c r="F841" s="14" t="s">
        <v>8023</v>
      </c>
      <c r="G841" s="8" t="s">
        <v>8756</v>
      </c>
      <c r="H841" s="14" t="s">
        <v>258</v>
      </c>
      <c r="I841" s="14"/>
      <c r="J841" s="14"/>
      <c r="K841" s="14"/>
      <c r="L841" s="14"/>
      <c r="M841" s="14" t="s">
        <v>8025</v>
      </c>
      <c r="N841" s="14"/>
      <c r="O841" s="14" t="s">
        <v>8026</v>
      </c>
      <c r="P841" s="14" t="str">
        <f>HYPERLINK("https://ceds.ed.gov/cedselementdetails.aspx?termid=17578")</f>
        <v>https://ceds.ed.gov/cedselementdetails.aspx?termid=17578</v>
      </c>
      <c r="Q841" s="14" t="str">
        <f>HYPERLINK("https://ceds.ed.gov/elementComment.aspx?elementName=State Poverty Designation &amp;elementID=17578", "Click here to submit comment")</f>
        <v>Click here to submit comment</v>
      </c>
      <c r="R841" s="14">
        <v>47874</v>
      </c>
    </row>
    <row r="842" spans="1:18" ht="409.5" x14ac:dyDescent="0.25">
      <c r="A842" s="14" t="s">
        <v>8732</v>
      </c>
      <c r="B842" s="14" t="s">
        <v>8735</v>
      </c>
      <c r="C842" s="14" t="s">
        <v>8753</v>
      </c>
      <c r="D842" s="14" t="s">
        <v>8531</v>
      </c>
      <c r="E842" s="14" t="s">
        <v>8081</v>
      </c>
      <c r="F842" s="14" t="s">
        <v>8082</v>
      </c>
      <c r="G842" s="8" t="s">
        <v>8757</v>
      </c>
      <c r="H842" s="14"/>
      <c r="I842" s="14" t="s">
        <v>195</v>
      </c>
      <c r="J842" s="14"/>
      <c r="K842" s="14" t="s">
        <v>8085</v>
      </c>
      <c r="L842" s="14" t="s">
        <v>8086</v>
      </c>
      <c r="M842" s="14" t="s">
        <v>8087</v>
      </c>
      <c r="N842" s="14"/>
      <c r="O842" s="14" t="s">
        <v>8088</v>
      </c>
      <c r="P842" s="14" t="str">
        <f>HYPERLINK("https://ceds.ed.gov/cedselementdetails.aspx?termid=17273")</f>
        <v>https://ceds.ed.gov/cedselementdetails.aspx?termid=17273</v>
      </c>
      <c r="Q842" s="14" t="str">
        <f>HYPERLINK("https://ceds.ed.gov/elementComment.aspx?elementName=Student Support Service Type &amp;elementID=17273", "Click here to submit comment")</f>
        <v>Click here to submit comment</v>
      </c>
      <c r="R842" s="14">
        <v>47852</v>
      </c>
    </row>
    <row r="843" spans="1:18" ht="135" x14ac:dyDescent="0.25">
      <c r="A843" s="14" t="s">
        <v>8732</v>
      </c>
      <c r="B843" s="14" t="s">
        <v>8735</v>
      </c>
      <c r="C843" s="14" t="s">
        <v>8753</v>
      </c>
      <c r="D843" s="14" t="s">
        <v>8531</v>
      </c>
      <c r="E843" s="14" t="s">
        <v>8266</v>
      </c>
      <c r="F843" s="14" t="s">
        <v>8267</v>
      </c>
      <c r="G843" s="8" t="s">
        <v>8758</v>
      </c>
      <c r="H843" s="14" t="s">
        <v>258</v>
      </c>
      <c r="I843" s="14"/>
      <c r="J843" s="14"/>
      <c r="K843" s="14"/>
      <c r="L843" s="14"/>
      <c r="M843" s="14" t="s">
        <v>8270</v>
      </c>
      <c r="N843" s="14"/>
      <c r="O843" s="14" t="s">
        <v>8271</v>
      </c>
      <c r="P843" s="14" t="str">
        <f>HYPERLINK("https://ceds.ed.gov/cedselementdetails.aspx?termid=17284")</f>
        <v>https://ceds.ed.gov/cedselementdetails.aspx?termid=17284</v>
      </c>
      <c r="Q843" s="14" t="str">
        <f>HYPERLINK("https://ceds.ed.gov/elementComment.aspx?elementName=Title I Program Type &amp;elementID=17284", "Click here to submit comment")</f>
        <v>Click here to submit comment</v>
      </c>
      <c r="R843" s="14">
        <v>47854</v>
      </c>
    </row>
    <row r="844" spans="1:18" ht="195" x14ac:dyDescent="0.25">
      <c r="A844" s="14" t="s">
        <v>8732</v>
      </c>
      <c r="B844" s="14" t="s">
        <v>8735</v>
      </c>
      <c r="C844" s="14" t="s">
        <v>8753</v>
      </c>
      <c r="D844" s="14" t="s">
        <v>8531</v>
      </c>
      <c r="E844" s="14" t="s">
        <v>8272</v>
      </c>
      <c r="F844" s="14" t="s">
        <v>8273</v>
      </c>
      <c r="G844" s="8" t="s">
        <v>8759</v>
      </c>
      <c r="H844" s="14" t="s">
        <v>258</v>
      </c>
      <c r="I844" s="14"/>
      <c r="J844" s="14"/>
      <c r="K844" s="14"/>
      <c r="L844" s="14"/>
      <c r="M844" s="14" t="s">
        <v>8275</v>
      </c>
      <c r="N844" s="14"/>
      <c r="O844" s="14" t="s">
        <v>8276</v>
      </c>
      <c r="P844" s="14" t="str">
        <f>HYPERLINK("https://ceds.ed.gov/cedselementdetails.aspx?termid=17285")</f>
        <v>https://ceds.ed.gov/cedselementdetails.aspx?termid=17285</v>
      </c>
      <c r="Q844" s="14" t="str">
        <f>HYPERLINK("https://ceds.ed.gov/elementComment.aspx?elementName=Title I School Status &amp;elementID=17285", "Click here to submit comment")</f>
        <v>Click here to submit comment</v>
      </c>
      <c r="R844" s="14">
        <v>47855</v>
      </c>
    </row>
    <row r="845" spans="1:18" ht="300" x14ac:dyDescent="0.25">
      <c r="A845" s="14" t="s">
        <v>8732</v>
      </c>
      <c r="B845" s="14" t="s">
        <v>8735</v>
      </c>
      <c r="C845" s="14" t="s">
        <v>8753</v>
      </c>
      <c r="D845" s="14" t="s">
        <v>8531</v>
      </c>
      <c r="E845" s="14" t="s">
        <v>8324</v>
      </c>
      <c r="F845" s="14" t="s">
        <v>8325</v>
      </c>
      <c r="G845" s="8" t="s">
        <v>8760</v>
      </c>
      <c r="H845" s="14" t="s">
        <v>245</v>
      </c>
      <c r="I845" s="14"/>
      <c r="J845" s="14"/>
      <c r="K845" s="14"/>
      <c r="L845" s="14"/>
      <c r="M845" s="14" t="s">
        <v>8327</v>
      </c>
      <c r="N845" s="14"/>
      <c r="O845" s="14" t="s">
        <v>8328</v>
      </c>
      <c r="P845" s="14" t="str">
        <f>HYPERLINK("https://ceds.ed.gov/cedselementdetails.aspx?termid=17437")</f>
        <v>https://ceds.ed.gov/cedselementdetails.aspx?termid=17437</v>
      </c>
      <c r="Q845" s="14" t="str">
        <f>HYPERLINK("https://ceds.ed.gov/elementComment.aspx?elementName=Title III Language Instruction Program Type &amp;elementID=17437", "Click here to submit comment")</f>
        <v>Click here to submit comment</v>
      </c>
      <c r="R845" s="14">
        <v>47860</v>
      </c>
    </row>
    <row r="846" spans="1:18" ht="45" x14ac:dyDescent="0.25">
      <c r="A846" s="14" t="s">
        <v>8732</v>
      </c>
      <c r="B846" s="14" t="s">
        <v>8735</v>
      </c>
      <c r="C846" s="14" t="s">
        <v>8753</v>
      </c>
      <c r="D846" s="14" t="s">
        <v>8531</v>
      </c>
      <c r="E846" s="14" t="s">
        <v>126</v>
      </c>
      <c r="F846" s="14" t="s">
        <v>127</v>
      </c>
      <c r="G846" s="14" t="s">
        <v>37</v>
      </c>
      <c r="H846" s="14"/>
      <c r="I846" s="14"/>
      <c r="J846" s="14" t="s">
        <v>129</v>
      </c>
      <c r="K846" s="14"/>
      <c r="L846" s="14"/>
      <c r="M846" s="14" t="s">
        <v>130</v>
      </c>
      <c r="N846" s="14"/>
      <c r="O846" s="14" t="s">
        <v>131</v>
      </c>
      <c r="P846" s="14" t="str">
        <f>HYPERLINK("https://ceds.ed.gov/cedselementdetails.aspx?termid=18500")</f>
        <v>https://ceds.ed.gov/cedselementdetails.aspx?termid=18500</v>
      </c>
      <c r="Q846" s="14" t="str">
        <f>HYPERLINK("https://ceds.ed.gov/elementComment.aspx?elementName=Accreditation Agency Name &amp;elementID=18500", "Click here to submit comment")</f>
        <v>Click here to submit comment</v>
      </c>
      <c r="R846" s="14">
        <v>50755</v>
      </c>
    </row>
    <row r="847" spans="1:18" ht="45" x14ac:dyDescent="0.25">
      <c r="A847" s="14" t="s">
        <v>8732</v>
      </c>
      <c r="B847" s="14" t="s">
        <v>8735</v>
      </c>
      <c r="C847" s="14" t="s">
        <v>8753</v>
      </c>
      <c r="D847" s="14" t="s">
        <v>8531</v>
      </c>
      <c r="E847" s="14" t="s">
        <v>132</v>
      </c>
      <c r="F847" s="14" t="s">
        <v>133</v>
      </c>
      <c r="G847" s="14" t="s">
        <v>37</v>
      </c>
      <c r="H847" s="14" t="s">
        <v>125</v>
      </c>
      <c r="I847" s="14"/>
      <c r="J847" s="14" t="s">
        <v>135</v>
      </c>
      <c r="K847" s="14"/>
      <c r="L847" s="14"/>
      <c r="M847" s="14" t="s">
        <v>136</v>
      </c>
      <c r="N847" s="14"/>
      <c r="O847" s="14" t="s">
        <v>137</v>
      </c>
      <c r="P847" s="14" t="str">
        <f>HYPERLINK("https://ceds.ed.gov/cedselementdetails.aspx?termid=17840")</f>
        <v>https://ceds.ed.gov/cedselementdetails.aspx?termid=17840</v>
      </c>
      <c r="Q847" s="14" t="str">
        <f>HYPERLINK("https://ceds.ed.gov/elementComment.aspx?elementName=Accreditation Award Date &amp;elementID=17840", "Click here to submit comment")</f>
        <v>Click here to submit comment</v>
      </c>
      <c r="R847" s="14">
        <v>50756</v>
      </c>
    </row>
    <row r="848" spans="1:18" ht="45" x14ac:dyDescent="0.25">
      <c r="A848" s="14" t="s">
        <v>8732</v>
      </c>
      <c r="B848" s="14" t="s">
        <v>8735</v>
      </c>
      <c r="C848" s="14" t="s">
        <v>8753</v>
      </c>
      <c r="D848" s="14" t="s">
        <v>8531</v>
      </c>
      <c r="E848" s="14" t="s">
        <v>138</v>
      </c>
      <c r="F848" s="14" t="s">
        <v>139</v>
      </c>
      <c r="G848" s="14" t="s">
        <v>37</v>
      </c>
      <c r="H848" s="14" t="s">
        <v>125</v>
      </c>
      <c r="I848" s="14"/>
      <c r="J848" s="14" t="s">
        <v>135</v>
      </c>
      <c r="K848" s="14"/>
      <c r="L848" s="14"/>
      <c r="M848" s="14" t="s">
        <v>140</v>
      </c>
      <c r="N848" s="14"/>
      <c r="O848" s="14" t="s">
        <v>141</v>
      </c>
      <c r="P848" s="14" t="str">
        <f>HYPERLINK("https://ceds.ed.gov/cedselementdetails.aspx?termid=17841")</f>
        <v>https://ceds.ed.gov/cedselementdetails.aspx?termid=17841</v>
      </c>
      <c r="Q848" s="14" t="str">
        <f>HYPERLINK("https://ceds.ed.gov/elementComment.aspx?elementName=Accreditation Expiration Date &amp;elementID=17841", "Click here to submit comment")</f>
        <v>Click here to submit comment</v>
      </c>
      <c r="R848" s="14">
        <v>50757</v>
      </c>
    </row>
    <row r="849" spans="1:18" ht="150" x14ac:dyDescent="0.25">
      <c r="A849" s="14" t="s">
        <v>8732</v>
      </c>
      <c r="B849" s="14" t="s">
        <v>8735</v>
      </c>
      <c r="C849" s="14" t="s">
        <v>8753</v>
      </c>
      <c r="D849" s="14" t="s">
        <v>8531</v>
      </c>
      <c r="E849" s="14" t="s">
        <v>6373</v>
      </c>
      <c r="F849" s="14" t="s">
        <v>6374</v>
      </c>
      <c r="G849" s="8" t="s">
        <v>8761</v>
      </c>
      <c r="H849" s="14"/>
      <c r="I849" s="14"/>
      <c r="J849" s="14"/>
      <c r="K849" s="14"/>
      <c r="L849" s="14"/>
      <c r="M849" s="14" t="s">
        <v>6376</v>
      </c>
      <c r="N849" s="14"/>
      <c r="O849" s="14" t="s">
        <v>6377</v>
      </c>
      <c r="P849" s="14" t="str">
        <f>HYPERLINK("https://ceds.ed.gov/cedselementdetails.aspx?termid=18748")</f>
        <v>https://ceds.ed.gov/cedselementdetails.aspx?termid=18748</v>
      </c>
      <c r="Q849" s="14" t="str">
        <f>HYPERLINK("https://ceds.ed.gov/elementComment.aspx?elementName=National School Lunch Program Status &amp;elementID=18748", "Click here to submit comment")</f>
        <v>Click here to submit comment</v>
      </c>
      <c r="R849" s="14">
        <v>52147</v>
      </c>
    </row>
    <row r="850" spans="1:18" ht="45" x14ac:dyDescent="0.25">
      <c r="A850" s="14" t="s">
        <v>8732</v>
      </c>
      <c r="B850" s="14" t="s">
        <v>8735</v>
      </c>
      <c r="C850" s="14" t="s">
        <v>8762</v>
      </c>
      <c r="D850" s="14" t="s">
        <v>8531</v>
      </c>
      <c r="E850" s="14" t="s">
        <v>7649</v>
      </c>
      <c r="F850" s="14" t="s">
        <v>7650</v>
      </c>
      <c r="G850" s="14" t="s">
        <v>37</v>
      </c>
      <c r="H850" s="14" t="s">
        <v>2807</v>
      </c>
      <c r="I850" s="14"/>
      <c r="J850" s="14" t="s">
        <v>2094</v>
      </c>
      <c r="K850" s="14"/>
      <c r="L850" s="14" t="s">
        <v>7652</v>
      </c>
      <c r="M850" s="14" t="s">
        <v>7653</v>
      </c>
      <c r="N850" s="14"/>
      <c r="O850" s="14" t="s">
        <v>7654</v>
      </c>
      <c r="P850" s="14" t="str">
        <f>HYPERLINK("https://ceds.ed.gov/cedselementdetails.aspx?termid=17243")</f>
        <v>https://ceds.ed.gov/cedselementdetails.aspx?termid=17243</v>
      </c>
      <c r="Q850" s="14" t="str">
        <f>HYPERLINK("https://ceds.ed.gov/elementComment.aspx?elementName=School Year &amp;elementID=17243", "Click here to submit comment")</f>
        <v>Click here to submit comment</v>
      </c>
      <c r="R850" s="14">
        <v>51170</v>
      </c>
    </row>
    <row r="851" spans="1:18" ht="75" x14ac:dyDescent="0.25">
      <c r="A851" s="14" t="s">
        <v>8732</v>
      </c>
      <c r="B851" s="14" t="s">
        <v>8735</v>
      </c>
      <c r="C851" s="14" t="s">
        <v>8762</v>
      </c>
      <c r="D851" s="14" t="s">
        <v>8531</v>
      </c>
      <c r="E851" s="14" t="s">
        <v>251</v>
      </c>
      <c r="F851" s="14" t="s">
        <v>252</v>
      </c>
      <c r="G851" s="8" t="s">
        <v>8763</v>
      </c>
      <c r="H851" s="14" t="s">
        <v>258</v>
      </c>
      <c r="I851" s="14"/>
      <c r="J851" s="14"/>
      <c r="K851" s="14"/>
      <c r="L851" s="14"/>
      <c r="M851" s="14" t="s">
        <v>255</v>
      </c>
      <c r="N851" s="14" t="s">
        <v>256</v>
      </c>
      <c r="O851" s="14" t="s">
        <v>257</v>
      </c>
      <c r="P851" s="14" t="str">
        <f>HYPERLINK("https://ceds.ed.gov/cedselementdetails.aspx?termid=17011")</f>
        <v>https://ceds.ed.gov/cedselementdetails.aspx?termid=17011</v>
      </c>
      <c r="Q851" s="14" t="str">
        <f>HYPERLINK("https://ceds.ed.gov/elementComment.aspx?elementName=Adequate Yearly Progress Status &amp;elementID=17011", "Click here to submit comment")</f>
        <v>Click here to submit comment</v>
      </c>
      <c r="R851" s="14">
        <v>47812</v>
      </c>
    </row>
    <row r="852" spans="1:18" ht="45" x14ac:dyDescent="0.25">
      <c r="A852" s="14" t="s">
        <v>8732</v>
      </c>
      <c r="B852" s="14" t="s">
        <v>8735</v>
      </c>
      <c r="C852" s="14" t="s">
        <v>8762</v>
      </c>
      <c r="D852" s="14" t="s">
        <v>8531</v>
      </c>
      <c r="E852" s="14" t="s">
        <v>246</v>
      </c>
      <c r="F852" s="14" t="s">
        <v>247</v>
      </c>
      <c r="G852" s="14" t="s">
        <v>37</v>
      </c>
      <c r="H852" s="14" t="s">
        <v>245</v>
      </c>
      <c r="I852" s="14"/>
      <c r="J852" s="14" t="s">
        <v>135</v>
      </c>
      <c r="K852" s="14"/>
      <c r="L852" s="14"/>
      <c r="M852" s="14" t="s">
        <v>248</v>
      </c>
      <c r="N852" s="14" t="s">
        <v>249</v>
      </c>
      <c r="O852" s="14" t="s">
        <v>250</v>
      </c>
      <c r="P852" s="14" t="str">
        <f>HYPERLINK("https://ceds.ed.gov/cedselementdetails.aspx?termid=17434")</f>
        <v>https://ceds.ed.gov/cedselementdetails.aspx?termid=17434</v>
      </c>
      <c r="Q852" s="14" t="str">
        <f>HYPERLINK("https://ceds.ed.gov/elementComment.aspx?elementName=Adequate Yearly Progress Appeal Process Date &amp;elementID=17434", "Click here to submit comment")</f>
        <v>Click here to submit comment</v>
      </c>
      <c r="R852" s="14">
        <v>47859</v>
      </c>
    </row>
    <row r="853" spans="1:18" ht="45" x14ac:dyDescent="0.25">
      <c r="A853" s="14" t="s">
        <v>8732</v>
      </c>
      <c r="B853" s="14" t="s">
        <v>8735</v>
      </c>
      <c r="C853" s="14" t="s">
        <v>8762</v>
      </c>
      <c r="D853" s="14" t="s">
        <v>8531</v>
      </c>
      <c r="E853" s="14" t="s">
        <v>239</v>
      </c>
      <c r="F853" s="14" t="s">
        <v>240</v>
      </c>
      <c r="G853" s="14" t="s">
        <v>24</v>
      </c>
      <c r="H853" s="14" t="s">
        <v>245</v>
      </c>
      <c r="I853" s="14"/>
      <c r="J853" s="14"/>
      <c r="K853" s="14"/>
      <c r="L853" s="14"/>
      <c r="M853" s="14" t="s">
        <v>242</v>
      </c>
      <c r="N853" s="14" t="s">
        <v>243</v>
      </c>
      <c r="O853" s="14" t="s">
        <v>244</v>
      </c>
      <c r="P853" s="14" t="str">
        <f>HYPERLINK("https://ceds.ed.gov/cedselementdetails.aspx?termid=17433")</f>
        <v>https://ceds.ed.gov/cedselementdetails.aspx?termid=17433</v>
      </c>
      <c r="Q853" s="14" t="str">
        <f>HYPERLINK("https://ceds.ed.gov/elementComment.aspx?elementName=Adequate Yearly Progress Appeal Changed Designation &amp;elementID=17433", "Click here to submit comment")</f>
        <v>Click here to submit comment</v>
      </c>
      <c r="R853" s="14">
        <v>47858</v>
      </c>
    </row>
    <row r="854" spans="1:18" ht="45" x14ac:dyDescent="0.25">
      <c r="A854" s="14" t="s">
        <v>8732</v>
      </c>
      <c r="B854" s="14" t="s">
        <v>8735</v>
      </c>
      <c r="C854" s="14" t="s">
        <v>8762</v>
      </c>
      <c r="D854" s="14" t="s">
        <v>8531</v>
      </c>
      <c r="E854" s="14" t="s">
        <v>457</v>
      </c>
      <c r="F854" s="14" t="s">
        <v>458</v>
      </c>
      <c r="G854" s="14" t="s">
        <v>24</v>
      </c>
      <c r="H854" s="14" t="s">
        <v>245</v>
      </c>
      <c r="I854" s="14"/>
      <c r="J854" s="14"/>
      <c r="K854" s="14"/>
      <c r="L854" s="14"/>
      <c r="M854" s="14" t="s">
        <v>459</v>
      </c>
      <c r="N854" s="14" t="s">
        <v>460</v>
      </c>
      <c r="O854" s="14" t="s">
        <v>461</v>
      </c>
      <c r="P854" s="14" t="str">
        <f>HYPERLINK("https://ceds.ed.gov/cedselementdetails.aspx?termid=17432")</f>
        <v>https://ceds.ed.gov/cedselementdetails.aspx?termid=17432</v>
      </c>
      <c r="Q854" s="14" t="str">
        <f>HYPERLINK("https://ceds.ed.gov/elementComment.aspx?elementName=Appealed Adequate Yearly Progress Designation &amp;elementID=17432", "Click here to submit comment")</f>
        <v>Click here to submit comment</v>
      </c>
      <c r="R854" s="14">
        <v>47857</v>
      </c>
    </row>
    <row r="855" spans="1:18" ht="60" x14ac:dyDescent="0.25">
      <c r="A855" s="14" t="s">
        <v>8732</v>
      </c>
      <c r="B855" s="14" t="s">
        <v>8735</v>
      </c>
      <c r="C855" s="14" t="s">
        <v>8762</v>
      </c>
      <c r="D855" s="14" t="s">
        <v>8531</v>
      </c>
      <c r="E855" s="14" t="s">
        <v>396</v>
      </c>
      <c r="F855" s="14" t="s">
        <v>397</v>
      </c>
      <c r="G855" s="14" t="s">
        <v>24</v>
      </c>
      <c r="H855" s="14" t="s">
        <v>258</v>
      </c>
      <c r="I855" s="14"/>
      <c r="J855" s="14"/>
      <c r="K855" s="14"/>
      <c r="L855" s="14"/>
      <c r="M855" s="14" t="s">
        <v>398</v>
      </c>
      <c r="N855" s="14" t="s">
        <v>399</v>
      </c>
      <c r="O855" s="14" t="s">
        <v>400</v>
      </c>
      <c r="P855" s="14" t="str">
        <f>HYPERLINK("https://ceds.ed.gov/cedselementdetails.aspx?termid=17014")</f>
        <v>https://ceds.ed.gov/cedselementdetails.aspx?termid=17014</v>
      </c>
      <c r="Q855" s="14" t="str">
        <f>HYPERLINK("https://ceds.ed.gov/elementComment.aspx?elementName=Alternate Adequate Yearly Progress Approach Indicator &amp;elementID=17014", "Click here to submit comment")</f>
        <v>Click here to submit comment</v>
      </c>
      <c r="R855" s="14">
        <v>47814</v>
      </c>
    </row>
    <row r="856" spans="1:18" ht="105" x14ac:dyDescent="0.25">
      <c r="A856" s="14" t="s">
        <v>8732</v>
      </c>
      <c r="B856" s="14" t="s">
        <v>8735</v>
      </c>
      <c r="C856" s="14" t="s">
        <v>8762</v>
      </c>
      <c r="D856" s="14" t="s">
        <v>8531</v>
      </c>
      <c r="E856" s="14" t="s">
        <v>442</v>
      </c>
      <c r="F856" s="14" t="s">
        <v>443</v>
      </c>
      <c r="G856" s="8" t="s">
        <v>8764</v>
      </c>
      <c r="H856" s="14" t="s">
        <v>258</v>
      </c>
      <c r="I856" s="14"/>
      <c r="J856" s="14"/>
      <c r="K856" s="14"/>
      <c r="L856" s="14"/>
      <c r="M856" s="14" t="s">
        <v>444</v>
      </c>
      <c r="N856" s="14" t="s">
        <v>445</v>
      </c>
      <c r="O856" s="14" t="s">
        <v>446</v>
      </c>
      <c r="P856" s="14" t="str">
        <f>HYPERLINK("https://ceds.ed.gov/cedselementdetails.aspx?termid=17535")</f>
        <v>https://ceds.ed.gov/cedselementdetails.aspx?termid=17535</v>
      </c>
      <c r="Q856" s="14" t="str">
        <f>HYPERLINK("https://ceds.ed.gov/elementComment.aspx?elementName=Annual Measurable Achievement Objective Proficiency Attainment Status for LEP Students &amp;elementID=17535", "Click here to submit comment")</f>
        <v>Click here to submit comment</v>
      </c>
      <c r="R856" s="14">
        <v>47871</v>
      </c>
    </row>
    <row r="857" spans="1:18" ht="105" x14ac:dyDescent="0.25">
      <c r="A857" s="14" t="s">
        <v>8732</v>
      </c>
      <c r="B857" s="14" t="s">
        <v>8735</v>
      </c>
      <c r="C857" s="14" t="s">
        <v>8762</v>
      </c>
      <c r="D857" s="14" t="s">
        <v>8531</v>
      </c>
      <c r="E857" s="14" t="s">
        <v>447</v>
      </c>
      <c r="F857" s="14" t="s">
        <v>448</v>
      </c>
      <c r="G857" s="8" t="s">
        <v>8764</v>
      </c>
      <c r="H857" s="14" t="s">
        <v>258</v>
      </c>
      <c r="I857" s="14"/>
      <c r="J857" s="14"/>
      <c r="K857" s="14"/>
      <c r="L857" s="14"/>
      <c r="M857" s="14" t="s">
        <v>449</v>
      </c>
      <c r="N857" s="14" t="s">
        <v>450</v>
      </c>
      <c r="O857" s="14" t="s">
        <v>451</v>
      </c>
      <c r="P857" s="14" t="str">
        <f>HYPERLINK("https://ceds.ed.gov/cedselementdetails.aspx?termid=17545")</f>
        <v>https://ceds.ed.gov/cedselementdetails.aspx?termid=17545</v>
      </c>
      <c r="Q857" s="14" t="str">
        <f>HYPERLINK("https://ceds.ed.gov/elementComment.aspx?elementName=Annual Measurable Achievement Objective Progress Attainment Status for LEP Students &amp;elementID=17545", "Click here to submit comment")</f>
        <v>Click here to submit comment</v>
      </c>
      <c r="R857" s="14">
        <v>47873</v>
      </c>
    </row>
    <row r="858" spans="1:18" ht="195" x14ac:dyDescent="0.25">
      <c r="A858" s="14" t="s">
        <v>8732</v>
      </c>
      <c r="B858" s="14" t="s">
        <v>8735</v>
      </c>
      <c r="C858" s="14" t="s">
        <v>8762</v>
      </c>
      <c r="D858" s="14" t="s">
        <v>8531</v>
      </c>
      <c r="E858" s="14" t="s">
        <v>7063</v>
      </c>
      <c r="F858" s="14" t="s">
        <v>7064</v>
      </c>
      <c r="G858" s="8" t="s">
        <v>8765</v>
      </c>
      <c r="H858" s="14" t="s">
        <v>258</v>
      </c>
      <c r="I858" s="14"/>
      <c r="J858" s="14"/>
      <c r="K858" s="14"/>
      <c r="L858" s="14"/>
      <c r="M858" s="14" t="s">
        <v>7066</v>
      </c>
      <c r="N858" s="14"/>
      <c r="O858" s="14" t="s">
        <v>7067</v>
      </c>
      <c r="P858" s="14" t="str">
        <f>HYPERLINK("https://ceds.ed.gov/cedselementdetails.aspx?termid=17221")</f>
        <v>https://ceds.ed.gov/cedselementdetails.aspx?termid=17221</v>
      </c>
      <c r="Q858" s="14" t="str">
        <f>HYPERLINK("https://ceds.ed.gov/elementComment.aspx?elementName=Proficiency Target Status for Math &amp;elementID=17221", "Click here to submit comment")</f>
        <v>Click here to submit comment</v>
      </c>
      <c r="R858" s="14">
        <v>47838</v>
      </c>
    </row>
    <row r="859" spans="1:18" ht="195" x14ac:dyDescent="0.25">
      <c r="A859" s="14" t="s">
        <v>8732</v>
      </c>
      <c r="B859" s="14" t="s">
        <v>8735</v>
      </c>
      <c r="C859" s="14" t="s">
        <v>8762</v>
      </c>
      <c r="D859" s="14" t="s">
        <v>8531</v>
      </c>
      <c r="E859" s="14" t="s">
        <v>7068</v>
      </c>
      <c r="F859" s="14" t="s">
        <v>7069</v>
      </c>
      <c r="G859" s="8" t="s">
        <v>8765</v>
      </c>
      <c r="H859" s="14" t="s">
        <v>258</v>
      </c>
      <c r="I859" s="14"/>
      <c r="J859" s="14"/>
      <c r="K859" s="14"/>
      <c r="L859" s="14"/>
      <c r="M859" s="14" t="s">
        <v>7070</v>
      </c>
      <c r="N859" s="14"/>
      <c r="O859" s="14" t="s">
        <v>7071</v>
      </c>
      <c r="P859" s="14" t="str">
        <f>HYPERLINK("https://ceds.ed.gov/cedselementdetails.aspx?termid=17544")</f>
        <v>https://ceds.ed.gov/cedselementdetails.aspx?termid=17544</v>
      </c>
      <c r="Q859" s="14" t="str">
        <f>HYPERLINK("https://ceds.ed.gov/elementComment.aspx?elementName=Proficiency Target Status for Reading and Language Arts &amp;elementID=17544", "Click here to submit comment")</f>
        <v>Click here to submit comment</v>
      </c>
      <c r="R859" s="14">
        <v>47872</v>
      </c>
    </row>
    <row r="860" spans="1:18" ht="120" x14ac:dyDescent="0.25">
      <c r="A860" s="14" t="s">
        <v>8732</v>
      </c>
      <c r="B860" s="14" t="s">
        <v>8735</v>
      </c>
      <c r="C860" s="14" t="s">
        <v>8762</v>
      </c>
      <c r="D860" s="14" t="s">
        <v>8531</v>
      </c>
      <c r="E860" s="14" t="s">
        <v>6652</v>
      </c>
      <c r="F860" s="14" t="s">
        <v>6653</v>
      </c>
      <c r="G860" s="8" t="s">
        <v>8766</v>
      </c>
      <c r="H860" s="14" t="s">
        <v>258</v>
      </c>
      <c r="I860" s="14"/>
      <c r="J860" s="14"/>
      <c r="K860" s="14"/>
      <c r="L860" s="14"/>
      <c r="M860" s="14" t="s">
        <v>6655</v>
      </c>
      <c r="N860" s="14"/>
      <c r="O860" s="14" t="s">
        <v>6656</v>
      </c>
      <c r="P860" s="14" t="str">
        <f>HYPERLINK("https://ceds.ed.gov/cedselementdetails.aspx?termid=17208")</f>
        <v>https://ceds.ed.gov/cedselementdetails.aspx?termid=17208</v>
      </c>
      <c r="Q860" s="14" t="str">
        <f>HYPERLINK("https://ceds.ed.gov/elementComment.aspx?elementName=Participation Status for Math &amp;elementID=17208", "Click here to submit comment")</f>
        <v>Click here to submit comment</v>
      </c>
      <c r="R860" s="14">
        <v>47832</v>
      </c>
    </row>
    <row r="861" spans="1:18" ht="120" x14ac:dyDescent="0.25">
      <c r="A861" s="14" t="s">
        <v>8732</v>
      </c>
      <c r="B861" s="14" t="s">
        <v>8735</v>
      </c>
      <c r="C861" s="14" t="s">
        <v>8762</v>
      </c>
      <c r="D861" s="14" t="s">
        <v>8531</v>
      </c>
      <c r="E861" s="14" t="s">
        <v>6657</v>
      </c>
      <c r="F861" s="14" t="s">
        <v>6658</v>
      </c>
      <c r="G861" s="8" t="s">
        <v>8766</v>
      </c>
      <c r="H861" s="14" t="s">
        <v>258</v>
      </c>
      <c r="I861" s="14"/>
      <c r="J861" s="14"/>
      <c r="K861" s="14"/>
      <c r="L861" s="14"/>
      <c r="M861" s="14" t="s">
        <v>6659</v>
      </c>
      <c r="N861" s="14"/>
      <c r="O861" s="14" t="s">
        <v>6660</v>
      </c>
      <c r="P861" s="14" t="str">
        <f>HYPERLINK("https://ceds.ed.gov/cedselementdetails.aspx?termid=17209")</f>
        <v>https://ceds.ed.gov/cedselementdetails.aspx?termid=17209</v>
      </c>
      <c r="Q861" s="14" t="str">
        <f>HYPERLINK("https://ceds.ed.gov/elementComment.aspx?elementName=Participation Status for Reading and Language Arts &amp;elementID=17209", "Click here to submit comment")</f>
        <v>Click here to submit comment</v>
      </c>
      <c r="R861" s="14">
        <v>47833</v>
      </c>
    </row>
    <row r="862" spans="1:18" ht="45" x14ac:dyDescent="0.25">
      <c r="A862" s="14" t="s">
        <v>8732</v>
      </c>
      <c r="B862" s="14" t="s">
        <v>8735</v>
      </c>
      <c r="C862" s="14" t="s">
        <v>8762</v>
      </c>
      <c r="D862" s="14" t="s">
        <v>8531</v>
      </c>
      <c r="E862" s="14" t="s">
        <v>6692</v>
      </c>
      <c r="F862" s="14" t="s">
        <v>6693</v>
      </c>
      <c r="G862" s="14" t="s">
        <v>24</v>
      </c>
      <c r="H862" s="14" t="s">
        <v>258</v>
      </c>
      <c r="I862" s="14"/>
      <c r="J862" s="14"/>
      <c r="K862" s="14"/>
      <c r="L862" s="14"/>
      <c r="M862" s="14" t="s">
        <v>6694</v>
      </c>
      <c r="N862" s="14"/>
      <c r="O862" s="14" t="s">
        <v>6695</v>
      </c>
      <c r="P862" s="14" t="str">
        <f>HYPERLINK("https://ceds.ed.gov/cedselementdetails.aspx?termid=17210")</f>
        <v>https://ceds.ed.gov/cedselementdetails.aspx?termid=17210</v>
      </c>
      <c r="Q862" s="14" t="str">
        <f>HYPERLINK("https://ceds.ed.gov/elementComment.aspx?elementName=Persistently Dangerous Status &amp;elementID=17210", "Click here to submit comment")</f>
        <v>Click here to submit comment</v>
      </c>
      <c r="R862" s="14">
        <v>47834</v>
      </c>
    </row>
    <row r="863" spans="1:18" ht="45" x14ac:dyDescent="0.25">
      <c r="A863" s="14" t="s">
        <v>8732</v>
      </c>
      <c r="B863" s="14" t="s">
        <v>8735</v>
      </c>
      <c r="C863" s="14" t="s">
        <v>8762</v>
      </c>
      <c r="D863" s="14" t="s">
        <v>8531</v>
      </c>
      <c r="E863" s="14" t="s">
        <v>6696</v>
      </c>
      <c r="F863" s="14" t="s">
        <v>6697</v>
      </c>
      <c r="G863" s="14" t="s">
        <v>24</v>
      </c>
      <c r="H863" s="14" t="s">
        <v>258</v>
      </c>
      <c r="I863" s="14"/>
      <c r="J863" s="14"/>
      <c r="K863" s="14"/>
      <c r="L863" s="14"/>
      <c r="M863" s="14" t="s">
        <v>6698</v>
      </c>
      <c r="N863" s="14"/>
      <c r="O863" s="14" t="s">
        <v>6699</v>
      </c>
      <c r="P863" s="14" t="str">
        <f>HYPERLINK("https://ceds.ed.gov/cedselementdetails.aspx?termid=17211")</f>
        <v>https://ceds.ed.gov/cedselementdetails.aspx?termid=17211</v>
      </c>
      <c r="Q863" s="14" t="str">
        <f>HYPERLINK("https://ceds.ed.gov/elementComment.aspx?elementName=Persistently Lowest Achieving School Status &amp;elementID=17211", "Click here to submit comment")</f>
        <v>Click here to submit comment</v>
      </c>
      <c r="R863" s="14">
        <v>47835</v>
      </c>
    </row>
    <row r="864" spans="1:18" ht="105" x14ac:dyDescent="0.25">
      <c r="A864" s="14" t="s">
        <v>8732</v>
      </c>
      <c r="B864" s="14" t="s">
        <v>8735</v>
      </c>
      <c r="C864" s="14" t="s">
        <v>8762</v>
      </c>
      <c r="D864" s="14" t="s">
        <v>8531</v>
      </c>
      <c r="E864" s="14" t="s">
        <v>3944</v>
      </c>
      <c r="F864" s="14" t="s">
        <v>3945</v>
      </c>
      <c r="G864" s="8" t="s">
        <v>8767</v>
      </c>
      <c r="H864" s="14" t="s">
        <v>258</v>
      </c>
      <c r="I864" s="14"/>
      <c r="J864" s="14"/>
      <c r="K864" s="14"/>
      <c r="L864" s="14"/>
      <c r="M864" s="14" t="s">
        <v>3947</v>
      </c>
      <c r="N864" s="14"/>
      <c r="O864" s="14" t="s">
        <v>3948</v>
      </c>
      <c r="P864" s="14" t="str">
        <f>HYPERLINK("https://ceds.ed.gov/cedselementdetails.aspx?termid=17091")</f>
        <v>https://ceds.ed.gov/cedselementdetails.aspx?termid=17091</v>
      </c>
      <c r="Q864" s="14" t="str">
        <f>HYPERLINK("https://ceds.ed.gov/elementComment.aspx?elementName=Elementary-Middle Additional Indicator Status &amp;elementID=17091", "Click here to submit comment")</f>
        <v>Click here to submit comment</v>
      </c>
      <c r="R864" s="14">
        <v>47821</v>
      </c>
    </row>
    <row r="865" spans="1:18" ht="120" x14ac:dyDescent="0.25">
      <c r="A865" s="14" t="s">
        <v>8732</v>
      </c>
      <c r="B865" s="14" t="s">
        <v>8735</v>
      </c>
      <c r="C865" s="14" t="s">
        <v>8762</v>
      </c>
      <c r="D865" s="14" t="s">
        <v>8531</v>
      </c>
      <c r="E865" s="14" t="s">
        <v>4913</v>
      </c>
      <c r="F865" s="14" t="s">
        <v>4914</v>
      </c>
      <c r="G865" s="8" t="s">
        <v>8768</v>
      </c>
      <c r="H865" s="14" t="s">
        <v>258</v>
      </c>
      <c r="I865" s="14"/>
      <c r="J865" s="14"/>
      <c r="K865" s="14"/>
      <c r="L865" s="14"/>
      <c r="M865" s="14" t="s">
        <v>4916</v>
      </c>
      <c r="N865" s="14"/>
      <c r="O865" s="14" t="s">
        <v>4917</v>
      </c>
      <c r="P865" s="14" t="str">
        <f>HYPERLINK("https://ceds.ed.gov/cedselementdetails.aspx?termid=17134")</f>
        <v>https://ceds.ed.gov/cedselementdetails.aspx?termid=17134</v>
      </c>
      <c r="Q865" s="14" t="str">
        <f>HYPERLINK("https://ceds.ed.gov/elementComment.aspx?elementName=Gun Free Schools Act Reporting Status &amp;elementID=17134", "Click here to submit comment")</f>
        <v>Click here to submit comment</v>
      </c>
      <c r="R865" s="14">
        <v>47823</v>
      </c>
    </row>
    <row r="866" spans="1:18" ht="120" x14ac:dyDescent="0.25">
      <c r="A866" s="14" t="s">
        <v>8732</v>
      </c>
      <c r="B866" s="14" t="s">
        <v>8735</v>
      </c>
      <c r="C866" s="14" t="s">
        <v>8762</v>
      </c>
      <c r="D866" s="14" t="s">
        <v>8531</v>
      </c>
      <c r="E866" s="14" t="s">
        <v>4967</v>
      </c>
      <c r="F866" s="14" t="s">
        <v>4968</v>
      </c>
      <c r="G866" s="8" t="s">
        <v>8769</v>
      </c>
      <c r="H866" s="14" t="s">
        <v>258</v>
      </c>
      <c r="I866" s="14"/>
      <c r="J866" s="14"/>
      <c r="K866" s="14"/>
      <c r="L866" s="14"/>
      <c r="M866" s="14" t="s">
        <v>4970</v>
      </c>
      <c r="N866" s="14"/>
      <c r="O866" s="14" t="s">
        <v>4971</v>
      </c>
      <c r="P866" s="14" t="str">
        <f>HYPERLINK("https://ceds.ed.gov/cedselementdetails.aspx?termid=17140")</f>
        <v>https://ceds.ed.gov/cedselementdetails.aspx?termid=17140</v>
      </c>
      <c r="Q866" s="14" t="str">
        <f>HYPERLINK("https://ceds.ed.gov/elementComment.aspx?elementName=High School Graduation Rate Indicator Status &amp;elementID=17140", "Click here to submit comment")</f>
        <v>Click here to submit comment</v>
      </c>
      <c r="R866" s="14">
        <v>47824</v>
      </c>
    </row>
    <row r="867" spans="1:18" ht="255" x14ac:dyDescent="0.25">
      <c r="A867" s="14" t="s">
        <v>8732</v>
      </c>
      <c r="B867" s="14" t="s">
        <v>8735</v>
      </c>
      <c r="C867" s="14" t="s">
        <v>8762</v>
      </c>
      <c r="D867" s="14" t="s">
        <v>8531</v>
      </c>
      <c r="E867" s="14" t="s">
        <v>2833</v>
      </c>
      <c r="F867" s="14" t="s">
        <v>2834</v>
      </c>
      <c r="G867" s="8" t="s">
        <v>8770</v>
      </c>
      <c r="H867" s="14" t="s">
        <v>258</v>
      </c>
      <c r="I867" s="14"/>
      <c r="J867" s="14"/>
      <c r="K867" s="14"/>
      <c r="L867" s="14"/>
      <c r="M867" s="14" t="s">
        <v>2837</v>
      </c>
      <c r="N867" s="14"/>
      <c r="O867" s="14" t="s">
        <v>2838</v>
      </c>
      <c r="P867" s="14" t="str">
        <f>HYPERLINK("https://ceds.ed.gov/cedselementdetails.aspx?termid=17049")</f>
        <v>https://ceds.ed.gov/cedselementdetails.aspx?termid=17049</v>
      </c>
      <c r="Q867" s="14" t="str">
        <f>HYPERLINK("https://ceds.ed.gov/elementComment.aspx?elementName=Corrective Action Type &amp;elementID=17049", "Click here to submit comment")</f>
        <v>Click here to submit comment</v>
      </c>
      <c r="R867" s="14">
        <v>47819</v>
      </c>
    </row>
    <row r="868" spans="1:18" ht="90" x14ac:dyDescent="0.25">
      <c r="A868" s="14" t="s">
        <v>8732</v>
      </c>
      <c r="B868" s="14" t="s">
        <v>8735</v>
      </c>
      <c r="C868" s="14" t="s">
        <v>8762</v>
      </c>
      <c r="D868" s="14" t="s">
        <v>8531</v>
      </c>
      <c r="E868" s="14" t="s">
        <v>7320</v>
      </c>
      <c r="F868" s="14" t="s">
        <v>7321</v>
      </c>
      <c r="G868" s="8" t="s">
        <v>8771</v>
      </c>
      <c r="H868" s="14" t="s">
        <v>258</v>
      </c>
      <c r="I868" s="14"/>
      <c r="J868" s="14"/>
      <c r="K868" s="14"/>
      <c r="L868" s="14"/>
      <c r="M868" s="14" t="s">
        <v>7323</v>
      </c>
      <c r="N868" s="14"/>
      <c r="O868" s="14" t="s">
        <v>7324</v>
      </c>
      <c r="P868" s="14" t="str">
        <f>HYPERLINK("https://ceds.ed.gov/cedselementdetails.aspx?termid=17230")</f>
        <v>https://ceds.ed.gov/cedselementdetails.aspx?termid=17230</v>
      </c>
      <c r="Q868" s="14" t="str">
        <f>HYPERLINK("https://ceds.ed.gov/elementComment.aspx?elementName=Reconstituted Status &amp;elementID=17230", "Click here to submit comment")</f>
        <v>Click here to submit comment</v>
      </c>
      <c r="R868" s="14">
        <v>47840</v>
      </c>
    </row>
    <row r="869" spans="1:18" ht="165" x14ac:dyDescent="0.25">
      <c r="A869" s="14" t="s">
        <v>8732</v>
      </c>
      <c r="B869" s="14" t="s">
        <v>8735</v>
      </c>
      <c r="C869" s="14" t="s">
        <v>8762</v>
      </c>
      <c r="D869" s="14" t="s">
        <v>8531</v>
      </c>
      <c r="E869" s="14" t="s">
        <v>7427</v>
      </c>
      <c r="F869" s="14" t="s">
        <v>7428</v>
      </c>
      <c r="G869" s="8" t="s">
        <v>8772</v>
      </c>
      <c r="H869" s="14" t="s">
        <v>258</v>
      </c>
      <c r="I869" s="14"/>
      <c r="J869" s="14"/>
      <c r="K869" s="14"/>
      <c r="L869" s="14"/>
      <c r="M869" s="14" t="s">
        <v>7430</v>
      </c>
      <c r="N869" s="14"/>
      <c r="O869" s="14" t="s">
        <v>7431</v>
      </c>
      <c r="P869" s="14" t="str">
        <f>HYPERLINK("https://ceds.ed.gov/cedselementdetails.aspx?termid=17232")</f>
        <v>https://ceds.ed.gov/cedselementdetails.aspx?termid=17232</v>
      </c>
      <c r="Q869" s="14" t="str">
        <f>HYPERLINK("https://ceds.ed.gov/elementComment.aspx?elementName=Restructuring Action &amp;elementID=17232", "Click here to submit comment")</f>
        <v>Click here to submit comment</v>
      </c>
      <c r="R869" s="14">
        <v>47841</v>
      </c>
    </row>
    <row r="870" spans="1:18" ht="45" x14ac:dyDescent="0.25">
      <c r="A870" s="14" t="s">
        <v>8732</v>
      </c>
      <c r="B870" s="14" t="s">
        <v>8735</v>
      </c>
      <c r="C870" s="14" t="s">
        <v>8762</v>
      </c>
      <c r="D870" s="14" t="s">
        <v>8531</v>
      </c>
      <c r="E870" s="14" t="s">
        <v>7616</v>
      </c>
      <c r="F870" s="14" t="s">
        <v>7617</v>
      </c>
      <c r="G870" s="14" t="s">
        <v>24</v>
      </c>
      <c r="H870" s="14" t="s">
        <v>258</v>
      </c>
      <c r="I870" s="14"/>
      <c r="J870" s="14"/>
      <c r="K870" s="14"/>
      <c r="L870" s="14"/>
      <c r="M870" s="14" t="s">
        <v>7618</v>
      </c>
      <c r="N870" s="14"/>
      <c r="O870" s="14" t="s">
        <v>7619</v>
      </c>
      <c r="P870" s="14" t="str">
        <f>HYPERLINK("https://ceds.ed.gov/cedselementdetails.aspx?termid=17238")</f>
        <v>https://ceds.ed.gov/cedselementdetails.aspx?termid=17238</v>
      </c>
      <c r="Q870" s="14" t="str">
        <f>HYPERLINK("https://ceds.ed.gov/elementComment.aspx?elementName=School Improvement Funds Status &amp;elementID=17238", "Click here to submit comment")</f>
        <v>Click here to submit comment</v>
      </c>
      <c r="R870" s="14">
        <v>47842</v>
      </c>
    </row>
    <row r="871" spans="1:18" ht="75" x14ac:dyDescent="0.25">
      <c r="A871" s="14" t="s">
        <v>8732</v>
      </c>
      <c r="B871" s="14" t="s">
        <v>8735</v>
      </c>
      <c r="C871" s="14" t="s">
        <v>8762</v>
      </c>
      <c r="D871" s="14" t="s">
        <v>8531</v>
      </c>
      <c r="E871" s="14" t="s">
        <v>7612</v>
      </c>
      <c r="F871" s="14" t="s">
        <v>7613</v>
      </c>
      <c r="G871" s="14" t="s">
        <v>37</v>
      </c>
      <c r="H871" s="14" t="s">
        <v>245</v>
      </c>
      <c r="I871" s="14"/>
      <c r="J871" s="14" t="s">
        <v>135</v>
      </c>
      <c r="K871" s="14"/>
      <c r="L871" s="14" t="s">
        <v>160</v>
      </c>
      <c r="M871" s="14" t="s">
        <v>7614</v>
      </c>
      <c r="N871" s="14"/>
      <c r="O871" s="14" t="s">
        <v>7615</v>
      </c>
      <c r="P871" s="14" t="str">
        <f>HYPERLINK("https://ceds.ed.gov/cedselementdetails.aspx?termid=17472")</f>
        <v>https://ceds.ed.gov/cedselementdetails.aspx?termid=17472</v>
      </c>
      <c r="Q871" s="14" t="str">
        <f>HYPERLINK("https://ceds.ed.gov/elementComment.aspx?elementName=School Improvement Exit Date &amp;elementID=17472", "Click here to submit comment")</f>
        <v>Click here to submit comment</v>
      </c>
      <c r="R871" s="14">
        <v>47861</v>
      </c>
    </row>
    <row r="872" spans="1:18" ht="75" x14ac:dyDescent="0.25">
      <c r="A872" s="14" t="s">
        <v>8732</v>
      </c>
      <c r="B872" s="14" t="s">
        <v>8735</v>
      </c>
      <c r="C872" s="14" t="s">
        <v>8762</v>
      </c>
      <c r="D872" s="14" t="s">
        <v>8541</v>
      </c>
      <c r="E872" s="14" t="s">
        <v>184</v>
      </c>
      <c r="F872" s="14" t="s">
        <v>185</v>
      </c>
      <c r="G872" s="8" t="s">
        <v>8773</v>
      </c>
      <c r="H872" s="14"/>
      <c r="I872" s="14" t="s">
        <v>188</v>
      </c>
      <c r="J872" s="14"/>
      <c r="K872" s="14" t="s">
        <v>189</v>
      </c>
      <c r="L872" s="14"/>
      <c r="M872" s="14" t="s">
        <v>190</v>
      </c>
      <c r="N872" s="14"/>
      <c r="O872" s="14" t="s">
        <v>191</v>
      </c>
      <c r="P872" s="14" t="str">
        <f>HYPERLINK("https://ceds.ed.gov/cedselementdetails.aspx?termid=18902")</f>
        <v>https://ceds.ed.gov/cedselementdetails.aspx?termid=18902</v>
      </c>
      <c r="Q872" s="14" t="str">
        <f>HYPERLINK("https://ceds.ed.gov/elementComment.aspx?elementName=Additional Targeted Support and Improvement Status &amp;elementID=18902", "Click here to submit comment")</f>
        <v>Click here to submit comment</v>
      </c>
      <c r="R872" s="14">
        <v>52311</v>
      </c>
    </row>
    <row r="873" spans="1:18" ht="105" x14ac:dyDescent="0.25">
      <c r="A873" s="14" t="s">
        <v>8732</v>
      </c>
      <c r="B873" s="14" t="s">
        <v>8735</v>
      </c>
      <c r="C873" s="14" t="s">
        <v>8762</v>
      </c>
      <c r="D873" s="14" t="s">
        <v>8541</v>
      </c>
      <c r="E873" s="14" t="s">
        <v>2770</v>
      </c>
      <c r="F873" s="14" t="s">
        <v>2771</v>
      </c>
      <c r="G873" s="8" t="s">
        <v>8774</v>
      </c>
      <c r="H873" s="14"/>
      <c r="I873" s="14" t="s">
        <v>188</v>
      </c>
      <c r="J873" s="14"/>
      <c r="K873" s="14" t="s">
        <v>189</v>
      </c>
      <c r="L873" s="14"/>
      <c r="M873" s="14" t="s">
        <v>2773</v>
      </c>
      <c r="N873" s="14"/>
      <c r="O873" s="14" t="s">
        <v>2774</v>
      </c>
      <c r="P873" s="14" t="str">
        <f>HYPERLINK("https://ceds.ed.gov/cedselementdetails.aspx?termid=18904")</f>
        <v>https://ceds.ed.gov/cedselementdetails.aspx?termid=18904</v>
      </c>
      <c r="Q873" s="14" t="str">
        <f>HYPERLINK("https://ceds.ed.gov/elementComment.aspx?elementName=Comprehensive Support and Improvement Status &amp;elementID=18904", "Click here to submit comment")</f>
        <v>Click here to submit comment</v>
      </c>
      <c r="R873" s="14">
        <v>52312</v>
      </c>
    </row>
    <row r="874" spans="1:18" ht="105" x14ac:dyDescent="0.25">
      <c r="A874" s="14" t="s">
        <v>8732</v>
      </c>
      <c r="B874" s="14" t="s">
        <v>8735</v>
      </c>
      <c r="C874" s="14" t="s">
        <v>8762</v>
      </c>
      <c r="D874" s="14" t="s">
        <v>8541</v>
      </c>
      <c r="E874" s="14" t="s">
        <v>8116</v>
      </c>
      <c r="F874" s="14" t="s">
        <v>8117</v>
      </c>
      <c r="G874" s="8" t="s">
        <v>8775</v>
      </c>
      <c r="H874" s="14"/>
      <c r="I874" s="14" t="s">
        <v>188</v>
      </c>
      <c r="J874" s="14"/>
      <c r="K874" s="14" t="s">
        <v>189</v>
      </c>
      <c r="L874" s="14"/>
      <c r="M874" s="14" t="s">
        <v>8119</v>
      </c>
      <c r="N874" s="14"/>
      <c r="O874" s="14" t="s">
        <v>8120</v>
      </c>
      <c r="P874" s="14" t="str">
        <f>HYPERLINK("https://ceds.ed.gov/cedselementdetails.aspx?termid=18910")</f>
        <v>https://ceds.ed.gov/cedselementdetails.aspx?termid=18910</v>
      </c>
      <c r="Q874" s="14" t="str">
        <f>HYPERLINK("https://ceds.ed.gov/elementComment.aspx?elementName=Targeted Support and Improvement Status &amp;elementID=18910", "Click here to submit comment")</f>
        <v>Click here to submit comment</v>
      </c>
      <c r="R874" s="14">
        <v>52313</v>
      </c>
    </row>
    <row r="875" spans="1:18" ht="45" x14ac:dyDescent="0.25">
      <c r="A875" s="14" t="s">
        <v>8732</v>
      </c>
      <c r="B875" s="14" t="s">
        <v>8735</v>
      </c>
      <c r="C875" s="14" t="s">
        <v>8582</v>
      </c>
      <c r="D875" s="14" t="s">
        <v>8531</v>
      </c>
      <c r="E875" s="14" t="s">
        <v>4686</v>
      </c>
      <c r="F875" s="14" t="s">
        <v>4687</v>
      </c>
      <c r="G875" s="14" t="s">
        <v>37</v>
      </c>
      <c r="H875" s="14"/>
      <c r="I875" s="14"/>
      <c r="J875" s="14" t="s">
        <v>2094</v>
      </c>
      <c r="K875" s="14"/>
      <c r="L875" s="14"/>
      <c r="M875" s="14" t="s">
        <v>4688</v>
      </c>
      <c r="N875" s="14"/>
      <c r="O875" s="14" t="s">
        <v>4689</v>
      </c>
      <c r="P875" s="14" t="str">
        <f>HYPERLINK("https://ceds.ed.gov/cedselementdetails.aspx?termid=18620")</f>
        <v>https://ceds.ed.gov/cedselementdetails.aspx?termid=18620</v>
      </c>
      <c r="Q875" s="14" t="str">
        <f>HYPERLINK("https://ceds.ed.gov/elementComment.aspx?elementName=Fiscal Year &amp;elementID=18620", "Click here to submit comment")</f>
        <v>Click here to submit comment</v>
      </c>
      <c r="R875" s="14">
        <v>51305</v>
      </c>
    </row>
    <row r="876" spans="1:18" ht="45" x14ac:dyDescent="0.25">
      <c r="A876" s="14" t="s">
        <v>8732</v>
      </c>
      <c r="B876" s="14" t="s">
        <v>8735</v>
      </c>
      <c r="C876" s="14" t="s">
        <v>8582</v>
      </c>
      <c r="D876" s="14" t="s">
        <v>8531</v>
      </c>
      <c r="E876" s="14" t="s">
        <v>4678</v>
      </c>
      <c r="F876" s="14" t="s">
        <v>4679</v>
      </c>
      <c r="G876" s="14" t="s">
        <v>37</v>
      </c>
      <c r="H876" s="14"/>
      <c r="I876" s="14"/>
      <c r="J876" s="14" t="s">
        <v>135</v>
      </c>
      <c r="K876" s="14"/>
      <c r="L876" s="14"/>
      <c r="M876" s="14" t="s">
        <v>4680</v>
      </c>
      <c r="N876" s="14"/>
      <c r="O876" s="14" t="s">
        <v>4681</v>
      </c>
      <c r="P876" s="14" t="str">
        <f>HYPERLINK("https://ceds.ed.gov/cedselementdetails.aspx?termid=18623")</f>
        <v>https://ceds.ed.gov/cedselementdetails.aspx?termid=18623</v>
      </c>
      <c r="Q876" s="14" t="str">
        <f>HYPERLINK("https://ceds.ed.gov/elementComment.aspx?elementName=Fiscal Period Begin Date &amp;elementID=18623", "Click here to submit comment")</f>
        <v>Click here to submit comment</v>
      </c>
      <c r="R876" s="14">
        <v>51315</v>
      </c>
    </row>
    <row r="877" spans="1:18" ht="75" x14ac:dyDescent="0.25">
      <c r="A877" s="14" t="s">
        <v>8732</v>
      </c>
      <c r="B877" s="14" t="s">
        <v>8735</v>
      </c>
      <c r="C877" s="14" t="s">
        <v>8582</v>
      </c>
      <c r="D877" s="14" t="s">
        <v>8531</v>
      </c>
      <c r="E877" s="14" t="s">
        <v>4682</v>
      </c>
      <c r="F877" s="14" t="s">
        <v>4683</v>
      </c>
      <c r="G877" s="14" t="s">
        <v>37</v>
      </c>
      <c r="H877" s="14"/>
      <c r="I877" s="14"/>
      <c r="J877" s="14" t="s">
        <v>135</v>
      </c>
      <c r="K877" s="14"/>
      <c r="L877" s="14" t="s">
        <v>160</v>
      </c>
      <c r="M877" s="14" t="s">
        <v>4684</v>
      </c>
      <c r="N877" s="14"/>
      <c r="O877" s="14" t="s">
        <v>4685</v>
      </c>
      <c r="P877" s="14" t="str">
        <f>HYPERLINK("https://ceds.ed.gov/cedselementdetails.aspx?termid=18624")</f>
        <v>https://ceds.ed.gov/cedselementdetails.aspx?termid=18624</v>
      </c>
      <c r="Q877" s="14" t="str">
        <f>HYPERLINK("https://ceds.ed.gov/elementComment.aspx?elementName=Fiscal Period End Date &amp;elementID=18624", "Click here to submit comment")</f>
        <v>Click here to submit comment</v>
      </c>
      <c r="R877" s="14">
        <v>51319</v>
      </c>
    </row>
    <row r="878" spans="1:18" ht="105" x14ac:dyDescent="0.25">
      <c r="A878" s="14" t="s">
        <v>8732</v>
      </c>
      <c r="B878" s="14" t="s">
        <v>8735</v>
      </c>
      <c r="C878" s="14" t="s">
        <v>8582</v>
      </c>
      <c r="D878" s="14" t="s">
        <v>8531</v>
      </c>
      <c r="E878" s="14" t="s">
        <v>4528</v>
      </c>
      <c r="F878" s="14" t="s">
        <v>4529</v>
      </c>
      <c r="G878" s="14" t="s">
        <v>37</v>
      </c>
      <c r="H878" s="14"/>
      <c r="I878" s="14"/>
      <c r="J878" s="14" t="s">
        <v>97</v>
      </c>
      <c r="K878" s="14"/>
      <c r="L878" s="14"/>
      <c r="M878" s="14" t="s">
        <v>4530</v>
      </c>
      <c r="N878" s="14"/>
      <c r="O878" s="14" t="s">
        <v>4531</v>
      </c>
      <c r="P878" s="14" t="str">
        <f>HYPERLINK("https://ceds.ed.gov/cedselementdetails.aspx?termid=18530")</f>
        <v>https://ceds.ed.gov/cedselementdetails.aspx?termid=18530</v>
      </c>
      <c r="Q878" s="14" t="str">
        <f>HYPERLINK("https://ceds.ed.gov/elementComment.aspx?elementName=Financial Account Number &amp;elementID=18530", "Click here to submit comment")</f>
        <v>Click here to submit comment</v>
      </c>
      <c r="R878" s="14">
        <v>50841</v>
      </c>
    </row>
    <row r="879" spans="1:18" ht="45" x14ac:dyDescent="0.25">
      <c r="A879" s="14" t="s">
        <v>8732</v>
      </c>
      <c r="B879" s="14" t="s">
        <v>8735</v>
      </c>
      <c r="C879" s="14" t="s">
        <v>8582</v>
      </c>
      <c r="D879" s="14" t="s">
        <v>8531</v>
      </c>
      <c r="E879" s="14" t="s">
        <v>4524</v>
      </c>
      <c r="F879" s="14" t="s">
        <v>4525</v>
      </c>
      <c r="G879" s="14" t="s">
        <v>37</v>
      </c>
      <c r="H879" s="14"/>
      <c r="I879" s="14"/>
      <c r="J879" s="14" t="s">
        <v>874</v>
      </c>
      <c r="K879" s="14"/>
      <c r="L879" s="14"/>
      <c r="M879" s="14" t="s">
        <v>4526</v>
      </c>
      <c r="N879" s="14"/>
      <c r="O879" s="14" t="s">
        <v>4527</v>
      </c>
      <c r="P879" s="14" t="str">
        <f>HYPERLINK("https://ceds.ed.gov/cedselementdetails.aspx?termid=18315")</f>
        <v>https://ceds.ed.gov/cedselementdetails.aspx?termid=18315</v>
      </c>
      <c r="Q879" s="14" t="str">
        <f>HYPERLINK("https://ceds.ed.gov/elementComment.aspx?elementName=Financial Account Name &amp;elementID=18315", "Click here to submit comment")</f>
        <v>Click here to submit comment</v>
      </c>
      <c r="R879" s="14">
        <v>50178</v>
      </c>
    </row>
    <row r="880" spans="1:18" ht="45" x14ac:dyDescent="0.25">
      <c r="A880" s="14" t="s">
        <v>8732</v>
      </c>
      <c r="B880" s="14" t="s">
        <v>8735</v>
      </c>
      <c r="C880" s="14" t="s">
        <v>8582</v>
      </c>
      <c r="D880" s="14" t="s">
        <v>8531</v>
      </c>
      <c r="E880" s="14" t="s">
        <v>4496</v>
      </c>
      <c r="F880" s="14" t="s">
        <v>4497</v>
      </c>
      <c r="G880" s="14" t="s">
        <v>37</v>
      </c>
      <c r="H880" s="14"/>
      <c r="I880" s="14"/>
      <c r="J880" s="14" t="s">
        <v>129</v>
      </c>
      <c r="K880" s="14"/>
      <c r="L880" s="14"/>
      <c r="M880" s="14" t="s">
        <v>4498</v>
      </c>
      <c r="N880" s="14"/>
      <c r="O880" s="14" t="s">
        <v>4499</v>
      </c>
      <c r="P880" s="14" t="str">
        <f>HYPERLINK("https://ceds.ed.gov/cedselementdetails.aspx?termid=18313")</f>
        <v>https://ceds.ed.gov/cedselementdetails.aspx?termid=18313</v>
      </c>
      <c r="Q880" s="14" t="str">
        <f>HYPERLINK("https://ceds.ed.gov/elementComment.aspx?elementName=Financial Account Description &amp;elementID=18313", "Click here to submit comment")</f>
        <v>Click here to submit comment</v>
      </c>
      <c r="R880" s="14">
        <v>50167</v>
      </c>
    </row>
    <row r="881" spans="1:18" ht="105" x14ac:dyDescent="0.25">
      <c r="A881" s="14" t="s">
        <v>8732</v>
      </c>
      <c r="B881" s="14" t="s">
        <v>8735</v>
      </c>
      <c r="C881" s="14" t="s">
        <v>8582</v>
      </c>
      <c r="D881" s="14" t="s">
        <v>8531</v>
      </c>
      <c r="E881" s="14" t="s">
        <v>4490</v>
      </c>
      <c r="F881" s="14" t="s">
        <v>4491</v>
      </c>
      <c r="G881" s="8" t="s">
        <v>8776</v>
      </c>
      <c r="H881" s="14"/>
      <c r="I881" s="14"/>
      <c r="J881" s="14"/>
      <c r="K881" s="14"/>
      <c r="L881" s="14"/>
      <c r="M881" s="14" t="s">
        <v>4494</v>
      </c>
      <c r="N881" s="14"/>
      <c r="O881" s="14" t="s">
        <v>4495</v>
      </c>
      <c r="P881" s="14" t="str">
        <f>HYPERLINK("https://ceds.ed.gov/cedselementdetails.aspx?termid=18312")</f>
        <v>https://ceds.ed.gov/cedselementdetails.aspx?termid=18312</v>
      </c>
      <c r="Q881" s="14" t="str">
        <f>HYPERLINK("https://ceds.ed.gov/elementComment.aspx?elementName=Financial Account Category &amp;elementID=18312", "Click here to submit comment")</f>
        <v>Click here to submit comment</v>
      </c>
      <c r="R881" s="14">
        <v>50163</v>
      </c>
    </row>
    <row r="882" spans="1:18" ht="60" x14ac:dyDescent="0.25">
      <c r="A882" s="16" t="s">
        <v>8732</v>
      </c>
      <c r="B882" s="16" t="s">
        <v>8735</v>
      </c>
      <c r="C882" s="16" t="s">
        <v>8582</v>
      </c>
      <c r="D882" s="16" t="s">
        <v>8531</v>
      </c>
      <c r="E882" s="16" t="s">
        <v>4517</v>
      </c>
      <c r="F882" s="16" t="s">
        <v>4518</v>
      </c>
      <c r="G882" s="18" t="s">
        <v>8730</v>
      </c>
      <c r="H882" s="16"/>
      <c r="I882" s="16"/>
      <c r="J882" s="16"/>
      <c r="K882" s="16"/>
      <c r="L882" s="6" t="s">
        <v>4504</v>
      </c>
      <c r="M882" s="16" t="s">
        <v>4521</v>
      </c>
      <c r="N882" s="16"/>
      <c r="O882" s="16" t="s">
        <v>4522</v>
      </c>
      <c r="P882" s="16" t="str">
        <f>HYPERLINK("https://ceds.ed.gov/cedselementdetails.aspx?termid=18440")</f>
        <v>https://ceds.ed.gov/cedselementdetails.aspx?termid=18440</v>
      </c>
      <c r="Q882" s="16" t="str">
        <f>HYPERLINK("https://ceds.ed.gov/elementComment.aspx?elementName=Financial Account K12 Revenue Code &amp;elementID=18440", "Click here to submit comment")</f>
        <v>Click here to submit comment</v>
      </c>
      <c r="R882" s="16">
        <v>50854</v>
      </c>
    </row>
    <row r="883" spans="1:18" x14ac:dyDescent="0.25">
      <c r="A883" s="16"/>
      <c r="B883" s="16"/>
      <c r="C883" s="16"/>
      <c r="D883" s="16"/>
      <c r="E883" s="16"/>
      <c r="F883" s="16"/>
      <c r="G883" s="16"/>
      <c r="H883" s="16"/>
      <c r="I883" s="16"/>
      <c r="J883" s="16"/>
      <c r="K883" s="16"/>
      <c r="L883" s="14"/>
      <c r="M883" s="16"/>
      <c r="N883" s="16"/>
      <c r="O883" s="16"/>
      <c r="P883" s="16"/>
      <c r="Q883" s="16"/>
      <c r="R883" s="16"/>
    </row>
    <row r="884" spans="1:18" ht="30" x14ac:dyDescent="0.25">
      <c r="A884" s="16"/>
      <c r="B884" s="16"/>
      <c r="C884" s="16"/>
      <c r="D884" s="16"/>
      <c r="E884" s="16"/>
      <c r="F884" s="16"/>
      <c r="G884" s="16"/>
      <c r="H884" s="16"/>
      <c r="I884" s="16"/>
      <c r="J884" s="16"/>
      <c r="K884" s="16"/>
      <c r="L884" s="14" t="s">
        <v>4523</v>
      </c>
      <c r="M884" s="16"/>
      <c r="N884" s="16"/>
      <c r="O884" s="16"/>
      <c r="P884" s="16"/>
      <c r="Q884" s="16"/>
      <c r="R884" s="16"/>
    </row>
    <row r="885" spans="1:18" ht="409.5" x14ac:dyDescent="0.25">
      <c r="A885" s="14" t="s">
        <v>8732</v>
      </c>
      <c r="B885" s="14" t="s">
        <v>8735</v>
      </c>
      <c r="C885" s="14" t="s">
        <v>8582</v>
      </c>
      <c r="D885" s="14" t="s">
        <v>8531</v>
      </c>
      <c r="E885" s="14" t="s">
        <v>4613</v>
      </c>
      <c r="F885" s="14" t="s">
        <v>4614</v>
      </c>
      <c r="G885" s="8" t="s">
        <v>8777</v>
      </c>
      <c r="H885" s="14"/>
      <c r="I885" s="14"/>
      <c r="J885" s="14"/>
      <c r="K885" s="14"/>
      <c r="L885" s="6" t="s">
        <v>4504</v>
      </c>
      <c r="M885" s="14" t="s">
        <v>4616</v>
      </c>
      <c r="N885" s="14"/>
      <c r="O885" s="14" t="s">
        <v>4617</v>
      </c>
      <c r="P885" s="14" t="str">
        <f>HYPERLINK("https://ceds.ed.gov/cedselementdetails.aspx?termid=18321")</f>
        <v>https://ceds.ed.gov/cedselementdetails.aspx?termid=18321</v>
      </c>
      <c r="Q885" s="14" t="str">
        <f>HYPERLINK("https://ceds.ed.gov/elementComment.aspx?elementName=Financial Expenditure K12 Function Code &amp;elementID=18321", "Click here to submit comment")</f>
        <v>Click here to submit comment</v>
      </c>
      <c r="R885" s="14">
        <v>50200</v>
      </c>
    </row>
    <row r="886" spans="1:18" ht="409.5" x14ac:dyDescent="0.25">
      <c r="A886" s="14" t="s">
        <v>8732</v>
      </c>
      <c r="B886" s="14" t="s">
        <v>8735</v>
      </c>
      <c r="C886" s="14" t="s">
        <v>8582</v>
      </c>
      <c r="D886" s="14" t="s">
        <v>8531</v>
      </c>
      <c r="E886" s="14" t="s">
        <v>4623</v>
      </c>
      <c r="F886" s="14" t="s">
        <v>4624</v>
      </c>
      <c r="G886" s="8" t="s">
        <v>8778</v>
      </c>
      <c r="H886" s="14"/>
      <c r="I886" s="14"/>
      <c r="J886" s="14"/>
      <c r="K886" s="14"/>
      <c r="L886" s="6" t="s">
        <v>4504</v>
      </c>
      <c r="M886" s="14" t="s">
        <v>4626</v>
      </c>
      <c r="N886" s="14"/>
      <c r="O886" s="14" t="s">
        <v>4627</v>
      </c>
      <c r="P886" s="14" t="str">
        <f>HYPERLINK("https://ceds.ed.gov/cedselementdetails.aspx?termid=18322")</f>
        <v>https://ceds.ed.gov/cedselementdetails.aspx?termid=18322</v>
      </c>
      <c r="Q886" s="14" t="str">
        <f>HYPERLINK("https://ceds.ed.gov/elementComment.aspx?elementName=Financial Expenditure K12 Object Code &amp;elementID=18322", "Click here to submit comment")</f>
        <v>Click here to submit comment</v>
      </c>
      <c r="R886" s="14">
        <v>50204</v>
      </c>
    </row>
    <row r="887" spans="1:18" ht="195" x14ac:dyDescent="0.25">
      <c r="A887" s="14" t="s">
        <v>8732</v>
      </c>
      <c r="B887" s="14" t="s">
        <v>8735</v>
      </c>
      <c r="C887" s="14" t="s">
        <v>8582</v>
      </c>
      <c r="D887" s="14" t="s">
        <v>8531</v>
      </c>
      <c r="E887" s="14" t="s">
        <v>4618</v>
      </c>
      <c r="F887" s="14" t="s">
        <v>4619</v>
      </c>
      <c r="G887" s="8" t="s">
        <v>8779</v>
      </c>
      <c r="H887" s="14"/>
      <c r="I887" s="14"/>
      <c r="J887" s="14"/>
      <c r="K887" s="14"/>
      <c r="L887" s="6" t="s">
        <v>4504</v>
      </c>
      <c r="M887" s="14" t="s">
        <v>4621</v>
      </c>
      <c r="N887" s="14"/>
      <c r="O887" s="14" t="s">
        <v>4622</v>
      </c>
      <c r="P887" s="14" t="str">
        <f>HYPERLINK("https://ceds.ed.gov/cedselementdetails.aspx?termid=18531")</f>
        <v>https://ceds.ed.gov/cedselementdetails.aspx?termid=18531</v>
      </c>
      <c r="Q887" s="14" t="str">
        <f>HYPERLINK("https://ceds.ed.gov/elementComment.aspx?elementName=Financial Expenditure K12 Level of Instruction Code &amp;elementID=18531", "Click here to submit comment")</f>
        <v>Click here to submit comment</v>
      </c>
      <c r="R887" s="14">
        <v>50846</v>
      </c>
    </row>
    <row r="888" spans="1:18" ht="75" x14ac:dyDescent="0.25">
      <c r="A888" s="16" t="s">
        <v>8732</v>
      </c>
      <c r="B888" s="16" t="s">
        <v>8735</v>
      </c>
      <c r="C888" s="16" t="s">
        <v>8582</v>
      </c>
      <c r="D888" s="16" t="s">
        <v>8531</v>
      </c>
      <c r="E888" s="16" t="s">
        <v>4628</v>
      </c>
      <c r="F888" s="16" t="s">
        <v>4629</v>
      </c>
      <c r="G888" s="16" t="s">
        <v>37</v>
      </c>
      <c r="H888" s="16"/>
      <c r="I888" s="16"/>
      <c r="J888" s="16" t="s">
        <v>165</v>
      </c>
      <c r="K888" s="16"/>
      <c r="L888" s="6" t="s">
        <v>4630</v>
      </c>
      <c r="M888" s="16" t="s">
        <v>4631</v>
      </c>
      <c r="N888" s="16"/>
      <c r="O888" s="16" t="s">
        <v>4632</v>
      </c>
      <c r="P888" s="16" t="str">
        <f>HYPERLINK("https://ceds.ed.gov/cedselementdetails.aspx?termid=18532")</f>
        <v>https://ceds.ed.gov/cedselementdetails.aspx?termid=18532</v>
      </c>
      <c r="Q888" s="16" t="str">
        <f>HYPERLINK("https://ceds.ed.gov/elementComment.aspx?elementName=Financial Expenditure K12 Project Reporting Code &amp;elementID=18532", "Click here to submit comment")</f>
        <v>Click here to submit comment</v>
      </c>
      <c r="R888" s="16">
        <v>50850</v>
      </c>
    </row>
    <row r="889" spans="1:18" x14ac:dyDescent="0.25">
      <c r="A889" s="16"/>
      <c r="B889" s="16"/>
      <c r="C889" s="16"/>
      <c r="D889" s="16"/>
      <c r="E889" s="16"/>
      <c r="F889" s="16"/>
      <c r="G889" s="16"/>
      <c r="H889" s="16"/>
      <c r="I889" s="16"/>
      <c r="J889" s="16"/>
      <c r="K889" s="16"/>
      <c r="L889" s="14"/>
      <c r="M889" s="16"/>
      <c r="N889" s="16"/>
      <c r="O889" s="16"/>
      <c r="P889" s="16"/>
      <c r="Q889" s="16"/>
      <c r="R889" s="16"/>
    </row>
    <row r="890" spans="1:18" ht="45" x14ac:dyDescent="0.25">
      <c r="A890" s="16"/>
      <c r="B890" s="16"/>
      <c r="C890" s="16"/>
      <c r="D890" s="16"/>
      <c r="E890" s="16"/>
      <c r="F890" s="16"/>
      <c r="G890" s="16"/>
      <c r="H890" s="16"/>
      <c r="I890" s="16"/>
      <c r="J890" s="16"/>
      <c r="K890" s="16"/>
      <c r="L890" s="14" t="s">
        <v>4633</v>
      </c>
      <c r="M890" s="16"/>
      <c r="N890" s="16"/>
      <c r="O890" s="16"/>
      <c r="P890" s="16"/>
      <c r="Q890" s="16"/>
      <c r="R890" s="16"/>
    </row>
    <row r="891" spans="1:18" x14ac:dyDescent="0.25">
      <c r="A891" s="16"/>
      <c r="B891" s="16"/>
      <c r="C891" s="16"/>
      <c r="D891" s="16"/>
      <c r="E891" s="16"/>
      <c r="F891" s="16"/>
      <c r="G891" s="16"/>
      <c r="H891" s="16"/>
      <c r="I891" s="16"/>
      <c r="J891" s="16"/>
      <c r="K891" s="16"/>
      <c r="L891" s="14"/>
      <c r="M891" s="16"/>
      <c r="N891" s="16"/>
      <c r="O891" s="16"/>
      <c r="P891" s="16"/>
      <c r="Q891" s="16"/>
      <c r="R891" s="16"/>
    </row>
    <row r="892" spans="1:18" ht="45" x14ac:dyDescent="0.25">
      <c r="A892" s="16"/>
      <c r="B892" s="16"/>
      <c r="C892" s="16"/>
      <c r="D892" s="16"/>
      <c r="E892" s="16"/>
      <c r="F892" s="16"/>
      <c r="G892" s="16"/>
      <c r="H892" s="16"/>
      <c r="I892" s="16"/>
      <c r="J892" s="16"/>
      <c r="K892" s="16"/>
      <c r="L892" s="14" t="s">
        <v>4634</v>
      </c>
      <c r="M892" s="16"/>
      <c r="N892" s="16"/>
      <c r="O892" s="16"/>
      <c r="P892" s="16"/>
      <c r="Q892" s="16"/>
      <c r="R892" s="16"/>
    </row>
    <row r="893" spans="1:18" x14ac:dyDescent="0.25">
      <c r="A893" s="16"/>
      <c r="B893" s="16"/>
      <c r="C893" s="16"/>
      <c r="D893" s="16"/>
      <c r="E893" s="16"/>
      <c r="F893" s="16"/>
      <c r="G893" s="16"/>
      <c r="H893" s="16"/>
      <c r="I893" s="16"/>
      <c r="J893" s="16"/>
      <c r="K893" s="16"/>
      <c r="L893" s="14"/>
      <c r="M893" s="16"/>
      <c r="N893" s="16"/>
      <c r="O893" s="16"/>
      <c r="P893" s="16"/>
      <c r="Q893" s="16"/>
      <c r="R893" s="16"/>
    </row>
    <row r="894" spans="1:18" ht="60" x14ac:dyDescent="0.25">
      <c r="A894" s="16"/>
      <c r="B894" s="16"/>
      <c r="C894" s="16"/>
      <c r="D894" s="16"/>
      <c r="E894" s="16"/>
      <c r="F894" s="16"/>
      <c r="G894" s="16"/>
      <c r="H894" s="16"/>
      <c r="I894" s="16"/>
      <c r="J894" s="16"/>
      <c r="K894" s="16"/>
      <c r="L894" s="14" t="s">
        <v>4635</v>
      </c>
      <c r="M894" s="16"/>
      <c r="N894" s="16"/>
      <c r="O894" s="16"/>
      <c r="P894" s="16"/>
      <c r="Q894" s="16"/>
      <c r="R894" s="16"/>
    </row>
    <row r="895" spans="1:18" x14ac:dyDescent="0.25">
      <c r="A895" s="16"/>
      <c r="B895" s="16"/>
      <c r="C895" s="16"/>
      <c r="D895" s="16"/>
      <c r="E895" s="16"/>
      <c r="F895" s="16"/>
      <c r="G895" s="16"/>
      <c r="H895" s="16"/>
      <c r="I895" s="16"/>
      <c r="J895" s="16"/>
      <c r="K895" s="16"/>
      <c r="L895" s="14"/>
      <c r="M895" s="16"/>
      <c r="N895" s="16"/>
      <c r="O895" s="16"/>
      <c r="P895" s="16"/>
      <c r="Q895" s="16"/>
      <c r="R895" s="16"/>
    </row>
    <row r="896" spans="1:18" ht="30" x14ac:dyDescent="0.25">
      <c r="A896" s="16"/>
      <c r="B896" s="16"/>
      <c r="C896" s="16"/>
      <c r="D896" s="16"/>
      <c r="E896" s="16"/>
      <c r="F896" s="16"/>
      <c r="G896" s="16"/>
      <c r="H896" s="16"/>
      <c r="I896" s="16"/>
      <c r="J896" s="16"/>
      <c r="K896" s="16"/>
      <c r="L896" s="14" t="s">
        <v>4636</v>
      </c>
      <c r="M896" s="16"/>
      <c r="N896" s="16"/>
      <c r="O896" s="16"/>
      <c r="P896" s="16"/>
      <c r="Q896" s="16"/>
      <c r="R896" s="16"/>
    </row>
    <row r="897" spans="1:18" ht="409.5" x14ac:dyDescent="0.25">
      <c r="A897" s="14" t="s">
        <v>8732</v>
      </c>
      <c r="B897" s="14" t="s">
        <v>8735</v>
      </c>
      <c r="C897" s="14" t="s">
        <v>8582</v>
      </c>
      <c r="D897" s="14" t="s">
        <v>8531</v>
      </c>
      <c r="E897" s="14" t="s">
        <v>4500</v>
      </c>
      <c r="F897" s="14" t="s">
        <v>4501</v>
      </c>
      <c r="G897" s="8" t="s">
        <v>8780</v>
      </c>
      <c r="H897" s="14"/>
      <c r="I897" s="14"/>
      <c r="J897" s="14"/>
      <c r="K897" s="14"/>
      <c r="L897" s="6" t="s">
        <v>4504</v>
      </c>
      <c r="M897" s="14" t="s">
        <v>4505</v>
      </c>
      <c r="N897" s="14"/>
      <c r="O897" s="14" t="s">
        <v>4506</v>
      </c>
      <c r="P897" s="14" t="str">
        <f>HYPERLINK("https://ceds.ed.gov/cedselementdetails.aspx?termid=18320")</f>
        <v>https://ceds.ed.gov/cedselementdetails.aspx?termid=18320</v>
      </c>
      <c r="Q897" s="14" t="str">
        <f>HYPERLINK("https://ceds.ed.gov/elementComment.aspx?elementName=Financial Account K12 Balance Sheet Code &amp;elementID=18320", "Click here to submit comment")</f>
        <v>Click here to submit comment</v>
      </c>
      <c r="R897" s="14">
        <v>50196</v>
      </c>
    </row>
    <row r="898" spans="1:18" ht="45" x14ac:dyDescent="0.25">
      <c r="A898" s="14" t="s">
        <v>8732</v>
      </c>
      <c r="B898" s="14" t="s">
        <v>8735</v>
      </c>
      <c r="C898" s="14" t="s">
        <v>8582</v>
      </c>
      <c r="D898" s="14" t="s">
        <v>8531</v>
      </c>
      <c r="E898" s="14" t="s">
        <v>4548</v>
      </c>
      <c r="F898" s="14" t="s">
        <v>4549</v>
      </c>
      <c r="G898" s="14" t="s">
        <v>37</v>
      </c>
      <c r="H898" s="14"/>
      <c r="I898" s="14"/>
      <c r="J898" s="14" t="s">
        <v>1710</v>
      </c>
      <c r="K898" s="14"/>
      <c r="L898" s="14"/>
      <c r="M898" s="14" t="s">
        <v>4550</v>
      </c>
      <c r="N898" s="14"/>
      <c r="O898" s="14" t="s">
        <v>4551</v>
      </c>
      <c r="P898" s="14" t="str">
        <f>HYPERLINK("https://ceds.ed.gov/cedselementdetails.aspx?termid=18318")</f>
        <v>https://ceds.ed.gov/cedselementdetails.aspx?termid=18318</v>
      </c>
      <c r="Q898" s="14" t="str">
        <f>HYPERLINK("https://ceds.ed.gov/elementComment.aspx?elementName=Financial Accounting Period Budgeted Value &amp;elementID=18318", "Click here to submit comment")</f>
        <v>Click here to submit comment</v>
      </c>
      <c r="R898" s="14">
        <v>50191</v>
      </c>
    </row>
    <row r="899" spans="1:18" ht="60" x14ac:dyDescent="0.25">
      <c r="A899" s="14" t="s">
        <v>8732</v>
      </c>
      <c r="B899" s="14" t="s">
        <v>8735</v>
      </c>
      <c r="C899" s="14" t="s">
        <v>8582</v>
      </c>
      <c r="D899" s="14" t="s">
        <v>8531</v>
      </c>
      <c r="E899" s="14" t="s">
        <v>4552</v>
      </c>
      <c r="F899" s="14" t="s">
        <v>4553</v>
      </c>
      <c r="G899" s="14" t="s">
        <v>37</v>
      </c>
      <c r="H899" s="14"/>
      <c r="I899" s="14"/>
      <c r="J899" s="14" t="s">
        <v>1710</v>
      </c>
      <c r="K899" s="14"/>
      <c r="L899" s="14" t="s">
        <v>4554</v>
      </c>
      <c r="M899" s="14" t="s">
        <v>4555</v>
      </c>
      <c r="N899" s="14"/>
      <c r="O899" s="14" t="s">
        <v>4556</v>
      </c>
      <c r="P899" s="14" t="str">
        <f>HYPERLINK("https://ceds.ed.gov/cedselementdetails.aspx?termid=18625")</f>
        <v>https://ceds.ed.gov/cedselementdetails.aspx?termid=18625</v>
      </c>
      <c r="Q899" s="14" t="str">
        <f>HYPERLINK("https://ceds.ed.gov/elementComment.aspx?elementName=Financial Accounting Period Encumbered Value &amp;elementID=18625", "Click here to submit comment")</f>
        <v>Click here to submit comment</v>
      </c>
      <c r="R899" s="14">
        <v>51323</v>
      </c>
    </row>
    <row r="900" spans="1:18" ht="45" x14ac:dyDescent="0.25">
      <c r="A900" s="14" t="s">
        <v>8732</v>
      </c>
      <c r="B900" s="14" t="s">
        <v>8735</v>
      </c>
      <c r="C900" s="14" t="s">
        <v>8582</v>
      </c>
      <c r="D900" s="14" t="s">
        <v>8531</v>
      </c>
      <c r="E900" s="14" t="s">
        <v>4544</v>
      </c>
      <c r="F900" s="14" t="s">
        <v>4545</v>
      </c>
      <c r="G900" s="14" t="s">
        <v>37</v>
      </c>
      <c r="H900" s="14"/>
      <c r="I900" s="14"/>
      <c r="J900" s="14" t="s">
        <v>1710</v>
      </c>
      <c r="K900" s="14"/>
      <c r="L900" s="14"/>
      <c r="M900" s="14" t="s">
        <v>4546</v>
      </c>
      <c r="N900" s="14"/>
      <c r="O900" s="14" t="s">
        <v>4547</v>
      </c>
      <c r="P900" s="14" t="str">
        <f>HYPERLINK("https://ceds.ed.gov/cedselementdetails.aspx?termid=18317")</f>
        <v>https://ceds.ed.gov/cedselementdetails.aspx?termid=18317</v>
      </c>
      <c r="Q900" s="14" t="str">
        <f>HYPERLINK("https://ceds.ed.gov/elementComment.aspx?elementName=Financial Accounting Period Actual Value &amp;elementID=18317", "Click here to submit comment")</f>
        <v>Click here to submit comment</v>
      </c>
      <c r="R900" s="14">
        <v>50187</v>
      </c>
    </row>
    <row r="901" spans="1:18" ht="135" x14ac:dyDescent="0.25">
      <c r="A901" s="14" t="s">
        <v>8732</v>
      </c>
      <c r="B901" s="14" t="s">
        <v>8735</v>
      </c>
      <c r="C901" s="14" t="s">
        <v>8582</v>
      </c>
      <c r="D901" s="14" t="s">
        <v>8531</v>
      </c>
      <c r="E901" s="14" t="s">
        <v>4557</v>
      </c>
      <c r="F901" s="14" t="s">
        <v>4558</v>
      </c>
      <c r="G901" s="14" t="s">
        <v>37</v>
      </c>
      <c r="H901" s="14"/>
      <c r="I901" s="14"/>
      <c r="J901" s="14" t="s">
        <v>1710</v>
      </c>
      <c r="K901" s="14"/>
      <c r="L901" s="14" t="s">
        <v>4559</v>
      </c>
      <c r="M901" s="14" t="s">
        <v>4560</v>
      </c>
      <c r="N901" s="14"/>
      <c r="O901" s="14" t="s">
        <v>4561</v>
      </c>
      <c r="P901" s="14" t="str">
        <f>HYPERLINK("https://ceds.ed.gov/cedselementdetails.aspx?termid=18628")</f>
        <v>https://ceds.ed.gov/cedselementdetails.aspx?termid=18628</v>
      </c>
      <c r="Q901" s="14" t="str">
        <f>HYPERLINK("https://ceds.ed.gov/elementComment.aspx?elementName=Financial Accounting Value &amp;elementID=18628", "Click here to submit comment")</f>
        <v>Click here to submit comment</v>
      </c>
      <c r="R901" s="14">
        <v>51335</v>
      </c>
    </row>
    <row r="902" spans="1:18" ht="45" x14ac:dyDescent="0.25">
      <c r="A902" s="14" t="s">
        <v>8732</v>
      </c>
      <c r="B902" s="14" t="s">
        <v>8735</v>
      </c>
      <c r="C902" s="14" t="s">
        <v>8582</v>
      </c>
      <c r="D902" s="14" t="s">
        <v>8531</v>
      </c>
      <c r="E902" s="14" t="s">
        <v>4540</v>
      </c>
      <c r="F902" s="14" t="s">
        <v>4541</v>
      </c>
      <c r="G902" s="14" t="s">
        <v>37</v>
      </c>
      <c r="H902" s="14"/>
      <c r="I902" s="14"/>
      <c r="J902" s="14" t="s">
        <v>135</v>
      </c>
      <c r="K902" s="14"/>
      <c r="L902" s="14"/>
      <c r="M902" s="14" t="s">
        <v>4542</v>
      </c>
      <c r="N902" s="14"/>
      <c r="O902" s="14" t="s">
        <v>4543</v>
      </c>
      <c r="P902" s="14" t="str">
        <f>HYPERLINK("https://ceds.ed.gov/cedselementdetails.aspx?termid=18629")</f>
        <v>https://ceds.ed.gov/cedselementdetails.aspx?termid=18629</v>
      </c>
      <c r="Q902" s="14" t="str">
        <f>HYPERLINK("https://ceds.ed.gov/elementComment.aspx?elementName=Financial Accounting Date &amp;elementID=18629", "Click here to submit comment")</f>
        <v>Click here to submit comment</v>
      </c>
      <c r="R902" s="14">
        <v>51339</v>
      </c>
    </row>
    <row r="903" spans="1:18" ht="150" x14ac:dyDescent="0.25">
      <c r="A903" s="14" t="s">
        <v>8732</v>
      </c>
      <c r="B903" s="14" t="s">
        <v>8735</v>
      </c>
      <c r="C903" s="14" t="s">
        <v>8582</v>
      </c>
      <c r="D903" s="14" t="s">
        <v>8531</v>
      </c>
      <c r="E903" s="14" t="s">
        <v>4507</v>
      </c>
      <c r="F903" s="14" t="s">
        <v>4508</v>
      </c>
      <c r="G903" s="8" t="s">
        <v>8781</v>
      </c>
      <c r="H903" s="14"/>
      <c r="I903" s="14"/>
      <c r="J903" s="14"/>
      <c r="K903" s="14"/>
      <c r="L903" s="6" t="s">
        <v>4504</v>
      </c>
      <c r="M903" s="14" t="s">
        <v>4510</v>
      </c>
      <c r="N903" s="14"/>
      <c r="O903" s="14" t="s">
        <v>4511</v>
      </c>
      <c r="P903" s="14" t="str">
        <f>HYPERLINK("https://ceds.ed.gov/cedselementdetails.aspx?termid=18314")</f>
        <v>https://ceds.ed.gov/cedselementdetails.aspx?termid=18314</v>
      </c>
      <c r="Q903" s="14" t="str">
        <f>HYPERLINK("https://ceds.ed.gov/elementComment.aspx?elementName=Financial Account K12 Fund Classification &amp;elementID=18314", "Click here to submit comment")</f>
        <v>Click here to submit comment</v>
      </c>
      <c r="R903" s="14">
        <v>50171</v>
      </c>
    </row>
    <row r="904" spans="1:18" ht="45" x14ac:dyDescent="0.25">
      <c r="A904" s="14" t="s">
        <v>8732</v>
      </c>
      <c r="B904" s="14" t="s">
        <v>8735</v>
      </c>
      <c r="C904" s="14" t="s">
        <v>8582</v>
      </c>
      <c r="D904" s="14" t="s">
        <v>8531</v>
      </c>
      <c r="E904" s="14" t="s">
        <v>4532</v>
      </c>
      <c r="F904" s="14" t="s">
        <v>4533</v>
      </c>
      <c r="G904" s="14" t="s">
        <v>37</v>
      </c>
      <c r="H904" s="14"/>
      <c r="I904" s="14"/>
      <c r="J904" s="14" t="s">
        <v>874</v>
      </c>
      <c r="K904" s="14"/>
      <c r="L904" s="14"/>
      <c r="M904" s="14" t="s">
        <v>4534</v>
      </c>
      <c r="N904" s="14"/>
      <c r="O904" s="14" t="s">
        <v>4535</v>
      </c>
      <c r="P904" s="14" t="str">
        <f>HYPERLINK("https://ceds.ed.gov/cedselementdetails.aspx?termid=18626")</f>
        <v>https://ceds.ed.gov/cedselementdetails.aspx?termid=18626</v>
      </c>
      <c r="Q904" s="14" t="str">
        <f>HYPERLINK("https://ceds.ed.gov/elementComment.aspx?elementName=Financial Account Program Name &amp;elementID=18626", "Click here to submit comment")</f>
        <v>Click here to submit comment</v>
      </c>
      <c r="R904" s="14">
        <v>51327</v>
      </c>
    </row>
    <row r="905" spans="1:18" ht="45" x14ac:dyDescent="0.25">
      <c r="A905" s="14" t="s">
        <v>8732</v>
      </c>
      <c r="B905" s="14" t="s">
        <v>8735</v>
      </c>
      <c r="C905" s="14" t="s">
        <v>8582</v>
      </c>
      <c r="D905" s="14" t="s">
        <v>8531</v>
      </c>
      <c r="E905" s="14" t="s">
        <v>4536</v>
      </c>
      <c r="F905" s="14" t="s">
        <v>4537</v>
      </c>
      <c r="G905" s="14" t="s">
        <v>37</v>
      </c>
      <c r="H905" s="14"/>
      <c r="I905" s="14"/>
      <c r="J905" s="14" t="s">
        <v>97</v>
      </c>
      <c r="K905" s="14"/>
      <c r="L905" s="14"/>
      <c r="M905" s="14" t="s">
        <v>4538</v>
      </c>
      <c r="N905" s="14"/>
      <c r="O905" s="14" t="s">
        <v>4539</v>
      </c>
      <c r="P905" s="14" t="str">
        <f>HYPERLINK("https://ceds.ed.gov/cedselementdetails.aspx?termid=18627")</f>
        <v>https://ceds.ed.gov/cedselementdetails.aspx?termid=18627</v>
      </c>
      <c r="Q905" s="14" t="str">
        <f>HYPERLINK("https://ceds.ed.gov/elementComment.aspx?elementName=Financial Account Program Number &amp;elementID=18627", "Click here to submit comment")</f>
        <v>Click here to submit comment</v>
      </c>
      <c r="R905" s="14">
        <v>51331</v>
      </c>
    </row>
    <row r="906" spans="1:18" ht="240" x14ac:dyDescent="0.25">
      <c r="A906" s="14" t="s">
        <v>8732</v>
      </c>
      <c r="B906" s="14" t="s">
        <v>8735</v>
      </c>
      <c r="C906" s="14" t="s">
        <v>8582</v>
      </c>
      <c r="D906" s="14" t="s">
        <v>8531</v>
      </c>
      <c r="E906" s="14" t="s">
        <v>4512</v>
      </c>
      <c r="F906" s="14" t="s">
        <v>4513</v>
      </c>
      <c r="G906" s="8" t="s">
        <v>8782</v>
      </c>
      <c r="H906" s="14"/>
      <c r="I906" s="14"/>
      <c r="J906" s="14"/>
      <c r="K906" s="14"/>
      <c r="L906" s="6" t="s">
        <v>4504</v>
      </c>
      <c r="M906" s="14" t="s">
        <v>4515</v>
      </c>
      <c r="N906" s="14"/>
      <c r="O906" s="14" t="s">
        <v>4516</v>
      </c>
      <c r="P906" s="14" t="str">
        <f>HYPERLINK("https://ceds.ed.gov/cedselementdetails.aspx?termid=18316")</f>
        <v>https://ceds.ed.gov/cedselementdetails.aspx?termid=18316</v>
      </c>
      <c r="Q906" s="14" t="str">
        <f>HYPERLINK("https://ceds.ed.gov/elementComment.aspx?elementName=Financial Account K12 Program Code &amp;elementID=18316", "Click here to submit comment")</f>
        <v>Click here to submit comment</v>
      </c>
      <c r="R906" s="14">
        <v>50182</v>
      </c>
    </row>
    <row r="907" spans="1:18" ht="75" x14ac:dyDescent="0.25">
      <c r="A907" s="14" t="s">
        <v>8732</v>
      </c>
      <c r="B907" s="14" t="s">
        <v>8735</v>
      </c>
      <c r="C907" s="14" t="s">
        <v>8783</v>
      </c>
      <c r="D907" s="14" t="s">
        <v>8531</v>
      </c>
      <c r="E907" s="14" t="s">
        <v>2784</v>
      </c>
      <c r="F907" s="14" t="s">
        <v>2785</v>
      </c>
      <c r="G907" s="8" t="s">
        <v>8558</v>
      </c>
      <c r="H907" s="14" t="s">
        <v>258</v>
      </c>
      <c r="I907" s="14"/>
      <c r="J907" s="14"/>
      <c r="K907" s="14"/>
      <c r="L907" s="14"/>
      <c r="M907" s="14" t="s">
        <v>2787</v>
      </c>
      <c r="N907" s="14" t="s">
        <v>2788</v>
      </c>
      <c r="O907" s="14" t="s">
        <v>2789</v>
      </c>
      <c r="P907" s="14" t="str">
        <f>HYPERLINK("https://ceds.ed.gov/cedselementdetails.aspx?termid=17533")</f>
        <v>https://ceds.ed.gov/cedselementdetails.aspx?termid=17533</v>
      </c>
      <c r="Q907" s="14" t="str">
        <f>HYPERLINK("https://ceds.ed.gov/elementComment.aspx?elementName=Consolidated Migrant Education Program Funds Status &amp;elementID=17533", "Click here to submit comment")</f>
        <v>Click here to submit comment</v>
      </c>
      <c r="R907" s="14">
        <v>47870</v>
      </c>
    </row>
    <row r="908" spans="1:18" ht="135" x14ac:dyDescent="0.25">
      <c r="A908" s="14" t="s">
        <v>8732</v>
      </c>
      <c r="B908" s="14" t="s">
        <v>8735</v>
      </c>
      <c r="C908" s="14" t="s">
        <v>8783</v>
      </c>
      <c r="D908" s="14" t="s">
        <v>8531</v>
      </c>
      <c r="E908" s="14" t="s">
        <v>4474</v>
      </c>
      <c r="F908" s="14" t="s">
        <v>4475</v>
      </c>
      <c r="G908" s="14" t="s">
        <v>37</v>
      </c>
      <c r="H908" s="14" t="s">
        <v>258</v>
      </c>
      <c r="I908" s="14"/>
      <c r="J908" s="14" t="s">
        <v>1710</v>
      </c>
      <c r="K908" s="14"/>
      <c r="L908" s="14"/>
      <c r="M908" s="14" t="s">
        <v>4477</v>
      </c>
      <c r="N908" s="14"/>
      <c r="O908" s="14" t="s">
        <v>4478</v>
      </c>
      <c r="P908" s="14" t="str">
        <f>HYPERLINK("https://ceds.ed.gov/cedselementdetails.aspx?termid=17540")</f>
        <v>https://ceds.ed.gov/cedselementdetails.aspx?termid=17540</v>
      </c>
      <c r="Q908" s="14" t="str">
        <f>HYPERLINK("https://ceds.ed.gov/elementComment.aspx?elementName=Federal Programs Funding Allocation &amp;elementID=17540", "Click here to submit comment")</f>
        <v>Click here to submit comment</v>
      </c>
      <c r="R908" s="14">
        <v>51231</v>
      </c>
    </row>
    <row r="909" spans="1:18" ht="45" x14ac:dyDescent="0.25">
      <c r="A909" s="14" t="s">
        <v>8732</v>
      </c>
      <c r="B909" s="14" t="s">
        <v>8735</v>
      </c>
      <c r="C909" s="14" t="s">
        <v>8783</v>
      </c>
      <c r="D909" s="14" t="s">
        <v>8531</v>
      </c>
      <c r="E909" s="14" t="s">
        <v>4734</v>
      </c>
      <c r="F909" s="14" t="s">
        <v>4735</v>
      </c>
      <c r="G909" s="14" t="s">
        <v>37</v>
      </c>
      <c r="H909" s="14" t="s">
        <v>245</v>
      </c>
      <c r="I909" s="14"/>
      <c r="J909" s="14" t="s">
        <v>1710</v>
      </c>
      <c r="K909" s="14"/>
      <c r="L909" s="14"/>
      <c r="M909" s="14" t="s">
        <v>4737</v>
      </c>
      <c r="N909" s="14"/>
      <c r="O909" s="14" t="s">
        <v>4738</v>
      </c>
      <c r="P909" s="14" t="str">
        <f>HYPERLINK("https://ceds.ed.gov/cedselementdetails.aspx?termid=17442")</f>
        <v>https://ceds.ed.gov/cedselementdetails.aspx?termid=17442</v>
      </c>
      <c r="Q909" s="14" t="str">
        <f>HYPERLINK("https://ceds.ed.gov/elementComment.aspx?elementName=Funds Transfer Amount &amp;elementID=17442", "Click here to submit comment")</f>
        <v>Click here to submit comment</v>
      </c>
      <c r="R909" s="14">
        <v>51232</v>
      </c>
    </row>
    <row r="910" spans="1:18" ht="45" x14ac:dyDescent="0.25">
      <c r="A910" s="14" t="s">
        <v>8732</v>
      </c>
      <c r="B910" s="14" t="s">
        <v>8735</v>
      </c>
      <c r="C910" s="14" t="s">
        <v>8783</v>
      </c>
      <c r="D910" s="14" t="s">
        <v>8531</v>
      </c>
      <c r="E910" s="14" t="s">
        <v>5472</v>
      </c>
      <c r="F910" s="14" t="s">
        <v>5473</v>
      </c>
      <c r="G910" s="14" t="s">
        <v>37</v>
      </c>
      <c r="H910" s="14" t="s">
        <v>245</v>
      </c>
      <c r="I910" s="14"/>
      <c r="J910" s="14" t="s">
        <v>1710</v>
      </c>
      <c r="K910" s="14"/>
      <c r="L910" s="14"/>
      <c r="M910" s="14" t="s">
        <v>5474</v>
      </c>
      <c r="N910" s="14"/>
      <c r="O910" s="14" t="s">
        <v>5475</v>
      </c>
      <c r="P910" s="14" t="str">
        <f>HYPERLINK("https://ceds.ed.gov/cedselementdetails.aspx?termid=17454")</f>
        <v>https://ceds.ed.gov/cedselementdetails.aspx?termid=17454</v>
      </c>
      <c r="Q910" s="14" t="str">
        <f>HYPERLINK("https://ceds.ed.gov/elementComment.aspx?elementName=Innovative Programs Funds Received &amp;elementID=17454", "Click here to submit comment")</f>
        <v>Click here to submit comment</v>
      </c>
      <c r="R910" s="14">
        <v>51233</v>
      </c>
    </row>
    <row r="911" spans="1:18" ht="45" x14ac:dyDescent="0.25">
      <c r="A911" s="14" t="s">
        <v>8732</v>
      </c>
      <c r="B911" s="14" t="s">
        <v>8735</v>
      </c>
      <c r="C911" s="14" t="s">
        <v>8783</v>
      </c>
      <c r="D911" s="14" t="s">
        <v>8531</v>
      </c>
      <c r="E911" s="14" t="s">
        <v>5464</v>
      </c>
      <c r="F911" s="14" t="s">
        <v>5465</v>
      </c>
      <c r="G911" s="14" t="s">
        <v>37</v>
      </c>
      <c r="H911" s="14" t="s">
        <v>245</v>
      </c>
      <c r="I911" s="14"/>
      <c r="J911" s="14" t="s">
        <v>1710</v>
      </c>
      <c r="K911" s="14"/>
      <c r="L911" s="14"/>
      <c r="M911" s="14" t="s">
        <v>5466</v>
      </c>
      <c r="N911" s="14"/>
      <c r="O911" s="14" t="s">
        <v>5467</v>
      </c>
      <c r="P911" s="14" t="str">
        <f>HYPERLINK("https://ceds.ed.gov/cedselementdetails.aspx?termid=17451")</f>
        <v>https://ceds.ed.gov/cedselementdetails.aspx?termid=17451</v>
      </c>
      <c r="Q911" s="14" t="str">
        <f>HYPERLINK("https://ceds.ed.gov/elementComment.aspx?elementName=Innovative Dollars Spent &amp;elementID=17451", "Click here to submit comment")</f>
        <v>Click here to submit comment</v>
      </c>
      <c r="R911" s="14">
        <v>51234</v>
      </c>
    </row>
    <row r="912" spans="1:18" ht="45" x14ac:dyDescent="0.25">
      <c r="A912" s="14" t="s">
        <v>8732</v>
      </c>
      <c r="B912" s="14" t="s">
        <v>8735</v>
      </c>
      <c r="C912" s="14" t="s">
        <v>8783</v>
      </c>
      <c r="D912" s="14" t="s">
        <v>8531</v>
      </c>
      <c r="E912" s="14" t="s">
        <v>5468</v>
      </c>
      <c r="F912" s="14" t="s">
        <v>5469</v>
      </c>
      <c r="G912" s="14" t="s">
        <v>37</v>
      </c>
      <c r="H912" s="14" t="s">
        <v>245</v>
      </c>
      <c r="I912" s="14"/>
      <c r="J912" s="14" t="s">
        <v>1710</v>
      </c>
      <c r="K912" s="14"/>
      <c r="L912" s="14"/>
      <c r="M912" s="14" t="s">
        <v>5470</v>
      </c>
      <c r="N912" s="14"/>
      <c r="O912" s="14" t="s">
        <v>5471</v>
      </c>
      <c r="P912" s="14" t="str">
        <f>HYPERLINK("https://ceds.ed.gov/cedselementdetails.aspx?termid=17452")</f>
        <v>https://ceds.ed.gov/cedselementdetails.aspx?termid=17452</v>
      </c>
      <c r="Q912" s="14" t="str">
        <f>HYPERLINK("https://ceds.ed.gov/elementComment.aspx?elementName=Innovative Dollars Spent on Strategic Priorities &amp;elementID=17452", "Click here to submit comment")</f>
        <v>Click here to submit comment</v>
      </c>
      <c r="R912" s="14">
        <v>51235</v>
      </c>
    </row>
    <row r="913" spans="1:18" ht="60" x14ac:dyDescent="0.25">
      <c r="A913" s="14" t="s">
        <v>8732</v>
      </c>
      <c r="B913" s="14" t="s">
        <v>8735</v>
      </c>
      <c r="C913" s="14" t="s">
        <v>8783</v>
      </c>
      <c r="D913" s="14" t="s">
        <v>8531</v>
      </c>
      <c r="E913" s="14" t="s">
        <v>7211</v>
      </c>
      <c r="F913" s="14" t="s">
        <v>7212</v>
      </c>
      <c r="G913" s="14" t="s">
        <v>37</v>
      </c>
      <c r="H913" s="14" t="s">
        <v>258</v>
      </c>
      <c r="I913" s="14"/>
      <c r="J913" s="14" t="s">
        <v>1710</v>
      </c>
      <c r="K913" s="14"/>
      <c r="L913" s="14"/>
      <c r="M913" s="14" t="s">
        <v>7213</v>
      </c>
      <c r="N913" s="14"/>
      <c r="O913" s="14" t="s">
        <v>7214</v>
      </c>
      <c r="P913" s="14" t="str">
        <f>HYPERLINK("https://ceds.ed.gov/cedselementdetails.aspx?termid=17560")</f>
        <v>https://ceds.ed.gov/cedselementdetails.aspx?termid=17560</v>
      </c>
      <c r="Q913" s="14" t="str">
        <f>HYPERLINK("https://ceds.ed.gov/elementComment.aspx?elementName=Public School Choice Funds Spent &amp;elementID=17560", "Click here to submit comment")</f>
        <v>Click here to submit comment</v>
      </c>
      <c r="R913" s="14">
        <v>51236</v>
      </c>
    </row>
    <row r="914" spans="1:18" ht="90" x14ac:dyDescent="0.25">
      <c r="A914" s="14" t="s">
        <v>8732</v>
      </c>
      <c r="B914" s="14" t="s">
        <v>8735</v>
      </c>
      <c r="C914" s="14" t="s">
        <v>8783</v>
      </c>
      <c r="D914" s="14" t="s">
        <v>8531</v>
      </c>
      <c r="E914" s="14" t="s">
        <v>7620</v>
      </c>
      <c r="F914" s="14" t="s">
        <v>7621</v>
      </c>
      <c r="G914" s="8" t="s">
        <v>8784</v>
      </c>
      <c r="H914" s="14" t="s">
        <v>258</v>
      </c>
      <c r="I914" s="14"/>
      <c r="J914" s="14"/>
      <c r="K914" s="14"/>
      <c r="L914" s="14"/>
      <c r="M914" s="14" t="s">
        <v>7623</v>
      </c>
      <c r="N914" s="14"/>
      <c r="O914" s="14" t="s">
        <v>7624</v>
      </c>
      <c r="P914" s="14" t="str">
        <f>HYPERLINK("https://ceds.ed.gov/cedselementdetails.aspx?termid=17239")</f>
        <v>https://ceds.ed.gov/cedselementdetails.aspx?termid=17239</v>
      </c>
      <c r="Q914" s="14" t="str">
        <f>HYPERLINK("https://ceds.ed.gov/elementComment.aspx?elementName=School Improvement Grant Intervention Type &amp;elementID=17239", "Click here to submit comment")</f>
        <v>Click here to submit comment</v>
      </c>
      <c r="R914" s="14">
        <v>47843</v>
      </c>
    </row>
    <row r="915" spans="1:18" ht="105" x14ac:dyDescent="0.25">
      <c r="A915" s="14" t="s">
        <v>8732</v>
      </c>
      <c r="B915" s="14" t="s">
        <v>8735</v>
      </c>
      <c r="C915" s="14" t="s">
        <v>8783</v>
      </c>
      <c r="D915" s="14" t="s">
        <v>8531</v>
      </c>
      <c r="E915" s="14" t="s">
        <v>7625</v>
      </c>
      <c r="F915" s="14" t="s">
        <v>7626</v>
      </c>
      <c r="G915" s="14" t="s">
        <v>37</v>
      </c>
      <c r="H915" s="14" t="s">
        <v>245</v>
      </c>
      <c r="I915" s="14"/>
      <c r="J915" s="14" t="s">
        <v>869</v>
      </c>
      <c r="K915" s="14"/>
      <c r="L915" s="14"/>
      <c r="M915" s="14" t="s">
        <v>7627</v>
      </c>
      <c r="N915" s="14"/>
      <c r="O915" s="14" t="s">
        <v>7628</v>
      </c>
      <c r="P915" s="14" t="str">
        <f>HYPERLINK("https://ceds.ed.gov/cedselementdetails.aspx?termid=17470")</f>
        <v>https://ceds.ed.gov/cedselementdetails.aspx?termid=17470</v>
      </c>
      <c r="Q915" s="14" t="str">
        <f>HYPERLINK("https://ceds.ed.gov/elementComment.aspx?elementName=School Improvement Reserved Funds Percentage &amp;elementID=17470", "Click here to submit comment")</f>
        <v>Click here to submit comment</v>
      </c>
      <c r="R915" s="14">
        <v>51237</v>
      </c>
    </row>
    <row r="916" spans="1:18" ht="45" x14ac:dyDescent="0.25">
      <c r="A916" s="14" t="s">
        <v>8732</v>
      </c>
      <c r="B916" s="14" t="s">
        <v>8735</v>
      </c>
      <c r="C916" s="14" t="s">
        <v>8783</v>
      </c>
      <c r="D916" s="14" t="s">
        <v>8531</v>
      </c>
      <c r="E916" s="14" t="s">
        <v>7608</v>
      </c>
      <c r="F916" s="14" t="s">
        <v>7609</v>
      </c>
      <c r="G916" s="14" t="s">
        <v>37</v>
      </c>
      <c r="H916" s="14" t="s">
        <v>245</v>
      </c>
      <c r="I916" s="14"/>
      <c r="J916" s="14" t="s">
        <v>1710</v>
      </c>
      <c r="K916" s="14"/>
      <c r="L916" s="14"/>
      <c r="M916" s="14" t="s">
        <v>7610</v>
      </c>
      <c r="N916" s="14"/>
      <c r="O916" s="14" t="s">
        <v>7611</v>
      </c>
      <c r="P916" s="14" t="str">
        <f>HYPERLINK("https://ceds.ed.gov/cedselementdetails.aspx?termid=17471")</f>
        <v>https://ceds.ed.gov/cedselementdetails.aspx?termid=17471</v>
      </c>
      <c r="Q916" s="14" t="str">
        <f>HYPERLINK("https://ceds.ed.gov/elementComment.aspx?elementName=School Improvement Allocation &amp;elementID=17471", "Click here to submit comment")</f>
        <v>Click here to submit comment</v>
      </c>
      <c r="R916" s="14">
        <v>51238</v>
      </c>
    </row>
    <row r="917" spans="1:18" ht="60" x14ac:dyDescent="0.25">
      <c r="A917" s="14" t="s">
        <v>8732</v>
      </c>
      <c r="B917" s="14" t="s">
        <v>8735</v>
      </c>
      <c r="C917" s="14" t="s">
        <v>8783</v>
      </c>
      <c r="D917" s="14" t="s">
        <v>8531</v>
      </c>
      <c r="E917" s="14" t="s">
        <v>8111</v>
      </c>
      <c r="F917" s="14" t="s">
        <v>8112</v>
      </c>
      <c r="G917" s="14" t="s">
        <v>37</v>
      </c>
      <c r="H917" s="14" t="s">
        <v>258</v>
      </c>
      <c r="I917" s="14"/>
      <c r="J917" s="14" t="s">
        <v>1710</v>
      </c>
      <c r="K917" s="14"/>
      <c r="L917" s="14"/>
      <c r="M917" s="14" t="s">
        <v>8113</v>
      </c>
      <c r="N917" s="14" t="s">
        <v>8114</v>
      </c>
      <c r="O917" s="14" t="s">
        <v>8115</v>
      </c>
      <c r="P917" s="14" t="str">
        <f>HYPERLINK("https://ceds.ed.gov/cedselementdetails.aspx?termid=17567")</f>
        <v>https://ceds.ed.gov/cedselementdetails.aspx?termid=17567</v>
      </c>
      <c r="Q917" s="14" t="str">
        <f>HYPERLINK("https://ceds.ed.gov/elementComment.aspx?elementName=Supplemental Educational Services Per Pupil Expenditure &amp;elementID=17567", "Click here to submit comment")</f>
        <v>Click here to submit comment</v>
      </c>
      <c r="R917" s="14">
        <v>51240</v>
      </c>
    </row>
    <row r="918" spans="1:18" ht="75" x14ac:dyDescent="0.25">
      <c r="A918" s="14" t="s">
        <v>8732</v>
      </c>
      <c r="B918" s="14" t="s">
        <v>8735</v>
      </c>
      <c r="C918" s="14" t="s">
        <v>8783</v>
      </c>
      <c r="D918" s="14" t="s">
        <v>8531</v>
      </c>
      <c r="E918" s="14" t="s">
        <v>8106</v>
      </c>
      <c r="F918" s="14" t="s">
        <v>8107</v>
      </c>
      <c r="G918" s="14" t="s">
        <v>37</v>
      </c>
      <c r="H918" s="14" t="s">
        <v>258</v>
      </c>
      <c r="I918" s="14"/>
      <c r="J918" s="14" t="s">
        <v>1710</v>
      </c>
      <c r="K918" s="14"/>
      <c r="L918" s="14"/>
      <c r="M918" s="14" t="s">
        <v>8108</v>
      </c>
      <c r="N918" s="14" t="s">
        <v>8109</v>
      </c>
      <c r="O918" s="14" t="s">
        <v>8110</v>
      </c>
      <c r="P918" s="14" t="str">
        <f>HYPERLINK("https://ceds.ed.gov/cedselementdetails.aspx?termid=17559")</f>
        <v>https://ceds.ed.gov/cedselementdetails.aspx?termid=17559</v>
      </c>
      <c r="Q918" s="14" t="str">
        <f>HYPERLINK("https://ceds.ed.gov/elementComment.aspx?elementName=Supplemental Educational Services Funds Spent &amp;elementID=17559", "Click here to submit comment")</f>
        <v>Click here to submit comment</v>
      </c>
      <c r="R918" s="14">
        <v>51239</v>
      </c>
    </row>
    <row r="919" spans="1:18" ht="60" x14ac:dyDescent="0.25">
      <c r="A919" s="14" t="s">
        <v>8732</v>
      </c>
      <c r="B919" s="14" t="s">
        <v>8735</v>
      </c>
      <c r="C919" s="14" t="s">
        <v>8783</v>
      </c>
      <c r="D919" s="14" t="s">
        <v>8531</v>
      </c>
      <c r="E919" s="14" t="s">
        <v>8101</v>
      </c>
      <c r="F919" s="14" t="s">
        <v>8102</v>
      </c>
      <c r="G919" s="14" t="s">
        <v>37</v>
      </c>
      <c r="H919" s="14" t="s">
        <v>258</v>
      </c>
      <c r="I919" s="14"/>
      <c r="J919" s="14" t="s">
        <v>1710</v>
      </c>
      <c r="K919" s="14"/>
      <c r="L919" s="14"/>
      <c r="M919" s="14" t="s">
        <v>8103</v>
      </c>
      <c r="N919" s="14" t="s">
        <v>8104</v>
      </c>
      <c r="O919" s="14" t="s">
        <v>8105</v>
      </c>
      <c r="P919" s="14" t="str">
        <f>HYPERLINK("https://ceds.ed.gov/cedselementdetails.aspx?termid=17566")</f>
        <v>https://ceds.ed.gov/cedselementdetails.aspx?termid=17566</v>
      </c>
      <c r="Q919" s="14" t="str">
        <f>HYPERLINK("https://ceds.ed.gov/elementComment.aspx?elementName=Supplemental Education Services Public School Choice Twenty Percent Obligation &amp;elementID=17566", "Click here to submit comment")</f>
        <v>Click here to submit comment</v>
      </c>
      <c r="R919" s="14">
        <v>51241</v>
      </c>
    </row>
    <row r="920" spans="1:18" ht="195" x14ac:dyDescent="0.25">
      <c r="A920" s="14" t="s">
        <v>8732</v>
      </c>
      <c r="B920" s="14" t="s">
        <v>8735</v>
      </c>
      <c r="C920" s="14" t="s">
        <v>8783</v>
      </c>
      <c r="D920" s="14" t="s">
        <v>8531</v>
      </c>
      <c r="E920" s="14" t="s">
        <v>8401</v>
      </c>
      <c r="F920" s="14" t="s">
        <v>8402</v>
      </c>
      <c r="G920" s="8" t="s">
        <v>8785</v>
      </c>
      <c r="H920" s="14" t="s">
        <v>245</v>
      </c>
      <c r="I920" s="14"/>
      <c r="J920" s="14"/>
      <c r="K920" s="14"/>
      <c r="L920" s="14"/>
      <c r="M920" s="14" t="s">
        <v>8405</v>
      </c>
      <c r="N920" s="14" t="s">
        <v>8406</v>
      </c>
      <c r="O920" s="14" t="s">
        <v>8407</v>
      </c>
      <c r="P920" s="14" t="str">
        <f>HYPERLINK("https://ceds.ed.gov/cedselementdetails.aspx?termid=17477")</f>
        <v>https://ceds.ed.gov/cedselementdetails.aspx?termid=17477</v>
      </c>
      <c r="Q920" s="14" t="str">
        <f>HYPERLINK("https://ceds.ed.gov/elementComment.aspx?elementName=Type of Use of the Rural Low-Income Schools Program &amp;elementID=17477", "Click here to submit comment")</f>
        <v>Click here to submit comment</v>
      </c>
      <c r="R920" s="14">
        <v>51242</v>
      </c>
    </row>
    <row r="921" spans="1:18" ht="75" x14ac:dyDescent="0.25">
      <c r="A921" s="14" t="s">
        <v>8732</v>
      </c>
      <c r="B921" s="14" t="s">
        <v>8735</v>
      </c>
      <c r="C921" s="14" t="s">
        <v>8783</v>
      </c>
      <c r="D921" s="14" t="s">
        <v>8531</v>
      </c>
      <c r="E921" s="14" t="s">
        <v>4468</v>
      </c>
      <c r="F921" s="14" t="s">
        <v>4469</v>
      </c>
      <c r="G921" s="14" t="s">
        <v>37</v>
      </c>
      <c r="H921" s="14" t="s">
        <v>258</v>
      </c>
      <c r="I921" s="14"/>
      <c r="J921" s="14" t="s">
        <v>4471</v>
      </c>
      <c r="K921" s="14"/>
      <c r="L921" s="14"/>
      <c r="M921" s="14" t="s">
        <v>4472</v>
      </c>
      <c r="N921" s="14"/>
      <c r="O921" s="14" t="s">
        <v>4473</v>
      </c>
      <c r="P921" s="14" t="str">
        <f>HYPERLINK("https://ceds.ed.gov/cedselementdetails.aspx?termid=17538")</f>
        <v>https://ceds.ed.gov/cedselementdetails.aspx?termid=17538</v>
      </c>
      <c r="Q921" s="14" t="str">
        <f>HYPERLINK("https://ceds.ed.gov/elementComment.aspx?elementName=Federal Program Code &amp;elementID=17538", "Click here to submit comment")</f>
        <v>Click here to submit comment</v>
      </c>
      <c r="R921" s="14">
        <v>51243</v>
      </c>
    </row>
    <row r="922" spans="1:18" ht="120" x14ac:dyDescent="0.25">
      <c r="A922" s="14" t="s">
        <v>8732</v>
      </c>
      <c r="B922" s="14" t="s">
        <v>8735</v>
      </c>
      <c r="C922" s="14" t="s">
        <v>8786</v>
      </c>
      <c r="D922" s="14" t="s">
        <v>8531</v>
      </c>
      <c r="E922" s="14" t="s">
        <v>7712</v>
      </c>
      <c r="F922" s="14" t="s">
        <v>7713</v>
      </c>
      <c r="G922" s="14" t="s">
        <v>37</v>
      </c>
      <c r="H922" s="14" t="s">
        <v>1713</v>
      </c>
      <c r="I922" s="14"/>
      <c r="J922" s="14" t="s">
        <v>135</v>
      </c>
      <c r="K922" s="14"/>
      <c r="L922" s="14"/>
      <c r="M922" s="14" t="s">
        <v>7714</v>
      </c>
      <c r="N922" s="14"/>
      <c r="O922" s="14" t="s">
        <v>7715</v>
      </c>
      <c r="P922" s="14" t="str">
        <f>HYPERLINK("https://ceds.ed.gov/cedselementdetails.aspx?termid=17251")</f>
        <v>https://ceds.ed.gov/cedselementdetails.aspx?termid=17251</v>
      </c>
      <c r="Q922" s="14" t="str">
        <f>HYPERLINK("https://ceds.ed.gov/elementComment.aspx?elementName=Session Begin Date &amp;elementID=17251", "Click here to submit comment")</f>
        <v>Click here to submit comment</v>
      </c>
      <c r="R922" s="14">
        <v>51250</v>
      </c>
    </row>
    <row r="923" spans="1:18" ht="120" x14ac:dyDescent="0.25">
      <c r="A923" s="14" t="s">
        <v>8732</v>
      </c>
      <c r="B923" s="14" t="s">
        <v>8735</v>
      </c>
      <c r="C923" s="14" t="s">
        <v>8786</v>
      </c>
      <c r="D923" s="14" t="s">
        <v>8531</v>
      </c>
      <c r="E923" s="14" t="s">
        <v>7729</v>
      </c>
      <c r="F923" s="14" t="s">
        <v>7730</v>
      </c>
      <c r="G923" s="14" t="s">
        <v>37</v>
      </c>
      <c r="H923" s="14" t="s">
        <v>1713</v>
      </c>
      <c r="I923" s="14"/>
      <c r="J923" s="14" t="s">
        <v>135</v>
      </c>
      <c r="K923" s="14"/>
      <c r="L923" s="14" t="s">
        <v>160</v>
      </c>
      <c r="M923" s="14" t="s">
        <v>7731</v>
      </c>
      <c r="N923" s="14"/>
      <c r="O923" s="14" t="s">
        <v>7732</v>
      </c>
      <c r="P923" s="14" t="str">
        <f>HYPERLINK("https://ceds.ed.gov/cedselementdetails.aspx?termid=17253")</f>
        <v>https://ceds.ed.gov/cedselementdetails.aspx?termid=17253</v>
      </c>
      <c r="Q923" s="14" t="str">
        <f>HYPERLINK("https://ceds.ed.gov/elementComment.aspx?elementName=Session End Date &amp;elementID=17253", "Click here to submit comment")</f>
        <v>Click here to submit comment</v>
      </c>
      <c r="R923" s="14">
        <v>51251</v>
      </c>
    </row>
    <row r="924" spans="1:18" ht="45" x14ac:dyDescent="0.25">
      <c r="A924" s="14" t="s">
        <v>8732</v>
      </c>
      <c r="B924" s="14" t="s">
        <v>8735</v>
      </c>
      <c r="C924" s="14" t="s">
        <v>8786</v>
      </c>
      <c r="D924" s="14" t="s">
        <v>8531</v>
      </c>
      <c r="E924" s="14" t="s">
        <v>7724</v>
      </c>
      <c r="F924" s="14" t="s">
        <v>7725</v>
      </c>
      <c r="G924" s="14" t="s">
        <v>37</v>
      </c>
      <c r="H924" s="14" t="s">
        <v>2232</v>
      </c>
      <c r="I924" s="14"/>
      <c r="J924" s="14" t="s">
        <v>3554</v>
      </c>
      <c r="K924" s="14"/>
      <c r="L924" s="14"/>
      <c r="M924" s="14" t="s">
        <v>7727</v>
      </c>
      <c r="N924" s="14"/>
      <c r="O924" s="14" t="s">
        <v>7728</v>
      </c>
      <c r="P924" s="14" t="str">
        <f>HYPERLINK("https://ceds.ed.gov/cedselementdetails.aspx?termid=17252")</f>
        <v>https://ceds.ed.gov/cedselementdetails.aspx?termid=17252</v>
      </c>
      <c r="Q924" s="14" t="str">
        <f>HYPERLINK("https://ceds.ed.gov/elementComment.aspx?elementName=Session Designator &amp;elementID=17252", "Click here to submit comment")</f>
        <v>Click here to submit comment</v>
      </c>
      <c r="R924" s="14">
        <v>51252</v>
      </c>
    </row>
    <row r="925" spans="1:18" ht="180" x14ac:dyDescent="0.25">
      <c r="A925" s="14" t="s">
        <v>8732</v>
      </c>
      <c r="B925" s="14" t="s">
        <v>8735</v>
      </c>
      <c r="C925" s="14" t="s">
        <v>8786</v>
      </c>
      <c r="D925" s="14" t="s">
        <v>8531</v>
      </c>
      <c r="E925" s="14" t="s">
        <v>7750</v>
      </c>
      <c r="F925" s="14" t="s">
        <v>7751</v>
      </c>
      <c r="G925" s="8" t="s">
        <v>8787</v>
      </c>
      <c r="H925" s="14" t="s">
        <v>1713</v>
      </c>
      <c r="I925" s="14"/>
      <c r="J925" s="14"/>
      <c r="K925" s="14"/>
      <c r="L925" s="14"/>
      <c r="M925" s="14" t="s">
        <v>7754</v>
      </c>
      <c r="N925" s="14"/>
      <c r="O925" s="14" t="s">
        <v>7755</v>
      </c>
      <c r="P925" s="14" t="str">
        <f>HYPERLINK("https://ceds.ed.gov/cedselementdetails.aspx?termid=17254")</f>
        <v>https://ceds.ed.gov/cedselementdetails.aspx?termid=17254</v>
      </c>
      <c r="Q925" s="14" t="str">
        <f>HYPERLINK("https://ceds.ed.gov/elementComment.aspx?elementName=Session Type &amp;elementID=17254", "Click here to submit comment")</f>
        <v>Click here to submit comment</v>
      </c>
      <c r="R925" s="14">
        <v>51244</v>
      </c>
    </row>
    <row r="926" spans="1:18" ht="60" x14ac:dyDescent="0.25">
      <c r="A926" s="14" t="s">
        <v>8732</v>
      </c>
      <c r="B926" s="14" t="s">
        <v>8735</v>
      </c>
      <c r="C926" s="14" t="s">
        <v>8786</v>
      </c>
      <c r="D926" s="14" t="s">
        <v>8531</v>
      </c>
      <c r="E926" s="14" t="s">
        <v>7716</v>
      </c>
      <c r="F926" s="14" t="s">
        <v>7717</v>
      </c>
      <c r="G926" s="14" t="s">
        <v>37</v>
      </c>
      <c r="H926" s="14"/>
      <c r="I926" s="14"/>
      <c r="J926" s="14" t="s">
        <v>97</v>
      </c>
      <c r="K926" s="14"/>
      <c r="L926" s="14"/>
      <c r="M926" s="14" t="s">
        <v>7718</v>
      </c>
      <c r="N926" s="14"/>
      <c r="O926" s="14" t="s">
        <v>7719</v>
      </c>
      <c r="P926" s="14" t="str">
        <f>HYPERLINK("https://ceds.ed.gov/cedselementdetails.aspx?termid=18236")</f>
        <v>https://ceds.ed.gov/cedselementdetails.aspx?termid=18236</v>
      </c>
      <c r="Q926" s="14" t="str">
        <f>HYPERLINK("https://ceds.ed.gov/elementComment.aspx?elementName=Session Code &amp;elementID=18236", "Click here to submit comment")</f>
        <v>Click here to submit comment</v>
      </c>
      <c r="R926" s="14">
        <v>49904</v>
      </c>
    </row>
    <row r="927" spans="1:18" ht="45" x14ac:dyDescent="0.25">
      <c r="A927" s="14" t="s">
        <v>8732</v>
      </c>
      <c r="B927" s="14" t="s">
        <v>8735</v>
      </c>
      <c r="C927" s="14" t="s">
        <v>8786</v>
      </c>
      <c r="D927" s="14" t="s">
        <v>8531</v>
      </c>
      <c r="E927" s="14" t="s">
        <v>7720</v>
      </c>
      <c r="F927" s="14" t="s">
        <v>7721</v>
      </c>
      <c r="G927" s="14" t="s">
        <v>37</v>
      </c>
      <c r="H927" s="14"/>
      <c r="I927" s="14"/>
      <c r="J927" s="14" t="s">
        <v>382</v>
      </c>
      <c r="K927" s="14"/>
      <c r="L927" s="14"/>
      <c r="M927" s="14" t="s">
        <v>7722</v>
      </c>
      <c r="N927" s="14"/>
      <c r="O927" s="14" t="s">
        <v>7723</v>
      </c>
      <c r="P927" s="14" t="str">
        <f>HYPERLINK("https://ceds.ed.gov/cedselementdetails.aspx?termid=18237")</f>
        <v>https://ceds.ed.gov/cedselementdetails.aspx?termid=18237</v>
      </c>
      <c r="Q927" s="14" t="str">
        <f>HYPERLINK("https://ceds.ed.gov/elementComment.aspx?elementName=Session Description &amp;elementID=18237", "Click here to submit comment")</f>
        <v>Click here to submit comment</v>
      </c>
      <c r="R927" s="14">
        <v>49911</v>
      </c>
    </row>
    <row r="928" spans="1:18" ht="45" x14ac:dyDescent="0.25">
      <c r="A928" s="14" t="s">
        <v>8732</v>
      </c>
      <c r="B928" s="14" t="s">
        <v>8735</v>
      </c>
      <c r="C928" s="14" t="s">
        <v>8786</v>
      </c>
      <c r="D928" s="14" t="s">
        <v>8531</v>
      </c>
      <c r="E928" s="14" t="s">
        <v>7738</v>
      </c>
      <c r="F928" s="14" t="s">
        <v>7739</v>
      </c>
      <c r="G928" s="14" t="s">
        <v>24</v>
      </c>
      <c r="H928" s="14"/>
      <c r="I928" s="14"/>
      <c r="J928" s="14"/>
      <c r="K928" s="14"/>
      <c r="L928" s="14"/>
      <c r="M928" s="14" t="s">
        <v>7740</v>
      </c>
      <c r="N928" s="14"/>
      <c r="O928" s="14" t="s">
        <v>7741</v>
      </c>
      <c r="P928" s="14" t="str">
        <f>HYPERLINK("https://ceds.ed.gov/cedselementdetails.aspx?termid=18238")</f>
        <v>https://ceds.ed.gov/cedselementdetails.aspx?termid=18238</v>
      </c>
      <c r="Q928" s="14" t="str">
        <f>HYPERLINK("https://ceds.ed.gov/elementComment.aspx?elementName=Session Marking Term Indicator &amp;elementID=18238", "Click here to submit comment")</f>
        <v>Click here to submit comment</v>
      </c>
      <c r="R928" s="14">
        <v>49912</v>
      </c>
    </row>
    <row r="929" spans="1:18" ht="45" x14ac:dyDescent="0.25">
      <c r="A929" s="14" t="s">
        <v>8732</v>
      </c>
      <c r="B929" s="14" t="s">
        <v>8735</v>
      </c>
      <c r="C929" s="14" t="s">
        <v>8786</v>
      </c>
      <c r="D929" s="14" t="s">
        <v>8531</v>
      </c>
      <c r="E929" s="14" t="s">
        <v>7742</v>
      </c>
      <c r="F929" s="14" t="s">
        <v>7743</v>
      </c>
      <c r="G929" s="14" t="s">
        <v>24</v>
      </c>
      <c r="H929" s="14"/>
      <c r="I929" s="14"/>
      <c r="J929" s="14"/>
      <c r="K929" s="14"/>
      <c r="L929" s="14"/>
      <c r="M929" s="14" t="s">
        <v>7744</v>
      </c>
      <c r="N929" s="14"/>
      <c r="O929" s="14" t="s">
        <v>7745</v>
      </c>
      <c r="P929" s="14" t="str">
        <f>HYPERLINK("https://ceds.ed.gov/cedselementdetails.aspx?termid=18239")</f>
        <v>https://ceds.ed.gov/cedselementdetails.aspx?termid=18239</v>
      </c>
      <c r="Q929" s="14" t="str">
        <f>HYPERLINK("https://ceds.ed.gov/elementComment.aspx?elementName=Session Scheduling Term Indicator &amp;elementID=18239", "Click here to submit comment")</f>
        <v>Click here to submit comment</v>
      </c>
      <c r="R929" s="14">
        <v>49913</v>
      </c>
    </row>
    <row r="930" spans="1:18" ht="45" x14ac:dyDescent="0.25">
      <c r="A930" s="14" t="s">
        <v>8732</v>
      </c>
      <c r="B930" s="14" t="s">
        <v>8735</v>
      </c>
      <c r="C930" s="14" t="s">
        <v>8786</v>
      </c>
      <c r="D930" s="14" t="s">
        <v>8531</v>
      </c>
      <c r="E930" s="14" t="s">
        <v>7707</v>
      </c>
      <c r="F930" s="14" t="s">
        <v>7708</v>
      </c>
      <c r="G930" s="14" t="s">
        <v>24</v>
      </c>
      <c r="H930" s="14"/>
      <c r="I930" s="14"/>
      <c r="J930" s="14"/>
      <c r="K930" s="14"/>
      <c r="L930" s="14"/>
      <c r="M930" s="14" t="s">
        <v>7710</v>
      </c>
      <c r="N930" s="14"/>
      <c r="O930" s="14" t="s">
        <v>7711</v>
      </c>
      <c r="P930" s="14" t="str">
        <f>HYPERLINK("https://ceds.ed.gov/cedselementdetails.aspx?termid=18240")</f>
        <v>https://ceds.ed.gov/cedselementdetails.aspx?termid=18240</v>
      </c>
      <c r="Q930" s="14" t="str">
        <f>HYPERLINK("https://ceds.ed.gov/elementComment.aspx?elementName=Session Attendance Term Indicator &amp;elementID=18240", "Click here to submit comment")</f>
        <v>Click here to submit comment</v>
      </c>
      <c r="R930" s="14">
        <v>49914</v>
      </c>
    </row>
    <row r="931" spans="1:18" ht="45" x14ac:dyDescent="0.25">
      <c r="A931" s="14" t="s">
        <v>8732</v>
      </c>
      <c r="B931" s="14" t="s">
        <v>8735</v>
      </c>
      <c r="C931" s="14" t="s">
        <v>8786</v>
      </c>
      <c r="D931" s="14" t="s">
        <v>8531</v>
      </c>
      <c r="E931" s="14" t="s">
        <v>7649</v>
      </c>
      <c r="F931" s="14" t="s">
        <v>7650</v>
      </c>
      <c r="G931" s="14" t="s">
        <v>37</v>
      </c>
      <c r="H931" s="14" t="s">
        <v>2807</v>
      </c>
      <c r="I931" s="14"/>
      <c r="J931" s="14" t="s">
        <v>2094</v>
      </c>
      <c r="K931" s="14"/>
      <c r="L931" s="14" t="s">
        <v>7652</v>
      </c>
      <c r="M931" s="14" t="s">
        <v>7653</v>
      </c>
      <c r="N931" s="14"/>
      <c r="O931" s="14" t="s">
        <v>7654</v>
      </c>
      <c r="P931" s="14" t="str">
        <f>HYPERLINK("https://ceds.ed.gov/cedselementdetails.aspx?termid=17243")</f>
        <v>https://ceds.ed.gov/cedselementdetails.aspx?termid=17243</v>
      </c>
      <c r="Q931" s="14" t="str">
        <f>HYPERLINK("https://ceds.ed.gov/elementComment.aspx?elementName=School Year &amp;elementID=17243", "Click here to submit comment")</f>
        <v>Click here to submit comment</v>
      </c>
      <c r="R931" s="14">
        <v>47847</v>
      </c>
    </row>
    <row r="932" spans="1:18" ht="45" x14ac:dyDescent="0.25">
      <c r="A932" s="14" t="s">
        <v>8732</v>
      </c>
      <c r="B932" s="14" t="s">
        <v>8735</v>
      </c>
      <c r="C932" s="14" t="s">
        <v>8786</v>
      </c>
      <c r="D932" s="14" t="s">
        <v>8531</v>
      </c>
      <c r="E932" s="14" t="s">
        <v>4663</v>
      </c>
      <c r="F932" s="14" t="s">
        <v>4664</v>
      </c>
      <c r="G932" s="14" t="s">
        <v>37</v>
      </c>
      <c r="H932" s="14"/>
      <c r="I932" s="14"/>
      <c r="J932" s="14" t="s">
        <v>135</v>
      </c>
      <c r="K932" s="14"/>
      <c r="L932" s="14"/>
      <c r="M932" s="14" t="s">
        <v>4665</v>
      </c>
      <c r="N932" s="14"/>
      <c r="O932" s="14" t="s">
        <v>4666</v>
      </c>
      <c r="P932" s="14" t="str">
        <f>HYPERLINK("https://ceds.ed.gov/cedselementdetails.aspx?termid=17488")</f>
        <v>https://ceds.ed.gov/cedselementdetails.aspx?termid=17488</v>
      </c>
      <c r="Q932" s="14" t="str">
        <f>HYPERLINK("https://ceds.ed.gov/elementComment.aspx?elementName=First Instruction Date &amp;elementID=17488", "Click here to submit comment")</f>
        <v>Click here to submit comment</v>
      </c>
      <c r="R932" s="14">
        <v>47863</v>
      </c>
    </row>
    <row r="933" spans="1:18" ht="105" x14ac:dyDescent="0.25">
      <c r="A933" s="14" t="s">
        <v>8732</v>
      </c>
      <c r="B933" s="14" t="s">
        <v>8735</v>
      </c>
      <c r="C933" s="14" t="s">
        <v>8786</v>
      </c>
      <c r="D933" s="14" t="s">
        <v>8531</v>
      </c>
      <c r="E933" s="14" t="s">
        <v>5723</v>
      </c>
      <c r="F933" s="14" t="s">
        <v>5724</v>
      </c>
      <c r="G933" s="14" t="s">
        <v>37</v>
      </c>
      <c r="H933" s="14"/>
      <c r="I933" s="14"/>
      <c r="J933" s="14" t="s">
        <v>135</v>
      </c>
      <c r="K933" s="14"/>
      <c r="L933" s="14"/>
      <c r="M933" s="14" t="s">
        <v>5725</v>
      </c>
      <c r="N933" s="14"/>
      <c r="O933" s="14" t="s">
        <v>5726</v>
      </c>
      <c r="P933" s="14" t="str">
        <f>HYPERLINK("https://ceds.ed.gov/cedselementdetails.aspx?termid=17489")</f>
        <v>https://ceds.ed.gov/cedselementdetails.aspx?termid=17489</v>
      </c>
      <c r="Q933" s="14" t="str">
        <f>HYPERLINK("https://ceds.ed.gov/elementComment.aspx?elementName=Last Instruction Date &amp;elementID=17489", "Click here to submit comment")</f>
        <v>Click here to submit comment</v>
      </c>
      <c r="R933" s="14">
        <v>47864</v>
      </c>
    </row>
    <row r="934" spans="1:18" ht="135" x14ac:dyDescent="0.25">
      <c r="A934" s="14" t="s">
        <v>8732</v>
      </c>
      <c r="B934" s="14" t="s">
        <v>8735</v>
      </c>
      <c r="C934" s="14" t="s">
        <v>8786</v>
      </c>
      <c r="D934" s="14" t="s">
        <v>8531</v>
      </c>
      <c r="E934" s="14" t="s">
        <v>3455</v>
      </c>
      <c r="F934" s="14" t="s">
        <v>3456</v>
      </c>
      <c r="G934" s="14" t="s">
        <v>37</v>
      </c>
      <c r="H934" s="14"/>
      <c r="I934" s="14"/>
      <c r="J934" s="14" t="s">
        <v>370</v>
      </c>
      <c r="K934" s="14"/>
      <c r="L934" s="14"/>
      <c r="M934" s="14" t="s">
        <v>3458</v>
      </c>
      <c r="N934" s="14"/>
      <c r="O934" s="14" t="s">
        <v>3459</v>
      </c>
      <c r="P934" s="14" t="str">
        <f>HYPERLINK("https://ceds.ed.gov/cedselementdetails.aspx?termid=17487")</f>
        <v>https://ceds.ed.gov/cedselementdetails.aspx?termid=17487</v>
      </c>
      <c r="Q934" s="14" t="str">
        <f>HYPERLINK("https://ceds.ed.gov/elementComment.aspx?elementName=Days in Session &amp;elementID=17487", "Click here to submit comment")</f>
        <v>Click here to submit comment</v>
      </c>
      <c r="R934" s="14">
        <v>47862</v>
      </c>
    </row>
    <row r="935" spans="1:18" ht="105" x14ac:dyDescent="0.25">
      <c r="A935" s="14" t="s">
        <v>8732</v>
      </c>
      <c r="B935" s="14" t="s">
        <v>8735</v>
      </c>
      <c r="C935" s="14" t="s">
        <v>8786</v>
      </c>
      <c r="D935" s="14" t="s">
        <v>8531</v>
      </c>
      <c r="E935" s="14" t="s">
        <v>7655</v>
      </c>
      <c r="F935" s="14" t="s">
        <v>7656</v>
      </c>
      <c r="G935" s="14" t="s">
        <v>37</v>
      </c>
      <c r="H935" s="14" t="s">
        <v>258</v>
      </c>
      <c r="I935" s="14"/>
      <c r="J935" s="14" t="s">
        <v>370</v>
      </c>
      <c r="K935" s="14"/>
      <c r="L935" s="14"/>
      <c r="M935" s="14" t="s">
        <v>7657</v>
      </c>
      <c r="N935" s="14"/>
      <c r="O935" s="14" t="s">
        <v>7658</v>
      </c>
      <c r="P935" s="14" t="str">
        <f>HYPERLINK("https://ceds.ed.gov/cedselementdetails.aspx?termid=17244")</f>
        <v>https://ceds.ed.gov/cedselementdetails.aspx?termid=17244</v>
      </c>
      <c r="Q935" s="14" t="str">
        <f>HYPERLINK("https://ceds.ed.gov/elementComment.aspx?elementName=School Year Minutes &amp;elementID=17244", "Click here to submit comment")</f>
        <v>Click here to submit comment</v>
      </c>
      <c r="R935" s="14">
        <v>47848</v>
      </c>
    </row>
    <row r="936" spans="1:18" ht="90" x14ac:dyDescent="0.25">
      <c r="A936" s="14" t="s">
        <v>8732</v>
      </c>
      <c r="B936" s="14" t="s">
        <v>8735</v>
      </c>
      <c r="C936" s="14" t="s">
        <v>8786</v>
      </c>
      <c r="D936" s="14" t="s">
        <v>8531</v>
      </c>
      <c r="E936" s="14" t="s">
        <v>5520</v>
      </c>
      <c r="F936" s="14" t="s">
        <v>5521</v>
      </c>
      <c r="G936" s="14" t="s">
        <v>37</v>
      </c>
      <c r="H936" s="14"/>
      <c r="I936" s="14"/>
      <c r="J936" s="14" t="s">
        <v>370</v>
      </c>
      <c r="K936" s="14"/>
      <c r="L936" s="14"/>
      <c r="M936" s="14" t="s">
        <v>5522</v>
      </c>
      <c r="N936" s="14"/>
      <c r="O936" s="14" t="s">
        <v>5523</v>
      </c>
      <c r="P936" s="14" t="str">
        <f>HYPERLINK("https://ceds.ed.gov/cedselementdetails.aspx?termid=17490")</f>
        <v>https://ceds.ed.gov/cedselementdetails.aspx?termid=17490</v>
      </c>
      <c r="Q936" s="14" t="str">
        <f>HYPERLINK("https://ceds.ed.gov/elementComment.aspx?elementName=Instructional Minutes &amp;elementID=17490", "Click here to submit comment")</f>
        <v>Click here to submit comment</v>
      </c>
      <c r="R936" s="14">
        <v>47865</v>
      </c>
    </row>
    <row r="937" spans="1:18" ht="45" x14ac:dyDescent="0.25">
      <c r="A937" s="14" t="s">
        <v>8732</v>
      </c>
      <c r="B937" s="14" t="s">
        <v>8735</v>
      </c>
      <c r="C937" s="14" t="s">
        <v>8786</v>
      </c>
      <c r="D937" s="14" t="s">
        <v>8531</v>
      </c>
      <c r="E937" s="14" t="s">
        <v>6326</v>
      </c>
      <c r="F937" s="14" t="s">
        <v>6327</v>
      </c>
      <c r="G937" s="14" t="s">
        <v>37</v>
      </c>
      <c r="H937" s="14"/>
      <c r="I937" s="14"/>
      <c r="J937" s="14" t="s">
        <v>370</v>
      </c>
      <c r="K937" s="14"/>
      <c r="L937" s="14"/>
      <c r="M937" s="14" t="s">
        <v>6328</v>
      </c>
      <c r="N937" s="14"/>
      <c r="O937" s="14" t="s">
        <v>6329</v>
      </c>
      <c r="P937" s="14" t="str">
        <f>HYPERLINK("https://ceds.ed.gov/cedselementdetails.aspx?termid=17491")</f>
        <v>https://ceds.ed.gov/cedselementdetails.aspx?termid=17491</v>
      </c>
      <c r="Q937" s="14" t="str">
        <f>HYPERLINK("https://ceds.ed.gov/elementComment.aspx?elementName=Minutes Per Day &amp;elementID=17491", "Click here to submit comment")</f>
        <v>Click here to submit comment</v>
      </c>
      <c r="R937" s="14">
        <v>47866</v>
      </c>
    </row>
    <row r="938" spans="1:18" ht="90" x14ac:dyDescent="0.25">
      <c r="A938" s="14" t="s">
        <v>8732</v>
      </c>
      <c r="B938" s="14" t="s">
        <v>8735</v>
      </c>
      <c r="C938" s="14" t="s">
        <v>8788</v>
      </c>
      <c r="D938" s="14" t="s">
        <v>8531</v>
      </c>
      <c r="E938" s="14" t="s">
        <v>8194</v>
      </c>
      <c r="F938" s="14" t="s">
        <v>8195</v>
      </c>
      <c r="G938" s="14" t="s">
        <v>24</v>
      </c>
      <c r="H938" s="14"/>
      <c r="I938" s="14"/>
      <c r="J938" s="14"/>
      <c r="K938" s="14"/>
      <c r="L938" s="6" t="s">
        <v>7984</v>
      </c>
      <c r="M938" s="14" t="s">
        <v>8197</v>
      </c>
      <c r="N938" s="14"/>
      <c r="O938" s="14" t="s">
        <v>8198</v>
      </c>
      <c r="P938" s="14" t="str">
        <f>HYPERLINK("https://ceds.ed.gov/cedselementdetails.aspx?termid=18465")</f>
        <v>https://ceds.ed.gov/cedselementdetails.aspx?termid=18465</v>
      </c>
      <c r="Q938" s="14" t="str">
        <f>HYPERLINK("https://ceds.ed.gov/elementComment.aspx?elementName=Technical Assistance Approved Indicator &amp;elementID=18465", "Click here to submit comment")</f>
        <v>Click here to submit comment</v>
      </c>
      <c r="R938" s="14">
        <v>50434</v>
      </c>
    </row>
    <row r="939" spans="1:18" ht="90" x14ac:dyDescent="0.25">
      <c r="A939" s="14" t="s">
        <v>8732</v>
      </c>
      <c r="B939" s="14" t="s">
        <v>8735</v>
      </c>
      <c r="C939" s="14" t="s">
        <v>8788</v>
      </c>
      <c r="D939" s="14" t="s">
        <v>8531</v>
      </c>
      <c r="E939" s="14" t="s">
        <v>8199</v>
      </c>
      <c r="F939" s="14" t="s">
        <v>8200</v>
      </c>
      <c r="G939" s="8" t="s">
        <v>8587</v>
      </c>
      <c r="H939" s="14"/>
      <c r="I939" s="14"/>
      <c r="J939" s="14"/>
      <c r="K939" s="14"/>
      <c r="L939" s="6" t="s">
        <v>7984</v>
      </c>
      <c r="M939" s="14" t="s">
        <v>8201</v>
      </c>
      <c r="N939" s="14"/>
      <c r="O939" s="14" t="s">
        <v>8202</v>
      </c>
      <c r="P939" s="14" t="str">
        <f>HYPERLINK("https://ceds.ed.gov/cedselementdetails.aspx?termid=18466")</f>
        <v>https://ceds.ed.gov/cedselementdetails.aspx?termid=18466</v>
      </c>
      <c r="Q939" s="14" t="str">
        <f>HYPERLINK("https://ceds.ed.gov/elementComment.aspx?elementName=Technical Assistance Delivery Type &amp;elementID=18466", "Click here to submit comment")</f>
        <v>Click here to submit comment</v>
      </c>
      <c r="R939" s="14">
        <v>50440</v>
      </c>
    </row>
    <row r="940" spans="1:18" ht="375" x14ac:dyDescent="0.25">
      <c r="A940" s="14" t="s">
        <v>8732</v>
      </c>
      <c r="B940" s="14" t="s">
        <v>8735</v>
      </c>
      <c r="C940" s="14" t="s">
        <v>8788</v>
      </c>
      <c r="D940" s="14" t="s">
        <v>8531</v>
      </c>
      <c r="E940" s="14" t="s">
        <v>8203</v>
      </c>
      <c r="F940" s="14" t="s">
        <v>8204</v>
      </c>
      <c r="G940" s="8" t="s">
        <v>8588</v>
      </c>
      <c r="H940" s="14"/>
      <c r="I940" s="14"/>
      <c r="J940" s="14"/>
      <c r="K940" s="14"/>
      <c r="L940" s="6" t="s">
        <v>7984</v>
      </c>
      <c r="M940" s="14" t="s">
        <v>8206</v>
      </c>
      <c r="N940" s="14"/>
      <c r="O940" s="14" t="s">
        <v>8207</v>
      </c>
      <c r="P940" s="14" t="str">
        <f>HYPERLINK("https://ceds.ed.gov/cedselementdetails.aspx?termid=18467")</f>
        <v>https://ceds.ed.gov/cedselementdetails.aspx?termid=18467</v>
      </c>
      <c r="Q940" s="14" t="str">
        <f>HYPERLINK("https://ceds.ed.gov/elementComment.aspx?elementName=Technical Assistance Type &amp;elementID=18467", "Click here to submit comment")</f>
        <v>Click here to submit comment</v>
      </c>
      <c r="R940" s="14">
        <v>50442</v>
      </c>
    </row>
    <row r="941" spans="1:18" ht="45" x14ac:dyDescent="0.25">
      <c r="A941" s="14" t="s">
        <v>8732</v>
      </c>
      <c r="B941" s="14" t="s">
        <v>8789</v>
      </c>
      <c r="C941" s="14"/>
      <c r="D941" s="14" t="s">
        <v>8531</v>
      </c>
      <c r="E941" s="14" t="s">
        <v>6535</v>
      </c>
      <c r="F941" s="14" t="s">
        <v>6536</v>
      </c>
      <c r="G941" s="14" t="s">
        <v>37</v>
      </c>
      <c r="H941" s="14"/>
      <c r="I941" s="14"/>
      <c r="J941" s="14" t="s">
        <v>57</v>
      </c>
      <c r="K941" s="14"/>
      <c r="L941" s="14"/>
      <c r="M941" s="14" t="s">
        <v>6538</v>
      </c>
      <c r="N941" s="14"/>
      <c r="O941" s="14" t="s">
        <v>6539</v>
      </c>
      <c r="P941" s="14" t="str">
        <f>HYPERLINK("https://ceds.ed.gov/cedselementdetails.aspx?termid=18644")</f>
        <v>https://ceds.ed.gov/cedselementdetails.aspx?termid=18644</v>
      </c>
      <c r="Q941" s="14" t="str">
        <f>HYPERLINK("https://ceds.ed.gov/elementComment.aspx?elementName=Organization Image URL &amp;elementID=18644", "Click here to submit comment")</f>
        <v>Click here to submit comment</v>
      </c>
      <c r="R941" s="14">
        <v>51976</v>
      </c>
    </row>
    <row r="942" spans="1:18" ht="45" x14ac:dyDescent="0.25">
      <c r="A942" s="14" t="s">
        <v>8732</v>
      </c>
      <c r="B942" s="14" t="s">
        <v>8789</v>
      </c>
      <c r="C942" s="14"/>
      <c r="D942" s="14" t="s">
        <v>8531</v>
      </c>
      <c r="E942" s="14" t="s">
        <v>6556</v>
      </c>
      <c r="F942" s="14" t="s">
        <v>6557</v>
      </c>
      <c r="G942" s="14" t="s">
        <v>37</v>
      </c>
      <c r="H942" s="14"/>
      <c r="I942" s="14"/>
      <c r="J942" s="14" t="s">
        <v>3227</v>
      </c>
      <c r="K942" s="14"/>
      <c r="L942" s="14"/>
      <c r="M942" s="14" t="s">
        <v>6559</v>
      </c>
      <c r="N942" s="14"/>
      <c r="O942" s="14" t="s">
        <v>6560</v>
      </c>
      <c r="P942" s="14" t="str">
        <f>HYPERLINK("https://ceds.ed.gov/cedselementdetails.aspx?termid=18731")</f>
        <v>https://ceds.ed.gov/cedselementdetails.aspx?termid=18731</v>
      </c>
      <c r="Q942" s="14" t="str">
        <f>HYPERLINK("https://ceds.ed.gov/elementComment.aspx?elementName=Organization Region GeoJSON &amp;elementID=18731", "Click here to submit comment")</f>
        <v>Click here to submit comment</v>
      </c>
      <c r="R942" s="14">
        <v>51983</v>
      </c>
    </row>
    <row r="943" spans="1:18" ht="105" x14ac:dyDescent="0.25">
      <c r="A943" s="16" t="s">
        <v>8732</v>
      </c>
      <c r="B943" s="16" t="s">
        <v>8789</v>
      </c>
      <c r="C943" s="16" t="s">
        <v>8533</v>
      </c>
      <c r="D943" s="16" t="s">
        <v>8531</v>
      </c>
      <c r="E943" s="16" t="s">
        <v>6138</v>
      </c>
      <c r="F943" s="16" t="s">
        <v>6139</v>
      </c>
      <c r="G943" s="16" t="s">
        <v>37</v>
      </c>
      <c r="H943" s="16" t="s">
        <v>6137</v>
      </c>
      <c r="I943" s="16"/>
      <c r="J943" s="16" t="s">
        <v>149</v>
      </c>
      <c r="K943" s="16"/>
      <c r="L943" s="14" t="s">
        <v>150</v>
      </c>
      <c r="M943" s="16" t="s">
        <v>6140</v>
      </c>
      <c r="N943" s="16" t="s">
        <v>6141</v>
      </c>
      <c r="O943" s="16" t="s">
        <v>6142</v>
      </c>
      <c r="P943" s="16" t="str">
        <f>HYPERLINK("https://ceds.ed.gov/cedselementdetails.aspx?termid=17153")</f>
        <v>https://ceds.ed.gov/cedselementdetails.aspx?termid=17153</v>
      </c>
      <c r="Q943" s="16" t="str">
        <f>HYPERLINK("https://ceds.ed.gov/elementComment.aspx?elementName=Local Education Agency Identifier &amp;elementID=17153", "Click here to submit comment")</f>
        <v>Click here to submit comment</v>
      </c>
      <c r="R943" s="16">
        <v>47893</v>
      </c>
    </row>
    <row r="944" spans="1:18" x14ac:dyDescent="0.25">
      <c r="A944" s="16"/>
      <c r="B944" s="16"/>
      <c r="C944" s="16"/>
      <c r="D944" s="16"/>
      <c r="E944" s="16"/>
      <c r="F944" s="16"/>
      <c r="G944" s="16"/>
      <c r="H944" s="16"/>
      <c r="I944" s="16"/>
      <c r="J944" s="16"/>
      <c r="K944" s="16"/>
      <c r="L944" s="14"/>
      <c r="M944" s="16"/>
      <c r="N944" s="16"/>
      <c r="O944" s="16"/>
      <c r="P944" s="16"/>
      <c r="Q944" s="16"/>
      <c r="R944" s="16"/>
    </row>
    <row r="945" spans="1:18" ht="90" x14ac:dyDescent="0.25">
      <c r="A945" s="16"/>
      <c r="B945" s="16"/>
      <c r="C945" s="16"/>
      <c r="D945" s="16"/>
      <c r="E945" s="16"/>
      <c r="F945" s="16"/>
      <c r="G945" s="16"/>
      <c r="H945" s="16"/>
      <c r="I945" s="16"/>
      <c r="J945" s="16"/>
      <c r="K945" s="16"/>
      <c r="L945" s="14" t="s">
        <v>153</v>
      </c>
      <c r="M945" s="16"/>
      <c r="N945" s="16"/>
      <c r="O945" s="16"/>
      <c r="P945" s="16"/>
      <c r="Q945" s="16"/>
      <c r="R945" s="16"/>
    </row>
    <row r="946" spans="1:18" ht="240" x14ac:dyDescent="0.25">
      <c r="A946" s="14" t="s">
        <v>8732</v>
      </c>
      <c r="B946" s="14" t="s">
        <v>8789</v>
      </c>
      <c r="C946" s="14" t="s">
        <v>8533</v>
      </c>
      <c r="D946" s="14" t="s">
        <v>8531</v>
      </c>
      <c r="E946" s="14" t="s">
        <v>6130</v>
      </c>
      <c r="F946" s="14" t="s">
        <v>6131</v>
      </c>
      <c r="G946" s="8" t="s">
        <v>8790</v>
      </c>
      <c r="H946" s="14" t="s">
        <v>6137</v>
      </c>
      <c r="I946" s="14"/>
      <c r="J946" s="14"/>
      <c r="K946" s="14"/>
      <c r="L946" s="14"/>
      <c r="M946" s="14" t="s">
        <v>6134</v>
      </c>
      <c r="N946" s="14" t="s">
        <v>6135</v>
      </c>
      <c r="O946" s="14" t="s">
        <v>6136</v>
      </c>
      <c r="P946" s="14" t="str">
        <f>HYPERLINK("https://ceds.ed.gov/cedselementdetails.aspx?termid=17159")</f>
        <v>https://ceds.ed.gov/cedselementdetails.aspx?termid=17159</v>
      </c>
      <c r="Q946" s="14" t="str">
        <f>HYPERLINK("https://ceds.ed.gov/elementComment.aspx?elementName=Local Education Agency Identification System &amp;elementID=17159", "Click here to submit comment")</f>
        <v>Click here to submit comment</v>
      </c>
      <c r="R946" s="14">
        <v>47894</v>
      </c>
    </row>
    <row r="947" spans="1:18" ht="45" x14ac:dyDescent="0.25">
      <c r="A947" s="14" t="s">
        <v>8732</v>
      </c>
      <c r="B947" s="14" t="s">
        <v>8789</v>
      </c>
      <c r="C947" s="14" t="s">
        <v>8533</v>
      </c>
      <c r="D947" s="14" t="s">
        <v>8531</v>
      </c>
      <c r="E947" s="14" t="s">
        <v>6545</v>
      </c>
      <c r="F947" s="14" t="s">
        <v>6546</v>
      </c>
      <c r="G947" s="14" t="s">
        <v>37</v>
      </c>
      <c r="H947" s="14" t="s">
        <v>238</v>
      </c>
      <c r="I947" s="14"/>
      <c r="J947" s="14" t="s">
        <v>175</v>
      </c>
      <c r="K947" s="14"/>
      <c r="L947" s="14"/>
      <c r="M947" s="14" t="s">
        <v>6548</v>
      </c>
      <c r="N947" s="14"/>
      <c r="O947" s="14" t="s">
        <v>6549</v>
      </c>
      <c r="P947" s="14" t="str">
        <f>HYPERLINK("https://ceds.ed.gov/cedselementdetails.aspx?termid=17204")</f>
        <v>https://ceds.ed.gov/cedselementdetails.aspx?termid=17204</v>
      </c>
      <c r="Q947" s="14" t="str">
        <f>HYPERLINK("https://ceds.ed.gov/elementComment.aspx?elementName=Organization Name &amp;elementID=17204", "Click here to submit comment")</f>
        <v>Click here to submit comment</v>
      </c>
      <c r="R947" s="14">
        <v>47902</v>
      </c>
    </row>
    <row r="948" spans="1:18" ht="409.5" x14ac:dyDescent="0.25">
      <c r="A948" s="14" t="s">
        <v>8732</v>
      </c>
      <c r="B948" s="14" t="s">
        <v>8789</v>
      </c>
      <c r="C948" s="14" t="s">
        <v>8533</v>
      </c>
      <c r="D948" s="14" t="s">
        <v>8531</v>
      </c>
      <c r="E948" s="14" t="s">
        <v>6571</v>
      </c>
      <c r="F948" s="14" t="s">
        <v>6572</v>
      </c>
      <c r="G948" s="8" t="s">
        <v>8535</v>
      </c>
      <c r="H948" s="14"/>
      <c r="I948" s="14" t="s">
        <v>195</v>
      </c>
      <c r="J948" s="14"/>
      <c r="K948" s="14" t="s">
        <v>6574</v>
      </c>
      <c r="L948" s="14" t="s">
        <v>6575</v>
      </c>
      <c r="M948" s="14" t="s">
        <v>6576</v>
      </c>
      <c r="N948" s="14"/>
      <c r="O948" s="14" t="s">
        <v>6577</v>
      </c>
      <c r="P948" s="14" t="str">
        <f>HYPERLINK("https://ceds.ed.gov/cedselementdetails.aspx?termid=18165")</f>
        <v>https://ceds.ed.gov/cedselementdetails.aspx?termid=18165</v>
      </c>
      <c r="Q948" s="14" t="str">
        <f>HYPERLINK("https://ceds.ed.gov/elementComment.aspx?elementName=Organization Type &amp;elementID=18165", "Click here to submit comment")</f>
        <v>Click here to submit comment</v>
      </c>
      <c r="R948" s="14">
        <v>48817</v>
      </c>
    </row>
    <row r="949" spans="1:18" ht="75" x14ac:dyDescent="0.25">
      <c r="A949" s="14" t="s">
        <v>8732</v>
      </c>
      <c r="B949" s="14" t="s">
        <v>8789</v>
      </c>
      <c r="C949" s="14" t="s">
        <v>8533</v>
      </c>
      <c r="D949" s="14" t="s">
        <v>8531</v>
      </c>
      <c r="E949" s="14" t="s">
        <v>6561</v>
      </c>
      <c r="F949" s="14" t="s">
        <v>6562</v>
      </c>
      <c r="G949" s="8" t="s">
        <v>8537</v>
      </c>
      <c r="H949" s="14"/>
      <c r="I949" s="14" t="s">
        <v>195</v>
      </c>
      <c r="J949" s="14"/>
      <c r="K949" s="14" t="s">
        <v>2266</v>
      </c>
      <c r="L949" s="14"/>
      <c r="M949" s="14" t="s">
        <v>6565</v>
      </c>
      <c r="N949" s="14"/>
      <c r="O949" s="14" t="s">
        <v>6566</v>
      </c>
      <c r="P949" s="14" t="str">
        <f>HYPERLINK("https://ceds.ed.gov/cedselementdetails.aspx?termid=18886")</f>
        <v>https://ceds.ed.gov/cedselementdetails.aspx?termid=18886</v>
      </c>
      <c r="Q949" s="14" t="str">
        <f>HYPERLINK("https://ceds.ed.gov/elementComment.aspx?elementName=Organization Relationship Type &amp;elementID=18886", "Click here to submit comment")</f>
        <v>Click here to submit comment</v>
      </c>
      <c r="R949" s="14">
        <v>52153</v>
      </c>
    </row>
    <row r="950" spans="1:18" ht="90" x14ac:dyDescent="0.25">
      <c r="A950" s="14" t="s">
        <v>8732</v>
      </c>
      <c r="B950" s="14" t="s">
        <v>8789</v>
      </c>
      <c r="C950" s="14" t="s">
        <v>8538</v>
      </c>
      <c r="D950" s="14" t="s">
        <v>8531</v>
      </c>
      <c r="E950" s="14" t="s">
        <v>226</v>
      </c>
      <c r="F950" s="14" t="s">
        <v>227</v>
      </c>
      <c r="G950" s="8" t="s">
        <v>8539</v>
      </c>
      <c r="H950" s="14" t="s">
        <v>72</v>
      </c>
      <c r="I950" s="14"/>
      <c r="J950" s="14" t="s">
        <v>97</v>
      </c>
      <c r="K950" s="14"/>
      <c r="L950" s="14"/>
      <c r="M950" s="14" t="s">
        <v>230</v>
      </c>
      <c r="N950" s="14"/>
      <c r="O950" s="14" t="s">
        <v>231</v>
      </c>
      <c r="P950" s="14" t="str">
        <f>HYPERLINK("https://ceds.ed.gov/cedselementdetails.aspx?termid=17644")</f>
        <v>https://ceds.ed.gov/cedselementdetails.aspx?termid=17644</v>
      </c>
      <c r="Q950" s="14" t="str">
        <f>HYPERLINK("https://ceds.ed.gov/elementComment.aspx?elementName=Address Type for Organization &amp;elementID=17644", "Click here to submit comment")</f>
        <v>Click here to submit comment</v>
      </c>
      <c r="R950" s="14">
        <v>47962</v>
      </c>
    </row>
    <row r="951" spans="1:18" ht="225" x14ac:dyDescent="0.25">
      <c r="A951" s="14" t="s">
        <v>8732</v>
      </c>
      <c r="B951" s="14" t="s">
        <v>8789</v>
      </c>
      <c r="C951" s="14" t="s">
        <v>8538</v>
      </c>
      <c r="D951" s="14" t="s">
        <v>8531</v>
      </c>
      <c r="E951" s="14" t="s">
        <v>214</v>
      </c>
      <c r="F951" s="14" t="s">
        <v>215</v>
      </c>
      <c r="G951" s="14" t="s">
        <v>37</v>
      </c>
      <c r="H951" s="14" t="s">
        <v>199</v>
      </c>
      <c r="I951" s="14" t="s">
        <v>195</v>
      </c>
      <c r="J951" s="14" t="s">
        <v>216</v>
      </c>
      <c r="K951" s="14" t="s">
        <v>196</v>
      </c>
      <c r="L951" s="14"/>
      <c r="M951" s="14" t="s">
        <v>217</v>
      </c>
      <c r="N951" s="14"/>
      <c r="O951" s="14" t="s">
        <v>218</v>
      </c>
      <c r="P951" s="14" t="str">
        <f>HYPERLINK("https://ceds.ed.gov/cedselementdetails.aspx?termid=17269")</f>
        <v>https://ceds.ed.gov/cedselementdetails.aspx?termid=17269</v>
      </c>
      <c r="Q951" s="14" t="str">
        <f>HYPERLINK("https://ceds.ed.gov/elementComment.aspx?elementName=Address Street Number and Name &amp;elementID=17269", "Click here to submit comment")</f>
        <v>Click here to submit comment</v>
      </c>
      <c r="R951" s="14">
        <v>47912</v>
      </c>
    </row>
    <row r="952" spans="1:18" ht="225" x14ac:dyDescent="0.25">
      <c r="A952" s="14" t="s">
        <v>8732</v>
      </c>
      <c r="B952" s="14" t="s">
        <v>8789</v>
      </c>
      <c r="C952" s="14" t="s">
        <v>8538</v>
      </c>
      <c r="D952" s="14" t="s">
        <v>8531</v>
      </c>
      <c r="E952" s="14" t="s">
        <v>192</v>
      </c>
      <c r="F952" s="14" t="s">
        <v>193</v>
      </c>
      <c r="G952" s="14" t="s">
        <v>37</v>
      </c>
      <c r="H952" s="14" t="s">
        <v>199</v>
      </c>
      <c r="I952" s="14" t="s">
        <v>195</v>
      </c>
      <c r="J952" s="14" t="s">
        <v>175</v>
      </c>
      <c r="K952" s="14" t="s">
        <v>196</v>
      </c>
      <c r="L952" s="14"/>
      <c r="M952" s="14" t="s">
        <v>197</v>
      </c>
      <c r="N952" s="14"/>
      <c r="O952" s="14" t="s">
        <v>198</v>
      </c>
      <c r="P952" s="14" t="str">
        <f>HYPERLINK("https://ceds.ed.gov/cedselementdetails.aspx?termid=17019")</f>
        <v>https://ceds.ed.gov/cedselementdetails.aspx?termid=17019</v>
      </c>
      <c r="Q952" s="14" t="str">
        <f>HYPERLINK("https://ceds.ed.gov/elementComment.aspx?elementName=Address Apartment Room or Suite Number &amp;elementID=17019", "Click here to submit comment")</f>
        <v>Click here to submit comment</v>
      </c>
      <c r="R952" s="14">
        <v>49146</v>
      </c>
    </row>
    <row r="953" spans="1:18" ht="225" x14ac:dyDescent="0.25">
      <c r="A953" s="14" t="s">
        <v>8732</v>
      </c>
      <c r="B953" s="14" t="s">
        <v>8789</v>
      </c>
      <c r="C953" s="14" t="s">
        <v>8538</v>
      </c>
      <c r="D953" s="14" t="s">
        <v>8531</v>
      </c>
      <c r="E953" s="14" t="s">
        <v>200</v>
      </c>
      <c r="F953" s="14" t="s">
        <v>201</v>
      </c>
      <c r="G953" s="14" t="s">
        <v>37</v>
      </c>
      <c r="H953" s="14" t="s">
        <v>199</v>
      </c>
      <c r="I953" s="14"/>
      <c r="J953" s="14" t="s">
        <v>97</v>
      </c>
      <c r="K953" s="14"/>
      <c r="L953" s="14"/>
      <c r="M953" s="14" t="s">
        <v>202</v>
      </c>
      <c r="N953" s="14"/>
      <c r="O953" s="14" t="s">
        <v>203</v>
      </c>
      <c r="P953" s="14" t="str">
        <f>HYPERLINK("https://ceds.ed.gov/cedselementdetails.aspx?termid=17040")</f>
        <v>https://ceds.ed.gov/cedselementdetails.aspx?termid=17040</v>
      </c>
      <c r="Q953" s="14" t="str">
        <f>HYPERLINK("https://ceds.ed.gov/elementComment.aspx?elementName=Address City &amp;elementID=17040", "Click here to submit comment")</f>
        <v>Click here to submit comment</v>
      </c>
      <c r="R953" s="14">
        <v>47886</v>
      </c>
    </row>
    <row r="954" spans="1:18" ht="409.5" x14ac:dyDescent="0.25">
      <c r="A954" s="14" t="s">
        <v>8732</v>
      </c>
      <c r="B954" s="14" t="s">
        <v>8789</v>
      </c>
      <c r="C954" s="14" t="s">
        <v>8538</v>
      </c>
      <c r="D954" s="14" t="s">
        <v>8531</v>
      </c>
      <c r="E954" s="14" t="s">
        <v>7960</v>
      </c>
      <c r="F954" s="14" t="s">
        <v>7961</v>
      </c>
      <c r="G954" s="8" t="s">
        <v>8540</v>
      </c>
      <c r="H954" s="14" t="s">
        <v>7964</v>
      </c>
      <c r="I954" s="14"/>
      <c r="J954" s="14"/>
      <c r="K954" s="14"/>
      <c r="L954" s="14"/>
      <c r="M954" s="14" t="s">
        <v>7962</v>
      </c>
      <c r="N954" s="14"/>
      <c r="O954" s="14" t="s">
        <v>7963</v>
      </c>
      <c r="P954" s="14" t="str">
        <f>HYPERLINK("https://ceds.ed.gov/cedselementdetails.aspx?termid=17267")</f>
        <v>https://ceds.ed.gov/cedselementdetails.aspx?termid=17267</v>
      </c>
      <c r="Q954" s="14" t="str">
        <f>HYPERLINK("https://ceds.ed.gov/elementComment.aspx?elementName=State Abbreviation &amp;elementID=17267", "Click here to submit comment")</f>
        <v>Click here to submit comment</v>
      </c>
      <c r="R954" s="14">
        <v>47911</v>
      </c>
    </row>
    <row r="955" spans="1:18" ht="225" x14ac:dyDescent="0.25">
      <c r="A955" s="14" t="s">
        <v>8732</v>
      </c>
      <c r="B955" s="14" t="s">
        <v>8789</v>
      </c>
      <c r="C955" s="14" t="s">
        <v>8538</v>
      </c>
      <c r="D955" s="14" t="s">
        <v>8531</v>
      </c>
      <c r="E955" s="14" t="s">
        <v>209</v>
      </c>
      <c r="F955" s="14" t="s">
        <v>210</v>
      </c>
      <c r="G955" s="14" t="s">
        <v>37</v>
      </c>
      <c r="H955" s="14" t="s">
        <v>199</v>
      </c>
      <c r="I955" s="14"/>
      <c r="J955" s="14" t="s">
        <v>211</v>
      </c>
      <c r="K955" s="14"/>
      <c r="L955" s="14"/>
      <c r="M955" s="14" t="s">
        <v>212</v>
      </c>
      <c r="N955" s="14"/>
      <c r="O955" s="14" t="s">
        <v>213</v>
      </c>
      <c r="P955" s="14" t="str">
        <f>HYPERLINK("https://ceds.ed.gov/cedselementdetails.aspx?termid=17214")</f>
        <v>https://ceds.ed.gov/cedselementdetails.aspx?termid=17214</v>
      </c>
      <c r="Q955" s="14" t="str">
        <f>HYPERLINK("https://ceds.ed.gov/elementComment.aspx?elementName=Address Postal Code &amp;elementID=17214", "Click here to submit comment")</f>
        <v>Click here to submit comment</v>
      </c>
      <c r="R955" s="14">
        <v>47905</v>
      </c>
    </row>
    <row r="956" spans="1:18" ht="225" x14ac:dyDescent="0.25">
      <c r="A956" s="14" t="s">
        <v>8732</v>
      </c>
      <c r="B956" s="14" t="s">
        <v>8789</v>
      </c>
      <c r="C956" s="14" t="s">
        <v>8538</v>
      </c>
      <c r="D956" s="14" t="s">
        <v>8531</v>
      </c>
      <c r="E956" s="14" t="s">
        <v>204</v>
      </c>
      <c r="F956" s="14" t="s">
        <v>205</v>
      </c>
      <c r="G956" s="14" t="s">
        <v>37</v>
      </c>
      <c r="H956" s="14" t="s">
        <v>199</v>
      </c>
      <c r="I956" s="14"/>
      <c r="J956" s="14" t="s">
        <v>97</v>
      </c>
      <c r="K956" s="14"/>
      <c r="L956" s="14"/>
      <c r="M956" s="14" t="s">
        <v>207</v>
      </c>
      <c r="N956" s="14"/>
      <c r="O956" s="14" t="s">
        <v>208</v>
      </c>
      <c r="P956" s="14" t="str">
        <f>HYPERLINK("https://ceds.ed.gov/cedselementdetails.aspx?termid=17190")</f>
        <v>https://ceds.ed.gov/cedselementdetails.aspx?termid=17190</v>
      </c>
      <c r="Q956" s="14" t="str">
        <f>HYPERLINK("https://ceds.ed.gov/elementComment.aspx?elementName=Address County Name &amp;elementID=17190", "Click here to submit comment")</f>
        <v>Click here to submit comment</v>
      </c>
      <c r="R956" s="14">
        <v>47901</v>
      </c>
    </row>
    <row r="957" spans="1:18" ht="409.5" x14ac:dyDescent="0.25">
      <c r="A957" s="14" t="s">
        <v>8732</v>
      </c>
      <c r="B957" s="14" t="s">
        <v>8789</v>
      </c>
      <c r="C957" s="14" t="s">
        <v>8538</v>
      </c>
      <c r="D957" s="14" t="s">
        <v>8531</v>
      </c>
      <c r="E957" s="14" t="s">
        <v>7975</v>
      </c>
      <c r="F957" s="14" t="s">
        <v>7976</v>
      </c>
      <c r="G957" s="8" t="s">
        <v>8536</v>
      </c>
      <c r="H957" s="14" t="s">
        <v>7981</v>
      </c>
      <c r="I957" s="14"/>
      <c r="J957" s="14"/>
      <c r="K957" s="14"/>
      <c r="L957" s="14"/>
      <c r="M957" s="14" t="s">
        <v>7979</v>
      </c>
      <c r="N957" s="14"/>
      <c r="O957" s="14" t="s">
        <v>7980</v>
      </c>
      <c r="P957" s="14" t="str">
        <f>HYPERLINK("https://ceds.ed.gov/cedselementdetails.aspx?termid=17414")</f>
        <v>https://ceds.ed.gov/cedselementdetails.aspx?termid=17414</v>
      </c>
      <c r="Q957" s="14" t="str">
        <f>HYPERLINK("https://ceds.ed.gov/elementComment.aspx?elementName=State ANSI Code &amp;elementID=17414", "Click here to submit comment")</f>
        <v>Click here to submit comment</v>
      </c>
      <c r="R957" s="14">
        <v>51229</v>
      </c>
    </row>
    <row r="958" spans="1:18" ht="195" x14ac:dyDescent="0.25">
      <c r="A958" s="14" t="s">
        <v>8732</v>
      </c>
      <c r="B958" s="14" t="s">
        <v>8789</v>
      </c>
      <c r="C958" s="14" t="s">
        <v>8538</v>
      </c>
      <c r="D958" s="14" t="s">
        <v>8531</v>
      </c>
      <c r="E958" s="14" t="s">
        <v>2860</v>
      </c>
      <c r="F958" s="14" t="s">
        <v>2861</v>
      </c>
      <c r="G958" s="14" t="s">
        <v>37</v>
      </c>
      <c r="H958" s="14"/>
      <c r="I958" s="14" t="s">
        <v>195</v>
      </c>
      <c r="J958" s="14" t="s">
        <v>2863</v>
      </c>
      <c r="K958" s="14" t="s">
        <v>2864</v>
      </c>
      <c r="L958" s="14"/>
      <c r="M958" s="14" t="s">
        <v>2865</v>
      </c>
      <c r="N958" s="14"/>
      <c r="O958" s="14" t="s">
        <v>2866</v>
      </c>
      <c r="P958" s="14" t="str">
        <f>HYPERLINK("https://ceds.ed.gov/cedselementdetails.aspx?termid=18176")</f>
        <v>https://ceds.ed.gov/cedselementdetails.aspx?termid=18176</v>
      </c>
      <c r="Q958" s="14" t="str">
        <f>HYPERLINK("https://ceds.ed.gov/elementComment.aspx?elementName=County ANSI Code &amp;elementID=18176", "Click here to submit comment")</f>
        <v>Click here to submit comment</v>
      </c>
      <c r="R958" s="14">
        <v>47887</v>
      </c>
    </row>
    <row r="959" spans="1:18" ht="45" x14ac:dyDescent="0.25">
      <c r="A959" s="14" t="s">
        <v>8732</v>
      </c>
      <c r="B959" s="14" t="s">
        <v>8789</v>
      </c>
      <c r="C959" s="14" t="s">
        <v>8538</v>
      </c>
      <c r="D959" s="14" t="s">
        <v>8531</v>
      </c>
      <c r="E959" s="14" t="s">
        <v>2039</v>
      </c>
      <c r="F959" s="14" t="s">
        <v>2040</v>
      </c>
      <c r="G959" s="14" t="s">
        <v>37</v>
      </c>
      <c r="H959" s="14"/>
      <c r="I959" s="14" t="s">
        <v>195</v>
      </c>
      <c r="J959" s="14" t="s">
        <v>175</v>
      </c>
      <c r="K959" s="14" t="s">
        <v>196</v>
      </c>
      <c r="L959" s="14"/>
      <c r="M959" s="14" t="s">
        <v>2042</v>
      </c>
      <c r="N959" s="14"/>
      <c r="O959" s="14" t="s">
        <v>2043</v>
      </c>
      <c r="P959" s="14" t="str">
        <f>HYPERLINK("https://ceds.ed.gov/cedselementdetails.aspx?termid=17595")</f>
        <v>https://ceds.ed.gov/cedselementdetails.aspx?termid=17595</v>
      </c>
      <c r="Q959" s="14" t="str">
        <f>HYPERLINK("https://ceds.ed.gov/elementComment.aspx?elementName=Building Site Number &amp;elementID=17595", "Click here to submit comment")</f>
        <v>Click here to submit comment</v>
      </c>
      <c r="R959" s="14">
        <v>51176</v>
      </c>
    </row>
    <row r="960" spans="1:18" ht="75" x14ac:dyDescent="0.25">
      <c r="A960" s="14" t="s">
        <v>8732</v>
      </c>
      <c r="B960" s="14" t="s">
        <v>8789</v>
      </c>
      <c r="C960" s="14" t="s">
        <v>8538</v>
      </c>
      <c r="D960" s="14" t="s">
        <v>8531</v>
      </c>
      <c r="E960" s="14" t="s">
        <v>5736</v>
      </c>
      <c r="F960" s="14" t="s">
        <v>5737</v>
      </c>
      <c r="G960" s="14" t="s">
        <v>37</v>
      </c>
      <c r="H960" s="14"/>
      <c r="I960" s="14"/>
      <c r="J960" s="14" t="s">
        <v>1307</v>
      </c>
      <c r="K960" s="14"/>
      <c r="L960" s="14"/>
      <c r="M960" s="14" t="s">
        <v>5739</v>
      </c>
      <c r="N960" s="14"/>
      <c r="O960" s="14" t="s">
        <v>5736</v>
      </c>
      <c r="P960" s="14" t="str">
        <f>HYPERLINK("https://ceds.ed.gov/cedselementdetails.aspx?termid=17599")</f>
        <v>https://ceds.ed.gov/cedselementdetails.aspx?termid=17599</v>
      </c>
      <c r="Q960" s="14" t="str">
        <f>HYPERLINK("https://ceds.ed.gov/elementComment.aspx?elementName=Latitude &amp;elementID=17599", "Click here to submit comment")</f>
        <v>Click here to submit comment</v>
      </c>
      <c r="R960" s="14">
        <v>51259</v>
      </c>
    </row>
    <row r="961" spans="1:18" ht="75" x14ac:dyDescent="0.25">
      <c r="A961" s="14" t="s">
        <v>8732</v>
      </c>
      <c r="B961" s="14" t="s">
        <v>8789</v>
      </c>
      <c r="C961" s="14" t="s">
        <v>8538</v>
      </c>
      <c r="D961" s="14" t="s">
        <v>8531</v>
      </c>
      <c r="E961" s="14" t="s">
        <v>6174</v>
      </c>
      <c r="F961" s="14" t="s">
        <v>6175</v>
      </c>
      <c r="G961" s="14" t="s">
        <v>37</v>
      </c>
      <c r="H961" s="14"/>
      <c r="I961" s="14"/>
      <c r="J961" s="14" t="s">
        <v>1307</v>
      </c>
      <c r="K961" s="14"/>
      <c r="L961" s="14"/>
      <c r="M961" s="14" t="s">
        <v>6176</v>
      </c>
      <c r="N961" s="14"/>
      <c r="O961" s="14" t="s">
        <v>6174</v>
      </c>
      <c r="P961" s="14" t="str">
        <f>HYPERLINK("https://ceds.ed.gov/cedselementdetails.aspx?termid=17600")</f>
        <v>https://ceds.ed.gov/cedselementdetails.aspx?termid=17600</v>
      </c>
      <c r="Q961" s="14" t="str">
        <f>HYPERLINK("https://ceds.ed.gov/elementComment.aspx?elementName=Longitude &amp;elementID=17600", "Click here to submit comment")</f>
        <v>Click here to submit comment</v>
      </c>
      <c r="R961" s="14">
        <v>51282</v>
      </c>
    </row>
    <row r="962" spans="1:18" ht="60" x14ac:dyDescent="0.25">
      <c r="A962" s="14" t="s">
        <v>8732</v>
      </c>
      <c r="B962" s="14" t="s">
        <v>8789</v>
      </c>
      <c r="C962" s="14" t="s">
        <v>8538</v>
      </c>
      <c r="D962" s="14" t="s">
        <v>8541</v>
      </c>
      <c r="E962" s="14" t="s">
        <v>3651</v>
      </c>
      <c r="F962" s="14" t="s">
        <v>3652</v>
      </c>
      <c r="G962" s="14" t="s">
        <v>3430</v>
      </c>
      <c r="H962" s="14"/>
      <c r="I962" s="14" t="s">
        <v>188</v>
      </c>
      <c r="J962" s="14"/>
      <c r="K962" s="14" t="s">
        <v>1721</v>
      </c>
      <c r="L962" s="14"/>
      <c r="M962" s="14" t="s">
        <v>3654</v>
      </c>
      <c r="N962" s="14"/>
      <c r="O962" s="14" t="s">
        <v>3655</v>
      </c>
      <c r="P962" s="14" t="str">
        <f>HYPERLINK("https://ceds.ed.gov/cedselementdetails.aspx?termid=18905")</f>
        <v>https://ceds.ed.gov/cedselementdetails.aspx?termid=18905</v>
      </c>
      <c r="Q962" s="14" t="str">
        <f>HYPERLINK("https://ceds.ed.gov/elementComment.aspx?elementName=Do Not Publish Indicator &amp;elementID=18905", "Click here to submit comment")</f>
        <v>Click here to submit comment</v>
      </c>
      <c r="R962" s="14">
        <v>52351</v>
      </c>
    </row>
    <row r="963" spans="1:18" ht="90" x14ac:dyDescent="0.25">
      <c r="A963" s="14" t="s">
        <v>8732</v>
      </c>
      <c r="B963" s="14" t="s">
        <v>8789</v>
      </c>
      <c r="C963" s="14" t="s">
        <v>8542</v>
      </c>
      <c r="D963" s="14" t="s">
        <v>8531</v>
      </c>
      <c r="E963" s="14" t="s">
        <v>8217</v>
      </c>
      <c r="F963" s="14" t="s">
        <v>8218</v>
      </c>
      <c r="G963" s="14" t="s">
        <v>37</v>
      </c>
      <c r="H963" s="14" t="s">
        <v>72</v>
      </c>
      <c r="I963" s="14"/>
      <c r="J963" s="14" t="s">
        <v>8220</v>
      </c>
      <c r="K963" s="14"/>
      <c r="L963" s="14"/>
      <c r="M963" s="14" t="s">
        <v>8221</v>
      </c>
      <c r="N963" s="14"/>
      <c r="O963" s="14" t="s">
        <v>8222</v>
      </c>
      <c r="P963" s="14" t="str">
        <f>HYPERLINK("https://ceds.ed.gov/cedselementdetails.aspx?termid=17279")</f>
        <v>https://ceds.ed.gov/cedselementdetails.aspx?termid=17279</v>
      </c>
      <c r="Q963" s="14" t="str">
        <f>HYPERLINK("https://ceds.ed.gov/elementComment.aspx?elementName=Telephone Number &amp;elementID=17279", "Click here to submit comment")</f>
        <v>Click here to submit comment</v>
      </c>
      <c r="R963" s="14">
        <v>47913</v>
      </c>
    </row>
    <row r="964" spans="1:18" ht="150" x14ac:dyDescent="0.25">
      <c r="A964" s="14" t="s">
        <v>8732</v>
      </c>
      <c r="B964" s="14" t="s">
        <v>8789</v>
      </c>
      <c r="C964" s="14" t="s">
        <v>8542</v>
      </c>
      <c r="D964" s="14" t="s">
        <v>8531</v>
      </c>
      <c r="E964" s="14" t="s">
        <v>5485</v>
      </c>
      <c r="F964" s="14" t="s">
        <v>5486</v>
      </c>
      <c r="G964" s="8" t="s">
        <v>8543</v>
      </c>
      <c r="H964" s="14"/>
      <c r="I964" s="14"/>
      <c r="J964" s="14"/>
      <c r="K964" s="14"/>
      <c r="L964" s="14"/>
      <c r="M964" s="14" t="s">
        <v>5489</v>
      </c>
      <c r="N964" s="14"/>
      <c r="O964" s="14" t="s">
        <v>5490</v>
      </c>
      <c r="P964" s="14" t="str">
        <f>HYPERLINK("https://ceds.ed.gov/cedselementdetails.aspx?termid=17167")</f>
        <v>https://ceds.ed.gov/cedselementdetails.aspx?termid=17167</v>
      </c>
      <c r="Q964" s="14" t="str">
        <f>HYPERLINK("https://ceds.ed.gov/elementComment.aspx?elementName=Institution Telephone Number Type &amp;elementID=17167", "Click here to submit comment")</f>
        <v>Click here to submit comment</v>
      </c>
      <c r="R964" s="14">
        <v>47895</v>
      </c>
    </row>
    <row r="965" spans="1:18" ht="90" x14ac:dyDescent="0.25">
      <c r="A965" s="14" t="s">
        <v>8732</v>
      </c>
      <c r="B965" s="14" t="s">
        <v>8789</v>
      </c>
      <c r="C965" s="14" t="s">
        <v>8542</v>
      </c>
      <c r="D965" s="14" t="s">
        <v>8531</v>
      </c>
      <c r="E965" s="14" t="s">
        <v>6865</v>
      </c>
      <c r="F965" s="14" t="s">
        <v>6866</v>
      </c>
      <c r="G965" s="14" t="s">
        <v>24</v>
      </c>
      <c r="H965" s="14" t="s">
        <v>72</v>
      </c>
      <c r="I965" s="14"/>
      <c r="J965" s="14"/>
      <c r="K965" s="14"/>
      <c r="L965" s="14"/>
      <c r="M965" s="14" t="s">
        <v>6868</v>
      </c>
      <c r="N965" s="14"/>
      <c r="O965" s="14" t="s">
        <v>6869</v>
      </c>
      <c r="P965" s="14" t="str">
        <f>HYPERLINK("https://ceds.ed.gov/cedselementdetails.aspx?termid=17219")</f>
        <v>https://ceds.ed.gov/cedselementdetails.aspx?termid=17219</v>
      </c>
      <c r="Q965" s="14" t="str">
        <f>HYPERLINK("https://ceds.ed.gov/elementComment.aspx?elementName=Primary Telephone Number Indicator &amp;elementID=17219", "Click here to submit comment")</f>
        <v>Click here to submit comment</v>
      </c>
      <c r="R965" s="14">
        <v>47908</v>
      </c>
    </row>
    <row r="966" spans="1:18" ht="60" x14ac:dyDescent="0.25">
      <c r="A966" s="14" t="s">
        <v>8732</v>
      </c>
      <c r="B966" s="14" t="s">
        <v>8789</v>
      </c>
      <c r="C966" s="14" t="s">
        <v>8542</v>
      </c>
      <c r="D966" s="14" t="s">
        <v>8541</v>
      </c>
      <c r="E966" s="14" t="s">
        <v>3651</v>
      </c>
      <c r="F966" s="14" t="s">
        <v>3652</v>
      </c>
      <c r="G966" s="14" t="s">
        <v>3430</v>
      </c>
      <c r="H966" s="14"/>
      <c r="I966" s="14" t="s">
        <v>188</v>
      </c>
      <c r="J966" s="14"/>
      <c r="K966" s="14" t="s">
        <v>1721</v>
      </c>
      <c r="L966" s="14"/>
      <c r="M966" s="14" t="s">
        <v>3654</v>
      </c>
      <c r="N966" s="14"/>
      <c r="O966" s="14" t="s">
        <v>3655</v>
      </c>
      <c r="P966" s="14" t="str">
        <f>HYPERLINK("https://ceds.ed.gov/cedselementdetails.aspx?termid=18905")</f>
        <v>https://ceds.ed.gov/cedselementdetails.aspx?termid=18905</v>
      </c>
      <c r="Q966" s="14" t="str">
        <f>HYPERLINK("https://ceds.ed.gov/elementComment.aspx?elementName=Do Not Publish Indicator &amp;elementID=18905", "Click here to submit comment")</f>
        <v>Click here to submit comment</v>
      </c>
      <c r="R966" s="14">
        <v>52354</v>
      </c>
    </row>
    <row r="967" spans="1:18" ht="60" x14ac:dyDescent="0.25">
      <c r="A967" s="14" t="s">
        <v>8732</v>
      </c>
      <c r="B967" s="14" t="s">
        <v>8789</v>
      </c>
      <c r="C967" s="14" t="s">
        <v>8542</v>
      </c>
      <c r="D967" s="14" t="s">
        <v>8541</v>
      </c>
      <c r="E967" s="14" t="s">
        <v>8223</v>
      </c>
      <c r="F967" s="14" t="s">
        <v>8224</v>
      </c>
      <c r="G967" s="8" t="s">
        <v>8544</v>
      </c>
      <c r="H967" s="14"/>
      <c r="I967" s="14" t="s">
        <v>188</v>
      </c>
      <c r="J967" s="14"/>
      <c r="K967" s="14" t="s">
        <v>1721</v>
      </c>
      <c r="L967" s="14"/>
      <c r="M967" s="14" t="s">
        <v>8227</v>
      </c>
      <c r="N967" s="14"/>
      <c r="O967" s="14" t="s">
        <v>8228</v>
      </c>
      <c r="P967" s="14" t="str">
        <f>HYPERLINK("https://ceds.ed.gov/cedselementdetails.aspx?termid=18911")</f>
        <v>https://ceds.ed.gov/cedselementdetails.aspx?termid=18911</v>
      </c>
      <c r="Q967" s="14" t="str">
        <f>HYPERLINK("https://ceds.ed.gov/elementComment.aspx?elementName=Telephone Number Listed Status &amp;elementID=18911", "Click here to submit comment")</f>
        <v>Click here to submit comment</v>
      </c>
      <c r="R967" s="14">
        <v>52355</v>
      </c>
    </row>
    <row r="968" spans="1:18" ht="30" x14ac:dyDescent="0.25">
      <c r="A968" s="16" t="s">
        <v>8732</v>
      </c>
      <c r="B968" s="16" t="s">
        <v>8789</v>
      </c>
      <c r="C968" s="16" t="s">
        <v>8560</v>
      </c>
      <c r="D968" s="16" t="s">
        <v>8531</v>
      </c>
      <c r="E968" s="16" t="s">
        <v>6167</v>
      </c>
      <c r="F968" s="16" t="s">
        <v>6168</v>
      </c>
      <c r="G968" s="18" t="s">
        <v>8791</v>
      </c>
      <c r="H968" s="16" t="s">
        <v>258</v>
      </c>
      <c r="I968" s="16"/>
      <c r="J968" s="16"/>
      <c r="K968" s="16"/>
      <c r="L968" s="14" t="s">
        <v>6170</v>
      </c>
      <c r="M968" s="16" t="s">
        <v>6171</v>
      </c>
      <c r="N968" s="16"/>
      <c r="O968" s="16" t="s">
        <v>6172</v>
      </c>
      <c r="P968" s="16" t="str">
        <f>HYPERLINK("https://ceds.ed.gov/cedselementdetails.aspx?termid=17528")</f>
        <v>https://ceds.ed.gov/cedselementdetails.aspx?termid=17528</v>
      </c>
      <c r="Q968" s="16" t="str">
        <f>HYPERLINK("https://ceds.ed.gov/elementComment.aspx?elementName=Local Education Agency Type &amp;elementID=17528", "Click here to submit comment")</f>
        <v>Click here to submit comment</v>
      </c>
      <c r="R968" s="16">
        <v>47951</v>
      </c>
    </row>
    <row r="969" spans="1:18" ht="45" x14ac:dyDescent="0.25">
      <c r="A969" s="16"/>
      <c r="B969" s="16"/>
      <c r="C969" s="16"/>
      <c r="D969" s="16"/>
      <c r="E969" s="16"/>
      <c r="F969" s="16"/>
      <c r="G969" s="16"/>
      <c r="H969" s="16"/>
      <c r="I969" s="16"/>
      <c r="J969" s="16"/>
      <c r="K969" s="16"/>
      <c r="L969" s="14" t="s">
        <v>6173</v>
      </c>
      <c r="M969" s="16"/>
      <c r="N969" s="16"/>
      <c r="O969" s="16"/>
      <c r="P969" s="16"/>
      <c r="Q969" s="16"/>
      <c r="R969" s="16"/>
    </row>
    <row r="970" spans="1:18" ht="135" x14ac:dyDescent="0.25">
      <c r="A970" s="14" t="s">
        <v>8732</v>
      </c>
      <c r="B970" s="14" t="s">
        <v>8789</v>
      </c>
      <c r="C970" s="14" t="s">
        <v>8560</v>
      </c>
      <c r="D970" s="14" t="s">
        <v>8531</v>
      </c>
      <c r="E970" s="14" t="s">
        <v>6149</v>
      </c>
      <c r="F970" s="14" t="s">
        <v>6150</v>
      </c>
      <c r="G970" s="8" t="s">
        <v>8792</v>
      </c>
      <c r="H970" s="14" t="s">
        <v>258</v>
      </c>
      <c r="I970" s="14"/>
      <c r="J970" s="14"/>
      <c r="K970" s="14"/>
      <c r="L970" s="14"/>
      <c r="M970" s="14" t="s">
        <v>6153</v>
      </c>
      <c r="N970" s="14" t="s">
        <v>6154</v>
      </c>
      <c r="O970" s="14" t="s">
        <v>6155</v>
      </c>
      <c r="P970" s="14" t="str">
        <f>HYPERLINK("https://ceds.ed.gov/cedselementdetails.aspx?termid=17174")</f>
        <v>https://ceds.ed.gov/cedselementdetails.aspx?termid=17174</v>
      </c>
      <c r="Q970" s="14" t="str">
        <f>HYPERLINK("https://ceds.ed.gov/elementComment.aspx?elementName=Local Education Agency Operational Status &amp;elementID=17174", "Click here to submit comment")</f>
        <v>Click here to submit comment</v>
      </c>
      <c r="R970" s="14">
        <v>47898</v>
      </c>
    </row>
    <row r="971" spans="1:18" ht="45" x14ac:dyDescent="0.25">
      <c r="A971" s="14" t="s">
        <v>8732</v>
      </c>
      <c r="B971" s="14" t="s">
        <v>8789</v>
      </c>
      <c r="C971" s="14" t="s">
        <v>8560</v>
      </c>
      <c r="D971" s="14" t="s">
        <v>8531</v>
      </c>
      <c r="E971" s="14" t="s">
        <v>6512</v>
      </c>
      <c r="F971" s="14" t="s">
        <v>6513</v>
      </c>
      <c r="G971" s="14" t="s">
        <v>37</v>
      </c>
      <c r="H971" s="14" t="s">
        <v>258</v>
      </c>
      <c r="I971" s="14"/>
      <c r="J971" s="14" t="s">
        <v>135</v>
      </c>
      <c r="K971" s="14"/>
      <c r="L971" s="14"/>
      <c r="M971" s="14" t="s">
        <v>6514</v>
      </c>
      <c r="N971" s="14"/>
      <c r="O971" s="14" t="s">
        <v>6515</v>
      </c>
      <c r="P971" s="14" t="str">
        <f>HYPERLINK("https://ceds.ed.gov/cedselementdetails.aspx?termid=17525")</f>
        <v>https://ceds.ed.gov/cedselementdetails.aspx?termid=17525</v>
      </c>
      <c r="Q971" s="14" t="str">
        <f>HYPERLINK("https://ceds.ed.gov/elementComment.aspx?elementName=Operational Status Effective Date &amp;elementID=17525", "Click here to submit comment")</f>
        <v>Click here to submit comment</v>
      </c>
      <c r="R971" s="14">
        <v>47950</v>
      </c>
    </row>
    <row r="972" spans="1:18" ht="45" x14ac:dyDescent="0.25">
      <c r="A972" s="14" t="s">
        <v>8732</v>
      </c>
      <c r="B972" s="14" t="s">
        <v>8789</v>
      </c>
      <c r="C972" s="14" t="s">
        <v>8560</v>
      </c>
      <c r="D972" s="14" t="s">
        <v>8531</v>
      </c>
      <c r="E972" s="14" t="s">
        <v>6156</v>
      </c>
      <c r="F972" s="14" t="s">
        <v>6157</v>
      </c>
      <c r="G972" s="14" t="s">
        <v>37</v>
      </c>
      <c r="H972" s="14" t="s">
        <v>258</v>
      </c>
      <c r="I972" s="14"/>
      <c r="J972" s="14" t="s">
        <v>6158</v>
      </c>
      <c r="K972" s="14"/>
      <c r="L972" s="14"/>
      <c r="M972" s="14" t="s">
        <v>6159</v>
      </c>
      <c r="N972" s="14" t="s">
        <v>6160</v>
      </c>
      <c r="O972" s="14" t="s">
        <v>6161</v>
      </c>
      <c r="P972" s="14" t="str">
        <f>HYPERLINK("https://ceds.ed.gov/cedselementdetails.aspx?termid=17175")</f>
        <v>https://ceds.ed.gov/cedselementdetails.aspx?termid=17175</v>
      </c>
      <c r="Q972" s="14" t="str">
        <f>HYPERLINK("https://ceds.ed.gov/elementComment.aspx?elementName=Local Education Agency Supervisory Union Identification Number &amp;elementID=17175", "Click here to submit comment")</f>
        <v>Click here to submit comment</v>
      </c>
      <c r="R972" s="14">
        <v>47899</v>
      </c>
    </row>
    <row r="973" spans="1:18" ht="135" x14ac:dyDescent="0.25">
      <c r="A973" s="14" t="s">
        <v>8732</v>
      </c>
      <c r="B973" s="14" t="s">
        <v>8789</v>
      </c>
      <c r="C973" s="14" t="s">
        <v>8560</v>
      </c>
      <c r="D973" s="14" t="s">
        <v>8531</v>
      </c>
      <c r="E973" s="14" t="s">
        <v>2256</v>
      </c>
      <c r="F973" s="14" t="s">
        <v>2257</v>
      </c>
      <c r="G973" s="14" t="s">
        <v>24</v>
      </c>
      <c r="H973" s="14" t="s">
        <v>72</v>
      </c>
      <c r="I973" s="14"/>
      <c r="J973" s="14"/>
      <c r="K973" s="14"/>
      <c r="L973" s="14" t="s">
        <v>2259</v>
      </c>
      <c r="M973" s="14" t="s">
        <v>2260</v>
      </c>
      <c r="N973" s="14"/>
      <c r="O973" s="14" t="s">
        <v>2261</v>
      </c>
      <c r="P973" s="14" t="str">
        <f>HYPERLINK("https://ceds.ed.gov/cedselementdetails.aspx?termid=17039")</f>
        <v>https://ceds.ed.gov/cedselementdetails.aspx?termid=17039</v>
      </c>
      <c r="Q973" s="14" t="str">
        <f>HYPERLINK("https://ceds.ed.gov/elementComment.aspx?elementName=Charter School Indicator &amp;elementID=17039", "Click here to submit comment")</f>
        <v>Click here to submit comment</v>
      </c>
      <c r="R973" s="14">
        <v>47885</v>
      </c>
    </row>
    <row r="974" spans="1:18" ht="45" x14ac:dyDescent="0.25">
      <c r="A974" s="14" t="s">
        <v>8732</v>
      </c>
      <c r="B974" s="14" t="s">
        <v>8789</v>
      </c>
      <c r="C974" s="14" t="s">
        <v>8560</v>
      </c>
      <c r="D974" s="14" t="s">
        <v>8531</v>
      </c>
      <c r="E974" s="14" t="s">
        <v>8467</v>
      </c>
      <c r="F974" s="14" t="s">
        <v>8468</v>
      </c>
      <c r="G974" s="14" t="s">
        <v>37</v>
      </c>
      <c r="H974" s="14" t="s">
        <v>258</v>
      </c>
      <c r="I974" s="14"/>
      <c r="J974" s="14" t="s">
        <v>129</v>
      </c>
      <c r="K974" s="14"/>
      <c r="L974" s="14"/>
      <c r="M974" s="14" t="s">
        <v>8470</v>
      </c>
      <c r="N974" s="14"/>
      <c r="O974" s="14" t="s">
        <v>8471</v>
      </c>
      <c r="P974" s="14" t="str">
        <f>HYPERLINK("https://ceds.ed.gov/cedselementdetails.aspx?termid=17300")</f>
        <v>https://ceds.ed.gov/cedselementdetails.aspx?termid=17300</v>
      </c>
      <c r="Q974" s="14" t="str">
        <f>HYPERLINK("https://ceds.ed.gov/elementComment.aspx?elementName=Web Site Address &amp;elementID=17300", "Click here to submit comment")</f>
        <v>Click here to submit comment</v>
      </c>
      <c r="R974" s="14">
        <v>47917</v>
      </c>
    </row>
    <row r="975" spans="1:18" ht="105" x14ac:dyDescent="0.25">
      <c r="A975" s="16" t="s">
        <v>8732</v>
      </c>
      <c r="B975" s="16" t="s">
        <v>8789</v>
      </c>
      <c r="C975" s="16" t="s">
        <v>8560</v>
      </c>
      <c r="D975" s="16" t="s">
        <v>8531</v>
      </c>
      <c r="E975" s="16" t="s">
        <v>4147</v>
      </c>
      <c r="F975" s="16" t="s">
        <v>4148</v>
      </c>
      <c r="G975" s="16" t="s">
        <v>37</v>
      </c>
      <c r="H975" s="16"/>
      <c r="I975" s="16"/>
      <c r="J975" s="16" t="s">
        <v>149</v>
      </c>
      <c r="K975" s="16"/>
      <c r="L975" s="14" t="s">
        <v>150</v>
      </c>
      <c r="M975" s="16" t="s">
        <v>4150</v>
      </c>
      <c r="N975" s="16"/>
      <c r="O975" s="16" t="s">
        <v>4151</v>
      </c>
      <c r="P975" s="16" t="str">
        <f>HYPERLINK("https://ceds.ed.gov/cedselementdetails.aspx?termid=17495")</f>
        <v>https://ceds.ed.gov/cedselementdetails.aspx?termid=17495</v>
      </c>
      <c r="Q975" s="16" t="str">
        <f>HYPERLINK("https://ceds.ed.gov/elementComment.aspx?elementName=Facilities Identifier &amp;elementID=17495", "Click here to submit comment")</f>
        <v>Click here to submit comment</v>
      </c>
      <c r="R975" s="16">
        <v>47949</v>
      </c>
    </row>
    <row r="976" spans="1:18" x14ac:dyDescent="0.25">
      <c r="A976" s="16"/>
      <c r="B976" s="16"/>
      <c r="C976" s="16"/>
      <c r="D976" s="16"/>
      <c r="E976" s="16"/>
      <c r="F976" s="16"/>
      <c r="G976" s="16"/>
      <c r="H976" s="16"/>
      <c r="I976" s="16"/>
      <c r="J976" s="16"/>
      <c r="K976" s="16"/>
      <c r="L976" s="14"/>
      <c r="M976" s="16"/>
      <c r="N976" s="16"/>
      <c r="O976" s="16"/>
      <c r="P976" s="16"/>
      <c r="Q976" s="16"/>
      <c r="R976" s="16"/>
    </row>
    <row r="977" spans="1:18" ht="90" x14ac:dyDescent="0.25">
      <c r="A977" s="16"/>
      <c r="B977" s="16"/>
      <c r="C977" s="16"/>
      <c r="D977" s="16"/>
      <c r="E977" s="16"/>
      <c r="F977" s="16"/>
      <c r="G977" s="16"/>
      <c r="H977" s="16"/>
      <c r="I977" s="16"/>
      <c r="J977" s="16"/>
      <c r="K977" s="16"/>
      <c r="L977" s="14" t="s">
        <v>153</v>
      </c>
      <c r="M977" s="16"/>
      <c r="N977" s="16"/>
      <c r="O977" s="16"/>
      <c r="P977" s="16"/>
      <c r="Q977" s="16"/>
      <c r="R977" s="16"/>
    </row>
    <row r="978" spans="1:18" ht="390" x14ac:dyDescent="0.25">
      <c r="A978" s="14" t="s">
        <v>8732</v>
      </c>
      <c r="B978" s="14" t="s">
        <v>8789</v>
      </c>
      <c r="C978" s="14" t="s">
        <v>8560</v>
      </c>
      <c r="D978" s="14" t="s">
        <v>8541</v>
      </c>
      <c r="E978" s="14" t="s">
        <v>4835</v>
      </c>
      <c r="F978" s="14" t="s">
        <v>4836</v>
      </c>
      <c r="G978" s="8" t="s">
        <v>8740</v>
      </c>
      <c r="H978" s="14"/>
      <c r="I978" s="14" t="s">
        <v>188</v>
      </c>
      <c r="J978" s="14"/>
      <c r="K978" s="14" t="s">
        <v>1721</v>
      </c>
      <c r="L978" s="14"/>
      <c r="M978" s="14" t="s">
        <v>4839</v>
      </c>
      <c r="N978" s="14"/>
      <c r="O978" s="14" t="s">
        <v>4840</v>
      </c>
      <c r="P978" s="14" t="str">
        <f>HYPERLINK("https://ceds.ed.gov/cedselementdetails.aspx?termid=18907")</f>
        <v>https://ceds.ed.gov/cedselementdetails.aspx?termid=18907</v>
      </c>
      <c r="Q978" s="14" t="str">
        <f>HYPERLINK("https://ceds.ed.gov/elementComment.aspx?elementName=Grade Levels Approved &amp;elementID=18907", "Click here to submit comment")</f>
        <v>Click here to submit comment</v>
      </c>
      <c r="R978" s="14">
        <v>52352</v>
      </c>
    </row>
    <row r="979" spans="1:18" ht="390" x14ac:dyDescent="0.25">
      <c r="A979" s="14" t="s">
        <v>8732</v>
      </c>
      <c r="B979" s="14" t="s">
        <v>8789</v>
      </c>
      <c r="C979" s="14" t="s">
        <v>8560</v>
      </c>
      <c r="D979" s="14" t="s">
        <v>8541</v>
      </c>
      <c r="E979" s="14" t="s">
        <v>4884</v>
      </c>
      <c r="F979" s="14" t="s">
        <v>4885</v>
      </c>
      <c r="G979" s="8" t="s">
        <v>8740</v>
      </c>
      <c r="H979" s="14" t="s">
        <v>72</v>
      </c>
      <c r="I979" s="14" t="s">
        <v>195</v>
      </c>
      <c r="J979" s="14"/>
      <c r="K979" s="14" t="s">
        <v>4887</v>
      </c>
      <c r="L979" s="14"/>
      <c r="M979" s="14" t="s">
        <v>4888</v>
      </c>
      <c r="N979" s="14"/>
      <c r="O979" s="14" t="s">
        <v>4889</v>
      </c>
      <c r="P979" s="14" t="str">
        <f>HYPERLINK("https://ceds.ed.gov/cedselementdetails.aspx?termid=17131")</f>
        <v>https://ceds.ed.gov/cedselementdetails.aspx?termid=17131</v>
      </c>
      <c r="Q979" s="14" t="str">
        <f>HYPERLINK("https://ceds.ed.gov/elementComment.aspx?elementName=Grades Offered &amp;elementID=17131", "Click here to submit comment")</f>
        <v>Click here to submit comment</v>
      </c>
      <c r="R979" s="14">
        <v>52353</v>
      </c>
    </row>
    <row r="980" spans="1:18" ht="45" x14ac:dyDescent="0.25">
      <c r="A980" s="14" t="s">
        <v>8732</v>
      </c>
      <c r="B980" s="14" t="s">
        <v>8789</v>
      </c>
      <c r="C980" s="14" t="s">
        <v>8762</v>
      </c>
      <c r="D980" s="14" t="s">
        <v>8531</v>
      </c>
      <c r="E980" s="14" t="s">
        <v>7649</v>
      </c>
      <c r="F980" s="14" t="s">
        <v>7650</v>
      </c>
      <c r="G980" s="14" t="s">
        <v>37</v>
      </c>
      <c r="H980" s="14" t="s">
        <v>2807</v>
      </c>
      <c r="I980" s="14"/>
      <c r="J980" s="14" t="s">
        <v>2094</v>
      </c>
      <c r="K980" s="14"/>
      <c r="L980" s="14" t="s">
        <v>7652</v>
      </c>
      <c r="M980" s="14" t="s">
        <v>7653</v>
      </c>
      <c r="N980" s="14"/>
      <c r="O980" s="14" t="s">
        <v>7654</v>
      </c>
      <c r="P980" s="14" t="str">
        <f>HYPERLINK("https://ceds.ed.gov/cedselementdetails.aspx?termid=17243")</f>
        <v>https://ceds.ed.gov/cedselementdetails.aspx?termid=17243</v>
      </c>
      <c r="Q980" s="14" t="str">
        <f>HYPERLINK("https://ceds.ed.gov/elementComment.aspx?elementName=School Year &amp;elementID=17243", "Click here to submit comment")</f>
        <v>Click here to submit comment</v>
      </c>
      <c r="R980" s="14">
        <v>51171</v>
      </c>
    </row>
    <row r="981" spans="1:18" ht="75" x14ac:dyDescent="0.25">
      <c r="A981" s="14" t="s">
        <v>8732</v>
      </c>
      <c r="B981" s="14" t="s">
        <v>8789</v>
      </c>
      <c r="C981" s="14" t="s">
        <v>8762</v>
      </c>
      <c r="D981" s="14" t="s">
        <v>8531</v>
      </c>
      <c r="E981" s="14" t="s">
        <v>251</v>
      </c>
      <c r="F981" s="14" t="s">
        <v>252</v>
      </c>
      <c r="G981" s="8" t="s">
        <v>8763</v>
      </c>
      <c r="H981" s="14" t="s">
        <v>258</v>
      </c>
      <c r="I981" s="14"/>
      <c r="J981" s="14"/>
      <c r="K981" s="14"/>
      <c r="L981" s="14"/>
      <c r="M981" s="14" t="s">
        <v>255</v>
      </c>
      <c r="N981" s="14" t="s">
        <v>256</v>
      </c>
      <c r="O981" s="14" t="s">
        <v>257</v>
      </c>
      <c r="P981" s="14" t="str">
        <f>HYPERLINK("https://ceds.ed.gov/cedselementdetails.aspx?termid=17011")</f>
        <v>https://ceds.ed.gov/cedselementdetails.aspx?termid=17011</v>
      </c>
      <c r="Q981" s="14" t="str">
        <f>HYPERLINK("https://ceds.ed.gov/elementComment.aspx?elementName=Adequate Yearly Progress Status &amp;elementID=17011", "Click here to submit comment")</f>
        <v>Click here to submit comment</v>
      </c>
      <c r="R981" s="14">
        <v>47883</v>
      </c>
    </row>
    <row r="982" spans="1:18" ht="45" x14ac:dyDescent="0.25">
      <c r="A982" s="14" t="s">
        <v>8732</v>
      </c>
      <c r="B982" s="14" t="s">
        <v>8789</v>
      </c>
      <c r="C982" s="14" t="s">
        <v>8762</v>
      </c>
      <c r="D982" s="14" t="s">
        <v>8531</v>
      </c>
      <c r="E982" s="14" t="s">
        <v>246</v>
      </c>
      <c r="F982" s="14" t="s">
        <v>247</v>
      </c>
      <c r="G982" s="14" t="s">
        <v>37</v>
      </c>
      <c r="H982" s="14" t="s">
        <v>245</v>
      </c>
      <c r="I982" s="14"/>
      <c r="J982" s="14" t="s">
        <v>135</v>
      </c>
      <c r="K982" s="14"/>
      <c r="L982" s="14"/>
      <c r="M982" s="14" t="s">
        <v>248</v>
      </c>
      <c r="N982" s="14" t="s">
        <v>249</v>
      </c>
      <c r="O982" s="14" t="s">
        <v>250</v>
      </c>
      <c r="P982" s="14" t="str">
        <f>HYPERLINK("https://ceds.ed.gov/cedselementdetails.aspx?termid=17434")</f>
        <v>https://ceds.ed.gov/cedselementdetails.aspx?termid=17434</v>
      </c>
      <c r="Q982" s="14" t="str">
        <f>HYPERLINK("https://ceds.ed.gov/elementComment.aspx?elementName=Adequate Yearly Progress Appeal Process Date &amp;elementID=17434", "Click here to submit comment")</f>
        <v>Click here to submit comment</v>
      </c>
      <c r="R982" s="14">
        <v>47920</v>
      </c>
    </row>
    <row r="983" spans="1:18" ht="45" x14ac:dyDescent="0.25">
      <c r="A983" s="14" t="s">
        <v>8732</v>
      </c>
      <c r="B983" s="14" t="s">
        <v>8789</v>
      </c>
      <c r="C983" s="14" t="s">
        <v>8762</v>
      </c>
      <c r="D983" s="14" t="s">
        <v>8531</v>
      </c>
      <c r="E983" s="14" t="s">
        <v>239</v>
      </c>
      <c r="F983" s="14" t="s">
        <v>240</v>
      </c>
      <c r="G983" s="14" t="s">
        <v>24</v>
      </c>
      <c r="H983" s="14" t="s">
        <v>245</v>
      </c>
      <c r="I983" s="14"/>
      <c r="J983" s="14"/>
      <c r="K983" s="14"/>
      <c r="L983" s="14"/>
      <c r="M983" s="14" t="s">
        <v>242</v>
      </c>
      <c r="N983" s="14" t="s">
        <v>243</v>
      </c>
      <c r="O983" s="14" t="s">
        <v>244</v>
      </c>
      <c r="P983" s="14" t="str">
        <f>HYPERLINK("https://ceds.ed.gov/cedselementdetails.aspx?termid=17433")</f>
        <v>https://ceds.ed.gov/cedselementdetails.aspx?termid=17433</v>
      </c>
      <c r="Q983" s="14" t="str">
        <f>HYPERLINK("https://ceds.ed.gov/elementComment.aspx?elementName=Adequate Yearly Progress Appeal Changed Designation &amp;elementID=17433", "Click here to submit comment")</f>
        <v>Click here to submit comment</v>
      </c>
      <c r="R983" s="14">
        <v>47919</v>
      </c>
    </row>
    <row r="984" spans="1:18" ht="45" x14ac:dyDescent="0.25">
      <c r="A984" s="14" t="s">
        <v>8732</v>
      </c>
      <c r="B984" s="14" t="s">
        <v>8789</v>
      </c>
      <c r="C984" s="14" t="s">
        <v>8762</v>
      </c>
      <c r="D984" s="14" t="s">
        <v>8531</v>
      </c>
      <c r="E984" s="14" t="s">
        <v>457</v>
      </c>
      <c r="F984" s="14" t="s">
        <v>458</v>
      </c>
      <c r="G984" s="14" t="s">
        <v>24</v>
      </c>
      <c r="H984" s="14" t="s">
        <v>245</v>
      </c>
      <c r="I984" s="14"/>
      <c r="J984" s="14"/>
      <c r="K984" s="14"/>
      <c r="L984" s="14"/>
      <c r="M984" s="14" t="s">
        <v>459</v>
      </c>
      <c r="N984" s="14" t="s">
        <v>460</v>
      </c>
      <c r="O984" s="14" t="s">
        <v>461</v>
      </c>
      <c r="P984" s="14" t="str">
        <f>HYPERLINK("https://ceds.ed.gov/cedselementdetails.aspx?termid=17432")</f>
        <v>https://ceds.ed.gov/cedselementdetails.aspx?termid=17432</v>
      </c>
      <c r="Q984" s="14" t="str">
        <f>HYPERLINK("https://ceds.ed.gov/elementComment.aspx?elementName=Appealed Adequate Yearly Progress Designation &amp;elementID=17432", "Click here to submit comment")</f>
        <v>Click here to submit comment</v>
      </c>
      <c r="R984" s="14">
        <v>47918</v>
      </c>
    </row>
    <row r="985" spans="1:18" ht="60" x14ac:dyDescent="0.25">
      <c r="A985" s="14" t="s">
        <v>8732</v>
      </c>
      <c r="B985" s="14" t="s">
        <v>8789</v>
      </c>
      <c r="C985" s="14" t="s">
        <v>8762</v>
      </c>
      <c r="D985" s="14" t="s">
        <v>8531</v>
      </c>
      <c r="E985" s="14" t="s">
        <v>396</v>
      </c>
      <c r="F985" s="14" t="s">
        <v>397</v>
      </c>
      <c r="G985" s="14" t="s">
        <v>24</v>
      </c>
      <c r="H985" s="14" t="s">
        <v>258</v>
      </c>
      <c r="I985" s="14"/>
      <c r="J985" s="14"/>
      <c r="K985" s="14"/>
      <c r="L985" s="14"/>
      <c r="M985" s="14" t="s">
        <v>398</v>
      </c>
      <c r="N985" s="14" t="s">
        <v>399</v>
      </c>
      <c r="O985" s="14" t="s">
        <v>400</v>
      </c>
      <c r="P985" s="14" t="str">
        <f>HYPERLINK("https://ceds.ed.gov/cedselementdetails.aspx?termid=17014")</f>
        <v>https://ceds.ed.gov/cedselementdetails.aspx?termid=17014</v>
      </c>
      <c r="Q985" s="14" t="str">
        <f>HYPERLINK("https://ceds.ed.gov/elementComment.aspx?elementName=Alternate Adequate Yearly Progress Approach Indicator &amp;elementID=17014", "Click here to submit comment")</f>
        <v>Click here to submit comment</v>
      </c>
      <c r="R985" s="14">
        <v>47884</v>
      </c>
    </row>
    <row r="986" spans="1:18" ht="90" x14ac:dyDescent="0.25">
      <c r="A986" s="14" t="s">
        <v>8732</v>
      </c>
      <c r="B986" s="14" t="s">
        <v>8789</v>
      </c>
      <c r="C986" s="14" t="s">
        <v>8762</v>
      </c>
      <c r="D986" s="14" t="s">
        <v>8531</v>
      </c>
      <c r="E986" s="14" t="s">
        <v>435</v>
      </c>
      <c r="F986" s="14" t="s">
        <v>436</v>
      </c>
      <c r="G986" s="8" t="s">
        <v>8764</v>
      </c>
      <c r="H986" s="14" t="s">
        <v>258</v>
      </c>
      <c r="I986" s="14"/>
      <c r="J986" s="14"/>
      <c r="K986" s="14"/>
      <c r="L986" s="14"/>
      <c r="M986" s="14" t="s">
        <v>439</v>
      </c>
      <c r="N986" s="14" t="s">
        <v>440</v>
      </c>
      <c r="O986" s="14" t="s">
        <v>441</v>
      </c>
      <c r="P986" s="14" t="str">
        <f>HYPERLINK("https://ceds.ed.gov/cedselementdetails.aspx?termid=17572")</f>
        <v>https://ceds.ed.gov/cedselementdetails.aspx?termid=17572</v>
      </c>
      <c r="Q986" s="14" t="str">
        <f>HYPERLINK("https://ceds.ed.gov/elementComment.aspx?elementName=Annual Measurable Achievement Objective AYP Progress Attainment Status for LEP Students &amp;elementID=17572", "Click here to submit comment")</f>
        <v>Click here to submit comment</v>
      </c>
      <c r="R986" s="14">
        <v>47961</v>
      </c>
    </row>
    <row r="987" spans="1:18" ht="105" x14ac:dyDescent="0.25">
      <c r="A987" s="14" t="s">
        <v>8732</v>
      </c>
      <c r="B987" s="14" t="s">
        <v>8789</v>
      </c>
      <c r="C987" s="14" t="s">
        <v>8762</v>
      </c>
      <c r="D987" s="14" t="s">
        <v>8531</v>
      </c>
      <c r="E987" s="14" t="s">
        <v>442</v>
      </c>
      <c r="F987" s="14" t="s">
        <v>443</v>
      </c>
      <c r="G987" s="8" t="s">
        <v>8764</v>
      </c>
      <c r="H987" s="14" t="s">
        <v>258</v>
      </c>
      <c r="I987" s="14"/>
      <c r="J987" s="14"/>
      <c r="K987" s="14"/>
      <c r="L987" s="14"/>
      <c r="M987" s="14" t="s">
        <v>444</v>
      </c>
      <c r="N987" s="14" t="s">
        <v>445</v>
      </c>
      <c r="O987" s="14" t="s">
        <v>446</v>
      </c>
      <c r="P987" s="14" t="str">
        <f>HYPERLINK("https://ceds.ed.gov/cedselementdetails.aspx?termid=17535")</f>
        <v>https://ceds.ed.gov/cedselementdetails.aspx?termid=17535</v>
      </c>
      <c r="Q987" s="14" t="str">
        <f>HYPERLINK("https://ceds.ed.gov/elementComment.aspx?elementName=Annual Measurable Achievement Objective Proficiency Attainment Status for LEP Students &amp;elementID=17535", "Click here to submit comment")</f>
        <v>Click here to submit comment</v>
      </c>
      <c r="R987" s="14">
        <v>47952</v>
      </c>
    </row>
    <row r="988" spans="1:18" ht="105" x14ac:dyDescent="0.25">
      <c r="A988" s="14" t="s">
        <v>8732</v>
      </c>
      <c r="B988" s="14" t="s">
        <v>8789</v>
      </c>
      <c r="C988" s="14" t="s">
        <v>8762</v>
      </c>
      <c r="D988" s="14" t="s">
        <v>8531</v>
      </c>
      <c r="E988" s="14" t="s">
        <v>447</v>
      </c>
      <c r="F988" s="14" t="s">
        <v>448</v>
      </c>
      <c r="G988" s="8" t="s">
        <v>8764</v>
      </c>
      <c r="H988" s="14" t="s">
        <v>258</v>
      </c>
      <c r="I988" s="14"/>
      <c r="J988" s="14"/>
      <c r="K988" s="14"/>
      <c r="L988" s="14"/>
      <c r="M988" s="14" t="s">
        <v>449</v>
      </c>
      <c r="N988" s="14" t="s">
        <v>450</v>
      </c>
      <c r="O988" s="14" t="s">
        <v>451</v>
      </c>
      <c r="P988" s="14" t="str">
        <f>HYPERLINK("https://ceds.ed.gov/cedselementdetails.aspx?termid=17545")</f>
        <v>https://ceds.ed.gov/cedselementdetails.aspx?termid=17545</v>
      </c>
      <c r="Q988" s="14" t="str">
        <f>HYPERLINK("https://ceds.ed.gov/elementComment.aspx?elementName=Annual Measurable Achievement Objective Progress Attainment Status for LEP Students &amp;elementID=17545", "Click here to submit comment")</f>
        <v>Click here to submit comment</v>
      </c>
      <c r="R988" s="14">
        <v>47955</v>
      </c>
    </row>
    <row r="989" spans="1:18" ht="195" x14ac:dyDescent="0.25">
      <c r="A989" s="14" t="s">
        <v>8732</v>
      </c>
      <c r="B989" s="14" t="s">
        <v>8789</v>
      </c>
      <c r="C989" s="14" t="s">
        <v>8762</v>
      </c>
      <c r="D989" s="14" t="s">
        <v>8531</v>
      </c>
      <c r="E989" s="14" t="s">
        <v>7063</v>
      </c>
      <c r="F989" s="14" t="s">
        <v>7064</v>
      </c>
      <c r="G989" s="8" t="s">
        <v>8765</v>
      </c>
      <c r="H989" s="14" t="s">
        <v>258</v>
      </c>
      <c r="I989" s="14"/>
      <c r="J989" s="14"/>
      <c r="K989" s="14"/>
      <c r="L989" s="14"/>
      <c r="M989" s="14" t="s">
        <v>7066</v>
      </c>
      <c r="N989" s="14"/>
      <c r="O989" s="14" t="s">
        <v>7067</v>
      </c>
      <c r="P989" s="14" t="str">
        <f>HYPERLINK("https://ceds.ed.gov/cedselementdetails.aspx?termid=17221")</f>
        <v>https://ceds.ed.gov/cedselementdetails.aspx?termid=17221</v>
      </c>
      <c r="Q989" s="14" t="str">
        <f>HYPERLINK("https://ceds.ed.gov/elementComment.aspx?elementName=Proficiency Target Status for Math &amp;elementID=17221", "Click here to submit comment")</f>
        <v>Click here to submit comment</v>
      </c>
      <c r="R989" s="14">
        <v>47909</v>
      </c>
    </row>
    <row r="990" spans="1:18" ht="195" x14ac:dyDescent="0.25">
      <c r="A990" s="14" t="s">
        <v>8732</v>
      </c>
      <c r="B990" s="14" t="s">
        <v>8789</v>
      </c>
      <c r="C990" s="14" t="s">
        <v>8762</v>
      </c>
      <c r="D990" s="14" t="s">
        <v>8531</v>
      </c>
      <c r="E990" s="14" t="s">
        <v>7068</v>
      </c>
      <c r="F990" s="14" t="s">
        <v>7069</v>
      </c>
      <c r="G990" s="8" t="s">
        <v>8765</v>
      </c>
      <c r="H990" s="14" t="s">
        <v>258</v>
      </c>
      <c r="I990" s="14"/>
      <c r="J990" s="14"/>
      <c r="K990" s="14"/>
      <c r="L990" s="14"/>
      <c r="M990" s="14" t="s">
        <v>7070</v>
      </c>
      <c r="N990" s="14"/>
      <c r="O990" s="14" t="s">
        <v>7071</v>
      </c>
      <c r="P990" s="14" t="str">
        <f>HYPERLINK("https://ceds.ed.gov/cedselementdetails.aspx?termid=17544")</f>
        <v>https://ceds.ed.gov/cedselementdetails.aspx?termid=17544</v>
      </c>
      <c r="Q990" s="14" t="str">
        <f>HYPERLINK("https://ceds.ed.gov/elementComment.aspx?elementName=Proficiency Target Status for Reading and Language Arts &amp;elementID=17544", "Click here to submit comment")</f>
        <v>Click here to submit comment</v>
      </c>
      <c r="R990" s="14">
        <v>47954</v>
      </c>
    </row>
    <row r="991" spans="1:18" ht="120" x14ac:dyDescent="0.25">
      <c r="A991" s="14" t="s">
        <v>8732</v>
      </c>
      <c r="B991" s="14" t="s">
        <v>8789</v>
      </c>
      <c r="C991" s="14" t="s">
        <v>8762</v>
      </c>
      <c r="D991" s="14" t="s">
        <v>8531</v>
      </c>
      <c r="E991" s="14" t="s">
        <v>6652</v>
      </c>
      <c r="F991" s="14" t="s">
        <v>6653</v>
      </c>
      <c r="G991" s="8" t="s">
        <v>8766</v>
      </c>
      <c r="H991" s="14" t="s">
        <v>258</v>
      </c>
      <c r="I991" s="14"/>
      <c r="J991" s="14"/>
      <c r="K991" s="14"/>
      <c r="L991" s="14"/>
      <c r="M991" s="14" t="s">
        <v>6655</v>
      </c>
      <c r="N991" s="14"/>
      <c r="O991" s="14" t="s">
        <v>6656</v>
      </c>
      <c r="P991" s="14" t="str">
        <f>HYPERLINK("https://ceds.ed.gov/cedselementdetails.aspx?termid=17208")</f>
        <v>https://ceds.ed.gov/cedselementdetails.aspx?termid=17208</v>
      </c>
      <c r="Q991" s="14" t="str">
        <f>HYPERLINK("https://ceds.ed.gov/elementComment.aspx?elementName=Participation Status for Math &amp;elementID=17208", "Click here to submit comment")</f>
        <v>Click here to submit comment</v>
      </c>
      <c r="R991" s="14">
        <v>47903</v>
      </c>
    </row>
    <row r="992" spans="1:18" ht="120" x14ac:dyDescent="0.25">
      <c r="A992" s="14" t="s">
        <v>8732</v>
      </c>
      <c r="B992" s="14" t="s">
        <v>8789</v>
      </c>
      <c r="C992" s="14" t="s">
        <v>8762</v>
      </c>
      <c r="D992" s="14" t="s">
        <v>8531</v>
      </c>
      <c r="E992" s="14" t="s">
        <v>6657</v>
      </c>
      <c r="F992" s="14" t="s">
        <v>6658</v>
      </c>
      <c r="G992" s="8" t="s">
        <v>8766</v>
      </c>
      <c r="H992" s="14" t="s">
        <v>258</v>
      </c>
      <c r="I992" s="14"/>
      <c r="J992" s="14"/>
      <c r="K992" s="14"/>
      <c r="L992" s="14"/>
      <c r="M992" s="14" t="s">
        <v>6659</v>
      </c>
      <c r="N992" s="14"/>
      <c r="O992" s="14" t="s">
        <v>6660</v>
      </c>
      <c r="P992" s="14" t="str">
        <f>HYPERLINK("https://ceds.ed.gov/cedselementdetails.aspx?termid=17209")</f>
        <v>https://ceds.ed.gov/cedselementdetails.aspx?termid=17209</v>
      </c>
      <c r="Q992" s="14" t="str">
        <f>HYPERLINK("https://ceds.ed.gov/elementComment.aspx?elementName=Participation Status for Reading and Language Arts &amp;elementID=17209", "Click here to submit comment")</f>
        <v>Click here to submit comment</v>
      </c>
      <c r="R992" s="14">
        <v>47904</v>
      </c>
    </row>
    <row r="993" spans="1:18" ht="45" x14ac:dyDescent="0.25">
      <c r="A993" s="14" t="s">
        <v>8732</v>
      </c>
      <c r="B993" s="14" t="s">
        <v>8789</v>
      </c>
      <c r="C993" s="14" t="s">
        <v>8762</v>
      </c>
      <c r="D993" s="14" t="s">
        <v>8531</v>
      </c>
      <c r="E993" s="14" t="s">
        <v>113</v>
      </c>
      <c r="F993" s="14" t="s">
        <v>114</v>
      </c>
      <c r="G993" s="14" t="s">
        <v>37</v>
      </c>
      <c r="H993" s="14"/>
      <c r="I993" s="14"/>
      <c r="J993" s="14" t="s">
        <v>62</v>
      </c>
      <c r="K993" s="14"/>
      <c r="L993" s="14"/>
      <c r="M993" s="14" t="s">
        <v>116</v>
      </c>
      <c r="N993" s="14"/>
      <c r="O993" s="14" t="s">
        <v>117</v>
      </c>
      <c r="P993" s="14" t="str">
        <f>HYPERLINK("https://ceds.ed.gov/cedselementdetails.aspx?termid=17005")</f>
        <v>https://ceds.ed.gov/cedselementdetails.aspx?termid=17005</v>
      </c>
      <c r="Q993" s="14" t="str">
        <f>HYPERLINK("https://ceds.ed.gov/elementComment.aspx?elementName=Accountability Report Title &amp;elementID=17005", "Click here to submit comment")</f>
        <v>Click here to submit comment</v>
      </c>
      <c r="R993" s="14">
        <v>47882</v>
      </c>
    </row>
    <row r="994" spans="1:18" ht="105" x14ac:dyDescent="0.25">
      <c r="A994" s="14" t="s">
        <v>8732</v>
      </c>
      <c r="B994" s="14" t="s">
        <v>8789</v>
      </c>
      <c r="C994" s="14" t="s">
        <v>8762</v>
      </c>
      <c r="D994" s="14" t="s">
        <v>8531</v>
      </c>
      <c r="E994" s="14" t="s">
        <v>3944</v>
      </c>
      <c r="F994" s="14" t="s">
        <v>3945</v>
      </c>
      <c r="G994" s="8" t="s">
        <v>8767</v>
      </c>
      <c r="H994" s="14" t="s">
        <v>258</v>
      </c>
      <c r="I994" s="14"/>
      <c r="J994" s="14"/>
      <c r="K994" s="14"/>
      <c r="L994" s="14"/>
      <c r="M994" s="14" t="s">
        <v>3947</v>
      </c>
      <c r="N994" s="14"/>
      <c r="O994" s="14" t="s">
        <v>3948</v>
      </c>
      <c r="P994" s="14" t="str">
        <f>HYPERLINK("https://ceds.ed.gov/cedselementdetails.aspx?termid=17091")</f>
        <v>https://ceds.ed.gov/cedselementdetails.aspx?termid=17091</v>
      </c>
      <c r="Q994" s="14" t="str">
        <f>HYPERLINK("https://ceds.ed.gov/elementComment.aspx?elementName=Elementary-Middle Additional Indicator Status &amp;elementID=17091", "Click here to submit comment")</f>
        <v>Click here to submit comment</v>
      </c>
      <c r="R994" s="14">
        <v>47889</v>
      </c>
    </row>
    <row r="995" spans="1:18" ht="120" x14ac:dyDescent="0.25">
      <c r="A995" s="14" t="s">
        <v>8732</v>
      </c>
      <c r="B995" s="14" t="s">
        <v>8789</v>
      </c>
      <c r="C995" s="14" t="s">
        <v>8762</v>
      </c>
      <c r="D995" s="14" t="s">
        <v>8531</v>
      </c>
      <c r="E995" s="14" t="s">
        <v>4913</v>
      </c>
      <c r="F995" s="14" t="s">
        <v>4914</v>
      </c>
      <c r="G995" s="8" t="s">
        <v>8768</v>
      </c>
      <c r="H995" s="14" t="s">
        <v>258</v>
      </c>
      <c r="I995" s="14"/>
      <c r="J995" s="14"/>
      <c r="K995" s="14"/>
      <c r="L995" s="14"/>
      <c r="M995" s="14" t="s">
        <v>4916</v>
      </c>
      <c r="N995" s="14"/>
      <c r="O995" s="14" t="s">
        <v>4917</v>
      </c>
      <c r="P995" s="14" t="str">
        <f>HYPERLINK("https://ceds.ed.gov/cedselementdetails.aspx?termid=17134")</f>
        <v>https://ceds.ed.gov/cedselementdetails.aspx?termid=17134</v>
      </c>
      <c r="Q995" s="14" t="str">
        <f>HYPERLINK("https://ceds.ed.gov/elementComment.aspx?elementName=Gun Free Schools Act Reporting Status &amp;elementID=17134", "Click here to submit comment")</f>
        <v>Click here to submit comment</v>
      </c>
      <c r="R995" s="14">
        <v>47890</v>
      </c>
    </row>
    <row r="996" spans="1:18" ht="120" x14ac:dyDescent="0.25">
      <c r="A996" s="14" t="s">
        <v>8732</v>
      </c>
      <c r="B996" s="14" t="s">
        <v>8789</v>
      </c>
      <c r="C996" s="14" t="s">
        <v>8762</v>
      </c>
      <c r="D996" s="14" t="s">
        <v>8531</v>
      </c>
      <c r="E996" s="14" t="s">
        <v>4967</v>
      </c>
      <c r="F996" s="14" t="s">
        <v>4968</v>
      </c>
      <c r="G996" s="8" t="s">
        <v>8769</v>
      </c>
      <c r="H996" s="14" t="s">
        <v>258</v>
      </c>
      <c r="I996" s="14"/>
      <c r="J996" s="14"/>
      <c r="K996" s="14"/>
      <c r="L996" s="14"/>
      <c r="M996" s="14" t="s">
        <v>4970</v>
      </c>
      <c r="N996" s="14"/>
      <c r="O996" s="14" t="s">
        <v>4971</v>
      </c>
      <c r="P996" s="14" t="str">
        <f>HYPERLINK("https://ceds.ed.gov/cedselementdetails.aspx?termid=17140")</f>
        <v>https://ceds.ed.gov/cedselementdetails.aspx?termid=17140</v>
      </c>
      <c r="Q996" s="14" t="str">
        <f>HYPERLINK("https://ceds.ed.gov/elementComment.aspx?elementName=High School Graduation Rate Indicator Status &amp;elementID=17140", "Click here to submit comment")</f>
        <v>Click here to submit comment</v>
      </c>
      <c r="R996" s="14">
        <v>47892</v>
      </c>
    </row>
    <row r="997" spans="1:18" ht="90" x14ac:dyDescent="0.25">
      <c r="A997" s="14" t="s">
        <v>8732</v>
      </c>
      <c r="B997" s="14" t="s">
        <v>8789</v>
      </c>
      <c r="C997" s="14" t="s">
        <v>8762</v>
      </c>
      <c r="D997" s="14" t="s">
        <v>8531</v>
      </c>
      <c r="E997" s="14" t="s">
        <v>6143</v>
      </c>
      <c r="F997" s="14" t="s">
        <v>6144</v>
      </c>
      <c r="G997" s="8" t="s">
        <v>8793</v>
      </c>
      <c r="H997" s="14" t="s">
        <v>258</v>
      </c>
      <c r="I997" s="14"/>
      <c r="J997" s="14"/>
      <c r="K997" s="14"/>
      <c r="L997" s="14"/>
      <c r="M997" s="14" t="s">
        <v>6146</v>
      </c>
      <c r="N997" s="14" t="s">
        <v>6147</v>
      </c>
      <c r="O997" s="14" t="s">
        <v>6148</v>
      </c>
      <c r="P997" s="14" t="str">
        <f>HYPERLINK("https://ceds.ed.gov/cedselementdetails.aspx?termid=17173")</f>
        <v>https://ceds.ed.gov/cedselementdetails.aspx?termid=17173</v>
      </c>
      <c r="Q997" s="14" t="str">
        <f>HYPERLINK("https://ceds.ed.gov/elementComment.aspx?elementName=Local Education Agency Improvement Status &amp;elementID=17173", "Click here to submit comment")</f>
        <v>Click here to submit comment</v>
      </c>
      <c r="R997" s="14">
        <v>47897</v>
      </c>
    </row>
    <row r="998" spans="1:18" ht="165" x14ac:dyDescent="0.25">
      <c r="A998" s="14" t="s">
        <v>8732</v>
      </c>
      <c r="B998" s="14" t="s">
        <v>8789</v>
      </c>
      <c r="C998" s="14" t="s">
        <v>8762</v>
      </c>
      <c r="D998" s="14" t="s">
        <v>8531</v>
      </c>
      <c r="E998" s="14" t="s">
        <v>7215</v>
      </c>
      <c r="F998" s="14" t="s">
        <v>7216</v>
      </c>
      <c r="G998" s="8" t="s">
        <v>8794</v>
      </c>
      <c r="H998" s="14" t="s">
        <v>258</v>
      </c>
      <c r="I998" s="14"/>
      <c r="J998" s="14"/>
      <c r="K998" s="14"/>
      <c r="L998" s="14"/>
      <c r="M998" s="14" t="s">
        <v>7218</v>
      </c>
      <c r="N998" s="14"/>
      <c r="O998" s="14" t="s">
        <v>7219</v>
      </c>
      <c r="P998" s="14" t="str">
        <f>HYPERLINK("https://ceds.ed.gov/cedselementdetails.aspx?termid=17227")</f>
        <v>https://ceds.ed.gov/cedselementdetails.aspx?termid=17227</v>
      </c>
      <c r="Q998" s="14" t="str">
        <f>HYPERLINK("https://ceds.ed.gov/elementComment.aspx?elementName=Public School Choice Implementation Status &amp;elementID=17227", "Click here to submit comment")</f>
        <v>Click here to submit comment</v>
      </c>
      <c r="R998" s="14">
        <v>47910</v>
      </c>
    </row>
    <row r="999" spans="1:18" ht="150" x14ac:dyDescent="0.25">
      <c r="A999" s="14" t="s">
        <v>8732</v>
      </c>
      <c r="B999" s="14" t="s">
        <v>8789</v>
      </c>
      <c r="C999" s="14" t="s">
        <v>8762</v>
      </c>
      <c r="D999" s="14" t="s">
        <v>8531</v>
      </c>
      <c r="E999" s="14" t="s">
        <v>8329</v>
      </c>
      <c r="F999" s="14" t="s">
        <v>8330</v>
      </c>
      <c r="G999" s="8" t="s">
        <v>8795</v>
      </c>
      <c r="H999" s="14" t="s">
        <v>245</v>
      </c>
      <c r="I999" s="14"/>
      <c r="J999" s="14"/>
      <c r="K999" s="14"/>
      <c r="L999" s="14"/>
      <c r="M999" s="14" t="s">
        <v>8332</v>
      </c>
      <c r="N999" s="14"/>
      <c r="O999" s="14" t="s">
        <v>8333</v>
      </c>
      <c r="P999" s="14" t="str">
        <f>HYPERLINK("https://ceds.ed.gov/cedselementdetails.aspx?termid=17478")</f>
        <v>https://ceds.ed.gov/cedselementdetails.aspx?termid=17478</v>
      </c>
      <c r="Q999" s="14" t="str">
        <f>HYPERLINK("https://ceds.ed.gov/elementComment.aspx?elementName=Title III Professional Development Type &amp;elementID=17478", "Click here to submit comment")</f>
        <v>Click here to submit comment</v>
      </c>
      <c r="R999" s="14">
        <v>47946</v>
      </c>
    </row>
    <row r="1000" spans="1:18" ht="45" x14ac:dyDescent="0.25">
      <c r="A1000" s="14" t="s">
        <v>8732</v>
      </c>
      <c r="B1000" s="14" t="s">
        <v>8789</v>
      </c>
      <c r="C1000" s="14" t="s">
        <v>8582</v>
      </c>
      <c r="D1000" s="14" t="s">
        <v>8531</v>
      </c>
      <c r="E1000" s="14" t="s">
        <v>4686</v>
      </c>
      <c r="F1000" s="14" t="s">
        <v>4687</v>
      </c>
      <c r="G1000" s="14" t="s">
        <v>37</v>
      </c>
      <c r="H1000" s="14"/>
      <c r="I1000" s="14"/>
      <c r="J1000" s="14" t="s">
        <v>2094</v>
      </c>
      <c r="K1000" s="14"/>
      <c r="L1000" s="14"/>
      <c r="M1000" s="14" t="s">
        <v>4688</v>
      </c>
      <c r="N1000" s="14"/>
      <c r="O1000" s="14" t="s">
        <v>4689</v>
      </c>
      <c r="P1000" s="14" t="str">
        <f>HYPERLINK("https://ceds.ed.gov/cedselementdetails.aspx?termid=18620")</f>
        <v>https://ceds.ed.gov/cedselementdetails.aspx?termid=18620</v>
      </c>
      <c r="Q1000" s="14" t="str">
        <f>HYPERLINK("https://ceds.ed.gov/elementComment.aspx?elementName=Fiscal Year &amp;elementID=18620", "Click here to submit comment")</f>
        <v>Click here to submit comment</v>
      </c>
      <c r="R1000" s="14">
        <v>51306</v>
      </c>
    </row>
    <row r="1001" spans="1:18" ht="45" x14ac:dyDescent="0.25">
      <c r="A1001" s="14" t="s">
        <v>8732</v>
      </c>
      <c r="B1001" s="14" t="s">
        <v>8789</v>
      </c>
      <c r="C1001" s="14" t="s">
        <v>8582</v>
      </c>
      <c r="D1001" s="14" t="s">
        <v>8531</v>
      </c>
      <c r="E1001" s="14" t="s">
        <v>4678</v>
      </c>
      <c r="F1001" s="14" t="s">
        <v>4679</v>
      </c>
      <c r="G1001" s="14" t="s">
        <v>37</v>
      </c>
      <c r="H1001" s="14"/>
      <c r="I1001" s="14"/>
      <c r="J1001" s="14" t="s">
        <v>135</v>
      </c>
      <c r="K1001" s="14"/>
      <c r="L1001" s="14"/>
      <c r="M1001" s="14" t="s">
        <v>4680</v>
      </c>
      <c r="N1001" s="14"/>
      <c r="O1001" s="14" t="s">
        <v>4681</v>
      </c>
      <c r="P1001" s="14" t="str">
        <f>HYPERLINK("https://ceds.ed.gov/cedselementdetails.aspx?termid=18623")</f>
        <v>https://ceds.ed.gov/cedselementdetails.aspx?termid=18623</v>
      </c>
      <c r="Q1001" s="14" t="str">
        <f>HYPERLINK("https://ceds.ed.gov/elementComment.aspx?elementName=Fiscal Period Begin Date &amp;elementID=18623", "Click here to submit comment")</f>
        <v>Click here to submit comment</v>
      </c>
      <c r="R1001" s="14">
        <v>51316</v>
      </c>
    </row>
    <row r="1002" spans="1:18" ht="75" x14ac:dyDescent="0.25">
      <c r="A1002" s="14" t="s">
        <v>8732</v>
      </c>
      <c r="B1002" s="14" t="s">
        <v>8789</v>
      </c>
      <c r="C1002" s="14" t="s">
        <v>8582</v>
      </c>
      <c r="D1002" s="14" t="s">
        <v>8531</v>
      </c>
      <c r="E1002" s="14" t="s">
        <v>4682</v>
      </c>
      <c r="F1002" s="14" t="s">
        <v>4683</v>
      </c>
      <c r="G1002" s="14" t="s">
        <v>37</v>
      </c>
      <c r="H1002" s="14"/>
      <c r="I1002" s="14"/>
      <c r="J1002" s="14" t="s">
        <v>135</v>
      </c>
      <c r="K1002" s="14"/>
      <c r="L1002" s="14" t="s">
        <v>160</v>
      </c>
      <c r="M1002" s="14" t="s">
        <v>4684</v>
      </c>
      <c r="N1002" s="14"/>
      <c r="O1002" s="14" t="s">
        <v>4685</v>
      </c>
      <c r="P1002" s="14" t="str">
        <f>HYPERLINK("https://ceds.ed.gov/cedselementdetails.aspx?termid=18624")</f>
        <v>https://ceds.ed.gov/cedselementdetails.aspx?termid=18624</v>
      </c>
      <c r="Q1002" s="14" t="str">
        <f>HYPERLINK("https://ceds.ed.gov/elementComment.aspx?elementName=Fiscal Period End Date &amp;elementID=18624", "Click here to submit comment")</f>
        <v>Click here to submit comment</v>
      </c>
      <c r="R1002" s="14">
        <v>51320</v>
      </c>
    </row>
    <row r="1003" spans="1:18" ht="105" x14ac:dyDescent="0.25">
      <c r="A1003" s="14" t="s">
        <v>8732</v>
      </c>
      <c r="B1003" s="14" t="s">
        <v>8789</v>
      </c>
      <c r="C1003" s="14" t="s">
        <v>8582</v>
      </c>
      <c r="D1003" s="14" t="s">
        <v>8531</v>
      </c>
      <c r="E1003" s="14" t="s">
        <v>4528</v>
      </c>
      <c r="F1003" s="14" t="s">
        <v>4529</v>
      </c>
      <c r="G1003" s="14" t="s">
        <v>37</v>
      </c>
      <c r="H1003" s="14"/>
      <c r="I1003" s="14"/>
      <c r="J1003" s="14" t="s">
        <v>97</v>
      </c>
      <c r="K1003" s="14"/>
      <c r="L1003" s="14"/>
      <c r="M1003" s="14" t="s">
        <v>4530</v>
      </c>
      <c r="N1003" s="14"/>
      <c r="O1003" s="14" t="s">
        <v>4531</v>
      </c>
      <c r="P1003" s="14" t="str">
        <f>HYPERLINK("https://ceds.ed.gov/cedselementdetails.aspx?termid=18530")</f>
        <v>https://ceds.ed.gov/cedselementdetails.aspx?termid=18530</v>
      </c>
      <c r="Q1003" s="14" t="str">
        <f>HYPERLINK("https://ceds.ed.gov/elementComment.aspx?elementName=Financial Account Number &amp;elementID=18530", "Click here to submit comment")</f>
        <v>Click here to submit comment</v>
      </c>
      <c r="R1003" s="14">
        <v>50842</v>
      </c>
    </row>
    <row r="1004" spans="1:18" ht="45" x14ac:dyDescent="0.25">
      <c r="A1004" s="14" t="s">
        <v>8732</v>
      </c>
      <c r="B1004" s="14" t="s">
        <v>8789</v>
      </c>
      <c r="C1004" s="14" t="s">
        <v>8582</v>
      </c>
      <c r="D1004" s="14" t="s">
        <v>8531</v>
      </c>
      <c r="E1004" s="14" t="s">
        <v>4524</v>
      </c>
      <c r="F1004" s="14" t="s">
        <v>4525</v>
      </c>
      <c r="G1004" s="14" t="s">
        <v>37</v>
      </c>
      <c r="H1004" s="14"/>
      <c r="I1004" s="14"/>
      <c r="J1004" s="14" t="s">
        <v>874</v>
      </c>
      <c r="K1004" s="14"/>
      <c r="L1004" s="14"/>
      <c r="M1004" s="14" t="s">
        <v>4526</v>
      </c>
      <c r="N1004" s="14"/>
      <c r="O1004" s="14" t="s">
        <v>4527</v>
      </c>
      <c r="P1004" s="14" t="str">
        <f>HYPERLINK("https://ceds.ed.gov/cedselementdetails.aspx?termid=18315")</f>
        <v>https://ceds.ed.gov/cedselementdetails.aspx?termid=18315</v>
      </c>
      <c r="Q1004" s="14" t="str">
        <f>HYPERLINK("https://ceds.ed.gov/elementComment.aspx?elementName=Financial Account Name &amp;elementID=18315", "Click here to submit comment")</f>
        <v>Click here to submit comment</v>
      </c>
      <c r="R1004" s="14">
        <v>50179</v>
      </c>
    </row>
    <row r="1005" spans="1:18" ht="45" x14ac:dyDescent="0.25">
      <c r="A1005" s="14" t="s">
        <v>8732</v>
      </c>
      <c r="B1005" s="14" t="s">
        <v>8789</v>
      </c>
      <c r="C1005" s="14" t="s">
        <v>8582</v>
      </c>
      <c r="D1005" s="14" t="s">
        <v>8531</v>
      </c>
      <c r="E1005" s="14" t="s">
        <v>4496</v>
      </c>
      <c r="F1005" s="14" t="s">
        <v>4497</v>
      </c>
      <c r="G1005" s="14" t="s">
        <v>37</v>
      </c>
      <c r="H1005" s="14"/>
      <c r="I1005" s="14"/>
      <c r="J1005" s="14" t="s">
        <v>129</v>
      </c>
      <c r="K1005" s="14"/>
      <c r="L1005" s="14"/>
      <c r="M1005" s="14" t="s">
        <v>4498</v>
      </c>
      <c r="N1005" s="14"/>
      <c r="O1005" s="14" t="s">
        <v>4499</v>
      </c>
      <c r="P1005" s="14" t="str">
        <f>HYPERLINK("https://ceds.ed.gov/cedselementdetails.aspx?termid=18313")</f>
        <v>https://ceds.ed.gov/cedselementdetails.aspx?termid=18313</v>
      </c>
      <c r="Q1005" s="14" t="str">
        <f>HYPERLINK("https://ceds.ed.gov/elementComment.aspx?elementName=Financial Account Description &amp;elementID=18313", "Click here to submit comment")</f>
        <v>Click here to submit comment</v>
      </c>
      <c r="R1005" s="14">
        <v>50168</v>
      </c>
    </row>
    <row r="1006" spans="1:18" ht="105" x14ac:dyDescent="0.25">
      <c r="A1006" s="14" t="s">
        <v>8732</v>
      </c>
      <c r="B1006" s="14" t="s">
        <v>8789</v>
      </c>
      <c r="C1006" s="14" t="s">
        <v>8582</v>
      </c>
      <c r="D1006" s="14" t="s">
        <v>8531</v>
      </c>
      <c r="E1006" s="14" t="s">
        <v>4490</v>
      </c>
      <c r="F1006" s="14" t="s">
        <v>4491</v>
      </c>
      <c r="G1006" s="8" t="s">
        <v>8776</v>
      </c>
      <c r="H1006" s="14"/>
      <c r="I1006" s="14"/>
      <c r="J1006" s="14"/>
      <c r="K1006" s="14"/>
      <c r="L1006" s="14"/>
      <c r="M1006" s="14" t="s">
        <v>4494</v>
      </c>
      <c r="N1006" s="14"/>
      <c r="O1006" s="14" t="s">
        <v>4495</v>
      </c>
      <c r="P1006" s="14" t="str">
        <f>HYPERLINK("https://ceds.ed.gov/cedselementdetails.aspx?termid=18312")</f>
        <v>https://ceds.ed.gov/cedselementdetails.aspx?termid=18312</v>
      </c>
      <c r="Q1006" s="14" t="str">
        <f>HYPERLINK("https://ceds.ed.gov/elementComment.aspx?elementName=Financial Account Category &amp;elementID=18312", "Click here to submit comment")</f>
        <v>Click here to submit comment</v>
      </c>
      <c r="R1006" s="14">
        <v>50164</v>
      </c>
    </row>
    <row r="1007" spans="1:18" ht="60" x14ac:dyDescent="0.25">
      <c r="A1007" s="16" t="s">
        <v>8732</v>
      </c>
      <c r="B1007" s="16" t="s">
        <v>8789</v>
      </c>
      <c r="C1007" s="16" t="s">
        <v>8582</v>
      </c>
      <c r="D1007" s="16" t="s">
        <v>8531</v>
      </c>
      <c r="E1007" s="16" t="s">
        <v>4517</v>
      </c>
      <c r="F1007" s="16" t="s">
        <v>4518</v>
      </c>
      <c r="G1007" s="18" t="s">
        <v>8730</v>
      </c>
      <c r="H1007" s="16"/>
      <c r="I1007" s="16"/>
      <c r="J1007" s="16"/>
      <c r="K1007" s="16"/>
      <c r="L1007" s="6" t="s">
        <v>4504</v>
      </c>
      <c r="M1007" s="16" t="s">
        <v>4521</v>
      </c>
      <c r="N1007" s="16"/>
      <c r="O1007" s="16" t="s">
        <v>4522</v>
      </c>
      <c r="P1007" s="16" t="str">
        <f>HYPERLINK("https://ceds.ed.gov/cedselementdetails.aspx?termid=18440")</f>
        <v>https://ceds.ed.gov/cedselementdetails.aspx?termid=18440</v>
      </c>
      <c r="Q1007" s="16" t="str">
        <f>HYPERLINK("https://ceds.ed.gov/elementComment.aspx?elementName=Financial Account K12 Revenue Code &amp;elementID=18440", "Click here to submit comment")</f>
        <v>Click here to submit comment</v>
      </c>
      <c r="R1007" s="16">
        <v>50855</v>
      </c>
    </row>
    <row r="1008" spans="1:18" x14ac:dyDescent="0.25">
      <c r="A1008" s="16"/>
      <c r="B1008" s="16"/>
      <c r="C1008" s="16"/>
      <c r="D1008" s="16"/>
      <c r="E1008" s="16"/>
      <c r="F1008" s="16"/>
      <c r="G1008" s="16"/>
      <c r="H1008" s="16"/>
      <c r="I1008" s="16"/>
      <c r="J1008" s="16"/>
      <c r="K1008" s="16"/>
      <c r="L1008" s="14"/>
      <c r="M1008" s="16"/>
      <c r="N1008" s="16"/>
      <c r="O1008" s="16"/>
      <c r="P1008" s="16"/>
      <c r="Q1008" s="16"/>
      <c r="R1008" s="16"/>
    </row>
    <row r="1009" spans="1:18" ht="30" x14ac:dyDescent="0.25">
      <c r="A1009" s="16"/>
      <c r="B1009" s="16"/>
      <c r="C1009" s="16"/>
      <c r="D1009" s="16"/>
      <c r="E1009" s="16"/>
      <c r="F1009" s="16"/>
      <c r="G1009" s="16"/>
      <c r="H1009" s="16"/>
      <c r="I1009" s="16"/>
      <c r="J1009" s="16"/>
      <c r="K1009" s="16"/>
      <c r="L1009" s="14" t="s">
        <v>4523</v>
      </c>
      <c r="M1009" s="16"/>
      <c r="N1009" s="16"/>
      <c r="O1009" s="16"/>
      <c r="P1009" s="16"/>
      <c r="Q1009" s="16"/>
      <c r="R1009" s="16"/>
    </row>
    <row r="1010" spans="1:18" ht="409.5" x14ac:dyDescent="0.25">
      <c r="A1010" s="14" t="s">
        <v>8732</v>
      </c>
      <c r="B1010" s="14" t="s">
        <v>8789</v>
      </c>
      <c r="C1010" s="14" t="s">
        <v>8582</v>
      </c>
      <c r="D1010" s="14" t="s">
        <v>8531</v>
      </c>
      <c r="E1010" s="14" t="s">
        <v>4613</v>
      </c>
      <c r="F1010" s="14" t="s">
        <v>4614</v>
      </c>
      <c r="G1010" s="8" t="s">
        <v>8777</v>
      </c>
      <c r="H1010" s="14"/>
      <c r="I1010" s="14"/>
      <c r="J1010" s="14"/>
      <c r="K1010" s="14"/>
      <c r="L1010" s="6" t="s">
        <v>4504</v>
      </c>
      <c r="M1010" s="14" t="s">
        <v>4616</v>
      </c>
      <c r="N1010" s="14"/>
      <c r="O1010" s="14" t="s">
        <v>4617</v>
      </c>
      <c r="P1010" s="14" t="str">
        <f>HYPERLINK("https://ceds.ed.gov/cedselementdetails.aspx?termid=18321")</f>
        <v>https://ceds.ed.gov/cedselementdetails.aspx?termid=18321</v>
      </c>
      <c r="Q1010" s="14" t="str">
        <f>HYPERLINK("https://ceds.ed.gov/elementComment.aspx?elementName=Financial Expenditure K12 Function Code &amp;elementID=18321", "Click here to submit comment")</f>
        <v>Click here to submit comment</v>
      </c>
      <c r="R1010" s="14">
        <v>50201</v>
      </c>
    </row>
    <row r="1011" spans="1:18" ht="409.5" x14ac:dyDescent="0.25">
      <c r="A1011" s="14" t="s">
        <v>8732</v>
      </c>
      <c r="B1011" s="14" t="s">
        <v>8789</v>
      </c>
      <c r="C1011" s="14" t="s">
        <v>8582</v>
      </c>
      <c r="D1011" s="14" t="s">
        <v>8531</v>
      </c>
      <c r="E1011" s="14" t="s">
        <v>4623</v>
      </c>
      <c r="F1011" s="14" t="s">
        <v>4624</v>
      </c>
      <c r="G1011" s="8" t="s">
        <v>8778</v>
      </c>
      <c r="H1011" s="14"/>
      <c r="I1011" s="14"/>
      <c r="J1011" s="14"/>
      <c r="K1011" s="14"/>
      <c r="L1011" s="6" t="s">
        <v>4504</v>
      </c>
      <c r="M1011" s="14" t="s">
        <v>4626</v>
      </c>
      <c r="N1011" s="14"/>
      <c r="O1011" s="14" t="s">
        <v>4627</v>
      </c>
      <c r="P1011" s="14" t="str">
        <f>HYPERLINK("https://ceds.ed.gov/cedselementdetails.aspx?termid=18322")</f>
        <v>https://ceds.ed.gov/cedselementdetails.aspx?termid=18322</v>
      </c>
      <c r="Q1011" s="14" t="str">
        <f>HYPERLINK("https://ceds.ed.gov/elementComment.aspx?elementName=Financial Expenditure K12 Object Code &amp;elementID=18322", "Click here to submit comment")</f>
        <v>Click here to submit comment</v>
      </c>
      <c r="R1011" s="14">
        <v>50205</v>
      </c>
    </row>
    <row r="1012" spans="1:18" ht="195" x14ac:dyDescent="0.25">
      <c r="A1012" s="14" t="s">
        <v>8732</v>
      </c>
      <c r="B1012" s="14" t="s">
        <v>8789</v>
      </c>
      <c r="C1012" s="14" t="s">
        <v>8582</v>
      </c>
      <c r="D1012" s="14" t="s">
        <v>8531</v>
      </c>
      <c r="E1012" s="14" t="s">
        <v>4618</v>
      </c>
      <c r="F1012" s="14" t="s">
        <v>4619</v>
      </c>
      <c r="G1012" s="8" t="s">
        <v>8779</v>
      </c>
      <c r="H1012" s="14"/>
      <c r="I1012" s="14"/>
      <c r="J1012" s="14"/>
      <c r="K1012" s="14"/>
      <c r="L1012" s="6" t="s">
        <v>4504</v>
      </c>
      <c r="M1012" s="14" t="s">
        <v>4621</v>
      </c>
      <c r="N1012" s="14"/>
      <c r="O1012" s="14" t="s">
        <v>4622</v>
      </c>
      <c r="P1012" s="14" t="str">
        <f>HYPERLINK("https://ceds.ed.gov/cedselementdetails.aspx?termid=18531")</f>
        <v>https://ceds.ed.gov/cedselementdetails.aspx?termid=18531</v>
      </c>
      <c r="Q1012" s="14" t="str">
        <f>HYPERLINK("https://ceds.ed.gov/elementComment.aspx?elementName=Financial Expenditure K12 Level of Instruction Code &amp;elementID=18531", "Click here to submit comment")</f>
        <v>Click here to submit comment</v>
      </c>
      <c r="R1012" s="14">
        <v>50847</v>
      </c>
    </row>
    <row r="1013" spans="1:18" ht="75" x14ac:dyDescent="0.25">
      <c r="A1013" s="16" t="s">
        <v>8732</v>
      </c>
      <c r="B1013" s="16" t="s">
        <v>8789</v>
      </c>
      <c r="C1013" s="16" t="s">
        <v>8582</v>
      </c>
      <c r="D1013" s="16" t="s">
        <v>8531</v>
      </c>
      <c r="E1013" s="16" t="s">
        <v>4628</v>
      </c>
      <c r="F1013" s="16" t="s">
        <v>4629</v>
      </c>
      <c r="G1013" s="16" t="s">
        <v>37</v>
      </c>
      <c r="H1013" s="16"/>
      <c r="I1013" s="16"/>
      <c r="J1013" s="16" t="s">
        <v>165</v>
      </c>
      <c r="K1013" s="16"/>
      <c r="L1013" s="6" t="s">
        <v>4630</v>
      </c>
      <c r="M1013" s="16" t="s">
        <v>4631</v>
      </c>
      <c r="N1013" s="16"/>
      <c r="O1013" s="16" t="s">
        <v>4632</v>
      </c>
      <c r="P1013" s="16" t="str">
        <f>HYPERLINK("https://ceds.ed.gov/cedselementdetails.aspx?termid=18532")</f>
        <v>https://ceds.ed.gov/cedselementdetails.aspx?termid=18532</v>
      </c>
      <c r="Q1013" s="16" t="str">
        <f>HYPERLINK("https://ceds.ed.gov/elementComment.aspx?elementName=Financial Expenditure K12 Project Reporting Code &amp;elementID=18532", "Click here to submit comment")</f>
        <v>Click here to submit comment</v>
      </c>
      <c r="R1013" s="16">
        <v>50851</v>
      </c>
    </row>
    <row r="1014" spans="1:18" x14ac:dyDescent="0.25">
      <c r="A1014" s="16"/>
      <c r="B1014" s="16"/>
      <c r="C1014" s="16"/>
      <c r="D1014" s="16"/>
      <c r="E1014" s="16"/>
      <c r="F1014" s="16"/>
      <c r="G1014" s="16"/>
      <c r="H1014" s="16"/>
      <c r="I1014" s="16"/>
      <c r="J1014" s="16"/>
      <c r="K1014" s="16"/>
      <c r="L1014" s="14"/>
      <c r="M1014" s="16"/>
      <c r="N1014" s="16"/>
      <c r="O1014" s="16"/>
      <c r="P1014" s="16"/>
      <c r="Q1014" s="16"/>
      <c r="R1014" s="16"/>
    </row>
    <row r="1015" spans="1:18" ht="45" x14ac:dyDescent="0.25">
      <c r="A1015" s="16"/>
      <c r="B1015" s="16"/>
      <c r="C1015" s="16"/>
      <c r="D1015" s="16"/>
      <c r="E1015" s="16"/>
      <c r="F1015" s="16"/>
      <c r="G1015" s="16"/>
      <c r="H1015" s="16"/>
      <c r="I1015" s="16"/>
      <c r="J1015" s="16"/>
      <c r="K1015" s="16"/>
      <c r="L1015" s="14" t="s">
        <v>4633</v>
      </c>
      <c r="M1015" s="16"/>
      <c r="N1015" s="16"/>
      <c r="O1015" s="16"/>
      <c r="P1015" s="16"/>
      <c r="Q1015" s="16"/>
      <c r="R1015" s="16"/>
    </row>
    <row r="1016" spans="1:18" x14ac:dyDescent="0.25">
      <c r="A1016" s="16"/>
      <c r="B1016" s="16"/>
      <c r="C1016" s="16"/>
      <c r="D1016" s="16"/>
      <c r="E1016" s="16"/>
      <c r="F1016" s="16"/>
      <c r="G1016" s="16"/>
      <c r="H1016" s="16"/>
      <c r="I1016" s="16"/>
      <c r="J1016" s="16"/>
      <c r="K1016" s="16"/>
      <c r="L1016" s="14"/>
      <c r="M1016" s="16"/>
      <c r="N1016" s="16"/>
      <c r="O1016" s="16"/>
      <c r="P1016" s="16"/>
      <c r="Q1016" s="16"/>
      <c r="R1016" s="16"/>
    </row>
    <row r="1017" spans="1:18" ht="45" x14ac:dyDescent="0.25">
      <c r="A1017" s="16"/>
      <c r="B1017" s="16"/>
      <c r="C1017" s="16"/>
      <c r="D1017" s="16"/>
      <c r="E1017" s="16"/>
      <c r="F1017" s="16"/>
      <c r="G1017" s="16"/>
      <c r="H1017" s="16"/>
      <c r="I1017" s="16"/>
      <c r="J1017" s="16"/>
      <c r="K1017" s="16"/>
      <c r="L1017" s="14" t="s">
        <v>4634</v>
      </c>
      <c r="M1017" s="16"/>
      <c r="N1017" s="16"/>
      <c r="O1017" s="16"/>
      <c r="P1017" s="16"/>
      <c r="Q1017" s="16"/>
      <c r="R1017" s="16"/>
    </row>
    <row r="1018" spans="1:18" x14ac:dyDescent="0.25">
      <c r="A1018" s="16"/>
      <c r="B1018" s="16"/>
      <c r="C1018" s="16"/>
      <c r="D1018" s="16"/>
      <c r="E1018" s="16"/>
      <c r="F1018" s="16"/>
      <c r="G1018" s="16"/>
      <c r="H1018" s="16"/>
      <c r="I1018" s="16"/>
      <c r="J1018" s="16"/>
      <c r="K1018" s="16"/>
      <c r="L1018" s="14"/>
      <c r="M1018" s="16"/>
      <c r="N1018" s="16"/>
      <c r="O1018" s="16"/>
      <c r="P1018" s="16"/>
      <c r="Q1018" s="16"/>
      <c r="R1018" s="16"/>
    </row>
    <row r="1019" spans="1:18" ht="60" x14ac:dyDescent="0.25">
      <c r="A1019" s="16"/>
      <c r="B1019" s="16"/>
      <c r="C1019" s="16"/>
      <c r="D1019" s="16"/>
      <c r="E1019" s="16"/>
      <c r="F1019" s="16"/>
      <c r="G1019" s="16"/>
      <c r="H1019" s="16"/>
      <c r="I1019" s="16"/>
      <c r="J1019" s="16"/>
      <c r="K1019" s="16"/>
      <c r="L1019" s="14" t="s">
        <v>4635</v>
      </c>
      <c r="M1019" s="16"/>
      <c r="N1019" s="16"/>
      <c r="O1019" s="16"/>
      <c r="P1019" s="16"/>
      <c r="Q1019" s="16"/>
      <c r="R1019" s="16"/>
    </row>
    <row r="1020" spans="1:18" x14ac:dyDescent="0.25">
      <c r="A1020" s="16"/>
      <c r="B1020" s="16"/>
      <c r="C1020" s="16"/>
      <c r="D1020" s="16"/>
      <c r="E1020" s="16"/>
      <c r="F1020" s="16"/>
      <c r="G1020" s="16"/>
      <c r="H1020" s="16"/>
      <c r="I1020" s="16"/>
      <c r="J1020" s="16"/>
      <c r="K1020" s="16"/>
      <c r="L1020" s="14"/>
      <c r="M1020" s="16"/>
      <c r="N1020" s="16"/>
      <c r="O1020" s="16"/>
      <c r="P1020" s="16"/>
      <c r="Q1020" s="16"/>
      <c r="R1020" s="16"/>
    </row>
    <row r="1021" spans="1:18" ht="30" x14ac:dyDescent="0.25">
      <c r="A1021" s="16"/>
      <c r="B1021" s="16"/>
      <c r="C1021" s="16"/>
      <c r="D1021" s="16"/>
      <c r="E1021" s="16"/>
      <c r="F1021" s="16"/>
      <c r="G1021" s="16"/>
      <c r="H1021" s="16"/>
      <c r="I1021" s="16"/>
      <c r="J1021" s="16"/>
      <c r="K1021" s="16"/>
      <c r="L1021" s="14" t="s">
        <v>4636</v>
      </c>
      <c r="M1021" s="16"/>
      <c r="N1021" s="16"/>
      <c r="O1021" s="16"/>
      <c r="P1021" s="16"/>
      <c r="Q1021" s="16"/>
      <c r="R1021" s="16"/>
    </row>
    <row r="1022" spans="1:18" ht="409.5" x14ac:dyDescent="0.25">
      <c r="A1022" s="14" t="s">
        <v>8732</v>
      </c>
      <c r="B1022" s="14" t="s">
        <v>8789</v>
      </c>
      <c r="C1022" s="14" t="s">
        <v>8582</v>
      </c>
      <c r="D1022" s="14" t="s">
        <v>8531</v>
      </c>
      <c r="E1022" s="14" t="s">
        <v>4500</v>
      </c>
      <c r="F1022" s="14" t="s">
        <v>4501</v>
      </c>
      <c r="G1022" s="8" t="s">
        <v>8780</v>
      </c>
      <c r="H1022" s="14"/>
      <c r="I1022" s="14"/>
      <c r="J1022" s="14"/>
      <c r="K1022" s="14"/>
      <c r="L1022" s="6" t="s">
        <v>4504</v>
      </c>
      <c r="M1022" s="14" t="s">
        <v>4505</v>
      </c>
      <c r="N1022" s="14"/>
      <c r="O1022" s="14" t="s">
        <v>4506</v>
      </c>
      <c r="P1022" s="14" t="str">
        <f>HYPERLINK("https://ceds.ed.gov/cedselementdetails.aspx?termid=18320")</f>
        <v>https://ceds.ed.gov/cedselementdetails.aspx?termid=18320</v>
      </c>
      <c r="Q1022" s="14" t="str">
        <f>HYPERLINK("https://ceds.ed.gov/elementComment.aspx?elementName=Financial Account K12 Balance Sheet Code &amp;elementID=18320", "Click here to submit comment")</f>
        <v>Click here to submit comment</v>
      </c>
      <c r="R1022" s="14">
        <v>50197</v>
      </c>
    </row>
    <row r="1023" spans="1:18" ht="45" x14ac:dyDescent="0.25">
      <c r="A1023" s="14" t="s">
        <v>8732</v>
      </c>
      <c r="B1023" s="14" t="s">
        <v>8789</v>
      </c>
      <c r="C1023" s="14" t="s">
        <v>8582</v>
      </c>
      <c r="D1023" s="14" t="s">
        <v>8531</v>
      </c>
      <c r="E1023" s="14" t="s">
        <v>4548</v>
      </c>
      <c r="F1023" s="14" t="s">
        <v>4549</v>
      </c>
      <c r="G1023" s="14" t="s">
        <v>37</v>
      </c>
      <c r="H1023" s="14"/>
      <c r="I1023" s="14"/>
      <c r="J1023" s="14" t="s">
        <v>1710</v>
      </c>
      <c r="K1023" s="14"/>
      <c r="L1023" s="14"/>
      <c r="M1023" s="14" t="s">
        <v>4550</v>
      </c>
      <c r="N1023" s="14"/>
      <c r="O1023" s="14" t="s">
        <v>4551</v>
      </c>
      <c r="P1023" s="14" t="str">
        <f>HYPERLINK("https://ceds.ed.gov/cedselementdetails.aspx?termid=18318")</f>
        <v>https://ceds.ed.gov/cedselementdetails.aspx?termid=18318</v>
      </c>
      <c r="Q1023" s="14" t="str">
        <f>HYPERLINK("https://ceds.ed.gov/elementComment.aspx?elementName=Financial Accounting Period Budgeted Value &amp;elementID=18318", "Click here to submit comment")</f>
        <v>Click here to submit comment</v>
      </c>
      <c r="R1023" s="14">
        <v>50192</v>
      </c>
    </row>
    <row r="1024" spans="1:18" ht="60" x14ac:dyDescent="0.25">
      <c r="A1024" s="14" t="s">
        <v>8732</v>
      </c>
      <c r="B1024" s="14" t="s">
        <v>8789</v>
      </c>
      <c r="C1024" s="14" t="s">
        <v>8582</v>
      </c>
      <c r="D1024" s="14" t="s">
        <v>8531</v>
      </c>
      <c r="E1024" s="14" t="s">
        <v>4552</v>
      </c>
      <c r="F1024" s="14" t="s">
        <v>4553</v>
      </c>
      <c r="G1024" s="14" t="s">
        <v>37</v>
      </c>
      <c r="H1024" s="14"/>
      <c r="I1024" s="14"/>
      <c r="J1024" s="14" t="s">
        <v>1710</v>
      </c>
      <c r="K1024" s="14"/>
      <c r="L1024" s="14" t="s">
        <v>4554</v>
      </c>
      <c r="M1024" s="14" t="s">
        <v>4555</v>
      </c>
      <c r="N1024" s="14"/>
      <c r="O1024" s="14" t="s">
        <v>4556</v>
      </c>
      <c r="P1024" s="14" t="str">
        <f>HYPERLINK("https://ceds.ed.gov/cedselementdetails.aspx?termid=18625")</f>
        <v>https://ceds.ed.gov/cedselementdetails.aspx?termid=18625</v>
      </c>
      <c r="Q1024" s="14" t="str">
        <f>HYPERLINK("https://ceds.ed.gov/elementComment.aspx?elementName=Financial Accounting Period Encumbered Value &amp;elementID=18625", "Click here to submit comment")</f>
        <v>Click here to submit comment</v>
      </c>
      <c r="R1024" s="14">
        <v>51324</v>
      </c>
    </row>
    <row r="1025" spans="1:18" ht="45" x14ac:dyDescent="0.25">
      <c r="A1025" s="14" t="s">
        <v>8732</v>
      </c>
      <c r="B1025" s="14" t="s">
        <v>8789</v>
      </c>
      <c r="C1025" s="14" t="s">
        <v>8582</v>
      </c>
      <c r="D1025" s="14" t="s">
        <v>8531</v>
      </c>
      <c r="E1025" s="14" t="s">
        <v>4544</v>
      </c>
      <c r="F1025" s="14" t="s">
        <v>4545</v>
      </c>
      <c r="G1025" s="14" t="s">
        <v>37</v>
      </c>
      <c r="H1025" s="14"/>
      <c r="I1025" s="14"/>
      <c r="J1025" s="14" t="s">
        <v>1710</v>
      </c>
      <c r="K1025" s="14"/>
      <c r="L1025" s="14"/>
      <c r="M1025" s="14" t="s">
        <v>4546</v>
      </c>
      <c r="N1025" s="14"/>
      <c r="O1025" s="14" t="s">
        <v>4547</v>
      </c>
      <c r="P1025" s="14" t="str">
        <f>HYPERLINK("https://ceds.ed.gov/cedselementdetails.aspx?termid=18317")</f>
        <v>https://ceds.ed.gov/cedselementdetails.aspx?termid=18317</v>
      </c>
      <c r="Q1025" s="14" t="str">
        <f>HYPERLINK("https://ceds.ed.gov/elementComment.aspx?elementName=Financial Accounting Period Actual Value &amp;elementID=18317", "Click here to submit comment")</f>
        <v>Click here to submit comment</v>
      </c>
      <c r="R1025" s="14">
        <v>50188</v>
      </c>
    </row>
    <row r="1026" spans="1:18" ht="135" x14ac:dyDescent="0.25">
      <c r="A1026" s="14" t="s">
        <v>8732</v>
      </c>
      <c r="B1026" s="14" t="s">
        <v>8789</v>
      </c>
      <c r="C1026" s="14" t="s">
        <v>8582</v>
      </c>
      <c r="D1026" s="14" t="s">
        <v>8531</v>
      </c>
      <c r="E1026" s="14" t="s">
        <v>4557</v>
      </c>
      <c r="F1026" s="14" t="s">
        <v>4558</v>
      </c>
      <c r="G1026" s="14" t="s">
        <v>37</v>
      </c>
      <c r="H1026" s="14"/>
      <c r="I1026" s="14"/>
      <c r="J1026" s="14" t="s">
        <v>1710</v>
      </c>
      <c r="K1026" s="14"/>
      <c r="L1026" s="14" t="s">
        <v>4559</v>
      </c>
      <c r="M1026" s="14" t="s">
        <v>4560</v>
      </c>
      <c r="N1026" s="14"/>
      <c r="O1026" s="14" t="s">
        <v>4561</v>
      </c>
      <c r="P1026" s="14" t="str">
        <f>HYPERLINK("https://ceds.ed.gov/cedselementdetails.aspx?termid=18628")</f>
        <v>https://ceds.ed.gov/cedselementdetails.aspx?termid=18628</v>
      </c>
      <c r="Q1026" s="14" t="str">
        <f>HYPERLINK("https://ceds.ed.gov/elementComment.aspx?elementName=Financial Accounting Value &amp;elementID=18628", "Click here to submit comment")</f>
        <v>Click here to submit comment</v>
      </c>
      <c r="R1026" s="14">
        <v>51336</v>
      </c>
    </row>
    <row r="1027" spans="1:18" ht="45" x14ac:dyDescent="0.25">
      <c r="A1027" s="14" t="s">
        <v>8732</v>
      </c>
      <c r="B1027" s="14" t="s">
        <v>8789</v>
      </c>
      <c r="C1027" s="14" t="s">
        <v>8582</v>
      </c>
      <c r="D1027" s="14" t="s">
        <v>8531</v>
      </c>
      <c r="E1027" s="14" t="s">
        <v>4540</v>
      </c>
      <c r="F1027" s="14" t="s">
        <v>4541</v>
      </c>
      <c r="G1027" s="14" t="s">
        <v>37</v>
      </c>
      <c r="H1027" s="14"/>
      <c r="I1027" s="14"/>
      <c r="J1027" s="14" t="s">
        <v>135</v>
      </c>
      <c r="K1027" s="14"/>
      <c r="L1027" s="14"/>
      <c r="M1027" s="14" t="s">
        <v>4542</v>
      </c>
      <c r="N1027" s="14"/>
      <c r="O1027" s="14" t="s">
        <v>4543</v>
      </c>
      <c r="P1027" s="14" t="str">
        <f>HYPERLINK("https://ceds.ed.gov/cedselementdetails.aspx?termid=18629")</f>
        <v>https://ceds.ed.gov/cedselementdetails.aspx?termid=18629</v>
      </c>
      <c r="Q1027" s="14" t="str">
        <f>HYPERLINK("https://ceds.ed.gov/elementComment.aspx?elementName=Financial Accounting Date &amp;elementID=18629", "Click here to submit comment")</f>
        <v>Click here to submit comment</v>
      </c>
      <c r="R1027" s="14">
        <v>51340</v>
      </c>
    </row>
    <row r="1028" spans="1:18" ht="150" x14ac:dyDescent="0.25">
      <c r="A1028" s="14" t="s">
        <v>8732</v>
      </c>
      <c r="B1028" s="14" t="s">
        <v>8789</v>
      </c>
      <c r="C1028" s="14" t="s">
        <v>8582</v>
      </c>
      <c r="D1028" s="14" t="s">
        <v>8531</v>
      </c>
      <c r="E1028" s="14" t="s">
        <v>4507</v>
      </c>
      <c r="F1028" s="14" t="s">
        <v>4508</v>
      </c>
      <c r="G1028" s="8" t="s">
        <v>8781</v>
      </c>
      <c r="H1028" s="14"/>
      <c r="I1028" s="14"/>
      <c r="J1028" s="14"/>
      <c r="K1028" s="14"/>
      <c r="L1028" s="6" t="s">
        <v>4504</v>
      </c>
      <c r="M1028" s="14" t="s">
        <v>4510</v>
      </c>
      <c r="N1028" s="14"/>
      <c r="O1028" s="14" t="s">
        <v>4511</v>
      </c>
      <c r="P1028" s="14" t="str">
        <f>HYPERLINK("https://ceds.ed.gov/cedselementdetails.aspx?termid=18314")</f>
        <v>https://ceds.ed.gov/cedselementdetails.aspx?termid=18314</v>
      </c>
      <c r="Q1028" s="14" t="str">
        <f>HYPERLINK("https://ceds.ed.gov/elementComment.aspx?elementName=Financial Account K12 Fund Classification &amp;elementID=18314", "Click here to submit comment")</f>
        <v>Click here to submit comment</v>
      </c>
      <c r="R1028" s="14">
        <v>50175</v>
      </c>
    </row>
    <row r="1029" spans="1:18" ht="45" x14ac:dyDescent="0.25">
      <c r="A1029" s="14" t="s">
        <v>8732</v>
      </c>
      <c r="B1029" s="14" t="s">
        <v>8789</v>
      </c>
      <c r="C1029" s="14" t="s">
        <v>8582</v>
      </c>
      <c r="D1029" s="14" t="s">
        <v>8531</v>
      </c>
      <c r="E1029" s="14" t="s">
        <v>4532</v>
      </c>
      <c r="F1029" s="14" t="s">
        <v>4533</v>
      </c>
      <c r="G1029" s="14" t="s">
        <v>37</v>
      </c>
      <c r="H1029" s="14"/>
      <c r="I1029" s="14"/>
      <c r="J1029" s="14" t="s">
        <v>874</v>
      </c>
      <c r="K1029" s="14"/>
      <c r="L1029" s="14"/>
      <c r="M1029" s="14" t="s">
        <v>4534</v>
      </c>
      <c r="N1029" s="14"/>
      <c r="O1029" s="14" t="s">
        <v>4535</v>
      </c>
      <c r="P1029" s="14" t="str">
        <f>HYPERLINK("https://ceds.ed.gov/cedselementdetails.aspx?termid=18626")</f>
        <v>https://ceds.ed.gov/cedselementdetails.aspx?termid=18626</v>
      </c>
      <c r="Q1029" s="14" t="str">
        <f>HYPERLINK("https://ceds.ed.gov/elementComment.aspx?elementName=Financial Account Program Name &amp;elementID=18626", "Click here to submit comment")</f>
        <v>Click here to submit comment</v>
      </c>
      <c r="R1029" s="14">
        <v>51328</v>
      </c>
    </row>
    <row r="1030" spans="1:18" ht="45" x14ac:dyDescent="0.25">
      <c r="A1030" s="14" t="s">
        <v>8732</v>
      </c>
      <c r="B1030" s="14" t="s">
        <v>8789</v>
      </c>
      <c r="C1030" s="14" t="s">
        <v>8582</v>
      </c>
      <c r="D1030" s="14" t="s">
        <v>8531</v>
      </c>
      <c r="E1030" s="14" t="s">
        <v>4536</v>
      </c>
      <c r="F1030" s="14" t="s">
        <v>4537</v>
      </c>
      <c r="G1030" s="14" t="s">
        <v>37</v>
      </c>
      <c r="H1030" s="14"/>
      <c r="I1030" s="14"/>
      <c r="J1030" s="14" t="s">
        <v>97</v>
      </c>
      <c r="K1030" s="14"/>
      <c r="L1030" s="14"/>
      <c r="M1030" s="14" t="s">
        <v>4538</v>
      </c>
      <c r="N1030" s="14"/>
      <c r="O1030" s="14" t="s">
        <v>4539</v>
      </c>
      <c r="P1030" s="14" t="str">
        <f>HYPERLINK("https://ceds.ed.gov/cedselementdetails.aspx?termid=18627")</f>
        <v>https://ceds.ed.gov/cedselementdetails.aspx?termid=18627</v>
      </c>
      <c r="Q1030" s="14" t="str">
        <f>HYPERLINK("https://ceds.ed.gov/elementComment.aspx?elementName=Financial Account Program Number &amp;elementID=18627", "Click here to submit comment")</f>
        <v>Click here to submit comment</v>
      </c>
      <c r="R1030" s="14">
        <v>51332</v>
      </c>
    </row>
    <row r="1031" spans="1:18" ht="240" x14ac:dyDescent="0.25">
      <c r="A1031" s="14" t="s">
        <v>8732</v>
      </c>
      <c r="B1031" s="14" t="s">
        <v>8789</v>
      </c>
      <c r="C1031" s="14" t="s">
        <v>8582</v>
      </c>
      <c r="D1031" s="14" t="s">
        <v>8531</v>
      </c>
      <c r="E1031" s="14" t="s">
        <v>4512</v>
      </c>
      <c r="F1031" s="14" t="s">
        <v>4513</v>
      </c>
      <c r="G1031" s="8" t="s">
        <v>8782</v>
      </c>
      <c r="H1031" s="14"/>
      <c r="I1031" s="14"/>
      <c r="J1031" s="14"/>
      <c r="K1031" s="14"/>
      <c r="L1031" s="6" t="s">
        <v>4504</v>
      </c>
      <c r="M1031" s="14" t="s">
        <v>4515</v>
      </c>
      <c r="N1031" s="14"/>
      <c r="O1031" s="14" t="s">
        <v>4516</v>
      </c>
      <c r="P1031" s="14" t="str">
        <f>HYPERLINK("https://ceds.ed.gov/cedselementdetails.aspx?termid=18316")</f>
        <v>https://ceds.ed.gov/cedselementdetails.aspx?termid=18316</v>
      </c>
      <c r="Q1031" s="14" t="str">
        <f>HYPERLINK("https://ceds.ed.gov/elementComment.aspx?elementName=Financial Account K12 Program Code &amp;elementID=18316", "Click here to submit comment")</f>
        <v>Click here to submit comment</v>
      </c>
      <c r="R1031" s="14">
        <v>50183</v>
      </c>
    </row>
    <row r="1032" spans="1:18" ht="45" x14ac:dyDescent="0.25">
      <c r="A1032" s="14" t="s">
        <v>8732</v>
      </c>
      <c r="B1032" s="14" t="s">
        <v>8789</v>
      </c>
      <c r="C1032" s="14" t="s">
        <v>8582</v>
      </c>
      <c r="D1032" s="14" t="s">
        <v>8531</v>
      </c>
      <c r="E1032" s="14" t="s">
        <v>5331</v>
      </c>
      <c r="F1032" s="14" t="s">
        <v>5332</v>
      </c>
      <c r="G1032" s="14" t="s">
        <v>37</v>
      </c>
      <c r="H1032" s="14"/>
      <c r="I1032" s="14"/>
      <c r="J1032" s="14" t="s">
        <v>1710</v>
      </c>
      <c r="K1032" s="14"/>
      <c r="L1032" s="14"/>
      <c r="M1032" s="14" t="s">
        <v>5334</v>
      </c>
      <c r="N1032" s="14"/>
      <c r="O1032" s="14" t="s">
        <v>5335</v>
      </c>
      <c r="P1032" s="14" t="str">
        <f>HYPERLINK("https://ceds.ed.gov/cedselementdetails.aspx?termid=18874")</f>
        <v>https://ceds.ed.gov/cedselementdetails.aspx?termid=18874</v>
      </c>
      <c r="Q1032" s="14" t="str">
        <f>HYPERLINK("https://ceds.ed.gov/elementComment.aspx?elementName=Indebtedness Amount Allowed &amp;elementID=18874", "Click here to submit comment")</f>
        <v>Click here to submit comment</v>
      </c>
      <c r="R1032" s="14">
        <v>52150</v>
      </c>
    </row>
    <row r="1033" spans="1:18" ht="45" x14ac:dyDescent="0.25">
      <c r="A1033" s="14" t="s">
        <v>8732</v>
      </c>
      <c r="B1033" s="14" t="s">
        <v>8789</v>
      </c>
      <c r="C1033" s="14" t="s">
        <v>8582</v>
      </c>
      <c r="D1033" s="14" t="s">
        <v>8531</v>
      </c>
      <c r="E1033" s="14" t="s">
        <v>5547</v>
      </c>
      <c r="F1033" s="14" t="s">
        <v>5548</v>
      </c>
      <c r="G1033" s="14" t="s">
        <v>37</v>
      </c>
      <c r="H1033" s="14"/>
      <c r="I1033" s="14"/>
      <c r="J1033" s="14" t="s">
        <v>1710</v>
      </c>
      <c r="K1033" s="14"/>
      <c r="L1033" s="14"/>
      <c r="M1033" s="14" t="s">
        <v>5549</v>
      </c>
      <c r="N1033" s="14"/>
      <c r="O1033" s="14" t="s">
        <v>5550</v>
      </c>
      <c r="P1033" s="14" t="str">
        <f>HYPERLINK("https://ceds.ed.gov/cedselementdetails.aspx?termid=18875")</f>
        <v>https://ceds.ed.gov/cedselementdetails.aspx?termid=18875</v>
      </c>
      <c r="Q1033" s="14" t="str">
        <f>HYPERLINK("https://ceds.ed.gov/elementComment.aspx?elementName=Insurance Deductible &amp;elementID=18875", "Click here to submit comment")</f>
        <v>Click here to submit comment</v>
      </c>
      <c r="R1033" s="14">
        <v>52151</v>
      </c>
    </row>
    <row r="1034" spans="1:18" ht="45" x14ac:dyDescent="0.25">
      <c r="A1034" s="14" t="s">
        <v>8732</v>
      </c>
      <c r="B1034" s="14" t="s">
        <v>8789</v>
      </c>
      <c r="C1034" s="14" t="s">
        <v>8582</v>
      </c>
      <c r="D1034" s="14" t="s">
        <v>8531</v>
      </c>
      <c r="E1034" s="14" t="s">
        <v>7206</v>
      </c>
      <c r="F1034" s="14" t="s">
        <v>7207</v>
      </c>
      <c r="G1034" s="14" t="s">
        <v>37</v>
      </c>
      <c r="H1034" s="14"/>
      <c r="I1034" s="14"/>
      <c r="J1034" s="14" t="s">
        <v>7208</v>
      </c>
      <c r="K1034" s="14"/>
      <c r="L1034" s="14"/>
      <c r="M1034" s="14" t="s">
        <v>7209</v>
      </c>
      <c r="N1034" s="14"/>
      <c r="O1034" s="14" t="s">
        <v>7210</v>
      </c>
      <c r="P1034" s="14" t="str">
        <f>HYPERLINK("https://ceds.ed.gov/cedselementdetails.aspx?termid=18876")</f>
        <v>https://ceds.ed.gov/cedselementdetails.aspx?termid=18876</v>
      </c>
      <c r="Q1034" s="14" t="str">
        <f>HYPERLINK("https://ceds.ed.gov/elementComment.aspx?elementName=Public Education Mill Rate &amp;elementID=18876", "Click here to submit comment")</f>
        <v>Click here to submit comment</v>
      </c>
      <c r="R1034" s="14">
        <v>52152</v>
      </c>
    </row>
    <row r="1035" spans="1:18" ht="135" x14ac:dyDescent="0.25">
      <c r="A1035" s="14" t="s">
        <v>8732</v>
      </c>
      <c r="B1035" s="14" t="s">
        <v>8789</v>
      </c>
      <c r="C1035" s="14" t="s">
        <v>8783</v>
      </c>
      <c r="D1035" s="14" t="s">
        <v>8531</v>
      </c>
      <c r="E1035" s="14" t="s">
        <v>4474</v>
      </c>
      <c r="F1035" s="14" t="s">
        <v>4475</v>
      </c>
      <c r="G1035" s="14" t="s">
        <v>37</v>
      </c>
      <c r="H1035" s="14" t="s">
        <v>258</v>
      </c>
      <c r="I1035" s="14"/>
      <c r="J1035" s="14" t="s">
        <v>1710</v>
      </c>
      <c r="K1035" s="14"/>
      <c r="L1035" s="14"/>
      <c r="M1035" s="14" t="s">
        <v>4477</v>
      </c>
      <c r="N1035" s="14"/>
      <c r="O1035" s="14" t="s">
        <v>4478</v>
      </c>
      <c r="P1035" s="14" t="str">
        <f>HYPERLINK("https://ceds.ed.gov/cedselementdetails.aspx?termid=17540")</f>
        <v>https://ceds.ed.gov/cedselementdetails.aspx?termid=17540</v>
      </c>
      <c r="Q1035" s="14" t="str">
        <f>HYPERLINK("https://ceds.ed.gov/elementComment.aspx?elementName=Federal Programs Funding Allocation &amp;elementID=17540", "Click here to submit comment")</f>
        <v>Click here to submit comment</v>
      </c>
      <c r="R1035" s="14">
        <v>47953</v>
      </c>
    </row>
    <row r="1036" spans="1:18" ht="45" x14ac:dyDescent="0.25">
      <c r="A1036" s="14" t="s">
        <v>8732</v>
      </c>
      <c r="B1036" s="14" t="s">
        <v>8789</v>
      </c>
      <c r="C1036" s="14" t="s">
        <v>8783</v>
      </c>
      <c r="D1036" s="14" t="s">
        <v>8531</v>
      </c>
      <c r="E1036" s="14" t="s">
        <v>4734</v>
      </c>
      <c r="F1036" s="14" t="s">
        <v>4735</v>
      </c>
      <c r="G1036" s="14" t="s">
        <v>37</v>
      </c>
      <c r="H1036" s="14" t="s">
        <v>245</v>
      </c>
      <c r="I1036" s="14"/>
      <c r="J1036" s="14" t="s">
        <v>1710</v>
      </c>
      <c r="K1036" s="14"/>
      <c r="L1036" s="14"/>
      <c r="M1036" s="14" t="s">
        <v>4737</v>
      </c>
      <c r="N1036" s="14"/>
      <c r="O1036" s="14" t="s">
        <v>4738</v>
      </c>
      <c r="P1036" s="14" t="str">
        <f>HYPERLINK("https://ceds.ed.gov/cedselementdetails.aspx?termid=17442")</f>
        <v>https://ceds.ed.gov/cedselementdetails.aspx?termid=17442</v>
      </c>
      <c r="Q1036" s="14" t="str">
        <f>HYPERLINK("https://ceds.ed.gov/elementComment.aspx?elementName=Funds Transfer Amount &amp;elementID=17442", "Click here to submit comment")</f>
        <v>Click here to submit comment</v>
      </c>
      <c r="R1036" s="14">
        <v>47925</v>
      </c>
    </row>
    <row r="1037" spans="1:18" ht="45" x14ac:dyDescent="0.25">
      <c r="A1037" s="14" t="s">
        <v>8732</v>
      </c>
      <c r="B1037" s="14" t="s">
        <v>8789</v>
      </c>
      <c r="C1037" s="14" t="s">
        <v>8783</v>
      </c>
      <c r="D1037" s="14" t="s">
        <v>8531</v>
      </c>
      <c r="E1037" s="14" t="s">
        <v>5472</v>
      </c>
      <c r="F1037" s="14" t="s">
        <v>5473</v>
      </c>
      <c r="G1037" s="14" t="s">
        <v>37</v>
      </c>
      <c r="H1037" s="14" t="s">
        <v>245</v>
      </c>
      <c r="I1037" s="14"/>
      <c r="J1037" s="14" t="s">
        <v>1710</v>
      </c>
      <c r="K1037" s="14"/>
      <c r="L1037" s="14"/>
      <c r="M1037" s="14" t="s">
        <v>5474</v>
      </c>
      <c r="N1037" s="14"/>
      <c r="O1037" s="14" t="s">
        <v>5475</v>
      </c>
      <c r="P1037" s="14" t="str">
        <f>HYPERLINK("https://ceds.ed.gov/cedselementdetails.aspx?termid=17454")</f>
        <v>https://ceds.ed.gov/cedselementdetails.aspx?termid=17454</v>
      </c>
      <c r="Q1037" s="14" t="str">
        <f>HYPERLINK("https://ceds.ed.gov/elementComment.aspx?elementName=Innovative Programs Funds Received &amp;elementID=17454", "Click here to submit comment")</f>
        <v>Click here to submit comment</v>
      </c>
      <c r="R1037" s="14">
        <v>47931</v>
      </c>
    </row>
    <row r="1038" spans="1:18" ht="45" x14ac:dyDescent="0.25">
      <c r="A1038" s="14" t="s">
        <v>8732</v>
      </c>
      <c r="B1038" s="14" t="s">
        <v>8789</v>
      </c>
      <c r="C1038" s="14" t="s">
        <v>8783</v>
      </c>
      <c r="D1038" s="14" t="s">
        <v>8531</v>
      </c>
      <c r="E1038" s="14" t="s">
        <v>5464</v>
      </c>
      <c r="F1038" s="14" t="s">
        <v>5465</v>
      </c>
      <c r="G1038" s="14" t="s">
        <v>37</v>
      </c>
      <c r="H1038" s="14" t="s">
        <v>245</v>
      </c>
      <c r="I1038" s="14"/>
      <c r="J1038" s="14" t="s">
        <v>1710</v>
      </c>
      <c r="K1038" s="14"/>
      <c r="L1038" s="14"/>
      <c r="M1038" s="14" t="s">
        <v>5466</v>
      </c>
      <c r="N1038" s="14"/>
      <c r="O1038" s="14" t="s">
        <v>5467</v>
      </c>
      <c r="P1038" s="14" t="str">
        <f>HYPERLINK("https://ceds.ed.gov/cedselementdetails.aspx?termid=17451")</f>
        <v>https://ceds.ed.gov/cedselementdetails.aspx?termid=17451</v>
      </c>
      <c r="Q1038" s="14" t="str">
        <f>HYPERLINK("https://ceds.ed.gov/elementComment.aspx?elementName=Innovative Dollars Spent &amp;elementID=17451", "Click here to submit comment")</f>
        <v>Click here to submit comment</v>
      </c>
      <c r="R1038" s="14">
        <v>47928</v>
      </c>
    </row>
    <row r="1039" spans="1:18" ht="45" x14ac:dyDescent="0.25">
      <c r="A1039" s="14" t="s">
        <v>8732</v>
      </c>
      <c r="B1039" s="14" t="s">
        <v>8789</v>
      </c>
      <c r="C1039" s="14" t="s">
        <v>8783</v>
      </c>
      <c r="D1039" s="14" t="s">
        <v>8531</v>
      </c>
      <c r="E1039" s="14" t="s">
        <v>5468</v>
      </c>
      <c r="F1039" s="14" t="s">
        <v>5469</v>
      </c>
      <c r="G1039" s="14" t="s">
        <v>37</v>
      </c>
      <c r="H1039" s="14" t="s">
        <v>245</v>
      </c>
      <c r="I1039" s="14"/>
      <c r="J1039" s="14" t="s">
        <v>1710</v>
      </c>
      <c r="K1039" s="14"/>
      <c r="L1039" s="14"/>
      <c r="M1039" s="14" t="s">
        <v>5470</v>
      </c>
      <c r="N1039" s="14"/>
      <c r="O1039" s="14" t="s">
        <v>5471</v>
      </c>
      <c r="P1039" s="14" t="str">
        <f>HYPERLINK("https://ceds.ed.gov/cedselementdetails.aspx?termid=17452")</f>
        <v>https://ceds.ed.gov/cedselementdetails.aspx?termid=17452</v>
      </c>
      <c r="Q1039" s="14" t="str">
        <f>HYPERLINK("https://ceds.ed.gov/elementComment.aspx?elementName=Innovative Dollars Spent on Strategic Priorities &amp;elementID=17452", "Click here to submit comment")</f>
        <v>Click here to submit comment</v>
      </c>
      <c r="R1039" s="14">
        <v>47929</v>
      </c>
    </row>
    <row r="1040" spans="1:18" ht="60" x14ac:dyDescent="0.25">
      <c r="A1040" s="14" t="s">
        <v>8732</v>
      </c>
      <c r="B1040" s="14" t="s">
        <v>8789</v>
      </c>
      <c r="C1040" s="14" t="s">
        <v>8783</v>
      </c>
      <c r="D1040" s="14" t="s">
        <v>8531</v>
      </c>
      <c r="E1040" s="14" t="s">
        <v>6162</v>
      </c>
      <c r="F1040" s="14" t="s">
        <v>6163</v>
      </c>
      <c r="G1040" s="14" t="s">
        <v>24</v>
      </c>
      <c r="H1040" s="14" t="s">
        <v>245</v>
      </c>
      <c r="I1040" s="14"/>
      <c r="J1040" s="14"/>
      <c r="K1040" s="14"/>
      <c r="L1040" s="14"/>
      <c r="M1040" s="14" t="s">
        <v>6164</v>
      </c>
      <c r="N1040" s="14" t="s">
        <v>6165</v>
      </c>
      <c r="O1040" s="14" t="s">
        <v>6166</v>
      </c>
      <c r="P1040" s="14" t="str">
        <f>HYPERLINK("https://ceds.ed.gov/cedselementdetails.aspx?termid=17436")</f>
        <v>https://ceds.ed.gov/cedselementdetails.aspx?termid=17436</v>
      </c>
      <c r="Q1040" s="14" t="str">
        <f>HYPERLINK("https://ceds.ed.gov/elementComment.aspx?elementName=Local Education Agency Transferability of Funds &amp;elementID=17436", "Click here to submit comment")</f>
        <v>Click here to submit comment</v>
      </c>
      <c r="R1040" s="14">
        <v>47921</v>
      </c>
    </row>
    <row r="1041" spans="1:18" ht="60" x14ac:dyDescent="0.25">
      <c r="A1041" s="14" t="s">
        <v>8732</v>
      </c>
      <c r="B1041" s="14" t="s">
        <v>8789</v>
      </c>
      <c r="C1041" s="14" t="s">
        <v>8783</v>
      </c>
      <c r="D1041" s="14" t="s">
        <v>8531</v>
      </c>
      <c r="E1041" s="14" t="s">
        <v>6123</v>
      </c>
      <c r="F1041" s="14" t="s">
        <v>6124</v>
      </c>
      <c r="G1041" s="8" t="s">
        <v>8796</v>
      </c>
      <c r="H1041" s="14" t="s">
        <v>245</v>
      </c>
      <c r="I1041" s="14"/>
      <c r="J1041" s="14"/>
      <c r="K1041" s="14"/>
      <c r="L1041" s="14"/>
      <c r="M1041" s="14" t="s">
        <v>6127</v>
      </c>
      <c r="N1041" s="14" t="s">
        <v>6128</v>
      </c>
      <c r="O1041" s="14" t="s">
        <v>6129</v>
      </c>
      <c r="P1041" s="14" t="str">
        <f>HYPERLINK("https://ceds.ed.gov/cedselementdetails.aspx?termid=17441")</f>
        <v>https://ceds.ed.gov/cedselementdetails.aspx?termid=17441</v>
      </c>
      <c r="Q1041" s="14" t="str">
        <f>HYPERLINK("https://ceds.ed.gov/elementComment.aspx?elementName=Local Education Agency Funds Transfer Type &amp;elementID=17441", "Click here to submit comment")</f>
        <v>Click here to submit comment</v>
      </c>
      <c r="R1041" s="14">
        <v>47924</v>
      </c>
    </row>
    <row r="1042" spans="1:18" ht="60" x14ac:dyDescent="0.25">
      <c r="A1042" s="14" t="s">
        <v>8732</v>
      </c>
      <c r="B1042" s="14" t="s">
        <v>8789</v>
      </c>
      <c r="C1042" s="14" t="s">
        <v>8783</v>
      </c>
      <c r="D1042" s="14" t="s">
        <v>8531</v>
      </c>
      <c r="E1042" s="14" t="s">
        <v>7211</v>
      </c>
      <c r="F1042" s="14" t="s">
        <v>7212</v>
      </c>
      <c r="G1042" s="14" t="s">
        <v>37</v>
      </c>
      <c r="H1042" s="14" t="s">
        <v>258</v>
      </c>
      <c r="I1042" s="14"/>
      <c r="J1042" s="14" t="s">
        <v>1710</v>
      </c>
      <c r="K1042" s="14"/>
      <c r="L1042" s="14"/>
      <c r="M1042" s="14" t="s">
        <v>7213</v>
      </c>
      <c r="N1042" s="14"/>
      <c r="O1042" s="14" t="s">
        <v>7214</v>
      </c>
      <c r="P1042" s="14" t="str">
        <f>HYPERLINK("https://ceds.ed.gov/cedselementdetails.aspx?termid=17560")</f>
        <v>https://ceds.ed.gov/cedselementdetails.aspx?termid=17560</v>
      </c>
      <c r="Q1042" s="14" t="str">
        <f>HYPERLINK("https://ceds.ed.gov/elementComment.aspx?elementName=Public School Choice Funds Spent &amp;elementID=17560", "Click here to submit comment")</f>
        <v>Click here to submit comment</v>
      </c>
      <c r="R1042" s="14">
        <v>47958</v>
      </c>
    </row>
    <row r="1043" spans="1:18" ht="105" x14ac:dyDescent="0.25">
      <c r="A1043" s="14" t="s">
        <v>8732</v>
      </c>
      <c r="B1043" s="14" t="s">
        <v>8789</v>
      </c>
      <c r="C1043" s="14" t="s">
        <v>8783</v>
      </c>
      <c r="D1043" s="14" t="s">
        <v>8531</v>
      </c>
      <c r="E1043" s="14" t="s">
        <v>7625</v>
      </c>
      <c r="F1043" s="14" t="s">
        <v>7626</v>
      </c>
      <c r="G1043" s="14" t="s">
        <v>37</v>
      </c>
      <c r="H1043" s="14" t="s">
        <v>245</v>
      </c>
      <c r="I1043" s="14"/>
      <c r="J1043" s="14" t="s">
        <v>869</v>
      </c>
      <c r="K1043" s="14"/>
      <c r="L1043" s="14"/>
      <c r="M1043" s="14" t="s">
        <v>7627</v>
      </c>
      <c r="N1043" s="14"/>
      <c r="O1043" s="14" t="s">
        <v>7628</v>
      </c>
      <c r="P1043" s="14" t="str">
        <f>HYPERLINK("https://ceds.ed.gov/cedselementdetails.aspx?termid=17470")</f>
        <v>https://ceds.ed.gov/cedselementdetails.aspx?termid=17470</v>
      </c>
      <c r="Q1043" s="14" t="str">
        <f>HYPERLINK("https://ceds.ed.gov/elementComment.aspx?elementName=School Improvement Reserved Funds Percentage &amp;elementID=17470", "Click here to submit comment")</f>
        <v>Click here to submit comment</v>
      </c>
      <c r="R1043" s="14">
        <v>47941</v>
      </c>
    </row>
    <row r="1044" spans="1:18" ht="45" x14ac:dyDescent="0.25">
      <c r="A1044" s="14" t="s">
        <v>8732</v>
      </c>
      <c r="B1044" s="14" t="s">
        <v>8789</v>
      </c>
      <c r="C1044" s="14" t="s">
        <v>8783</v>
      </c>
      <c r="D1044" s="14" t="s">
        <v>8531</v>
      </c>
      <c r="E1044" s="14" t="s">
        <v>7608</v>
      </c>
      <c r="F1044" s="14" t="s">
        <v>7609</v>
      </c>
      <c r="G1044" s="14" t="s">
        <v>37</v>
      </c>
      <c r="H1044" s="14" t="s">
        <v>245</v>
      </c>
      <c r="I1044" s="14"/>
      <c r="J1044" s="14" t="s">
        <v>1710</v>
      </c>
      <c r="K1044" s="14"/>
      <c r="L1044" s="14"/>
      <c r="M1044" s="14" t="s">
        <v>7610</v>
      </c>
      <c r="N1044" s="14"/>
      <c r="O1044" s="14" t="s">
        <v>7611</v>
      </c>
      <c r="P1044" s="14" t="str">
        <f>HYPERLINK("https://ceds.ed.gov/cedselementdetails.aspx?termid=17471")</f>
        <v>https://ceds.ed.gov/cedselementdetails.aspx?termid=17471</v>
      </c>
      <c r="Q1044" s="14" t="str">
        <f>HYPERLINK("https://ceds.ed.gov/elementComment.aspx?elementName=School Improvement Allocation &amp;elementID=17471", "Click here to submit comment")</f>
        <v>Click here to submit comment</v>
      </c>
      <c r="R1044" s="14">
        <v>47942</v>
      </c>
    </row>
    <row r="1045" spans="1:18" ht="75" x14ac:dyDescent="0.25">
      <c r="A1045" s="14" t="s">
        <v>8732</v>
      </c>
      <c r="B1045" s="14" t="s">
        <v>8789</v>
      </c>
      <c r="C1045" s="14" t="s">
        <v>8783</v>
      </c>
      <c r="D1045" s="14" t="s">
        <v>8531</v>
      </c>
      <c r="E1045" s="14" t="s">
        <v>8106</v>
      </c>
      <c r="F1045" s="14" t="s">
        <v>8107</v>
      </c>
      <c r="G1045" s="14" t="s">
        <v>37</v>
      </c>
      <c r="H1045" s="14" t="s">
        <v>258</v>
      </c>
      <c r="I1045" s="14"/>
      <c r="J1045" s="14" t="s">
        <v>1710</v>
      </c>
      <c r="K1045" s="14"/>
      <c r="L1045" s="14"/>
      <c r="M1045" s="14" t="s">
        <v>8108</v>
      </c>
      <c r="N1045" s="14" t="s">
        <v>8109</v>
      </c>
      <c r="O1045" s="14" t="s">
        <v>8110</v>
      </c>
      <c r="P1045" s="14" t="str">
        <f>HYPERLINK("https://ceds.ed.gov/cedselementdetails.aspx?termid=17559")</f>
        <v>https://ceds.ed.gov/cedselementdetails.aspx?termid=17559</v>
      </c>
      <c r="Q1045" s="14" t="str">
        <f>HYPERLINK("https://ceds.ed.gov/elementComment.aspx?elementName=Supplemental Educational Services Funds Spent &amp;elementID=17559", "Click here to submit comment")</f>
        <v>Click here to submit comment</v>
      </c>
      <c r="R1045" s="14">
        <v>47957</v>
      </c>
    </row>
    <row r="1046" spans="1:18" ht="60" x14ac:dyDescent="0.25">
      <c r="A1046" s="14" t="s">
        <v>8732</v>
      </c>
      <c r="B1046" s="14" t="s">
        <v>8789</v>
      </c>
      <c r="C1046" s="14" t="s">
        <v>8783</v>
      </c>
      <c r="D1046" s="14" t="s">
        <v>8531</v>
      </c>
      <c r="E1046" s="14" t="s">
        <v>8111</v>
      </c>
      <c r="F1046" s="14" t="s">
        <v>8112</v>
      </c>
      <c r="G1046" s="14" t="s">
        <v>37</v>
      </c>
      <c r="H1046" s="14" t="s">
        <v>258</v>
      </c>
      <c r="I1046" s="14"/>
      <c r="J1046" s="14" t="s">
        <v>1710</v>
      </c>
      <c r="K1046" s="14"/>
      <c r="L1046" s="14"/>
      <c r="M1046" s="14" t="s">
        <v>8113</v>
      </c>
      <c r="N1046" s="14" t="s">
        <v>8114</v>
      </c>
      <c r="O1046" s="14" t="s">
        <v>8115</v>
      </c>
      <c r="P1046" s="14" t="str">
        <f>HYPERLINK("https://ceds.ed.gov/cedselementdetails.aspx?termid=17567")</f>
        <v>https://ceds.ed.gov/cedselementdetails.aspx?termid=17567</v>
      </c>
      <c r="Q1046" s="14" t="str">
        <f>HYPERLINK("https://ceds.ed.gov/elementComment.aspx?elementName=Supplemental Educational Services Per Pupil Expenditure &amp;elementID=17567", "Click here to submit comment")</f>
        <v>Click here to submit comment</v>
      </c>
      <c r="R1046" s="14">
        <v>47960</v>
      </c>
    </row>
    <row r="1047" spans="1:18" ht="60" x14ac:dyDescent="0.25">
      <c r="A1047" s="14" t="s">
        <v>8732</v>
      </c>
      <c r="B1047" s="14" t="s">
        <v>8789</v>
      </c>
      <c r="C1047" s="14" t="s">
        <v>8783</v>
      </c>
      <c r="D1047" s="14" t="s">
        <v>8531</v>
      </c>
      <c r="E1047" s="14" t="s">
        <v>8101</v>
      </c>
      <c r="F1047" s="14" t="s">
        <v>8102</v>
      </c>
      <c r="G1047" s="14" t="s">
        <v>37</v>
      </c>
      <c r="H1047" s="14" t="s">
        <v>258</v>
      </c>
      <c r="I1047" s="14"/>
      <c r="J1047" s="14" t="s">
        <v>1710</v>
      </c>
      <c r="K1047" s="14"/>
      <c r="L1047" s="14"/>
      <c r="M1047" s="14" t="s">
        <v>8103</v>
      </c>
      <c r="N1047" s="14" t="s">
        <v>8104</v>
      </c>
      <c r="O1047" s="14" t="s">
        <v>8105</v>
      </c>
      <c r="P1047" s="14" t="str">
        <f>HYPERLINK("https://ceds.ed.gov/cedselementdetails.aspx?termid=17566")</f>
        <v>https://ceds.ed.gov/cedselementdetails.aspx?termid=17566</v>
      </c>
      <c r="Q1047" s="14" t="str">
        <f>HYPERLINK("https://ceds.ed.gov/elementComment.aspx?elementName=Supplemental Education Services Public School Choice Twenty Percent Obligation &amp;elementID=17566", "Click here to submit comment")</f>
        <v>Click here to submit comment</v>
      </c>
      <c r="R1047" s="14">
        <v>47959</v>
      </c>
    </row>
    <row r="1048" spans="1:18" ht="195" x14ac:dyDescent="0.25">
      <c r="A1048" s="14" t="s">
        <v>8732</v>
      </c>
      <c r="B1048" s="14" t="s">
        <v>8789</v>
      </c>
      <c r="C1048" s="14" t="s">
        <v>8783</v>
      </c>
      <c r="D1048" s="14" t="s">
        <v>8531</v>
      </c>
      <c r="E1048" s="14" t="s">
        <v>8401</v>
      </c>
      <c r="F1048" s="14" t="s">
        <v>8402</v>
      </c>
      <c r="G1048" s="8" t="s">
        <v>8785</v>
      </c>
      <c r="H1048" s="14" t="s">
        <v>245</v>
      </c>
      <c r="I1048" s="14"/>
      <c r="J1048" s="14"/>
      <c r="K1048" s="14"/>
      <c r="L1048" s="14"/>
      <c r="M1048" s="14" t="s">
        <v>8405</v>
      </c>
      <c r="N1048" s="14" t="s">
        <v>8406</v>
      </c>
      <c r="O1048" s="14" t="s">
        <v>8407</v>
      </c>
      <c r="P1048" s="14" t="str">
        <f>HYPERLINK("https://ceds.ed.gov/cedselementdetails.aspx?termid=17477")</f>
        <v>https://ceds.ed.gov/cedselementdetails.aspx?termid=17477</v>
      </c>
      <c r="Q1048" s="14" t="str">
        <f>HYPERLINK("https://ceds.ed.gov/elementComment.aspx?elementName=Type of Use of the Rural Low-Income Schools Program &amp;elementID=17477", "Click here to submit comment")</f>
        <v>Click here to submit comment</v>
      </c>
      <c r="R1048" s="14">
        <v>47945</v>
      </c>
    </row>
    <row r="1049" spans="1:18" ht="75" x14ac:dyDescent="0.25">
      <c r="A1049" s="14" t="s">
        <v>8732</v>
      </c>
      <c r="B1049" s="14" t="s">
        <v>8789</v>
      </c>
      <c r="C1049" s="14" t="s">
        <v>8783</v>
      </c>
      <c r="D1049" s="14" t="s">
        <v>8531</v>
      </c>
      <c r="E1049" s="14" t="s">
        <v>4468</v>
      </c>
      <c r="F1049" s="14" t="s">
        <v>4469</v>
      </c>
      <c r="G1049" s="14" t="s">
        <v>37</v>
      </c>
      <c r="H1049" s="14" t="s">
        <v>258</v>
      </c>
      <c r="I1049" s="14"/>
      <c r="J1049" s="14" t="s">
        <v>4471</v>
      </c>
      <c r="K1049" s="14"/>
      <c r="L1049" s="14"/>
      <c r="M1049" s="14" t="s">
        <v>4472</v>
      </c>
      <c r="N1049" s="14"/>
      <c r="O1049" s="14" t="s">
        <v>4473</v>
      </c>
      <c r="P1049" s="14" t="str">
        <f>HYPERLINK("https://ceds.ed.gov/cedselementdetails.aspx?termid=17538")</f>
        <v>https://ceds.ed.gov/cedselementdetails.aspx?termid=17538</v>
      </c>
      <c r="Q1049" s="14" t="str">
        <f>HYPERLINK("https://ceds.ed.gov/elementComment.aspx?elementName=Federal Program Code &amp;elementID=17538", "Click here to submit comment")</f>
        <v>Click here to submit comment</v>
      </c>
      <c r="R1049" s="14">
        <v>50708</v>
      </c>
    </row>
    <row r="1050" spans="1:18" ht="150" x14ac:dyDescent="0.25">
      <c r="A1050" s="14" t="s">
        <v>8732</v>
      </c>
      <c r="B1050" s="14" t="s">
        <v>8789</v>
      </c>
      <c r="C1050" s="14" t="s">
        <v>8797</v>
      </c>
      <c r="D1050" s="14" t="s">
        <v>8531</v>
      </c>
      <c r="E1050" s="14" t="s">
        <v>1729</v>
      </c>
      <c r="F1050" s="14" t="s">
        <v>1730</v>
      </c>
      <c r="G1050" s="8" t="s">
        <v>8798</v>
      </c>
      <c r="H1050" s="14" t="s">
        <v>245</v>
      </c>
      <c r="I1050" s="14"/>
      <c r="J1050" s="14"/>
      <c r="K1050" s="14"/>
      <c r="L1050" s="14"/>
      <c r="M1050" s="14" t="s">
        <v>1733</v>
      </c>
      <c r="N1050" s="14"/>
      <c r="O1050" s="14" t="s">
        <v>1734</v>
      </c>
      <c r="P1050" s="14" t="str">
        <f>HYPERLINK("https://ceds.ed.gov/cedselementdetails.aspx?termid=17439")</f>
        <v>https://ceds.ed.gov/cedselementdetails.aspx?termid=17439</v>
      </c>
      <c r="Q1050" s="14" t="str">
        <f>HYPERLINK("https://ceds.ed.gov/elementComment.aspx?elementName=Barrier to Educating Homeless &amp;elementID=17439", "Click here to submit comment")</f>
        <v>Click here to submit comment</v>
      </c>
      <c r="R1050" s="14">
        <v>47923</v>
      </c>
    </row>
    <row r="1051" spans="1:18" ht="75" x14ac:dyDescent="0.25">
      <c r="A1051" s="14" t="s">
        <v>8732</v>
      </c>
      <c r="B1051" s="14" t="s">
        <v>8789</v>
      </c>
      <c r="C1051" s="14" t="s">
        <v>8797</v>
      </c>
      <c r="D1051" s="14" t="s">
        <v>8531</v>
      </c>
      <c r="E1051" s="14" t="s">
        <v>3517</v>
      </c>
      <c r="F1051" s="14" t="s">
        <v>3518</v>
      </c>
      <c r="G1051" s="14" t="s">
        <v>24</v>
      </c>
      <c r="H1051" s="14" t="s">
        <v>28</v>
      </c>
      <c r="I1051" s="14"/>
      <c r="J1051" s="14"/>
      <c r="K1051" s="14"/>
      <c r="L1051" s="14"/>
      <c r="M1051" s="14" t="s">
        <v>3519</v>
      </c>
      <c r="N1051" s="14"/>
      <c r="O1051" s="14" t="s">
        <v>3520</v>
      </c>
      <c r="P1051" s="14" t="str">
        <f>HYPERLINK("https://ceds.ed.gov/cedselementdetails.aspx?termid=17080")</f>
        <v>https://ceds.ed.gov/cedselementdetails.aspx?termid=17080</v>
      </c>
      <c r="Q1051" s="14" t="str">
        <f>HYPERLINK("https://ceds.ed.gov/elementComment.aspx?elementName=Desegregation Order or Plan &amp;elementID=17080", "Click here to submit comment")</f>
        <v>Click here to submit comment</v>
      </c>
      <c r="R1051" s="14">
        <v>47888</v>
      </c>
    </row>
    <row r="1052" spans="1:18" ht="60" x14ac:dyDescent="0.25">
      <c r="A1052" s="14" t="s">
        <v>8732</v>
      </c>
      <c r="B1052" s="14" t="s">
        <v>8789</v>
      </c>
      <c r="C1052" s="14" t="s">
        <v>8797</v>
      </c>
      <c r="D1052" s="14" t="s">
        <v>8531</v>
      </c>
      <c r="E1052" s="14" t="s">
        <v>4918</v>
      </c>
      <c r="F1052" s="14" t="s">
        <v>4919</v>
      </c>
      <c r="G1052" s="14" t="s">
        <v>24</v>
      </c>
      <c r="H1052" s="14" t="s">
        <v>28</v>
      </c>
      <c r="I1052" s="14"/>
      <c r="J1052" s="14"/>
      <c r="K1052" s="14"/>
      <c r="L1052" s="14"/>
      <c r="M1052" s="14" t="s">
        <v>4920</v>
      </c>
      <c r="N1052" s="14"/>
      <c r="O1052" s="14" t="s">
        <v>4921</v>
      </c>
      <c r="P1052" s="14" t="str">
        <f>HYPERLINK("https://ceds.ed.gov/cedselementdetails.aspx?termid=17135")</f>
        <v>https://ceds.ed.gov/cedselementdetails.aspx?termid=17135</v>
      </c>
      <c r="Q1052" s="14" t="str">
        <f>HYPERLINK("https://ceds.ed.gov/elementComment.aspx?elementName=Harassment or Bullying Policy Status &amp;elementID=17135", "Click here to submit comment")</f>
        <v>Click here to submit comment</v>
      </c>
      <c r="R1052" s="14">
        <v>47891</v>
      </c>
    </row>
    <row r="1053" spans="1:18" ht="90" x14ac:dyDescent="0.25">
      <c r="A1053" s="14" t="s">
        <v>8732</v>
      </c>
      <c r="B1053" s="14" t="s">
        <v>8789</v>
      </c>
      <c r="C1053" s="14" t="s">
        <v>8797</v>
      </c>
      <c r="D1053" s="14" t="s">
        <v>8531</v>
      </c>
      <c r="E1053" s="14" t="s">
        <v>5551</v>
      </c>
      <c r="F1053" s="14" t="s">
        <v>5552</v>
      </c>
      <c r="G1053" s="8" t="s">
        <v>8799</v>
      </c>
      <c r="H1053" s="14" t="s">
        <v>258</v>
      </c>
      <c r="I1053" s="14"/>
      <c r="J1053" s="14"/>
      <c r="K1053" s="14"/>
      <c r="L1053" s="14"/>
      <c r="M1053" s="14" t="s">
        <v>5554</v>
      </c>
      <c r="N1053" s="14"/>
      <c r="O1053" s="14" t="s">
        <v>5555</v>
      </c>
      <c r="P1053" s="14" t="str">
        <f>HYPERLINK("https://ceds.ed.gov/cedselementdetails.aspx?termid=17170")</f>
        <v>https://ceds.ed.gov/cedselementdetails.aspx?termid=17170</v>
      </c>
      <c r="Q1053" s="14" t="str">
        <f>HYPERLINK("https://ceds.ed.gov/elementComment.aspx?elementName=Integrated Technology Status &amp;elementID=17170", "Click here to submit comment")</f>
        <v>Click here to submit comment</v>
      </c>
      <c r="R1053" s="14">
        <v>47896</v>
      </c>
    </row>
    <row r="1054" spans="1:18" ht="105" x14ac:dyDescent="0.25">
      <c r="A1054" s="14" t="s">
        <v>8732</v>
      </c>
      <c r="B1054" s="14" t="s">
        <v>8789</v>
      </c>
      <c r="C1054" s="14" t="s">
        <v>8797</v>
      </c>
      <c r="D1054" s="14" t="s">
        <v>8531</v>
      </c>
      <c r="E1054" s="14" t="s">
        <v>7493</v>
      </c>
      <c r="F1054" s="14" t="s">
        <v>7494</v>
      </c>
      <c r="G1054" s="8" t="s">
        <v>8558</v>
      </c>
      <c r="H1054" s="14" t="s">
        <v>258</v>
      </c>
      <c r="I1054" s="14"/>
      <c r="J1054" s="14"/>
      <c r="K1054" s="14"/>
      <c r="L1054" s="14"/>
      <c r="M1054" s="14" t="s">
        <v>7495</v>
      </c>
      <c r="N1054" s="14" t="s">
        <v>7496</v>
      </c>
      <c r="O1054" s="14" t="s">
        <v>7497</v>
      </c>
      <c r="P1054" s="14" t="str">
        <f>HYPERLINK("https://ceds.ed.gov/cedselementdetails.aspx?termid=17552")</f>
        <v>https://ceds.ed.gov/cedselementdetails.aspx?termid=17552</v>
      </c>
      <c r="Q1054" s="14" t="str">
        <f>HYPERLINK("https://ceds.ed.gov/elementComment.aspx?elementName=Rural Education Achievement Program Alternative Funding Status &amp;elementID=17552", "Click here to submit comment")</f>
        <v>Click here to submit comment</v>
      </c>
      <c r="R1054" s="14">
        <v>47956</v>
      </c>
    </row>
    <row r="1055" spans="1:18" ht="120" x14ac:dyDescent="0.25">
      <c r="A1055" s="14" t="s">
        <v>8732</v>
      </c>
      <c r="B1055" s="14" t="s">
        <v>8789</v>
      </c>
      <c r="C1055" s="14" t="s">
        <v>8797</v>
      </c>
      <c r="D1055" s="14" t="s">
        <v>8531</v>
      </c>
      <c r="E1055" s="14" t="s">
        <v>7991</v>
      </c>
      <c r="F1055" s="14" t="s">
        <v>7992</v>
      </c>
      <c r="G1055" s="14" t="s">
        <v>37</v>
      </c>
      <c r="H1055" s="14" t="s">
        <v>245</v>
      </c>
      <c r="I1055" s="14"/>
      <c r="J1055" s="14" t="s">
        <v>869</v>
      </c>
      <c r="K1055" s="14"/>
      <c r="L1055" s="14"/>
      <c r="M1055" s="14" t="s">
        <v>7993</v>
      </c>
      <c r="N1055" s="14"/>
      <c r="O1055" s="14" t="s">
        <v>7994</v>
      </c>
      <c r="P1055" s="14" t="str">
        <f>HYPERLINK("https://ceds.ed.gov/cedselementdetails.aspx?termid=17444")</f>
        <v>https://ceds.ed.gov/cedselementdetails.aspx?termid=17444</v>
      </c>
      <c r="Q1055" s="14" t="str">
        <f>HYPERLINK("https://ceds.ed.gov/elementComment.aspx?elementName=State Assessment Administration Funding &amp;elementID=17444", "Click here to submit comment")</f>
        <v>Click here to submit comment</v>
      </c>
      <c r="R1055" s="14">
        <v>47927</v>
      </c>
    </row>
    <row r="1056" spans="1:18" ht="60" x14ac:dyDescent="0.25">
      <c r="A1056" s="14" t="s">
        <v>8732</v>
      </c>
      <c r="B1056" s="14" t="s">
        <v>8789</v>
      </c>
      <c r="C1056" s="14" t="s">
        <v>8797</v>
      </c>
      <c r="D1056" s="14" t="s">
        <v>8531</v>
      </c>
      <c r="E1056" s="14" t="s">
        <v>7995</v>
      </c>
      <c r="F1056" s="14" t="s">
        <v>7996</v>
      </c>
      <c r="G1056" s="14" t="s">
        <v>37</v>
      </c>
      <c r="H1056" s="14" t="s">
        <v>7999</v>
      </c>
      <c r="I1056" s="14"/>
      <c r="J1056" s="14" t="s">
        <v>869</v>
      </c>
      <c r="K1056" s="14"/>
      <c r="L1056" s="14"/>
      <c r="M1056" s="14" t="s">
        <v>7997</v>
      </c>
      <c r="N1056" s="14"/>
      <c r="O1056" s="14" t="s">
        <v>7998</v>
      </c>
      <c r="P1056" s="14" t="str">
        <f>HYPERLINK("https://ceds.ed.gov/cedselementdetails.aspx?termid=17443")</f>
        <v>https://ceds.ed.gov/cedselementdetails.aspx?termid=17443</v>
      </c>
      <c r="Q1056" s="14" t="str">
        <f>HYPERLINK("https://ceds.ed.gov/elementComment.aspx?elementName=State Assessment Standards Funding &amp;elementID=17443", "Click here to submit comment")</f>
        <v>Click here to submit comment</v>
      </c>
      <c r="R1056" s="14">
        <v>47926</v>
      </c>
    </row>
    <row r="1057" spans="1:18" ht="45" x14ac:dyDescent="0.25">
      <c r="A1057" s="14" t="s">
        <v>8732</v>
      </c>
      <c r="B1057" s="14" t="s">
        <v>8789</v>
      </c>
      <c r="C1057" s="14" t="s">
        <v>8797</v>
      </c>
      <c r="D1057" s="14" t="s">
        <v>8531</v>
      </c>
      <c r="E1057" s="14" t="s">
        <v>8239</v>
      </c>
      <c r="F1057" s="14" t="s">
        <v>8240</v>
      </c>
      <c r="G1057" s="14" t="s">
        <v>24</v>
      </c>
      <c r="H1057" s="14" t="s">
        <v>245</v>
      </c>
      <c r="I1057" s="14"/>
      <c r="J1057" s="14"/>
      <c r="K1057" s="14"/>
      <c r="L1057" s="14"/>
      <c r="M1057" s="14" t="s">
        <v>8241</v>
      </c>
      <c r="N1057" s="14"/>
      <c r="O1057" s="14" t="s">
        <v>8242</v>
      </c>
      <c r="P1057" s="14" t="str">
        <f>HYPERLINK("https://ceds.ed.gov/cedselementdetails.aspx?termid=17473")</f>
        <v>https://ceds.ed.gov/cedselementdetails.aspx?termid=17473</v>
      </c>
      <c r="Q1057" s="14" t="str">
        <f>HYPERLINK("https://ceds.ed.gov/elementComment.aspx?elementName=Terminated Title III Programs Due to Failure &amp;elementID=17473", "Click here to submit comment")</f>
        <v>Click here to submit comment</v>
      </c>
      <c r="R1057" s="14">
        <v>47943</v>
      </c>
    </row>
    <row r="1058" spans="1:18" ht="75" x14ac:dyDescent="0.25">
      <c r="A1058" s="14" t="s">
        <v>8732</v>
      </c>
      <c r="B1058" s="14" t="s">
        <v>8789</v>
      </c>
      <c r="C1058" s="14" t="s">
        <v>8797</v>
      </c>
      <c r="D1058" s="14" t="s">
        <v>8531</v>
      </c>
      <c r="E1058" s="14" t="s">
        <v>5577</v>
      </c>
      <c r="F1058" s="14" t="s">
        <v>5578</v>
      </c>
      <c r="G1058" s="14" t="s">
        <v>37</v>
      </c>
      <c r="H1058" s="14"/>
      <c r="I1058" s="14"/>
      <c r="J1058" s="14" t="s">
        <v>370</v>
      </c>
      <c r="K1058" s="14"/>
      <c r="L1058" s="14"/>
      <c r="M1058" s="14" t="s">
        <v>5579</v>
      </c>
      <c r="N1058" s="14"/>
      <c r="O1058" s="14" t="s">
        <v>5580</v>
      </c>
      <c r="P1058" s="14" t="str">
        <f>HYPERLINK("https://ceds.ed.gov/cedselementdetails.aspx?termid=17660")</f>
        <v>https://ceds.ed.gov/cedselementdetails.aspx?termid=17660</v>
      </c>
      <c r="Q1058" s="14" t="str">
        <f>HYPERLINK("https://ceds.ed.gov/elementComment.aspx?elementName=Interscholastic Sports - Male Only &amp;elementID=17660", "Click here to submit comment")</f>
        <v>Click here to submit comment</v>
      </c>
      <c r="R1058" s="14">
        <v>47963</v>
      </c>
    </row>
    <row r="1059" spans="1:18" ht="90" x14ac:dyDescent="0.25">
      <c r="A1059" s="14" t="s">
        <v>8732</v>
      </c>
      <c r="B1059" s="14" t="s">
        <v>8789</v>
      </c>
      <c r="C1059" s="14" t="s">
        <v>8797</v>
      </c>
      <c r="D1059" s="14" t="s">
        <v>8531</v>
      </c>
      <c r="E1059" s="14" t="s">
        <v>5573</v>
      </c>
      <c r="F1059" s="14" t="s">
        <v>5574</v>
      </c>
      <c r="G1059" s="14" t="s">
        <v>37</v>
      </c>
      <c r="H1059" s="14"/>
      <c r="I1059" s="14"/>
      <c r="J1059" s="14" t="s">
        <v>370</v>
      </c>
      <c r="K1059" s="14"/>
      <c r="L1059" s="14"/>
      <c r="M1059" s="14" t="s">
        <v>5575</v>
      </c>
      <c r="N1059" s="14"/>
      <c r="O1059" s="14" t="s">
        <v>5576</v>
      </c>
      <c r="P1059" s="14" t="str">
        <f>HYPERLINK("https://ceds.ed.gov/cedselementdetails.aspx?termid=17661")</f>
        <v>https://ceds.ed.gov/cedselementdetails.aspx?termid=17661</v>
      </c>
      <c r="Q1059" s="14" t="str">
        <f>HYPERLINK("https://ceds.ed.gov/elementComment.aspx?elementName=Interscholastic Sports - Female Only &amp;elementID=17661", "Click here to submit comment")</f>
        <v>Click here to submit comment</v>
      </c>
      <c r="R1059" s="14">
        <v>47964</v>
      </c>
    </row>
    <row r="1060" spans="1:18" ht="105" x14ac:dyDescent="0.25">
      <c r="A1060" s="14" t="s">
        <v>8732</v>
      </c>
      <c r="B1060" s="14" t="s">
        <v>8789</v>
      </c>
      <c r="C1060" s="14" t="s">
        <v>8797</v>
      </c>
      <c r="D1060" s="14" t="s">
        <v>8531</v>
      </c>
      <c r="E1060" s="14" t="s">
        <v>5585</v>
      </c>
      <c r="F1060" s="14" t="s">
        <v>5586</v>
      </c>
      <c r="G1060" s="14" t="s">
        <v>37</v>
      </c>
      <c r="H1060" s="14"/>
      <c r="I1060" s="14"/>
      <c r="J1060" s="14" t="s">
        <v>370</v>
      </c>
      <c r="K1060" s="14"/>
      <c r="L1060" s="14"/>
      <c r="M1060" s="14" t="s">
        <v>5587</v>
      </c>
      <c r="N1060" s="14"/>
      <c r="O1060" s="14" t="s">
        <v>5588</v>
      </c>
      <c r="P1060" s="14" t="str">
        <f>HYPERLINK("https://ceds.ed.gov/cedselementdetails.aspx?termid=17662")</f>
        <v>https://ceds.ed.gov/cedselementdetails.aspx?termid=17662</v>
      </c>
      <c r="Q1060" s="14" t="str">
        <f>HYPERLINK("https://ceds.ed.gov/elementComment.aspx?elementName=Interscholastic Teams - Male Only &amp;elementID=17662", "Click here to submit comment")</f>
        <v>Click here to submit comment</v>
      </c>
      <c r="R1060" s="14">
        <v>47965</v>
      </c>
    </row>
    <row r="1061" spans="1:18" ht="105" x14ac:dyDescent="0.25">
      <c r="A1061" s="14" t="s">
        <v>8732</v>
      </c>
      <c r="B1061" s="14" t="s">
        <v>8789</v>
      </c>
      <c r="C1061" s="14" t="s">
        <v>8797</v>
      </c>
      <c r="D1061" s="14" t="s">
        <v>8531</v>
      </c>
      <c r="E1061" s="14" t="s">
        <v>5581</v>
      </c>
      <c r="F1061" s="14" t="s">
        <v>5582</v>
      </c>
      <c r="G1061" s="14" t="s">
        <v>37</v>
      </c>
      <c r="H1061" s="14"/>
      <c r="I1061" s="14"/>
      <c r="J1061" s="14" t="s">
        <v>370</v>
      </c>
      <c r="K1061" s="14"/>
      <c r="L1061" s="14"/>
      <c r="M1061" s="14" t="s">
        <v>5583</v>
      </c>
      <c r="N1061" s="14"/>
      <c r="O1061" s="14" t="s">
        <v>5584</v>
      </c>
      <c r="P1061" s="14" t="str">
        <f>HYPERLINK("https://ceds.ed.gov/cedselementdetails.aspx?termid=17663")</f>
        <v>https://ceds.ed.gov/cedselementdetails.aspx?termid=17663</v>
      </c>
      <c r="Q1061" s="14" t="str">
        <f>HYPERLINK("https://ceds.ed.gov/elementComment.aspx?elementName=Interscholastic Teams - Female Only &amp;elementID=17663", "Click here to submit comment")</f>
        <v>Click here to submit comment</v>
      </c>
      <c r="R1061" s="14">
        <v>47966</v>
      </c>
    </row>
    <row r="1062" spans="1:18" ht="60" x14ac:dyDescent="0.25">
      <c r="A1062" s="14" t="s">
        <v>8732</v>
      </c>
      <c r="B1062" s="14" t="s">
        <v>8789</v>
      </c>
      <c r="C1062" s="14" t="s">
        <v>8797</v>
      </c>
      <c r="D1062" s="14" t="s">
        <v>8531</v>
      </c>
      <c r="E1062" s="14" t="s">
        <v>5569</v>
      </c>
      <c r="F1062" s="14" t="s">
        <v>5570</v>
      </c>
      <c r="G1062" s="14" t="s">
        <v>37</v>
      </c>
      <c r="H1062" s="14"/>
      <c r="I1062" s="14"/>
      <c r="J1062" s="14" t="s">
        <v>370</v>
      </c>
      <c r="K1062" s="14"/>
      <c r="L1062" s="14"/>
      <c r="M1062" s="14" t="s">
        <v>5571</v>
      </c>
      <c r="N1062" s="14"/>
      <c r="O1062" s="14" t="s">
        <v>5572</v>
      </c>
      <c r="P1062" s="14" t="str">
        <f>HYPERLINK("https://ceds.ed.gov/cedselementdetails.aspx?termid=17664")</f>
        <v>https://ceds.ed.gov/cedselementdetails.aspx?termid=17664</v>
      </c>
      <c r="Q1062" s="14" t="str">
        <f>HYPERLINK("https://ceds.ed.gov/elementComment.aspx?elementName=Interscholastic Sport Participants - Male Only &amp;elementID=17664", "Click here to submit comment")</f>
        <v>Click here to submit comment</v>
      </c>
      <c r="R1062" s="14">
        <v>47967</v>
      </c>
    </row>
    <row r="1063" spans="1:18" ht="60" x14ac:dyDescent="0.25">
      <c r="A1063" s="14" t="s">
        <v>8732</v>
      </c>
      <c r="B1063" s="14" t="s">
        <v>8789</v>
      </c>
      <c r="C1063" s="14" t="s">
        <v>8797</v>
      </c>
      <c r="D1063" s="14" t="s">
        <v>8531</v>
      </c>
      <c r="E1063" s="14" t="s">
        <v>5565</v>
      </c>
      <c r="F1063" s="14" t="s">
        <v>5566</v>
      </c>
      <c r="G1063" s="14" t="s">
        <v>37</v>
      </c>
      <c r="H1063" s="14"/>
      <c r="I1063" s="14"/>
      <c r="J1063" s="14" t="s">
        <v>370</v>
      </c>
      <c r="K1063" s="14"/>
      <c r="L1063" s="14"/>
      <c r="M1063" s="14" t="s">
        <v>5567</v>
      </c>
      <c r="N1063" s="14"/>
      <c r="O1063" s="14" t="s">
        <v>5568</v>
      </c>
      <c r="P1063" s="14" t="str">
        <f>HYPERLINK("https://ceds.ed.gov/cedselementdetails.aspx?termid=17665")</f>
        <v>https://ceds.ed.gov/cedselementdetails.aspx?termid=17665</v>
      </c>
      <c r="Q1063" s="14" t="str">
        <f>HYPERLINK("https://ceds.ed.gov/elementComment.aspx?elementName=Interscholastic Sport Participants - Female Only &amp;elementID=17665", "Click here to submit comment")</f>
        <v>Click here to submit comment</v>
      </c>
      <c r="R1063" s="14">
        <v>47968</v>
      </c>
    </row>
    <row r="1064" spans="1:18" ht="60" x14ac:dyDescent="0.25">
      <c r="A1064" s="14" t="s">
        <v>8732</v>
      </c>
      <c r="B1064" s="14" t="s">
        <v>8789</v>
      </c>
      <c r="C1064" s="14" t="s">
        <v>8800</v>
      </c>
      <c r="D1064" s="14" t="s">
        <v>8531</v>
      </c>
      <c r="E1064" s="14" t="s">
        <v>7502</v>
      </c>
      <c r="F1064" s="14" t="s">
        <v>7503</v>
      </c>
      <c r="G1064" s="14" t="s">
        <v>37</v>
      </c>
      <c r="H1064" s="14" t="s">
        <v>245</v>
      </c>
      <c r="I1064" s="14"/>
      <c r="J1064" s="14" t="s">
        <v>175</v>
      </c>
      <c r="K1064" s="14"/>
      <c r="L1064" s="14"/>
      <c r="M1064" s="14" t="s">
        <v>7505</v>
      </c>
      <c r="N1064" s="14"/>
      <c r="O1064" s="14" t="s">
        <v>7506</v>
      </c>
      <c r="P1064" s="14" t="str">
        <f>HYPERLINK("https://ceds.ed.gov/cedselementdetails.aspx?termid=17468")</f>
        <v>https://ceds.ed.gov/cedselementdetails.aspx?termid=17468</v>
      </c>
      <c r="Q1064" s="14" t="str">
        <f>HYPERLINK("https://ceds.ed.gov/elementComment.aspx?elementName=Safe and Drug Free Baseline &amp;elementID=17468", "Click here to submit comment")</f>
        <v>Click here to submit comment</v>
      </c>
      <c r="R1064" s="14">
        <v>47939</v>
      </c>
    </row>
    <row r="1065" spans="1:18" ht="45" x14ac:dyDescent="0.25">
      <c r="A1065" s="14" t="s">
        <v>8732</v>
      </c>
      <c r="B1065" s="14" t="s">
        <v>8789</v>
      </c>
      <c r="C1065" s="14" t="s">
        <v>8800</v>
      </c>
      <c r="D1065" s="14" t="s">
        <v>8531</v>
      </c>
      <c r="E1065" s="14" t="s">
        <v>7507</v>
      </c>
      <c r="F1065" s="14" t="s">
        <v>7508</v>
      </c>
      <c r="G1065" s="14" t="s">
        <v>37</v>
      </c>
      <c r="H1065" s="14" t="s">
        <v>245</v>
      </c>
      <c r="I1065" s="14"/>
      <c r="J1065" s="14" t="s">
        <v>1307</v>
      </c>
      <c r="K1065" s="14"/>
      <c r="L1065" s="14"/>
      <c r="M1065" s="14" t="s">
        <v>7509</v>
      </c>
      <c r="N1065" s="14"/>
      <c r="O1065" s="14" t="s">
        <v>7510</v>
      </c>
      <c r="P1065" s="14" t="str">
        <f>HYPERLINK("https://ceds.ed.gov/cedselementdetails.aspx?termid=17469")</f>
        <v>https://ceds.ed.gov/cedselementdetails.aspx?termid=17469</v>
      </c>
      <c r="Q1065" s="14" t="str">
        <f>HYPERLINK("https://ceds.ed.gov/elementComment.aspx?elementName=Safe and Drug Free Baseline Year &amp;elementID=17469", "Click here to submit comment")</f>
        <v>Click here to submit comment</v>
      </c>
      <c r="R1065" s="14">
        <v>47940</v>
      </c>
    </row>
    <row r="1066" spans="1:18" ht="60" x14ac:dyDescent="0.25">
      <c r="A1066" s="14" t="s">
        <v>8732</v>
      </c>
      <c r="B1066" s="14" t="s">
        <v>8789</v>
      </c>
      <c r="C1066" s="14" t="s">
        <v>8800</v>
      </c>
      <c r="D1066" s="14" t="s">
        <v>8531</v>
      </c>
      <c r="E1066" s="14" t="s">
        <v>7511</v>
      </c>
      <c r="F1066" s="14" t="s">
        <v>7512</v>
      </c>
      <c r="G1066" s="14" t="s">
        <v>37</v>
      </c>
      <c r="H1066" s="14" t="s">
        <v>245</v>
      </c>
      <c r="I1066" s="14"/>
      <c r="J1066" s="14" t="s">
        <v>175</v>
      </c>
      <c r="K1066" s="14"/>
      <c r="L1066" s="14"/>
      <c r="M1066" s="14" t="s">
        <v>7513</v>
      </c>
      <c r="N1066" s="14"/>
      <c r="O1066" s="14" t="s">
        <v>7514</v>
      </c>
      <c r="P1066" s="14" t="str">
        <f>HYPERLINK("https://ceds.ed.gov/cedselementdetails.aspx?termid=17463")</f>
        <v>https://ceds.ed.gov/cedselementdetails.aspx?termid=17463</v>
      </c>
      <c r="Q1066" s="14" t="str">
        <f>HYPERLINK("https://ceds.ed.gov/elementComment.aspx?elementName=Safe and Drug Free Collection Frequency &amp;elementID=17463", "Click here to submit comment")</f>
        <v>Click here to submit comment</v>
      </c>
      <c r="R1066" s="14">
        <v>47935</v>
      </c>
    </row>
    <row r="1067" spans="1:18" ht="60" x14ac:dyDescent="0.25">
      <c r="A1067" s="14" t="s">
        <v>8732</v>
      </c>
      <c r="B1067" s="14" t="s">
        <v>8789</v>
      </c>
      <c r="C1067" s="14" t="s">
        <v>8800</v>
      </c>
      <c r="D1067" s="14" t="s">
        <v>8531</v>
      </c>
      <c r="E1067" s="14" t="s">
        <v>7515</v>
      </c>
      <c r="F1067" s="14" t="s">
        <v>7516</v>
      </c>
      <c r="G1067" s="14" t="s">
        <v>37</v>
      </c>
      <c r="H1067" s="14" t="s">
        <v>245</v>
      </c>
      <c r="I1067" s="14"/>
      <c r="J1067" s="14" t="s">
        <v>175</v>
      </c>
      <c r="K1067" s="14"/>
      <c r="L1067" s="14"/>
      <c r="M1067" s="14" t="s">
        <v>7517</v>
      </c>
      <c r="N1067" s="14"/>
      <c r="O1067" s="14" t="s">
        <v>7518</v>
      </c>
      <c r="P1067" s="14" t="str">
        <f>HYPERLINK("https://ceds.ed.gov/cedselementdetails.aspx?termid=17461")</f>
        <v>https://ceds.ed.gov/cedselementdetails.aspx?termid=17461</v>
      </c>
      <c r="Q1067" s="14" t="str">
        <f>HYPERLINK("https://ceds.ed.gov/elementComment.aspx?elementName=Safe and Drug Free Indicator Name &amp;elementID=17461", "Click here to submit comment")</f>
        <v>Click here to submit comment</v>
      </c>
      <c r="R1067" s="14">
        <v>47933</v>
      </c>
    </row>
    <row r="1068" spans="1:18" ht="75" x14ac:dyDescent="0.25">
      <c r="A1068" s="14" t="s">
        <v>8732</v>
      </c>
      <c r="B1068" s="14" t="s">
        <v>8789</v>
      </c>
      <c r="C1068" s="14" t="s">
        <v>8800</v>
      </c>
      <c r="D1068" s="14" t="s">
        <v>8531</v>
      </c>
      <c r="E1068" s="14" t="s">
        <v>7519</v>
      </c>
      <c r="F1068" s="14" t="s">
        <v>7520</v>
      </c>
      <c r="G1068" s="14" t="s">
        <v>37</v>
      </c>
      <c r="H1068" s="14" t="s">
        <v>245</v>
      </c>
      <c r="I1068" s="14"/>
      <c r="J1068" s="14" t="s">
        <v>874</v>
      </c>
      <c r="K1068" s="14"/>
      <c r="L1068" s="14"/>
      <c r="M1068" s="14" t="s">
        <v>7521</v>
      </c>
      <c r="N1068" s="14"/>
      <c r="O1068" s="14" t="s">
        <v>7522</v>
      </c>
      <c r="P1068" s="14" t="str">
        <f>HYPERLINK("https://ceds.ed.gov/cedselementdetails.aspx?termid=17462")</f>
        <v>https://ceds.ed.gov/cedselementdetails.aspx?termid=17462</v>
      </c>
      <c r="Q1068" s="14" t="str">
        <f>HYPERLINK("https://ceds.ed.gov/elementComment.aspx?elementName=Safe and Drug Free Instrument &amp;elementID=17462", "Click here to submit comment")</f>
        <v>Click here to submit comment</v>
      </c>
      <c r="R1068" s="14">
        <v>47934</v>
      </c>
    </row>
    <row r="1069" spans="1:18" ht="60" x14ac:dyDescent="0.25">
      <c r="A1069" s="14" t="s">
        <v>8732</v>
      </c>
      <c r="B1069" s="14" t="s">
        <v>8789</v>
      </c>
      <c r="C1069" s="14" t="s">
        <v>8800</v>
      </c>
      <c r="D1069" s="14" t="s">
        <v>8531</v>
      </c>
      <c r="E1069" s="14" t="s">
        <v>7523</v>
      </c>
      <c r="F1069" s="14" t="s">
        <v>7524</v>
      </c>
      <c r="G1069" s="14" t="s">
        <v>37</v>
      </c>
      <c r="H1069" s="14" t="s">
        <v>245</v>
      </c>
      <c r="I1069" s="14"/>
      <c r="J1069" s="14" t="s">
        <v>1307</v>
      </c>
      <c r="K1069" s="14"/>
      <c r="L1069" s="14"/>
      <c r="M1069" s="14" t="s">
        <v>7525</v>
      </c>
      <c r="N1069" s="14"/>
      <c r="O1069" s="14" t="s">
        <v>7526</v>
      </c>
      <c r="P1069" s="14" t="str">
        <f>HYPERLINK("https://ceds.ed.gov/cedselementdetails.aspx?termid=17466")</f>
        <v>https://ceds.ed.gov/cedselementdetails.aspx?termid=17466</v>
      </c>
      <c r="Q1069" s="14" t="str">
        <f>HYPERLINK("https://ceds.ed.gov/elementComment.aspx?elementName=Safe and Drug Free Performance &amp;elementID=17466", "Click here to submit comment")</f>
        <v>Click here to submit comment</v>
      </c>
      <c r="R1069" s="14">
        <v>47938</v>
      </c>
    </row>
    <row r="1070" spans="1:18" ht="60" x14ac:dyDescent="0.25">
      <c r="A1070" s="14" t="s">
        <v>8732</v>
      </c>
      <c r="B1070" s="14" t="s">
        <v>8789</v>
      </c>
      <c r="C1070" s="14" t="s">
        <v>8800</v>
      </c>
      <c r="D1070" s="14" t="s">
        <v>8531</v>
      </c>
      <c r="E1070" s="14" t="s">
        <v>7527</v>
      </c>
      <c r="F1070" s="14" t="s">
        <v>7528</v>
      </c>
      <c r="G1070" s="14" t="s">
        <v>37</v>
      </c>
      <c r="H1070" s="14" t="s">
        <v>245</v>
      </c>
      <c r="I1070" s="14"/>
      <c r="J1070" s="14" t="s">
        <v>1307</v>
      </c>
      <c r="K1070" s="14"/>
      <c r="L1070" s="14"/>
      <c r="M1070" s="14" t="s">
        <v>7529</v>
      </c>
      <c r="N1070" s="14"/>
      <c r="O1070" s="14" t="s">
        <v>7530</v>
      </c>
      <c r="P1070" s="14" t="str">
        <f>HYPERLINK("https://ceds.ed.gov/cedselementdetails.aspx?termid=17465")</f>
        <v>https://ceds.ed.gov/cedselementdetails.aspx?termid=17465</v>
      </c>
      <c r="Q1070" s="14" t="str">
        <f>HYPERLINK("https://ceds.ed.gov/elementComment.aspx?elementName=Safe and Drug Free Target &amp;elementID=17465", "Click here to submit comment")</f>
        <v>Click here to submit comment</v>
      </c>
      <c r="R1070" s="14">
        <v>47937</v>
      </c>
    </row>
    <row r="1071" spans="1:18" ht="60" x14ac:dyDescent="0.25">
      <c r="A1071" s="14" t="s">
        <v>8732</v>
      </c>
      <c r="B1071" s="14" t="s">
        <v>8789</v>
      </c>
      <c r="C1071" s="14" t="s">
        <v>8800</v>
      </c>
      <c r="D1071" s="14" t="s">
        <v>8531</v>
      </c>
      <c r="E1071" s="14" t="s">
        <v>7531</v>
      </c>
      <c r="F1071" s="14" t="s">
        <v>7532</v>
      </c>
      <c r="G1071" s="14" t="s">
        <v>37</v>
      </c>
      <c r="H1071" s="14" t="s">
        <v>245</v>
      </c>
      <c r="I1071" s="14"/>
      <c r="J1071" s="14" t="s">
        <v>1307</v>
      </c>
      <c r="K1071" s="14"/>
      <c r="L1071" s="14"/>
      <c r="M1071" s="14" t="s">
        <v>7533</v>
      </c>
      <c r="N1071" s="14"/>
      <c r="O1071" s="14" t="s">
        <v>7534</v>
      </c>
      <c r="P1071" s="14" t="str">
        <f>HYPERLINK("https://ceds.ed.gov/cedselementdetails.aspx?termid=17464")</f>
        <v>https://ceds.ed.gov/cedselementdetails.aspx?termid=17464</v>
      </c>
      <c r="Q1071" s="14" t="str">
        <f>HYPERLINK("https://ceds.ed.gov/elementComment.aspx?elementName=Safe and Drug Free Year Most Recent Collection &amp;elementID=17464", "Click here to submit comment")</f>
        <v>Click here to submit comment</v>
      </c>
      <c r="R1071" s="14">
        <v>47936</v>
      </c>
    </row>
    <row r="1072" spans="1:18" ht="105" x14ac:dyDescent="0.25">
      <c r="A1072" s="14" t="s">
        <v>8732</v>
      </c>
      <c r="B1072" s="14" t="s">
        <v>8789</v>
      </c>
      <c r="C1072" s="14" t="s">
        <v>8801</v>
      </c>
      <c r="D1072" s="14" t="s">
        <v>8531</v>
      </c>
      <c r="E1072" s="14" t="s">
        <v>6830</v>
      </c>
      <c r="F1072" s="14" t="s">
        <v>6831</v>
      </c>
      <c r="G1072" s="8" t="s">
        <v>8802</v>
      </c>
      <c r="H1072" s="14" t="s">
        <v>28</v>
      </c>
      <c r="I1072" s="14"/>
      <c r="J1072" s="14"/>
      <c r="K1072" s="14"/>
      <c r="L1072" s="14"/>
      <c r="M1072" s="14" t="s">
        <v>6833</v>
      </c>
      <c r="N1072" s="14"/>
      <c r="O1072" s="14" t="s">
        <v>6834</v>
      </c>
      <c r="P1072" s="14" t="str">
        <f>HYPERLINK("https://ceds.ed.gov/cedselementdetails.aspx?termid=17216")</f>
        <v>https://ceds.ed.gov/cedselementdetails.aspx?termid=17216</v>
      </c>
      <c r="Q1072" s="14" t="str">
        <f>HYPERLINK("https://ceds.ed.gov/elementComment.aspx?elementName=Prekindergarten Eligibility &amp;elementID=17216", "Click here to submit comment")</f>
        <v>Click here to submit comment</v>
      </c>
      <c r="R1072" s="14">
        <v>47906</v>
      </c>
    </row>
    <row r="1073" spans="1:18" ht="90" x14ac:dyDescent="0.25">
      <c r="A1073" s="14" t="s">
        <v>8732</v>
      </c>
      <c r="B1073" s="14" t="s">
        <v>8789</v>
      </c>
      <c r="C1073" s="14" t="s">
        <v>8801</v>
      </c>
      <c r="D1073" s="14" t="s">
        <v>8531</v>
      </c>
      <c r="E1073" s="14" t="s">
        <v>6835</v>
      </c>
      <c r="F1073" s="14" t="s">
        <v>6836</v>
      </c>
      <c r="G1073" s="8" t="s">
        <v>8803</v>
      </c>
      <c r="H1073" s="14" t="s">
        <v>28</v>
      </c>
      <c r="I1073" s="14"/>
      <c r="J1073" s="14"/>
      <c r="K1073" s="14"/>
      <c r="L1073" s="14"/>
      <c r="M1073" s="14" t="s">
        <v>6838</v>
      </c>
      <c r="N1073" s="14"/>
      <c r="O1073" s="14" t="s">
        <v>6839</v>
      </c>
      <c r="P1073" s="14" t="str">
        <f>HYPERLINK("https://ceds.ed.gov/cedselementdetails.aspx?termid=17217")</f>
        <v>https://ceds.ed.gov/cedselementdetails.aspx?termid=17217</v>
      </c>
      <c r="Q1073" s="14" t="str">
        <f>HYPERLINK("https://ceds.ed.gov/elementComment.aspx?elementName=Prekindergarten Eligible Ages for Non-IDEA Students &amp;elementID=17217", "Click here to submit comment")</f>
        <v>Click here to submit comment</v>
      </c>
      <c r="R1073" s="14">
        <v>47907</v>
      </c>
    </row>
    <row r="1074" spans="1:18" ht="60" x14ac:dyDescent="0.25">
      <c r="A1074" s="14" t="s">
        <v>8732</v>
      </c>
      <c r="B1074" s="14" t="s">
        <v>8789</v>
      </c>
      <c r="C1074" s="14" t="s">
        <v>8801</v>
      </c>
      <c r="D1074" s="14" t="s">
        <v>8531</v>
      </c>
      <c r="E1074" s="14" t="s">
        <v>6826</v>
      </c>
      <c r="F1074" s="14" t="s">
        <v>6827</v>
      </c>
      <c r="G1074" s="8" t="s">
        <v>8804</v>
      </c>
      <c r="H1074" s="14" t="s">
        <v>28</v>
      </c>
      <c r="I1074" s="14"/>
      <c r="J1074" s="14"/>
      <c r="K1074" s="14"/>
      <c r="L1074" s="14"/>
      <c r="M1074" s="14" t="s">
        <v>6828</v>
      </c>
      <c r="N1074" s="14"/>
      <c r="O1074" s="14" t="s">
        <v>6829</v>
      </c>
      <c r="P1074" s="14" t="str">
        <f>HYPERLINK("https://ceds.ed.gov/cedselementdetails.aspx?termid=17481")</f>
        <v>https://ceds.ed.gov/cedselementdetails.aspx?termid=17481</v>
      </c>
      <c r="Q1074" s="14" t="str">
        <f>HYPERLINK("https://ceds.ed.gov/elementComment.aspx?elementName=Prekindergarten Daily Length &amp;elementID=17481", "Click here to submit comment")</f>
        <v>Click here to submit comment</v>
      </c>
      <c r="R1074" s="14">
        <v>47947</v>
      </c>
    </row>
    <row r="1075" spans="1:18" ht="60" x14ac:dyDescent="0.25">
      <c r="A1075" s="14" t="s">
        <v>8732</v>
      </c>
      <c r="B1075" s="14" t="s">
        <v>8789</v>
      </c>
      <c r="C1075" s="14" t="s">
        <v>8801</v>
      </c>
      <c r="D1075" s="14" t="s">
        <v>8531</v>
      </c>
      <c r="E1075" s="14" t="s">
        <v>5701</v>
      </c>
      <c r="F1075" s="14" t="s">
        <v>5702</v>
      </c>
      <c r="G1075" s="8" t="s">
        <v>8804</v>
      </c>
      <c r="H1075" s="14" t="s">
        <v>28</v>
      </c>
      <c r="I1075" s="14"/>
      <c r="J1075" s="14"/>
      <c r="K1075" s="14"/>
      <c r="L1075" s="14"/>
      <c r="M1075" s="14" t="s">
        <v>5705</v>
      </c>
      <c r="N1075" s="14"/>
      <c r="O1075" s="14" t="s">
        <v>5706</v>
      </c>
      <c r="P1075" s="14" t="str">
        <f>HYPERLINK("https://ceds.ed.gov/cedselementdetails.aspx?termid=17482")</f>
        <v>https://ceds.ed.gov/cedselementdetails.aspx?termid=17482</v>
      </c>
      <c r="Q1075" s="14" t="str">
        <f>HYPERLINK("https://ceds.ed.gov/elementComment.aspx?elementName=Kindergarten Daily Length &amp;elementID=17482", "Click here to submit comment")</f>
        <v>Click here to submit comment</v>
      </c>
      <c r="R1075" s="14">
        <v>47948</v>
      </c>
    </row>
    <row r="1076" spans="1:18" ht="409.5" x14ac:dyDescent="0.25">
      <c r="A1076" s="14" t="s">
        <v>8732</v>
      </c>
      <c r="B1076" s="14" t="s">
        <v>8789</v>
      </c>
      <c r="C1076" s="14" t="s">
        <v>8801</v>
      </c>
      <c r="D1076" s="14" t="s">
        <v>8531</v>
      </c>
      <c r="E1076" s="14" t="s">
        <v>7087</v>
      </c>
      <c r="F1076" s="14" t="s">
        <v>7088</v>
      </c>
      <c r="G1076" s="8" t="s">
        <v>8754</v>
      </c>
      <c r="H1076" s="14"/>
      <c r="I1076" s="14"/>
      <c r="J1076" s="14"/>
      <c r="K1076" s="14"/>
      <c r="L1076" s="14"/>
      <c r="M1076" s="14" t="s">
        <v>7091</v>
      </c>
      <c r="N1076" s="14"/>
      <c r="O1076" s="14" t="s">
        <v>7092</v>
      </c>
      <c r="P1076" s="14" t="str">
        <f>HYPERLINK("https://ceds.ed.gov/cedselementdetails.aspx?termid=18210")</f>
        <v>https://ceds.ed.gov/cedselementdetails.aspx?termid=18210</v>
      </c>
      <c r="Q1076" s="14" t="str">
        <f>HYPERLINK("https://ceds.ed.gov/elementComment.aspx?elementName=Program Gifted Eligibility Criteria &amp;elementID=18210", "Click here to submit comment")</f>
        <v>Click here to submit comment</v>
      </c>
      <c r="R1076" s="14">
        <v>48991</v>
      </c>
    </row>
    <row r="1077" spans="1:18" ht="75" x14ac:dyDescent="0.25">
      <c r="A1077" s="14" t="s">
        <v>8732</v>
      </c>
      <c r="B1077" s="14" t="s">
        <v>8789</v>
      </c>
      <c r="C1077" s="14" t="s">
        <v>8801</v>
      </c>
      <c r="D1077" s="14" t="s">
        <v>8531</v>
      </c>
      <c r="E1077" s="14" t="s">
        <v>6272</v>
      </c>
      <c r="F1077" s="14" t="s">
        <v>6273</v>
      </c>
      <c r="G1077" s="8" t="s">
        <v>8805</v>
      </c>
      <c r="H1077" s="14" t="s">
        <v>258</v>
      </c>
      <c r="I1077" s="14"/>
      <c r="J1077" s="14"/>
      <c r="K1077" s="14"/>
      <c r="L1077" s="14"/>
      <c r="M1077" s="14" t="s">
        <v>6275</v>
      </c>
      <c r="N1077" s="14" t="s">
        <v>6276</v>
      </c>
      <c r="O1077" s="14" t="s">
        <v>6277</v>
      </c>
      <c r="P1077" s="14" t="str">
        <f>HYPERLINK("https://ceds.ed.gov/cedselementdetails.aspx?termid=17187")</f>
        <v>https://ceds.ed.gov/cedselementdetails.aspx?termid=17187</v>
      </c>
      <c r="Q1077" s="14" t="str">
        <f>HYPERLINK("https://ceds.ed.gov/elementComment.aspx?elementName=Migrant Education Program Session Type &amp;elementID=17187", "Click here to submit comment")</f>
        <v>Click here to submit comment</v>
      </c>
      <c r="R1077" s="14">
        <v>47900</v>
      </c>
    </row>
    <row r="1078" spans="1:18" ht="120" x14ac:dyDescent="0.25">
      <c r="A1078" s="14" t="s">
        <v>8732</v>
      </c>
      <c r="B1078" s="14" t="s">
        <v>8789</v>
      </c>
      <c r="C1078" s="14" t="s">
        <v>8801</v>
      </c>
      <c r="D1078" s="14" t="s">
        <v>8531</v>
      </c>
      <c r="E1078" s="14" t="s">
        <v>6260</v>
      </c>
      <c r="F1078" s="14" t="s">
        <v>6261</v>
      </c>
      <c r="G1078" s="8" t="s">
        <v>8806</v>
      </c>
      <c r="H1078" s="14" t="s">
        <v>245</v>
      </c>
      <c r="I1078" s="14"/>
      <c r="J1078" s="14"/>
      <c r="K1078" s="14"/>
      <c r="L1078" s="14"/>
      <c r="M1078" s="14" t="s">
        <v>6263</v>
      </c>
      <c r="N1078" s="14" t="s">
        <v>6264</v>
      </c>
      <c r="O1078" s="14" t="s">
        <v>6265</v>
      </c>
      <c r="P1078" s="14" t="str">
        <f>HYPERLINK("https://ceds.ed.gov/cedselementdetails.aspx?termid=17453")</f>
        <v>https://ceds.ed.gov/cedselementdetails.aspx?termid=17453</v>
      </c>
      <c r="Q1078" s="14" t="str">
        <f>HYPERLINK("https://ceds.ed.gov/elementComment.aspx?elementName=Migrant Education Program Project Type &amp;elementID=17453", "Click here to submit comment")</f>
        <v>Click here to submit comment</v>
      </c>
      <c r="R1078" s="14">
        <v>47930</v>
      </c>
    </row>
    <row r="1079" spans="1:18" ht="45" x14ac:dyDescent="0.25">
      <c r="A1079" s="14" t="s">
        <v>8732</v>
      </c>
      <c r="B1079" s="14" t="s">
        <v>8789</v>
      </c>
      <c r="C1079" s="14" t="s">
        <v>8801</v>
      </c>
      <c r="D1079" s="14" t="s">
        <v>8531</v>
      </c>
      <c r="E1079" s="14" t="s">
        <v>6470</v>
      </c>
      <c r="F1079" s="14" t="s">
        <v>6471</v>
      </c>
      <c r="G1079" s="14" t="s">
        <v>37</v>
      </c>
      <c r="H1079" s="14" t="s">
        <v>245</v>
      </c>
      <c r="I1079" s="14"/>
      <c r="J1079" s="14" t="s">
        <v>370</v>
      </c>
      <c r="K1079" s="14"/>
      <c r="L1079" s="14"/>
      <c r="M1079" s="14" t="s">
        <v>6472</v>
      </c>
      <c r="N1079" s="14"/>
      <c r="O1079" s="14" t="s">
        <v>6473</v>
      </c>
      <c r="P1079" s="14" t="str">
        <f>HYPERLINK("https://ceds.ed.gov/cedselementdetails.aspx?termid=17460")</f>
        <v>https://ceds.ed.gov/cedselementdetails.aspx?termid=17460</v>
      </c>
      <c r="Q1079" s="14" t="str">
        <f>HYPERLINK("https://ceds.ed.gov/elementComment.aspx?elementName=Number of Immigrant Program Subgrants &amp;elementID=17460", "Click here to submit comment")</f>
        <v>Click here to submit comment</v>
      </c>
      <c r="R1079" s="14">
        <v>47932</v>
      </c>
    </row>
    <row r="1080" spans="1:18" ht="90" x14ac:dyDescent="0.25">
      <c r="A1080" s="14" t="s">
        <v>8732</v>
      </c>
      <c r="B1080" s="14" t="s">
        <v>8789</v>
      </c>
      <c r="C1080" s="14" t="s">
        <v>8801</v>
      </c>
      <c r="D1080" s="14" t="s">
        <v>8531</v>
      </c>
      <c r="E1080" s="14" t="s">
        <v>7103</v>
      </c>
      <c r="F1080" s="14" t="s">
        <v>7104</v>
      </c>
      <c r="G1080" s="14" t="s">
        <v>24</v>
      </c>
      <c r="H1080" s="14" t="s">
        <v>245</v>
      </c>
      <c r="I1080" s="14"/>
      <c r="J1080" s="14"/>
      <c r="K1080" s="14"/>
      <c r="L1080" s="14"/>
      <c r="M1080" s="14" t="s">
        <v>7105</v>
      </c>
      <c r="N1080" s="14"/>
      <c r="O1080" s="14" t="s">
        <v>7106</v>
      </c>
      <c r="P1080" s="14" t="str">
        <f>HYPERLINK("https://ceds.ed.gov/cedselementdetails.aspx?termid=17476")</f>
        <v>https://ceds.ed.gov/cedselementdetails.aspx?termid=17476</v>
      </c>
      <c r="Q1080" s="14" t="str">
        <f>HYPERLINK("https://ceds.ed.gov/elementComment.aspx?elementName=Program in Multiple Purpose Facility &amp;elementID=17476", "Click here to submit comment")</f>
        <v>Click here to submit comment</v>
      </c>
      <c r="R1080" s="14">
        <v>47944</v>
      </c>
    </row>
    <row r="1081" spans="1:18" ht="135" x14ac:dyDescent="0.25">
      <c r="A1081" s="14" t="s">
        <v>8732</v>
      </c>
      <c r="B1081" s="14" t="s">
        <v>8789</v>
      </c>
      <c r="C1081" s="14" t="s">
        <v>8801</v>
      </c>
      <c r="D1081" s="14" t="s">
        <v>8531</v>
      </c>
      <c r="E1081" s="14" t="s">
        <v>8256</v>
      </c>
      <c r="F1081" s="14" t="s">
        <v>8257</v>
      </c>
      <c r="G1081" s="8" t="s">
        <v>8807</v>
      </c>
      <c r="H1081" s="14" t="s">
        <v>258</v>
      </c>
      <c r="I1081" s="14"/>
      <c r="J1081" s="14"/>
      <c r="K1081" s="14"/>
      <c r="L1081" s="14"/>
      <c r="M1081" s="14" t="s">
        <v>8259</v>
      </c>
      <c r="N1081" s="14"/>
      <c r="O1081" s="14" t="s">
        <v>8260</v>
      </c>
      <c r="P1081" s="14" t="str">
        <f>HYPERLINK("https://ceds.ed.gov/cedselementdetails.aspx?termid=17282")</f>
        <v>https://ceds.ed.gov/cedselementdetails.aspx?termid=17282</v>
      </c>
      <c r="Q1081" s="14" t="str">
        <f>HYPERLINK("https://ceds.ed.gov/elementComment.aspx?elementName=Title I Instructional Services &amp;elementID=17282", "Click here to submit comment")</f>
        <v>Click here to submit comment</v>
      </c>
      <c r="R1081" s="14">
        <v>47914</v>
      </c>
    </row>
    <row r="1082" spans="1:18" ht="135" x14ac:dyDescent="0.25">
      <c r="A1082" s="14" t="s">
        <v>8732</v>
      </c>
      <c r="B1082" s="14" t="s">
        <v>8789</v>
      </c>
      <c r="C1082" s="14" t="s">
        <v>8801</v>
      </c>
      <c r="D1082" s="14" t="s">
        <v>8531</v>
      </c>
      <c r="E1082" s="14" t="s">
        <v>8266</v>
      </c>
      <c r="F1082" s="14" t="s">
        <v>8267</v>
      </c>
      <c r="G1082" s="8" t="s">
        <v>8758</v>
      </c>
      <c r="H1082" s="14" t="s">
        <v>258</v>
      </c>
      <c r="I1082" s="14"/>
      <c r="J1082" s="14"/>
      <c r="K1082" s="14"/>
      <c r="L1082" s="14"/>
      <c r="M1082" s="14" t="s">
        <v>8270</v>
      </c>
      <c r="N1082" s="14"/>
      <c r="O1082" s="14" t="s">
        <v>8271</v>
      </c>
      <c r="P1082" s="14" t="str">
        <f>HYPERLINK("https://ceds.ed.gov/cedselementdetails.aspx?termid=17284")</f>
        <v>https://ceds.ed.gov/cedselementdetails.aspx?termid=17284</v>
      </c>
      <c r="Q1082" s="14" t="str">
        <f>HYPERLINK("https://ceds.ed.gov/elementComment.aspx?elementName=Title I Program Type &amp;elementID=17284", "Click here to submit comment")</f>
        <v>Click here to submit comment</v>
      </c>
      <c r="R1082" s="14">
        <v>47915</v>
      </c>
    </row>
    <row r="1083" spans="1:18" ht="90" x14ac:dyDescent="0.25">
      <c r="A1083" s="14" t="s">
        <v>8732</v>
      </c>
      <c r="B1083" s="14" t="s">
        <v>8789</v>
      </c>
      <c r="C1083" s="14" t="s">
        <v>8801</v>
      </c>
      <c r="D1083" s="14" t="s">
        <v>8531</v>
      </c>
      <c r="E1083" s="14" t="s">
        <v>8293</v>
      </c>
      <c r="F1083" s="14" t="s">
        <v>8294</v>
      </c>
      <c r="G1083" s="8" t="s">
        <v>8808</v>
      </c>
      <c r="H1083" s="14" t="s">
        <v>258</v>
      </c>
      <c r="I1083" s="14"/>
      <c r="J1083" s="14"/>
      <c r="K1083" s="14"/>
      <c r="L1083" s="14"/>
      <c r="M1083" s="14" t="s">
        <v>8296</v>
      </c>
      <c r="N1083" s="14"/>
      <c r="O1083" s="14" t="s">
        <v>8297</v>
      </c>
      <c r="P1083" s="14" t="str">
        <f>HYPERLINK("https://ceds.ed.gov/cedselementdetails.aspx?termid=17289")</f>
        <v>https://ceds.ed.gov/cedselementdetails.aspx?termid=17289</v>
      </c>
      <c r="Q1083" s="14" t="str">
        <f>HYPERLINK("https://ceds.ed.gov/elementComment.aspx?elementName=Title I Support Services &amp;elementID=17289", "Click here to submit comment")</f>
        <v>Click here to submit comment</v>
      </c>
      <c r="R1083" s="14">
        <v>47916</v>
      </c>
    </row>
    <row r="1084" spans="1:18" ht="300" x14ac:dyDescent="0.25">
      <c r="A1084" s="14" t="s">
        <v>8732</v>
      </c>
      <c r="B1084" s="14" t="s">
        <v>8789</v>
      </c>
      <c r="C1084" s="14" t="s">
        <v>8801</v>
      </c>
      <c r="D1084" s="14" t="s">
        <v>8531</v>
      </c>
      <c r="E1084" s="14" t="s">
        <v>8324</v>
      </c>
      <c r="F1084" s="14" t="s">
        <v>8325</v>
      </c>
      <c r="G1084" s="8" t="s">
        <v>8760</v>
      </c>
      <c r="H1084" s="14" t="s">
        <v>245</v>
      </c>
      <c r="I1084" s="14"/>
      <c r="J1084" s="14"/>
      <c r="K1084" s="14"/>
      <c r="L1084" s="14"/>
      <c r="M1084" s="14" t="s">
        <v>8327</v>
      </c>
      <c r="N1084" s="14"/>
      <c r="O1084" s="14" t="s">
        <v>8328</v>
      </c>
      <c r="P1084" s="14" t="str">
        <f>HYPERLINK("https://ceds.ed.gov/cedselementdetails.aspx?termid=17437")</f>
        <v>https://ceds.ed.gov/cedselementdetails.aspx?termid=17437</v>
      </c>
      <c r="Q1084" s="14" t="str">
        <f>HYPERLINK("https://ceds.ed.gov/elementComment.aspx?elementName=Title III Language Instruction Program Type &amp;elementID=17437", "Click here to submit comment")</f>
        <v>Click here to submit comment</v>
      </c>
      <c r="R1084" s="14">
        <v>47922</v>
      </c>
    </row>
    <row r="1085" spans="1:18" ht="255" x14ac:dyDescent="0.25">
      <c r="A1085" s="14" t="s">
        <v>8732</v>
      </c>
      <c r="B1085" s="14" t="s">
        <v>8789</v>
      </c>
      <c r="C1085" s="14" t="s">
        <v>8801</v>
      </c>
      <c r="D1085" s="14" t="s">
        <v>8531</v>
      </c>
      <c r="E1085" s="14" t="s">
        <v>6524</v>
      </c>
      <c r="F1085" s="14" t="s">
        <v>6525</v>
      </c>
      <c r="G1085" s="8" t="s">
        <v>8534</v>
      </c>
      <c r="H1085" s="14" t="s">
        <v>125</v>
      </c>
      <c r="I1085" s="14"/>
      <c r="J1085" s="14"/>
      <c r="K1085" s="14"/>
      <c r="L1085" s="14"/>
      <c r="M1085" s="14" t="s">
        <v>6528</v>
      </c>
      <c r="N1085" s="14"/>
      <c r="O1085" s="14" t="s">
        <v>6529</v>
      </c>
      <c r="P1085" s="14" t="str">
        <f>HYPERLINK("https://ceds.ed.gov/cedselementdetails.aspx?termid=17827")</f>
        <v>https://ceds.ed.gov/cedselementdetails.aspx?termid=17827</v>
      </c>
      <c r="Q1085" s="14" t="str">
        <f>HYPERLINK("https://ceds.ed.gov/elementComment.aspx?elementName=Organization Identification System &amp;elementID=17827", "Click here to submit comment")</f>
        <v>Click here to submit comment</v>
      </c>
      <c r="R1085" s="14">
        <v>52171</v>
      </c>
    </row>
    <row r="1086" spans="1:18" ht="105" x14ac:dyDescent="0.25">
      <c r="A1086" s="16" t="s">
        <v>8732</v>
      </c>
      <c r="B1086" s="16" t="s">
        <v>8789</v>
      </c>
      <c r="C1086" s="16" t="s">
        <v>8801</v>
      </c>
      <c r="D1086" s="16" t="s">
        <v>8531</v>
      </c>
      <c r="E1086" s="16" t="s">
        <v>6530</v>
      </c>
      <c r="F1086" s="16" t="s">
        <v>6531</v>
      </c>
      <c r="G1086" s="16" t="s">
        <v>37</v>
      </c>
      <c r="H1086" s="16" t="s">
        <v>125</v>
      </c>
      <c r="I1086" s="16"/>
      <c r="J1086" s="16" t="s">
        <v>149</v>
      </c>
      <c r="K1086" s="16"/>
      <c r="L1086" s="14" t="s">
        <v>150</v>
      </c>
      <c r="M1086" s="16" t="s">
        <v>6533</v>
      </c>
      <c r="N1086" s="16"/>
      <c r="O1086" s="16" t="s">
        <v>6534</v>
      </c>
      <c r="P1086" s="16" t="str">
        <f>HYPERLINK("https://ceds.ed.gov/cedselementdetails.aspx?termid=17825")</f>
        <v>https://ceds.ed.gov/cedselementdetails.aspx?termid=17825</v>
      </c>
      <c r="Q1086" s="16" t="str">
        <f>HYPERLINK("https://ceds.ed.gov/elementComment.aspx?elementName=Organization Identifier &amp;elementID=17825", "Click here to submit comment")</f>
        <v>Click here to submit comment</v>
      </c>
      <c r="R1086" s="16">
        <v>52172</v>
      </c>
    </row>
    <row r="1087" spans="1:18" x14ac:dyDescent="0.25">
      <c r="A1087" s="16"/>
      <c r="B1087" s="16"/>
      <c r="C1087" s="16"/>
      <c r="D1087" s="16"/>
      <c r="E1087" s="16"/>
      <c r="F1087" s="16"/>
      <c r="G1087" s="16"/>
      <c r="H1087" s="16"/>
      <c r="I1087" s="16"/>
      <c r="J1087" s="16"/>
      <c r="K1087" s="16"/>
      <c r="L1087" s="14"/>
      <c r="M1087" s="16"/>
      <c r="N1087" s="16"/>
      <c r="O1087" s="16"/>
      <c r="P1087" s="16"/>
      <c r="Q1087" s="16"/>
      <c r="R1087" s="16"/>
    </row>
    <row r="1088" spans="1:18" ht="90" x14ac:dyDescent="0.25">
      <c r="A1088" s="16"/>
      <c r="B1088" s="16"/>
      <c r="C1088" s="16"/>
      <c r="D1088" s="16"/>
      <c r="E1088" s="16"/>
      <c r="F1088" s="16"/>
      <c r="G1088" s="16"/>
      <c r="H1088" s="16"/>
      <c r="I1088" s="16"/>
      <c r="J1088" s="16"/>
      <c r="K1088" s="16"/>
      <c r="L1088" s="14" t="s">
        <v>153</v>
      </c>
      <c r="M1088" s="16"/>
      <c r="N1088" s="16"/>
      <c r="O1088" s="16"/>
      <c r="P1088" s="16"/>
      <c r="Q1088" s="16"/>
      <c r="R1088" s="16"/>
    </row>
    <row r="1089" spans="1:18" ht="105" x14ac:dyDescent="0.25">
      <c r="A1089" s="16" t="s">
        <v>8732</v>
      </c>
      <c r="B1089" s="16" t="s">
        <v>8789</v>
      </c>
      <c r="C1089" s="16" t="s">
        <v>8801</v>
      </c>
      <c r="D1089" s="16" t="s">
        <v>8531</v>
      </c>
      <c r="E1089" s="16" t="s">
        <v>7098</v>
      </c>
      <c r="F1089" s="16" t="s">
        <v>7099</v>
      </c>
      <c r="G1089" s="16" t="s">
        <v>37</v>
      </c>
      <c r="H1089" s="16" t="s">
        <v>2944</v>
      </c>
      <c r="I1089" s="16"/>
      <c r="J1089" s="16" t="s">
        <v>149</v>
      </c>
      <c r="K1089" s="16"/>
      <c r="L1089" s="14" t="s">
        <v>150</v>
      </c>
      <c r="M1089" s="16" t="s">
        <v>7101</v>
      </c>
      <c r="N1089" s="16"/>
      <c r="O1089" s="16" t="s">
        <v>7102</v>
      </c>
      <c r="P1089" s="16" t="str">
        <f>HYPERLINK("https://ceds.ed.gov/cedselementdetails.aspx?termid=17618")</f>
        <v>https://ceds.ed.gov/cedselementdetails.aspx?termid=17618</v>
      </c>
      <c r="Q1089" s="16" t="str">
        <f>HYPERLINK("https://ceds.ed.gov/elementComment.aspx?elementName=Program Identifier &amp;elementID=17618", "Click here to submit comment")</f>
        <v>Click here to submit comment</v>
      </c>
      <c r="R1089" s="16">
        <v>52173</v>
      </c>
    </row>
    <row r="1090" spans="1:18" x14ac:dyDescent="0.25">
      <c r="A1090" s="16"/>
      <c r="B1090" s="16"/>
      <c r="C1090" s="16"/>
      <c r="D1090" s="16"/>
      <c r="E1090" s="16"/>
      <c r="F1090" s="16"/>
      <c r="G1090" s="16"/>
      <c r="H1090" s="16"/>
      <c r="I1090" s="16"/>
      <c r="J1090" s="16"/>
      <c r="K1090" s="16"/>
      <c r="L1090" s="14"/>
      <c r="M1090" s="16"/>
      <c r="N1090" s="16"/>
      <c r="O1090" s="16"/>
      <c r="P1090" s="16"/>
      <c r="Q1090" s="16"/>
      <c r="R1090" s="16"/>
    </row>
    <row r="1091" spans="1:18" ht="90" x14ac:dyDescent="0.25">
      <c r="A1091" s="16"/>
      <c r="B1091" s="16"/>
      <c r="C1091" s="16"/>
      <c r="D1091" s="16"/>
      <c r="E1091" s="16"/>
      <c r="F1091" s="16"/>
      <c r="G1091" s="16"/>
      <c r="H1091" s="16"/>
      <c r="I1091" s="16"/>
      <c r="J1091" s="16"/>
      <c r="K1091" s="16"/>
      <c r="L1091" s="14" t="s">
        <v>153</v>
      </c>
      <c r="M1091" s="16"/>
      <c r="N1091" s="16"/>
      <c r="O1091" s="16"/>
      <c r="P1091" s="16"/>
      <c r="Q1091" s="16"/>
      <c r="R1091" s="16"/>
    </row>
    <row r="1092" spans="1:18" ht="90" x14ac:dyDescent="0.25">
      <c r="A1092" s="14" t="s">
        <v>8732</v>
      </c>
      <c r="B1092" s="14" t="s">
        <v>8789</v>
      </c>
      <c r="C1092" s="14" t="s">
        <v>8788</v>
      </c>
      <c r="D1092" s="14" t="s">
        <v>8531</v>
      </c>
      <c r="E1092" s="14" t="s">
        <v>8194</v>
      </c>
      <c r="F1092" s="14" t="s">
        <v>8195</v>
      </c>
      <c r="G1092" s="14" t="s">
        <v>24</v>
      </c>
      <c r="H1092" s="14"/>
      <c r="I1092" s="14"/>
      <c r="J1092" s="14"/>
      <c r="K1092" s="14"/>
      <c r="L1092" s="6" t="s">
        <v>7984</v>
      </c>
      <c r="M1092" s="14" t="s">
        <v>8197</v>
      </c>
      <c r="N1092" s="14"/>
      <c r="O1092" s="14" t="s">
        <v>8198</v>
      </c>
      <c r="P1092" s="14" t="str">
        <f>HYPERLINK("https://ceds.ed.gov/cedselementdetails.aspx?termid=18465")</f>
        <v>https://ceds.ed.gov/cedselementdetails.aspx?termid=18465</v>
      </c>
      <c r="Q1092" s="14" t="str">
        <f>HYPERLINK("https://ceds.ed.gov/elementComment.aspx?elementName=Technical Assistance Approved Indicator &amp;elementID=18465", "Click here to submit comment")</f>
        <v>Click here to submit comment</v>
      </c>
      <c r="R1092" s="14">
        <v>50435</v>
      </c>
    </row>
    <row r="1093" spans="1:18" ht="90" x14ac:dyDescent="0.25">
      <c r="A1093" s="14" t="s">
        <v>8732</v>
      </c>
      <c r="B1093" s="14" t="s">
        <v>8789</v>
      </c>
      <c r="C1093" s="14" t="s">
        <v>8788</v>
      </c>
      <c r="D1093" s="14" t="s">
        <v>8531</v>
      </c>
      <c r="E1093" s="14" t="s">
        <v>8199</v>
      </c>
      <c r="F1093" s="14" t="s">
        <v>8200</v>
      </c>
      <c r="G1093" s="8" t="s">
        <v>8587</v>
      </c>
      <c r="H1093" s="14"/>
      <c r="I1093" s="14"/>
      <c r="J1093" s="14"/>
      <c r="K1093" s="14"/>
      <c r="L1093" s="6" t="s">
        <v>7984</v>
      </c>
      <c r="M1093" s="14" t="s">
        <v>8201</v>
      </c>
      <c r="N1093" s="14"/>
      <c r="O1093" s="14" t="s">
        <v>8202</v>
      </c>
      <c r="P1093" s="14" t="str">
        <f>HYPERLINK("https://ceds.ed.gov/cedselementdetails.aspx?termid=18466")</f>
        <v>https://ceds.ed.gov/cedselementdetails.aspx?termid=18466</v>
      </c>
      <c r="Q1093" s="14" t="str">
        <f>HYPERLINK("https://ceds.ed.gov/elementComment.aspx?elementName=Technical Assistance Delivery Type &amp;elementID=18466", "Click here to submit comment")</f>
        <v>Click here to submit comment</v>
      </c>
      <c r="R1093" s="14">
        <v>50438</v>
      </c>
    </row>
    <row r="1094" spans="1:18" ht="375" x14ac:dyDescent="0.25">
      <c r="A1094" s="14" t="s">
        <v>8732</v>
      </c>
      <c r="B1094" s="14" t="s">
        <v>8789</v>
      </c>
      <c r="C1094" s="14" t="s">
        <v>8788</v>
      </c>
      <c r="D1094" s="14" t="s">
        <v>8531</v>
      </c>
      <c r="E1094" s="14" t="s">
        <v>8203</v>
      </c>
      <c r="F1094" s="14" t="s">
        <v>8204</v>
      </c>
      <c r="G1094" s="8" t="s">
        <v>8588</v>
      </c>
      <c r="H1094" s="14"/>
      <c r="I1094" s="14"/>
      <c r="J1094" s="14"/>
      <c r="K1094" s="14"/>
      <c r="L1094" s="6" t="s">
        <v>7984</v>
      </c>
      <c r="M1094" s="14" t="s">
        <v>8206</v>
      </c>
      <c r="N1094" s="14"/>
      <c r="O1094" s="14" t="s">
        <v>8207</v>
      </c>
      <c r="P1094" s="14" t="str">
        <f>HYPERLINK("https://ceds.ed.gov/cedselementdetails.aspx?termid=18467")</f>
        <v>https://ceds.ed.gov/cedselementdetails.aspx?termid=18467</v>
      </c>
      <c r="Q1094" s="14" t="str">
        <f>HYPERLINK("https://ceds.ed.gov/elementComment.aspx?elementName=Technical Assistance Type &amp;elementID=18467", "Click here to submit comment")</f>
        <v>Click here to submit comment</v>
      </c>
      <c r="R1094" s="14">
        <v>50443</v>
      </c>
    </row>
    <row r="1095" spans="1:18" ht="45" x14ac:dyDescent="0.25">
      <c r="A1095" s="14" t="s">
        <v>8732</v>
      </c>
      <c r="B1095" s="14" t="s">
        <v>8809</v>
      </c>
      <c r="C1095" s="14"/>
      <c r="D1095" s="14" t="s">
        <v>8531</v>
      </c>
      <c r="E1095" s="14" t="s">
        <v>6535</v>
      </c>
      <c r="F1095" s="14" t="s">
        <v>6536</v>
      </c>
      <c r="G1095" s="14" t="s">
        <v>37</v>
      </c>
      <c r="H1095" s="14"/>
      <c r="I1095" s="14"/>
      <c r="J1095" s="14" t="s">
        <v>57</v>
      </c>
      <c r="K1095" s="14"/>
      <c r="L1095" s="14"/>
      <c r="M1095" s="14" t="s">
        <v>6538</v>
      </c>
      <c r="N1095" s="14"/>
      <c r="O1095" s="14" t="s">
        <v>6539</v>
      </c>
      <c r="P1095" s="14" t="str">
        <f>HYPERLINK("https://ceds.ed.gov/cedselementdetails.aspx?termid=18644")</f>
        <v>https://ceds.ed.gov/cedselementdetails.aspx?termid=18644</v>
      </c>
      <c r="Q1095" s="14" t="str">
        <f>HYPERLINK("https://ceds.ed.gov/elementComment.aspx?elementName=Organization Image URL &amp;elementID=18644", "Click here to submit comment")</f>
        <v>Click here to submit comment</v>
      </c>
      <c r="R1095" s="14">
        <v>51978</v>
      </c>
    </row>
    <row r="1096" spans="1:18" ht="45" x14ac:dyDescent="0.25">
      <c r="A1096" s="14" t="s">
        <v>8732</v>
      </c>
      <c r="B1096" s="14" t="s">
        <v>8809</v>
      </c>
      <c r="C1096" s="14"/>
      <c r="D1096" s="14" t="s">
        <v>8531</v>
      </c>
      <c r="E1096" s="14" t="s">
        <v>6556</v>
      </c>
      <c r="F1096" s="14" t="s">
        <v>6557</v>
      </c>
      <c r="G1096" s="14" t="s">
        <v>37</v>
      </c>
      <c r="H1096" s="14"/>
      <c r="I1096" s="14"/>
      <c r="J1096" s="14" t="s">
        <v>3227</v>
      </c>
      <c r="K1096" s="14"/>
      <c r="L1096" s="14"/>
      <c r="M1096" s="14" t="s">
        <v>6559</v>
      </c>
      <c r="N1096" s="14"/>
      <c r="O1096" s="14" t="s">
        <v>6560</v>
      </c>
      <c r="P1096" s="14" t="str">
        <f>HYPERLINK("https://ceds.ed.gov/cedselementdetails.aspx?termid=18731")</f>
        <v>https://ceds.ed.gov/cedselementdetails.aspx?termid=18731</v>
      </c>
      <c r="Q1096" s="14" t="str">
        <f>HYPERLINK("https://ceds.ed.gov/elementComment.aspx?elementName=Organization Region GeoJSON &amp;elementID=18731", "Click here to submit comment")</f>
        <v>Click here to submit comment</v>
      </c>
      <c r="R1096" s="14">
        <v>51985</v>
      </c>
    </row>
    <row r="1097" spans="1:18" ht="105" x14ac:dyDescent="0.25">
      <c r="A1097" s="16" t="s">
        <v>8732</v>
      </c>
      <c r="B1097" s="16" t="s">
        <v>8809</v>
      </c>
      <c r="C1097" s="16" t="s">
        <v>8533</v>
      </c>
      <c r="D1097" s="16" t="s">
        <v>8531</v>
      </c>
      <c r="E1097" s="16" t="s">
        <v>7971</v>
      </c>
      <c r="F1097" s="16" t="s">
        <v>7972</v>
      </c>
      <c r="G1097" s="16" t="s">
        <v>37</v>
      </c>
      <c r="H1097" s="16"/>
      <c r="I1097" s="16"/>
      <c r="J1097" s="16" t="s">
        <v>149</v>
      </c>
      <c r="K1097" s="16"/>
      <c r="L1097" s="14" t="s">
        <v>150</v>
      </c>
      <c r="M1097" s="16" t="s">
        <v>7973</v>
      </c>
      <c r="N1097" s="16"/>
      <c r="O1097" s="16" t="s">
        <v>7974</v>
      </c>
      <c r="P1097" s="16" t="str">
        <f>HYPERLINK("https://ceds.ed.gov/cedselementdetails.aspx?termid=18462")</f>
        <v>https://ceds.ed.gov/cedselementdetails.aspx?termid=18462</v>
      </c>
      <c r="Q1097" s="16" t="str">
        <f>HYPERLINK("https://ceds.ed.gov/elementComment.aspx?elementName=State Agency Identifier &amp;elementID=18462", "Click here to submit comment")</f>
        <v>Click here to submit comment</v>
      </c>
      <c r="R1097" s="16">
        <v>50430</v>
      </c>
    </row>
    <row r="1098" spans="1:18" x14ac:dyDescent="0.25">
      <c r="A1098" s="16"/>
      <c r="B1098" s="16"/>
      <c r="C1098" s="16"/>
      <c r="D1098" s="16"/>
      <c r="E1098" s="16"/>
      <c r="F1098" s="16"/>
      <c r="G1098" s="16"/>
      <c r="H1098" s="16"/>
      <c r="I1098" s="16"/>
      <c r="J1098" s="16"/>
      <c r="K1098" s="16"/>
      <c r="L1098" s="14"/>
      <c r="M1098" s="16"/>
      <c r="N1098" s="16"/>
      <c r="O1098" s="16"/>
      <c r="P1098" s="16"/>
      <c r="Q1098" s="16"/>
      <c r="R1098" s="16"/>
    </row>
    <row r="1099" spans="1:18" ht="90" x14ac:dyDescent="0.25">
      <c r="A1099" s="16"/>
      <c r="B1099" s="16"/>
      <c r="C1099" s="16"/>
      <c r="D1099" s="16"/>
      <c r="E1099" s="16"/>
      <c r="F1099" s="16"/>
      <c r="G1099" s="16"/>
      <c r="H1099" s="16"/>
      <c r="I1099" s="16"/>
      <c r="J1099" s="16"/>
      <c r="K1099" s="16"/>
      <c r="L1099" s="14" t="s">
        <v>153</v>
      </c>
      <c r="M1099" s="16"/>
      <c r="N1099" s="16"/>
      <c r="O1099" s="16"/>
      <c r="P1099" s="16"/>
      <c r="Q1099" s="16"/>
      <c r="R1099" s="16"/>
    </row>
    <row r="1100" spans="1:18" ht="60" x14ac:dyDescent="0.25">
      <c r="A1100" s="14" t="s">
        <v>8732</v>
      </c>
      <c r="B1100" s="14" t="s">
        <v>8809</v>
      </c>
      <c r="C1100" s="14" t="s">
        <v>8533</v>
      </c>
      <c r="D1100" s="14" t="s">
        <v>8531</v>
      </c>
      <c r="E1100" s="14" t="s">
        <v>7965</v>
      </c>
      <c r="F1100" s="14" t="s">
        <v>7966</v>
      </c>
      <c r="G1100" s="8" t="s">
        <v>8810</v>
      </c>
      <c r="H1100" s="14"/>
      <c r="I1100" s="14"/>
      <c r="J1100" s="14"/>
      <c r="K1100" s="14"/>
      <c r="L1100" s="14"/>
      <c r="M1100" s="14" t="s">
        <v>7969</v>
      </c>
      <c r="N1100" s="14"/>
      <c r="O1100" s="14" t="s">
        <v>7970</v>
      </c>
      <c r="P1100" s="14" t="str">
        <f>HYPERLINK("https://ceds.ed.gov/cedselementdetails.aspx?termid=18463")</f>
        <v>https://ceds.ed.gov/cedselementdetails.aspx?termid=18463</v>
      </c>
      <c r="Q1100" s="14" t="str">
        <f>HYPERLINK("https://ceds.ed.gov/elementComment.aspx?elementName=State Agency Identification System &amp;elementID=18463", "Click here to submit comment")</f>
        <v>Click here to submit comment</v>
      </c>
      <c r="R1100" s="14">
        <v>50431</v>
      </c>
    </row>
    <row r="1101" spans="1:18" ht="45" x14ac:dyDescent="0.25">
      <c r="A1101" s="14" t="s">
        <v>8732</v>
      </c>
      <c r="B1101" s="14" t="s">
        <v>8809</v>
      </c>
      <c r="C1101" s="14" t="s">
        <v>8533</v>
      </c>
      <c r="D1101" s="14" t="s">
        <v>8531</v>
      </c>
      <c r="E1101" s="14" t="s">
        <v>6545</v>
      </c>
      <c r="F1101" s="14" t="s">
        <v>6546</v>
      </c>
      <c r="G1101" s="14" t="s">
        <v>37</v>
      </c>
      <c r="H1101" s="14" t="s">
        <v>238</v>
      </c>
      <c r="I1101" s="14"/>
      <c r="J1101" s="14" t="s">
        <v>175</v>
      </c>
      <c r="K1101" s="14"/>
      <c r="L1101" s="14"/>
      <c r="M1101" s="14" t="s">
        <v>6548</v>
      </c>
      <c r="N1101" s="14"/>
      <c r="O1101" s="14" t="s">
        <v>6549</v>
      </c>
      <c r="P1101" s="14" t="str">
        <f>HYPERLINK("https://ceds.ed.gov/cedselementdetails.aspx?termid=17204")</f>
        <v>https://ceds.ed.gov/cedselementdetails.aspx?termid=17204</v>
      </c>
      <c r="Q1101" s="14" t="str">
        <f>HYPERLINK("https://ceds.ed.gov/elementComment.aspx?elementName=Organization Name &amp;elementID=17204", "Click here to submit comment")</f>
        <v>Click here to submit comment</v>
      </c>
      <c r="R1101" s="14">
        <v>47972</v>
      </c>
    </row>
    <row r="1102" spans="1:18" ht="409.5" x14ac:dyDescent="0.25">
      <c r="A1102" s="14" t="s">
        <v>8732</v>
      </c>
      <c r="B1102" s="14" t="s">
        <v>8809</v>
      </c>
      <c r="C1102" s="14" t="s">
        <v>8533</v>
      </c>
      <c r="D1102" s="14" t="s">
        <v>8531</v>
      </c>
      <c r="E1102" s="14" t="s">
        <v>6571</v>
      </c>
      <c r="F1102" s="14" t="s">
        <v>6572</v>
      </c>
      <c r="G1102" s="8" t="s">
        <v>8535</v>
      </c>
      <c r="H1102" s="14"/>
      <c r="I1102" s="14" t="s">
        <v>195</v>
      </c>
      <c r="J1102" s="14"/>
      <c r="K1102" s="14" t="s">
        <v>6574</v>
      </c>
      <c r="L1102" s="14" t="s">
        <v>6575</v>
      </c>
      <c r="M1102" s="14" t="s">
        <v>6576</v>
      </c>
      <c r="N1102" s="14"/>
      <c r="O1102" s="14" t="s">
        <v>6577</v>
      </c>
      <c r="P1102" s="14" t="str">
        <f>HYPERLINK("https://ceds.ed.gov/cedselementdetails.aspx?termid=18165")</f>
        <v>https://ceds.ed.gov/cedselementdetails.aspx?termid=18165</v>
      </c>
      <c r="Q1102" s="14" t="str">
        <f>HYPERLINK("https://ceds.ed.gov/elementComment.aspx?elementName=Organization Type &amp;elementID=18165", "Click here to submit comment")</f>
        <v>Click here to submit comment</v>
      </c>
      <c r="R1102" s="14">
        <v>48818</v>
      </c>
    </row>
    <row r="1103" spans="1:18" ht="75" x14ac:dyDescent="0.25">
      <c r="A1103" s="14" t="s">
        <v>8732</v>
      </c>
      <c r="B1103" s="14" t="s">
        <v>8809</v>
      </c>
      <c r="C1103" s="14" t="s">
        <v>8533</v>
      </c>
      <c r="D1103" s="14" t="s">
        <v>8531</v>
      </c>
      <c r="E1103" s="14" t="s">
        <v>6561</v>
      </c>
      <c r="F1103" s="14" t="s">
        <v>6562</v>
      </c>
      <c r="G1103" s="8" t="s">
        <v>8537</v>
      </c>
      <c r="H1103" s="14"/>
      <c r="I1103" s="14" t="s">
        <v>195</v>
      </c>
      <c r="J1103" s="14"/>
      <c r="K1103" s="14" t="s">
        <v>2266</v>
      </c>
      <c r="L1103" s="14"/>
      <c r="M1103" s="14" t="s">
        <v>6565</v>
      </c>
      <c r="N1103" s="14"/>
      <c r="O1103" s="14" t="s">
        <v>6566</v>
      </c>
      <c r="P1103" s="14" t="str">
        <f>HYPERLINK("https://ceds.ed.gov/cedselementdetails.aspx?termid=18886")</f>
        <v>https://ceds.ed.gov/cedselementdetails.aspx?termid=18886</v>
      </c>
      <c r="Q1103" s="14" t="str">
        <f>HYPERLINK("https://ceds.ed.gov/elementComment.aspx?elementName=Organization Relationship Type &amp;elementID=18886", "Click here to submit comment")</f>
        <v>Click here to submit comment</v>
      </c>
      <c r="R1103" s="14">
        <v>52155</v>
      </c>
    </row>
    <row r="1104" spans="1:18" ht="90" x14ac:dyDescent="0.25">
      <c r="A1104" s="14" t="s">
        <v>8732</v>
      </c>
      <c r="B1104" s="14" t="s">
        <v>8809</v>
      </c>
      <c r="C1104" s="14" t="s">
        <v>8538</v>
      </c>
      <c r="D1104" s="14" t="s">
        <v>8531</v>
      </c>
      <c r="E1104" s="14" t="s">
        <v>226</v>
      </c>
      <c r="F1104" s="14" t="s">
        <v>227</v>
      </c>
      <c r="G1104" s="8" t="s">
        <v>8539</v>
      </c>
      <c r="H1104" s="14" t="s">
        <v>72</v>
      </c>
      <c r="I1104" s="14"/>
      <c r="J1104" s="14" t="s">
        <v>97</v>
      </c>
      <c r="K1104" s="14"/>
      <c r="L1104" s="14"/>
      <c r="M1104" s="14" t="s">
        <v>230</v>
      </c>
      <c r="N1104" s="14"/>
      <c r="O1104" s="14" t="s">
        <v>231</v>
      </c>
      <c r="P1104" s="14" t="str">
        <f>HYPERLINK("https://ceds.ed.gov/cedselementdetails.aspx?termid=17644")</f>
        <v>https://ceds.ed.gov/cedselementdetails.aspx?termid=17644</v>
      </c>
      <c r="Q1104" s="14" t="str">
        <f>HYPERLINK("https://ceds.ed.gov/elementComment.aspx?elementName=Address Type for Organization &amp;elementID=17644", "Click here to submit comment")</f>
        <v>Click here to submit comment</v>
      </c>
      <c r="R1104" s="14">
        <v>47987</v>
      </c>
    </row>
    <row r="1105" spans="1:18" ht="225" x14ac:dyDescent="0.25">
      <c r="A1105" s="14" t="s">
        <v>8732</v>
      </c>
      <c r="B1105" s="14" t="s">
        <v>8809</v>
      </c>
      <c r="C1105" s="14" t="s">
        <v>8538</v>
      </c>
      <c r="D1105" s="14" t="s">
        <v>8531</v>
      </c>
      <c r="E1105" s="14" t="s">
        <v>214</v>
      </c>
      <c r="F1105" s="14" t="s">
        <v>215</v>
      </c>
      <c r="G1105" s="14" t="s">
        <v>37</v>
      </c>
      <c r="H1105" s="14" t="s">
        <v>199</v>
      </c>
      <c r="I1105" s="14" t="s">
        <v>195</v>
      </c>
      <c r="J1105" s="14" t="s">
        <v>216</v>
      </c>
      <c r="K1105" s="14" t="s">
        <v>196</v>
      </c>
      <c r="L1105" s="14"/>
      <c r="M1105" s="14" t="s">
        <v>217</v>
      </c>
      <c r="N1105" s="14"/>
      <c r="O1105" s="14" t="s">
        <v>218</v>
      </c>
      <c r="P1105" s="14" t="str">
        <f>HYPERLINK("https://ceds.ed.gov/cedselementdetails.aspx?termid=17269")</f>
        <v>https://ceds.ed.gov/cedselementdetails.aspx?termid=17269</v>
      </c>
      <c r="Q1105" s="14" t="str">
        <f>HYPERLINK("https://ceds.ed.gov/elementComment.aspx?elementName=Address Street Number and Name &amp;elementID=17269", "Click here to submit comment")</f>
        <v>Click here to submit comment</v>
      </c>
      <c r="R1105" s="14">
        <v>47975</v>
      </c>
    </row>
    <row r="1106" spans="1:18" ht="225" x14ac:dyDescent="0.25">
      <c r="A1106" s="14" t="s">
        <v>8732</v>
      </c>
      <c r="B1106" s="14" t="s">
        <v>8809</v>
      </c>
      <c r="C1106" s="14" t="s">
        <v>8538</v>
      </c>
      <c r="D1106" s="14" t="s">
        <v>8531</v>
      </c>
      <c r="E1106" s="14" t="s">
        <v>192</v>
      </c>
      <c r="F1106" s="14" t="s">
        <v>193</v>
      </c>
      <c r="G1106" s="14" t="s">
        <v>37</v>
      </c>
      <c r="H1106" s="14" t="s">
        <v>199</v>
      </c>
      <c r="I1106" s="14" t="s">
        <v>195</v>
      </c>
      <c r="J1106" s="14" t="s">
        <v>175</v>
      </c>
      <c r="K1106" s="14" t="s">
        <v>196</v>
      </c>
      <c r="L1106" s="14"/>
      <c r="M1106" s="14" t="s">
        <v>197</v>
      </c>
      <c r="N1106" s="14"/>
      <c r="O1106" s="14" t="s">
        <v>198</v>
      </c>
      <c r="P1106" s="14" t="str">
        <f>HYPERLINK("https://ceds.ed.gov/cedselementdetails.aspx?termid=17019")</f>
        <v>https://ceds.ed.gov/cedselementdetails.aspx?termid=17019</v>
      </c>
      <c r="Q1106" s="14" t="str">
        <f>HYPERLINK("https://ceds.ed.gov/elementComment.aspx?elementName=Address Apartment Room or Suite Number &amp;elementID=17019", "Click here to submit comment")</f>
        <v>Click here to submit comment</v>
      </c>
      <c r="R1106" s="14">
        <v>49147</v>
      </c>
    </row>
    <row r="1107" spans="1:18" ht="225" x14ac:dyDescent="0.25">
      <c r="A1107" s="14" t="s">
        <v>8732</v>
      </c>
      <c r="B1107" s="14" t="s">
        <v>8809</v>
      </c>
      <c r="C1107" s="14" t="s">
        <v>8538</v>
      </c>
      <c r="D1107" s="14" t="s">
        <v>8531</v>
      </c>
      <c r="E1107" s="14" t="s">
        <v>200</v>
      </c>
      <c r="F1107" s="14" t="s">
        <v>201</v>
      </c>
      <c r="G1107" s="14" t="s">
        <v>37</v>
      </c>
      <c r="H1107" s="14" t="s">
        <v>199</v>
      </c>
      <c r="I1107" s="14"/>
      <c r="J1107" s="14" t="s">
        <v>97</v>
      </c>
      <c r="K1107" s="14"/>
      <c r="L1107" s="14"/>
      <c r="M1107" s="14" t="s">
        <v>202</v>
      </c>
      <c r="N1107" s="14"/>
      <c r="O1107" s="14" t="s">
        <v>203</v>
      </c>
      <c r="P1107" s="14" t="str">
        <f>HYPERLINK("https://ceds.ed.gov/cedselementdetails.aspx?termid=17040")</f>
        <v>https://ceds.ed.gov/cedselementdetails.aspx?termid=17040</v>
      </c>
      <c r="Q1107" s="14" t="str">
        <f>HYPERLINK("https://ceds.ed.gov/elementComment.aspx?elementName=Address City &amp;elementID=17040", "Click here to submit comment")</f>
        <v>Click here to submit comment</v>
      </c>
      <c r="R1107" s="14">
        <v>47970</v>
      </c>
    </row>
    <row r="1108" spans="1:18" ht="409.5" x14ac:dyDescent="0.25">
      <c r="A1108" s="14" t="s">
        <v>8732</v>
      </c>
      <c r="B1108" s="14" t="s">
        <v>8809</v>
      </c>
      <c r="C1108" s="14" t="s">
        <v>8538</v>
      </c>
      <c r="D1108" s="14" t="s">
        <v>8531</v>
      </c>
      <c r="E1108" s="14" t="s">
        <v>7960</v>
      </c>
      <c r="F1108" s="14" t="s">
        <v>7961</v>
      </c>
      <c r="G1108" s="8" t="s">
        <v>8540</v>
      </c>
      <c r="H1108" s="14" t="s">
        <v>7964</v>
      </c>
      <c r="I1108" s="14"/>
      <c r="J1108" s="14"/>
      <c r="K1108" s="14"/>
      <c r="L1108" s="14"/>
      <c r="M1108" s="14" t="s">
        <v>7962</v>
      </c>
      <c r="N1108" s="14"/>
      <c r="O1108" s="14" t="s">
        <v>7963</v>
      </c>
      <c r="P1108" s="14" t="str">
        <f>HYPERLINK("https://ceds.ed.gov/cedselementdetails.aspx?termid=17267")</f>
        <v>https://ceds.ed.gov/cedselementdetails.aspx?termid=17267</v>
      </c>
      <c r="Q1108" s="14" t="str">
        <f>HYPERLINK("https://ceds.ed.gov/elementComment.aspx?elementName=State Abbreviation &amp;elementID=17267", "Click here to submit comment")</f>
        <v>Click here to submit comment</v>
      </c>
      <c r="R1108" s="14">
        <v>47974</v>
      </c>
    </row>
    <row r="1109" spans="1:18" ht="225" x14ac:dyDescent="0.25">
      <c r="A1109" s="14" t="s">
        <v>8732</v>
      </c>
      <c r="B1109" s="14" t="s">
        <v>8809</v>
      </c>
      <c r="C1109" s="14" t="s">
        <v>8538</v>
      </c>
      <c r="D1109" s="14" t="s">
        <v>8531</v>
      </c>
      <c r="E1109" s="14" t="s">
        <v>209</v>
      </c>
      <c r="F1109" s="14" t="s">
        <v>210</v>
      </c>
      <c r="G1109" s="14" t="s">
        <v>37</v>
      </c>
      <c r="H1109" s="14" t="s">
        <v>199</v>
      </c>
      <c r="I1109" s="14"/>
      <c r="J1109" s="14" t="s">
        <v>211</v>
      </c>
      <c r="K1109" s="14"/>
      <c r="L1109" s="14"/>
      <c r="M1109" s="14" t="s">
        <v>212</v>
      </c>
      <c r="N1109" s="14"/>
      <c r="O1109" s="14" t="s">
        <v>213</v>
      </c>
      <c r="P1109" s="14" t="str">
        <f>HYPERLINK("https://ceds.ed.gov/cedselementdetails.aspx?termid=17214")</f>
        <v>https://ceds.ed.gov/cedselementdetails.aspx?termid=17214</v>
      </c>
      <c r="Q1109" s="14" t="str">
        <f>HYPERLINK("https://ceds.ed.gov/elementComment.aspx?elementName=Address Postal Code &amp;elementID=17214", "Click here to submit comment")</f>
        <v>Click here to submit comment</v>
      </c>
      <c r="R1109" s="14">
        <v>47973</v>
      </c>
    </row>
    <row r="1110" spans="1:18" ht="409.5" x14ac:dyDescent="0.25">
      <c r="A1110" s="14" t="s">
        <v>8732</v>
      </c>
      <c r="B1110" s="14" t="s">
        <v>8809</v>
      </c>
      <c r="C1110" s="14" t="s">
        <v>8538</v>
      </c>
      <c r="D1110" s="14" t="s">
        <v>8531</v>
      </c>
      <c r="E1110" s="14" t="s">
        <v>7975</v>
      </c>
      <c r="F1110" s="14" t="s">
        <v>7976</v>
      </c>
      <c r="G1110" s="8" t="s">
        <v>8536</v>
      </c>
      <c r="H1110" s="14" t="s">
        <v>7981</v>
      </c>
      <c r="I1110" s="14"/>
      <c r="J1110" s="14"/>
      <c r="K1110" s="14"/>
      <c r="L1110" s="14"/>
      <c r="M1110" s="14" t="s">
        <v>7979</v>
      </c>
      <c r="N1110" s="14"/>
      <c r="O1110" s="14" t="s">
        <v>7980</v>
      </c>
      <c r="P1110" s="14" t="str">
        <f>HYPERLINK("https://ceds.ed.gov/cedselementdetails.aspx?termid=17414")</f>
        <v>https://ceds.ed.gov/cedselementdetails.aspx?termid=17414</v>
      </c>
      <c r="Q1110" s="14" t="str">
        <f>HYPERLINK("https://ceds.ed.gov/elementComment.aspx?elementName=State ANSI Code &amp;elementID=17414", "Click here to submit comment")</f>
        <v>Click here to submit comment</v>
      </c>
      <c r="R1110" s="14">
        <v>49142</v>
      </c>
    </row>
    <row r="1111" spans="1:18" ht="45" x14ac:dyDescent="0.25">
      <c r="A1111" s="14" t="s">
        <v>8732</v>
      </c>
      <c r="B1111" s="14" t="s">
        <v>8809</v>
      </c>
      <c r="C1111" s="14" t="s">
        <v>8538</v>
      </c>
      <c r="D1111" s="14" t="s">
        <v>8531</v>
      </c>
      <c r="E1111" s="14" t="s">
        <v>2039</v>
      </c>
      <c r="F1111" s="14" t="s">
        <v>2040</v>
      </c>
      <c r="G1111" s="14" t="s">
        <v>37</v>
      </c>
      <c r="H1111" s="14"/>
      <c r="I1111" s="14" t="s">
        <v>195</v>
      </c>
      <c r="J1111" s="14" t="s">
        <v>175</v>
      </c>
      <c r="K1111" s="14" t="s">
        <v>196</v>
      </c>
      <c r="L1111" s="14"/>
      <c r="M1111" s="14" t="s">
        <v>2042</v>
      </c>
      <c r="N1111" s="14"/>
      <c r="O1111" s="14" t="s">
        <v>2043</v>
      </c>
      <c r="P1111" s="14" t="str">
        <f>HYPERLINK("https://ceds.ed.gov/cedselementdetails.aspx?termid=17595")</f>
        <v>https://ceds.ed.gov/cedselementdetails.aspx?termid=17595</v>
      </c>
      <c r="Q1111" s="14" t="str">
        <f>HYPERLINK("https://ceds.ed.gov/elementComment.aspx?elementName=Building Site Number &amp;elementID=17595", "Click here to submit comment")</f>
        <v>Click here to submit comment</v>
      </c>
      <c r="R1111" s="14">
        <v>51178</v>
      </c>
    </row>
    <row r="1112" spans="1:18" ht="75" x14ac:dyDescent="0.25">
      <c r="A1112" s="14" t="s">
        <v>8732</v>
      </c>
      <c r="B1112" s="14" t="s">
        <v>8809</v>
      </c>
      <c r="C1112" s="14" t="s">
        <v>8538</v>
      </c>
      <c r="D1112" s="14" t="s">
        <v>8531</v>
      </c>
      <c r="E1112" s="14" t="s">
        <v>5736</v>
      </c>
      <c r="F1112" s="14" t="s">
        <v>5737</v>
      </c>
      <c r="G1112" s="14" t="s">
        <v>37</v>
      </c>
      <c r="H1112" s="14"/>
      <c r="I1112" s="14"/>
      <c r="J1112" s="14" t="s">
        <v>1307</v>
      </c>
      <c r="K1112" s="14"/>
      <c r="L1112" s="14"/>
      <c r="M1112" s="14" t="s">
        <v>5739</v>
      </c>
      <c r="N1112" s="14"/>
      <c r="O1112" s="14" t="s">
        <v>5736</v>
      </c>
      <c r="P1112" s="14" t="str">
        <f>HYPERLINK("https://ceds.ed.gov/cedselementdetails.aspx?termid=17599")</f>
        <v>https://ceds.ed.gov/cedselementdetails.aspx?termid=17599</v>
      </c>
      <c r="Q1112" s="14" t="str">
        <f>HYPERLINK("https://ceds.ed.gov/elementComment.aspx?elementName=Latitude &amp;elementID=17599", "Click here to submit comment")</f>
        <v>Click here to submit comment</v>
      </c>
      <c r="R1112" s="14">
        <v>51260</v>
      </c>
    </row>
    <row r="1113" spans="1:18" ht="75" x14ac:dyDescent="0.25">
      <c r="A1113" s="14" t="s">
        <v>8732</v>
      </c>
      <c r="B1113" s="14" t="s">
        <v>8809</v>
      </c>
      <c r="C1113" s="14" t="s">
        <v>8538</v>
      </c>
      <c r="D1113" s="14" t="s">
        <v>8531</v>
      </c>
      <c r="E1113" s="14" t="s">
        <v>6174</v>
      </c>
      <c r="F1113" s="14" t="s">
        <v>6175</v>
      </c>
      <c r="G1113" s="14" t="s">
        <v>37</v>
      </c>
      <c r="H1113" s="14"/>
      <c r="I1113" s="14"/>
      <c r="J1113" s="14" t="s">
        <v>1307</v>
      </c>
      <c r="K1113" s="14"/>
      <c r="L1113" s="14"/>
      <c r="M1113" s="14" t="s">
        <v>6176</v>
      </c>
      <c r="N1113" s="14"/>
      <c r="O1113" s="14" t="s">
        <v>6174</v>
      </c>
      <c r="P1113" s="14" t="str">
        <f>HYPERLINK("https://ceds.ed.gov/cedselementdetails.aspx?termid=17600")</f>
        <v>https://ceds.ed.gov/cedselementdetails.aspx?termid=17600</v>
      </c>
      <c r="Q1113" s="14" t="str">
        <f>HYPERLINK("https://ceds.ed.gov/elementComment.aspx?elementName=Longitude &amp;elementID=17600", "Click here to submit comment")</f>
        <v>Click here to submit comment</v>
      </c>
      <c r="R1113" s="14">
        <v>51283</v>
      </c>
    </row>
    <row r="1114" spans="1:18" ht="195" x14ac:dyDescent="0.25">
      <c r="A1114" s="14" t="s">
        <v>8732</v>
      </c>
      <c r="B1114" s="14" t="s">
        <v>8809</v>
      </c>
      <c r="C1114" s="14" t="s">
        <v>8538</v>
      </c>
      <c r="D1114" s="14" t="s">
        <v>8541</v>
      </c>
      <c r="E1114" s="14" t="s">
        <v>2860</v>
      </c>
      <c r="F1114" s="14" t="s">
        <v>2861</v>
      </c>
      <c r="G1114" s="14" t="s">
        <v>37</v>
      </c>
      <c r="H1114" s="14"/>
      <c r="I1114" s="14" t="s">
        <v>195</v>
      </c>
      <c r="J1114" s="14" t="s">
        <v>2863</v>
      </c>
      <c r="K1114" s="14" t="s">
        <v>2864</v>
      </c>
      <c r="L1114" s="14"/>
      <c r="M1114" s="14" t="s">
        <v>2865</v>
      </c>
      <c r="N1114" s="14"/>
      <c r="O1114" s="14" t="s">
        <v>2866</v>
      </c>
      <c r="P1114" s="14" t="str">
        <f>HYPERLINK("https://ceds.ed.gov/cedselementdetails.aspx?termid=18176")</f>
        <v>https://ceds.ed.gov/cedselementdetails.aspx?termid=18176</v>
      </c>
      <c r="Q1114" s="14" t="str">
        <f>HYPERLINK("https://ceds.ed.gov/elementComment.aspx?elementName=County ANSI Code &amp;elementID=18176", "Click here to submit comment")</f>
        <v>Click here to submit comment</v>
      </c>
      <c r="R1114" s="14">
        <v>52381</v>
      </c>
    </row>
    <row r="1115" spans="1:18" ht="60" x14ac:dyDescent="0.25">
      <c r="A1115" s="14" t="s">
        <v>8732</v>
      </c>
      <c r="B1115" s="14" t="s">
        <v>8809</v>
      </c>
      <c r="C1115" s="14" t="s">
        <v>8538</v>
      </c>
      <c r="D1115" s="14" t="s">
        <v>8541</v>
      </c>
      <c r="E1115" s="14" t="s">
        <v>3651</v>
      </c>
      <c r="F1115" s="14" t="s">
        <v>3652</v>
      </c>
      <c r="G1115" s="14" t="s">
        <v>3430</v>
      </c>
      <c r="H1115" s="14"/>
      <c r="I1115" s="14" t="s">
        <v>188</v>
      </c>
      <c r="J1115" s="14"/>
      <c r="K1115" s="14" t="s">
        <v>1721</v>
      </c>
      <c r="L1115" s="14"/>
      <c r="M1115" s="14" t="s">
        <v>3654</v>
      </c>
      <c r="N1115" s="14"/>
      <c r="O1115" s="14" t="s">
        <v>3655</v>
      </c>
      <c r="P1115" s="14" t="str">
        <f>HYPERLINK("https://ceds.ed.gov/cedselementdetails.aspx?termid=18905")</f>
        <v>https://ceds.ed.gov/cedselementdetails.aspx?termid=18905</v>
      </c>
      <c r="Q1115" s="14" t="str">
        <f>HYPERLINK("https://ceds.ed.gov/elementComment.aspx?elementName=Do Not Publish Indicator &amp;elementID=18905", "Click here to submit comment")</f>
        <v>Click here to submit comment</v>
      </c>
      <c r="R1115" s="14">
        <v>52382</v>
      </c>
    </row>
    <row r="1116" spans="1:18" ht="90" x14ac:dyDescent="0.25">
      <c r="A1116" s="14" t="s">
        <v>8732</v>
      </c>
      <c r="B1116" s="14" t="s">
        <v>8809</v>
      </c>
      <c r="C1116" s="14" t="s">
        <v>8545</v>
      </c>
      <c r="D1116" s="14" t="s">
        <v>8531</v>
      </c>
      <c r="E1116" s="14" t="s">
        <v>6758</v>
      </c>
      <c r="F1116" s="14" t="s">
        <v>6759</v>
      </c>
      <c r="G1116" s="14" t="s">
        <v>37</v>
      </c>
      <c r="H1116" s="14" t="s">
        <v>72</v>
      </c>
      <c r="I1116" s="14"/>
      <c r="J1116" s="14" t="s">
        <v>1510</v>
      </c>
      <c r="K1116" s="14"/>
      <c r="L1116" s="14"/>
      <c r="M1116" s="14" t="s">
        <v>6761</v>
      </c>
      <c r="N1116" s="14"/>
      <c r="O1116" s="14" t="s">
        <v>6762</v>
      </c>
      <c r="P1116" s="14" t="str">
        <f>HYPERLINK("https://ceds.ed.gov/cedselementdetails.aspx?termid=17213")</f>
        <v>https://ceds.ed.gov/cedselementdetails.aspx?termid=17213</v>
      </c>
      <c r="Q1116" s="14" t="str">
        <f>HYPERLINK("https://ceds.ed.gov/elementComment.aspx?elementName=Position Title &amp;elementID=17213", "Click here to submit comment")</f>
        <v>Click here to submit comment</v>
      </c>
      <c r="R1116" s="14">
        <v>50313</v>
      </c>
    </row>
    <row r="1117" spans="1:18" ht="90" x14ac:dyDescent="0.25">
      <c r="A1117" s="14" t="s">
        <v>8732</v>
      </c>
      <c r="B1117" s="14" t="s">
        <v>8809</v>
      </c>
      <c r="C1117" s="14" t="s">
        <v>8545</v>
      </c>
      <c r="D1117" s="14" t="s">
        <v>8531</v>
      </c>
      <c r="E1117" s="14" t="s">
        <v>6852</v>
      </c>
      <c r="F1117" s="14" t="s">
        <v>6853</v>
      </c>
      <c r="G1117" s="14" t="s">
        <v>24</v>
      </c>
      <c r="H1117" s="14"/>
      <c r="I1117" s="14"/>
      <c r="J1117" s="14"/>
      <c r="K1117" s="14"/>
      <c r="L1117" s="14"/>
      <c r="M1117" s="14" t="s">
        <v>6855</v>
      </c>
      <c r="N1117" s="14"/>
      <c r="O1117" s="14" t="s">
        <v>6856</v>
      </c>
      <c r="P1117" s="14" t="str">
        <f>HYPERLINK("https://ceds.ed.gov/cedselementdetails.aspx?termid=18397")</f>
        <v>https://ceds.ed.gov/cedselementdetails.aspx?termid=18397</v>
      </c>
      <c r="Q1117" s="14" t="str">
        <f>HYPERLINK("https://ceds.ed.gov/elementComment.aspx?elementName=Primary Contact Indicator &amp;elementID=18397", "Click here to submit comment")</f>
        <v>Click here to submit comment</v>
      </c>
      <c r="R1117" s="14">
        <v>50324</v>
      </c>
    </row>
    <row r="1118" spans="1:18" ht="45" x14ac:dyDescent="0.25">
      <c r="A1118" s="14" t="s">
        <v>8732</v>
      </c>
      <c r="B1118" s="14" t="s">
        <v>8809</v>
      </c>
      <c r="C1118" s="14" t="s">
        <v>8545</v>
      </c>
      <c r="D1118" s="14" t="s">
        <v>8531</v>
      </c>
      <c r="E1118" s="14" t="s">
        <v>8467</v>
      </c>
      <c r="F1118" s="14" t="s">
        <v>8468</v>
      </c>
      <c r="G1118" s="14" t="s">
        <v>37</v>
      </c>
      <c r="H1118" s="14" t="s">
        <v>258</v>
      </c>
      <c r="I1118" s="14"/>
      <c r="J1118" s="14" t="s">
        <v>129</v>
      </c>
      <c r="K1118" s="14"/>
      <c r="L1118" s="14"/>
      <c r="M1118" s="14" t="s">
        <v>8470</v>
      </c>
      <c r="N1118" s="14"/>
      <c r="O1118" s="14" t="s">
        <v>8471</v>
      </c>
      <c r="P1118" s="14" t="str">
        <f>HYPERLINK("https://ceds.ed.gov/cedselementdetails.aspx?termid=17300")</f>
        <v>https://ceds.ed.gov/cedselementdetails.aspx?termid=17300</v>
      </c>
      <c r="Q1118" s="14" t="str">
        <f>HYPERLINK("https://ceds.ed.gov/elementComment.aspx?elementName=Web Site Address &amp;elementID=17300", "Click here to submit comment")</f>
        <v>Click here to submit comment</v>
      </c>
      <c r="R1118" s="14">
        <v>50451</v>
      </c>
    </row>
    <row r="1119" spans="1:18" ht="195" x14ac:dyDescent="0.25">
      <c r="A1119" s="14" t="s">
        <v>8732</v>
      </c>
      <c r="B1119" s="14" t="s">
        <v>8809</v>
      </c>
      <c r="C1119" s="14" t="s">
        <v>8546</v>
      </c>
      <c r="D1119" s="14" t="s">
        <v>8531</v>
      </c>
      <c r="E1119" s="14" t="s">
        <v>4667</v>
      </c>
      <c r="F1119" s="14" t="s">
        <v>4668</v>
      </c>
      <c r="G1119" s="14" t="s">
        <v>37</v>
      </c>
      <c r="H1119" s="14" t="s">
        <v>4673</v>
      </c>
      <c r="I1119" s="14"/>
      <c r="J1119" s="14" t="s">
        <v>1468</v>
      </c>
      <c r="K1119" s="14"/>
      <c r="L1119" s="14" t="s">
        <v>4670</v>
      </c>
      <c r="M1119" s="14" t="s">
        <v>4671</v>
      </c>
      <c r="N1119" s="14"/>
      <c r="O1119" s="14" t="s">
        <v>4672</v>
      </c>
      <c r="P1119" s="14" t="str">
        <f>HYPERLINK("https://ceds.ed.gov/cedselementdetails.aspx?termid=17115")</f>
        <v>https://ceds.ed.gov/cedselementdetails.aspx?termid=17115</v>
      </c>
      <c r="Q1119" s="14" t="str">
        <f>HYPERLINK("https://ceds.ed.gov/elementComment.aspx?elementName=First Name &amp;elementID=17115", "Click here to submit comment")</f>
        <v>Click here to submit comment</v>
      </c>
      <c r="R1119" s="14">
        <v>50046</v>
      </c>
    </row>
    <row r="1120" spans="1:18" x14ac:dyDescent="0.25">
      <c r="A1120" s="16" t="s">
        <v>8732</v>
      </c>
      <c r="B1120" s="16" t="s">
        <v>8809</v>
      </c>
      <c r="C1120" s="16" t="s">
        <v>8546</v>
      </c>
      <c r="D1120" s="16" t="s">
        <v>8531</v>
      </c>
      <c r="E1120" s="16" t="s">
        <v>6223</v>
      </c>
      <c r="F1120" s="16" t="s">
        <v>6224</v>
      </c>
      <c r="G1120" s="16" t="s">
        <v>37</v>
      </c>
      <c r="H1120" s="16" t="s">
        <v>4673</v>
      </c>
      <c r="I1120" s="16"/>
      <c r="J1120" s="16" t="s">
        <v>1468</v>
      </c>
      <c r="K1120" s="16"/>
      <c r="L1120" s="14" t="s">
        <v>4746</v>
      </c>
      <c r="M1120" s="16" t="s">
        <v>6226</v>
      </c>
      <c r="N1120" s="16"/>
      <c r="O1120" s="16" t="s">
        <v>6227</v>
      </c>
      <c r="P1120" s="16" t="str">
        <f>HYPERLINK("https://ceds.ed.gov/cedselementdetails.aspx?termid=17184")</f>
        <v>https://ceds.ed.gov/cedselementdetails.aspx?termid=17184</v>
      </c>
      <c r="Q1120" s="16" t="str">
        <f>HYPERLINK("https://ceds.ed.gov/elementComment.aspx?elementName=Middle Name &amp;elementID=17184", "Click here to submit comment")</f>
        <v>Click here to submit comment</v>
      </c>
      <c r="R1120" s="16">
        <v>50047</v>
      </c>
    </row>
    <row r="1121" spans="1:18" ht="90" x14ac:dyDescent="0.25">
      <c r="A1121" s="16"/>
      <c r="B1121" s="16"/>
      <c r="C1121" s="16"/>
      <c r="D1121" s="16"/>
      <c r="E1121" s="16"/>
      <c r="F1121" s="16"/>
      <c r="G1121" s="16"/>
      <c r="H1121" s="16"/>
      <c r="I1121" s="16"/>
      <c r="J1121" s="16"/>
      <c r="K1121" s="16"/>
      <c r="L1121" s="14" t="s">
        <v>4750</v>
      </c>
      <c r="M1121" s="16"/>
      <c r="N1121" s="16"/>
      <c r="O1121" s="16"/>
      <c r="P1121" s="16"/>
      <c r="Q1121" s="16"/>
      <c r="R1121" s="16"/>
    </row>
    <row r="1122" spans="1:18" x14ac:dyDescent="0.25">
      <c r="A1122" s="16" t="s">
        <v>8732</v>
      </c>
      <c r="B1122" s="16" t="s">
        <v>8809</v>
      </c>
      <c r="C1122" s="16" t="s">
        <v>8546</v>
      </c>
      <c r="D1122" s="16" t="s">
        <v>8531</v>
      </c>
      <c r="E1122" s="16" t="s">
        <v>5727</v>
      </c>
      <c r="F1122" s="16" t="s">
        <v>5728</v>
      </c>
      <c r="G1122" s="16" t="s">
        <v>37</v>
      </c>
      <c r="H1122" s="16" t="s">
        <v>4673</v>
      </c>
      <c r="I1122" s="16"/>
      <c r="J1122" s="16" t="s">
        <v>1468</v>
      </c>
      <c r="K1122" s="16"/>
      <c r="L1122" s="14" t="s">
        <v>4746</v>
      </c>
      <c r="M1122" s="16" t="s">
        <v>5729</v>
      </c>
      <c r="N1122" s="16" t="s">
        <v>5730</v>
      </c>
      <c r="O1122" s="16" t="s">
        <v>5731</v>
      </c>
      <c r="P1122" s="16" t="str">
        <f>HYPERLINK("https://ceds.ed.gov/cedselementdetails.aspx?termid=17172")</f>
        <v>https://ceds.ed.gov/cedselementdetails.aspx?termid=17172</v>
      </c>
      <c r="Q1122" s="16" t="str">
        <f>HYPERLINK("https://ceds.ed.gov/elementComment.aspx?elementName=Last or Surname &amp;elementID=17172", "Click here to submit comment")</f>
        <v>Click here to submit comment</v>
      </c>
      <c r="R1122" s="16">
        <v>50048</v>
      </c>
    </row>
    <row r="1123" spans="1:18" ht="90" x14ac:dyDescent="0.25">
      <c r="A1123" s="16"/>
      <c r="B1123" s="16"/>
      <c r="C1123" s="16"/>
      <c r="D1123" s="16"/>
      <c r="E1123" s="16"/>
      <c r="F1123" s="16"/>
      <c r="G1123" s="16"/>
      <c r="H1123" s="16"/>
      <c r="I1123" s="16"/>
      <c r="J1123" s="16"/>
      <c r="K1123" s="16"/>
      <c r="L1123" s="14" t="s">
        <v>4750</v>
      </c>
      <c r="M1123" s="16"/>
      <c r="N1123" s="16"/>
      <c r="O1123" s="16"/>
      <c r="P1123" s="16"/>
      <c r="Q1123" s="16"/>
      <c r="R1123" s="16"/>
    </row>
    <row r="1124" spans="1:18" x14ac:dyDescent="0.25">
      <c r="A1124" s="16" t="s">
        <v>8732</v>
      </c>
      <c r="B1124" s="16" t="s">
        <v>8809</v>
      </c>
      <c r="C1124" s="16" t="s">
        <v>8546</v>
      </c>
      <c r="D1124" s="16" t="s">
        <v>8531</v>
      </c>
      <c r="E1124" s="16" t="s">
        <v>4743</v>
      </c>
      <c r="F1124" s="16" t="s">
        <v>4744</v>
      </c>
      <c r="G1124" s="16" t="s">
        <v>37</v>
      </c>
      <c r="H1124" s="16" t="s">
        <v>4749</v>
      </c>
      <c r="I1124" s="16"/>
      <c r="J1124" s="16" t="s">
        <v>3096</v>
      </c>
      <c r="K1124" s="16"/>
      <c r="L1124" s="14" t="s">
        <v>4746</v>
      </c>
      <c r="M1124" s="16" t="s">
        <v>4747</v>
      </c>
      <c r="N1124" s="16"/>
      <c r="O1124" s="16" t="s">
        <v>4748</v>
      </c>
      <c r="P1124" s="16" t="str">
        <f>HYPERLINK("https://ceds.ed.gov/cedselementdetails.aspx?termid=17121")</f>
        <v>https://ceds.ed.gov/cedselementdetails.aspx?termid=17121</v>
      </c>
      <c r="Q1124" s="16" t="str">
        <f>HYPERLINK("https://ceds.ed.gov/elementComment.aspx?elementName=Generation Code or Suffix &amp;elementID=17121", "Click here to submit comment")</f>
        <v>Click here to submit comment</v>
      </c>
      <c r="R1124" s="16">
        <v>50049</v>
      </c>
    </row>
    <row r="1125" spans="1:18" ht="90" x14ac:dyDescent="0.25">
      <c r="A1125" s="16"/>
      <c r="B1125" s="16"/>
      <c r="C1125" s="16"/>
      <c r="D1125" s="16"/>
      <c r="E1125" s="16"/>
      <c r="F1125" s="16"/>
      <c r="G1125" s="16"/>
      <c r="H1125" s="16"/>
      <c r="I1125" s="16"/>
      <c r="J1125" s="16"/>
      <c r="K1125" s="16"/>
      <c r="L1125" s="14" t="s">
        <v>4750</v>
      </c>
      <c r="M1125" s="16"/>
      <c r="N1125" s="16"/>
      <c r="O1125" s="16"/>
      <c r="P1125" s="16"/>
      <c r="Q1125" s="16"/>
      <c r="R1125" s="16"/>
    </row>
    <row r="1126" spans="1:18" ht="105" x14ac:dyDescent="0.25">
      <c r="A1126" s="14" t="s">
        <v>8732</v>
      </c>
      <c r="B1126" s="14" t="s">
        <v>8809</v>
      </c>
      <c r="C1126" s="14" t="s">
        <v>8546</v>
      </c>
      <c r="D1126" s="14" t="s">
        <v>8531</v>
      </c>
      <c r="E1126" s="14" t="s">
        <v>6741</v>
      </c>
      <c r="F1126" s="14" t="s">
        <v>6742</v>
      </c>
      <c r="G1126" s="14" t="s">
        <v>37</v>
      </c>
      <c r="H1126" s="14" t="s">
        <v>6747</v>
      </c>
      <c r="I1126" s="14"/>
      <c r="J1126" s="14" t="s">
        <v>97</v>
      </c>
      <c r="K1126" s="14"/>
      <c r="L1126" s="14"/>
      <c r="M1126" s="14" t="s">
        <v>6744</v>
      </c>
      <c r="N1126" s="14" t="s">
        <v>6745</v>
      </c>
      <c r="O1126" s="14" t="s">
        <v>6746</v>
      </c>
      <c r="P1126" s="14" t="str">
        <f>HYPERLINK("https://ceds.ed.gov/cedselementdetails.aspx?termid=17212")</f>
        <v>https://ceds.ed.gov/cedselementdetails.aspx?termid=17212</v>
      </c>
      <c r="Q1126" s="14" t="str">
        <f>HYPERLINK("https://ceds.ed.gov/elementComment.aspx?elementName=Personal Title or Prefix &amp;elementID=17212", "Click here to submit comment")</f>
        <v>Click here to submit comment</v>
      </c>
      <c r="R1126" s="14">
        <v>50050</v>
      </c>
    </row>
    <row r="1127" spans="1:18" ht="105" x14ac:dyDescent="0.25">
      <c r="A1127" s="14" t="s">
        <v>8732</v>
      </c>
      <c r="B1127" s="14" t="s">
        <v>8809</v>
      </c>
      <c r="C1127" s="14" t="s">
        <v>8547</v>
      </c>
      <c r="D1127" s="14" t="s">
        <v>8531</v>
      </c>
      <c r="E1127" s="14" t="s">
        <v>232</v>
      </c>
      <c r="F1127" s="14" t="s">
        <v>233</v>
      </c>
      <c r="G1127" s="8" t="s">
        <v>8688</v>
      </c>
      <c r="H1127" s="14" t="s">
        <v>238</v>
      </c>
      <c r="I1127" s="14"/>
      <c r="J1127" s="14" t="s">
        <v>97</v>
      </c>
      <c r="K1127" s="14"/>
      <c r="L1127" s="14"/>
      <c r="M1127" s="14" t="s">
        <v>236</v>
      </c>
      <c r="N1127" s="14"/>
      <c r="O1127" s="14" t="s">
        <v>237</v>
      </c>
      <c r="P1127" s="14" t="str">
        <f>HYPERLINK("https://ceds.ed.gov/cedselementdetails.aspx?termid=17698")</f>
        <v>https://ceds.ed.gov/cedselementdetails.aspx?termid=17698</v>
      </c>
      <c r="Q1127" s="14" t="str">
        <f>HYPERLINK("https://ceds.ed.gov/elementComment.aspx?elementName=Address Type for Staff &amp;elementID=17698", "Click here to submit comment")</f>
        <v>Click here to submit comment</v>
      </c>
      <c r="R1127" s="14">
        <v>50051</v>
      </c>
    </row>
    <row r="1128" spans="1:18" ht="225" x14ac:dyDescent="0.25">
      <c r="A1128" s="14" t="s">
        <v>8732</v>
      </c>
      <c r="B1128" s="14" t="s">
        <v>8809</v>
      </c>
      <c r="C1128" s="14" t="s">
        <v>8547</v>
      </c>
      <c r="D1128" s="14" t="s">
        <v>8531</v>
      </c>
      <c r="E1128" s="14" t="s">
        <v>214</v>
      </c>
      <c r="F1128" s="14" t="s">
        <v>215</v>
      </c>
      <c r="G1128" s="14" t="s">
        <v>37</v>
      </c>
      <c r="H1128" s="14" t="s">
        <v>199</v>
      </c>
      <c r="I1128" s="14" t="s">
        <v>195</v>
      </c>
      <c r="J1128" s="14" t="s">
        <v>216</v>
      </c>
      <c r="K1128" s="14" t="s">
        <v>196</v>
      </c>
      <c r="L1128" s="14"/>
      <c r="M1128" s="14" t="s">
        <v>217</v>
      </c>
      <c r="N1128" s="14"/>
      <c r="O1128" s="14" t="s">
        <v>218</v>
      </c>
      <c r="P1128" s="14" t="str">
        <f>HYPERLINK("https://ceds.ed.gov/cedselementdetails.aspx?termid=17269")</f>
        <v>https://ceds.ed.gov/cedselementdetails.aspx?termid=17269</v>
      </c>
      <c r="Q1128" s="14" t="str">
        <f>HYPERLINK("https://ceds.ed.gov/elementComment.aspx?elementName=Address Street Number and Name &amp;elementID=17269", "Click here to submit comment")</f>
        <v>Click here to submit comment</v>
      </c>
      <c r="R1128" s="14">
        <v>50052</v>
      </c>
    </row>
    <row r="1129" spans="1:18" ht="225" x14ac:dyDescent="0.25">
      <c r="A1129" s="14" t="s">
        <v>8732</v>
      </c>
      <c r="B1129" s="14" t="s">
        <v>8809</v>
      </c>
      <c r="C1129" s="14" t="s">
        <v>8547</v>
      </c>
      <c r="D1129" s="14" t="s">
        <v>8531</v>
      </c>
      <c r="E1129" s="14" t="s">
        <v>192</v>
      </c>
      <c r="F1129" s="14" t="s">
        <v>193</v>
      </c>
      <c r="G1129" s="14" t="s">
        <v>37</v>
      </c>
      <c r="H1129" s="14" t="s">
        <v>199</v>
      </c>
      <c r="I1129" s="14" t="s">
        <v>195</v>
      </c>
      <c r="J1129" s="14" t="s">
        <v>175</v>
      </c>
      <c r="K1129" s="14" t="s">
        <v>196</v>
      </c>
      <c r="L1129" s="14"/>
      <c r="M1129" s="14" t="s">
        <v>197</v>
      </c>
      <c r="N1129" s="14"/>
      <c r="O1129" s="14" t="s">
        <v>198</v>
      </c>
      <c r="P1129" s="14" t="str">
        <f>HYPERLINK("https://ceds.ed.gov/cedselementdetails.aspx?termid=17019")</f>
        <v>https://ceds.ed.gov/cedselementdetails.aspx?termid=17019</v>
      </c>
      <c r="Q1129" s="14" t="str">
        <f>HYPERLINK("https://ceds.ed.gov/elementComment.aspx?elementName=Address Apartment Room or Suite Number &amp;elementID=17019", "Click here to submit comment")</f>
        <v>Click here to submit comment</v>
      </c>
      <c r="R1129" s="14">
        <v>50053</v>
      </c>
    </row>
    <row r="1130" spans="1:18" ht="225" x14ac:dyDescent="0.25">
      <c r="A1130" s="14" t="s">
        <v>8732</v>
      </c>
      <c r="B1130" s="14" t="s">
        <v>8809</v>
      </c>
      <c r="C1130" s="14" t="s">
        <v>8547</v>
      </c>
      <c r="D1130" s="14" t="s">
        <v>8531</v>
      </c>
      <c r="E1130" s="14" t="s">
        <v>200</v>
      </c>
      <c r="F1130" s="14" t="s">
        <v>201</v>
      </c>
      <c r="G1130" s="14" t="s">
        <v>37</v>
      </c>
      <c r="H1130" s="14" t="s">
        <v>199</v>
      </c>
      <c r="I1130" s="14"/>
      <c r="J1130" s="14" t="s">
        <v>97</v>
      </c>
      <c r="K1130" s="14"/>
      <c r="L1130" s="14"/>
      <c r="M1130" s="14" t="s">
        <v>202</v>
      </c>
      <c r="N1130" s="14"/>
      <c r="O1130" s="14" t="s">
        <v>203</v>
      </c>
      <c r="P1130" s="14" t="str">
        <f>HYPERLINK("https://ceds.ed.gov/cedselementdetails.aspx?termid=17040")</f>
        <v>https://ceds.ed.gov/cedselementdetails.aspx?termid=17040</v>
      </c>
      <c r="Q1130" s="14" t="str">
        <f>HYPERLINK("https://ceds.ed.gov/elementComment.aspx?elementName=Address City &amp;elementID=17040", "Click here to submit comment")</f>
        <v>Click here to submit comment</v>
      </c>
      <c r="R1130" s="14">
        <v>50054</v>
      </c>
    </row>
    <row r="1131" spans="1:18" ht="409.5" x14ac:dyDescent="0.25">
      <c r="A1131" s="14" t="s">
        <v>8732</v>
      </c>
      <c r="B1131" s="14" t="s">
        <v>8809</v>
      </c>
      <c r="C1131" s="14" t="s">
        <v>8547</v>
      </c>
      <c r="D1131" s="14" t="s">
        <v>8531</v>
      </c>
      <c r="E1131" s="14" t="s">
        <v>7960</v>
      </c>
      <c r="F1131" s="14" t="s">
        <v>7961</v>
      </c>
      <c r="G1131" s="8" t="s">
        <v>8540</v>
      </c>
      <c r="H1131" s="14" t="s">
        <v>7964</v>
      </c>
      <c r="I1131" s="14"/>
      <c r="J1131" s="14"/>
      <c r="K1131" s="14"/>
      <c r="L1131" s="14"/>
      <c r="M1131" s="14" t="s">
        <v>7962</v>
      </c>
      <c r="N1131" s="14"/>
      <c r="O1131" s="14" t="s">
        <v>7963</v>
      </c>
      <c r="P1131" s="14" t="str">
        <f>HYPERLINK("https://ceds.ed.gov/cedselementdetails.aspx?termid=17267")</f>
        <v>https://ceds.ed.gov/cedselementdetails.aspx?termid=17267</v>
      </c>
      <c r="Q1131" s="14" t="str">
        <f>HYPERLINK("https://ceds.ed.gov/elementComment.aspx?elementName=State Abbreviation &amp;elementID=17267", "Click here to submit comment")</f>
        <v>Click here to submit comment</v>
      </c>
      <c r="R1131" s="14">
        <v>50055</v>
      </c>
    </row>
    <row r="1132" spans="1:18" ht="225" x14ac:dyDescent="0.25">
      <c r="A1132" s="14" t="s">
        <v>8732</v>
      </c>
      <c r="B1132" s="14" t="s">
        <v>8809</v>
      </c>
      <c r="C1132" s="14" t="s">
        <v>8547</v>
      </c>
      <c r="D1132" s="14" t="s">
        <v>8531</v>
      </c>
      <c r="E1132" s="14" t="s">
        <v>209</v>
      </c>
      <c r="F1132" s="14" t="s">
        <v>210</v>
      </c>
      <c r="G1132" s="14" t="s">
        <v>37</v>
      </c>
      <c r="H1132" s="14" t="s">
        <v>199</v>
      </c>
      <c r="I1132" s="14"/>
      <c r="J1132" s="14" t="s">
        <v>211</v>
      </c>
      <c r="K1132" s="14"/>
      <c r="L1132" s="14"/>
      <c r="M1132" s="14" t="s">
        <v>212</v>
      </c>
      <c r="N1132" s="14"/>
      <c r="O1132" s="14" t="s">
        <v>213</v>
      </c>
      <c r="P1132" s="14" t="str">
        <f>HYPERLINK("https://ceds.ed.gov/cedselementdetails.aspx?termid=17214")</f>
        <v>https://ceds.ed.gov/cedselementdetails.aspx?termid=17214</v>
      </c>
      <c r="Q1132" s="14" t="str">
        <f>HYPERLINK("https://ceds.ed.gov/elementComment.aspx?elementName=Address Postal Code &amp;elementID=17214", "Click here to submit comment")</f>
        <v>Click here to submit comment</v>
      </c>
      <c r="R1132" s="14">
        <v>50056</v>
      </c>
    </row>
    <row r="1133" spans="1:18" ht="225" x14ac:dyDescent="0.25">
      <c r="A1133" s="14" t="s">
        <v>8732</v>
      </c>
      <c r="B1133" s="14" t="s">
        <v>8809</v>
      </c>
      <c r="C1133" s="14" t="s">
        <v>8547</v>
      </c>
      <c r="D1133" s="14" t="s">
        <v>8531</v>
      </c>
      <c r="E1133" s="14" t="s">
        <v>204</v>
      </c>
      <c r="F1133" s="14" t="s">
        <v>205</v>
      </c>
      <c r="G1133" s="14" t="s">
        <v>37</v>
      </c>
      <c r="H1133" s="14" t="s">
        <v>199</v>
      </c>
      <c r="I1133" s="14"/>
      <c r="J1133" s="14" t="s">
        <v>97</v>
      </c>
      <c r="K1133" s="14"/>
      <c r="L1133" s="14"/>
      <c r="M1133" s="14" t="s">
        <v>207</v>
      </c>
      <c r="N1133" s="14"/>
      <c r="O1133" s="14" t="s">
        <v>208</v>
      </c>
      <c r="P1133" s="14" t="str">
        <f>HYPERLINK("https://ceds.ed.gov/cedselementdetails.aspx?termid=17190")</f>
        <v>https://ceds.ed.gov/cedselementdetails.aspx?termid=17190</v>
      </c>
      <c r="Q1133" s="14" t="str">
        <f>HYPERLINK("https://ceds.ed.gov/elementComment.aspx?elementName=Address County Name &amp;elementID=17190", "Click here to submit comment")</f>
        <v>Click here to submit comment</v>
      </c>
      <c r="R1133" s="14">
        <v>50057</v>
      </c>
    </row>
    <row r="1134" spans="1:18" ht="409.5" x14ac:dyDescent="0.25">
      <c r="A1134" s="14" t="s">
        <v>8732</v>
      </c>
      <c r="B1134" s="14" t="s">
        <v>8809</v>
      </c>
      <c r="C1134" s="14" t="s">
        <v>8547</v>
      </c>
      <c r="D1134" s="14" t="s">
        <v>8531</v>
      </c>
      <c r="E1134" s="14" t="s">
        <v>2845</v>
      </c>
      <c r="F1134" s="14" t="s">
        <v>2846</v>
      </c>
      <c r="G1134" s="8" t="s">
        <v>8548</v>
      </c>
      <c r="H1134" s="14" t="s">
        <v>2852</v>
      </c>
      <c r="I1134" s="14"/>
      <c r="J1134" s="14"/>
      <c r="K1134" s="14"/>
      <c r="L1134" s="6" t="s">
        <v>2849</v>
      </c>
      <c r="M1134" s="14" t="s">
        <v>2850</v>
      </c>
      <c r="N1134" s="14"/>
      <c r="O1134" s="14" t="s">
        <v>2851</v>
      </c>
      <c r="P1134" s="14" t="str">
        <f>HYPERLINK("https://ceds.ed.gov/cedselementdetails.aspx?termid=17050")</f>
        <v>https://ceds.ed.gov/cedselementdetails.aspx?termid=17050</v>
      </c>
      <c r="Q1134" s="14" t="str">
        <f>HYPERLINK("https://ceds.ed.gov/elementComment.aspx?elementName=Country Code &amp;elementID=17050", "Click here to submit comment")</f>
        <v>Click here to submit comment</v>
      </c>
      <c r="R1134" s="14">
        <v>50058</v>
      </c>
    </row>
    <row r="1135" spans="1:18" ht="75" x14ac:dyDescent="0.25">
      <c r="A1135" s="14" t="s">
        <v>8732</v>
      </c>
      <c r="B1135" s="14" t="s">
        <v>8809</v>
      </c>
      <c r="C1135" s="14" t="s">
        <v>8547</v>
      </c>
      <c r="D1135" s="14" t="s">
        <v>8531</v>
      </c>
      <c r="E1135" s="14" t="s">
        <v>5736</v>
      </c>
      <c r="F1135" s="14" t="s">
        <v>5737</v>
      </c>
      <c r="G1135" s="14" t="s">
        <v>37</v>
      </c>
      <c r="H1135" s="14"/>
      <c r="I1135" s="14"/>
      <c r="J1135" s="14" t="s">
        <v>1307</v>
      </c>
      <c r="K1135" s="14"/>
      <c r="L1135" s="14"/>
      <c r="M1135" s="14" t="s">
        <v>5739</v>
      </c>
      <c r="N1135" s="14"/>
      <c r="O1135" s="14" t="s">
        <v>5736</v>
      </c>
      <c r="P1135" s="14" t="str">
        <f>HYPERLINK("https://ceds.ed.gov/cedselementdetails.aspx?termid=17599")</f>
        <v>https://ceds.ed.gov/cedselementdetails.aspx?termid=17599</v>
      </c>
      <c r="Q1135" s="14" t="str">
        <f>HYPERLINK("https://ceds.ed.gov/elementComment.aspx?elementName=Latitude &amp;elementID=17599", "Click here to submit comment")</f>
        <v>Click here to submit comment</v>
      </c>
      <c r="R1135" s="14">
        <v>51268</v>
      </c>
    </row>
    <row r="1136" spans="1:18" ht="75" x14ac:dyDescent="0.25">
      <c r="A1136" s="14" t="s">
        <v>8732</v>
      </c>
      <c r="B1136" s="14" t="s">
        <v>8809</v>
      </c>
      <c r="C1136" s="14" t="s">
        <v>8547</v>
      </c>
      <c r="D1136" s="14" t="s">
        <v>8531</v>
      </c>
      <c r="E1136" s="14" t="s">
        <v>6174</v>
      </c>
      <c r="F1136" s="14" t="s">
        <v>6175</v>
      </c>
      <c r="G1136" s="14" t="s">
        <v>37</v>
      </c>
      <c r="H1136" s="14"/>
      <c r="I1136" s="14"/>
      <c r="J1136" s="14" t="s">
        <v>1307</v>
      </c>
      <c r="K1136" s="14"/>
      <c r="L1136" s="14"/>
      <c r="M1136" s="14" t="s">
        <v>6176</v>
      </c>
      <c r="N1136" s="14"/>
      <c r="O1136" s="14" t="s">
        <v>6174</v>
      </c>
      <c r="P1136" s="14" t="str">
        <f>HYPERLINK("https://ceds.ed.gov/cedselementdetails.aspx?termid=17600")</f>
        <v>https://ceds.ed.gov/cedselementdetails.aspx?termid=17600</v>
      </c>
      <c r="Q1136" s="14" t="str">
        <f>HYPERLINK("https://ceds.ed.gov/elementComment.aspx?elementName=Longitude &amp;elementID=17600", "Click here to submit comment")</f>
        <v>Click here to submit comment</v>
      </c>
      <c r="R1136" s="14">
        <v>51291</v>
      </c>
    </row>
    <row r="1137" spans="1:18" ht="195" x14ac:dyDescent="0.25">
      <c r="A1137" s="14" t="s">
        <v>8732</v>
      </c>
      <c r="B1137" s="14" t="s">
        <v>8809</v>
      </c>
      <c r="C1137" s="14" t="s">
        <v>8547</v>
      </c>
      <c r="D1137" s="14" t="s">
        <v>8541</v>
      </c>
      <c r="E1137" s="14" t="s">
        <v>2860</v>
      </c>
      <c r="F1137" s="14" t="s">
        <v>2861</v>
      </c>
      <c r="G1137" s="14" t="s">
        <v>37</v>
      </c>
      <c r="H1137" s="14"/>
      <c r="I1137" s="14" t="s">
        <v>195</v>
      </c>
      <c r="J1137" s="14" t="s">
        <v>2863</v>
      </c>
      <c r="K1137" s="14" t="s">
        <v>2864</v>
      </c>
      <c r="L1137" s="14"/>
      <c r="M1137" s="14" t="s">
        <v>2865</v>
      </c>
      <c r="N1137" s="14"/>
      <c r="O1137" s="14" t="s">
        <v>2866</v>
      </c>
      <c r="P1137" s="14" t="str">
        <f>HYPERLINK("https://ceds.ed.gov/cedselementdetails.aspx?termid=18176")</f>
        <v>https://ceds.ed.gov/cedselementdetails.aspx?termid=18176</v>
      </c>
      <c r="Q1137" s="14" t="str">
        <f>HYPERLINK("https://ceds.ed.gov/elementComment.aspx?elementName=County ANSI Code &amp;elementID=18176", "Click here to submit comment")</f>
        <v>Click here to submit comment</v>
      </c>
      <c r="R1137" s="14">
        <v>52383</v>
      </c>
    </row>
    <row r="1138" spans="1:18" ht="60" x14ac:dyDescent="0.25">
      <c r="A1138" s="14" t="s">
        <v>8732</v>
      </c>
      <c r="B1138" s="14" t="s">
        <v>8809</v>
      </c>
      <c r="C1138" s="14" t="s">
        <v>8547</v>
      </c>
      <c r="D1138" s="14" t="s">
        <v>8541</v>
      </c>
      <c r="E1138" s="14" t="s">
        <v>3651</v>
      </c>
      <c r="F1138" s="14" t="s">
        <v>3652</v>
      </c>
      <c r="G1138" s="14" t="s">
        <v>3430</v>
      </c>
      <c r="H1138" s="14"/>
      <c r="I1138" s="14" t="s">
        <v>188</v>
      </c>
      <c r="J1138" s="14"/>
      <c r="K1138" s="14" t="s">
        <v>1721</v>
      </c>
      <c r="L1138" s="14"/>
      <c r="M1138" s="14" t="s">
        <v>3654</v>
      </c>
      <c r="N1138" s="14"/>
      <c r="O1138" s="14" t="s">
        <v>3655</v>
      </c>
      <c r="P1138" s="14" t="str">
        <f>HYPERLINK("https://ceds.ed.gov/cedselementdetails.aspx?termid=18905")</f>
        <v>https://ceds.ed.gov/cedselementdetails.aspx?termid=18905</v>
      </c>
      <c r="Q1138" s="14" t="str">
        <f>HYPERLINK("https://ceds.ed.gov/elementComment.aspx?elementName=Do Not Publish Indicator &amp;elementID=18905", "Click here to submit comment")</f>
        <v>Click here to submit comment</v>
      </c>
      <c r="R1138" s="14">
        <v>52384</v>
      </c>
    </row>
    <row r="1139" spans="1:18" ht="90" x14ac:dyDescent="0.25">
      <c r="A1139" s="14" t="s">
        <v>8732</v>
      </c>
      <c r="B1139" s="14" t="s">
        <v>8809</v>
      </c>
      <c r="C1139" s="14" t="s">
        <v>8551</v>
      </c>
      <c r="D1139" s="14" t="s">
        <v>8531</v>
      </c>
      <c r="E1139" s="14" t="s">
        <v>3931</v>
      </c>
      <c r="F1139" s="14" t="s">
        <v>3932</v>
      </c>
      <c r="G1139" s="14" t="s">
        <v>37</v>
      </c>
      <c r="H1139" s="14" t="s">
        <v>72</v>
      </c>
      <c r="I1139" s="14"/>
      <c r="J1139" s="14" t="s">
        <v>3934</v>
      </c>
      <c r="K1139" s="14"/>
      <c r="L1139" s="14"/>
      <c r="M1139" s="14" t="s">
        <v>3935</v>
      </c>
      <c r="N1139" s="14" t="s">
        <v>3936</v>
      </c>
      <c r="O1139" s="14" t="s">
        <v>3937</v>
      </c>
      <c r="P1139" s="14" t="str">
        <f>HYPERLINK("https://ceds.ed.gov/cedselementdetails.aspx?termid=17088")</f>
        <v>https://ceds.ed.gov/cedselementdetails.aspx?termid=17088</v>
      </c>
      <c r="Q1139" s="14" t="str">
        <f>HYPERLINK("https://ceds.ed.gov/elementComment.aspx?elementName=Electronic Mail Address &amp;elementID=17088", "Click here to submit comment")</f>
        <v>Click here to submit comment</v>
      </c>
      <c r="R1139" s="14">
        <v>50148</v>
      </c>
    </row>
    <row r="1140" spans="1:18" ht="90" x14ac:dyDescent="0.25">
      <c r="A1140" s="14" t="s">
        <v>8732</v>
      </c>
      <c r="B1140" s="14" t="s">
        <v>8809</v>
      </c>
      <c r="C1140" s="14" t="s">
        <v>8551</v>
      </c>
      <c r="D1140" s="14" t="s">
        <v>8531</v>
      </c>
      <c r="E1140" s="14" t="s">
        <v>3938</v>
      </c>
      <c r="F1140" s="14" t="s">
        <v>3939</v>
      </c>
      <c r="G1140" s="8" t="s">
        <v>8552</v>
      </c>
      <c r="H1140" s="14" t="s">
        <v>72</v>
      </c>
      <c r="I1140" s="14"/>
      <c r="J1140" s="14"/>
      <c r="K1140" s="14"/>
      <c r="L1140" s="14"/>
      <c r="M1140" s="14" t="s">
        <v>3941</v>
      </c>
      <c r="N1140" s="14" t="s">
        <v>3942</v>
      </c>
      <c r="O1140" s="14" t="s">
        <v>3943</v>
      </c>
      <c r="P1140" s="14" t="str">
        <f>HYPERLINK("https://ceds.ed.gov/cedselementdetails.aspx?termid=17089")</f>
        <v>https://ceds.ed.gov/cedselementdetails.aspx?termid=17089</v>
      </c>
      <c r="Q1140" s="14" t="str">
        <f>HYPERLINK("https://ceds.ed.gov/elementComment.aspx?elementName=Electronic Mail Address Type &amp;elementID=17089", "Click here to submit comment")</f>
        <v>Click here to submit comment</v>
      </c>
      <c r="R1140" s="14">
        <v>50149</v>
      </c>
    </row>
    <row r="1141" spans="1:18" ht="60" x14ac:dyDescent="0.25">
      <c r="A1141" s="14" t="s">
        <v>8732</v>
      </c>
      <c r="B1141" s="14" t="s">
        <v>8809</v>
      </c>
      <c r="C1141" s="14" t="s">
        <v>8551</v>
      </c>
      <c r="D1141" s="14" t="s">
        <v>8541</v>
      </c>
      <c r="E1141" s="14" t="s">
        <v>3651</v>
      </c>
      <c r="F1141" s="14" t="s">
        <v>3652</v>
      </c>
      <c r="G1141" s="14" t="s">
        <v>3430</v>
      </c>
      <c r="H1141" s="14"/>
      <c r="I1141" s="14" t="s">
        <v>188</v>
      </c>
      <c r="J1141" s="14"/>
      <c r="K1141" s="14" t="s">
        <v>1721</v>
      </c>
      <c r="L1141" s="14"/>
      <c r="M1141" s="14" t="s">
        <v>3654</v>
      </c>
      <c r="N1141" s="14"/>
      <c r="O1141" s="14" t="s">
        <v>3655</v>
      </c>
      <c r="P1141" s="14" t="str">
        <f>HYPERLINK("https://ceds.ed.gov/cedselementdetails.aspx?termid=18905")</f>
        <v>https://ceds.ed.gov/cedselementdetails.aspx?termid=18905</v>
      </c>
      <c r="Q1141" s="14" t="str">
        <f>HYPERLINK("https://ceds.ed.gov/elementComment.aspx?elementName=Do Not Publish Indicator &amp;elementID=18905", "Click here to submit comment")</f>
        <v>Click here to submit comment</v>
      </c>
      <c r="R1141" s="14">
        <v>52385</v>
      </c>
    </row>
    <row r="1142" spans="1:18" ht="90" x14ac:dyDescent="0.25">
      <c r="A1142" s="14" t="s">
        <v>8732</v>
      </c>
      <c r="B1142" s="14" t="s">
        <v>8809</v>
      </c>
      <c r="C1142" s="14" t="s">
        <v>8549</v>
      </c>
      <c r="D1142" s="14" t="s">
        <v>8531</v>
      </c>
      <c r="E1142" s="14" t="s">
        <v>8217</v>
      </c>
      <c r="F1142" s="14" t="s">
        <v>8218</v>
      </c>
      <c r="G1142" s="14" t="s">
        <v>37</v>
      </c>
      <c r="H1142" s="14" t="s">
        <v>72</v>
      </c>
      <c r="I1142" s="14"/>
      <c r="J1142" s="14" t="s">
        <v>8220</v>
      </c>
      <c r="K1142" s="14"/>
      <c r="L1142" s="14"/>
      <c r="M1142" s="14" t="s">
        <v>8221</v>
      </c>
      <c r="N1142" s="14"/>
      <c r="O1142" s="14" t="s">
        <v>8222</v>
      </c>
      <c r="P1142" s="14" t="str">
        <f>HYPERLINK("https://ceds.ed.gov/cedselementdetails.aspx?termid=17279")</f>
        <v>https://ceds.ed.gov/cedselementdetails.aspx?termid=17279</v>
      </c>
      <c r="Q1142" s="14" t="str">
        <f>HYPERLINK("https://ceds.ed.gov/elementComment.aspx?elementName=Telephone Number &amp;elementID=17279", "Click here to submit comment")</f>
        <v>Click here to submit comment</v>
      </c>
      <c r="R1142" s="14">
        <v>50445</v>
      </c>
    </row>
    <row r="1143" spans="1:18" ht="90" x14ac:dyDescent="0.25">
      <c r="A1143" s="14" t="s">
        <v>8732</v>
      </c>
      <c r="B1143" s="14" t="s">
        <v>8809</v>
      </c>
      <c r="C1143" s="14" t="s">
        <v>8549</v>
      </c>
      <c r="D1143" s="14" t="s">
        <v>8531</v>
      </c>
      <c r="E1143" s="14" t="s">
        <v>8229</v>
      </c>
      <c r="F1143" s="14" t="s">
        <v>8230</v>
      </c>
      <c r="G1143" s="8" t="s">
        <v>8550</v>
      </c>
      <c r="H1143" s="14" t="s">
        <v>72</v>
      </c>
      <c r="I1143" s="14"/>
      <c r="J1143" s="14" t="s">
        <v>2870</v>
      </c>
      <c r="K1143" s="14"/>
      <c r="L1143" s="14"/>
      <c r="M1143" s="14" t="s">
        <v>8233</v>
      </c>
      <c r="N1143" s="14"/>
      <c r="O1143" s="14" t="s">
        <v>8234</v>
      </c>
      <c r="P1143" s="14" t="str">
        <f>HYPERLINK("https://ceds.ed.gov/cedselementdetails.aspx?termid=17280")</f>
        <v>https://ceds.ed.gov/cedselementdetails.aspx?termid=17280</v>
      </c>
      <c r="Q1143" s="14" t="str">
        <f>HYPERLINK("https://ceds.ed.gov/elementComment.aspx?elementName=Telephone Number Type &amp;elementID=17280", "Click here to submit comment")</f>
        <v>Click here to submit comment</v>
      </c>
      <c r="R1143" s="14">
        <v>50447</v>
      </c>
    </row>
    <row r="1144" spans="1:18" ht="90" x14ac:dyDescent="0.25">
      <c r="A1144" s="14" t="s">
        <v>8732</v>
      </c>
      <c r="B1144" s="14" t="s">
        <v>8809</v>
      </c>
      <c r="C1144" s="14" t="s">
        <v>8549</v>
      </c>
      <c r="D1144" s="14" t="s">
        <v>8531</v>
      </c>
      <c r="E1144" s="14" t="s">
        <v>6865</v>
      </c>
      <c r="F1144" s="14" t="s">
        <v>6866</v>
      </c>
      <c r="G1144" s="14" t="s">
        <v>24</v>
      </c>
      <c r="H1144" s="14" t="s">
        <v>72</v>
      </c>
      <c r="I1144" s="14"/>
      <c r="J1144" s="14"/>
      <c r="K1144" s="14"/>
      <c r="L1144" s="14"/>
      <c r="M1144" s="14" t="s">
        <v>6868</v>
      </c>
      <c r="N1144" s="14"/>
      <c r="O1144" s="14" t="s">
        <v>6869</v>
      </c>
      <c r="P1144" s="14" t="str">
        <f>HYPERLINK("https://ceds.ed.gov/cedselementdetails.aspx?termid=17219")</f>
        <v>https://ceds.ed.gov/cedselementdetails.aspx?termid=17219</v>
      </c>
      <c r="Q1144" s="14" t="str">
        <f>HYPERLINK("https://ceds.ed.gov/elementComment.aspx?elementName=Primary Telephone Number Indicator &amp;elementID=17219", "Click here to submit comment")</f>
        <v>Click here to submit comment</v>
      </c>
      <c r="R1144" s="14">
        <v>50327</v>
      </c>
    </row>
    <row r="1145" spans="1:18" ht="60" x14ac:dyDescent="0.25">
      <c r="A1145" s="14" t="s">
        <v>8732</v>
      </c>
      <c r="B1145" s="14" t="s">
        <v>8809</v>
      </c>
      <c r="C1145" s="14" t="s">
        <v>8549</v>
      </c>
      <c r="D1145" s="14" t="s">
        <v>8541</v>
      </c>
      <c r="E1145" s="14" t="s">
        <v>3651</v>
      </c>
      <c r="F1145" s="14" t="s">
        <v>3652</v>
      </c>
      <c r="G1145" s="14" t="s">
        <v>3430</v>
      </c>
      <c r="H1145" s="14"/>
      <c r="I1145" s="14" t="s">
        <v>188</v>
      </c>
      <c r="J1145" s="14"/>
      <c r="K1145" s="14" t="s">
        <v>1721</v>
      </c>
      <c r="L1145" s="14"/>
      <c r="M1145" s="14" t="s">
        <v>3654</v>
      </c>
      <c r="N1145" s="14"/>
      <c r="O1145" s="14" t="s">
        <v>3655</v>
      </c>
      <c r="P1145" s="14" t="str">
        <f>HYPERLINK("https://ceds.ed.gov/cedselementdetails.aspx?termid=18905")</f>
        <v>https://ceds.ed.gov/cedselementdetails.aspx?termid=18905</v>
      </c>
      <c r="Q1145" s="14" t="str">
        <f>HYPERLINK("https://ceds.ed.gov/elementComment.aspx?elementName=Do Not Publish Indicator &amp;elementID=18905", "Click here to submit comment")</f>
        <v>Click here to submit comment</v>
      </c>
      <c r="R1145" s="14">
        <v>52386</v>
      </c>
    </row>
    <row r="1146" spans="1:18" ht="60" x14ac:dyDescent="0.25">
      <c r="A1146" s="14" t="s">
        <v>8732</v>
      </c>
      <c r="B1146" s="14" t="s">
        <v>8809</v>
      </c>
      <c r="C1146" s="14" t="s">
        <v>8549</v>
      </c>
      <c r="D1146" s="14" t="s">
        <v>8541</v>
      </c>
      <c r="E1146" s="14" t="s">
        <v>8223</v>
      </c>
      <c r="F1146" s="14" t="s">
        <v>8224</v>
      </c>
      <c r="G1146" s="8" t="s">
        <v>8544</v>
      </c>
      <c r="H1146" s="14"/>
      <c r="I1146" s="14" t="s">
        <v>188</v>
      </c>
      <c r="J1146" s="14"/>
      <c r="K1146" s="14" t="s">
        <v>1721</v>
      </c>
      <c r="L1146" s="14"/>
      <c r="M1146" s="14" t="s">
        <v>8227</v>
      </c>
      <c r="N1146" s="14"/>
      <c r="O1146" s="14" t="s">
        <v>8228</v>
      </c>
      <c r="P1146" s="14" t="str">
        <f>HYPERLINK("https://ceds.ed.gov/cedselementdetails.aspx?termid=18911")</f>
        <v>https://ceds.ed.gov/cedselementdetails.aspx?termid=18911</v>
      </c>
      <c r="Q1146" s="14" t="str">
        <f>HYPERLINK("https://ceds.ed.gov/elementComment.aspx?elementName=Telephone Number Listed Status &amp;elementID=18911", "Click here to submit comment")</f>
        <v>Click here to submit comment</v>
      </c>
      <c r="R1146" s="14">
        <v>52387</v>
      </c>
    </row>
    <row r="1147" spans="1:18" ht="45" x14ac:dyDescent="0.25">
      <c r="A1147" s="14" t="s">
        <v>8732</v>
      </c>
      <c r="B1147" s="14" t="s">
        <v>8809</v>
      </c>
      <c r="C1147" s="14" t="s">
        <v>8553</v>
      </c>
      <c r="D1147" s="14" t="s">
        <v>8531</v>
      </c>
      <c r="E1147" s="14" t="s">
        <v>6586</v>
      </c>
      <c r="F1147" s="14" t="s">
        <v>6587</v>
      </c>
      <c r="G1147" s="14" t="s">
        <v>37</v>
      </c>
      <c r="H1147" s="14"/>
      <c r="I1147" s="14"/>
      <c r="J1147" s="14" t="s">
        <v>1468</v>
      </c>
      <c r="K1147" s="14"/>
      <c r="L1147" s="14" t="s">
        <v>6589</v>
      </c>
      <c r="M1147" s="14" t="s">
        <v>6590</v>
      </c>
      <c r="N1147" s="14"/>
      <c r="O1147" s="14" t="s">
        <v>6591</v>
      </c>
      <c r="P1147" s="14" t="str">
        <f>HYPERLINK("https://ceds.ed.gov/cedselementdetails.aspx?termid=18486")</f>
        <v>https://ceds.ed.gov/cedselementdetails.aspx?termid=18486</v>
      </c>
      <c r="Q1147" s="14" t="str">
        <f>HYPERLINK("https://ceds.ed.gov/elementComment.aspx?elementName=Other First Name &amp;elementID=18486", "Click here to submit comment")</f>
        <v>Click here to submit comment</v>
      </c>
      <c r="R1147" s="14">
        <v>50639</v>
      </c>
    </row>
    <row r="1148" spans="1:18" ht="45" x14ac:dyDescent="0.25">
      <c r="A1148" s="14" t="s">
        <v>8732</v>
      </c>
      <c r="B1148" s="14" t="s">
        <v>8809</v>
      </c>
      <c r="C1148" s="14" t="s">
        <v>8553</v>
      </c>
      <c r="D1148" s="14" t="s">
        <v>8531</v>
      </c>
      <c r="E1148" s="14" t="s">
        <v>6597</v>
      </c>
      <c r="F1148" s="14" t="s">
        <v>6598</v>
      </c>
      <c r="G1148" s="14" t="s">
        <v>37</v>
      </c>
      <c r="H1148" s="14"/>
      <c r="I1148" s="14"/>
      <c r="J1148" s="14" t="s">
        <v>1468</v>
      </c>
      <c r="K1148" s="14"/>
      <c r="L1148" s="14" t="s">
        <v>6599</v>
      </c>
      <c r="M1148" s="14" t="s">
        <v>6600</v>
      </c>
      <c r="N1148" s="14"/>
      <c r="O1148" s="14" t="s">
        <v>6601</v>
      </c>
      <c r="P1148" s="14" t="str">
        <f>HYPERLINK("https://ceds.ed.gov/cedselementdetails.aspx?termid=18487")</f>
        <v>https://ceds.ed.gov/cedselementdetails.aspx?termid=18487</v>
      </c>
      <c r="Q1148" s="14" t="str">
        <f>HYPERLINK("https://ceds.ed.gov/elementComment.aspx?elementName=Other Middle Name &amp;elementID=18487", "Click here to submit comment")</f>
        <v>Click here to submit comment</v>
      </c>
      <c r="R1148" s="14">
        <v>50655</v>
      </c>
    </row>
    <row r="1149" spans="1:18" ht="45" x14ac:dyDescent="0.25">
      <c r="A1149" s="14" t="s">
        <v>8732</v>
      </c>
      <c r="B1149" s="14" t="s">
        <v>8809</v>
      </c>
      <c r="C1149" s="14" t="s">
        <v>8553</v>
      </c>
      <c r="D1149" s="14" t="s">
        <v>8531</v>
      </c>
      <c r="E1149" s="14" t="s">
        <v>6592</v>
      </c>
      <c r="F1149" s="14" t="s">
        <v>6593</v>
      </c>
      <c r="G1149" s="14" t="s">
        <v>37</v>
      </c>
      <c r="H1149" s="14"/>
      <c r="I1149" s="14"/>
      <c r="J1149" s="14" t="s">
        <v>1468</v>
      </c>
      <c r="K1149" s="14"/>
      <c r="L1149" s="14" t="s">
        <v>6594</v>
      </c>
      <c r="M1149" s="14" t="s">
        <v>6595</v>
      </c>
      <c r="N1149" s="14"/>
      <c r="O1149" s="14" t="s">
        <v>6596</v>
      </c>
      <c r="P1149" s="14" t="str">
        <f>HYPERLINK("https://ceds.ed.gov/cedselementdetails.aspx?termid=18485")</f>
        <v>https://ceds.ed.gov/cedselementdetails.aspx?termid=18485</v>
      </c>
      <c r="Q1149" s="14" t="str">
        <f>HYPERLINK("https://ceds.ed.gov/elementComment.aspx?elementName=Other Last Name &amp;elementID=18485", "Click here to submit comment")</f>
        <v>Click here to submit comment</v>
      </c>
      <c r="R1149" s="14">
        <v>50623</v>
      </c>
    </row>
    <row r="1150" spans="1:18" ht="150" x14ac:dyDescent="0.25">
      <c r="A1150" s="14" t="s">
        <v>8732</v>
      </c>
      <c r="B1150" s="14" t="s">
        <v>8809</v>
      </c>
      <c r="C1150" s="14" t="s">
        <v>8553</v>
      </c>
      <c r="D1150" s="14" t="s">
        <v>8531</v>
      </c>
      <c r="E1150" s="14" t="s">
        <v>6602</v>
      </c>
      <c r="F1150" s="14" t="s">
        <v>6603</v>
      </c>
      <c r="G1150" s="14" t="s">
        <v>37</v>
      </c>
      <c r="H1150" s="14" t="s">
        <v>4749</v>
      </c>
      <c r="I1150" s="14"/>
      <c r="J1150" s="14" t="s">
        <v>149</v>
      </c>
      <c r="K1150" s="14"/>
      <c r="L1150" s="14"/>
      <c r="M1150" s="14" t="s">
        <v>6604</v>
      </c>
      <c r="N1150" s="14"/>
      <c r="O1150" s="14" t="s">
        <v>6605</v>
      </c>
      <c r="P1150" s="14" t="str">
        <f>HYPERLINK("https://ceds.ed.gov/cedselementdetails.aspx?termid=17206")</f>
        <v>https://ceds.ed.gov/cedselementdetails.aspx?termid=17206</v>
      </c>
      <c r="Q1150" s="14" t="str">
        <f>HYPERLINK("https://ceds.ed.gov/elementComment.aspx?elementName=Other Name &amp;elementID=17206", "Click here to submit comment")</f>
        <v>Click here to submit comment</v>
      </c>
      <c r="R1150" s="14">
        <v>50303</v>
      </c>
    </row>
    <row r="1151" spans="1:18" ht="165" x14ac:dyDescent="0.25">
      <c r="A1151" s="14" t="s">
        <v>8732</v>
      </c>
      <c r="B1151" s="14" t="s">
        <v>8809</v>
      </c>
      <c r="C1151" s="14" t="s">
        <v>8553</v>
      </c>
      <c r="D1151" s="14" t="s">
        <v>8531</v>
      </c>
      <c r="E1151" s="14" t="s">
        <v>6606</v>
      </c>
      <c r="F1151" s="14" t="s">
        <v>6607</v>
      </c>
      <c r="G1151" s="8" t="s">
        <v>8554</v>
      </c>
      <c r="H1151" s="14" t="s">
        <v>6612</v>
      </c>
      <c r="I1151" s="14"/>
      <c r="J1151" s="14" t="s">
        <v>97</v>
      </c>
      <c r="K1151" s="14"/>
      <c r="L1151" s="14"/>
      <c r="M1151" s="14" t="s">
        <v>6610</v>
      </c>
      <c r="N1151" s="14"/>
      <c r="O1151" s="14" t="s">
        <v>6611</v>
      </c>
      <c r="P1151" s="14" t="str">
        <f>HYPERLINK("https://ceds.ed.gov/cedselementdetails.aspx?termid=17627")</f>
        <v>https://ceds.ed.gov/cedselementdetails.aspx?termid=17627</v>
      </c>
      <c r="Q1151" s="14" t="str">
        <f>HYPERLINK("https://ceds.ed.gov/elementComment.aspx?elementName=Other Name Type &amp;elementID=17627", "Click here to submit comment")</f>
        <v>Click here to submit comment</v>
      </c>
      <c r="R1151" s="14">
        <v>50304</v>
      </c>
    </row>
    <row r="1152" spans="1:18" ht="45" x14ac:dyDescent="0.25">
      <c r="A1152" s="14" t="s">
        <v>8732</v>
      </c>
      <c r="B1152" s="14" t="s">
        <v>8809</v>
      </c>
      <c r="C1152" s="14" t="s">
        <v>8762</v>
      </c>
      <c r="D1152" s="14" t="s">
        <v>8531</v>
      </c>
      <c r="E1152" s="14" t="s">
        <v>7649</v>
      </c>
      <c r="F1152" s="14" t="s">
        <v>7650</v>
      </c>
      <c r="G1152" s="14" t="s">
        <v>37</v>
      </c>
      <c r="H1152" s="14" t="s">
        <v>2807</v>
      </c>
      <c r="I1152" s="14"/>
      <c r="J1152" s="14" t="s">
        <v>2094</v>
      </c>
      <c r="K1152" s="14"/>
      <c r="L1152" s="14" t="s">
        <v>7652</v>
      </c>
      <c r="M1152" s="14" t="s">
        <v>7653</v>
      </c>
      <c r="N1152" s="14"/>
      <c r="O1152" s="14" t="s">
        <v>7654</v>
      </c>
      <c r="P1152" s="14" t="str">
        <f>HYPERLINK("https://ceds.ed.gov/cedselementdetails.aspx?termid=17243")</f>
        <v>https://ceds.ed.gov/cedselementdetails.aspx?termid=17243</v>
      </c>
      <c r="Q1152" s="14" t="str">
        <f>HYPERLINK("https://ceds.ed.gov/elementComment.aspx?elementName=School Year &amp;elementID=17243", "Click here to submit comment")</f>
        <v>Click here to submit comment</v>
      </c>
      <c r="R1152" s="14">
        <v>51172</v>
      </c>
    </row>
    <row r="1153" spans="1:18" ht="75" x14ac:dyDescent="0.25">
      <c r="A1153" s="14" t="s">
        <v>8732</v>
      </c>
      <c r="B1153" s="14" t="s">
        <v>8809</v>
      </c>
      <c r="C1153" s="14" t="s">
        <v>8762</v>
      </c>
      <c r="D1153" s="14" t="s">
        <v>8531</v>
      </c>
      <c r="E1153" s="14" t="s">
        <v>251</v>
      </c>
      <c r="F1153" s="14" t="s">
        <v>252</v>
      </c>
      <c r="G1153" s="8" t="s">
        <v>8763</v>
      </c>
      <c r="H1153" s="14" t="s">
        <v>258</v>
      </c>
      <c r="I1153" s="14"/>
      <c r="J1153" s="14"/>
      <c r="K1153" s="14"/>
      <c r="L1153" s="14"/>
      <c r="M1153" s="14" t="s">
        <v>255</v>
      </c>
      <c r="N1153" s="14" t="s">
        <v>256</v>
      </c>
      <c r="O1153" s="14" t="s">
        <v>257</v>
      </c>
      <c r="P1153" s="14" t="str">
        <f>HYPERLINK("https://ceds.ed.gov/cedselementdetails.aspx?termid=17011")</f>
        <v>https://ceds.ed.gov/cedselementdetails.aspx?termid=17011</v>
      </c>
      <c r="Q1153" s="14" t="str">
        <f>HYPERLINK("https://ceds.ed.gov/elementComment.aspx?elementName=Adequate Yearly Progress Status &amp;elementID=17011", "Click here to submit comment")</f>
        <v>Click here to submit comment</v>
      </c>
      <c r="R1153" s="14">
        <v>47969</v>
      </c>
    </row>
    <row r="1154" spans="1:18" ht="90" x14ac:dyDescent="0.25">
      <c r="A1154" s="14" t="s">
        <v>8732</v>
      </c>
      <c r="B1154" s="14" t="s">
        <v>8809</v>
      </c>
      <c r="C1154" s="14" t="s">
        <v>8762</v>
      </c>
      <c r="D1154" s="14" t="s">
        <v>8531</v>
      </c>
      <c r="E1154" s="14" t="s">
        <v>435</v>
      </c>
      <c r="F1154" s="14" t="s">
        <v>436</v>
      </c>
      <c r="G1154" s="8" t="s">
        <v>8764</v>
      </c>
      <c r="H1154" s="14" t="s">
        <v>258</v>
      </c>
      <c r="I1154" s="14"/>
      <c r="J1154" s="14"/>
      <c r="K1154" s="14"/>
      <c r="L1154" s="14"/>
      <c r="M1154" s="14" t="s">
        <v>439</v>
      </c>
      <c r="N1154" s="14" t="s">
        <v>440</v>
      </c>
      <c r="O1154" s="14" t="s">
        <v>441</v>
      </c>
      <c r="P1154" s="14" t="str">
        <f>HYPERLINK("https://ceds.ed.gov/cedselementdetails.aspx?termid=17572")</f>
        <v>https://ceds.ed.gov/cedselementdetails.aspx?termid=17572</v>
      </c>
      <c r="Q1154" s="14" t="str">
        <f>HYPERLINK("https://ceds.ed.gov/elementComment.aspx?elementName=Annual Measurable Achievement Objective AYP Progress Attainment Status for LEP Students &amp;elementID=17572", "Click here to submit comment")</f>
        <v>Click here to submit comment</v>
      </c>
      <c r="R1154" s="14">
        <v>47986</v>
      </c>
    </row>
    <row r="1155" spans="1:18" ht="105" x14ac:dyDescent="0.25">
      <c r="A1155" s="14" t="s">
        <v>8732</v>
      </c>
      <c r="B1155" s="14" t="s">
        <v>8809</v>
      </c>
      <c r="C1155" s="14" t="s">
        <v>8762</v>
      </c>
      <c r="D1155" s="14" t="s">
        <v>8531</v>
      </c>
      <c r="E1155" s="14" t="s">
        <v>442</v>
      </c>
      <c r="F1155" s="14" t="s">
        <v>443</v>
      </c>
      <c r="G1155" s="8" t="s">
        <v>8764</v>
      </c>
      <c r="H1155" s="14" t="s">
        <v>258</v>
      </c>
      <c r="I1155" s="14"/>
      <c r="J1155" s="14"/>
      <c r="K1155" s="14"/>
      <c r="L1155" s="14"/>
      <c r="M1155" s="14" t="s">
        <v>444</v>
      </c>
      <c r="N1155" s="14" t="s">
        <v>445</v>
      </c>
      <c r="O1155" s="14" t="s">
        <v>446</v>
      </c>
      <c r="P1155" s="14" t="str">
        <f>HYPERLINK("https://ceds.ed.gov/cedselementdetails.aspx?termid=17535")</f>
        <v>https://ceds.ed.gov/cedselementdetails.aspx?termid=17535</v>
      </c>
      <c r="Q1155" s="14" t="str">
        <f>HYPERLINK("https://ceds.ed.gov/elementComment.aspx?elementName=Annual Measurable Achievement Objective Proficiency Attainment Status for LEP Students &amp;elementID=17535", "Click here to submit comment")</f>
        <v>Click here to submit comment</v>
      </c>
      <c r="R1155" s="14">
        <v>47981</v>
      </c>
    </row>
    <row r="1156" spans="1:18" ht="105" x14ac:dyDescent="0.25">
      <c r="A1156" s="14" t="s">
        <v>8732</v>
      </c>
      <c r="B1156" s="14" t="s">
        <v>8809</v>
      </c>
      <c r="C1156" s="14" t="s">
        <v>8762</v>
      </c>
      <c r="D1156" s="14" t="s">
        <v>8531</v>
      </c>
      <c r="E1156" s="14" t="s">
        <v>447</v>
      </c>
      <c r="F1156" s="14" t="s">
        <v>448</v>
      </c>
      <c r="G1156" s="8" t="s">
        <v>8764</v>
      </c>
      <c r="H1156" s="14" t="s">
        <v>258</v>
      </c>
      <c r="I1156" s="14"/>
      <c r="J1156" s="14"/>
      <c r="K1156" s="14"/>
      <c r="L1156" s="14"/>
      <c r="M1156" s="14" t="s">
        <v>449</v>
      </c>
      <c r="N1156" s="14" t="s">
        <v>450</v>
      </c>
      <c r="O1156" s="14" t="s">
        <v>451</v>
      </c>
      <c r="P1156" s="14" t="str">
        <f>HYPERLINK("https://ceds.ed.gov/cedselementdetails.aspx?termid=17545")</f>
        <v>https://ceds.ed.gov/cedselementdetails.aspx?termid=17545</v>
      </c>
      <c r="Q1156" s="14" t="str">
        <f>HYPERLINK("https://ceds.ed.gov/elementComment.aspx?elementName=Annual Measurable Achievement Objective Progress Attainment Status for LEP Students &amp;elementID=17545", "Click here to submit comment")</f>
        <v>Click here to submit comment</v>
      </c>
      <c r="R1156" s="14">
        <v>47985</v>
      </c>
    </row>
    <row r="1157" spans="1:18" ht="75" x14ac:dyDescent="0.25">
      <c r="A1157" s="14" t="s">
        <v>8732</v>
      </c>
      <c r="B1157" s="14" t="s">
        <v>8809</v>
      </c>
      <c r="C1157" s="14" t="s">
        <v>8762</v>
      </c>
      <c r="D1157" s="14" t="s">
        <v>8531</v>
      </c>
      <c r="E1157" s="14" t="s">
        <v>2158</v>
      </c>
      <c r="F1157" s="14" t="s">
        <v>2159</v>
      </c>
      <c r="G1157" s="8" t="s">
        <v>8811</v>
      </c>
      <c r="H1157" s="14" t="s">
        <v>258</v>
      </c>
      <c r="I1157" s="14"/>
      <c r="J1157" s="14"/>
      <c r="K1157" s="14"/>
      <c r="L1157" s="14"/>
      <c r="M1157" s="14" t="s">
        <v>2162</v>
      </c>
      <c r="N1157" s="14" t="s">
        <v>2163</v>
      </c>
      <c r="O1157" s="14" t="s">
        <v>2164</v>
      </c>
      <c r="P1157" s="14" t="str">
        <f>HYPERLINK("https://ceds.ed.gov/cedselementdetails.aspx?termid=17075")</f>
        <v>https://ceds.ed.gov/cedselementdetails.aspx?termid=17075</v>
      </c>
      <c r="Q1157" s="14" t="str">
        <f>HYPERLINK("https://ceds.ed.gov/elementComment.aspx?elementName=Career and Technical Education Graduation Rate Inclusion &amp;elementID=17075", "Click here to submit comment")</f>
        <v>Click here to submit comment</v>
      </c>
      <c r="R1157" s="14">
        <v>47971</v>
      </c>
    </row>
    <row r="1158" spans="1:18" ht="45" x14ac:dyDescent="0.25">
      <c r="A1158" s="14" t="s">
        <v>8732</v>
      </c>
      <c r="B1158" s="14" t="s">
        <v>8809</v>
      </c>
      <c r="C1158" s="14" t="s">
        <v>8582</v>
      </c>
      <c r="D1158" s="14" t="s">
        <v>8531</v>
      </c>
      <c r="E1158" s="14" t="s">
        <v>4686</v>
      </c>
      <c r="F1158" s="14" t="s">
        <v>4687</v>
      </c>
      <c r="G1158" s="14" t="s">
        <v>37</v>
      </c>
      <c r="H1158" s="14"/>
      <c r="I1158" s="14"/>
      <c r="J1158" s="14" t="s">
        <v>2094</v>
      </c>
      <c r="K1158" s="14"/>
      <c r="L1158" s="14"/>
      <c r="M1158" s="14" t="s">
        <v>4688</v>
      </c>
      <c r="N1158" s="14"/>
      <c r="O1158" s="14" t="s">
        <v>4689</v>
      </c>
      <c r="P1158" s="14" t="str">
        <f>HYPERLINK("https://ceds.ed.gov/cedselementdetails.aspx?termid=18620")</f>
        <v>https://ceds.ed.gov/cedselementdetails.aspx?termid=18620</v>
      </c>
      <c r="Q1158" s="14" t="str">
        <f>HYPERLINK("https://ceds.ed.gov/elementComment.aspx?elementName=Fiscal Year &amp;elementID=18620", "Click here to submit comment")</f>
        <v>Click here to submit comment</v>
      </c>
      <c r="R1158" s="14">
        <v>51307</v>
      </c>
    </row>
    <row r="1159" spans="1:18" ht="45" x14ac:dyDescent="0.25">
      <c r="A1159" s="14" t="s">
        <v>8732</v>
      </c>
      <c r="B1159" s="14" t="s">
        <v>8809</v>
      </c>
      <c r="C1159" s="14" t="s">
        <v>8582</v>
      </c>
      <c r="D1159" s="14" t="s">
        <v>8531</v>
      </c>
      <c r="E1159" s="14" t="s">
        <v>4678</v>
      </c>
      <c r="F1159" s="14" t="s">
        <v>4679</v>
      </c>
      <c r="G1159" s="14" t="s">
        <v>37</v>
      </c>
      <c r="H1159" s="14"/>
      <c r="I1159" s="14"/>
      <c r="J1159" s="14" t="s">
        <v>135</v>
      </c>
      <c r="K1159" s="14"/>
      <c r="L1159" s="14"/>
      <c r="M1159" s="14" t="s">
        <v>4680</v>
      </c>
      <c r="N1159" s="14"/>
      <c r="O1159" s="14" t="s">
        <v>4681</v>
      </c>
      <c r="P1159" s="14" t="str">
        <f>HYPERLINK("https://ceds.ed.gov/cedselementdetails.aspx?termid=18623")</f>
        <v>https://ceds.ed.gov/cedselementdetails.aspx?termid=18623</v>
      </c>
      <c r="Q1159" s="14" t="str">
        <f>HYPERLINK("https://ceds.ed.gov/elementComment.aspx?elementName=Fiscal Period Begin Date &amp;elementID=18623", "Click here to submit comment")</f>
        <v>Click here to submit comment</v>
      </c>
      <c r="R1159" s="14">
        <v>51317</v>
      </c>
    </row>
    <row r="1160" spans="1:18" ht="75" x14ac:dyDescent="0.25">
      <c r="A1160" s="14" t="s">
        <v>8732</v>
      </c>
      <c r="B1160" s="14" t="s">
        <v>8809</v>
      </c>
      <c r="C1160" s="14" t="s">
        <v>8582</v>
      </c>
      <c r="D1160" s="14" t="s">
        <v>8531</v>
      </c>
      <c r="E1160" s="14" t="s">
        <v>4682</v>
      </c>
      <c r="F1160" s="14" t="s">
        <v>4683</v>
      </c>
      <c r="G1160" s="14" t="s">
        <v>37</v>
      </c>
      <c r="H1160" s="14"/>
      <c r="I1160" s="14"/>
      <c r="J1160" s="14" t="s">
        <v>135</v>
      </c>
      <c r="K1160" s="14"/>
      <c r="L1160" s="14" t="s">
        <v>160</v>
      </c>
      <c r="M1160" s="14" t="s">
        <v>4684</v>
      </c>
      <c r="N1160" s="14"/>
      <c r="O1160" s="14" t="s">
        <v>4685</v>
      </c>
      <c r="P1160" s="14" t="str">
        <f>HYPERLINK("https://ceds.ed.gov/cedselementdetails.aspx?termid=18624")</f>
        <v>https://ceds.ed.gov/cedselementdetails.aspx?termid=18624</v>
      </c>
      <c r="Q1160" s="14" t="str">
        <f>HYPERLINK("https://ceds.ed.gov/elementComment.aspx?elementName=Fiscal Period End Date &amp;elementID=18624", "Click here to submit comment")</f>
        <v>Click here to submit comment</v>
      </c>
      <c r="R1160" s="14">
        <v>51321</v>
      </c>
    </row>
    <row r="1161" spans="1:18" ht="105" x14ac:dyDescent="0.25">
      <c r="A1161" s="14" t="s">
        <v>8732</v>
      </c>
      <c r="B1161" s="14" t="s">
        <v>8809</v>
      </c>
      <c r="C1161" s="14" t="s">
        <v>8582</v>
      </c>
      <c r="D1161" s="14" t="s">
        <v>8531</v>
      </c>
      <c r="E1161" s="14" t="s">
        <v>4528</v>
      </c>
      <c r="F1161" s="14" t="s">
        <v>4529</v>
      </c>
      <c r="G1161" s="14" t="s">
        <v>37</v>
      </c>
      <c r="H1161" s="14"/>
      <c r="I1161" s="14"/>
      <c r="J1161" s="14" t="s">
        <v>97</v>
      </c>
      <c r="K1161" s="14"/>
      <c r="L1161" s="14"/>
      <c r="M1161" s="14" t="s">
        <v>4530</v>
      </c>
      <c r="N1161" s="14"/>
      <c r="O1161" s="14" t="s">
        <v>4531</v>
      </c>
      <c r="P1161" s="14" t="str">
        <f>HYPERLINK("https://ceds.ed.gov/cedselementdetails.aspx?termid=18530")</f>
        <v>https://ceds.ed.gov/cedselementdetails.aspx?termid=18530</v>
      </c>
      <c r="Q1161" s="14" t="str">
        <f>HYPERLINK("https://ceds.ed.gov/elementComment.aspx?elementName=Financial Account Number &amp;elementID=18530", "Click here to submit comment")</f>
        <v>Click here to submit comment</v>
      </c>
      <c r="R1161" s="14">
        <v>50843</v>
      </c>
    </row>
    <row r="1162" spans="1:18" ht="45" x14ac:dyDescent="0.25">
      <c r="A1162" s="14" t="s">
        <v>8732</v>
      </c>
      <c r="B1162" s="14" t="s">
        <v>8809</v>
      </c>
      <c r="C1162" s="14" t="s">
        <v>8582</v>
      </c>
      <c r="D1162" s="14" t="s">
        <v>8531</v>
      </c>
      <c r="E1162" s="14" t="s">
        <v>4524</v>
      </c>
      <c r="F1162" s="14" t="s">
        <v>4525</v>
      </c>
      <c r="G1162" s="14" t="s">
        <v>37</v>
      </c>
      <c r="H1162" s="14"/>
      <c r="I1162" s="14"/>
      <c r="J1162" s="14" t="s">
        <v>874</v>
      </c>
      <c r="K1162" s="14"/>
      <c r="L1162" s="14"/>
      <c r="M1162" s="14" t="s">
        <v>4526</v>
      </c>
      <c r="N1162" s="14"/>
      <c r="O1162" s="14" t="s">
        <v>4527</v>
      </c>
      <c r="P1162" s="14" t="str">
        <f>HYPERLINK("https://ceds.ed.gov/cedselementdetails.aspx?termid=18315")</f>
        <v>https://ceds.ed.gov/cedselementdetails.aspx?termid=18315</v>
      </c>
      <c r="Q1162" s="14" t="str">
        <f>HYPERLINK("https://ceds.ed.gov/elementComment.aspx?elementName=Financial Account Name &amp;elementID=18315", "Click here to submit comment")</f>
        <v>Click here to submit comment</v>
      </c>
      <c r="R1162" s="14">
        <v>50180</v>
      </c>
    </row>
    <row r="1163" spans="1:18" ht="45" x14ac:dyDescent="0.25">
      <c r="A1163" s="14" t="s">
        <v>8732</v>
      </c>
      <c r="B1163" s="14" t="s">
        <v>8809</v>
      </c>
      <c r="C1163" s="14" t="s">
        <v>8582</v>
      </c>
      <c r="D1163" s="14" t="s">
        <v>8531</v>
      </c>
      <c r="E1163" s="14" t="s">
        <v>4496</v>
      </c>
      <c r="F1163" s="14" t="s">
        <v>4497</v>
      </c>
      <c r="G1163" s="14" t="s">
        <v>37</v>
      </c>
      <c r="H1163" s="14"/>
      <c r="I1163" s="14"/>
      <c r="J1163" s="14" t="s">
        <v>129</v>
      </c>
      <c r="K1163" s="14"/>
      <c r="L1163" s="14"/>
      <c r="M1163" s="14" t="s">
        <v>4498</v>
      </c>
      <c r="N1163" s="14"/>
      <c r="O1163" s="14" t="s">
        <v>4499</v>
      </c>
      <c r="P1163" s="14" t="str">
        <f>HYPERLINK("https://ceds.ed.gov/cedselementdetails.aspx?termid=18313")</f>
        <v>https://ceds.ed.gov/cedselementdetails.aspx?termid=18313</v>
      </c>
      <c r="Q1163" s="14" t="str">
        <f>HYPERLINK("https://ceds.ed.gov/elementComment.aspx?elementName=Financial Account Description &amp;elementID=18313", "Click here to submit comment")</f>
        <v>Click here to submit comment</v>
      </c>
      <c r="R1163" s="14">
        <v>50169</v>
      </c>
    </row>
    <row r="1164" spans="1:18" ht="105" x14ac:dyDescent="0.25">
      <c r="A1164" s="14" t="s">
        <v>8732</v>
      </c>
      <c r="B1164" s="14" t="s">
        <v>8809</v>
      </c>
      <c r="C1164" s="14" t="s">
        <v>8582</v>
      </c>
      <c r="D1164" s="14" t="s">
        <v>8531</v>
      </c>
      <c r="E1164" s="14" t="s">
        <v>4490</v>
      </c>
      <c r="F1164" s="14" t="s">
        <v>4491</v>
      </c>
      <c r="G1164" s="8" t="s">
        <v>8776</v>
      </c>
      <c r="H1164" s="14"/>
      <c r="I1164" s="14"/>
      <c r="J1164" s="14"/>
      <c r="K1164" s="14"/>
      <c r="L1164" s="14"/>
      <c r="M1164" s="14" t="s">
        <v>4494</v>
      </c>
      <c r="N1164" s="14"/>
      <c r="O1164" s="14" t="s">
        <v>4495</v>
      </c>
      <c r="P1164" s="14" t="str">
        <f>HYPERLINK("https://ceds.ed.gov/cedselementdetails.aspx?termid=18312")</f>
        <v>https://ceds.ed.gov/cedselementdetails.aspx?termid=18312</v>
      </c>
      <c r="Q1164" s="14" t="str">
        <f>HYPERLINK("https://ceds.ed.gov/elementComment.aspx?elementName=Financial Account Category &amp;elementID=18312", "Click here to submit comment")</f>
        <v>Click here to submit comment</v>
      </c>
      <c r="R1164" s="14">
        <v>50165</v>
      </c>
    </row>
    <row r="1165" spans="1:18" ht="60" x14ac:dyDescent="0.25">
      <c r="A1165" s="16" t="s">
        <v>8732</v>
      </c>
      <c r="B1165" s="16" t="s">
        <v>8809</v>
      </c>
      <c r="C1165" s="16" t="s">
        <v>8582</v>
      </c>
      <c r="D1165" s="16" t="s">
        <v>8531</v>
      </c>
      <c r="E1165" s="16" t="s">
        <v>4517</v>
      </c>
      <c r="F1165" s="16" t="s">
        <v>4518</v>
      </c>
      <c r="G1165" s="18" t="s">
        <v>8730</v>
      </c>
      <c r="H1165" s="16"/>
      <c r="I1165" s="16"/>
      <c r="J1165" s="16"/>
      <c r="K1165" s="16"/>
      <c r="L1165" s="6" t="s">
        <v>4504</v>
      </c>
      <c r="M1165" s="16" t="s">
        <v>4521</v>
      </c>
      <c r="N1165" s="16"/>
      <c r="O1165" s="16" t="s">
        <v>4522</v>
      </c>
      <c r="P1165" s="16" t="str">
        <f>HYPERLINK("https://ceds.ed.gov/cedselementdetails.aspx?termid=18440")</f>
        <v>https://ceds.ed.gov/cedselementdetails.aspx?termid=18440</v>
      </c>
      <c r="Q1165" s="16" t="str">
        <f>HYPERLINK("https://ceds.ed.gov/elementComment.aspx?elementName=Financial Account K12 Revenue Code &amp;elementID=18440", "Click here to submit comment")</f>
        <v>Click here to submit comment</v>
      </c>
      <c r="R1165" s="16">
        <v>50856</v>
      </c>
    </row>
    <row r="1166" spans="1:18" x14ac:dyDescent="0.25">
      <c r="A1166" s="16"/>
      <c r="B1166" s="16"/>
      <c r="C1166" s="16"/>
      <c r="D1166" s="16"/>
      <c r="E1166" s="16"/>
      <c r="F1166" s="16"/>
      <c r="G1166" s="16"/>
      <c r="H1166" s="16"/>
      <c r="I1166" s="16"/>
      <c r="J1166" s="16"/>
      <c r="K1166" s="16"/>
      <c r="L1166" s="14"/>
      <c r="M1166" s="16"/>
      <c r="N1166" s="16"/>
      <c r="O1166" s="16"/>
      <c r="P1166" s="16"/>
      <c r="Q1166" s="16"/>
      <c r="R1166" s="16"/>
    </row>
    <row r="1167" spans="1:18" ht="30" x14ac:dyDescent="0.25">
      <c r="A1167" s="16"/>
      <c r="B1167" s="16"/>
      <c r="C1167" s="16"/>
      <c r="D1167" s="16"/>
      <c r="E1167" s="16"/>
      <c r="F1167" s="16"/>
      <c r="G1167" s="16"/>
      <c r="H1167" s="16"/>
      <c r="I1167" s="16"/>
      <c r="J1167" s="16"/>
      <c r="K1167" s="16"/>
      <c r="L1167" s="14" t="s">
        <v>4523</v>
      </c>
      <c r="M1167" s="16"/>
      <c r="N1167" s="16"/>
      <c r="O1167" s="16"/>
      <c r="P1167" s="16"/>
      <c r="Q1167" s="16"/>
      <c r="R1167" s="16"/>
    </row>
    <row r="1168" spans="1:18" ht="409.5" x14ac:dyDescent="0.25">
      <c r="A1168" s="14" t="s">
        <v>8732</v>
      </c>
      <c r="B1168" s="14" t="s">
        <v>8809</v>
      </c>
      <c r="C1168" s="14" t="s">
        <v>8582</v>
      </c>
      <c r="D1168" s="14" t="s">
        <v>8531</v>
      </c>
      <c r="E1168" s="14" t="s">
        <v>4613</v>
      </c>
      <c r="F1168" s="14" t="s">
        <v>4614</v>
      </c>
      <c r="G1168" s="8" t="s">
        <v>8777</v>
      </c>
      <c r="H1168" s="14"/>
      <c r="I1168" s="14"/>
      <c r="J1168" s="14"/>
      <c r="K1168" s="14"/>
      <c r="L1168" s="6" t="s">
        <v>4504</v>
      </c>
      <c r="M1168" s="14" t="s">
        <v>4616</v>
      </c>
      <c r="N1168" s="14"/>
      <c r="O1168" s="14" t="s">
        <v>4617</v>
      </c>
      <c r="P1168" s="14" t="str">
        <f>HYPERLINK("https://ceds.ed.gov/cedselementdetails.aspx?termid=18321")</f>
        <v>https://ceds.ed.gov/cedselementdetails.aspx?termid=18321</v>
      </c>
      <c r="Q1168" s="14" t="str">
        <f>HYPERLINK("https://ceds.ed.gov/elementComment.aspx?elementName=Financial Expenditure K12 Function Code &amp;elementID=18321", "Click here to submit comment")</f>
        <v>Click here to submit comment</v>
      </c>
      <c r="R1168" s="14">
        <v>50202</v>
      </c>
    </row>
    <row r="1169" spans="1:18" ht="409.5" x14ac:dyDescent="0.25">
      <c r="A1169" s="14" t="s">
        <v>8732</v>
      </c>
      <c r="B1169" s="14" t="s">
        <v>8809</v>
      </c>
      <c r="C1169" s="14" t="s">
        <v>8582</v>
      </c>
      <c r="D1169" s="14" t="s">
        <v>8531</v>
      </c>
      <c r="E1169" s="14" t="s">
        <v>4623</v>
      </c>
      <c r="F1169" s="14" t="s">
        <v>4624</v>
      </c>
      <c r="G1169" s="8" t="s">
        <v>8778</v>
      </c>
      <c r="H1169" s="14"/>
      <c r="I1169" s="14"/>
      <c r="J1169" s="14"/>
      <c r="K1169" s="14"/>
      <c r="L1169" s="6" t="s">
        <v>4504</v>
      </c>
      <c r="M1169" s="14" t="s">
        <v>4626</v>
      </c>
      <c r="N1169" s="14"/>
      <c r="O1169" s="14" t="s">
        <v>4627</v>
      </c>
      <c r="P1169" s="14" t="str">
        <f>HYPERLINK("https://ceds.ed.gov/cedselementdetails.aspx?termid=18322")</f>
        <v>https://ceds.ed.gov/cedselementdetails.aspx?termid=18322</v>
      </c>
      <c r="Q1169" s="14" t="str">
        <f>HYPERLINK("https://ceds.ed.gov/elementComment.aspx?elementName=Financial Expenditure K12 Object Code &amp;elementID=18322", "Click here to submit comment")</f>
        <v>Click here to submit comment</v>
      </c>
      <c r="R1169" s="14">
        <v>50206</v>
      </c>
    </row>
    <row r="1170" spans="1:18" ht="195" x14ac:dyDescent="0.25">
      <c r="A1170" s="14" t="s">
        <v>8732</v>
      </c>
      <c r="B1170" s="14" t="s">
        <v>8809</v>
      </c>
      <c r="C1170" s="14" t="s">
        <v>8582</v>
      </c>
      <c r="D1170" s="14" t="s">
        <v>8531</v>
      </c>
      <c r="E1170" s="14" t="s">
        <v>4618</v>
      </c>
      <c r="F1170" s="14" t="s">
        <v>4619</v>
      </c>
      <c r="G1170" s="8" t="s">
        <v>8779</v>
      </c>
      <c r="H1170" s="14"/>
      <c r="I1170" s="14"/>
      <c r="J1170" s="14"/>
      <c r="K1170" s="14"/>
      <c r="L1170" s="6" t="s">
        <v>4504</v>
      </c>
      <c r="M1170" s="14" t="s">
        <v>4621</v>
      </c>
      <c r="N1170" s="14"/>
      <c r="O1170" s="14" t="s">
        <v>4622</v>
      </c>
      <c r="P1170" s="14" t="str">
        <f>HYPERLINK("https://ceds.ed.gov/cedselementdetails.aspx?termid=18531")</f>
        <v>https://ceds.ed.gov/cedselementdetails.aspx?termid=18531</v>
      </c>
      <c r="Q1170" s="14" t="str">
        <f>HYPERLINK("https://ceds.ed.gov/elementComment.aspx?elementName=Financial Expenditure K12 Level of Instruction Code &amp;elementID=18531", "Click here to submit comment")</f>
        <v>Click here to submit comment</v>
      </c>
      <c r="R1170" s="14">
        <v>50848</v>
      </c>
    </row>
    <row r="1171" spans="1:18" ht="75" x14ac:dyDescent="0.25">
      <c r="A1171" s="16" t="s">
        <v>8732</v>
      </c>
      <c r="B1171" s="16" t="s">
        <v>8809</v>
      </c>
      <c r="C1171" s="16" t="s">
        <v>8582</v>
      </c>
      <c r="D1171" s="16" t="s">
        <v>8531</v>
      </c>
      <c r="E1171" s="16" t="s">
        <v>4628</v>
      </c>
      <c r="F1171" s="16" t="s">
        <v>4629</v>
      </c>
      <c r="G1171" s="16" t="s">
        <v>37</v>
      </c>
      <c r="H1171" s="16"/>
      <c r="I1171" s="16"/>
      <c r="J1171" s="16" t="s">
        <v>165</v>
      </c>
      <c r="K1171" s="16"/>
      <c r="L1171" s="6" t="s">
        <v>4630</v>
      </c>
      <c r="M1171" s="16" t="s">
        <v>4631</v>
      </c>
      <c r="N1171" s="16"/>
      <c r="O1171" s="16" t="s">
        <v>4632</v>
      </c>
      <c r="P1171" s="16" t="str">
        <f>HYPERLINK("https://ceds.ed.gov/cedselementdetails.aspx?termid=18532")</f>
        <v>https://ceds.ed.gov/cedselementdetails.aspx?termid=18532</v>
      </c>
      <c r="Q1171" s="16" t="str">
        <f>HYPERLINK("https://ceds.ed.gov/elementComment.aspx?elementName=Financial Expenditure K12 Project Reporting Code &amp;elementID=18532", "Click here to submit comment")</f>
        <v>Click here to submit comment</v>
      </c>
      <c r="R1171" s="16">
        <v>50852</v>
      </c>
    </row>
    <row r="1172" spans="1:18" x14ac:dyDescent="0.25">
      <c r="A1172" s="16"/>
      <c r="B1172" s="16"/>
      <c r="C1172" s="16"/>
      <c r="D1172" s="16"/>
      <c r="E1172" s="16"/>
      <c r="F1172" s="16"/>
      <c r="G1172" s="16"/>
      <c r="H1172" s="16"/>
      <c r="I1172" s="16"/>
      <c r="J1172" s="16"/>
      <c r="K1172" s="16"/>
      <c r="L1172" s="14"/>
      <c r="M1172" s="16"/>
      <c r="N1172" s="16"/>
      <c r="O1172" s="16"/>
      <c r="P1172" s="16"/>
      <c r="Q1172" s="16"/>
      <c r="R1172" s="16"/>
    </row>
    <row r="1173" spans="1:18" ht="45" x14ac:dyDescent="0.25">
      <c r="A1173" s="16"/>
      <c r="B1173" s="16"/>
      <c r="C1173" s="16"/>
      <c r="D1173" s="16"/>
      <c r="E1173" s="16"/>
      <c r="F1173" s="16"/>
      <c r="G1173" s="16"/>
      <c r="H1173" s="16"/>
      <c r="I1173" s="16"/>
      <c r="J1173" s="16"/>
      <c r="K1173" s="16"/>
      <c r="L1173" s="14" t="s">
        <v>4633</v>
      </c>
      <c r="M1173" s="16"/>
      <c r="N1173" s="16"/>
      <c r="O1173" s="16"/>
      <c r="P1173" s="16"/>
      <c r="Q1173" s="16"/>
      <c r="R1173" s="16"/>
    </row>
    <row r="1174" spans="1:18" x14ac:dyDescent="0.25">
      <c r="A1174" s="16"/>
      <c r="B1174" s="16"/>
      <c r="C1174" s="16"/>
      <c r="D1174" s="16"/>
      <c r="E1174" s="16"/>
      <c r="F1174" s="16"/>
      <c r="G1174" s="16"/>
      <c r="H1174" s="16"/>
      <c r="I1174" s="16"/>
      <c r="J1174" s="16"/>
      <c r="K1174" s="16"/>
      <c r="L1174" s="14"/>
      <c r="M1174" s="16"/>
      <c r="N1174" s="16"/>
      <c r="O1174" s="16"/>
      <c r="P1174" s="16"/>
      <c r="Q1174" s="16"/>
      <c r="R1174" s="16"/>
    </row>
    <row r="1175" spans="1:18" ht="45" x14ac:dyDescent="0.25">
      <c r="A1175" s="16"/>
      <c r="B1175" s="16"/>
      <c r="C1175" s="16"/>
      <c r="D1175" s="16"/>
      <c r="E1175" s="16"/>
      <c r="F1175" s="16"/>
      <c r="G1175" s="16"/>
      <c r="H1175" s="16"/>
      <c r="I1175" s="16"/>
      <c r="J1175" s="16"/>
      <c r="K1175" s="16"/>
      <c r="L1175" s="14" t="s">
        <v>4634</v>
      </c>
      <c r="M1175" s="16"/>
      <c r="N1175" s="16"/>
      <c r="O1175" s="16"/>
      <c r="P1175" s="16"/>
      <c r="Q1175" s="16"/>
      <c r="R1175" s="16"/>
    </row>
    <row r="1176" spans="1:18" x14ac:dyDescent="0.25">
      <c r="A1176" s="16"/>
      <c r="B1176" s="16"/>
      <c r="C1176" s="16"/>
      <c r="D1176" s="16"/>
      <c r="E1176" s="16"/>
      <c r="F1176" s="16"/>
      <c r="G1176" s="16"/>
      <c r="H1176" s="16"/>
      <c r="I1176" s="16"/>
      <c r="J1176" s="16"/>
      <c r="K1176" s="16"/>
      <c r="L1176" s="14"/>
      <c r="M1176" s="16"/>
      <c r="N1176" s="16"/>
      <c r="O1176" s="16"/>
      <c r="P1176" s="16"/>
      <c r="Q1176" s="16"/>
      <c r="R1176" s="16"/>
    </row>
    <row r="1177" spans="1:18" ht="60" x14ac:dyDescent="0.25">
      <c r="A1177" s="16"/>
      <c r="B1177" s="16"/>
      <c r="C1177" s="16"/>
      <c r="D1177" s="16"/>
      <c r="E1177" s="16"/>
      <c r="F1177" s="16"/>
      <c r="G1177" s="16"/>
      <c r="H1177" s="16"/>
      <c r="I1177" s="16"/>
      <c r="J1177" s="16"/>
      <c r="K1177" s="16"/>
      <c r="L1177" s="14" t="s">
        <v>4635</v>
      </c>
      <c r="M1177" s="16"/>
      <c r="N1177" s="16"/>
      <c r="O1177" s="16"/>
      <c r="P1177" s="16"/>
      <c r="Q1177" s="16"/>
      <c r="R1177" s="16"/>
    </row>
    <row r="1178" spans="1:18" x14ac:dyDescent="0.25">
      <c r="A1178" s="16"/>
      <c r="B1178" s="16"/>
      <c r="C1178" s="16"/>
      <c r="D1178" s="16"/>
      <c r="E1178" s="16"/>
      <c r="F1178" s="16"/>
      <c r="G1178" s="16"/>
      <c r="H1178" s="16"/>
      <c r="I1178" s="16"/>
      <c r="J1178" s="16"/>
      <c r="K1178" s="16"/>
      <c r="L1178" s="14"/>
      <c r="M1178" s="16"/>
      <c r="N1178" s="16"/>
      <c r="O1178" s="16"/>
      <c r="P1178" s="16"/>
      <c r="Q1178" s="16"/>
      <c r="R1178" s="16"/>
    </row>
    <row r="1179" spans="1:18" ht="30" x14ac:dyDescent="0.25">
      <c r="A1179" s="16"/>
      <c r="B1179" s="16"/>
      <c r="C1179" s="16"/>
      <c r="D1179" s="16"/>
      <c r="E1179" s="16"/>
      <c r="F1179" s="16"/>
      <c r="G1179" s="16"/>
      <c r="H1179" s="16"/>
      <c r="I1179" s="16"/>
      <c r="J1179" s="16"/>
      <c r="K1179" s="16"/>
      <c r="L1179" s="14" t="s">
        <v>4636</v>
      </c>
      <c r="M1179" s="16"/>
      <c r="N1179" s="16"/>
      <c r="O1179" s="16"/>
      <c r="P1179" s="16"/>
      <c r="Q1179" s="16"/>
      <c r="R1179" s="16"/>
    </row>
    <row r="1180" spans="1:18" ht="409.5" x14ac:dyDescent="0.25">
      <c r="A1180" s="14" t="s">
        <v>8732</v>
      </c>
      <c r="B1180" s="14" t="s">
        <v>8809</v>
      </c>
      <c r="C1180" s="14" t="s">
        <v>8582</v>
      </c>
      <c r="D1180" s="14" t="s">
        <v>8531</v>
      </c>
      <c r="E1180" s="14" t="s">
        <v>4500</v>
      </c>
      <c r="F1180" s="14" t="s">
        <v>4501</v>
      </c>
      <c r="G1180" s="8" t="s">
        <v>8780</v>
      </c>
      <c r="H1180" s="14"/>
      <c r="I1180" s="14"/>
      <c r="J1180" s="14"/>
      <c r="K1180" s="14"/>
      <c r="L1180" s="6" t="s">
        <v>4504</v>
      </c>
      <c r="M1180" s="14" t="s">
        <v>4505</v>
      </c>
      <c r="N1180" s="14"/>
      <c r="O1180" s="14" t="s">
        <v>4506</v>
      </c>
      <c r="P1180" s="14" t="str">
        <f>HYPERLINK("https://ceds.ed.gov/cedselementdetails.aspx?termid=18320")</f>
        <v>https://ceds.ed.gov/cedselementdetails.aspx?termid=18320</v>
      </c>
      <c r="Q1180" s="14" t="str">
        <f>HYPERLINK("https://ceds.ed.gov/elementComment.aspx?elementName=Financial Account K12 Balance Sheet Code &amp;elementID=18320", "Click here to submit comment")</f>
        <v>Click here to submit comment</v>
      </c>
      <c r="R1180" s="14">
        <v>50198</v>
      </c>
    </row>
    <row r="1181" spans="1:18" ht="45" x14ac:dyDescent="0.25">
      <c r="A1181" s="14" t="s">
        <v>8732</v>
      </c>
      <c r="B1181" s="14" t="s">
        <v>8809</v>
      </c>
      <c r="C1181" s="14" t="s">
        <v>8582</v>
      </c>
      <c r="D1181" s="14" t="s">
        <v>8531</v>
      </c>
      <c r="E1181" s="14" t="s">
        <v>4548</v>
      </c>
      <c r="F1181" s="14" t="s">
        <v>4549</v>
      </c>
      <c r="G1181" s="14" t="s">
        <v>37</v>
      </c>
      <c r="H1181" s="14"/>
      <c r="I1181" s="14"/>
      <c r="J1181" s="14" t="s">
        <v>1710</v>
      </c>
      <c r="K1181" s="14"/>
      <c r="L1181" s="14"/>
      <c r="M1181" s="14" t="s">
        <v>4550</v>
      </c>
      <c r="N1181" s="14"/>
      <c r="O1181" s="14" t="s">
        <v>4551</v>
      </c>
      <c r="P1181" s="14" t="str">
        <f>HYPERLINK("https://ceds.ed.gov/cedselementdetails.aspx?termid=18318")</f>
        <v>https://ceds.ed.gov/cedselementdetails.aspx?termid=18318</v>
      </c>
      <c r="Q1181" s="14" t="str">
        <f>HYPERLINK("https://ceds.ed.gov/elementComment.aspx?elementName=Financial Accounting Period Budgeted Value &amp;elementID=18318", "Click here to submit comment")</f>
        <v>Click here to submit comment</v>
      </c>
      <c r="R1181" s="14">
        <v>50193</v>
      </c>
    </row>
    <row r="1182" spans="1:18" ht="60" x14ac:dyDescent="0.25">
      <c r="A1182" s="14" t="s">
        <v>8732</v>
      </c>
      <c r="B1182" s="14" t="s">
        <v>8809</v>
      </c>
      <c r="C1182" s="14" t="s">
        <v>8582</v>
      </c>
      <c r="D1182" s="14" t="s">
        <v>8531</v>
      </c>
      <c r="E1182" s="14" t="s">
        <v>4552</v>
      </c>
      <c r="F1182" s="14" t="s">
        <v>4553</v>
      </c>
      <c r="G1182" s="14" t="s">
        <v>37</v>
      </c>
      <c r="H1182" s="14"/>
      <c r="I1182" s="14"/>
      <c r="J1182" s="14" t="s">
        <v>1710</v>
      </c>
      <c r="K1182" s="14"/>
      <c r="L1182" s="14" t="s">
        <v>4554</v>
      </c>
      <c r="M1182" s="14" t="s">
        <v>4555</v>
      </c>
      <c r="N1182" s="14"/>
      <c r="O1182" s="14" t="s">
        <v>4556</v>
      </c>
      <c r="P1182" s="14" t="str">
        <f>HYPERLINK("https://ceds.ed.gov/cedselementdetails.aspx?termid=18625")</f>
        <v>https://ceds.ed.gov/cedselementdetails.aspx?termid=18625</v>
      </c>
      <c r="Q1182" s="14" t="str">
        <f>HYPERLINK("https://ceds.ed.gov/elementComment.aspx?elementName=Financial Accounting Period Encumbered Value &amp;elementID=18625", "Click here to submit comment")</f>
        <v>Click here to submit comment</v>
      </c>
      <c r="R1182" s="14">
        <v>51325</v>
      </c>
    </row>
    <row r="1183" spans="1:18" ht="45" x14ac:dyDescent="0.25">
      <c r="A1183" s="14" t="s">
        <v>8732</v>
      </c>
      <c r="B1183" s="14" t="s">
        <v>8809</v>
      </c>
      <c r="C1183" s="14" t="s">
        <v>8582</v>
      </c>
      <c r="D1183" s="14" t="s">
        <v>8531</v>
      </c>
      <c r="E1183" s="14" t="s">
        <v>4544</v>
      </c>
      <c r="F1183" s="14" t="s">
        <v>4545</v>
      </c>
      <c r="G1183" s="14" t="s">
        <v>37</v>
      </c>
      <c r="H1183" s="14"/>
      <c r="I1183" s="14"/>
      <c r="J1183" s="14" t="s">
        <v>1710</v>
      </c>
      <c r="K1183" s="14"/>
      <c r="L1183" s="14"/>
      <c r="M1183" s="14" t="s">
        <v>4546</v>
      </c>
      <c r="N1183" s="14"/>
      <c r="O1183" s="14" t="s">
        <v>4547</v>
      </c>
      <c r="P1183" s="14" t="str">
        <f>HYPERLINK("https://ceds.ed.gov/cedselementdetails.aspx?termid=18317")</f>
        <v>https://ceds.ed.gov/cedselementdetails.aspx?termid=18317</v>
      </c>
      <c r="Q1183" s="14" t="str">
        <f>HYPERLINK("https://ceds.ed.gov/elementComment.aspx?elementName=Financial Accounting Period Actual Value &amp;elementID=18317", "Click here to submit comment")</f>
        <v>Click here to submit comment</v>
      </c>
      <c r="R1183" s="14">
        <v>50189</v>
      </c>
    </row>
    <row r="1184" spans="1:18" ht="135" x14ac:dyDescent="0.25">
      <c r="A1184" s="14" t="s">
        <v>8732</v>
      </c>
      <c r="B1184" s="14" t="s">
        <v>8809</v>
      </c>
      <c r="C1184" s="14" t="s">
        <v>8582</v>
      </c>
      <c r="D1184" s="14" t="s">
        <v>8531</v>
      </c>
      <c r="E1184" s="14" t="s">
        <v>4557</v>
      </c>
      <c r="F1184" s="14" t="s">
        <v>4558</v>
      </c>
      <c r="G1184" s="14" t="s">
        <v>37</v>
      </c>
      <c r="H1184" s="14"/>
      <c r="I1184" s="14"/>
      <c r="J1184" s="14" t="s">
        <v>1710</v>
      </c>
      <c r="K1184" s="14"/>
      <c r="L1184" s="14" t="s">
        <v>4559</v>
      </c>
      <c r="M1184" s="14" t="s">
        <v>4560</v>
      </c>
      <c r="N1184" s="14"/>
      <c r="O1184" s="14" t="s">
        <v>4561</v>
      </c>
      <c r="P1184" s="14" t="str">
        <f>HYPERLINK("https://ceds.ed.gov/cedselementdetails.aspx?termid=18628")</f>
        <v>https://ceds.ed.gov/cedselementdetails.aspx?termid=18628</v>
      </c>
      <c r="Q1184" s="14" t="str">
        <f>HYPERLINK("https://ceds.ed.gov/elementComment.aspx?elementName=Financial Accounting Value &amp;elementID=18628", "Click here to submit comment")</f>
        <v>Click here to submit comment</v>
      </c>
      <c r="R1184" s="14">
        <v>51337</v>
      </c>
    </row>
    <row r="1185" spans="1:18" ht="45" x14ac:dyDescent="0.25">
      <c r="A1185" s="14" t="s">
        <v>8732</v>
      </c>
      <c r="B1185" s="14" t="s">
        <v>8809</v>
      </c>
      <c r="C1185" s="14" t="s">
        <v>8582</v>
      </c>
      <c r="D1185" s="14" t="s">
        <v>8531</v>
      </c>
      <c r="E1185" s="14" t="s">
        <v>4540</v>
      </c>
      <c r="F1185" s="14" t="s">
        <v>4541</v>
      </c>
      <c r="G1185" s="14" t="s">
        <v>37</v>
      </c>
      <c r="H1185" s="14"/>
      <c r="I1185" s="14"/>
      <c r="J1185" s="14" t="s">
        <v>135</v>
      </c>
      <c r="K1185" s="14"/>
      <c r="L1185" s="14"/>
      <c r="M1185" s="14" t="s">
        <v>4542</v>
      </c>
      <c r="N1185" s="14"/>
      <c r="O1185" s="14" t="s">
        <v>4543</v>
      </c>
      <c r="P1185" s="14" t="str">
        <f>HYPERLINK("https://ceds.ed.gov/cedselementdetails.aspx?termid=18629")</f>
        <v>https://ceds.ed.gov/cedselementdetails.aspx?termid=18629</v>
      </c>
      <c r="Q1185" s="14" t="str">
        <f>HYPERLINK("https://ceds.ed.gov/elementComment.aspx?elementName=Financial Accounting Date &amp;elementID=18629", "Click here to submit comment")</f>
        <v>Click here to submit comment</v>
      </c>
      <c r="R1185" s="14">
        <v>51341</v>
      </c>
    </row>
    <row r="1186" spans="1:18" ht="150" x14ac:dyDescent="0.25">
      <c r="A1186" s="14" t="s">
        <v>8732</v>
      </c>
      <c r="B1186" s="14" t="s">
        <v>8809</v>
      </c>
      <c r="C1186" s="14" t="s">
        <v>8582</v>
      </c>
      <c r="D1186" s="14" t="s">
        <v>8531</v>
      </c>
      <c r="E1186" s="14" t="s">
        <v>4507</v>
      </c>
      <c r="F1186" s="14" t="s">
        <v>4508</v>
      </c>
      <c r="G1186" s="8" t="s">
        <v>8781</v>
      </c>
      <c r="H1186" s="14"/>
      <c r="I1186" s="14"/>
      <c r="J1186" s="14"/>
      <c r="K1186" s="14"/>
      <c r="L1186" s="6" t="s">
        <v>4504</v>
      </c>
      <c r="M1186" s="14" t="s">
        <v>4510</v>
      </c>
      <c r="N1186" s="14"/>
      <c r="O1186" s="14" t="s">
        <v>4511</v>
      </c>
      <c r="P1186" s="14" t="str">
        <f>HYPERLINK("https://ceds.ed.gov/cedselementdetails.aspx?termid=18314")</f>
        <v>https://ceds.ed.gov/cedselementdetails.aspx?termid=18314</v>
      </c>
      <c r="Q1186" s="14" t="str">
        <f>HYPERLINK("https://ceds.ed.gov/elementComment.aspx?elementName=Financial Account K12 Fund Classification &amp;elementID=18314", "Click here to submit comment")</f>
        <v>Click here to submit comment</v>
      </c>
      <c r="R1186" s="14">
        <v>50176</v>
      </c>
    </row>
    <row r="1187" spans="1:18" ht="240" x14ac:dyDescent="0.25">
      <c r="A1187" s="14" t="s">
        <v>8732</v>
      </c>
      <c r="B1187" s="14" t="s">
        <v>8809</v>
      </c>
      <c r="C1187" s="14" t="s">
        <v>8582</v>
      </c>
      <c r="D1187" s="14" t="s">
        <v>8531</v>
      </c>
      <c r="E1187" s="14" t="s">
        <v>4512</v>
      </c>
      <c r="F1187" s="14" t="s">
        <v>4513</v>
      </c>
      <c r="G1187" s="8" t="s">
        <v>8782</v>
      </c>
      <c r="H1187" s="14"/>
      <c r="I1187" s="14"/>
      <c r="J1187" s="14"/>
      <c r="K1187" s="14"/>
      <c r="L1187" s="6" t="s">
        <v>4504</v>
      </c>
      <c r="M1187" s="14" t="s">
        <v>4515</v>
      </c>
      <c r="N1187" s="14"/>
      <c r="O1187" s="14" t="s">
        <v>4516</v>
      </c>
      <c r="P1187" s="14" t="str">
        <f>HYPERLINK("https://ceds.ed.gov/cedselementdetails.aspx?termid=18316")</f>
        <v>https://ceds.ed.gov/cedselementdetails.aspx?termid=18316</v>
      </c>
      <c r="Q1187" s="14" t="str">
        <f>HYPERLINK("https://ceds.ed.gov/elementComment.aspx?elementName=Financial Account K12 Program Code &amp;elementID=18316", "Click here to submit comment")</f>
        <v>Click here to submit comment</v>
      </c>
      <c r="R1187" s="14">
        <v>50184</v>
      </c>
    </row>
    <row r="1188" spans="1:18" ht="45" x14ac:dyDescent="0.25">
      <c r="A1188" s="14" t="s">
        <v>8732</v>
      </c>
      <c r="B1188" s="14" t="s">
        <v>8809</v>
      </c>
      <c r="C1188" s="14" t="s">
        <v>8582</v>
      </c>
      <c r="D1188" s="14" t="s">
        <v>8531</v>
      </c>
      <c r="E1188" s="14" t="s">
        <v>4536</v>
      </c>
      <c r="F1188" s="14" t="s">
        <v>4537</v>
      </c>
      <c r="G1188" s="14" t="s">
        <v>37</v>
      </c>
      <c r="H1188" s="14"/>
      <c r="I1188" s="14"/>
      <c r="J1188" s="14" t="s">
        <v>97</v>
      </c>
      <c r="K1188" s="14"/>
      <c r="L1188" s="14"/>
      <c r="M1188" s="14" t="s">
        <v>4538</v>
      </c>
      <c r="N1188" s="14"/>
      <c r="O1188" s="14" t="s">
        <v>4539</v>
      </c>
      <c r="P1188" s="14" t="str">
        <f>HYPERLINK("https://ceds.ed.gov/cedselementdetails.aspx?termid=18627")</f>
        <v>https://ceds.ed.gov/cedselementdetails.aspx?termid=18627</v>
      </c>
      <c r="Q1188" s="14" t="str">
        <f>HYPERLINK("https://ceds.ed.gov/elementComment.aspx?elementName=Financial Account Program Number &amp;elementID=18627", "Click here to submit comment")</f>
        <v>Click here to submit comment</v>
      </c>
      <c r="R1188" s="14">
        <v>51333</v>
      </c>
    </row>
    <row r="1189" spans="1:18" ht="45" x14ac:dyDescent="0.25">
      <c r="A1189" s="14" t="s">
        <v>8732</v>
      </c>
      <c r="B1189" s="14" t="s">
        <v>8809</v>
      </c>
      <c r="C1189" s="14" t="s">
        <v>8582</v>
      </c>
      <c r="D1189" s="14" t="s">
        <v>8531</v>
      </c>
      <c r="E1189" s="14" t="s">
        <v>4532</v>
      </c>
      <c r="F1189" s="14" t="s">
        <v>4533</v>
      </c>
      <c r="G1189" s="14" t="s">
        <v>37</v>
      </c>
      <c r="H1189" s="14"/>
      <c r="I1189" s="14"/>
      <c r="J1189" s="14" t="s">
        <v>874</v>
      </c>
      <c r="K1189" s="14"/>
      <c r="L1189" s="14"/>
      <c r="M1189" s="14" t="s">
        <v>4534</v>
      </c>
      <c r="N1189" s="14"/>
      <c r="O1189" s="14" t="s">
        <v>4535</v>
      </c>
      <c r="P1189" s="14" t="str">
        <f>HYPERLINK("https://ceds.ed.gov/cedselementdetails.aspx?termid=18626")</f>
        <v>https://ceds.ed.gov/cedselementdetails.aspx?termid=18626</v>
      </c>
      <c r="Q1189" s="14" t="str">
        <f>HYPERLINK("https://ceds.ed.gov/elementComment.aspx?elementName=Financial Account Program Name &amp;elementID=18626", "Click here to submit comment")</f>
        <v>Click here to submit comment</v>
      </c>
      <c r="R1189" s="14">
        <v>51329</v>
      </c>
    </row>
    <row r="1190" spans="1:18" ht="75" x14ac:dyDescent="0.25">
      <c r="A1190" s="14" t="s">
        <v>8732</v>
      </c>
      <c r="B1190" s="14" t="s">
        <v>8809</v>
      </c>
      <c r="C1190" s="14" t="s">
        <v>8783</v>
      </c>
      <c r="D1190" s="14" t="s">
        <v>8531</v>
      </c>
      <c r="E1190" s="14" t="s">
        <v>4468</v>
      </c>
      <c r="F1190" s="14" t="s">
        <v>4469</v>
      </c>
      <c r="G1190" s="14" t="s">
        <v>37</v>
      </c>
      <c r="H1190" s="14" t="s">
        <v>258</v>
      </c>
      <c r="I1190" s="14"/>
      <c r="J1190" s="14" t="s">
        <v>4471</v>
      </c>
      <c r="K1190" s="14"/>
      <c r="L1190" s="14"/>
      <c r="M1190" s="14" t="s">
        <v>4472</v>
      </c>
      <c r="N1190" s="14"/>
      <c r="O1190" s="14" t="s">
        <v>4473</v>
      </c>
      <c r="P1190" s="14" t="str">
        <f>HYPERLINK("https://ceds.ed.gov/cedselementdetails.aspx?termid=17538")</f>
        <v>https://ceds.ed.gov/cedselementdetails.aspx?termid=17538</v>
      </c>
      <c r="Q1190" s="14" t="str">
        <f>HYPERLINK("https://ceds.ed.gov/elementComment.aspx?elementName=Federal Program Code &amp;elementID=17538", "Click here to submit comment")</f>
        <v>Click here to submit comment</v>
      </c>
      <c r="R1190" s="14">
        <v>47982</v>
      </c>
    </row>
    <row r="1191" spans="1:18" ht="135" x14ac:dyDescent="0.25">
      <c r="A1191" s="14" t="s">
        <v>8732</v>
      </c>
      <c r="B1191" s="14" t="s">
        <v>8809</v>
      </c>
      <c r="C1191" s="14" t="s">
        <v>8783</v>
      </c>
      <c r="D1191" s="14" t="s">
        <v>8531</v>
      </c>
      <c r="E1191" s="14" t="s">
        <v>4474</v>
      </c>
      <c r="F1191" s="14" t="s">
        <v>4475</v>
      </c>
      <c r="G1191" s="14" t="s">
        <v>37</v>
      </c>
      <c r="H1191" s="14" t="s">
        <v>258</v>
      </c>
      <c r="I1191" s="14"/>
      <c r="J1191" s="14" t="s">
        <v>1710</v>
      </c>
      <c r="K1191" s="14"/>
      <c r="L1191" s="14"/>
      <c r="M1191" s="14" t="s">
        <v>4477</v>
      </c>
      <c r="N1191" s="14"/>
      <c r="O1191" s="14" t="s">
        <v>4478</v>
      </c>
      <c r="P1191" s="14" t="str">
        <f>HYPERLINK("https://ceds.ed.gov/cedselementdetails.aspx?termid=17540")</f>
        <v>https://ceds.ed.gov/cedselementdetails.aspx?termid=17540</v>
      </c>
      <c r="Q1191" s="14" t="str">
        <f>HYPERLINK("https://ceds.ed.gov/elementComment.aspx?elementName=Federal Programs Funding Allocation &amp;elementID=17540", "Click here to submit comment")</f>
        <v>Click here to submit comment</v>
      </c>
      <c r="R1191" s="14">
        <v>47984</v>
      </c>
    </row>
    <row r="1192" spans="1:18" ht="135" x14ac:dyDescent="0.25">
      <c r="A1192" s="14" t="s">
        <v>8732</v>
      </c>
      <c r="B1192" s="14" t="s">
        <v>8809</v>
      </c>
      <c r="C1192" s="14" t="s">
        <v>8783</v>
      </c>
      <c r="D1192" s="14" t="s">
        <v>8531</v>
      </c>
      <c r="E1192" s="14" t="s">
        <v>4479</v>
      </c>
      <c r="F1192" s="14" t="s">
        <v>4480</v>
      </c>
      <c r="G1192" s="8" t="s">
        <v>8812</v>
      </c>
      <c r="H1192" s="14"/>
      <c r="I1192" s="14"/>
      <c r="J1192" s="14"/>
      <c r="K1192" s="14"/>
      <c r="L1192" s="14"/>
      <c r="M1192" s="14" t="s">
        <v>4482</v>
      </c>
      <c r="N1192" s="14"/>
      <c r="O1192" s="14" t="s">
        <v>4483</v>
      </c>
      <c r="P1192" s="14" t="str">
        <f>HYPERLINK("https://ceds.ed.gov/cedselementdetails.aspx?termid=17539")</f>
        <v>https://ceds.ed.gov/cedselementdetails.aspx?termid=17539</v>
      </c>
      <c r="Q1192" s="14" t="str">
        <f>HYPERLINK("https://ceds.ed.gov/elementComment.aspx?elementName=Federal Programs Funding Allocation Type &amp;elementID=17539", "Click here to submit comment")</f>
        <v>Click here to submit comment</v>
      </c>
      <c r="R1192" s="14">
        <v>47983</v>
      </c>
    </row>
    <row r="1193" spans="1:18" ht="45" x14ac:dyDescent="0.25">
      <c r="A1193" s="14" t="s">
        <v>8732</v>
      </c>
      <c r="B1193" s="14" t="s">
        <v>8809</v>
      </c>
      <c r="C1193" s="14" t="s">
        <v>8783</v>
      </c>
      <c r="D1193" s="14" t="s">
        <v>8531</v>
      </c>
      <c r="E1193" s="14" t="s">
        <v>8027</v>
      </c>
      <c r="F1193" s="14" t="s">
        <v>8028</v>
      </c>
      <c r="G1193" s="14" t="s">
        <v>24</v>
      </c>
      <c r="H1193" s="14" t="s">
        <v>245</v>
      </c>
      <c r="I1193" s="14"/>
      <c r="J1193" s="14"/>
      <c r="K1193" s="14"/>
      <c r="L1193" s="14"/>
      <c r="M1193" s="14" t="s">
        <v>8029</v>
      </c>
      <c r="N1193" s="14"/>
      <c r="O1193" s="14" t="s">
        <v>8030</v>
      </c>
      <c r="P1193" s="14" t="str">
        <f>HYPERLINK("https://ceds.ed.gov/cedselementdetails.aspx?termid=17435")</f>
        <v>https://ceds.ed.gov/cedselementdetails.aspx?termid=17435</v>
      </c>
      <c r="Q1193" s="14" t="str">
        <f>HYPERLINK("https://ceds.ed.gov/elementComment.aspx?elementName=State Transferability of Funds &amp;elementID=17435", "Click here to submit comment")</f>
        <v>Click here to submit comment</v>
      </c>
      <c r="R1193" s="14">
        <v>47976</v>
      </c>
    </row>
    <row r="1194" spans="1:18" ht="45" x14ac:dyDescent="0.25">
      <c r="A1194" s="14" t="s">
        <v>8732</v>
      </c>
      <c r="B1194" s="14" t="s">
        <v>8809</v>
      </c>
      <c r="C1194" s="14" t="s">
        <v>8783</v>
      </c>
      <c r="D1194" s="14" t="s">
        <v>8531</v>
      </c>
      <c r="E1194" s="14" t="s">
        <v>3440</v>
      </c>
      <c r="F1194" s="14" t="s">
        <v>3441</v>
      </c>
      <c r="G1194" s="14" t="s">
        <v>37</v>
      </c>
      <c r="H1194" s="14" t="s">
        <v>245</v>
      </c>
      <c r="I1194" s="14"/>
      <c r="J1194" s="14" t="s">
        <v>135</v>
      </c>
      <c r="K1194" s="14"/>
      <c r="L1194" s="14"/>
      <c r="M1194" s="14" t="s">
        <v>3443</v>
      </c>
      <c r="N1194" s="14"/>
      <c r="O1194" s="14" t="s">
        <v>3444</v>
      </c>
      <c r="P1194" s="14" t="str">
        <f>HYPERLINK("https://ceds.ed.gov/cedselementdetails.aspx?termid=17445")</f>
        <v>https://ceds.ed.gov/cedselementdetails.aspx?termid=17445</v>
      </c>
      <c r="Q1194" s="14" t="str">
        <f>HYPERLINK("https://ceds.ed.gov/elementComment.aspx?elementName=Date State Received Title III Allocation &amp;elementID=17445", "Click here to submit comment")</f>
        <v>Click here to submit comment</v>
      </c>
      <c r="R1194" s="14">
        <v>47977</v>
      </c>
    </row>
    <row r="1195" spans="1:18" ht="45" x14ac:dyDescent="0.25">
      <c r="A1195" s="14" t="s">
        <v>8732</v>
      </c>
      <c r="B1195" s="14" t="s">
        <v>8809</v>
      </c>
      <c r="C1195" s="14" t="s">
        <v>8783</v>
      </c>
      <c r="D1195" s="14" t="s">
        <v>8531</v>
      </c>
      <c r="E1195" s="14" t="s">
        <v>3445</v>
      </c>
      <c r="F1195" s="14" t="s">
        <v>3446</v>
      </c>
      <c r="G1195" s="14" t="s">
        <v>37</v>
      </c>
      <c r="H1195" s="14" t="s">
        <v>245</v>
      </c>
      <c r="I1195" s="14"/>
      <c r="J1195" s="14" t="s">
        <v>135</v>
      </c>
      <c r="K1195" s="14"/>
      <c r="L1195" s="14"/>
      <c r="M1195" s="14" t="s">
        <v>3447</v>
      </c>
      <c r="N1195" s="14"/>
      <c r="O1195" s="14" t="s">
        <v>3448</v>
      </c>
      <c r="P1195" s="14" t="str">
        <f>HYPERLINK("https://ceds.ed.gov/cedselementdetails.aspx?termid=17446")</f>
        <v>https://ceds.ed.gov/cedselementdetails.aspx?termid=17446</v>
      </c>
      <c r="Q1195" s="14" t="str">
        <f>HYPERLINK("https://ceds.ed.gov/elementComment.aspx?elementName=Date Title III Funds Available to Subgrantees &amp;elementID=17446", "Click here to submit comment")</f>
        <v>Click here to submit comment</v>
      </c>
      <c r="R1195" s="14">
        <v>47978</v>
      </c>
    </row>
    <row r="1196" spans="1:18" ht="90" x14ac:dyDescent="0.25">
      <c r="A1196" s="14" t="s">
        <v>8732</v>
      </c>
      <c r="B1196" s="14" t="s">
        <v>8809</v>
      </c>
      <c r="C1196" s="14" t="s">
        <v>8783</v>
      </c>
      <c r="D1196" s="14" t="s">
        <v>8531</v>
      </c>
      <c r="E1196" s="14" t="s">
        <v>6447</v>
      </c>
      <c r="F1196" s="14" t="s">
        <v>6448</v>
      </c>
      <c r="G1196" s="14" t="s">
        <v>37</v>
      </c>
      <c r="H1196" s="14" t="s">
        <v>245</v>
      </c>
      <c r="I1196" s="14"/>
      <c r="J1196" s="14" t="s">
        <v>1710</v>
      </c>
      <c r="K1196" s="14"/>
      <c r="L1196" s="14"/>
      <c r="M1196" s="14" t="s">
        <v>6449</v>
      </c>
      <c r="N1196" s="14"/>
      <c r="O1196" s="14" t="s">
        <v>6450</v>
      </c>
      <c r="P1196" s="14" t="str">
        <f>HYPERLINK("https://ceds.ed.gov/cedselementdetails.aspx?termid=17447")</f>
        <v>https://ceds.ed.gov/cedselementdetails.aspx?termid=17447</v>
      </c>
      <c r="Q1196" s="14" t="str">
        <f>HYPERLINK("https://ceds.ed.gov/elementComment.aspx?elementName=Number of Days for Title III Subgrants &amp;elementID=17447", "Click here to submit comment")</f>
        <v>Click here to submit comment</v>
      </c>
      <c r="R1196" s="14">
        <v>47979</v>
      </c>
    </row>
    <row r="1197" spans="1:18" ht="195" x14ac:dyDescent="0.25">
      <c r="A1197" s="14" t="s">
        <v>8732</v>
      </c>
      <c r="B1197" s="14" t="s">
        <v>8813</v>
      </c>
      <c r="C1197" s="14" t="s">
        <v>8597</v>
      </c>
      <c r="D1197" s="14" t="s">
        <v>8531</v>
      </c>
      <c r="E1197" s="14" t="s">
        <v>4667</v>
      </c>
      <c r="F1197" s="14" t="s">
        <v>4668</v>
      </c>
      <c r="G1197" s="14" t="s">
        <v>37</v>
      </c>
      <c r="H1197" s="14" t="s">
        <v>4673</v>
      </c>
      <c r="I1197" s="14"/>
      <c r="J1197" s="14" t="s">
        <v>1468</v>
      </c>
      <c r="K1197" s="14"/>
      <c r="L1197" s="14" t="s">
        <v>4670</v>
      </c>
      <c r="M1197" s="14" t="s">
        <v>4671</v>
      </c>
      <c r="N1197" s="14"/>
      <c r="O1197" s="14" t="s">
        <v>4672</v>
      </c>
      <c r="P1197" s="14" t="str">
        <f>HYPERLINK("https://ceds.ed.gov/cedselementdetails.aspx?termid=17115")</f>
        <v>https://ceds.ed.gov/cedselementdetails.aspx?termid=17115</v>
      </c>
      <c r="Q1197" s="14" t="str">
        <f>HYPERLINK("https://ceds.ed.gov/elementComment.aspx?elementName=First Name &amp;elementID=17115", "Click here to submit comment")</f>
        <v>Click here to submit comment</v>
      </c>
      <c r="R1197" s="14">
        <v>48753</v>
      </c>
    </row>
    <row r="1198" spans="1:18" x14ac:dyDescent="0.25">
      <c r="A1198" s="16" t="s">
        <v>8732</v>
      </c>
      <c r="B1198" s="16" t="s">
        <v>8813</v>
      </c>
      <c r="C1198" s="16" t="s">
        <v>8597</v>
      </c>
      <c r="D1198" s="16" t="s">
        <v>8531</v>
      </c>
      <c r="E1198" s="16" t="s">
        <v>6223</v>
      </c>
      <c r="F1198" s="16" t="s">
        <v>6224</v>
      </c>
      <c r="G1198" s="16" t="s">
        <v>37</v>
      </c>
      <c r="H1198" s="16" t="s">
        <v>4673</v>
      </c>
      <c r="I1198" s="16"/>
      <c r="J1198" s="16" t="s">
        <v>1468</v>
      </c>
      <c r="K1198" s="16"/>
      <c r="L1198" s="14" t="s">
        <v>4746</v>
      </c>
      <c r="M1198" s="16" t="s">
        <v>6226</v>
      </c>
      <c r="N1198" s="16"/>
      <c r="O1198" s="16" t="s">
        <v>6227</v>
      </c>
      <c r="P1198" s="16" t="str">
        <f>HYPERLINK("https://ceds.ed.gov/cedselementdetails.aspx?termid=17184")</f>
        <v>https://ceds.ed.gov/cedselementdetails.aspx?termid=17184</v>
      </c>
      <c r="Q1198" s="16" t="str">
        <f>HYPERLINK("https://ceds.ed.gov/elementComment.aspx?elementName=Middle Name &amp;elementID=17184", "Click here to submit comment")</f>
        <v>Click here to submit comment</v>
      </c>
      <c r="R1198" s="16">
        <v>48786</v>
      </c>
    </row>
    <row r="1199" spans="1:18" ht="90" x14ac:dyDescent="0.25">
      <c r="A1199" s="16"/>
      <c r="B1199" s="16"/>
      <c r="C1199" s="16"/>
      <c r="D1199" s="16"/>
      <c r="E1199" s="16"/>
      <c r="F1199" s="16"/>
      <c r="G1199" s="16"/>
      <c r="H1199" s="16"/>
      <c r="I1199" s="16"/>
      <c r="J1199" s="16"/>
      <c r="K1199" s="16"/>
      <c r="L1199" s="14" t="s">
        <v>4750</v>
      </c>
      <c r="M1199" s="16"/>
      <c r="N1199" s="16"/>
      <c r="O1199" s="16"/>
      <c r="P1199" s="16"/>
      <c r="Q1199" s="16"/>
      <c r="R1199" s="16"/>
    </row>
    <row r="1200" spans="1:18" x14ac:dyDescent="0.25">
      <c r="A1200" s="16" t="s">
        <v>8732</v>
      </c>
      <c r="B1200" s="16" t="s">
        <v>8813</v>
      </c>
      <c r="C1200" s="16" t="s">
        <v>8597</v>
      </c>
      <c r="D1200" s="16" t="s">
        <v>8531</v>
      </c>
      <c r="E1200" s="16" t="s">
        <v>5727</v>
      </c>
      <c r="F1200" s="16" t="s">
        <v>5728</v>
      </c>
      <c r="G1200" s="16" t="s">
        <v>37</v>
      </c>
      <c r="H1200" s="16" t="s">
        <v>4673</v>
      </c>
      <c r="I1200" s="16"/>
      <c r="J1200" s="16" t="s">
        <v>1468</v>
      </c>
      <c r="K1200" s="16"/>
      <c r="L1200" s="14" t="s">
        <v>4746</v>
      </c>
      <c r="M1200" s="16" t="s">
        <v>5729</v>
      </c>
      <c r="N1200" s="16" t="s">
        <v>5730</v>
      </c>
      <c r="O1200" s="16" t="s">
        <v>5731</v>
      </c>
      <c r="P1200" s="16" t="str">
        <f>HYPERLINK("https://ceds.ed.gov/cedselementdetails.aspx?termid=17172")</f>
        <v>https://ceds.ed.gov/cedselementdetails.aspx?termid=17172</v>
      </c>
      <c r="Q1200" s="16" t="str">
        <f>HYPERLINK("https://ceds.ed.gov/elementComment.aspx?elementName=Last or Surname &amp;elementID=17172", "Click here to submit comment")</f>
        <v>Click here to submit comment</v>
      </c>
      <c r="R1200" s="16">
        <v>48781</v>
      </c>
    </row>
    <row r="1201" spans="1:18" ht="90" x14ac:dyDescent="0.25">
      <c r="A1201" s="16"/>
      <c r="B1201" s="16"/>
      <c r="C1201" s="16"/>
      <c r="D1201" s="16"/>
      <c r="E1201" s="16"/>
      <c r="F1201" s="16"/>
      <c r="G1201" s="16"/>
      <c r="H1201" s="16"/>
      <c r="I1201" s="16"/>
      <c r="J1201" s="16"/>
      <c r="K1201" s="16"/>
      <c r="L1201" s="14" t="s">
        <v>4750</v>
      </c>
      <c r="M1201" s="16"/>
      <c r="N1201" s="16"/>
      <c r="O1201" s="16"/>
      <c r="P1201" s="16"/>
      <c r="Q1201" s="16"/>
      <c r="R1201" s="16"/>
    </row>
    <row r="1202" spans="1:18" x14ac:dyDescent="0.25">
      <c r="A1202" s="16" t="s">
        <v>8732</v>
      </c>
      <c r="B1202" s="16" t="s">
        <v>8813</v>
      </c>
      <c r="C1202" s="16" t="s">
        <v>8597</v>
      </c>
      <c r="D1202" s="16" t="s">
        <v>8531</v>
      </c>
      <c r="E1202" s="16" t="s">
        <v>4743</v>
      </c>
      <c r="F1202" s="16" t="s">
        <v>4744</v>
      </c>
      <c r="G1202" s="16" t="s">
        <v>37</v>
      </c>
      <c r="H1202" s="16" t="s">
        <v>4749</v>
      </c>
      <c r="I1202" s="16"/>
      <c r="J1202" s="16" t="s">
        <v>3096</v>
      </c>
      <c r="K1202" s="16"/>
      <c r="L1202" s="14" t="s">
        <v>4746</v>
      </c>
      <c r="M1202" s="16" t="s">
        <v>4747</v>
      </c>
      <c r="N1202" s="16"/>
      <c r="O1202" s="16" t="s">
        <v>4748</v>
      </c>
      <c r="P1202" s="16" t="str">
        <f>HYPERLINK("https://ceds.ed.gov/cedselementdetails.aspx?termid=17121")</f>
        <v>https://ceds.ed.gov/cedselementdetails.aspx?termid=17121</v>
      </c>
      <c r="Q1202" s="16" t="str">
        <f>HYPERLINK("https://ceds.ed.gov/elementComment.aspx?elementName=Generation Code or Suffix &amp;elementID=17121", "Click here to submit comment")</f>
        <v>Click here to submit comment</v>
      </c>
      <c r="R1202" s="16">
        <v>48755</v>
      </c>
    </row>
    <row r="1203" spans="1:18" ht="90" x14ac:dyDescent="0.25">
      <c r="A1203" s="16"/>
      <c r="B1203" s="16"/>
      <c r="C1203" s="16"/>
      <c r="D1203" s="16"/>
      <c r="E1203" s="16"/>
      <c r="F1203" s="16"/>
      <c r="G1203" s="16"/>
      <c r="H1203" s="16"/>
      <c r="I1203" s="16"/>
      <c r="J1203" s="16"/>
      <c r="K1203" s="16"/>
      <c r="L1203" s="14" t="s">
        <v>4750</v>
      </c>
      <c r="M1203" s="16"/>
      <c r="N1203" s="16"/>
      <c r="O1203" s="16"/>
      <c r="P1203" s="16"/>
      <c r="Q1203" s="16"/>
      <c r="R1203" s="16"/>
    </row>
    <row r="1204" spans="1:18" ht="105" x14ac:dyDescent="0.25">
      <c r="A1204" s="14" t="s">
        <v>8732</v>
      </c>
      <c r="B1204" s="14" t="s">
        <v>8813</v>
      </c>
      <c r="C1204" s="14" t="s">
        <v>8597</v>
      </c>
      <c r="D1204" s="14" t="s">
        <v>8531</v>
      </c>
      <c r="E1204" s="14" t="s">
        <v>6741</v>
      </c>
      <c r="F1204" s="14" t="s">
        <v>6742</v>
      </c>
      <c r="G1204" s="14" t="s">
        <v>37</v>
      </c>
      <c r="H1204" s="14" t="s">
        <v>6747</v>
      </c>
      <c r="I1204" s="14"/>
      <c r="J1204" s="14" t="s">
        <v>97</v>
      </c>
      <c r="K1204" s="14"/>
      <c r="L1204" s="14"/>
      <c r="M1204" s="14" t="s">
        <v>6744</v>
      </c>
      <c r="N1204" s="14" t="s">
        <v>6745</v>
      </c>
      <c r="O1204" s="14" t="s">
        <v>6746</v>
      </c>
      <c r="P1204" s="14" t="str">
        <f>HYPERLINK("https://ceds.ed.gov/cedselementdetails.aspx?termid=17212")</f>
        <v>https://ceds.ed.gov/cedselementdetails.aspx?termid=17212</v>
      </c>
      <c r="Q1204" s="14" t="str">
        <f>HYPERLINK("https://ceds.ed.gov/elementComment.aspx?elementName=Personal Title or Prefix &amp;elementID=17212", "Click here to submit comment")</f>
        <v>Click here to submit comment</v>
      </c>
      <c r="R1204" s="14">
        <v>48798</v>
      </c>
    </row>
    <row r="1205" spans="1:18" ht="45" x14ac:dyDescent="0.25">
      <c r="A1205" s="14" t="s">
        <v>8732</v>
      </c>
      <c r="B1205" s="14" t="s">
        <v>8813</v>
      </c>
      <c r="C1205" s="14" t="s">
        <v>8598</v>
      </c>
      <c r="D1205" s="14" t="s">
        <v>8531</v>
      </c>
      <c r="E1205" s="14" t="s">
        <v>6586</v>
      </c>
      <c r="F1205" s="14" t="s">
        <v>6587</v>
      </c>
      <c r="G1205" s="14" t="s">
        <v>37</v>
      </c>
      <c r="H1205" s="14"/>
      <c r="I1205" s="14"/>
      <c r="J1205" s="14" t="s">
        <v>1468</v>
      </c>
      <c r="K1205" s="14"/>
      <c r="L1205" s="14" t="s">
        <v>6589</v>
      </c>
      <c r="M1205" s="14" t="s">
        <v>6590</v>
      </c>
      <c r="N1205" s="14"/>
      <c r="O1205" s="14" t="s">
        <v>6591</v>
      </c>
      <c r="P1205" s="14" t="str">
        <f>HYPERLINK("https://ceds.ed.gov/cedselementdetails.aspx?termid=18486")</f>
        <v>https://ceds.ed.gov/cedselementdetails.aspx?termid=18486</v>
      </c>
      <c r="Q1205" s="14" t="str">
        <f>HYPERLINK("https://ceds.ed.gov/elementComment.aspx?elementName=Other First Name &amp;elementID=18486", "Click here to submit comment")</f>
        <v>Click here to submit comment</v>
      </c>
      <c r="R1205" s="14">
        <v>50630</v>
      </c>
    </row>
    <row r="1206" spans="1:18" ht="45" x14ac:dyDescent="0.25">
      <c r="A1206" s="14" t="s">
        <v>8732</v>
      </c>
      <c r="B1206" s="14" t="s">
        <v>8813</v>
      </c>
      <c r="C1206" s="14" t="s">
        <v>8598</v>
      </c>
      <c r="D1206" s="14" t="s">
        <v>8531</v>
      </c>
      <c r="E1206" s="14" t="s">
        <v>6597</v>
      </c>
      <c r="F1206" s="14" t="s">
        <v>6598</v>
      </c>
      <c r="G1206" s="14" t="s">
        <v>37</v>
      </c>
      <c r="H1206" s="14"/>
      <c r="I1206" s="14"/>
      <c r="J1206" s="14" t="s">
        <v>1468</v>
      </c>
      <c r="K1206" s="14"/>
      <c r="L1206" s="14" t="s">
        <v>6599</v>
      </c>
      <c r="M1206" s="14" t="s">
        <v>6600</v>
      </c>
      <c r="N1206" s="14"/>
      <c r="O1206" s="14" t="s">
        <v>6601</v>
      </c>
      <c r="P1206" s="14" t="str">
        <f>HYPERLINK("https://ceds.ed.gov/cedselementdetails.aspx?termid=18487")</f>
        <v>https://ceds.ed.gov/cedselementdetails.aspx?termid=18487</v>
      </c>
      <c r="Q1206" s="14" t="str">
        <f>HYPERLINK("https://ceds.ed.gov/elementComment.aspx?elementName=Other Middle Name &amp;elementID=18487", "Click here to submit comment")</f>
        <v>Click here to submit comment</v>
      </c>
      <c r="R1206" s="14">
        <v>50646</v>
      </c>
    </row>
    <row r="1207" spans="1:18" ht="45" x14ac:dyDescent="0.25">
      <c r="A1207" s="14" t="s">
        <v>8732</v>
      </c>
      <c r="B1207" s="14" t="s">
        <v>8813</v>
      </c>
      <c r="C1207" s="14" t="s">
        <v>8598</v>
      </c>
      <c r="D1207" s="14" t="s">
        <v>8531</v>
      </c>
      <c r="E1207" s="14" t="s">
        <v>6592</v>
      </c>
      <c r="F1207" s="14" t="s">
        <v>6593</v>
      </c>
      <c r="G1207" s="14" t="s">
        <v>37</v>
      </c>
      <c r="H1207" s="14"/>
      <c r="I1207" s="14"/>
      <c r="J1207" s="14" t="s">
        <v>1468</v>
      </c>
      <c r="K1207" s="14"/>
      <c r="L1207" s="14" t="s">
        <v>6594</v>
      </c>
      <c r="M1207" s="14" t="s">
        <v>6595</v>
      </c>
      <c r="N1207" s="14"/>
      <c r="O1207" s="14" t="s">
        <v>6596</v>
      </c>
      <c r="P1207" s="14" t="str">
        <f>HYPERLINK("https://ceds.ed.gov/cedselementdetails.aspx?termid=18485")</f>
        <v>https://ceds.ed.gov/cedselementdetails.aspx?termid=18485</v>
      </c>
      <c r="Q1207" s="14" t="str">
        <f>HYPERLINK("https://ceds.ed.gov/elementComment.aspx?elementName=Other Last Name &amp;elementID=18485", "Click here to submit comment")</f>
        <v>Click here to submit comment</v>
      </c>
      <c r="R1207" s="14">
        <v>50614</v>
      </c>
    </row>
    <row r="1208" spans="1:18" ht="150" x14ac:dyDescent="0.25">
      <c r="A1208" s="14" t="s">
        <v>8732</v>
      </c>
      <c r="B1208" s="14" t="s">
        <v>8813</v>
      </c>
      <c r="C1208" s="14" t="s">
        <v>8598</v>
      </c>
      <c r="D1208" s="14" t="s">
        <v>8531</v>
      </c>
      <c r="E1208" s="14" t="s">
        <v>6602</v>
      </c>
      <c r="F1208" s="14" t="s">
        <v>6603</v>
      </c>
      <c r="G1208" s="14" t="s">
        <v>37</v>
      </c>
      <c r="H1208" s="14" t="s">
        <v>4749</v>
      </c>
      <c r="I1208" s="14"/>
      <c r="J1208" s="14" t="s">
        <v>149</v>
      </c>
      <c r="K1208" s="14"/>
      <c r="L1208" s="14"/>
      <c r="M1208" s="14" t="s">
        <v>6604</v>
      </c>
      <c r="N1208" s="14"/>
      <c r="O1208" s="14" t="s">
        <v>6605</v>
      </c>
      <c r="P1208" s="14" t="str">
        <f>HYPERLINK("https://ceds.ed.gov/cedselementdetails.aspx?termid=17206")</f>
        <v>https://ceds.ed.gov/cedselementdetails.aspx?termid=17206</v>
      </c>
      <c r="Q1208" s="14" t="str">
        <f>HYPERLINK("https://ceds.ed.gov/elementComment.aspx?elementName=Other Name &amp;elementID=17206", "Click here to submit comment")</f>
        <v>Click here to submit comment</v>
      </c>
      <c r="R1208" s="14">
        <v>48797</v>
      </c>
    </row>
    <row r="1209" spans="1:18" ht="165" x14ac:dyDescent="0.25">
      <c r="A1209" s="14" t="s">
        <v>8732</v>
      </c>
      <c r="B1209" s="14" t="s">
        <v>8813</v>
      </c>
      <c r="C1209" s="14" t="s">
        <v>8598</v>
      </c>
      <c r="D1209" s="14" t="s">
        <v>8531</v>
      </c>
      <c r="E1209" s="14" t="s">
        <v>6606</v>
      </c>
      <c r="F1209" s="14" t="s">
        <v>6607</v>
      </c>
      <c r="G1209" s="8" t="s">
        <v>8554</v>
      </c>
      <c r="H1209" s="14" t="s">
        <v>6612</v>
      </c>
      <c r="I1209" s="14"/>
      <c r="J1209" s="14" t="s">
        <v>97</v>
      </c>
      <c r="K1209" s="14"/>
      <c r="L1209" s="14"/>
      <c r="M1209" s="14" t="s">
        <v>6610</v>
      </c>
      <c r="N1209" s="14"/>
      <c r="O1209" s="14" t="s">
        <v>6611</v>
      </c>
      <c r="P1209" s="14" t="str">
        <f>HYPERLINK("https://ceds.ed.gov/cedselementdetails.aspx?termid=17627")</f>
        <v>https://ceds.ed.gov/cedselementdetails.aspx?termid=17627</v>
      </c>
      <c r="Q1209" s="14" t="str">
        <f>HYPERLINK("https://ceds.ed.gov/elementComment.aspx?elementName=Other Name Type &amp;elementID=17627", "Click here to submit comment")</f>
        <v>Click here to submit comment</v>
      </c>
      <c r="R1209" s="14">
        <v>48902</v>
      </c>
    </row>
    <row r="1210" spans="1:18" ht="105" x14ac:dyDescent="0.25">
      <c r="A1210" s="16" t="s">
        <v>8732</v>
      </c>
      <c r="B1210" s="16" t="s">
        <v>8813</v>
      </c>
      <c r="C1210" s="16" t="s">
        <v>8599</v>
      </c>
      <c r="D1210" s="16" t="s">
        <v>8531</v>
      </c>
      <c r="E1210" s="16" t="s">
        <v>8072</v>
      </c>
      <c r="F1210" s="16" t="s">
        <v>8073</v>
      </c>
      <c r="G1210" s="16" t="s">
        <v>37</v>
      </c>
      <c r="H1210" s="16" t="s">
        <v>8071</v>
      </c>
      <c r="I1210" s="16"/>
      <c r="J1210" s="16" t="s">
        <v>149</v>
      </c>
      <c r="K1210" s="16"/>
      <c r="L1210" s="14" t="s">
        <v>150</v>
      </c>
      <c r="M1210" s="16" t="s">
        <v>8074</v>
      </c>
      <c r="N1210" s="16"/>
      <c r="O1210" s="16" t="s">
        <v>8075</v>
      </c>
      <c r="P1210" s="16" t="str">
        <f>HYPERLINK("https://ceds.ed.gov/cedselementdetails.aspx?termid=17157")</f>
        <v>https://ceds.ed.gov/cedselementdetails.aspx?termid=17157</v>
      </c>
      <c r="Q1210" s="16" t="str">
        <f>HYPERLINK("https://ceds.ed.gov/elementComment.aspx?elementName=Student Identifier &amp;elementID=17157", "Click here to submit comment")</f>
        <v>Click here to submit comment</v>
      </c>
      <c r="R1210" s="16">
        <v>48775</v>
      </c>
    </row>
    <row r="1211" spans="1:18" x14ac:dyDescent="0.25">
      <c r="A1211" s="16"/>
      <c r="B1211" s="16"/>
      <c r="C1211" s="16"/>
      <c r="D1211" s="16"/>
      <c r="E1211" s="16"/>
      <c r="F1211" s="16"/>
      <c r="G1211" s="16"/>
      <c r="H1211" s="16"/>
      <c r="I1211" s="16"/>
      <c r="J1211" s="16"/>
      <c r="K1211" s="16"/>
      <c r="L1211" s="14"/>
      <c r="M1211" s="16"/>
      <c r="N1211" s="16"/>
      <c r="O1211" s="16"/>
      <c r="P1211" s="16"/>
      <c r="Q1211" s="16"/>
      <c r="R1211" s="16"/>
    </row>
    <row r="1212" spans="1:18" ht="90" x14ac:dyDescent="0.25">
      <c r="A1212" s="16"/>
      <c r="B1212" s="16"/>
      <c r="C1212" s="16"/>
      <c r="D1212" s="16"/>
      <c r="E1212" s="16"/>
      <c r="F1212" s="16"/>
      <c r="G1212" s="16"/>
      <c r="H1212" s="16"/>
      <c r="I1212" s="16"/>
      <c r="J1212" s="16"/>
      <c r="K1212" s="16"/>
      <c r="L1212" s="14" t="s">
        <v>153</v>
      </c>
      <c r="M1212" s="16"/>
      <c r="N1212" s="16"/>
      <c r="O1212" s="16"/>
      <c r="P1212" s="16"/>
      <c r="Q1212" s="16"/>
      <c r="R1212" s="16"/>
    </row>
    <row r="1213" spans="1:18" ht="210" x14ac:dyDescent="0.25">
      <c r="A1213" s="14" t="s">
        <v>8732</v>
      </c>
      <c r="B1213" s="14" t="s">
        <v>8813</v>
      </c>
      <c r="C1213" s="14" t="s">
        <v>8599</v>
      </c>
      <c r="D1213" s="14" t="s">
        <v>8531</v>
      </c>
      <c r="E1213" s="14" t="s">
        <v>8065</v>
      </c>
      <c r="F1213" s="14" t="s">
        <v>8066</v>
      </c>
      <c r="G1213" s="8" t="s">
        <v>8814</v>
      </c>
      <c r="H1213" s="14" t="s">
        <v>8071</v>
      </c>
      <c r="I1213" s="14"/>
      <c r="J1213" s="14"/>
      <c r="K1213" s="14"/>
      <c r="L1213" s="14"/>
      <c r="M1213" s="14" t="s">
        <v>8069</v>
      </c>
      <c r="N1213" s="14"/>
      <c r="O1213" s="14" t="s">
        <v>8070</v>
      </c>
      <c r="P1213" s="14" t="str">
        <f>HYPERLINK("https://ceds.ed.gov/cedselementdetails.aspx?termid=17163")</f>
        <v>https://ceds.ed.gov/cedselementdetails.aspx?termid=17163</v>
      </c>
      <c r="Q1213" s="14" t="str">
        <f>HYPERLINK("https://ceds.ed.gov/elementComment.aspx?elementName=Student Identification System &amp;elementID=17163", "Click here to submit comment")</f>
        <v>Click here to submit comment</v>
      </c>
      <c r="R1213" s="14">
        <v>48779</v>
      </c>
    </row>
    <row r="1214" spans="1:18" ht="255" x14ac:dyDescent="0.25">
      <c r="A1214" s="14" t="s">
        <v>8732</v>
      </c>
      <c r="B1214" s="14" t="s">
        <v>8813</v>
      </c>
      <c r="C1214" s="14" t="s">
        <v>8599</v>
      </c>
      <c r="D1214" s="14" t="s">
        <v>8531</v>
      </c>
      <c r="E1214" s="14" t="s">
        <v>6735</v>
      </c>
      <c r="F1214" s="14" t="s">
        <v>6736</v>
      </c>
      <c r="G1214" s="8" t="s">
        <v>8601</v>
      </c>
      <c r="H1214" s="14"/>
      <c r="I1214" s="14"/>
      <c r="J1214" s="14"/>
      <c r="K1214" s="14"/>
      <c r="L1214" s="14"/>
      <c r="M1214" s="14" t="s">
        <v>6739</v>
      </c>
      <c r="N1214" s="14"/>
      <c r="O1214" s="14" t="s">
        <v>6740</v>
      </c>
      <c r="P1214" s="14" t="str">
        <f>HYPERLINK("https://ceds.ed.gov/cedselementdetails.aspx?termid=17611")</f>
        <v>https://ceds.ed.gov/cedselementdetails.aspx?termid=17611</v>
      </c>
      <c r="Q1214" s="14" t="str">
        <f>HYPERLINK("https://ceds.ed.gov/elementComment.aspx?elementName=Personal Information Verification &amp;elementID=17611", "Click here to submit comment")</f>
        <v>Click here to submit comment</v>
      </c>
      <c r="R1214" s="14">
        <v>48901</v>
      </c>
    </row>
    <row r="1215" spans="1:18" ht="210" x14ac:dyDescent="0.25">
      <c r="A1215" s="14" t="s">
        <v>8732</v>
      </c>
      <c r="B1215" s="14" t="s">
        <v>8813</v>
      </c>
      <c r="C1215" s="14" t="s">
        <v>8547</v>
      </c>
      <c r="D1215" s="14" t="s">
        <v>8531</v>
      </c>
      <c r="E1215" s="14" t="s">
        <v>219</v>
      </c>
      <c r="F1215" s="14" t="s">
        <v>220</v>
      </c>
      <c r="G1215" s="8" t="s">
        <v>8602</v>
      </c>
      <c r="H1215" s="14" t="s">
        <v>225</v>
      </c>
      <c r="I1215" s="14"/>
      <c r="J1215" s="14" t="s">
        <v>97</v>
      </c>
      <c r="K1215" s="14"/>
      <c r="L1215" s="14"/>
      <c r="M1215" s="14" t="s">
        <v>223</v>
      </c>
      <c r="N1215" s="14"/>
      <c r="O1215" s="14" t="s">
        <v>224</v>
      </c>
      <c r="P1215" s="14" t="str">
        <f>HYPERLINK("https://ceds.ed.gov/cedselementdetails.aspx?termid=17358")</f>
        <v>https://ceds.ed.gov/cedselementdetails.aspx?termid=17358</v>
      </c>
      <c r="Q1215" s="14" t="str">
        <f>HYPERLINK("https://ceds.ed.gov/elementComment.aspx?elementName=Address Type for Learner or Family &amp;elementID=17358", "Click here to submit comment")</f>
        <v>Click here to submit comment</v>
      </c>
      <c r="R1215" s="14">
        <v>48831</v>
      </c>
    </row>
    <row r="1216" spans="1:18" ht="225" x14ac:dyDescent="0.25">
      <c r="A1216" s="14" t="s">
        <v>8732</v>
      </c>
      <c r="B1216" s="14" t="s">
        <v>8813</v>
      </c>
      <c r="C1216" s="14" t="s">
        <v>8547</v>
      </c>
      <c r="D1216" s="14" t="s">
        <v>8531</v>
      </c>
      <c r="E1216" s="14" t="s">
        <v>214</v>
      </c>
      <c r="F1216" s="14" t="s">
        <v>215</v>
      </c>
      <c r="G1216" s="14" t="s">
        <v>37</v>
      </c>
      <c r="H1216" s="14" t="s">
        <v>199</v>
      </c>
      <c r="I1216" s="14" t="s">
        <v>195</v>
      </c>
      <c r="J1216" s="14" t="s">
        <v>216</v>
      </c>
      <c r="K1216" s="14" t="s">
        <v>196</v>
      </c>
      <c r="L1216" s="14"/>
      <c r="M1216" s="14" t="s">
        <v>217</v>
      </c>
      <c r="N1216" s="14"/>
      <c r="O1216" s="14" t="s">
        <v>218</v>
      </c>
      <c r="P1216" s="14" t="str">
        <f>HYPERLINK("https://ceds.ed.gov/cedselementdetails.aspx?termid=17269")</f>
        <v>https://ceds.ed.gov/cedselementdetails.aspx?termid=17269</v>
      </c>
      <c r="Q1216" s="14" t="str">
        <f>HYPERLINK("https://ceds.ed.gov/elementComment.aspx?elementName=Address Street Number and Name &amp;elementID=17269", "Click here to submit comment")</f>
        <v>Click here to submit comment</v>
      </c>
      <c r="R1216" s="14">
        <v>48815</v>
      </c>
    </row>
    <row r="1217" spans="1:18" ht="225" x14ac:dyDescent="0.25">
      <c r="A1217" s="14" t="s">
        <v>8732</v>
      </c>
      <c r="B1217" s="14" t="s">
        <v>8813</v>
      </c>
      <c r="C1217" s="14" t="s">
        <v>8547</v>
      </c>
      <c r="D1217" s="14" t="s">
        <v>8531</v>
      </c>
      <c r="E1217" s="14" t="s">
        <v>192</v>
      </c>
      <c r="F1217" s="14" t="s">
        <v>193</v>
      </c>
      <c r="G1217" s="14" t="s">
        <v>37</v>
      </c>
      <c r="H1217" s="14" t="s">
        <v>199</v>
      </c>
      <c r="I1217" s="14" t="s">
        <v>195</v>
      </c>
      <c r="J1217" s="14" t="s">
        <v>175</v>
      </c>
      <c r="K1217" s="14" t="s">
        <v>196</v>
      </c>
      <c r="L1217" s="14"/>
      <c r="M1217" s="14" t="s">
        <v>197</v>
      </c>
      <c r="N1217" s="14"/>
      <c r="O1217" s="14" t="s">
        <v>198</v>
      </c>
      <c r="P1217" s="14" t="str">
        <f>HYPERLINK("https://ceds.ed.gov/cedselementdetails.aspx?termid=17019")</f>
        <v>https://ceds.ed.gov/cedselementdetails.aspx?termid=17019</v>
      </c>
      <c r="Q1217" s="14" t="str">
        <f>HYPERLINK("https://ceds.ed.gov/elementComment.aspx?elementName=Address Apartment Room or Suite Number &amp;elementID=17019", "Click here to submit comment")</f>
        <v>Click here to submit comment</v>
      </c>
      <c r="R1217" s="14">
        <v>47993</v>
      </c>
    </row>
    <row r="1218" spans="1:18" ht="225" x14ac:dyDescent="0.25">
      <c r="A1218" s="14" t="s">
        <v>8732</v>
      </c>
      <c r="B1218" s="14" t="s">
        <v>8813</v>
      </c>
      <c r="C1218" s="14" t="s">
        <v>8547</v>
      </c>
      <c r="D1218" s="14" t="s">
        <v>8531</v>
      </c>
      <c r="E1218" s="14" t="s">
        <v>200</v>
      </c>
      <c r="F1218" s="14" t="s">
        <v>201</v>
      </c>
      <c r="G1218" s="14" t="s">
        <v>37</v>
      </c>
      <c r="H1218" s="14" t="s">
        <v>199</v>
      </c>
      <c r="I1218" s="14"/>
      <c r="J1218" s="14" t="s">
        <v>97</v>
      </c>
      <c r="K1218" s="14"/>
      <c r="L1218" s="14"/>
      <c r="M1218" s="14" t="s">
        <v>202</v>
      </c>
      <c r="N1218" s="14"/>
      <c r="O1218" s="14" t="s">
        <v>203</v>
      </c>
      <c r="P1218" s="14" t="str">
        <f>HYPERLINK("https://ceds.ed.gov/cedselementdetails.aspx?termid=17040")</f>
        <v>https://ceds.ed.gov/cedselementdetails.aspx?termid=17040</v>
      </c>
      <c r="Q1218" s="14" t="str">
        <f>HYPERLINK("https://ceds.ed.gov/elementComment.aspx?elementName=Address City &amp;elementID=17040", "Click here to submit comment")</f>
        <v>Click here to submit comment</v>
      </c>
      <c r="R1218" s="14">
        <v>47997</v>
      </c>
    </row>
    <row r="1219" spans="1:18" ht="409.5" x14ac:dyDescent="0.25">
      <c r="A1219" s="14" t="s">
        <v>8732</v>
      </c>
      <c r="B1219" s="14" t="s">
        <v>8813</v>
      </c>
      <c r="C1219" s="14" t="s">
        <v>8547</v>
      </c>
      <c r="D1219" s="14" t="s">
        <v>8531</v>
      </c>
      <c r="E1219" s="14" t="s">
        <v>7960</v>
      </c>
      <c r="F1219" s="14" t="s">
        <v>7961</v>
      </c>
      <c r="G1219" s="8" t="s">
        <v>8540</v>
      </c>
      <c r="H1219" s="14" t="s">
        <v>7964</v>
      </c>
      <c r="I1219" s="14"/>
      <c r="J1219" s="14"/>
      <c r="K1219" s="14"/>
      <c r="L1219" s="14"/>
      <c r="M1219" s="14" t="s">
        <v>7962</v>
      </c>
      <c r="N1219" s="14"/>
      <c r="O1219" s="14" t="s">
        <v>7963</v>
      </c>
      <c r="P1219" s="14" t="str">
        <f>HYPERLINK("https://ceds.ed.gov/cedselementdetails.aspx?termid=17267")</f>
        <v>https://ceds.ed.gov/cedselementdetails.aspx?termid=17267</v>
      </c>
      <c r="Q1219" s="14" t="str">
        <f>HYPERLINK("https://ceds.ed.gov/elementComment.aspx?elementName=State Abbreviation &amp;elementID=17267", "Click here to submit comment")</f>
        <v>Click here to submit comment</v>
      </c>
      <c r="R1219" s="14">
        <v>48814</v>
      </c>
    </row>
    <row r="1220" spans="1:18" ht="225" x14ac:dyDescent="0.25">
      <c r="A1220" s="14" t="s">
        <v>8732</v>
      </c>
      <c r="B1220" s="14" t="s">
        <v>8813</v>
      </c>
      <c r="C1220" s="14" t="s">
        <v>8547</v>
      </c>
      <c r="D1220" s="14" t="s">
        <v>8531</v>
      </c>
      <c r="E1220" s="14" t="s">
        <v>209</v>
      </c>
      <c r="F1220" s="14" t="s">
        <v>210</v>
      </c>
      <c r="G1220" s="14" t="s">
        <v>37</v>
      </c>
      <c r="H1220" s="14" t="s">
        <v>199</v>
      </c>
      <c r="I1220" s="14"/>
      <c r="J1220" s="14" t="s">
        <v>211</v>
      </c>
      <c r="K1220" s="14"/>
      <c r="L1220" s="14"/>
      <c r="M1220" s="14" t="s">
        <v>212</v>
      </c>
      <c r="N1220" s="14"/>
      <c r="O1220" s="14" t="s">
        <v>213</v>
      </c>
      <c r="P1220" s="14" t="str">
        <f>HYPERLINK("https://ceds.ed.gov/cedselementdetails.aspx?termid=17214")</f>
        <v>https://ceds.ed.gov/cedselementdetails.aspx?termid=17214</v>
      </c>
      <c r="Q1220" s="14" t="str">
        <f>HYPERLINK("https://ceds.ed.gov/elementComment.aspx?elementName=Address Postal Code &amp;elementID=17214", "Click here to submit comment")</f>
        <v>Click here to submit comment</v>
      </c>
      <c r="R1220" s="14">
        <v>48799</v>
      </c>
    </row>
    <row r="1221" spans="1:18" ht="225" x14ac:dyDescent="0.25">
      <c r="A1221" s="14" t="s">
        <v>8732</v>
      </c>
      <c r="B1221" s="14" t="s">
        <v>8813</v>
      </c>
      <c r="C1221" s="14" t="s">
        <v>8547</v>
      </c>
      <c r="D1221" s="14" t="s">
        <v>8531</v>
      </c>
      <c r="E1221" s="14" t="s">
        <v>204</v>
      </c>
      <c r="F1221" s="14" t="s">
        <v>205</v>
      </c>
      <c r="G1221" s="14" t="s">
        <v>37</v>
      </c>
      <c r="H1221" s="14" t="s">
        <v>199</v>
      </c>
      <c r="I1221" s="14"/>
      <c r="J1221" s="14" t="s">
        <v>97</v>
      </c>
      <c r="K1221" s="14"/>
      <c r="L1221" s="14"/>
      <c r="M1221" s="14" t="s">
        <v>207</v>
      </c>
      <c r="N1221" s="14"/>
      <c r="O1221" s="14" t="s">
        <v>208</v>
      </c>
      <c r="P1221" s="14" t="str">
        <f>HYPERLINK("https://ceds.ed.gov/cedselementdetails.aspx?termid=17190")</f>
        <v>https://ceds.ed.gov/cedselementdetails.aspx?termid=17190</v>
      </c>
      <c r="Q1221" s="14" t="str">
        <f>HYPERLINK("https://ceds.ed.gov/elementComment.aspx?elementName=Address County Name &amp;elementID=17190", "Click here to submit comment")</f>
        <v>Click here to submit comment</v>
      </c>
      <c r="R1221" s="14">
        <v>48790</v>
      </c>
    </row>
    <row r="1222" spans="1:18" ht="409.5" x14ac:dyDescent="0.25">
      <c r="A1222" s="14" t="s">
        <v>8732</v>
      </c>
      <c r="B1222" s="14" t="s">
        <v>8813</v>
      </c>
      <c r="C1222" s="14" t="s">
        <v>8547</v>
      </c>
      <c r="D1222" s="14" t="s">
        <v>8531</v>
      </c>
      <c r="E1222" s="14" t="s">
        <v>2845</v>
      </c>
      <c r="F1222" s="14" t="s">
        <v>2846</v>
      </c>
      <c r="G1222" s="8" t="s">
        <v>8548</v>
      </c>
      <c r="H1222" s="14" t="s">
        <v>2852</v>
      </c>
      <c r="I1222" s="14"/>
      <c r="J1222" s="14"/>
      <c r="K1222" s="14"/>
      <c r="L1222" s="6" t="s">
        <v>2849</v>
      </c>
      <c r="M1222" s="14" t="s">
        <v>2850</v>
      </c>
      <c r="N1222" s="14"/>
      <c r="O1222" s="14" t="s">
        <v>2851</v>
      </c>
      <c r="P1222" s="14" t="str">
        <f>HYPERLINK("https://ceds.ed.gov/cedselementdetails.aspx?termid=17050")</f>
        <v>https://ceds.ed.gov/cedselementdetails.aspx?termid=17050</v>
      </c>
      <c r="Q1222" s="14" t="str">
        <f>HYPERLINK("https://ceds.ed.gov/elementComment.aspx?elementName=Country Code &amp;elementID=17050", "Click here to submit comment")</f>
        <v>Click here to submit comment</v>
      </c>
      <c r="R1222" s="14">
        <v>48001</v>
      </c>
    </row>
    <row r="1223" spans="1:18" ht="75" x14ac:dyDescent="0.25">
      <c r="A1223" s="14" t="s">
        <v>8732</v>
      </c>
      <c r="B1223" s="14" t="s">
        <v>8813</v>
      </c>
      <c r="C1223" s="14" t="s">
        <v>8547</v>
      </c>
      <c r="D1223" s="14" t="s">
        <v>8531</v>
      </c>
      <c r="E1223" s="14" t="s">
        <v>5736</v>
      </c>
      <c r="F1223" s="14" t="s">
        <v>5737</v>
      </c>
      <c r="G1223" s="14" t="s">
        <v>37</v>
      </c>
      <c r="H1223" s="14"/>
      <c r="I1223" s="14"/>
      <c r="J1223" s="14" t="s">
        <v>1307</v>
      </c>
      <c r="K1223" s="14"/>
      <c r="L1223" s="14"/>
      <c r="M1223" s="14" t="s">
        <v>5739</v>
      </c>
      <c r="N1223" s="14"/>
      <c r="O1223" s="14" t="s">
        <v>5736</v>
      </c>
      <c r="P1223" s="14" t="str">
        <f>HYPERLINK("https://ceds.ed.gov/cedselementdetails.aspx?termid=17599")</f>
        <v>https://ceds.ed.gov/cedselementdetails.aspx?termid=17599</v>
      </c>
      <c r="Q1223" s="14" t="str">
        <f>HYPERLINK("https://ceds.ed.gov/elementComment.aspx?elementName=Latitude &amp;elementID=17599", "Click here to submit comment")</f>
        <v>Click here to submit comment</v>
      </c>
      <c r="R1223" s="14">
        <v>51253</v>
      </c>
    </row>
    <row r="1224" spans="1:18" ht="75" x14ac:dyDescent="0.25">
      <c r="A1224" s="14" t="s">
        <v>8732</v>
      </c>
      <c r="B1224" s="14" t="s">
        <v>8813</v>
      </c>
      <c r="C1224" s="14" t="s">
        <v>8547</v>
      </c>
      <c r="D1224" s="14" t="s">
        <v>8531</v>
      </c>
      <c r="E1224" s="14" t="s">
        <v>6174</v>
      </c>
      <c r="F1224" s="14" t="s">
        <v>6175</v>
      </c>
      <c r="G1224" s="14" t="s">
        <v>37</v>
      </c>
      <c r="H1224" s="14"/>
      <c r="I1224" s="14"/>
      <c r="J1224" s="14" t="s">
        <v>1307</v>
      </c>
      <c r="K1224" s="14"/>
      <c r="L1224" s="14"/>
      <c r="M1224" s="14" t="s">
        <v>6176</v>
      </c>
      <c r="N1224" s="14"/>
      <c r="O1224" s="14" t="s">
        <v>6174</v>
      </c>
      <c r="P1224" s="14" t="str">
        <f>HYPERLINK("https://ceds.ed.gov/cedselementdetails.aspx?termid=17600")</f>
        <v>https://ceds.ed.gov/cedselementdetails.aspx?termid=17600</v>
      </c>
      <c r="Q1224" s="14" t="str">
        <f>HYPERLINK("https://ceds.ed.gov/elementComment.aspx?elementName=Longitude &amp;elementID=17600", "Click here to submit comment")</f>
        <v>Click here to submit comment</v>
      </c>
      <c r="R1224" s="14">
        <v>51276</v>
      </c>
    </row>
    <row r="1225" spans="1:18" ht="195" x14ac:dyDescent="0.25">
      <c r="A1225" s="14" t="s">
        <v>8732</v>
      </c>
      <c r="B1225" s="14" t="s">
        <v>8813</v>
      </c>
      <c r="C1225" s="14" t="s">
        <v>8547</v>
      </c>
      <c r="D1225" s="14" t="s">
        <v>8541</v>
      </c>
      <c r="E1225" s="14" t="s">
        <v>2860</v>
      </c>
      <c r="F1225" s="14" t="s">
        <v>2861</v>
      </c>
      <c r="G1225" s="14" t="s">
        <v>37</v>
      </c>
      <c r="H1225" s="14"/>
      <c r="I1225" s="14" t="s">
        <v>195</v>
      </c>
      <c r="J1225" s="14" t="s">
        <v>2863</v>
      </c>
      <c r="K1225" s="14" t="s">
        <v>2864</v>
      </c>
      <c r="L1225" s="14"/>
      <c r="M1225" s="14" t="s">
        <v>2865</v>
      </c>
      <c r="N1225" s="14"/>
      <c r="O1225" s="14" t="s">
        <v>2866</v>
      </c>
      <c r="P1225" s="14" t="str">
        <f>HYPERLINK("https://ceds.ed.gov/cedselementdetails.aspx?termid=18176")</f>
        <v>https://ceds.ed.gov/cedselementdetails.aspx?termid=18176</v>
      </c>
      <c r="Q1225" s="14" t="str">
        <f>HYPERLINK("https://ceds.ed.gov/elementComment.aspx?elementName=County ANSI Code &amp;elementID=18176", "Click here to submit comment")</f>
        <v>Click here to submit comment</v>
      </c>
      <c r="R1225" s="14">
        <v>52340</v>
      </c>
    </row>
    <row r="1226" spans="1:18" ht="60" x14ac:dyDescent="0.25">
      <c r="A1226" s="14" t="s">
        <v>8732</v>
      </c>
      <c r="B1226" s="14" t="s">
        <v>8813</v>
      </c>
      <c r="C1226" s="14" t="s">
        <v>8547</v>
      </c>
      <c r="D1226" s="14" t="s">
        <v>8541</v>
      </c>
      <c r="E1226" s="14" t="s">
        <v>3651</v>
      </c>
      <c r="F1226" s="14" t="s">
        <v>3652</v>
      </c>
      <c r="G1226" s="14" t="s">
        <v>3430</v>
      </c>
      <c r="H1226" s="14"/>
      <c r="I1226" s="14" t="s">
        <v>188</v>
      </c>
      <c r="J1226" s="14"/>
      <c r="K1226" s="14" t="s">
        <v>1721</v>
      </c>
      <c r="L1226" s="14"/>
      <c r="M1226" s="14" t="s">
        <v>3654</v>
      </c>
      <c r="N1226" s="14"/>
      <c r="O1226" s="14" t="s">
        <v>3655</v>
      </c>
      <c r="P1226" s="14" t="str">
        <f>HYPERLINK("https://ceds.ed.gov/cedselementdetails.aspx?termid=18905")</f>
        <v>https://ceds.ed.gov/cedselementdetails.aspx?termid=18905</v>
      </c>
      <c r="Q1226" s="14" t="str">
        <f>HYPERLINK("https://ceds.ed.gov/elementComment.aspx?elementName=Do Not Publish Indicator &amp;elementID=18905", "Click here to submit comment")</f>
        <v>Click here to submit comment</v>
      </c>
      <c r="R1226" s="14">
        <v>52341</v>
      </c>
    </row>
    <row r="1227" spans="1:18" ht="90" x14ac:dyDescent="0.25">
      <c r="A1227" s="14" t="s">
        <v>8732</v>
      </c>
      <c r="B1227" s="14" t="s">
        <v>8813</v>
      </c>
      <c r="C1227" s="14" t="s">
        <v>8549</v>
      </c>
      <c r="D1227" s="14" t="s">
        <v>8531</v>
      </c>
      <c r="E1227" s="14" t="s">
        <v>8217</v>
      </c>
      <c r="F1227" s="14" t="s">
        <v>8218</v>
      </c>
      <c r="G1227" s="14" t="s">
        <v>37</v>
      </c>
      <c r="H1227" s="14" t="s">
        <v>72</v>
      </c>
      <c r="I1227" s="14"/>
      <c r="J1227" s="14" t="s">
        <v>8220</v>
      </c>
      <c r="K1227" s="14"/>
      <c r="L1227" s="14"/>
      <c r="M1227" s="14" t="s">
        <v>8221</v>
      </c>
      <c r="N1227" s="14"/>
      <c r="O1227" s="14" t="s">
        <v>8222</v>
      </c>
      <c r="P1227" s="14" t="str">
        <f>HYPERLINK("https://ceds.ed.gov/cedselementdetails.aspx?termid=17279")</f>
        <v>https://ceds.ed.gov/cedselementdetails.aspx?termid=17279</v>
      </c>
      <c r="Q1227" s="14" t="str">
        <f>HYPERLINK("https://ceds.ed.gov/elementComment.aspx?elementName=Telephone Number &amp;elementID=17279", "Click here to submit comment")</f>
        <v>Click here to submit comment</v>
      </c>
      <c r="R1227" s="14">
        <v>48819</v>
      </c>
    </row>
    <row r="1228" spans="1:18" ht="90" x14ac:dyDescent="0.25">
      <c r="A1228" s="14" t="s">
        <v>8732</v>
      </c>
      <c r="B1228" s="14" t="s">
        <v>8813</v>
      </c>
      <c r="C1228" s="14" t="s">
        <v>8549</v>
      </c>
      <c r="D1228" s="14" t="s">
        <v>8531</v>
      </c>
      <c r="E1228" s="14" t="s">
        <v>8229</v>
      </c>
      <c r="F1228" s="14" t="s">
        <v>8230</v>
      </c>
      <c r="G1228" s="8" t="s">
        <v>8550</v>
      </c>
      <c r="H1228" s="14" t="s">
        <v>72</v>
      </c>
      <c r="I1228" s="14"/>
      <c r="J1228" s="14" t="s">
        <v>2870</v>
      </c>
      <c r="K1228" s="14"/>
      <c r="L1228" s="14"/>
      <c r="M1228" s="14" t="s">
        <v>8233</v>
      </c>
      <c r="N1228" s="14"/>
      <c r="O1228" s="14" t="s">
        <v>8234</v>
      </c>
      <c r="P1228" s="14" t="str">
        <f>HYPERLINK("https://ceds.ed.gov/cedselementdetails.aspx?termid=17280")</f>
        <v>https://ceds.ed.gov/cedselementdetails.aspx?termid=17280</v>
      </c>
      <c r="Q1228" s="14" t="str">
        <f>HYPERLINK("https://ceds.ed.gov/elementComment.aspx?elementName=Telephone Number Type &amp;elementID=17280", "Click here to submit comment")</f>
        <v>Click here to submit comment</v>
      </c>
      <c r="R1228" s="14">
        <v>48820</v>
      </c>
    </row>
    <row r="1229" spans="1:18" ht="90" x14ac:dyDescent="0.25">
      <c r="A1229" s="14" t="s">
        <v>8732</v>
      </c>
      <c r="B1229" s="14" t="s">
        <v>8813</v>
      </c>
      <c r="C1229" s="14" t="s">
        <v>8549</v>
      </c>
      <c r="D1229" s="14" t="s">
        <v>8531</v>
      </c>
      <c r="E1229" s="14" t="s">
        <v>6865</v>
      </c>
      <c r="F1229" s="14" t="s">
        <v>6866</v>
      </c>
      <c r="G1229" s="14" t="s">
        <v>24</v>
      </c>
      <c r="H1229" s="14" t="s">
        <v>72</v>
      </c>
      <c r="I1229" s="14"/>
      <c r="J1229" s="14"/>
      <c r="K1229" s="14"/>
      <c r="L1229" s="14"/>
      <c r="M1229" s="14" t="s">
        <v>6868</v>
      </c>
      <c r="N1229" s="14"/>
      <c r="O1229" s="14" t="s">
        <v>6869</v>
      </c>
      <c r="P1229" s="14" t="str">
        <f>HYPERLINK("https://ceds.ed.gov/cedselementdetails.aspx?termid=17219")</f>
        <v>https://ceds.ed.gov/cedselementdetails.aspx?termid=17219</v>
      </c>
      <c r="Q1229" s="14" t="str">
        <f>HYPERLINK("https://ceds.ed.gov/elementComment.aspx?elementName=Primary Telephone Number Indicator &amp;elementID=17219", "Click here to submit comment")</f>
        <v>Click here to submit comment</v>
      </c>
      <c r="R1229" s="14">
        <v>48801</v>
      </c>
    </row>
    <row r="1230" spans="1:18" ht="60" x14ac:dyDescent="0.25">
      <c r="A1230" s="14" t="s">
        <v>8732</v>
      </c>
      <c r="B1230" s="14" t="s">
        <v>8813</v>
      </c>
      <c r="C1230" s="14" t="s">
        <v>8549</v>
      </c>
      <c r="D1230" s="14" t="s">
        <v>8541</v>
      </c>
      <c r="E1230" s="14" t="s">
        <v>3651</v>
      </c>
      <c r="F1230" s="14" t="s">
        <v>3652</v>
      </c>
      <c r="G1230" s="14" t="s">
        <v>3430</v>
      </c>
      <c r="H1230" s="14"/>
      <c r="I1230" s="14" t="s">
        <v>188</v>
      </c>
      <c r="J1230" s="14"/>
      <c r="K1230" s="14" t="s">
        <v>1721</v>
      </c>
      <c r="L1230" s="14"/>
      <c r="M1230" s="14" t="s">
        <v>3654</v>
      </c>
      <c r="N1230" s="14"/>
      <c r="O1230" s="14" t="s">
        <v>3655</v>
      </c>
      <c r="P1230" s="14" t="str">
        <f>HYPERLINK("https://ceds.ed.gov/cedselementdetails.aspx?termid=18905")</f>
        <v>https://ceds.ed.gov/cedselementdetails.aspx?termid=18905</v>
      </c>
      <c r="Q1230" s="14" t="str">
        <f>HYPERLINK("https://ceds.ed.gov/elementComment.aspx?elementName=Do Not Publish Indicator &amp;elementID=18905", "Click here to submit comment")</f>
        <v>Click here to submit comment</v>
      </c>
      <c r="R1230" s="14">
        <v>52343</v>
      </c>
    </row>
    <row r="1231" spans="1:18" ht="60" x14ac:dyDescent="0.25">
      <c r="A1231" s="14" t="s">
        <v>8732</v>
      </c>
      <c r="B1231" s="14" t="s">
        <v>8813</v>
      </c>
      <c r="C1231" s="14" t="s">
        <v>8549</v>
      </c>
      <c r="D1231" s="14" t="s">
        <v>8541</v>
      </c>
      <c r="E1231" s="14" t="s">
        <v>8223</v>
      </c>
      <c r="F1231" s="14" t="s">
        <v>8224</v>
      </c>
      <c r="G1231" s="8" t="s">
        <v>8544</v>
      </c>
      <c r="H1231" s="14"/>
      <c r="I1231" s="14" t="s">
        <v>188</v>
      </c>
      <c r="J1231" s="14"/>
      <c r="K1231" s="14" t="s">
        <v>1721</v>
      </c>
      <c r="L1231" s="14"/>
      <c r="M1231" s="14" t="s">
        <v>8227</v>
      </c>
      <c r="N1231" s="14"/>
      <c r="O1231" s="14" t="s">
        <v>8228</v>
      </c>
      <c r="P1231" s="14" t="str">
        <f>HYPERLINK("https://ceds.ed.gov/cedselementdetails.aspx?termid=18911")</f>
        <v>https://ceds.ed.gov/cedselementdetails.aspx?termid=18911</v>
      </c>
      <c r="Q1231" s="14" t="str">
        <f>HYPERLINK("https://ceds.ed.gov/elementComment.aspx?elementName=Telephone Number Listed Status &amp;elementID=18911", "Click here to submit comment")</f>
        <v>Click here to submit comment</v>
      </c>
      <c r="R1231" s="14">
        <v>52344</v>
      </c>
    </row>
    <row r="1232" spans="1:18" ht="90" x14ac:dyDescent="0.25">
      <c r="A1232" s="14" t="s">
        <v>8732</v>
      </c>
      <c r="B1232" s="14" t="s">
        <v>8813</v>
      </c>
      <c r="C1232" s="14" t="s">
        <v>8551</v>
      </c>
      <c r="D1232" s="14" t="s">
        <v>8531</v>
      </c>
      <c r="E1232" s="14" t="s">
        <v>3931</v>
      </c>
      <c r="F1232" s="14" t="s">
        <v>3932</v>
      </c>
      <c r="G1232" s="14" t="s">
        <v>37</v>
      </c>
      <c r="H1232" s="14" t="s">
        <v>72</v>
      </c>
      <c r="I1232" s="14"/>
      <c r="J1232" s="14" t="s">
        <v>3934</v>
      </c>
      <c r="K1232" s="14"/>
      <c r="L1232" s="14"/>
      <c r="M1232" s="14" t="s">
        <v>3935</v>
      </c>
      <c r="N1232" s="14" t="s">
        <v>3936</v>
      </c>
      <c r="O1232" s="14" t="s">
        <v>3937</v>
      </c>
      <c r="P1232" s="14" t="str">
        <f>HYPERLINK("https://ceds.ed.gov/cedselementdetails.aspx?termid=17088")</f>
        <v>https://ceds.ed.gov/cedselementdetails.aspx?termid=17088</v>
      </c>
      <c r="Q1232" s="14" t="str">
        <f>HYPERLINK("https://ceds.ed.gov/elementComment.aspx?elementName=Electronic Mail Address &amp;elementID=17088", "Click here to submit comment")</f>
        <v>Click here to submit comment</v>
      </c>
      <c r="R1232" s="14">
        <v>48742</v>
      </c>
    </row>
    <row r="1233" spans="1:18" ht="90" x14ac:dyDescent="0.25">
      <c r="A1233" s="14" t="s">
        <v>8732</v>
      </c>
      <c r="B1233" s="14" t="s">
        <v>8813</v>
      </c>
      <c r="C1233" s="14" t="s">
        <v>8551</v>
      </c>
      <c r="D1233" s="14" t="s">
        <v>8531</v>
      </c>
      <c r="E1233" s="14" t="s">
        <v>3938</v>
      </c>
      <c r="F1233" s="14" t="s">
        <v>3939</v>
      </c>
      <c r="G1233" s="8" t="s">
        <v>8552</v>
      </c>
      <c r="H1233" s="14" t="s">
        <v>72</v>
      </c>
      <c r="I1233" s="14"/>
      <c r="J1233" s="14"/>
      <c r="K1233" s="14"/>
      <c r="L1233" s="14"/>
      <c r="M1233" s="14" t="s">
        <v>3941</v>
      </c>
      <c r="N1233" s="14" t="s">
        <v>3942</v>
      </c>
      <c r="O1233" s="14" t="s">
        <v>3943</v>
      </c>
      <c r="P1233" s="14" t="str">
        <f>HYPERLINK("https://ceds.ed.gov/cedselementdetails.aspx?termid=17089")</f>
        <v>https://ceds.ed.gov/cedselementdetails.aspx?termid=17089</v>
      </c>
      <c r="Q1233" s="14" t="str">
        <f>HYPERLINK("https://ceds.ed.gov/elementComment.aspx?elementName=Electronic Mail Address Type &amp;elementID=17089", "Click here to submit comment")</f>
        <v>Click here to submit comment</v>
      </c>
      <c r="R1233" s="14">
        <v>48743</v>
      </c>
    </row>
    <row r="1234" spans="1:18" ht="60" x14ac:dyDescent="0.25">
      <c r="A1234" s="14" t="s">
        <v>8732</v>
      </c>
      <c r="B1234" s="14" t="s">
        <v>8813</v>
      </c>
      <c r="C1234" s="14" t="s">
        <v>8551</v>
      </c>
      <c r="D1234" s="14" t="s">
        <v>8541</v>
      </c>
      <c r="E1234" s="14" t="s">
        <v>3651</v>
      </c>
      <c r="F1234" s="14" t="s">
        <v>3652</v>
      </c>
      <c r="G1234" s="14" t="s">
        <v>3430</v>
      </c>
      <c r="H1234" s="14"/>
      <c r="I1234" s="14" t="s">
        <v>188</v>
      </c>
      <c r="J1234" s="14"/>
      <c r="K1234" s="14" t="s">
        <v>1721</v>
      </c>
      <c r="L1234" s="14"/>
      <c r="M1234" s="14" t="s">
        <v>3654</v>
      </c>
      <c r="N1234" s="14"/>
      <c r="O1234" s="14" t="s">
        <v>3655</v>
      </c>
      <c r="P1234" s="14" t="str">
        <f>HYPERLINK("https://ceds.ed.gov/cedselementdetails.aspx?termid=18905")</f>
        <v>https://ceds.ed.gov/cedselementdetails.aspx?termid=18905</v>
      </c>
      <c r="Q1234" s="14" t="str">
        <f>HYPERLINK("https://ceds.ed.gov/elementComment.aspx?elementName=Do Not Publish Indicator &amp;elementID=18905", "Click here to submit comment")</f>
        <v>Click here to submit comment</v>
      </c>
      <c r="R1234" s="14">
        <v>52342</v>
      </c>
    </row>
    <row r="1235" spans="1:18" ht="240" x14ac:dyDescent="0.25">
      <c r="A1235" s="14" t="s">
        <v>8732</v>
      </c>
      <c r="B1235" s="14" t="s">
        <v>8813</v>
      </c>
      <c r="C1235" s="14" t="s">
        <v>8603</v>
      </c>
      <c r="D1235" s="14" t="s">
        <v>8531</v>
      </c>
      <c r="E1235" s="14" t="s">
        <v>1741</v>
      </c>
      <c r="F1235" s="14" t="s">
        <v>1742</v>
      </c>
      <c r="G1235" s="14" t="s">
        <v>37</v>
      </c>
      <c r="H1235" s="14" t="s">
        <v>1745</v>
      </c>
      <c r="I1235" s="14"/>
      <c r="J1235" s="14" t="s">
        <v>135</v>
      </c>
      <c r="K1235" s="14"/>
      <c r="L1235" s="14"/>
      <c r="M1235" s="14" t="s">
        <v>1744</v>
      </c>
      <c r="N1235" s="14"/>
      <c r="O1235" s="14" t="s">
        <v>1741</v>
      </c>
      <c r="P1235" s="14" t="str">
        <f>HYPERLINK("https://ceds.ed.gov/cedselementdetails.aspx?termid=17033")</f>
        <v>https://ceds.ed.gov/cedselementdetails.aspx?termid=17033</v>
      </c>
      <c r="Q1235" s="14" t="str">
        <f>HYPERLINK("https://ceds.ed.gov/elementComment.aspx?elementName=Birthdate &amp;elementID=17033", "Click here to submit comment")</f>
        <v>Click here to submit comment</v>
      </c>
      <c r="R1235" s="14">
        <v>47995</v>
      </c>
    </row>
    <row r="1236" spans="1:18" ht="45" x14ac:dyDescent="0.25">
      <c r="A1236" s="14" t="s">
        <v>8732</v>
      </c>
      <c r="B1236" s="14" t="s">
        <v>8813</v>
      </c>
      <c r="C1236" s="14" t="s">
        <v>8603</v>
      </c>
      <c r="D1236" s="14" t="s">
        <v>8531</v>
      </c>
      <c r="E1236" s="14" t="s">
        <v>1746</v>
      </c>
      <c r="F1236" s="14" t="s">
        <v>1747</v>
      </c>
      <c r="G1236" s="14" t="s">
        <v>37</v>
      </c>
      <c r="H1236" s="14" t="s">
        <v>1751</v>
      </c>
      <c r="I1236" s="14"/>
      <c r="J1236" s="14" t="s">
        <v>175</v>
      </c>
      <c r="K1236" s="14"/>
      <c r="L1236" s="14"/>
      <c r="M1236" s="14" t="s">
        <v>1749</v>
      </c>
      <c r="N1236" s="14"/>
      <c r="O1236" s="14" t="s">
        <v>1750</v>
      </c>
      <c r="P1236" s="14" t="str">
        <f>HYPERLINK("https://ceds.ed.gov/cedselementdetails.aspx?termid=17418")</f>
        <v>https://ceds.ed.gov/cedselementdetails.aspx?termid=17418</v>
      </c>
      <c r="Q1236" s="14" t="str">
        <f>HYPERLINK("https://ceds.ed.gov/elementComment.aspx?elementName=Birthdate Verification &amp;elementID=17418", "Click here to submit comment")</f>
        <v>Click here to submit comment</v>
      </c>
      <c r="R1236" s="14">
        <v>50823</v>
      </c>
    </row>
    <row r="1237" spans="1:18" ht="255" x14ac:dyDescent="0.25">
      <c r="A1237" s="14" t="s">
        <v>8732</v>
      </c>
      <c r="B1237" s="14" t="s">
        <v>8813</v>
      </c>
      <c r="C1237" s="14" t="s">
        <v>8603</v>
      </c>
      <c r="D1237" s="14" t="s">
        <v>8531</v>
      </c>
      <c r="E1237" s="14" t="s">
        <v>7756</v>
      </c>
      <c r="F1237" s="14" t="s">
        <v>7757</v>
      </c>
      <c r="G1237" s="8" t="s">
        <v>8604</v>
      </c>
      <c r="H1237" s="14" t="s">
        <v>7761</v>
      </c>
      <c r="I1237" s="14"/>
      <c r="J1237" s="14"/>
      <c r="K1237" s="14"/>
      <c r="L1237" s="14" t="s">
        <v>7759</v>
      </c>
      <c r="M1237" s="14" t="s">
        <v>7760</v>
      </c>
      <c r="N1237" s="14"/>
      <c r="O1237" s="14" t="s">
        <v>7756</v>
      </c>
      <c r="P1237" s="14" t="str">
        <f>HYPERLINK("https://ceds.ed.gov/cedselementdetails.aspx?termid=17255")</f>
        <v>https://ceds.ed.gov/cedselementdetails.aspx?termid=17255</v>
      </c>
      <c r="Q1237" s="14" t="str">
        <f>HYPERLINK("https://ceds.ed.gov/elementComment.aspx?elementName=Sex &amp;elementID=17255", "Click here to submit comment")</f>
        <v>Click here to submit comment</v>
      </c>
      <c r="R1237" s="14">
        <v>48811</v>
      </c>
    </row>
    <row r="1238" spans="1:18" ht="30" x14ac:dyDescent="0.25">
      <c r="A1238" s="16" t="s">
        <v>8732</v>
      </c>
      <c r="B1238" s="16" t="s">
        <v>8813</v>
      </c>
      <c r="C1238" s="16" t="s">
        <v>8603</v>
      </c>
      <c r="D1238" s="16" t="s">
        <v>8531</v>
      </c>
      <c r="E1238" s="16" t="s">
        <v>418</v>
      </c>
      <c r="F1238" s="16" t="s">
        <v>419</v>
      </c>
      <c r="G1238" s="18" t="s">
        <v>8605</v>
      </c>
      <c r="H1238" s="16" t="s">
        <v>426</v>
      </c>
      <c r="I1238" s="16"/>
      <c r="J1238" s="16"/>
      <c r="K1238" s="16"/>
      <c r="L1238" s="14" t="s">
        <v>422</v>
      </c>
      <c r="M1238" s="16" t="s">
        <v>423</v>
      </c>
      <c r="N1238" s="16" t="s">
        <v>424</v>
      </c>
      <c r="O1238" s="16" t="s">
        <v>425</v>
      </c>
      <c r="P1238" s="16" t="str">
        <f>HYPERLINK("https://ceds.ed.gov/cedselementdetails.aspx?termid=17655")</f>
        <v>https://ceds.ed.gov/cedselementdetails.aspx?termid=17655</v>
      </c>
      <c r="Q1238" s="16" t="str">
        <f>HYPERLINK("https://ceds.ed.gov/elementComment.aspx?elementName=American Indian or Alaska Native &amp;elementID=17655", "Click here to submit comment")</f>
        <v>Click here to submit comment</v>
      </c>
      <c r="R1238" s="16">
        <v>48907</v>
      </c>
    </row>
    <row r="1239" spans="1:18" x14ac:dyDescent="0.25">
      <c r="A1239" s="16"/>
      <c r="B1239" s="16"/>
      <c r="C1239" s="16"/>
      <c r="D1239" s="16"/>
      <c r="E1239" s="16"/>
      <c r="F1239" s="16"/>
      <c r="G1239" s="16"/>
      <c r="H1239" s="16"/>
      <c r="I1239" s="16"/>
      <c r="J1239" s="16"/>
      <c r="K1239" s="16"/>
      <c r="L1239" s="14"/>
      <c r="M1239" s="16"/>
      <c r="N1239" s="16"/>
      <c r="O1239" s="16"/>
      <c r="P1239" s="16"/>
      <c r="Q1239" s="16"/>
      <c r="R1239" s="16"/>
    </row>
    <row r="1240" spans="1:18" x14ac:dyDescent="0.25">
      <c r="A1240" s="16"/>
      <c r="B1240" s="16"/>
      <c r="C1240" s="16"/>
      <c r="D1240" s="16"/>
      <c r="E1240" s="16"/>
      <c r="F1240" s="16"/>
      <c r="G1240" s="16"/>
      <c r="H1240" s="16"/>
      <c r="I1240" s="16"/>
      <c r="J1240" s="16"/>
      <c r="K1240" s="16"/>
      <c r="L1240" s="14" t="s">
        <v>427</v>
      </c>
      <c r="M1240" s="16"/>
      <c r="N1240" s="16"/>
      <c r="O1240" s="16"/>
      <c r="P1240" s="16"/>
      <c r="Q1240" s="16"/>
      <c r="R1240" s="16"/>
    </row>
    <row r="1241" spans="1:18" ht="30" x14ac:dyDescent="0.25">
      <c r="A1241" s="16"/>
      <c r="B1241" s="16"/>
      <c r="C1241" s="16"/>
      <c r="D1241" s="16"/>
      <c r="E1241" s="16"/>
      <c r="F1241" s="16"/>
      <c r="G1241" s="16"/>
      <c r="H1241" s="16"/>
      <c r="I1241" s="16"/>
      <c r="J1241" s="16"/>
      <c r="K1241" s="16"/>
      <c r="L1241" s="14" t="s">
        <v>428</v>
      </c>
      <c r="M1241" s="16"/>
      <c r="N1241" s="16"/>
      <c r="O1241" s="16"/>
      <c r="P1241" s="16"/>
      <c r="Q1241" s="16"/>
      <c r="R1241" s="16"/>
    </row>
    <row r="1242" spans="1:18" x14ac:dyDescent="0.25">
      <c r="A1242" s="16"/>
      <c r="B1242" s="16"/>
      <c r="C1242" s="16"/>
      <c r="D1242" s="16"/>
      <c r="E1242" s="16"/>
      <c r="F1242" s="16"/>
      <c r="G1242" s="16"/>
      <c r="H1242" s="16"/>
      <c r="I1242" s="16"/>
      <c r="J1242" s="16"/>
      <c r="K1242" s="16"/>
      <c r="L1242" s="14" t="s">
        <v>429</v>
      </c>
      <c r="M1242" s="16"/>
      <c r="N1242" s="16"/>
      <c r="O1242" s="16"/>
      <c r="P1242" s="16"/>
      <c r="Q1242" s="16"/>
      <c r="R1242" s="16"/>
    </row>
    <row r="1243" spans="1:18" ht="30" x14ac:dyDescent="0.25">
      <c r="A1243" s="16" t="s">
        <v>8732</v>
      </c>
      <c r="B1243" s="16" t="s">
        <v>8813</v>
      </c>
      <c r="C1243" s="16" t="s">
        <v>8603</v>
      </c>
      <c r="D1243" s="16" t="s">
        <v>8531</v>
      </c>
      <c r="E1243" s="16" t="s">
        <v>468</v>
      </c>
      <c r="F1243" s="16" t="s">
        <v>469</v>
      </c>
      <c r="G1243" s="18" t="s">
        <v>8605</v>
      </c>
      <c r="H1243" s="16" t="s">
        <v>426</v>
      </c>
      <c r="I1243" s="16"/>
      <c r="J1243" s="16"/>
      <c r="K1243" s="16"/>
      <c r="L1243" s="14" t="s">
        <v>422</v>
      </c>
      <c r="M1243" s="16" t="s">
        <v>470</v>
      </c>
      <c r="N1243" s="16" t="s">
        <v>471</v>
      </c>
      <c r="O1243" s="16" t="s">
        <v>468</v>
      </c>
      <c r="P1243" s="16" t="str">
        <f>HYPERLINK("https://ceds.ed.gov/cedselementdetails.aspx?termid=17656")</f>
        <v>https://ceds.ed.gov/cedselementdetails.aspx?termid=17656</v>
      </c>
      <c r="Q1243" s="16" t="str">
        <f>HYPERLINK("https://ceds.ed.gov/elementComment.aspx?elementName=Asian &amp;elementID=17656", "Click here to submit comment")</f>
        <v>Click here to submit comment</v>
      </c>
      <c r="R1243" s="16">
        <v>48908</v>
      </c>
    </row>
    <row r="1244" spans="1:18" x14ac:dyDescent="0.25">
      <c r="A1244" s="16"/>
      <c r="B1244" s="16"/>
      <c r="C1244" s="16"/>
      <c r="D1244" s="16"/>
      <c r="E1244" s="16"/>
      <c r="F1244" s="16"/>
      <c r="G1244" s="16"/>
      <c r="H1244" s="16"/>
      <c r="I1244" s="16"/>
      <c r="J1244" s="16"/>
      <c r="K1244" s="16"/>
      <c r="L1244" s="14"/>
      <c r="M1244" s="16"/>
      <c r="N1244" s="16"/>
      <c r="O1244" s="16"/>
      <c r="P1244" s="16"/>
      <c r="Q1244" s="16"/>
      <c r="R1244" s="16"/>
    </row>
    <row r="1245" spans="1:18" x14ac:dyDescent="0.25">
      <c r="A1245" s="16"/>
      <c r="B1245" s="16"/>
      <c r="C1245" s="16"/>
      <c r="D1245" s="16"/>
      <c r="E1245" s="16"/>
      <c r="F1245" s="16"/>
      <c r="G1245" s="16"/>
      <c r="H1245" s="16"/>
      <c r="I1245" s="16"/>
      <c r="J1245" s="16"/>
      <c r="K1245" s="16"/>
      <c r="L1245" s="14" t="s">
        <v>427</v>
      </c>
      <c r="M1245" s="16"/>
      <c r="N1245" s="16"/>
      <c r="O1245" s="16"/>
      <c r="P1245" s="16"/>
      <c r="Q1245" s="16"/>
      <c r="R1245" s="16"/>
    </row>
    <row r="1246" spans="1:18" ht="30" x14ac:dyDescent="0.25">
      <c r="A1246" s="16"/>
      <c r="B1246" s="16"/>
      <c r="C1246" s="16"/>
      <c r="D1246" s="16"/>
      <c r="E1246" s="16"/>
      <c r="F1246" s="16"/>
      <c r="G1246" s="16"/>
      <c r="H1246" s="16"/>
      <c r="I1246" s="16"/>
      <c r="J1246" s="16"/>
      <c r="K1246" s="16"/>
      <c r="L1246" s="14" t="s">
        <v>428</v>
      </c>
      <c r="M1246" s="16"/>
      <c r="N1246" s="16"/>
      <c r="O1246" s="16"/>
      <c r="P1246" s="16"/>
      <c r="Q1246" s="16"/>
      <c r="R1246" s="16"/>
    </row>
    <row r="1247" spans="1:18" x14ac:dyDescent="0.25">
      <c r="A1247" s="16"/>
      <c r="B1247" s="16"/>
      <c r="C1247" s="16"/>
      <c r="D1247" s="16"/>
      <c r="E1247" s="16"/>
      <c r="F1247" s="16"/>
      <c r="G1247" s="16"/>
      <c r="H1247" s="16"/>
      <c r="I1247" s="16"/>
      <c r="J1247" s="16"/>
      <c r="K1247" s="16"/>
      <c r="L1247" s="14" t="s">
        <v>429</v>
      </c>
      <c r="M1247" s="16"/>
      <c r="N1247" s="16"/>
      <c r="O1247" s="16"/>
      <c r="P1247" s="16"/>
      <c r="Q1247" s="16"/>
      <c r="R1247" s="16"/>
    </row>
    <row r="1248" spans="1:18" ht="30" x14ac:dyDescent="0.25">
      <c r="A1248" s="16" t="s">
        <v>8732</v>
      </c>
      <c r="B1248" s="16" t="s">
        <v>8813</v>
      </c>
      <c r="C1248" s="16" t="s">
        <v>8603</v>
      </c>
      <c r="D1248" s="16" t="s">
        <v>8531</v>
      </c>
      <c r="E1248" s="16" t="s">
        <v>1752</v>
      </c>
      <c r="F1248" s="16" t="s">
        <v>1753</v>
      </c>
      <c r="G1248" s="18" t="s">
        <v>8605</v>
      </c>
      <c r="H1248" s="16" t="s">
        <v>426</v>
      </c>
      <c r="I1248" s="16"/>
      <c r="J1248" s="16"/>
      <c r="K1248" s="16"/>
      <c r="L1248" s="14" t="s">
        <v>422</v>
      </c>
      <c r="M1248" s="16" t="s">
        <v>1754</v>
      </c>
      <c r="N1248" s="16" t="s">
        <v>1755</v>
      </c>
      <c r="O1248" s="16" t="s">
        <v>1756</v>
      </c>
      <c r="P1248" s="16" t="str">
        <f>HYPERLINK("https://ceds.ed.gov/cedselementdetails.aspx?termid=17657")</f>
        <v>https://ceds.ed.gov/cedselementdetails.aspx?termid=17657</v>
      </c>
      <c r="Q1248" s="16" t="str">
        <f>HYPERLINK("https://ceds.ed.gov/elementComment.aspx?elementName=Black or African American &amp;elementID=17657", "Click here to submit comment")</f>
        <v>Click here to submit comment</v>
      </c>
      <c r="R1248" s="16">
        <v>48909</v>
      </c>
    </row>
    <row r="1249" spans="1:18" x14ac:dyDescent="0.25">
      <c r="A1249" s="16"/>
      <c r="B1249" s="16"/>
      <c r="C1249" s="16"/>
      <c r="D1249" s="16"/>
      <c r="E1249" s="16"/>
      <c r="F1249" s="16"/>
      <c r="G1249" s="16"/>
      <c r="H1249" s="16"/>
      <c r="I1249" s="16"/>
      <c r="J1249" s="16"/>
      <c r="K1249" s="16"/>
      <c r="L1249" s="14"/>
      <c r="M1249" s="16"/>
      <c r="N1249" s="16"/>
      <c r="O1249" s="16"/>
      <c r="P1249" s="16"/>
      <c r="Q1249" s="16"/>
      <c r="R1249" s="16"/>
    </row>
    <row r="1250" spans="1:18" x14ac:dyDescent="0.25">
      <c r="A1250" s="16"/>
      <c r="B1250" s="16"/>
      <c r="C1250" s="16"/>
      <c r="D1250" s="16"/>
      <c r="E1250" s="16"/>
      <c r="F1250" s="16"/>
      <c r="G1250" s="16"/>
      <c r="H1250" s="16"/>
      <c r="I1250" s="16"/>
      <c r="J1250" s="16"/>
      <c r="K1250" s="16"/>
      <c r="L1250" s="14" t="s">
        <v>427</v>
      </c>
      <c r="M1250" s="16"/>
      <c r="N1250" s="16"/>
      <c r="O1250" s="16"/>
      <c r="P1250" s="16"/>
      <c r="Q1250" s="16"/>
      <c r="R1250" s="16"/>
    </row>
    <row r="1251" spans="1:18" ht="30" x14ac:dyDescent="0.25">
      <c r="A1251" s="16"/>
      <c r="B1251" s="16"/>
      <c r="C1251" s="16"/>
      <c r="D1251" s="16"/>
      <c r="E1251" s="16"/>
      <c r="F1251" s="16"/>
      <c r="G1251" s="16"/>
      <c r="H1251" s="16"/>
      <c r="I1251" s="16"/>
      <c r="J1251" s="16"/>
      <c r="K1251" s="16"/>
      <c r="L1251" s="14" t="s">
        <v>428</v>
      </c>
      <c r="M1251" s="16"/>
      <c r="N1251" s="16"/>
      <c r="O1251" s="16"/>
      <c r="P1251" s="16"/>
      <c r="Q1251" s="16"/>
      <c r="R1251" s="16"/>
    </row>
    <row r="1252" spans="1:18" x14ac:dyDescent="0.25">
      <c r="A1252" s="16"/>
      <c r="B1252" s="16"/>
      <c r="C1252" s="16"/>
      <c r="D1252" s="16"/>
      <c r="E1252" s="16"/>
      <c r="F1252" s="16"/>
      <c r="G1252" s="16"/>
      <c r="H1252" s="16"/>
      <c r="I1252" s="16"/>
      <c r="J1252" s="16"/>
      <c r="K1252" s="16"/>
      <c r="L1252" s="14" t="s">
        <v>429</v>
      </c>
      <c r="M1252" s="16"/>
      <c r="N1252" s="16"/>
      <c r="O1252" s="16"/>
      <c r="P1252" s="16"/>
      <c r="Q1252" s="16"/>
      <c r="R1252" s="16"/>
    </row>
    <row r="1253" spans="1:18" ht="30" x14ac:dyDescent="0.25">
      <c r="A1253" s="16" t="s">
        <v>8732</v>
      </c>
      <c r="B1253" s="16" t="s">
        <v>8813</v>
      </c>
      <c r="C1253" s="16" t="s">
        <v>8603</v>
      </c>
      <c r="D1253" s="16" t="s">
        <v>8531</v>
      </c>
      <c r="E1253" s="16" t="s">
        <v>6378</v>
      </c>
      <c r="F1253" s="16" t="s">
        <v>6379</v>
      </c>
      <c r="G1253" s="18" t="s">
        <v>8605</v>
      </c>
      <c r="H1253" s="16" t="s">
        <v>426</v>
      </c>
      <c r="I1253" s="16"/>
      <c r="J1253" s="16"/>
      <c r="K1253" s="16"/>
      <c r="L1253" s="14" t="s">
        <v>422</v>
      </c>
      <c r="M1253" s="16" t="s">
        <v>6380</v>
      </c>
      <c r="N1253" s="16" t="s">
        <v>6381</v>
      </c>
      <c r="O1253" s="16" t="s">
        <v>6382</v>
      </c>
      <c r="P1253" s="16" t="str">
        <f>HYPERLINK("https://ceds.ed.gov/cedselementdetails.aspx?termid=17658")</f>
        <v>https://ceds.ed.gov/cedselementdetails.aspx?termid=17658</v>
      </c>
      <c r="Q1253" s="16" t="str">
        <f>HYPERLINK("https://ceds.ed.gov/elementComment.aspx?elementName=Native Hawaiian or Other Pacific Islander &amp;elementID=17658", "Click here to submit comment")</f>
        <v>Click here to submit comment</v>
      </c>
      <c r="R1253" s="16">
        <v>48910</v>
      </c>
    </row>
    <row r="1254" spans="1:18" x14ac:dyDescent="0.25">
      <c r="A1254" s="16"/>
      <c r="B1254" s="16"/>
      <c r="C1254" s="16"/>
      <c r="D1254" s="16"/>
      <c r="E1254" s="16"/>
      <c r="F1254" s="16"/>
      <c r="G1254" s="16"/>
      <c r="H1254" s="16"/>
      <c r="I1254" s="16"/>
      <c r="J1254" s="16"/>
      <c r="K1254" s="16"/>
      <c r="L1254" s="14"/>
      <c r="M1254" s="16"/>
      <c r="N1254" s="16"/>
      <c r="O1254" s="16"/>
      <c r="P1254" s="16"/>
      <c r="Q1254" s="16"/>
      <c r="R1254" s="16"/>
    </row>
    <row r="1255" spans="1:18" x14ac:dyDescent="0.25">
      <c r="A1255" s="16"/>
      <c r="B1255" s="16"/>
      <c r="C1255" s="16"/>
      <c r="D1255" s="16"/>
      <c r="E1255" s="16"/>
      <c r="F1255" s="16"/>
      <c r="G1255" s="16"/>
      <c r="H1255" s="16"/>
      <c r="I1255" s="16"/>
      <c r="J1255" s="16"/>
      <c r="K1255" s="16"/>
      <c r="L1255" s="14" t="s">
        <v>427</v>
      </c>
      <c r="M1255" s="16"/>
      <c r="N1255" s="16"/>
      <c r="O1255" s="16"/>
      <c r="P1255" s="16"/>
      <c r="Q1255" s="16"/>
      <c r="R1255" s="16"/>
    </row>
    <row r="1256" spans="1:18" ht="30" x14ac:dyDescent="0.25">
      <c r="A1256" s="16"/>
      <c r="B1256" s="16"/>
      <c r="C1256" s="16"/>
      <c r="D1256" s="16"/>
      <c r="E1256" s="16"/>
      <c r="F1256" s="16"/>
      <c r="G1256" s="16"/>
      <c r="H1256" s="16"/>
      <c r="I1256" s="16"/>
      <c r="J1256" s="16"/>
      <c r="K1256" s="16"/>
      <c r="L1256" s="14" t="s">
        <v>428</v>
      </c>
      <c r="M1256" s="16"/>
      <c r="N1256" s="16"/>
      <c r="O1256" s="16"/>
      <c r="P1256" s="16"/>
      <c r="Q1256" s="16"/>
      <c r="R1256" s="16"/>
    </row>
    <row r="1257" spans="1:18" x14ac:dyDescent="0.25">
      <c r="A1257" s="16"/>
      <c r="B1257" s="16"/>
      <c r="C1257" s="16"/>
      <c r="D1257" s="16"/>
      <c r="E1257" s="16"/>
      <c r="F1257" s="16"/>
      <c r="G1257" s="16"/>
      <c r="H1257" s="16"/>
      <c r="I1257" s="16"/>
      <c r="J1257" s="16"/>
      <c r="K1257" s="16"/>
      <c r="L1257" s="14" t="s">
        <v>429</v>
      </c>
      <c r="M1257" s="16"/>
      <c r="N1257" s="16"/>
      <c r="O1257" s="16"/>
      <c r="P1257" s="16"/>
      <c r="Q1257" s="16"/>
      <c r="R1257" s="16"/>
    </row>
    <row r="1258" spans="1:18" ht="30" x14ac:dyDescent="0.25">
      <c r="A1258" s="16" t="s">
        <v>8732</v>
      </c>
      <c r="B1258" s="16" t="s">
        <v>8813</v>
      </c>
      <c r="C1258" s="16" t="s">
        <v>8603</v>
      </c>
      <c r="D1258" s="16" t="s">
        <v>8531</v>
      </c>
      <c r="E1258" s="16" t="s">
        <v>8488</v>
      </c>
      <c r="F1258" s="16" t="s">
        <v>8489</v>
      </c>
      <c r="G1258" s="18" t="s">
        <v>8605</v>
      </c>
      <c r="H1258" s="16" t="s">
        <v>426</v>
      </c>
      <c r="I1258" s="16"/>
      <c r="J1258" s="16"/>
      <c r="K1258" s="16"/>
      <c r="L1258" s="14" t="s">
        <v>422</v>
      </c>
      <c r="M1258" s="16" t="s">
        <v>8490</v>
      </c>
      <c r="N1258" s="16" t="s">
        <v>8491</v>
      </c>
      <c r="O1258" s="16" t="s">
        <v>8488</v>
      </c>
      <c r="P1258" s="16" t="str">
        <f>HYPERLINK("https://ceds.ed.gov/cedselementdetails.aspx?termid=17659")</f>
        <v>https://ceds.ed.gov/cedselementdetails.aspx?termid=17659</v>
      </c>
      <c r="Q1258" s="16" t="str">
        <f>HYPERLINK("https://ceds.ed.gov/elementComment.aspx?elementName=White &amp;elementID=17659", "Click here to submit comment")</f>
        <v>Click here to submit comment</v>
      </c>
      <c r="R1258" s="16">
        <v>48911</v>
      </c>
    </row>
    <row r="1259" spans="1:18" x14ac:dyDescent="0.25">
      <c r="A1259" s="16"/>
      <c r="B1259" s="16"/>
      <c r="C1259" s="16"/>
      <c r="D1259" s="16"/>
      <c r="E1259" s="16"/>
      <c r="F1259" s="16"/>
      <c r="G1259" s="16"/>
      <c r="H1259" s="16"/>
      <c r="I1259" s="16"/>
      <c r="J1259" s="16"/>
      <c r="K1259" s="16"/>
      <c r="L1259" s="14"/>
      <c r="M1259" s="16"/>
      <c r="N1259" s="16"/>
      <c r="O1259" s="16"/>
      <c r="P1259" s="16"/>
      <c r="Q1259" s="16"/>
      <c r="R1259" s="16"/>
    </row>
    <row r="1260" spans="1:18" x14ac:dyDescent="0.25">
      <c r="A1260" s="16"/>
      <c r="B1260" s="16"/>
      <c r="C1260" s="16"/>
      <c r="D1260" s="16"/>
      <c r="E1260" s="16"/>
      <c r="F1260" s="16"/>
      <c r="G1260" s="16"/>
      <c r="H1260" s="16"/>
      <c r="I1260" s="16"/>
      <c r="J1260" s="16"/>
      <c r="K1260" s="16"/>
      <c r="L1260" s="14" t="s">
        <v>427</v>
      </c>
      <c r="M1260" s="16"/>
      <c r="N1260" s="16"/>
      <c r="O1260" s="16"/>
      <c r="P1260" s="16"/>
      <c r="Q1260" s="16"/>
      <c r="R1260" s="16"/>
    </row>
    <row r="1261" spans="1:18" ht="30" x14ac:dyDescent="0.25">
      <c r="A1261" s="16"/>
      <c r="B1261" s="16"/>
      <c r="C1261" s="16"/>
      <c r="D1261" s="16"/>
      <c r="E1261" s="16"/>
      <c r="F1261" s="16"/>
      <c r="G1261" s="16"/>
      <c r="H1261" s="16"/>
      <c r="I1261" s="16"/>
      <c r="J1261" s="16"/>
      <c r="K1261" s="16"/>
      <c r="L1261" s="14" t="s">
        <v>428</v>
      </c>
      <c r="M1261" s="16"/>
      <c r="N1261" s="16"/>
      <c r="O1261" s="16"/>
      <c r="P1261" s="16"/>
      <c r="Q1261" s="16"/>
      <c r="R1261" s="16"/>
    </row>
    <row r="1262" spans="1:18" x14ac:dyDescent="0.25">
      <c r="A1262" s="16"/>
      <c r="B1262" s="16"/>
      <c r="C1262" s="16"/>
      <c r="D1262" s="16"/>
      <c r="E1262" s="16"/>
      <c r="F1262" s="16"/>
      <c r="G1262" s="16"/>
      <c r="H1262" s="16"/>
      <c r="I1262" s="16"/>
      <c r="J1262" s="16"/>
      <c r="K1262" s="16"/>
      <c r="L1262" s="14" t="s">
        <v>429</v>
      </c>
      <c r="M1262" s="16"/>
      <c r="N1262" s="16"/>
      <c r="O1262" s="16"/>
      <c r="P1262" s="16"/>
      <c r="Q1262" s="16"/>
      <c r="R1262" s="16"/>
    </row>
    <row r="1263" spans="1:18" ht="75" x14ac:dyDescent="0.25">
      <c r="A1263" s="14" t="s">
        <v>8732</v>
      </c>
      <c r="B1263" s="14" t="s">
        <v>8813</v>
      </c>
      <c r="C1263" s="14" t="s">
        <v>8603</v>
      </c>
      <c r="D1263" s="14" t="s">
        <v>8531</v>
      </c>
      <c r="E1263" s="14" t="s">
        <v>3488</v>
      </c>
      <c r="F1263" s="14" t="s">
        <v>3489</v>
      </c>
      <c r="G1263" s="14" t="s">
        <v>24</v>
      </c>
      <c r="H1263" s="14"/>
      <c r="I1263" s="14"/>
      <c r="J1263" s="14"/>
      <c r="K1263" s="14"/>
      <c r="L1263" s="14" t="s">
        <v>3490</v>
      </c>
      <c r="M1263" s="14" t="s">
        <v>3491</v>
      </c>
      <c r="N1263" s="14"/>
      <c r="O1263" s="14" t="s">
        <v>3492</v>
      </c>
      <c r="P1263" s="14" t="str">
        <f>HYPERLINK("https://ceds.ed.gov/cedselementdetails.aspx?termid=17974")</f>
        <v>https://ceds.ed.gov/cedselementdetails.aspx?termid=17974</v>
      </c>
      <c r="Q1263" s="14" t="str">
        <f>HYPERLINK("https://ceds.ed.gov/elementComment.aspx?elementName=Demographic Race Two or More Races &amp;elementID=17974", "Click here to submit comment")</f>
        <v>Click here to submit comment</v>
      </c>
      <c r="R1263" s="14">
        <v>48425</v>
      </c>
    </row>
    <row r="1264" spans="1:18" ht="30" x14ac:dyDescent="0.25">
      <c r="A1264" s="16" t="s">
        <v>8732</v>
      </c>
      <c r="B1264" s="16" t="s">
        <v>8813</v>
      </c>
      <c r="C1264" s="16" t="s">
        <v>8603</v>
      </c>
      <c r="D1264" s="16" t="s">
        <v>8531</v>
      </c>
      <c r="E1264" s="16" t="s">
        <v>5008</v>
      </c>
      <c r="F1264" s="16" t="s">
        <v>5009</v>
      </c>
      <c r="G1264" s="18" t="s">
        <v>8605</v>
      </c>
      <c r="H1264" s="16" t="s">
        <v>426</v>
      </c>
      <c r="I1264" s="16"/>
      <c r="J1264" s="16"/>
      <c r="K1264" s="16"/>
      <c r="L1264" s="14" t="s">
        <v>422</v>
      </c>
      <c r="M1264" s="16" t="s">
        <v>5010</v>
      </c>
      <c r="N1264" s="16"/>
      <c r="O1264" s="16" t="s">
        <v>5011</v>
      </c>
      <c r="P1264" s="16" t="str">
        <f>HYPERLINK("https://ceds.ed.gov/cedselementdetails.aspx?termid=17144")</f>
        <v>https://ceds.ed.gov/cedselementdetails.aspx?termid=17144</v>
      </c>
      <c r="Q1264" s="16" t="str">
        <f>HYPERLINK("https://ceds.ed.gov/elementComment.aspx?elementName=Hispanic or Latino Ethnicity &amp;elementID=17144", "Click here to submit comment")</f>
        <v>Click here to submit comment</v>
      </c>
      <c r="R1264" s="16">
        <v>48765</v>
      </c>
    </row>
    <row r="1265" spans="1:18" x14ac:dyDescent="0.25">
      <c r="A1265" s="16"/>
      <c r="B1265" s="16"/>
      <c r="C1265" s="16"/>
      <c r="D1265" s="16"/>
      <c r="E1265" s="16"/>
      <c r="F1265" s="16"/>
      <c r="G1265" s="16"/>
      <c r="H1265" s="16"/>
      <c r="I1265" s="16"/>
      <c r="J1265" s="16"/>
      <c r="K1265" s="16"/>
      <c r="L1265" s="14"/>
      <c r="M1265" s="16"/>
      <c r="N1265" s="16"/>
      <c r="O1265" s="16"/>
      <c r="P1265" s="16"/>
      <c r="Q1265" s="16"/>
      <c r="R1265" s="16"/>
    </row>
    <row r="1266" spans="1:18" x14ac:dyDescent="0.25">
      <c r="A1266" s="16"/>
      <c r="B1266" s="16"/>
      <c r="C1266" s="16"/>
      <c r="D1266" s="16"/>
      <c r="E1266" s="16"/>
      <c r="F1266" s="16"/>
      <c r="G1266" s="16"/>
      <c r="H1266" s="16"/>
      <c r="I1266" s="16"/>
      <c r="J1266" s="16"/>
      <c r="K1266" s="16"/>
      <c r="L1266" s="14" t="s">
        <v>427</v>
      </c>
      <c r="M1266" s="16"/>
      <c r="N1266" s="16"/>
      <c r="O1266" s="16"/>
      <c r="P1266" s="16"/>
      <c r="Q1266" s="16"/>
      <c r="R1266" s="16"/>
    </row>
    <row r="1267" spans="1:18" ht="30" x14ac:dyDescent="0.25">
      <c r="A1267" s="16"/>
      <c r="B1267" s="16"/>
      <c r="C1267" s="16"/>
      <c r="D1267" s="16"/>
      <c r="E1267" s="16"/>
      <c r="F1267" s="16"/>
      <c r="G1267" s="16"/>
      <c r="H1267" s="16"/>
      <c r="I1267" s="16"/>
      <c r="J1267" s="16"/>
      <c r="K1267" s="16"/>
      <c r="L1267" s="14" t="s">
        <v>428</v>
      </c>
      <c r="M1267" s="16"/>
      <c r="N1267" s="16"/>
      <c r="O1267" s="16"/>
      <c r="P1267" s="16"/>
      <c r="Q1267" s="16"/>
      <c r="R1267" s="16"/>
    </row>
    <row r="1268" spans="1:18" x14ac:dyDescent="0.25">
      <c r="A1268" s="16"/>
      <c r="B1268" s="16"/>
      <c r="C1268" s="16"/>
      <c r="D1268" s="16"/>
      <c r="E1268" s="16"/>
      <c r="F1268" s="16"/>
      <c r="G1268" s="16"/>
      <c r="H1268" s="16"/>
      <c r="I1268" s="16"/>
      <c r="J1268" s="16"/>
      <c r="K1268" s="16"/>
      <c r="L1268" s="14" t="s">
        <v>429</v>
      </c>
      <c r="M1268" s="16"/>
      <c r="N1268" s="16"/>
      <c r="O1268" s="16"/>
      <c r="P1268" s="16"/>
      <c r="Q1268" s="16"/>
      <c r="R1268" s="16"/>
    </row>
    <row r="1269" spans="1:18" ht="409.5" x14ac:dyDescent="0.25">
      <c r="A1269" s="14" t="s">
        <v>8732</v>
      </c>
      <c r="B1269" s="14" t="s">
        <v>8813</v>
      </c>
      <c r="C1269" s="14" t="s">
        <v>8603</v>
      </c>
      <c r="D1269" s="14" t="s">
        <v>8531</v>
      </c>
      <c r="E1269" s="14" t="s">
        <v>2853</v>
      </c>
      <c r="F1269" s="14" t="s">
        <v>2854</v>
      </c>
      <c r="G1269" s="8" t="s">
        <v>8548</v>
      </c>
      <c r="H1269" s="14" t="s">
        <v>2859</v>
      </c>
      <c r="I1269" s="14" t="s">
        <v>195</v>
      </c>
      <c r="J1269" s="14"/>
      <c r="K1269" s="14" t="s">
        <v>2856</v>
      </c>
      <c r="L1269" s="6" t="s">
        <v>2849</v>
      </c>
      <c r="M1269" s="14" t="s">
        <v>2857</v>
      </c>
      <c r="N1269" s="14"/>
      <c r="O1269" s="14" t="s">
        <v>2858</v>
      </c>
      <c r="P1269" s="14" t="str">
        <f>HYPERLINK("https://ceds.ed.gov/cedselementdetails.aspx?termid=17051")</f>
        <v>https://ceds.ed.gov/cedselementdetails.aspx?termid=17051</v>
      </c>
      <c r="Q1269" s="14" t="str">
        <f>HYPERLINK("https://ceds.ed.gov/elementComment.aspx?elementName=Country of Birth Code &amp;elementID=17051", "Click here to submit comment")</f>
        <v>Click here to submit comment</v>
      </c>
      <c r="R1269" s="14">
        <v>48002</v>
      </c>
    </row>
    <row r="1270" spans="1:18" ht="409.5" x14ac:dyDescent="0.25">
      <c r="A1270" s="14" t="s">
        <v>8732</v>
      </c>
      <c r="B1270" s="14" t="s">
        <v>8813</v>
      </c>
      <c r="C1270" s="14" t="s">
        <v>8603</v>
      </c>
      <c r="D1270" s="14" t="s">
        <v>8531</v>
      </c>
      <c r="E1270" s="14" t="s">
        <v>8013</v>
      </c>
      <c r="F1270" s="14" t="s">
        <v>8014</v>
      </c>
      <c r="G1270" s="8" t="s">
        <v>8703</v>
      </c>
      <c r="H1270" s="14" t="s">
        <v>1751</v>
      </c>
      <c r="I1270" s="14"/>
      <c r="J1270" s="14"/>
      <c r="K1270" s="14"/>
      <c r="L1270" s="14"/>
      <c r="M1270" s="14" t="s">
        <v>8015</v>
      </c>
      <c r="N1270" s="14"/>
      <c r="O1270" s="14" t="s">
        <v>8016</v>
      </c>
      <c r="P1270" s="14" t="str">
        <f>HYPERLINK("https://ceds.ed.gov/cedselementdetails.aspx?termid=17417")</f>
        <v>https://ceds.ed.gov/cedselementdetails.aspx?termid=17417</v>
      </c>
      <c r="Q1270" s="14" t="str">
        <f>HYPERLINK("https://ceds.ed.gov/elementComment.aspx?elementName=State of Birth Abbreviation &amp;elementID=17417", "Click here to submit comment")</f>
        <v>Click here to submit comment</v>
      </c>
      <c r="R1270" s="14">
        <v>48837</v>
      </c>
    </row>
    <row r="1271" spans="1:18" ht="45" x14ac:dyDescent="0.25">
      <c r="A1271" s="14" t="s">
        <v>8732</v>
      </c>
      <c r="B1271" s="14" t="s">
        <v>8813</v>
      </c>
      <c r="C1271" s="14" t="s">
        <v>8603</v>
      </c>
      <c r="D1271" s="14" t="s">
        <v>8531</v>
      </c>
      <c r="E1271" s="14" t="s">
        <v>2336</v>
      </c>
      <c r="F1271" s="14" t="s">
        <v>2337</v>
      </c>
      <c r="G1271" s="14" t="s">
        <v>37</v>
      </c>
      <c r="H1271" s="14" t="s">
        <v>1751</v>
      </c>
      <c r="I1271" s="14"/>
      <c r="J1271" s="14" t="s">
        <v>97</v>
      </c>
      <c r="K1271" s="14"/>
      <c r="L1271" s="14"/>
      <c r="M1271" s="14" t="s">
        <v>2339</v>
      </c>
      <c r="N1271" s="14"/>
      <c r="O1271" s="14" t="s">
        <v>2340</v>
      </c>
      <c r="P1271" s="14" t="str">
        <f>HYPERLINK("https://ceds.ed.gov/cedselementdetails.aspx?termid=17416")</f>
        <v>https://ceds.ed.gov/cedselementdetails.aspx?termid=17416</v>
      </c>
      <c r="Q1271" s="14" t="str">
        <f>HYPERLINK("https://ceds.ed.gov/elementComment.aspx?elementName=City of Birth &amp;elementID=17416", "Click here to submit comment")</f>
        <v>Click here to submit comment</v>
      </c>
      <c r="R1271" s="14">
        <v>48836</v>
      </c>
    </row>
    <row r="1272" spans="1:18" ht="150" x14ac:dyDescent="0.25">
      <c r="A1272" s="14" t="s">
        <v>8732</v>
      </c>
      <c r="B1272" s="14" t="s">
        <v>8813</v>
      </c>
      <c r="C1272" s="14" t="s">
        <v>8603</v>
      </c>
      <c r="D1272" s="14" t="s">
        <v>8531</v>
      </c>
      <c r="E1272" s="14" t="s">
        <v>7220</v>
      </c>
      <c r="F1272" s="14" t="s">
        <v>7221</v>
      </c>
      <c r="G1272" s="8" t="s">
        <v>8815</v>
      </c>
      <c r="H1272" s="14"/>
      <c r="I1272" s="14"/>
      <c r="J1272" s="14"/>
      <c r="K1272" s="14"/>
      <c r="L1272" s="14"/>
      <c r="M1272" s="14" t="s">
        <v>7223</v>
      </c>
      <c r="N1272" s="14"/>
      <c r="O1272" s="14" t="s">
        <v>7224</v>
      </c>
      <c r="P1272" s="14" t="str">
        <f>HYPERLINK("https://ceds.ed.gov/cedselementdetails.aspx?termid=17523")</f>
        <v>https://ceds.ed.gov/cedselementdetails.aspx?termid=17523</v>
      </c>
      <c r="Q1272" s="14" t="str">
        <f>HYPERLINK("https://ceds.ed.gov/elementComment.aspx?elementName=Public School Residence Status &amp;elementID=17523", "Click here to submit comment")</f>
        <v>Click here to submit comment</v>
      </c>
      <c r="R1272" s="14">
        <v>48863</v>
      </c>
    </row>
    <row r="1273" spans="1:18" ht="105" x14ac:dyDescent="0.25">
      <c r="A1273" s="14" t="s">
        <v>8732</v>
      </c>
      <c r="B1273" s="14" t="s">
        <v>8813</v>
      </c>
      <c r="C1273" s="14" t="s">
        <v>8603</v>
      </c>
      <c r="D1273" s="14" t="s">
        <v>8531</v>
      </c>
      <c r="E1273" s="14" t="s">
        <v>8363</v>
      </c>
      <c r="F1273" s="14" t="s">
        <v>8364</v>
      </c>
      <c r="G1273" s="14" t="s">
        <v>8527</v>
      </c>
      <c r="H1273" s="14"/>
      <c r="I1273" s="14" t="s">
        <v>195</v>
      </c>
      <c r="J1273" s="14"/>
      <c r="K1273" s="14" t="s">
        <v>8366</v>
      </c>
      <c r="L1273" s="14"/>
      <c r="M1273" s="14" t="s">
        <v>8367</v>
      </c>
      <c r="N1273" s="14"/>
      <c r="O1273" s="14" t="s">
        <v>8368</v>
      </c>
      <c r="P1273" s="14" t="str">
        <f>HYPERLINK("https://ceds.ed.gov/cedselementdetails.aspx?termid=18638")</f>
        <v>https://ceds.ed.gov/cedselementdetails.aspx?termid=18638</v>
      </c>
      <c r="Q1273" s="14" t="str">
        <f>HYPERLINK("https://ceds.ed.gov/elementComment.aspx?elementName=Tribal Affiliation &amp;elementID=18638", "Click here to submit comment")</f>
        <v>Click here to submit comment</v>
      </c>
      <c r="R1273" s="14">
        <v>51355</v>
      </c>
    </row>
    <row r="1274" spans="1:18" ht="105" x14ac:dyDescent="0.25">
      <c r="A1274" s="14" t="s">
        <v>8732</v>
      </c>
      <c r="B1274" s="14" t="s">
        <v>8813</v>
      </c>
      <c r="C1274" s="14" t="s">
        <v>8603</v>
      </c>
      <c r="D1274" s="14" t="s">
        <v>8531</v>
      </c>
      <c r="E1274" s="14" t="s">
        <v>6304</v>
      </c>
      <c r="F1274" s="14" t="s">
        <v>6305</v>
      </c>
      <c r="G1274" s="8" t="s">
        <v>8677</v>
      </c>
      <c r="H1274" s="14"/>
      <c r="I1274" s="14" t="s">
        <v>195</v>
      </c>
      <c r="J1274" s="14"/>
      <c r="K1274" s="14" t="s">
        <v>6308</v>
      </c>
      <c r="L1274" s="14"/>
      <c r="M1274" s="14" t="s">
        <v>6309</v>
      </c>
      <c r="N1274" s="14"/>
      <c r="O1274" s="14" t="s">
        <v>6310</v>
      </c>
      <c r="P1274" s="14" t="str">
        <f>HYPERLINK("https://ceds.ed.gov/cedselementdetails.aspx?termid=18621")</f>
        <v>https://ceds.ed.gov/cedselementdetails.aspx?termid=18621</v>
      </c>
      <c r="Q1274" s="14" t="str">
        <f>HYPERLINK("https://ceds.ed.gov/elementComment.aspx?elementName=Military Branch &amp;elementID=18621", "Click here to submit comment")</f>
        <v>Click here to submit comment</v>
      </c>
      <c r="R1274" s="14">
        <v>51309</v>
      </c>
    </row>
    <row r="1275" spans="1:18" ht="105" x14ac:dyDescent="0.25">
      <c r="A1275" s="14" t="s">
        <v>8732</v>
      </c>
      <c r="B1275" s="14" t="s">
        <v>8813</v>
      </c>
      <c r="C1275" s="14" t="s">
        <v>8603</v>
      </c>
      <c r="D1275" s="14" t="s">
        <v>8531</v>
      </c>
      <c r="E1275" s="14" t="s">
        <v>6311</v>
      </c>
      <c r="F1275" s="14" t="s">
        <v>6312</v>
      </c>
      <c r="G1275" s="8" t="s">
        <v>8816</v>
      </c>
      <c r="H1275" s="14"/>
      <c r="I1275" s="14"/>
      <c r="J1275" s="14"/>
      <c r="K1275" s="14"/>
      <c r="L1275" s="14"/>
      <c r="M1275" s="14" t="s">
        <v>6314</v>
      </c>
      <c r="N1275" s="14"/>
      <c r="O1275" s="14" t="s">
        <v>6315</v>
      </c>
      <c r="P1275" s="14" t="str">
        <f>HYPERLINK("https://ceds.ed.gov/cedselementdetails.aspx?termid=18555")</f>
        <v>https://ceds.ed.gov/cedselementdetails.aspx?termid=18555</v>
      </c>
      <c r="Q1275" s="14" t="str">
        <f>HYPERLINK("https://ceds.ed.gov/elementComment.aspx?elementName=Military Connected Student Indicator &amp;elementID=18555", "Click here to submit comment")</f>
        <v>Click here to submit comment</v>
      </c>
      <c r="R1275" s="14">
        <v>50933</v>
      </c>
    </row>
    <row r="1276" spans="1:18" ht="120" x14ac:dyDescent="0.25">
      <c r="A1276" s="14" t="s">
        <v>8732</v>
      </c>
      <c r="B1276" s="14" t="s">
        <v>8813</v>
      </c>
      <c r="C1276" s="14" t="s">
        <v>8603</v>
      </c>
      <c r="D1276" s="14" t="s">
        <v>8541</v>
      </c>
      <c r="E1276" s="14" t="s">
        <v>7940</v>
      </c>
      <c r="F1276" s="14" t="s">
        <v>7941</v>
      </c>
      <c r="G1276" s="14" t="s">
        <v>37</v>
      </c>
      <c r="H1276" s="14" t="s">
        <v>80</v>
      </c>
      <c r="I1276" s="14" t="s">
        <v>195</v>
      </c>
      <c r="J1276" s="14" t="s">
        <v>7943</v>
      </c>
      <c r="K1276" s="14" t="s">
        <v>2856</v>
      </c>
      <c r="L1276" s="14"/>
      <c r="M1276" s="14" t="s">
        <v>7944</v>
      </c>
      <c r="N1276" s="14"/>
      <c r="O1276" s="14" t="s">
        <v>7945</v>
      </c>
      <c r="P1276" s="14" t="str">
        <f>HYPERLINK("https://ceds.ed.gov/cedselementdetails.aspx?termid=17707")</f>
        <v>https://ceds.ed.gov/cedselementdetails.aspx?termid=17707</v>
      </c>
      <c r="Q1276" s="14" t="str">
        <f>HYPERLINK("https://ceds.ed.gov/elementComment.aspx?elementName=Standard Occupational Classification &amp;elementID=17707", "Click here to submit comment")</f>
        <v>Click here to submit comment</v>
      </c>
      <c r="R1276" s="14">
        <v>52345</v>
      </c>
    </row>
    <row r="1277" spans="1:18" ht="45" x14ac:dyDescent="0.25">
      <c r="A1277" s="14" t="s">
        <v>8732</v>
      </c>
      <c r="B1277" s="14" t="s">
        <v>8813</v>
      </c>
      <c r="C1277" s="14" t="s">
        <v>8606</v>
      </c>
      <c r="D1277" s="14" t="s">
        <v>8531</v>
      </c>
      <c r="E1277" s="14" t="s">
        <v>7335</v>
      </c>
      <c r="F1277" s="14" t="s">
        <v>7336</v>
      </c>
      <c r="G1277" s="14" t="s">
        <v>37</v>
      </c>
      <c r="H1277" s="14"/>
      <c r="I1277" s="14"/>
      <c r="J1277" s="14" t="s">
        <v>135</v>
      </c>
      <c r="K1277" s="14"/>
      <c r="L1277" s="14"/>
      <c r="M1277" s="14" t="s">
        <v>7338</v>
      </c>
      <c r="N1277" s="14"/>
      <c r="O1277" s="14" t="s">
        <v>7339</v>
      </c>
      <c r="P1277" s="14" t="str">
        <f>HYPERLINK("https://ceds.ed.gov/cedselementdetails.aspx?termid=18453")</f>
        <v>https://ceds.ed.gov/cedselementdetails.aspx?termid=18453</v>
      </c>
      <c r="Q1277" s="14" t="str">
        <f>HYPERLINK("https://ceds.ed.gov/elementComment.aspx?elementName=Referral Date &amp;elementID=18453", "Click here to submit comment")</f>
        <v>Click here to submit comment</v>
      </c>
      <c r="R1277" s="14">
        <v>51829</v>
      </c>
    </row>
    <row r="1278" spans="1:18" ht="45" x14ac:dyDescent="0.25">
      <c r="A1278" s="14" t="s">
        <v>8732</v>
      </c>
      <c r="B1278" s="14" t="s">
        <v>8813</v>
      </c>
      <c r="C1278" s="14" t="s">
        <v>8606</v>
      </c>
      <c r="D1278" s="14" t="s">
        <v>8531</v>
      </c>
      <c r="E1278" s="14" t="s">
        <v>7350</v>
      </c>
      <c r="F1278" s="14" t="s">
        <v>7351</v>
      </c>
      <c r="G1278" s="14" t="s">
        <v>37</v>
      </c>
      <c r="H1278" s="14"/>
      <c r="I1278" s="14"/>
      <c r="J1278" s="14" t="s">
        <v>382</v>
      </c>
      <c r="K1278" s="14"/>
      <c r="L1278" s="14"/>
      <c r="M1278" s="14" t="s">
        <v>7352</v>
      </c>
      <c r="N1278" s="14"/>
      <c r="O1278" s="14" t="s">
        <v>7353</v>
      </c>
      <c r="P1278" s="14" t="str">
        <f>HYPERLINK("https://ceds.ed.gov/cedselementdetails.aspx?termid=18455")</f>
        <v>https://ceds.ed.gov/cedselementdetails.aspx?termid=18455</v>
      </c>
      <c r="Q1278" s="14" t="str">
        <f>HYPERLINK("https://ceds.ed.gov/elementComment.aspx?elementName=Referral Reason &amp;elementID=18455", "Click here to submit comment")</f>
        <v>Click here to submit comment</v>
      </c>
      <c r="R1278" s="14">
        <v>51831</v>
      </c>
    </row>
    <row r="1279" spans="1:18" ht="45" x14ac:dyDescent="0.25">
      <c r="A1279" s="14" t="s">
        <v>8732</v>
      </c>
      <c r="B1279" s="14" t="s">
        <v>8813</v>
      </c>
      <c r="C1279" s="14" t="s">
        <v>8606</v>
      </c>
      <c r="D1279" s="14" t="s">
        <v>8531</v>
      </c>
      <c r="E1279" s="14" t="s">
        <v>7354</v>
      </c>
      <c r="F1279" s="14" t="s">
        <v>7355</v>
      </c>
      <c r="G1279" s="14" t="s">
        <v>37</v>
      </c>
      <c r="H1279" s="14"/>
      <c r="I1279" s="14"/>
      <c r="J1279" s="14" t="s">
        <v>175</v>
      </c>
      <c r="K1279" s="14"/>
      <c r="L1279" s="14"/>
      <c r="M1279" s="14" t="s">
        <v>7356</v>
      </c>
      <c r="N1279" s="14"/>
      <c r="O1279" s="14" t="s">
        <v>7357</v>
      </c>
      <c r="P1279" s="14" t="str">
        <f>HYPERLINK("https://ceds.ed.gov/cedselementdetails.aspx?termid=18456")</f>
        <v>https://ceds.ed.gov/cedselementdetails.aspx?termid=18456</v>
      </c>
      <c r="Q1279" s="14" t="str">
        <f>HYPERLINK("https://ceds.ed.gov/elementComment.aspx?elementName=Referral Source &amp;elementID=18456", "Click here to submit comment")</f>
        <v>Click here to submit comment</v>
      </c>
      <c r="R1279" s="14">
        <v>51833</v>
      </c>
    </row>
    <row r="1280" spans="1:18" ht="60" x14ac:dyDescent="0.25">
      <c r="A1280" s="14" t="s">
        <v>8732</v>
      </c>
      <c r="B1280" s="14" t="s">
        <v>8813</v>
      </c>
      <c r="C1280" s="14" t="s">
        <v>8608</v>
      </c>
      <c r="D1280" s="14" t="s">
        <v>8531</v>
      </c>
      <c r="E1280" s="14" t="s">
        <v>6196</v>
      </c>
      <c r="F1280" s="14" t="s">
        <v>6197</v>
      </c>
      <c r="G1280" s="8" t="s">
        <v>8609</v>
      </c>
      <c r="H1280" s="14" t="s">
        <v>1751</v>
      </c>
      <c r="I1280" s="14"/>
      <c r="J1280" s="14"/>
      <c r="K1280" s="14"/>
      <c r="L1280" s="14"/>
      <c r="M1280" s="14" t="s">
        <v>6199</v>
      </c>
      <c r="N1280" s="14"/>
      <c r="O1280" s="14" t="s">
        <v>6200</v>
      </c>
      <c r="P1280" s="14" t="str">
        <f>HYPERLINK("https://ceds.ed.gov/cedselementdetails.aspx?termid=17429")</f>
        <v>https://ceds.ed.gov/cedselementdetails.aspx?termid=17429</v>
      </c>
      <c r="Q1280" s="14" t="str">
        <f>HYPERLINK("https://ceds.ed.gov/elementComment.aspx?elementName=Medical Alert Indicator &amp;elementID=17429", "Click here to submit comment")</f>
        <v>Click here to submit comment</v>
      </c>
      <c r="R1280" s="14">
        <v>48849</v>
      </c>
    </row>
    <row r="1281" spans="1:18" ht="409.5" x14ac:dyDescent="0.25">
      <c r="A1281" s="14" t="s">
        <v>8732</v>
      </c>
      <c r="B1281" s="14" t="s">
        <v>8813</v>
      </c>
      <c r="C1281" s="14" t="s">
        <v>8608</v>
      </c>
      <c r="D1281" s="14" t="s">
        <v>8531</v>
      </c>
      <c r="E1281" s="14" t="s">
        <v>390</v>
      </c>
      <c r="F1281" s="14" t="s">
        <v>391</v>
      </c>
      <c r="G1281" s="8" t="s">
        <v>8610</v>
      </c>
      <c r="H1281" s="14"/>
      <c r="I1281" s="14"/>
      <c r="J1281" s="14"/>
      <c r="K1281" s="14"/>
      <c r="L1281" s="14" t="s">
        <v>393</v>
      </c>
      <c r="M1281" s="14" t="s">
        <v>394</v>
      </c>
      <c r="N1281" s="14"/>
      <c r="O1281" s="14" t="s">
        <v>395</v>
      </c>
      <c r="P1281" s="14" t="str">
        <f>HYPERLINK("https://ceds.ed.gov/cedselementdetails.aspx?termid=18249")</f>
        <v>https://ceds.ed.gov/cedselementdetails.aspx?termid=18249</v>
      </c>
      <c r="Q1281" s="14" t="str">
        <f>HYPERLINK("https://ceds.ed.gov/elementComment.aspx?elementName=Allergy Type &amp;elementID=18249", "Click here to submit comment")</f>
        <v>Click here to submit comment</v>
      </c>
      <c r="R1281" s="14">
        <v>50066</v>
      </c>
    </row>
    <row r="1282" spans="1:18" ht="45" x14ac:dyDescent="0.25">
      <c r="A1282" s="14" t="s">
        <v>8732</v>
      </c>
      <c r="B1282" s="14" t="s">
        <v>8813</v>
      </c>
      <c r="C1282" s="14" t="s">
        <v>8608</v>
      </c>
      <c r="D1282" s="14" t="s">
        <v>8531</v>
      </c>
      <c r="E1282" s="14" t="s">
        <v>379</v>
      </c>
      <c r="F1282" s="14" t="s">
        <v>380</v>
      </c>
      <c r="G1282" s="14" t="s">
        <v>37</v>
      </c>
      <c r="H1282" s="14"/>
      <c r="I1282" s="14"/>
      <c r="J1282" s="14" t="s">
        <v>382</v>
      </c>
      <c r="K1282" s="14"/>
      <c r="L1282" s="14"/>
      <c r="M1282" s="14" t="s">
        <v>383</v>
      </c>
      <c r="N1282" s="14"/>
      <c r="O1282" s="14" t="s">
        <v>384</v>
      </c>
      <c r="P1282" s="14" t="str">
        <f>HYPERLINK("https://ceds.ed.gov/cedselementdetails.aspx?termid=18247")</f>
        <v>https://ceds.ed.gov/cedselementdetails.aspx?termid=18247</v>
      </c>
      <c r="Q1282" s="14" t="str">
        <f>HYPERLINK("https://ceds.ed.gov/elementComment.aspx?elementName=Allergy Reaction Description &amp;elementID=18247", "Click here to submit comment")</f>
        <v>Click here to submit comment</v>
      </c>
      <c r="R1282" s="14">
        <v>50064</v>
      </c>
    </row>
    <row r="1283" spans="1:18" ht="45" x14ac:dyDescent="0.25">
      <c r="A1283" s="14" t="s">
        <v>8732</v>
      </c>
      <c r="B1283" s="14" t="s">
        <v>8813</v>
      </c>
      <c r="C1283" s="14" t="s">
        <v>8608</v>
      </c>
      <c r="D1283" s="14" t="s">
        <v>8531</v>
      </c>
      <c r="E1283" s="14" t="s">
        <v>385</v>
      </c>
      <c r="F1283" s="14" t="s">
        <v>386</v>
      </c>
      <c r="G1283" s="8" t="s">
        <v>8611</v>
      </c>
      <c r="H1283" s="14"/>
      <c r="I1283" s="14"/>
      <c r="J1283" s="14"/>
      <c r="K1283" s="14"/>
      <c r="L1283" s="14"/>
      <c r="M1283" s="14" t="s">
        <v>388</v>
      </c>
      <c r="N1283" s="14"/>
      <c r="O1283" s="14" t="s">
        <v>389</v>
      </c>
      <c r="P1283" s="14" t="str">
        <f>HYPERLINK("https://ceds.ed.gov/cedselementdetails.aspx?termid=18248")</f>
        <v>https://ceds.ed.gov/cedselementdetails.aspx?termid=18248</v>
      </c>
      <c r="Q1283" s="14" t="str">
        <f>HYPERLINK("https://ceds.ed.gov/elementComment.aspx?elementName=Allergy Severity &amp;elementID=18248", "Click here to submit comment")</f>
        <v>Click here to submit comment</v>
      </c>
      <c r="R1283" s="14">
        <v>50065</v>
      </c>
    </row>
    <row r="1284" spans="1:18" ht="45" x14ac:dyDescent="0.25">
      <c r="A1284" s="14" t="s">
        <v>8732</v>
      </c>
      <c r="B1284" s="14" t="s">
        <v>8813</v>
      </c>
      <c r="C1284" s="14" t="s">
        <v>8608</v>
      </c>
      <c r="D1284" s="14" t="s">
        <v>8531</v>
      </c>
      <c r="E1284" s="14" t="s">
        <v>4930</v>
      </c>
      <c r="F1284" s="14" t="s">
        <v>4931</v>
      </c>
      <c r="G1284" s="14" t="s">
        <v>37</v>
      </c>
      <c r="H1284" s="14"/>
      <c r="I1284" s="14"/>
      <c r="J1284" s="14" t="s">
        <v>129</v>
      </c>
      <c r="K1284" s="14"/>
      <c r="L1284" s="14"/>
      <c r="M1284" s="14" t="s">
        <v>4932</v>
      </c>
      <c r="N1284" s="14"/>
      <c r="O1284" s="14" t="s">
        <v>4933</v>
      </c>
      <c r="P1284" s="14" t="str">
        <f>HYPERLINK("https://ceds.ed.gov/cedselementdetails.aspx?termid=18325")</f>
        <v>https://ceds.ed.gov/cedselementdetails.aspx?termid=18325</v>
      </c>
      <c r="Q1284" s="14" t="str">
        <f>HYPERLINK("https://ceds.ed.gov/elementComment.aspx?elementName=Health Screening Equipment Used &amp;elementID=18325", "Click here to submit comment")</f>
        <v>Click here to submit comment</v>
      </c>
      <c r="R1284" s="14">
        <v>51467</v>
      </c>
    </row>
    <row r="1285" spans="1:18" ht="45" x14ac:dyDescent="0.25">
      <c r="A1285" s="14" t="s">
        <v>8732</v>
      </c>
      <c r="B1285" s="14" t="s">
        <v>8813</v>
      </c>
      <c r="C1285" s="14" t="s">
        <v>8608</v>
      </c>
      <c r="D1285" s="14" t="s">
        <v>8531</v>
      </c>
      <c r="E1285" s="14" t="s">
        <v>4934</v>
      </c>
      <c r="F1285" s="14" t="s">
        <v>4935</v>
      </c>
      <c r="G1285" s="14" t="s">
        <v>37</v>
      </c>
      <c r="H1285" s="14"/>
      <c r="I1285" s="14"/>
      <c r="J1285" s="14" t="s">
        <v>382</v>
      </c>
      <c r="K1285" s="14"/>
      <c r="L1285" s="14"/>
      <c r="M1285" s="14" t="s">
        <v>4936</v>
      </c>
      <c r="N1285" s="14"/>
      <c r="O1285" s="14" t="s">
        <v>4937</v>
      </c>
      <c r="P1285" s="14" t="str">
        <f>HYPERLINK("https://ceds.ed.gov/cedselementdetails.aspx?termid=18326")</f>
        <v>https://ceds.ed.gov/cedselementdetails.aspx?termid=18326</v>
      </c>
      <c r="Q1285" s="14" t="str">
        <f>HYPERLINK("https://ceds.ed.gov/elementComment.aspx?elementName=Health Screening Follow-up Recommendation &amp;elementID=18326", "Click here to submit comment")</f>
        <v>Click here to submit comment</v>
      </c>
      <c r="R1285" s="14">
        <v>51468</v>
      </c>
    </row>
    <row r="1286" spans="1:18" ht="45" x14ac:dyDescent="0.25">
      <c r="A1286" s="14" t="s">
        <v>8732</v>
      </c>
      <c r="B1286" s="14" t="s">
        <v>8813</v>
      </c>
      <c r="C1286" s="14" t="s">
        <v>8616</v>
      </c>
      <c r="D1286" s="14" t="s">
        <v>8531</v>
      </c>
      <c r="E1286" s="14" t="s">
        <v>3501</v>
      </c>
      <c r="F1286" s="14" t="s">
        <v>3502</v>
      </c>
      <c r="G1286" s="14" t="s">
        <v>37</v>
      </c>
      <c r="H1286" s="14"/>
      <c r="I1286" s="14"/>
      <c r="J1286" s="14" t="s">
        <v>135</v>
      </c>
      <c r="K1286" s="14"/>
      <c r="L1286" s="14"/>
      <c r="M1286" s="14" t="s">
        <v>3504</v>
      </c>
      <c r="N1286" s="14"/>
      <c r="O1286" s="14" t="s">
        <v>3505</v>
      </c>
      <c r="P1286" s="14" t="str">
        <f>HYPERLINK("https://ceds.ed.gov/cedselementdetails.aspx?termid=17682")</f>
        <v>https://ceds.ed.gov/cedselementdetails.aspx?termid=17682</v>
      </c>
      <c r="Q1286" s="14" t="str">
        <f>HYPERLINK("https://ceds.ed.gov/elementComment.aspx?elementName=Dental Screening Date &amp;elementID=17682", "Click here to submit comment")</f>
        <v>Click here to submit comment</v>
      </c>
      <c r="R1286" s="14">
        <v>51710</v>
      </c>
    </row>
    <row r="1287" spans="1:18" ht="135" x14ac:dyDescent="0.25">
      <c r="A1287" s="14" t="s">
        <v>8732</v>
      </c>
      <c r="B1287" s="14" t="s">
        <v>8813</v>
      </c>
      <c r="C1287" s="14" t="s">
        <v>8616</v>
      </c>
      <c r="D1287" s="14" t="s">
        <v>8531</v>
      </c>
      <c r="E1287" s="14" t="s">
        <v>3506</v>
      </c>
      <c r="F1287" s="14" t="s">
        <v>3507</v>
      </c>
      <c r="G1287" s="8" t="s">
        <v>8617</v>
      </c>
      <c r="H1287" s="14" t="s">
        <v>2291</v>
      </c>
      <c r="I1287" s="14"/>
      <c r="J1287" s="14"/>
      <c r="K1287" s="14"/>
      <c r="L1287" s="14"/>
      <c r="M1287" s="14" t="s">
        <v>3509</v>
      </c>
      <c r="N1287" s="14"/>
      <c r="O1287" s="14" t="s">
        <v>3510</v>
      </c>
      <c r="P1287" s="14" t="str">
        <f>HYPERLINK("https://ceds.ed.gov/cedselementdetails.aspx?termid=17310")</f>
        <v>https://ceds.ed.gov/cedselementdetails.aspx?termid=17310</v>
      </c>
      <c r="Q1287" s="14" t="str">
        <f>HYPERLINK("https://ceds.ed.gov/elementComment.aspx?elementName=Dental Screening Status &amp;elementID=17310", "Click here to submit comment")</f>
        <v>Click here to submit comment</v>
      </c>
      <c r="R1287" s="14">
        <v>51711</v>
      </c>
    </row>
    <row r="1288" spans="1:18" ht="45" x14ac:dyDescent="0.25">
      <c r="A1288" s="14" t="s">
        <v>8732</v>
      </c>
      <c r="B1288" s="14" t="s">
        <v>8813</v>
      </c>
      <c r="C1288" s="14" t="s">
        <v>8615</v>
      </c>
      <c r="D1288" s="14" t="s">
        <v>8531</v>
      </c>
      <c r="E1288" s="14" t="s">
        <v>4938</v>
      </c>
      <c r="F1288" s="14" t="s">
        <v>4939</v>
      </c>
      <c r="G1288" s="14" t="s">
        <v>37</v>
      </c>
      <c r="H1288" s="14"/>
      <c r="I1288" s="14"/>
      <c r="J1288" s="14" t="s">
        <v>135</v>
      </c>
      <c r="K1288" s="14"/>
      <c r="L1288" s="14"/>
      <c r="M1288" s="14" t="s">
        <v>4941</v>
      </c>
      <c r="N1288" s="14"/>
      <c r="O1288" s="14" t="s">
        <v>4942</v>
      </c>
      <c r="P1288" s="14" t="str">
        <f>HYPERLINK("https://ceds.ed.gov/cedselementdetails.aspx?termid=17681")</f>
        <v>https://ceds.ed.gov/cedselementdetails.aspx?termid=17681</v>
      </c>
      <c r="Q1288" s="14" t="str">
        <f>HYPERLINK("https://ceds.ed.gov/elementComment.aspx?elementName=Hearing Screening Date &amp;elementID=17681", "Click here to submit comment")</f>
        <v>Click here to submit comment</v>
      </c>
      <c r="R1288" s="14">
        <v>50711</v>
      </c>
    </row>
    <row r="1289" spans="1:18" ht="60" x14ac:dyDescent="0.25">
      <c r="A1289" s="14" t="s">
        <v>8732</v>
      </c>
      <c r="B1289" s="14" t="s">
        <v>8813</v>
      </c>
      <c r="C1289" s="14" t="s">
        <v>8615</v>
      </c>
      <c r="D1289" s="14" t="s">
        <v>8531</v>
      </c>
      <c r="E1289" s="14" t="s">
        <v>4943</v>
      </c>
      <c r="F1289" s="14" t="s">
        <v>4944</v>
      </c>
      <c r="G1289" s="8" t="s">
        <v>8614</v>
      </c>
      <c r="H1289" s="14" t="s">
        <v>2291</v>
      </c>
      <c r="I1289" s="14"/>
      <c r="J1289" s="14"/>
      <c r="K1289" s="14"/>
      <c r="L1289" s="14"/>
      <c r="M1289" s="14" t="s">
        <v>4946</v>
      </c>
      <c r="N1289" s="14"/>
      <c r="O1289" s="14" t="s">
        <v>4947</v>
      </c>
      <c r="P1289" s="14" t="str">
        <f>HYPERLINK("https://ceds.ed.gov/cedselementdetails.aspx?termid=17309")</f>
        <v>https://ceds.ed.gov/cedselementdetails.aspx?termid=17309</v>
      </c>
      <c r="Q1289" s="14" t="str">
        <f>HYPERLINK("https://ceds.ed.gov/elementComment.aspx?elementName=Hearing Screening Status &amp;elementID=17309", "Click here to submit comment")</f>
        <v>Click here to submit comment</v>
      </c>
      <c r="R1289" s="14">
        <v>50712</v>
      </c>
    </row>
    <row r="1290" spans="1:18" ht="75" x14ac:dyDescent="0.25">
      <c r="A1290" s="14" t="s">
        <v>8732</v>
      </c>
      <c r="B1290" s="14" t="s">
        <v>8813</v>
      </c>
      <c r="C1290" s="14" t="s">
        <v>8612</v>
      </c>
      <c r="D1290" s="14" t="s">
        <v>8531</v>
      </c>
      <c r="E1290" s="14" t="s">
        <v>5194</v>
      </c>
      <c r="F1290" s="14" t="s">
        <v>5195</v>
      </c>
      <c r="G1290" s="14" t="s">
        <v>37</v>
      </c>
      <c r="H1290" s="14" t="s">
        <v>5199</v>
      </c>
      <c r="I1290" s="14"/>
      <c r="J1290" s="14" t="s">
        <v>135</v>
      </c>
      <c r="K1290" s="14"/>
      <c r="L1290" s="14"/>
      <c r="M1290" s="14" t="s">
        <v>5197</v>
      </c>
      <c r="N1290" s="14"/>
      <c r="O1290" s="14" t="s">
        <v>5198</v>
      </c>
      <c r="P1290" s="14" t="str">
        <f>HYPERLINK("https://ceds.ed.gov/cedselementdetails.aspx?termid=17306")</f>
        <v>https://ceds.ed.gov/cedselementdetails.aspx?termid=17306</v>
      </c>
      <c r="Q1290" s="14" t="str">
        <f>HYPERLINK("https://ceds.ed.gov/elementComment.aspx?elementName=Immunization Date &amp;elementID=17306", "Click here to submit comment")</f>
        <v>Click here to submit comment</v>
      </c>
      <c r="R1290" s="14">
        <v>48721</v>
      </c>
    </row>
    <row r="1291" spans="1:18" ht="345" x14ac:dyDescent="0.25">
      <c r="A1291" s="14" t="s">
        <v>8732</v>
      </c>
      <c r="B1291" s="14" t="s">
        <v>8813</v>
      </c>
      <c r="C1291" s="14" t="s">
        <v>8612</v>
      </c>
      <c r="D1291" s="14" t="s">
        <v>8531</v>
      </c>
      <c r="E1291" s="14" t="s">
        <v>5208</v>
      </c>
      <c r="F1291" s="14" t="s">
        <v>5209</v>
      </c>
      <c r="G1291" s="8" t="s">
        <v>8592</v>
      </c>
      <c r="H1291" s="14"/>
      <c r="I1291" s="14"/>
      <c r="J1291" s="14"/>
      <c r="K1291" s="14"/>
      <c r="L1291" s="14"/>
      <c r="M1291" s="14" t="s">
        <v>5211</v>
      </c>
      <c r="N1291" s="14"/>
      <c r="O1291" s="14" t="s">
        <v>5212</v>
      </c>
      <c r="P1291" s="14" t="str">
        <f>HYPERLINK("https://ceds.ed.gov/cedselementdetails.aspx?termid=18214")</f>
        <v>https://ceds.ed.gov/cedselementdetails.aspx?termid=18214</v>
      </c>
      <c r="Q1291" s="14" t="str">
        <f>HYPERLINK("https://ceds.ed.gov/elementComment.aspx?elementName=Immunization Type &amp;elementID=18214", "Click here to submit comment")</f>
        <v>Click here to submit comment</v>
      </c>
      <c r="R1291" s="14">
        <v>48720</v>
      </c>
    </row>
    <row r="1292" spans="1:18" ht="210" x14ac:dyDescent="0.25">
      <c r="A1292" s="14" t="s">
        <v>8732</v>
      </c>
      <c r="B1292" s="14" t="s">
        <v>8813</v>
      </c>
      <c r="C1292" s="14" t="s">
        <v>8618</v>
      </c>
      <c r="D1292" s="14" t="s">
        <v>8531</v>
      </c>
      <c r="E1292" s="14" t="s">
        <v>5543</v>
      </c>
      <c r="F1292" s="14" t="s">
        <v>5544</v>
      </c>
      <c r="G1292" s="8" t="s">
        <v>8619</v>
      </c>
      <c r="H1292" s="14" t="s">
        <v>3500</v>
      </c>
      <c r="I1292" s="14"/>
      <c r="J1292" s="14"/>
      <c r="K1292" s="14"/>
      <c r="L1292" s="14" t="s">
        <v>3497</v>
      </c>
      <c r="M1292" s="14" t="s">
        <v>5545</v>
      </c>
      <c r="N1292" s="14"/>
      <c r="O1292" s="14" t="s">
        <v>5546</v>
      </c>
      <c r="P1292" s="14" t="str">
        <f>HYPERLINK("https://ceds.ed.gov/cedselementdetails.aspx?termid=17334")</f>
        <v>https://ceds.ed.gov/cedselementdetails.aspx?termid=17334</v>
      </c>
      <c r="Q1292" s="14" t="str">
        <f>HYPERLINK("https://ceds.ed.gov/elementComment.aspx?elementName=Insurance Coverage &amp;elementID=17334", "Click here to submit comment")</f>
        <v>Click here to submit comment</v>
      </c>
      <c r="R1292" s="14">
        <v>51712</v>
      </c>
    </row>
    <row r="1293" spans="1:18" ht="210" x14ac:dyDescent="0.25">
      <c r="A1293" s="14" t="s">
        <v>8732</v>
      </c>
      <c r="B1293" s="14" t="s">
        <v>8813</v>
      </c>
      <c r="C1293" s="14" t="s">
        <v>8618</v>
      </c>
      <c r="D1293" s="14" t="s">
        <v>8531</v>
      </c>
      <c r="E1293" s="14" t="s">
        <v>3493</v>
      </c>
      <c r="F1293" s="14" t="s">
        <v>3494</v>
      </c>
      <c r="G1293" s="8" t="s">
        <v>8619</v>
      </c>
      <c r="H1293" s="14" t="s">
        <v>3500</v>
      </c>
      <c r="I1293" s="14"/>
      <c r="J1293" s="14"/>
      <c r="K1293" s="14"/>
      <c r="L1293" s="14" t="s">
        <v>3497</v>
      </c>
      <c r="M1293" s="14" t="s">
        <v>3498</v>
      </c>
      <c r="N1293" s="14"/>
      <c r="O1293" s="14" t="s">
        <v>3499</v>
      </c>
      <c r="P1293" s="14" t="str">
        <f>HYPERLINK("https://ceds.ed.gov/cedselementdetails.aspx?termid=17335")</f>
        <v>https://ceds.ed.gov/cedselementdetails.aspx?termid=17335</v>
      </c>
      <c r="Q1293" s="14" t="str">
        <f>HYPERLINK("https://ceds.ed.gov/elementComment.aspx?elementName=Dental Insurance Coverage Type &amp;elementID=17335", "Click here to submit comment")</f>
        <v>Click here to submit comment</v>
      </c>
      <c r="R1293" s="14">
        <v>51713</v>
      </c>
    </row>
    <row r="1294" spans="1:18" ht="45" x14ac:dyDescent="0.25">
      <c r="A1294" s="14" t="s">
        <v>8732</v>
      </c>
      <c r="B1294" s="14" t="s">
        <v>8813</v>
      </c>
      <c r="C1294" s="14" t="s">
        <v>8613</v>
      </c>
      <c r="D1294" s="14" t="s">
        <v>8531</v>
      </c>
      <c r="E1294" s="14" t="s">
        <v>8438</v>
      </c>
      <c r="F1294" s="14" t="s">
        <v>8439</v>
      </c>
      <c r="G1294" s="14" t="s">
        <v>37</v>
      </c>
      <c r="H1294" s="14"/>
      <c r="I1294" s="14"/>
      <c r="J1294" s="14" t="s">
        <v>135</v>
      </c>
      <c r="K1294" s="14"/>
      <c r="L1294" s="14"/>
      <c r="M1294" s="14" t="s">
        <v>8441</v>
      </c>
      <c r="N1294" s="14"/>
      <c r="O1294" s="14" t="s">
        <v>8442</v>
      </c>
      <c r="P1294" s="14" t="str">
        <f>HYPERLINK("https://ceds.ed.gov/cedselementdetails.aspx?termid=17680")</f>
        <v>https://ceds.ed.gov/cedselementdetails.aspx?termid=17680</v>
      </c>
      <c r="Q1294" s="14" t="str">
        <f>HYPERLINK("https://ceds.ed.gov/elementComment.aspx?elementName=Vision Screening Date &amp;elementID=17680", "Click here to submit comment")</f>
        <v>Click here to submit comment</v>
      </c>
      <c r="R1294" s="14">
        <v>50709</v>
      </c>
    </row>
    <row r="1295" spans="1:18" ht="60" x14ac:dyDescent="0.25">
      <c r="A1295" s="14" t="s">
        <v>8732</v>
      </c>
      <c r="B1295" s="14" t="s">
        <v>8813</v>
      </c>
      <c r="C1295" s="14" t="s">
        <v>8613</v>
      </c>
      <c r="D1295" s="14" t="s">
        <v>8531</v>
      </c>
      <c r="E1295" s="14" t="s">
        <v>8443</v>
      </c>
      <c r="F1295" s="14" t="s">
        <v>8444</v>
      </c>
      <c r="G1295" s="8" t="s">
        <v>8614</v>
      </c>
      <c r="H1295" s="14" t="s">
        <v>2291</v>
      </c>
      <c r="I1295" s="14"/>
      <c r="J1295" s="14"/>
      <c r="K1295" s="14"/>
      <c r="L1295" s="14"/>
      <c r="M1295" s="14" t="s">
        <v>8445</v>
      </c>
      <c r="N1295" s="14"/>
      <c r="O1295" s="14" t="s">
        <v>8446</v>
      </c>
      <c r="P1295" s="14" t="str">
        <f>HYPERLINK("https://ceds.ed.gov/cedselementdetails.aspx?termid=17308")</f>
        <v>https://ceds.ed.gov/cedselementdetails.aspx?termid=17308</v>
      </c>
      <c r="Q1295" s="14" t="str">
        <f>HYPERLINK("https://ceds.ed.gov/elementComment.aspx?elementName=Vision Screening Status &amp;elementID=17308", "Click here to submit comment")</f>
        <v>Click here to submit comment</v>
      </c>
      <c r="R1295" s="14">
        <v>50710</v>
      </c>
    </row>
    <row r="1296" spans="1:18" ht="105" x14ac:dyDescent="0.25">
      <c r="A1296" s="16" t="s">
        <v>8732</v>
      </c>
      <c r="B1296" s="16" t="s">
        <v>8813</v>
      </c>
      <c r="C1296" s="16" t="s">
        <v>8635</v>
      </c>
      <c r="D1296" s="16" t="s">
        <v>8531</v>
      </c>
      <c r="E1296" s="16" t="s">
        <v>6138</v>
      </c>
      <c r="F1296" s="16" t="s">
        <v>6139</v>
      </c>
      <c r="G1296" s="16" t="s">
        <v>37</v>
      </c>
      <c r="H1296" s="16" t="s">
        <v>6137</v>
      </c>
      <c r="I1296" s="16"/>
      <c r="J1296" s="16" t="s">
        <v>149</v>
      </c>
      <c r="K1296" s="16"/>
      <c r="L1296" s="14" t="s">
        <v>150</v>
      </c>
      <c r="M1296" s="16" t="s">
        <v>6140</v>
      </c>
      <c r="N1296" s="16" t="s">
        <v>6141</v>
      </c>
      <c r="O1296" s="16" t="s">
        <v>6142</v>
      </c>
      <c r="P1296" s="16" t="str">
        <f>HYPERLINK("https://ceds.ed.gov/cedselementdetails.aspx?termid=17153")</f>
        <v>https://ceds.ed.gov/cedselementdetails.aspx?termid=17153</v>
      </c>
      <c r="Q1296" s="16" t="str">
        <f>HYPERLINK("https://ceds.ed.gov/elementComment.aspx?elementName=Local Education Agency Identifier &amp;elementID=17153", "Click here to submit comment")</f>
        <v>Click here to submit comment</v>
      </c>
      <c r="R1296" s="16">
        <v>48773</v>
      </c>
    </row>
    <row r="1297" spans="1:18" x14ac:dyDescent="0.25">
      <c r="A1297" s="16"/>
      <c r="B1297" s="16"/>
      <c r="C1297" s="16"/>
      <c r="D1297" s="16"/>
      <c r="E1297" s="16"/>
      <c r="F1297" s="16"/>
      <c r="G1297" s="16"/>
      <c r="H1297" s="16"/>
      <c r="I1297" s="16"/>
      <c r="J1297" s="16"/>
      <c r="K1297" s="16"/>
      <c r="L1297" s="14"/>
      <c r="M1297" s="16"/>
      <c r="N1297" s="16"/>
      <c r="O1297" s="16"/>
      <c r="P1297" s="16"/>
      <c r="Q1297" s="16"/>
      <c r="R1297" s="16"/>
    </row>
    <row r="1298" spans="1:18" ht="90" x14ac:dyDescent="0.25">
      <c r="A1298" s="16"/>
      <c r="B1298" s="16"/>
      <c r="C1298" s="16"/>
      <c r="D1298" s="16"/>
      <c r="E1298" s="16"/>
      <c r="F1298" s="16"/>
      <c r="G1298" s="16"/>
      <c r="H1298" s="16"/>
      <c r="I1298" s="16"/>
      <c r="J1298" s="16"/>
      <c r="K1298" s="16"/>
      <c r="L1298" s="14" t="s">
        <v>153</v>
      </c>
      <c r="M1298" s="16"/>
      <c r="N1298" s="16"/>
      <c r="O1298" s="16"/>
      <c r="P1298" s="16"/>
      <c r="Q1298" s="16"/>
      <c r="R1298" s="16"/>
    </row>
    <row r="1299" spans="1:18" ht="240" x14ac:dyDescent="0.25">
      <c r="A1299" s="14" t="s">
        <v>8732</v>
      </c>
      <c r="B1299" s="14" t="s">
        <v>8813</v>
      </c>
      <c r="C1299" s="14" t="s">
        <v>8635</v>
      </c>
      <c r="D1299" s="14" t="s">
        <v>8531</v>
      </c>
      <c r="E1299" s="14" t="s">
        <v>6130</v>
      </c>
      <c r="F1299" s="14" t="s">
        <v>6131</v>
      </c>
      <c r="G1299" s="8" t="s">
        <v>8790</v>
      </c>
      <c r="H1299" s="14" t="s">
        <v>6137</v>
      </c>
      <c r="I1299" s="14"/>
      <c r="J1299" s="14"/>
      <c r="K1299" s="14"/>
      <c r="L1299" s="14"/>
      <c r="M1299" s="14" t="s">
        <v>6134</v>
      </c>
      <c r="N1299" s="14" t="s">
        <v>6135</v>
      </c>
      <c r="O1299" s="14" t="s">
        <v>6136</v>
      </c>
      <c r="P1299" s="14" t="str">
        <f>HYPERLINK("https://ceds.ed.gov/cedselementdetails.aspx?termid=17159")</f>
        <v>https://ceds.ed.gov/cedselementdetails.aspx?termid=17159</v>
      </c>
      <c r="Q1299" s="14" t="str">
        <f>HYPERLINK("https://ceds.ed.gov/elementComment.aspx?elementName=Local Education Agency Identification System &amp;elementID=17159", "Click here to submit comment")</f>
        <v>Click here to submit comment</v>
      </c>
      <c r="R1299" s="14">
        <v>48777</v>
      </c>
    </row>
    <row r="1300" spans="1:18" ht="105" x14ac:dyDescent="0.25">
      <c r="A1300" s="16" t="s">
        <v>8732</v>
      </c>
      <c r="B1300" s="16" t="s">
        <v>8813</v>
      </c>
      <c r="C1300" s="16" t="s">
        <v>8635</v>
      </c>
      <c r="D1300" s="16" t="s">
        <v>8531</v>
      </c>
      <c r="E1300" s="16" t="s">
        <v>7605</v>
      </c>
      <c r="F1300" s="16" t="s">
        <v>326</v>
      </c>
      <c r="G1300" s="16" t="s">
        <v>37</v>
      </c>
      <c r="H1300" s="16" t="s">
        <v>7604</v>
      </c>
      <c r="I1300" s="16"/>
      <c r="J1300" s="16" t="s">
        <v>149</v>
      </c>
      <c r="K1300" s="16"/>
      <c r="L1300" s="14" t="s">
        <v>150</v>
      </c>
      <c r="M1300" s="16" t="s">
        <v>7606</v>
      </c>
      <c r="N1300" s="16"/>
      <c r="O1300" s="16" t="s">
        <v>7607</v>
      </c>
      <c r="P1300" s="16" t="str">
        <f>HYPERLINK("https://ceds.ed.gov/cedselementdetails.aspx?termid=17155")</f>
        <v>https://ceds.ed.gov/cedselementdetails.aspx?termid=17155</v>
      </c>
      <c r="Q1300" s="16" t="str">
        <f>HYPERLINK("https://ceds.ed.gov/elementComment.aspx?elementName=School Identifier &amp;elementID=17155", "Click here to submit comment")</f>
        <v>Click here to submit comment</v>
      </c>
      <c r="R1300" s="16">
        <v>48774</v>
      </c>
    </row>
    <row r="1301" spans="1:18" x14ac:dyDescent="0.25">
      <c r="A1301" s="16"/>
      <c r="B1301" s="16"/>
      <c r="C1301" s="16"/>
      <c r="D1301" s="16"/>
      <c r="E1301" s="16"/>
      <c r="F1301" s="16"/>
      <c r="G1301" s="16"/>
      <c r="H1301" s="16"/>
      <c r="I1301" s="16"/>
      <c r="J1301" s="16"/>
      <c r="K1301" s="16"/>
      <c r="L1301" s="14"/>
      <c r="M1301" s="16"/>
      <c r="N1301" s="16"/>
      <c r="O1301" s="16"/>
      <c r="P1301" s="16"/>
      <c r="Q1301" s="16"/>
      <c r="R1301" s="16"/>
    </row>
    <row r="1302" spans="1:18" ht="90" x14ac:dyDescent="0.25">
      <c r="A1302" s="16"/>
      <c r="B1302" s="16"/>
      <c r="C1302" s="16"/>
      <c r="D1302" s="16"/>
      <c r="E1302" s="16"/>
      <c r="F1302" s="16"/>
      <c r="G1302" s="16"/>
      <c r="H1302" s="16"/>
      <c r="I1302" s="16"/>
      <c r="J1302" s="16"/>
      <c r="K1302" s="16"/>
      <c r="L1302" s="14" t="s">
        <v>153</v>
      </c>
      <c r="M1302" s="16"/>
      <c r="N1302" s="16"/>
      <c r="O1302" s="16"/>
      <c r="P1302" s="16"/>
      <c r="Q1302" s="16"/>
      <c r="R1302" s="16"/>
    </row>
    <row r="1303" spans="1:18" ht="270" x14ac:dyDescent="0.25">
      <c r="A1303" s="14" t="s">
        <v>8732</v>
      </c>
      <c r="B1303" s="14" t="s">
        <v>8813</v>
      </c>
      <c r="C1303" s="14" t="s">
        <v>8635</v>
      </c>
      <c r="D1303" s="14" t="s">
        <v>8531</v>
      </c>
      <c r="E1303" s="14" t="s">
        <v>7599</v>
      </c>
      <c r="F1303" s="14" t="s">
        <v>320</v>
      </c>
      <c r="G1303" s="8" t="s">
        <v>8736</v>
      </c>
      <c r="H1303" s="14" t="s">
        <v>7604</v>
      </c>
      <c r="I1303" s="14"/>
      <c r="J1303" s="14"/>
      <c r="K1303" s="14"/>
      <c r="L1303" s="14"/>
      <c r="M1303" s="14" t="s">
        <v>7602</v>
      </c>
      <c r="N1303" s="14"/>
      <c r="O1303" s="14" t="s">
        <v>7603</v>
      </c>
      <c r="P1303" s="14" t="str">
        <f>HYPERLINK("https://ceds.ed.gov/cedselementdetails.aspx?termid=17161")</f>
        <v>https://ceds.ed.gov/cedselementdetails.aspx?termid=17161</v>
      </c>
      <c r="Q1303" s="14" t="str">
        <f>HYPERLINK("https://ceds.ed.gov/elementComment.aspx?elementName=School Identification System &amp;elementID=17161", "Click here to submit comment")</f>
        <v>Click here to submit comment</v>
      </c>
      <c r="R1303" s="14">
        <v>48778</v>
      </c>
    </row>
    <row r="1304" spans="1:18" ht="255" x14ac:dyDescent="0.25">
      <c r="A1304" s="14" t="s">
        <v>8732</v>
      </c>
      <c r="B1304" s="14" t="s">
        <v>8813</v>
      </c>
      <c r="C1304" s="14" t="s">
        <v>8635</v>
      </c>
      <c r="D1304" s="14" t="s">
        <v>8531</v>
      </c>
      <c r="E1304" s="14" t="s">
        <v>6524</v>
      </c>
      <c r="F1304" s="14" t="s">
        <v>6525</v>
      </c>
      <c r="G1304" s="8" t="s">
        <v>8534</v>
      </c>
      <c r="H1304" s="14" t="s">
        <v>125</v>
      </c>
      <c r="I1304" s="14"/>
      <c r="J1304" s="14"/>
      <c r="K1304" s="14"/>
      <c r="L1304" s="14"/>
      <c r="M1304" s="14" t="s">
        <v>6528</v>
      </c>
      <c r="N1304" s="14"/>
      <c r="O1304" s="14" t="s">
        <v>6529</v>
      </c>
      <c r="P1304" s="14" t="str">
        <f>HYPERLINK("https://ceds.ed.gov/cedselementdetails.aspx?termid=17827")</f>
        <v>https://ceds.ed.gov/cedselementdetails.aspx?termid=17827</v>
      </c>
      <c r="Q1304" s="14" t="str">
        <f>HYPERLINK("https://ceds.ed.gov/elementComment.aspx?elementName=Organization Identification System &amp;elementID=17827", "Click here to submit comment")</f>
        <v>Click here to submit comment</v>
      </c>
      <c r="R1304" s="14">
        <v>51378</v>
      </c>
    </row>
    <row r="1305" spans="1:18" ht="105" x14ac:dyDescent="0.25">
      <c r="A1305" s="16" t="s">
        <v>8732</v>
      </c>
      <c r="B1305" s="16" t="s">
        <v>8813</v>
      </c>
      <c r="C1305" s="16" t="s">
        <v>8635</v>
      </c>
      <c r="D1305" s="16" t="s">
        <v>8531</v>
      </c>
      <c r="E1305" s="16" t="s">
        <v>7400</v>
      </c>
      <c r="F1305" s="16" t="s">
        <v>7401</v>
      </c>
      <c r="G1305" s="16" t="s">
        <v>37</v>
      </c>
      <c r="H1305" s="16" t="s">
        <v>258</v>
      </c>
      <c r="I1305" s="16"/>
      <c r="J1305" s="16" t="s">
        <v>149</v>
      </c>
      <c r="K1305" s="16"/>
      <c r="L1305" s="14" t="s">
        <v>150</v>
      </c>
      <c r="M1305" s="16" t="s">
        <v>7402</v>
      </c>
      <c r="N1305" s="16"/>
      <c r="O1305" s="16" t="s">
        <v>7403</v>
      </c>
      <c r="P1305" s="16" t="str">
        <f>HYPERLINK("https://ceds.ed.gov/cedselementdetails.aspx?termid=17639")</f>
        <v>https://ceds.ed.gov/cedselementdetails.aspx?termid=17639</v>
      </c>
      <c r="Q1305" s="16" t="str">
        <f>HYPERLINK("https://ceds.ed.gov/elementComment.aspx?elementName=Responsible District Identifier &amp;elementID=17639", "Click here to submit comment")</f>
        <v>Click here to submit comment</v>
      </c>
      <c r="R1305" s="16">
        <v>48905</v>
      </c>
    </row>
    <row r="1306" spans="1:18" x14ac:dyDescent="0.25">
      <c r="A1306" s="16"/>
      <c r="B1306" s="16"/>
      <c r="C1306" s="16"/>
      <c r="D1306" s="16"/>
      <c r="E1306" s="16"/>
      <c r="F1306" s="16"/>
      <c r="G1306" s="16"/>
      <c r="H1306" s="16"/>
      <c r="I1306" s="16"/>
      <c r="J1306" s="16"/>
      <c r="K1306" s="16"/>
      <c r="L1306" s="14"/>
      <c r="M1306" s="16"/>
      <c r="N1306" s="16"/>
      <c r="O1306" s="16"/>
      <c r="P1306" s="16"/>
      <c r="Q1306" s="16"/>
      <c r="R1306" s="16"/>
    </row>
    <row r="1307" spans="1:18" ht="90" x14ac:dyDescent="0.25">
      <c r="A1307" s="16"/>
      <c r="B1307" s="16"/>
      <c r="C1307" s="16"/>
      <c r="D1307" s="16"/>
      <c r="E1307" s="16"/>
      <c r="F1307" s="16"/>
      <c r="G1307" s="16"/>
      <c r="H1307" s="16"/>
      <c r="I1307" s="16"/>
      <c r="J1307" s="16"/>
      <c r="K1307" s="16"/>
      <c r="L1307" s="14" t="s">
        <v>153</v>
      </c>
      <c r="M1307" s="16"/>
      <c r="N1307" s="16"/>
      <c r="O1307" s="16"/>
      <c r="P1307" s="16"/>
      <c r="Q1307" s="16"/>
      <c r="R1307" s="16"/>
    </row>
    <row r="1308" spans="1:18" ht="120" x14ac:dyDescent="0.25">
      <c r="A1308" s="14" t="s">
        <v>8732</v>
      </c>
      <c r="B1308" s="14" t="s">
        <v>8813</v>
      </c>
      <c r="C1308" s="14" t="s">
        <v>8635</v>
      </c>
      <c r="D1308" s="14" t="s">
        <v>8531</v>
      </c>
      <c r="E1308" s="14" t="s">
        <v>7404</v>
      </c>
      <c r="F1308" s="14" t="s">
        <v>7405</v>
      </c>
      <c r="G1308" s="8" t="s">
        <v>8639</v>
      </c>
      <c r="H1308" s="14" t="s">
        <v>258</v>
      </c>
      <c r="I1308" s="14"/>
      <c r="J1308" s="14"/>
      <c r="K1308" s="14"/>
      <c r="L1308" s="14"/>
      <c r="M1308" s="14" t="s">
        <v>7407</v>
      </c>
      <c r="N1308" s="14"/>
      <c r="O1308" s="14" t="s">
        <v>7408</v>
      </c>
      <c r="P1308" s="14" t="str">
        <f>HYPERLINK("https://ceds.ed.gov/cedselementdetails.aspx?termid=17587")</f>
        <v>https://ceds.ed.gov/cedselementdetails.aspx?termid=17587</v>
      </c>
      <c r="Q1308" s="14" t="str">
        <f>HYPERLINK("https://ceds.ed.gov/elementComment.aspx?elementName=Responsible District Type &amp;elementID=17587", "Click here to submit comment")</f>
        <v>Click here to submit comment</v>
      </c>
      <c r="R1308" s="14">
        <v>48893</v>
      </c>
    </row>
    <row r="1309" spans="1:18" ht="105" x14ac:dyDescent="0.25">
      <c r="A1309" s="16" t="s">
        <v>8732</v>
      </c>
      <c r="B1309" s="16" t="s">
        <v>8813</v>
      </c>
      <c r="C1309" s="16" t="s">
        <v>8635</v>
      </c>
      <c r="D1309" s="16" t="s">
        <v>8531</v>
      </c>
      <c r="E1309" s="16" t="s">
        <v>7419</v>
      </c>
      <c r="F1309" s="16" t="s">
        <v>7420</v>
      </c>
      <c r="G1309" s="16" t="s">
        <v>37</v>
      </c>
      <c r="H1309" s="16" t="s">
        <v>258</v>
      </c>
      <c r="I1309" s="16"/>
      <c r="J1309" s="16" t="s">
        <v>149</v>
      </c>
      <c r="K1309" s="16"/>
      <c r="L1309" s="14" t="s">
        <v>150</v>
      </c>
      <c r="M1309" s="16" t="s">
        <v>7421</v>
      </c>
      <c r="N1309" s="16"/>
      <c r="O1309" s="16" t="s">
        <v>7422</v>
      </c>
      <c r="P1309" s="16" t="str">
        <f>HYPERLINK("https://ceds.ed.gov/cedselementdetails.aspx?termid=17640")</f>
        <v>https://ceds.ed.gov/cedselementdetails.aspx?termid=17640</v>
      </c>
      <c r="Q1309" s="16" t="str">
        <f>HYPERLINK("https://ceds.ed.gov/elementComment.aspx?elementName=Responsible School Identifier &amp;elementID=17640", "Click here to submit comment")</f>
        <v>Click here to submit comment</v>
      </c>
      <c r="R1309" s="16">
        <v>48906</v>
      </c>
    </row>
    <row r="1310" spans="1:18" x14ac:dyDescent="0.25">
      <c r="A1310" s="16"/>
      <c r="B1310" s="16"/>
      <c r="C1310" s="16"/>
      <c r="D1310" s="16"/>
      <c r="E1310" s="16"/>
      <c r="F1310" s="16"/>
      <c r="G1310" s="16"/>
      <c r="H1310" s="16"/>
      <c r="I1310" s="16"/>
      <c r="J1310" s="16"/>
      <c r="K1310" s="16"/>
      <c r="L1310" s="14"/>
      <c r="M1310" s="16"/>
      <c r="N1310" s="16"/>
      <c r="O1310" s="16"/>
      <c r="P1310" s="16"/>
      <c r="Q1310" s="16"/>
      <c r="R1310" s="16"/>
    </row>
    <row r="1311" spans="1:18" ht="90" x14ac:dyDescent="0.25">
      <c r="A1311" s="16"/>
      <c r="B1311" s="16"/>
      <c r="C1311" s="16"/>
      <c r="D1311" s="16"/>
      <c r="E1311" s="16"/>
      <c r="F1311" s="16"/>
      <c r="G1311" s="16"/>
      <c r="H1311" s="16"/>
      <c r="I1311" s="16"/>
      <c r="J1311" s="16"/>
      <c r="K1311" s="16"/>
      <c r="L1311" s="14" t="s">
        <v>153</v>
      </c>
      <c r="M1311" s="16"/>
      <c r="N1311" s="16"/>
      <c r="O1311" s="16"/>
      <c r="P1311" s="16"/>
      <c r="Q1311" s="16"/>
      <c r="R1311" s="16"/>
    </row>
    <row r="1312" spans="1:18" ht="120" x14ac:dyDescent="0.25">
      <c r="A1312" s="14" t="s">
        <v>8732</v>
      </c>
      <c r="B1312" s="14" t="s">
        <v>8813</v>
      </c>
      <c r="C1312" s="14" t="s">
        <v>8635</v>
      </c>
      <c r="D1312" s="14" t="s">
        <v>8531</v>
      </c>
      <c r="E1312" s="14" t="s">
        <v>7423</v>
      </c>
      <c r="F1312" s="14" t="s">
        <v>7424</v>
      </c>
      <c r="G1312" s="8" t="s">
        <v>8639</v>
      </c>
      <c r="H1312" s="14" t="s">
        <v>258</v>
      </c>
      <c r="I1312" s="14"/>
      <c r="J1312" s="14"/>
      <c r="K1312" s="14"/>
      <c r="L1312" s="14"/>
      <c r="M1312" s="14" t="s">
        <v>7425</v>
      </c>
      <c r="N1312" s="14"/>
      <c r="O1312" s="14" t="s">
        <v>7426</v>
      </c>
      <c r="P1312" s="14" t="str">
        <f>HYPERLINK("https://ceds.ed.gov/cedselementdetails.aspx?termid=17588")</f>
        <v>https://ceds.ed.gov/cedselementdetails.aspx?termid=17588</v>
      </c>
      <c r="Q1312" s="14" t="str">
        <f>HYPERLINK("https://ceds.ed.gov/elementComment.aspx?elementName=Responsible School Type &amp;elementID=17588", "Click here to submit comment")</f>
        <v>Click here to submit comment</v>
      </c>
      <c r="R1312" s="14">
        <v>48894</v>
      </c>
    </row>
    <row r="1313" spans="1:18" ht="60" x14ac:dyDescent="0.25">
      <c r="A1313" s="16" t="s">
        <v>8732</v>
      </c>
      <c r="B1313" s="16" t="s">
        <v>8813</v>
      </c>
      <c r="C1313" s="16" t="s">
        <v>8635</v>
      </c>
      <c r="D1313" s="16" t="s">
        <v>8531</v>
      </c>
      <c r="E1313" s="16" t="s">
        <v>7409</v>
      </c>
      <c r="F1313" s="16" t="s">
        <v>7410</v>
      </c>
      <c r="G1313" s="16" t="s">
        <v>37</v>
      </c>
      <c r="H1313" s="16"/>
      <c r="I1313" s="16"/>
      <c r="J1313" s="16" t="s">
        <v>149</v>
      </c>
      <c r="K1313" s="16"/>
      <c r="L1313" s="14" t="s">
        <v>7412</v>
      </c>
      <c r="M1313" s="16" t="s">
        <v>7413</v>
      </c>
      <c r="N1313" s="16"/>
      <c r="O1313" s="16" t="s">
        <v>7414</v>
      </c>
      <c r="P1313" s="16" t="str">
        <f>HYPERLINK("https://ceds.ed.gov/cedselementdetails.aspx?termid=18438")</f>
        <v>https://ceds.ed.gov/cedselementdetails.aspx?termid=18438</v>
      </c>
      <c r="Q1313" s="16" t="str">
        <f>HYPERLINK("https://ceds.ed.gov/elementComment.aspx?elementName=Responsible Organization Identifier &amp;elementID=18438", "Click here to submit comment")</f>
        <v>Click here to submit comment</v>
      </c>
      <c r="R1313" s="16">
        <v>51382</v>
      </c>
    </row>
    <row r="1314" spans="1:18" x14ac:dyDescent="0.25">
      <c r="A1314" s="16"/>
      <c r="B1314" s="16"/>
      <c r="C1314" s="16"/>
      <c r="D1314" s="16"/>
      <c r="E1314" s="16"/>
      <c r="F1314" s="16"/>
      <c r="G1314" s="16"/>
      <c r="H1314" s="16"/>
      <c r="I1314" s="16"/>
      <c r="J1314" s="16"/>
      <c r="K1314" s="16"/>
      <c r="L1314" s="14"/>
      <c r="M1314" s="16"/>
      <c r="N1314" s="16"/>
      <c r="O1314" s="16"/>
      <c r="P1314" s="16"/>
      <c r="Q1314" s="16"/>
      <c r="R1314" s="16"/>
    </row>
    <row r="1315" spans="1:18" ht="105" x14ac:dyDescent="0.25">
      <c r="A1315" s="16"/>
      <c r="B1315" s="16"/>
      <c r="C1315" s="16"/>
      <c r="D1315" s="16"/>
      <c r="E1315" s="16"/>
      <c r="F1315" s="16"/>
      <c r="G1315" s="16"/>
      <c r="H1315" s="16"/>
      <c r="I1315" s="16"/>
      <c r="J1315" s="16"/>
      <c r="K1315" s="16"/>
      <c r="L1315" s="14" t="s">
        <v>150</v>
      </c>
      <c r="M1315" s="16"/>
      <c r="N1315" s="16"/>
      <c r="O1315" s="16"/>
      <c r="P1315" s="16"/>
      <c r="Q1315" s="16"/>
      <c r="R1315" s="16"/>
    </row>
    <row r="1316" spans="1:18" x14ac:dyDescent="0.25">
      <c r="A1316" s="16"/>
      <c r="B1316" s="16"/>
      <c r="C1316" s="16"/>
      <c r="D1316" s="16"/>
      <c r="E1316" s="16"/>
      <c r="F1316" s="16"/>
      <c r="G1316" s="16"/>
      <c r="H1316" s="16"/>
      <c r="I1316" s="16"/>
      <c r="J1316" s="16"/>
      <c r="K1316" s="16"/>
      <c r="L1316" s="14"/>
      <c r="M1316" s="16"/>
      <c r="N1316" s="16"/>
      <c r="O1316" s="16"/>
      <c r="P1316" s="16"/>
      <c r="Q1316" s="16"/>
      <c r="R1316" s="16"/>
    </row>
    <row r="1317" spans="1:18" ht="90" x14ac:dyDescent="0.25">
      <c r="A1317" s="16"/>
      <c r="B1317" s="16"/>
      <c r="C1317" s="16"/>
      <c r="D1317" s="16"/>
      <c r="E1317" s="16"/>
      <c r="F1317" s="16"/>
      <c r="G1317" s="16"/>
      <c r="H1317" s="16"/>
      <c r="I1317" s="16"/>
      <c r="J1317" s="16"/>
      <c r="K1317" s="16"/>
      <c r="L1317" s="14" t="s">
        <v>153</v>
      </c>
      <c r="M1317" s="16"/>
      <c r="N1317" s="16"/>
      <c r="O1317" s="16"/>
      <c r="P1317" s="16"/>
      <c r="Q1317" s="16"/>
      <c r="R1317" s="16"/>
    </row>
    <row r="1318" spans="1:18" ht="120" x14ac:dyDescent="0.25">
      <c r="A1318" s="14" t="s">
        <v>8732</v>
      </c>
      <c r="B1318" s="14" t="s">
        <v>8813</v>
      </c>
      <c r="C1318" s="14" t="s">
        <v>8635</v>
      </c>
      <c r="D1318" s="14" t="s">
        <v>8531</v>
      </c>
      <c r="E1318" s="14" t="s">
        <v>7415</v>
      </c>
      <c r="F1318" s="14" t="s">
        <v>7416</v>
      </c>
      <c r="G1318" s="8" t="s">
        <v>8639</v>
      </c>
      <c r="H1318" s="14"/>
      <c r="I1318" s="14"/>
      <c r="J1318" s="14"/>
      <c r="K1318" s="14"/>
      <c r="L1318" s="14" t="s">
        <v>7412</v>
      </c>
      <c r="M1318" s="14" t="s">
        <v>7417</v>
      </c>
      <c r="N1318" s="14"/>
      <c r="O1318" s="14" t="s">
        <v>7418</v>
      </c>
      <c r="P1318" s="14" t="str">
        <f>HYPERLINK("https://ceds.ed.gov/cedselementdetails.aspx?termid=18439")</f>
        <v>https://ceds.ed.gov/cedselementdetails.aspx?termid=18439</v>
      </c>
      <c r="Q1318" s="14" t="str">
        <f>HYPERLINK("https://ceds.ed.gov/elementComment.aspx?elementName=Responsible Organization Type &amp;elementID=18439", "Click here to submit comment")</f>
        <v>Click here to submit comment</v>
      </c>
      <c r="R1318" s="14">
        <v>51385</v>
      </c>
    </row>
    <row r="1319" spans="1:18" ht="105" x14ac:dyDescent="0.25">
      <c r="A1319" s="14" t="s">
        <v>8732</v>
      </c>
      <c r="B1319" s="14" t="s">
        <v>8813</v>
      </c>
      <c r="C1319" s="14" t="s">
        <v>8635</v>
      </c>
      <c r="D1319" s="14" t="s">
        <v>8531</v>
      </c>
      <c r="E1319" s="14" t="s">
        <v>5707</v>
      </c>
      <c r="F1319" s="14" t="s">
        <v>5708</v>
      </c>
      <c r="G1319" s="8" t="s">
        <v>8817</v>
      </c>
      <c r="H1319" s="14"/>
      <c r="I1319" s="14"/>
      <c r="J1319" s="14"/>
      <c r="K1319" s="14"/>
      <c r="L1319" s="14"/>
      <c r="M1319" s="14" t="s">
        <v>5710</v>
      </c>
      <c r="N1319" s="14"/>
      <c r="O1319" s="14" t="s">
        <v>5711</v>
      </c>
      <c r="P1319" s="14" t="str">
        <f>HYPERLINK("https://ceds.ed.gov/cedselementdetails.aspx?termid=17690")</f>
        <v>https://ceds.ed.gov/cedselementdetails.aspx?termid=17690</v>
      </c>
      <c r="Q1319" s="14" t="str">
        <f>HYPERLINK("https://ceds.ed.gov/elementComment.aspx?elementName=Kindergarten Program Participation Type &amp;elementID=17690", "Click here to submit comment")</f>
        <v>Click here to submit comment</v>
      </c>
      <c r="R1319" s="14">
        <v>48914</v>
      </c>
    </row>
    <row r="1320" spans="1:18" ht="90" x14ac:dyDescent="0.25">
      <c r="A1320" s="14" t="s">
        <v>8732</v>
      </c>
      <c r="B1320" s="14" t="s">
        <v>8813</v>
      </c>
      <c r="C1320" s="14" t="s">
        <v>8635</v>
      </c>
      <c r="D1320" s="14" t="s">
        <v>8531</v>
      </c>
      <c r="E1320" s="14" t="s">
        <v>4751</v>
      </c>
      <c r="F1320" s="14" t="s">
        <v>4752</v>
      </c>
      <c r="G1320" s="14" t="s">
        <v>3430</v>
      </c>
      <c r="H1320" s="14" t="s">
        <v>72</v>
      </c>
      <c r="I1320" s="14"/>
      <c r="J1320" s="14"/>
      <c r="K1320" s="14"/>
      <c r="L1320" s="14"/>
      <c r="M1320" s="14" t="s">
        <v>4753</v>
      </c>
      <c r="N1320" s="14"/>
      <c r="O1320" s="14" t="s">
        <v>4754</v>
      </c>
      <c r="P1320" s="14" t="str">
        <f>HYPERLINK("https://ceds.ed.gov/cedselementdetails.aspx?termid=17122")</f>
        <v>https://ceds.ed.gov/cedselementdetails.aspx?termid=17122</v>
      </c>
      <c r="Q1320" s="14" t="str">
        <f>HYPERLINK("https://ceds.ed.gov/elementComment.aspx?elementName=Gifted and Talented Indicator &amp;elementID=17122", "Click here to submit comment")</f>
        <v>Click here to submit comment</v>
      </c>
      <c r="R1320" s="14">
        <v>48756</v>
      </c>
    </row>
    <row r="1321" spans="1:18" ht="75" x14ac:dyDescent="0.25">
      <c r="A1321" s="14" t="s">
        <v>8732</v>
      </c>
      <c r="B1321" s="14" t="s">
        <v>8813</v>
      </c>
      <c r="C1321" s="14" t="s">
        <v>8635</v>
      </c>
      <c r="D1321" s="14" t="s">
        <v>8531</v>
      </c>
      <c r="E1321" s="14" t="s">
        <v>4097</v>
      </c>
      <c r="F1321" s="14" t="s">
        <v>4098</v>
      </c>
      <c r="G1321" s="8" t="s">
        <v>8818</v>
      </c>
      <c r="H1321" s="14" t="s">
        <v>258</v>
      </c>
      <c r="I1321" s="14"/>
      <c r="J1321" s="14"/>
      <c r="K1321" s="14"/>
      <c r="L1321" s="14"/>
      <c r="M1321" s="14" t="s">
        <v>4100</v>
      </c>
      <c r="N1321" s="14"/>
      <c r="O1321" s="14" t="s">
        <v>4101</v>
      </c>
      <c r="P1321" s="14" t="str">
        <f>HYPERLINK("https://ceds.ed.gov/cedselementdetails.aspx?termid=17094")</f>
        <v>https://ceds.ed.gov/cedselementdetails.aspx?termid=17094</v>
      </c>
      <c r="Q1321" s="14" t="str">
        <f>HYPERLINK("https://ceds.ed.gov/elementComment.aspx?elementName=Enrollment Status &amp;elementID=17094", "Click here to submit comment")</f>
        <v>Click here to submit comment</v>
      </c>
      <c r="R1321" s="14">
        <v>48746</v>
      </c>
    </row>
    <row r="1322" spans="1:18" ht="195" x14ac:dyDescent="0.25">
      <c r="A1322" s="14" t="s">
        <v>8732</v>
      </c>
      <c r="B1322" s="14" t="s">
        <v>8813</v>
      </c>
      <c r="C1322" s="14" t="s">
        <v>8635</v>
      </c>
      <c r="D1322" s="14" t="s">
        <v>8531</v>
      </c>
      <c r="E1322" s="14" t="s">
        <v>4081</v>
      </c>
      <c r="F1322" s="14" t="s">
        <v>4082</v>
      </c>
      <c r="G1322" s="14" t="s">
        <v>37</v>
      </c>
      <c r="H1322" s="14" t="s">
        <v>4086</v>
      </c>
      <c r="I1322" s="14"/>
      <c r="J1322" s="14" t="s">
        <v>135</v>
      </c>
      <c r="K1322" s="14"/>
      <c r="L1322" s="14"/>
      <c r="M1322" s="14" t="s">
        <v>4084</v>
      </c>
      <c r="N1322" s="14"/>
      <c r="O1322" s="14" t="s">
        <v>4085</v>
      </c>
      <c r="P1322" s="14" t="str">
        <f>HYPERLINK("https://ceds.ed.gov/cedselementdetails.aspx?termid=17097")</f>
        <v>https://ceds.ed.gov/cedselementdetails.aspx?termid=17097</v>
      </c>
      <c r="Q1322" s="14" t="str">
        <f>HYPERLINK("https://ceds.ed.gov/elementComment.aspx?elementName=Enrollment Entry Date &amp;elementID=17097", "Click here to submit comment")</f>
        <v>Click here to submit comment</v>
      </c>
      <c r="R1322" s="14">
        <v>48747</v>
      </c>
    </row>
    <row r="1323" spans="1:18" ht="345" x14ac:dyDescent="0.25">
      <c r="A1323" s="14" t="s">
        <v>8732</v>
      </c>
      <c r="B1323" s="14" t="s">
        <v>8813</v>
      </c>
      <c r="C1323" s="14" t="s">
        <v>8635</v>
      </c>
      <c r="D1323" s="14" t="s">
        <v>8531</v>
      </c>
      <c r="E1323" s="14" t="s">
        <v>4107</v>
      </c>
      <c r="F1323" s="14" t="s">
        <v>4108</v>
      </c>
      <c r="G1323" s="8" t="s">
        <v>8819</v>
      </c>
      <c r="H1323" s="14" t="s">
        <v>2157</v>
      </c>
      <c r="I1323" s="14" t="s">
        <v>195</v>
      </c>
      <c r="J1323" s="14"/>
      <c r="K1323" s="14" t="s">
        <v>2266</v>
      </c>
      <c r="L1323" s="14"/>
      <c r="M1323" s="14" t="s">
        <v>4111</v>
      </c>
      <c r="N1323" s="14"/>
      <c r="O1323" s="14" t="s">
        <v>4112</v>
      </c>
      <c r="P1323" s="14" t="str">
        <f>HYPERLINK("https://ceds.ed.gov/cedselementdetails.aspx?termid=17100")</f>
        <v>https://ceds.ed.gov/cedselementdetails.aspx?termid=17100</v>
      </c>
      <c r="Q1323" s="14" t="str">
        <f>HYPERLINK("https://ceds.ed.gov/elementComment.aspx?elementName=Entry Grade Level &amp;elementID=17100", "Click here to submit comment")</f>
        <v>Click here to submit comment</v>
      </c>
      <c r="R1323" s="14">
        <v>48749</v>
      </c>
    </row>
    <row r="1324" spans="1:18" ht="409.5" x14ac:dyDescent="0.25">
      <c r="A1324" s="14" t="s">
        <v>8732</v>
      </c>
      <c r="B1324" s="14" t="s">
        <v>8813</v>
      </c>
      <c r="C1324" s="14" t="s">
        <v>8635</v>
      </c>
      <c r="D1324" s="14" t="s">
        <v>8531</v>
      </c>
      <c r="E1324" s="14" t="s">
        <v>4113</v>
      </c>
      <c r="F1324" s="14" t="s">
        <v>4114</v>
      </c>
      <c r="G1324" s="8" t="s">
        <v>8820</v>
      </c>
      <c r="H1324" s="14" t="s">
        <v>72</v>
      </c>
      <c r="I1324" s="14"/>
      <c r="J1324" s="14"/>
      <c r="K1324" s="14"/>
      <c r="L1324" s="14"/>
      <c r="M1324" s="14" t="s">
        <v>4116</v>
      </c>
      <c r="N1324" s="14"/>
      <c r="O1324" s="14" t="s">
        <v>4117</v>
      </c>
      <c r="P1324" s="14" t="str">
        <f>HYPERLINK("https://ceds.ed.gov/cedselementdetails.aspx?termid=17099")</f>
        <v>https://ceds.ed.gov/cedselementdetails.aspx?termid=17099</v>
      </c>
      <c r="Q1324" s="14" t="str">
        <f>HYPERLINK("https://ceds.ed.gov/elementComment.aspx?elementName=Entry Type &amp;elementID=17099", "Click here to submit comment")</f>
        <v>Click here to submit comment</v>
      </c>
      <c r="R1324" s="14">
        <v>48748</v>
      </c>
    </row>
    <row r="1325" spans="1:18" ht="75" x14ac:dyDescent="0.25">
      <c r="A1325" s="14" t="s">
        <v>8732</v>
      </c>
      <c r="B1325" s="14" t="s">
        <v>8813</v>
      </c>
      <c r="C1325" s="14" t="s">
        <v>8635</v>
      </c>
      <c r="D1325" s="14" t="s">
        <v>8531</v>
      </c>
      <c r="E1325" s="14" t="s">
        <v>4087</v>
      </c>
      <c r="F1325" s="14" t="s">
        <v>4088</v>
      </c>
      <c r="G1325" s="14" t="s">
        <v>37</v>
      </c>
      <c r="H1325" s="14" t="s">
        <v>65</v>
      </c>
      <c r="I1325" s="14"/>
      <c r="J1325" s="14" t="s">
        <v>135</v>
      </c>
      <c r="K1325" s="14"/>
      <c r="L1325" s="14" t="s">
        <v>160</v>
      </c>
      <c r="M1325" s="14" t="s">
        <v>4090</v>
      </c>
      <c r="N1325" s="14"/>
      <c r="O1325" s="14" t="s">
        <v>4091</v>
      </c>
      <c r="P1325" s="14" t="str">
        <f>HYPERLINK("https://ceds.ed.gov/cedselementdetails.aspx?termid=17107")</f>
        <v>https://ceds.ed.gov/cedselementdetails.aspx?termid=17107</v>
      </c>
      <c r="Q1325" s="14" t="str">
        <f>HYPERLINK("https://ceds.ed.gov/elementComment.aspx?elementName=Enrollment Exit Date &amp;elementID=17107", "Click here to submit comment")</f>
        <v>Click here to submit comment</v>
      </c>
      <c r="R1325" s="14">
        <v>48750</v>
      </c>
    </row>
    <row r="1326" spans="1:18" ht="330" x14ac:dyDescent="0.25">
      <c r="A1326" s="14" t="s">
        <v>8732</v>
      </c>
      <c r="B1326" s="14" t="s">
        <v>8813</v>
      </c>
      <c r="C1326" s="14" t="s">
        <v>8635</v>
      </c>
      <c r="D1326" s="14" t="s">
        <v>8531</v>
      </c>
      <c r="E1326" s="14" t="s">
        <v>4118</v>
      </c>
      <c r="F1326" s="14" t="s">
        <v>4119</v>
      </c>
      <c r="G1326" s="8" t="s">
        <v>8821</v>
      </c>
      <c r="H1326" s="14"/>
      <c r="I1326" s="14"/>
      <c r="J1326" s="14"/>
      <c r="K1326" s="14"/>
      <c r="L1326" s="14"/>
      <c r="M1326" s="14" t="s">
        <v>4121</v>
      </c>
      <c r="N1326" s="14"/>
      <c r="O1326" s="14" t="s">
        <v>4122</v>
      </c>
      <c r="P1326" s="14" t="str">
        <f>HYPERLINK("https://ceds.ed.gov/cedselementdetails.aspx?termid=18177")</f>
        <v>https://ceds.ed.gov/cedselementdetails.aspx?termid=18177</v>
      </c>
      <c r="Q1326" s="14" t="str">
        <f>HYPERLINK("https://ceds.ed.gov/elementComment.aspx?elementName=Exit Grade Level &amp;elementID=18177", "Click here to submit comment")</f>
        <v>Click here to submit comment</v>
      </c>
      <c r="R1326" s="14">
        <v>48623</v>
      </c>
    </row>
    <row r="1327" spans="1:18" ht="150" x14ac:dyDescent="0.25">
      <c r="A1327" s="16" t="s">
        <v>8732</v>
      </c>
      <c r="B1327" s="16" t="s">
        <v>8813</v>
      </c>
      <c r="C1327" s="16" t="s">
        <v>8635</v>
      </c>
      <c r="D1327" s="16" t="s">
        <v>8531</v>
      </c>
      <c r="E1327" s="16" t="s">
        <v>4129</v>
      </c>
      <c r="F1327" s="16" t="s">
        <v>4130</v>
      </c>
      <c r="G1327" s="18" t="s">
        <v>8822</v>
      </c>
      <c r="H1327" s="16" t="s">
        <v>4136</v>
      </c>
      <c r="I1327" s="16" t="s">
        <v>195</v>
      </c>
      <c r="J1327" s="16"/>
      <c r="K1327" s="16" t="s">
        <v>4132</v>
      </c>
      <c r="L1327" s="14" t="s">
        <v>4133</v>
      </c>
      <c r="M1327" s="16" t="s">
        <v>4134</v>
      </c>
      <c r="N1327" s="16"/>
      <c r="O1327" s="16" t="s">
        <v>4135</v>
      </c>
      <c r="P1327" s="16" t="str">
        <f>HYPERLINK("https://ceds.ed.gov/cedselementdetails.aspx?termid=17110")</f>
        <v>https://ceds.ed.gov/cedselementdetails.aspx?termid=17110</v>
      </c>
      <c r="Q1327" s="16" t="str">
        <f>HYPERLINK("https://ceds.ed.gov/elementComment.aspx?elementName=Exit or Withdrawal Type &amp;elementID=17110", "Click here to submit comment")</f>
        <v>Click here to submit comment</v>
      </c>
      <c r="R1327" s="16">
        <v>48752</v>
      </c>
    </row>
    <row r="1328" spans="1:18" ht="60" x14ac:dyDescent="0.25">
      <c r="A1328" s="16"/>
      <c r="B1328" s="16"/>
      <c r="C1328" s="16"/>
      <c r="D1328" s="16"/>
      <c r="E1328" s="16"/>
      <c r="F1328" s="16"/>
      <c r="G1328" s="16"/>
      <c r="H1328" s="16"/>
      <c r="I1328" s="16"/>
      <c r="J1328" s="16"/>
      <c r="K1328" s="16"/>
      <c r="L1328" s="14" t="s">
        <v>4137</v>
      </c>
      <c r="M1328" s="16"/>
      <c r="N1328" s="16"/>
      <c r="O1328" s="16"/>
      <c r="P1328" s="16"/>
      <c r="Q1328" s="16"/>
      <c r="R1328" s="16"/>
    </row>
    <row r="1329" spans="1:18" ht="60" x14ac:dyDescent="0.25">
      <c r="A1329" s="16"/>
      <c r="B1329" s="16"/>
      <c r="C1329" s="16"/>
      <c r="D1329" s="16"/>
      <c r="E1329" s="16"/>
      <c r="F1329" s="16"/>
      <c r="G1329" s="16"/>
      <c r="H1329" s="16"/>
      <c r="I1329" s="16"/>
      <c r="J1329" s="16"/>
      <c r="K1329" s="16"/>
      <c r="L1329" s="14" t="s">
        <v>4138</v>
      </c>
      <c r="M1329" s="16"/>
      <c r="N1329" s="16"/>
      <c r="O1329" s="16"/>
      <c r="P1329" s="16"/>
      <c r="Q1329" s="16"/>
      <c r="R1329" s="16"/>
    </row>
    <row r="1330" spans="1:18" ht="120" x14ac:dyDescent="0.25">
      <c r="A1330" s="16"/>
      <c r="B1330" s="16"/>
      <c r="C1330" s="16"/>
      <c r="D1330" s="16"/>
      <c r="E1330" s="16"/>
      <c r="F1330" s="16"/>
      <c r="G1330" s="16"/>
      <c r="H1330" s="16"/>
      <c r="I1330" s="16"/>
      <c r="J1330" s="16"/>
      <c r="K1330" s="16"/>
      <c r="L1330" s="14" t="s">
        <v>4139</v>
      </c>
      <c r="M1330" s="16"/>
      <c r="N1330" s="16"/>
      <c r="O1330" s="16"/>
      <c r="P1330" s="16"/>
      <c r="Q1330" s="16"/>
      <c r="R1330" s="16"/>
    </row>
    <row r="1331" spans="1:18" ht="135" x14ac:dyDescent="0.25">
      <c r="A1331" s="16"/>
      <c r="B1331" s="16"/>
      <c r="C1331" s="16"/>
      <c r="D1331" s="16"/>
      <c r="E1331" s="16"/>
      <c r="F1331" s="16"/>
      <c r="G1331" s="16"/>
      <c r="H1331" s="16"/>
      <c r="I1331" s="16"/>
      <c r="J1331" s="16"/>
      <c r="K1331" s="16"/>
      <c r="L1331" s="14" t="s">
        <v>4140</v>
      </c>
      <c r="M1331" s="16"/>
      <c r="N1331" s="16"/>
      <c r="O1331" s="16"/>
      <c r="P1331" s="16"/>
      <c r="Q1331" s="16"/>
      <c r="R1331" s="16"/>
    </row>
    <row r="1332" spans="1:18" ht="60" x14ac:dyDescent="0.25">
      <c r="A1332" s="14" t="s">
        <v>8732</v>
      </c>
      <c r="B1332" s="14" t="s">
        <v>8813</v>
      </c>
      <c r="C1332" s="14" t="s">
        <v>8635</v>
      </c>
      <c r="D1332" s="14" t="s">
        <v>8531</v>
      </c>
      <c r="E1332" s="14" t="s">
        <v>4123</v>
      </c>
      <c r="F1332" s="14" t="s">
        <v>4124</v>
      </c>
      <c r="G1332" s="8" t="s">
        <v>8823</v>
      </c>
      <c r="H1332" s="14" t="s">
        <v>3056</v>
      </c>
      <c r="I1332" s="14"/>
      <c r="J1332" s="14"/>
      <c r="K1332" s="14"/>
      <c r="L1332" s="14"/>
      <c r="M1332" s="14" t="s">
        <v>4127</v>
      </c>
      <c r="N1332" s="14"/>
      <c r="O1332" s="14" t="s">
        <v>4128</v>
      </c>
      <c r="P1332" s="14" t="str">
        <f>HYPERLINK("https://ceds.ed.gov/cedselementdetails.aspx?termid=17108")</f>
        <v>https://ceds.ed.gov/cedselementdetails.aspx?termid=17108</v>
      </c>
      <c r="Q1332" s="14" t="str">
        <f>HYPERLINK("https://ceds.ed.gov/elementComment.aspx?elementName=Exit or Withdrawal Status &amp;elementID=17108", "Click here to submit comment")</f>
        <v>Click here to submit comment</v>
      </c>
      <c r="R1332" s="14">
        <v>48751</v>
      </c>
    </row>
    <row r="1333" spans="1:18" ht="60" x14ac:dyDescent="0.25">
      <c r="A1333" s="14" t="s">
        <v>8732</v>
      </c>
      <c r="B1333" s="14" t="s">
        <v>8813</v>
      </c>
      <c r="C1333" s="14" t="s">
        <v>8635</v>
      </c>
      <c r="D1333" s="14" t="s">
        <v>8531</v>
      </c>
      <c r="E1333" s="14" t="s">
        <v>2411</v>
      </c>
      <c r="F1333" s="14" t="s">
        <v>2412</v>
      </c>
      <c r="G1333" s="14" t="s">
        <v>37</v>
      </c>
      <c r="H1333" s="14" t="s">
        <v>2232</v>
      </c>
      <c r="I1333" s="14"/>
      <c r="J1333" s="14" t="s">
        <v>2094</v>
      </c>
      <c r="K1333" s="14"/>
      <c r="L1333" s="14"/>
      <c r="M1333" s="14" t="s">
        <v>2414</v>
      </c>
      <c r="N1333" s="14"/>
      <c r="O1333" s="14" t="s">
        <v>2415</v>
      </c>
      <c r="P1333" s="14" t="str">
        <f>HYPERLINK("https://ceds.ed.gov/cedselementdetails.aspx?termid=17046")</f>
        <v>https://ceds.ed.gov/cedselementdetails.aspx?termid=17046</v>
      </c>
      <c r="Q1333" s="14" t="str">
        <f>HYPERLINK("https://ceds.ed.gov/elementComment.aspx?elementName=Cohort Year &amp;elementID=17046", "Click here to submit comment")</f>
        <v>Click here to submit comment</v>
      </c>
      <c r="R1333" s="14">
        <v>48000</v>
      </c>
    </row>
    <row r="1334" spans="1:18" ht="45" x14ac:dyDescent="0.25">
      <c r="A1334" s="14" t="s">
        <v>8732</v>
      </c>
      <c r="B1334" s="14" t="s">
        <v>8813</v>
      </c>
      <c r="C1334" s="14" t="s">
        <v>8635</v>
      </c>
      <c r="D1334" s="14" t="s">
        <v>8531</v>
      </c>
      <c r="E1334" s="14" t="s">
        <v>2405</v>
      </c>
      <c r="F1334" s="14" t="s">
        <v>2406</v>
      </c>
      <c r="G1334" s="14" t="s">
        <v>37</v>
      </c>
      <c r="H1334" s="14" t="s">
        <v>2410</v>
      </c>
      <c r="I1334" s="14"/>
      <c r="J1334" s="14" t="s">
        <v>2094</v>
      </c>
      <c r="K1334" s="14"/>
      <c r="L1334" s="14"/>
      <c r="M1334" s="14" t="s">
        <v>2408</v>
      </c>
      <c r="N1334" s="14"/>
      <c r="O1334" s="14" t="s">
        <v>2409</v>
      </c>
      <c r="P1334" s="14" t="str">
        <f>HYPERLINK("https://ceds.ed.gov/cedselementdetails.aspx?termid=17577")</f>
        <v>https://ceds.ed.gov/cedselementdetails.aspx?termid=17577</v>
      </c>
      <c r="Q1334" s="14" t="str">
        <f>HYPERLINK("https://ceds.ed.gov/elementComment.aspx?elementName=Cohort Graduation Year &amp;elementID=17577", "Click here to submit comment")</f>
        <v>Click here to submit comment</v>
      </c>
      <c r="R1334" s="14">
        <v>48888</v>
      </c>
    </row>
    <row r="1335" spans="1:18" ht="60" x14ac:dyDescent="0.25">
      <c r="A1335" s="14" t="s">
        <v>8732</v>
      </c>
      <c r="B1335" s="14" t="s">
        <v>8813</v>
      </c>
      <c r="C1335" s="14" t="s">
        <v>8635</v>
      </c>
      <c r="D1335" s="14" t="s">
        <v>8531</v>
      </c>
      <c r="E1335" s="14" t="s">
        <v>4739</v>
      </c>
      <c r="F1335" s="14" t="s">
        <v>4740</v>
      </c>
      <c r="G1335" s="14" t="s">
        <v>24</v>
      </c>
      <c r="H1335" s="14" t="s">
        <v>28</v>
      </c>
      <c r="I1335" s="14"/>
      <c r="J1335" s="14"/>
      <c r="K1335" s="14"/>
      <c r="L1335" s="14"/>
      <c r="M1335" s="14" t="s">
        <v>4741</v>
      </c>
      <c r="N1335" s="14"/>
      <c r="O1335" s="14" t="s">
        <v>4742</v>
      </c>
      <c r="P1335" s="14" t="str">
        <f>HYPERLINK("https://ceds.ed.gov/cedselementdetails.aspx?termid=17120")</f>
        <v>https://ceds.ed.gov/cedselementdetails.aspx?termid=17120</v>
      </c>
      <c r="Q1335" s="14" t="str">
        <f>HYPERLINK("https://ceds.ed.gov/elementComment.aspx?elementName=GED Preparation Program Participation Status &amp;elementID=17120", "Click here to submit comment")</f>
        <v>Click here to submit comment</v>
      </c>
      <c r="R1335" s="14">
        <v>48754</v>
      </c>
    </row>
    <row r="1336" spans="1:18" ht="45" x14ac:dyDescent="0.25">
      <c r="A1336" s="14" t="s">
        <v>8732</v>
      </c>
      <c r="B1336" s="14" t="s">
        <v>8813</v>
      </c>
      <c r="C1336" s="14" t="s">
        <v>8635</v>
      </c>
      <c r="D1336" s="14" t="s">
        <v>8531</v>
      </c>
      <c r="E1336" s="14" t="s">
        <v>3633</v>
      </c>
      <c r="F1336" s="14" t="s">
        <v>3634</v>
      </c>
      <c r="G1336" s="14" t="s">
        <v>24</v>
      </c>
      <c r="H1336" s="14"/>
      <c r="I1336" s="14"/>
      <c r="J1336" s="14"/>
      <c r="K1336" s="14"/>
      <c r="L1336" s="14"/>
      <c r="M1336" s="14" t="s">
        <v>3636</v>
      </c>
      <c r="N1336" s="14"/>
      <c r="O1336" s="14" t="s">
        <v>3637</v>
      </c>
      <c r="P1336" s="14" t="str">
        <f>HYPERLINK("https://ceds.ed.gov/cedselementdetails.aspx?termid=17603")</f>
        <v>https://ceds.ed.gov/cedselementdetails.aspx?termid=17603</v>
      </c>
      <c r="Q1336" s="14" t="str">
        <f>HYPERLINK("https://ceds.ed.gov/elementComment.aspx?elementName=Displaced Student Status &amp;elementID=17603", "Click here to submit comment")</f>
        <v>Click here to submit comment</v>
      </c>
      <c r="R1336" s="14">
        <v>48899</v>
      </c>
    </row>
    <row r="1337" spans="1:18" ht="135" x14ac:dyDescent="0.25">
      <c r="A1337" s="14" t="s">
        <v>8732</v>
      </c>
      <c r="B1337" s="14" t="s">
        <v>8813</v>
      </c>
      <c r="C1337" s="14" t="s">
        <v>8635</v>
      </c>
      <c r="D1337" s="14" t="s">
        <v>8531</v>
      </c>
      <c r="E1337" s="14" t="s">
        <v>8375</v>
      </c>
      <c r="F1337" s="14" t="s">
        <v>8376</v>
      </c>
      <c r="G1337" s="14" t="s">
        <v>24</v>
      </c>
      <c r="H1337" s="14" t="s">
        <v>258</v>
      </c>
      <c r="I1337" s="14"/>
      <c r="J1337" s="14"/>
      <c r="K1337" s="14"/>
      <c r="L1337" s="6" t="s">
        <v>8377</v>
      </c>
      <c r="M1337" s="14" t="s">
        <v>8378</v>
      </c>
      <c r="N1337" s="14"/>
      <c r="O1337" s="14" t="s">
        <v>8379</v>
      </c>
      <c r="P1337" s="14" t="str">
        <f>HYPERLINK("https://ceds.ed.gov/cedselementdetails.aspx?termid=17561")</f>
        <v>https://ceds.ed.gov/cedselementdetails.aspx?termid=17561</v>
      </c>
      <c r="Q1337" s="14" t="str">
        <f>HYPERLINK("https://ceds.ed.gov/elementComment.aspx?elementName=Truant Status &amp;elementID=17561", "Click here to submit comment")</f>
        <v>Click here to submit comment</v>
      </c>
      <c r="R1337" s="14">
        <v>48879</v>
      </c>
    </row>
    <row r="1338" spans="1:18" ht="75" x14ac:dyDescent="0.25">
      <c r="A1338" s="14" t="s">
        <v>8732</v>
      </c>
      <c r="B1338" s="14" t="s">
        <v>8813</v>
      </c>
      <c r="C1338" s="14" t="s">
        <v>8635</v>
      </c>
      <c r="D1338" s="14" t="s">
        <v>8531</v>
      </c>
      <c r="E1338" s="14" t="s">
        <v>3558</v>
      </c>
      <c r="F1338" s="14" t="s">
        <v>3559</v>
      </c>
      <c r="G1338" s="8" t="s">
        <v>8824</v>
      </c>
      <c r="H1338" s="14" t="s">
        <v>3564</v>
      </c>
      <c r="I1338" s="14"/>
      <c r="J1338" s="14"/>
      <c r="K1338" s="14"/>
      <c r="L1338" s="14"/>
      <c r="M1338" s="14" t="s">
        <v>3562</v>
      </c>
      <c r="N1338" s="14"/>
      <c r="O1338" s="14" t="s">
        <v>3563</v>
      </c>
      <c r="P1338" s="14" t="str">
        <f>HYPERLINK("https://ceds.ed.gov/cedselementdetails.aspx?termid=18569")</f>
        <v>https://ceds.ed.gov/cedselementdetails.aspx?termid=18569</v>
      </c>
      <c r="Q1338" s="14" t="str">
        <f>HYPERLINK("https://ceds.ed.gov/elementComment.aspx?elementName=Directory Information Block Status &amp;elementID=18569", "Click here to submit comment")</f>
        <v>Click here to submit comment</v>
      </c>
      <c r="R1338" s="14">
        <v>51143</v>
      </c>
    </row>
    <row r="1339" spans="1:18" ht="409.5" x14ac:dyDescent="0.25">
      <c r="A1339" s="14" t="s">
        <v>8732</v>
      </c>
      <c r="B1339" s="14" t="s">
        <v>8813</v>
      </c>
      <c r="C1339" s="14" t="s">
        <v>8635</v>
      </c>
      <c r="D1339" s="14" t="s">
        <v>8531</v>
      </c>
      <c r="E1339" s="14" t="s">
        <v>7087</v>
      </c>
      <c r="F1339" s="14" t="s">
        <v>7088</v>
      </c>
      <c r="G1339" s="8" t="s">
        <v>8754</v>
      </c>
      <c r="H1339" s="14"/>
      <c r="I1339" s="14"/>
      <c r="J1339" s="14"/>
      <c r="K1339" s="14"/>
      <c r="L1339" s="14"/>
      <c r="M1339" s="14" t="s">
        <v>7091</v>
      </c>
      <c r="N1339" s="14"/>
      <c r="O1339" s="14" t="s">
        <v>7092</v>
      </c>
      <c r="P1339" s="14" t="str">
        <f>HYPERLINK("https://ceds.ed.gov/cedselementdetails.aspx?termid=18210")</f>
        <v>https://ceds.ed.gov/cedselementdetails.aspx?termid=18210</v>
      </c>
      <c r="Q1339" s="14" t="str">
        <f>HYPERLINK("https://ceds.ed.gov/elementComment.aspx?elementName=Program Gifted Eligibility Criteria &amp;elementID=18210", "Click here to submit comment")</f>
        <v>Click here to submit comment</v>
      </c>
      <c r="R1339" s="14">
        <v>50695</v>
      </c>
    </row>
    <row r="1340" spans="1:18" ht="90" x14ac:dyDescent="0.25">
      <c r="A1340" s="14" t="s">
        <v>8732</v>
      </c>
      <c r="B1340" s="14" t="s">
        <v>8813</v>
      </c>
      <c r="C1340" s="14" t="s">
        <v>8635</v>
      </c>
      <c r="D1340" s="14" t="s">
        <v>8531</v>
      </c>
      <c r="E1340" s="14" t="s">
        <v>8060</v>
      </c>
      <c r="F1340" s="14" t="s">
        <v>8061</v>
      </c>
      <c r="G1340" s="8" t="s">
        <v>8825</v>
      </c>
      <c r="H1340" s="14"/>
      <c r="I1340" s="14"/>
      <c r="J1340" s="14"/>
      <c r="K1340" s="14"/>
      <c r="L1340" s="14"/>
      <c r="M1340" s="14" t="s">
        <v>8063</v>
      </c>
      <c r="N1340" s="14"/>
      <c r="O1340" s="14" t="s">
        <v>8064</v>
      </c>
      <c r="P1340" s="14" t="str">
        <f>HYPERLINK("https://ceds.ed.gov/cedselementdetails.aspx?termid=18843")</f>
        <v>https://ceds.ed.gov/cedselementdetails.aspx?termid=18843</v>
      </c>
      <c r="Q1340" s="14" t="str">
        <f>HYPERLINK("https://ceds.ed.gov/elementComment.aspx?elementName=Student Enrollment Access Type &amp;elementID=18843", "Click here to submit comment")</f>
        <v>Click here to submit comment</v>
      </c>
      <c r="R1340" s="14">
        <v>52148</v>
      </c>
    </row>
    <row r="1341" spans="1:18" ht="75" x14ac:dyDescent="0.25">
      <c r="A1341" s="14" t="s">
        <v>8732</v>
      </c>
      <c r="B1341" s="14" t="s">
        <v>8813</v>
      </c>
      <c r="C1341" s="14" t="s">
        <v>8635</v>
      </c>
      <c r="D1341" s="14" t="s">
        <v>8541</v>
      </c>
      <c r="E1341" s="14" t="s">
        <v>4712</v>
      </c>
      <c r="F1341" s="14" t="s">
        <v>4713</v>
      </c>
      <c r="G1341" s="14" t="s">
        <v>37</v>
      </c>
      <c r="H1341" s="14"/>
      <c r="I1341" s="14" t="s">
        <v>188</v>
      </c>
      <c r="J1341" s="14" t="s">
        <v>4715</v>
      </c>
      <c r="K1341" s="14" t="s">
        <v>1721</v>
      </c>
      <c r="L1341" s="14"/>
      <c r="M1341" s="14" t="s">
        <v>4716</v>
      </c>
      <c r="N1341" s="14"/>
      <c r="O1341" s="14" t="s">
        <v>4717</v>
      </c>
      <c r="P1341" s="14" t="str">
        <f>HYPERLINK("https://ceds.ed.gov/cedselementdetails.aspx?termid=18906")</f>
        <v>https://ceds.ed.gov/cedselementdetails.aspx?termid=18906</v>
      </c>
      <c r="Q1341" s="14" t="str">
        <f>HYPERLINK("https://ceds.ed.gov/elementComment.aspx?elementName=Full Time Equivalency &amp;elementID=18906", "Click here to submit comment")</f>
        <v>Click here to submit comment</v>
      </c>
      <c r="R1341" s="14">
        <v>52346</v>
      </c>
    </row>
    <row r="1342" spans="1:18" ht="105" x14ac:dyDescent="0.25">
      <c r="A1342" s="16" t="s">
        <v>8732</v>
      </c>
      <c r="B1342" s="16" t="s">
        <v>8813</v>
      </c>
      <c r="C1342" s="16" t="s">
        <v>8826</v>
      </c>
      <c r="D1342" s="16" t="s">
        <v>8531</v>
      </c>
      <c r="E1342" s="16" t="s">
        <v>147</v>
      </c>
      <c r="F1342" s="16" t="s">
        <v>148</v>
      </c>
      <c r="G1342" s="16" t="s">
        <v>37</v>
      </c>
      <c r="H1342" s="16" t="s">
        <v>72</v>
      </c>
      <c r="I1342" s="16"/>
      <c r="J1342" s="16" t="s">
        <v>149</v>
      </c>
      <c r="K1342" s="16"/>
      <c r="L1342" s="14" t="s">
        <v>150</v>
      </c>
      <c r="M1342" s="16" t="s">
        <v>151</v>
      </c>
      <c r="N1342" s="16"/>
      <c r="O1342" s="16" t="s">
        <v>152</v>
      </c>
      <c r="P1342" s="16" t="str">
        <f>HYPERLINK("https://ceds.ed.gov/cedselementdetails.aspx?termid=17006")</f>
        <v>https://ceds.ed.gov/cedselementdetails.aspx?termid=17006</v>
      </c>
      <c r="Q1342" s="16" t="str">
        <f>HYPERLINK("https://ceds.ed.gov/elementComment.aspx?elementName=Activity Identifier &amp;elementID=17006", "Click here to submit comment")</f>
        <v>Click here to submit comment</v>
      </c>
      <c r="R1342" s="16">
        <v>47989</v>
      </c>
    </row>
    <row r="1343" spans="1:18" x14ac:dyDescent="0.25">
      <c r="A1343" s="16"/>
      <c r="B1343" s="16"/>
      <c r="C1343" s="16"/>
      <c r="D1343" s="16"/>
      <c r="E1343" s="16"/>
      <c r="F1343" s="16"/>
      <c r="G1343" s="16"/>
      <c r="H1343" s="16"/>
      <c r="I1343" s="16"/>
      <c r="J1343" s="16"/>
      <c r="K1343" s="16"/>
      <c r="L1343" s="14"/>
      <c r="M1343" s="16"/>
      <c r="N1343" s="16"/>
      <c r="O1343" s="16"/>
      <c r="P1343" s="16"/>
      <c r="Q1343" s="16"/>
      <c r="R1343" s="16"/>
    </row>
    <row r="1344" spans="1:18" ht="90" x14ac:dyDescent="0.25">
      <c r="A1344" s="16"/>
      <c r="B1344" s="16"/>
      <c r="C1344" s="16"/>
      <c r="D1344" s="16"/>
      <c r="E1344" s="16"/>
      <c r="F1344" s="16"/>
      <c r="G1344" s="16"/>
      <c r="H1344" s="16"/>
      <c r="I1344" s="16"/>
      <c r="J1344" s="16"/>
      <c r="K1344" s="16"/>
      <c r="L1344" s="14" t="s">
        <v>153</v>
      </c>
      <c r="M1344" s="16"/>
      <c r="N1344" s="16"/>
      <c r="O1344" s="16"/>
      <c r="P1344" s="16"/>
      <c r="Q1344" s="16"/>
      <c r="R1344" s="16"/>
    </row>
    <row r="1345" spans="1:18" ht="90" x14ac:dyDescent="0.25">
      <c r="A1345" s="14" t="s">
        <v>8732</v>
      </c>
      <c r="B1345" s="14" t="s">
        <v>8813</v>
      </c>
      <c r="C1345" s="14" t="s">
        <v>8826</v>
      </c>
      <c r="D1345" s="14" t="s">
        <v>8531</v>
      </c>
      <c r="E1345" s="14" t="s">
        <v>173</v>
      </c>
      <c r="F1345" s="14" t="s">
        <v>174</v>
      </c>
      <c r="G1345" s="14" t="s">
        <v>37</v>
      </c>
      <c r="H1345" s="14" t="s">
        <v>72</v>
      </c>
      <c r="I1345" s="14"/>
      <c r="J1345" s="14" t="s">
        <v>175</v>
      </c>
      <c r="K1345" s="14"/>
      <c r="L1345" s="14"/>
      <c r="M1345" s="14" t="s">
        <v>176</v>
      </c>
      <c r="N1345" s="14"/>
      <c r="O1345" s="14" t="s">
        <v>177</v>
      </c>
      <c r="P1345" s="14" t="str">
        <f>HYPERLINK("https://ceds.ed.gov/cedselementdetails.aspx?termid=17009")</f>
        <v>https://ceds.ed.gov/cedselementdetails.aspx?termid=17009</v>
      </c>
      <c r="Q1345" s="14" t="str">
        <f>HYPERLINK("https://ceds.ed.gov/elementComment.aspx?elementName=Activity Title &amp;elementID=17009", "Click here to submit comment")</f>
        <v>Click here to submit comment</v>
      </c>
      <c r="R1345" s="14">
        <v>47992</v>
      </c>
    </row>
    <row r="1346" spans="1:18" ht="90" x14ac:dyDescent="0.25">
      <c r="A1346" s="14" t="s">
        <v>8732</v>
      </c>
      <c r="B1346" s="14" t="s">
        <v>8813</v>
      </c>
      <c r="C1346" s="14" t="s">
        <v>8826</v>
      </c>
      <c r="D1346" s="14" t="s">
        <v>8531</v>
      </c>
      <c r="E1346" s="14" t="s">
        <v>142</v>
      </c>
      <c r="F1346" s="14" t="s">
        <v>143</v>
      </c>
      <c r="G1346" s="14" t="s">
        <v>37</v>
      </c>
      <c r="H1346" s="14"/>
      <c r="I1346" s="14"/>
      <c r="J1346" s="14" t="s">
        <v>129</v>
      </c>
      <c r="K1346" s="14"/>
      <c r="L1346" s="14"/>
      <c r="M1346" s="14" t="s">
        <v>145</v>
      </c>
      <c r="N1346" s="14"/>
      <c r="O1346" s="14" t="s">
        <v>146</v>
      </c>
      <c r="P1346" s="14" t="str">
        <f>HYPERLINK("https://ceds.ed.gov/cedselementdetails.aspx?termid=18505")</f>
        <v>https://ceds.ed.gov/cedselementdetails.aspx?termid=18505</v>
      </c>
      <c r="Q1346" s="14" t="str">
        <f>HYPERLINK("https://ceds.ed.gov/elementComment.aspx?elementName=Activity Description &amp;elementID=18505", "Click here to submit comment")</f>
        <v>Click here to submit comment</v>
      </c>
      <c r="R1346" s="14">
        <v>50768</v>
      </c>
    </row>
    <row r="1347" spans="1:18" ht="90" x14ac:dyDescent="0.25">
      <c r="A1347" s="14" t="s">
        <v>8732</v>
      </c>
      <c r="B1347" s="14" t="s">
        <v>8813</v>
      </c>
      <c r="C1347" s="14" t="s">
        <v>8826</v>
      </c>
      <c r="D1347" s="14" t="s">
        <v>8531</v>
      </c>
      <c r="E1347" s="14" t="s">
        <v>154</v>
      </c>
      <c r="F1347" s="14" t="s">
        <v>155</v>
      </c>
      <c r="G1347" s="14" t="s">
        <v>37</v>
      </c>
      <c r="H1347" s="14" t="s">
        <v>72</v>
      </c>
      <c r="I1347" s="14"/>
      <c r="J1347" s="14" t="s">
        <v>135</v>
      </c>
      <c r="K1347" s="14"/>
      <c r="L1347" s="14"/>
      <c r="M1347" s="14" t="s">
        <v>156</v>
      </c>
      <c r="N1347" s="14"/>
      <c r="O1347" s="14" t="s">
        <v>157</v>
      </c>
      <c r="P1347" s="14" t="str">
        <f>HYPERLINK("https://ceds.ed.gov/cedselementdetails.aspx?termid=17007")</f>
        <v>https://ceds.ed.gov/cedselementdetails.aspx?termid=17007</v>
      </c>
      <c r="Q1347" s="14" t="str">
        <f>HYPERLINK("https://ceds.ed.gov/elementComment.aspx?elementName=Activity Involvement Begin Date &amp;elementID=17007", "Click here to submit comment")</f>
        <v>Click here to submit comment</v>
      </c>
      <c r="R1347" s="14">
        <v>47990</v>
      </c>
    </row>
    <row r="1348" spans="1:18" ht="90" x14ac:dyDescent="0.25">
      <c r="A1348" s="14" t="s">
        <v>8732</v>
      </c>
      <c r="B1348" s="14" t="s">
        <v>8813</v>
      </c>
      <c r="C1348" s="14" t="s">
        <v>8826</v>
      </c>
      <c r="D1348" s="14" t="s">
        <v>8531</v>
      </c>
      <c r="E1348" s="14" t="s">
        <v>158</v>
      </c>
      <c r="F1348" s="14" t="s">
        <v>159</v>
      </c>
      <c r="G1348" s="14" t="s">
        <v>37</v>
      </c>
      <c r="H1348" s="14" t="s">
        <v>72</v>
      </c>
      <c r="I1348" s="14"/>
      <c r="J1348" s="14" t="s">
        <v>135</v>
      </c>
      <c r="K1348" s="14"/>
      <c r="L1348" s="14" t="s">
        <v>160</v>
      </c>
      <c r="M1348" s="14" t="s">
        <v>161</v>
      </c>
      <c r="N1348" s="14"/>
      <c r="O1348" s="14" t="s">
        <v>162</v>
      </c>
      <c r="P1348" s="14" t="str">
        <f>HYPERLINK("https://ceds.ed.gov/cedselementdetails.aspx?termid=17008")</f>
        <v>https://ceds.ed.gov/cedselementdetails.aspx?termid=17008</v>
      </c>
      <c r="Q1348" s="14" t="str">
        <f>HYPERLINK("https://ceds.ed.gov/elementComment.aspx?elementName=Activity Involvement End Date &amp;elementID=17008", "Click here to submit comment")</f>
        <v>Click here to submit comment</v>
      </c>
      <c r="R1348" s="14">
        <v>47991</v>
      </c>
    </row>
    <row r="1349" spans="1:18" ht="90" x14ac:dyDescent="0.25">
      <c r="A1349" s="14" t="s">
        <v>8732</v>
      </c>
      <c r="B1349" s="14" t="s">
        <v>8813</v>
      </c>
      <c r="C1349" s="14" t="s">
        <v>8826</v>
      </c>
      <c r="D1349" s="14" t="s">
        <v>8531</v>
      </c>
      <c r="E1349" s="14" t="s">
        <v>163</v>
      </c>
      <c r="F1349" s="14" t="s">
        <v>164</v>
      </c>
      <c r="G1349" s="14" t="s">
        <v>37</v>
      </c>
      <c r="H1349" s="14"/>
      <c r="I1349" s="14"/>
      <c r="J1349" s="14" t="s">
        <v>165</v>
      </c>
      <c r="K1349" s="14"/>
      <c r="L1349" s="14"/>
      <c r="M1349" s="14" t="s">
        <v>166</v>
      </c>
      <c r="N1349" s="14"/>
      <c r="O1349" s="14" t="s">
        <v>167</v>
      </c>
      <c r="P1349" s="14" t="str">
        <f>HYPERLINK("https://ceds.ed.gov/cedselementdetails.aspx?termid=18502")</f>
        <v>https://ceds.ed.gov/cedselementdetails.aspx?termid=18502</v>
      </c>
      <c r="Q1349" s="14" t="str">
        <f>HYPERLINK("https://ceds.ed.gov/elementComment.aspx?elementName=Activity Time Involved &amp;elementID=18502", "Click here to submit comment")</f>
        <v>Click here to submit comment</v>
      </c>
      <c r="R1349" s="14">
        <v>50758</v>
      </c>
    </row>
    <row r="1350" spans="1:18" ht="105" x14ac:dyDescent="0.25">
      <c r="A1350" s="14" t="s">
        <v>8732</v>
      </c>
      <c r="B1350" s="14" t="s">
        <v>8813</v>
      </c>
      <c r="C1350" s="14" t="s">
        <v>8826</v>
      </c>
      <c r="D1350" s="14" t="s">
        <v>8531</v>
      </c>
      <c r="E1350" s="14" t="s">
        <v>168</v>
      </c>
      <c r="F1350" s="14" t="s">
        <v>169</v>
      </c>
      <c r="G1350" s="8" t="s">
        <v>8827</v>
      </c>
      <c r="H1350" s="14"/>
      <c r="I1350" s="14"/>
      <c r="J1350" s="14"/>
      <c r="K1350" s="14"/>
      <c r="L1350" s="14"/>
      <c r="M1350" s="14" t="s">
        <v>171</v>
      </c>
      <c r="N1350" s="14"/>
      <c r="O1350" s="14" t="s">
        <v>172</v>
      </c>
      <c r="P1350" s="14" t="str">
        <f>HYPERLINK("https://ceds.ed.gov/cedselementdetails.aspx?termid=18503")</f>
        <v>https://ceds.ed.gov/cedselementdetails.aspx?termid=18503</v>
      </c>
      <c r="Q1350" s="14" t="str">
        <f>HYPERLINK("https://ceds.ed.gov/elementComment.aspx?elementName=Activity Time Measurement Type &amp;elementID=18503", "Click here to submit comment")</f>
        <v>Click here to submit comment</v>
      </c>
      <c r="R1350" s="14">
        <v>50760</v>
      </c>
    </row>
    <row r="1351" spans="1:18" ht="255" x14ac:dyDescent="0.25">
      <c r="A1351" s="14" t="s">
        <v>8732</v>
      </c>
      <c r="B1351" s="14" t="s">
        <v>8813</v>
      </c>
      <c r="C1351" s="14" t="s">
        <v>8828</v>
      </c>
      <c r="D1351" s="14" t="s">
        <v>8531</v>
      </c>
      <c r="E1351" s="14" t="s">
        <v>6451</v>
      </c>
      <c r="F1351" s="14" t="s">
        <v>6452</v>
      </c>
      <c r="G1351" s="14" t="s">
        <v>37</v>
      </c>
      <c r="H1351" s="14" t="s">
        <v>6457</v>
      </c>
      <c r="I1351" s="14"/>
      <c r="J1351" s="14" t="s">
        <v>1710</v>
      </c>
      <c r="K1351" s="14"/>
      <c r="L1351" s="14" t="s">
        <v>6454</v>
      </c>
      <c r="M1351" s="14" t="s">
        <v>6455</v>
      </c>
      <c r="N1351" s="14"/>
      <c r="O1351" s="14" t="s">
        <v>6456</v>
      </c>
      <c r="P1351" s="14" t="str">
        <f>HYPERLINK("https://ceds.ed.gov/cedselementdetails.aspx?termid=17202")</f>
        <v>https://ceds.ed.gov/cedselementdetails.aspx?termid=17202</v>
      </c>
      <c r="Q1351" s="14" t="str">
        <f>HYPERLINK("https://ceds.ed.gov/elementComment.aspx?elementName=Number of Days in Attendance &amp;elementID=17202", "Click here to submit comment")</f>
        <v>Click here to submit comment</v>
      </c>
      <c r="R1351" s="14">
        <v>48796</v>
      </c>
    </row>
    <row r="1352" spans="1:18" ht="120" x14ac:dyDescent="0.25">
      <c r="A1352" s="14" t="s">
        <v>8732</v>
      </c>
      <c r="B1352" s="14" t="s">
        <v>8813</v>
      </c>
      <c r="C1352" s="14" t="s">
        <v>8828</v>
      </c>
      <c r="D1352" s="14" t="s">
        <v>8531</v>
      </c>
      <c r="E1352" s="14" t="s">
        <v>6441</v>
      </c>
      <c r="F1352" s="14" t="s">
        <v>6442</v>
      </c>
      <c r="G1352" s="14" t="s">
        <v>37</v>
      </c>
      <c r="H1352" s="14" t="s">
        <v>6446</v>
      </c>
      <c r="I1352" s="14"/>
      <c r="J1352" s="14" t="s">
        <v>1710</v>
      </c>
      <c r="K1352" s="14"/>
      <c r="L1352" s="14"/>
      <c r="M1352" s="14" t="s">
        <v>6444</v>
      </c>
      <c r="N1352" s="14"/>
      <c r="O1352" s="14" t="s">
        <v>6445</v>
      </c>
      <c r="P1352" s="14" t="str">
        <f>HYPERLINK("https://ceds.ed.gov/cedselementdetails.aspx?termid=17201")</f>
        <v>https://ceds.ed.gov/cedselementdetails.aspx?termid=17201</v>
      </c>
      <c r="Q1352" s="14" t="str">
        <f>HYPERLINK("https://ceds.ed.gov/elementComment.aspx?elementName=Number of Days Absent &amp;elementID=17201", "Click here to submit comment")</f>
        <v>Click here to submit comment</v>
      </c>
      <c r="R1352" s="14">
        <v>48795</v>
      </c>
    </row>
    <row r="1353" spans="1:18" ht="120" x14ac:dyDescent="0.25">
      <c r="A1353" s="14" t="s">
        <v>8732</v>
      </c>
      <c r="B1353" s="14" t="s">
        <v>8813</v>
      </c>
      <c r="C1353" s="14" t="s">
        <v>8828</v>
      </c>
      <c r="D1353" s="14" t="s">
        <v>8531</v>
      </c>
      <c r="E1353" s="14" t="s">
        <v>8041</v>
      </c>
      <c r="F1353" s="14" t="s">
        <v>8042</v>
      </c>
      <c r="G1353" s="14" t="s">
        <v>37</v>
      </c>
      <c r="H1353" s="14" t="s">
        <v>258</v>
      </c>
      <c r="I1353" s="14"/>
      <c r="J1353" s="14" t="s">
        <v>8043</v>
      </c>
      <c r="K1353" s="14"/>
      <c r="L1353" s="14"/>
      <c r="M1353" s="14" t="s">
        <v>8044</v>
      </c>
      <c r="N1353" s="14"/>
      <c r="O1353" s="14" t="s">
        <v>8045</v>
      </c>
      <c r="P1353" s="14" t="str">
        <f>HYPERLINK("https://ceds.ed.gov/cedselementdetails.aspx?termid=17271")</f>
        <v>https://ceds.ed.gov/cedselementdetails.aspx?termid=17271</v>
      </c>
      <c r="Q1353" s="14" t="str">
        <f>HYPERLINK("https://ceds.ed.gov/elementComment.aspx?elementName=Student Attendance Rate &amp;elementID=17271", "Click here to submit comment")</f>
        <v>Click here to submit comment</v>
      </c>
      <c r="R1353" s="14">
        <v>48816</v>
      </c>
    </row>
    <row r="1354" spans="1:18" ht="180" x14ac:dyDescent="0.25">
      <c r="A1354" s="14" t="s">
        <v>8732</v>
      </c>
      <c r="B1354" s="14" t="s">
        <v>8813</v>
      </c>
      <c r="C1354" s="14" t="s">
        <v>8828</v>
      </c>
      <c r="D1354" s="14" t="s">
        <v>8531</v>
      </c>
      <c r="E1354" s="14" t="s">
        <v>6840</v>
      </c>
      <c r="F1354" s="14" t="s">
        <v>6841</v>
      </c>
      <c r="G1354" s="8" t="s">
        <v>8829</v>
      </c>
      <c r="H1354" s="14"/>
      <c r="I1354" s="14"/>
      <c r="J1354" s="14"/>
      <c r="K1354" s="14"/>
      <c r="L1354" s="14"/>
      <c r="M1354" s="14" t="s">
        <v>6843</v>
      </c>
      <c r="N1354" s="14"/>
      <c r="O1354" s="14" t="s">
        <v>6844</v>
      </c>
      <c r="P1354" s="14" t="str">
        <f>HYPERLINK("https://ceds.ed.gov/cedselementdetails.aspx?termid=17593")</f>
        <v>https://ceds.ed.gov/cedselementdetails.aspx?termid=17593</v>
      </c>
      <c r="Q1354" s="14" t="str">
        <f>HYPERLINK("https://ceds.ed.gov/elementComment.aspx?elementName=Present Attendance Category &amp;elementID=17593", "Click here to submit comment")</f>
        <v>Click here to submit comment</v>
      </c>
      <c r="R1354" s="14">
        <v>48896</v>
      </c>
    </row>
    <row r="1355" spans="1:18" ht="300" x14ac:dyDescent="0.25">
      <c r="A1355" s="14" t="s">
        <v>8732</v>
      </c>
      <c r="B1355" s="14" t="s">
        <v>8813</v>
      </c>
      <c r="C1355" s="14" t="s">
        <v>8828</v>
      </c>
      <c r="D1355" s="14" t="s">
        <v>8531</v>
      </c>
      <c r="E1355" s="14" t="s">
        <v>29</v>
      </c>
      <c r="F1355" s="14" t="s">
        <v>30</v>
      </c>
      <c r="G1355" s="8" t="s">
        <v>8830</v>
      </c>
      <c r="H1355" s="14"/>
      <c r="I1355" s="14"/>
      <c r="J1355" s="14"/>
      <c r="K1355" s="14"/>
      <c r="L1355" s="14"/>
      <c r="M1355" s="14" t="s">
        <v>33</v>
      </c>
      <c r="N1355" s="14"/>
      <c r="O1355" s="14" t="s">
        <v>34</v>
      </c>
      <c r="P1355" s="14" t="str">
        <f>HYPERLINK("https://ceds.ed.gov/cedselementdetails.aspx?termid=17592")</f>
        <v>https://ceds.ed.gov/cedselementdetails.aspx?termid=17592</v>
      </c>
      <c r="Q1355" s="14" t="str">
        <f>HYPERLINK("https://ceds.ed.gov/elementComment.aspx?elementName=Absent Attendance Category &amp;elementID=17592", "Click here to submit comment")</f>
        <v>Click here to submit comment</v>
      </c>
      <c r="R1355" s="14">
        <v>48895</v>
      </c>
    </row>
    <row r="1356" spans="1:18" ht="120" x14ac:dyDescent="0.25">
      <c r="A1356" s="14" t="s">
        <v>8732</v>
      </c>
      <c r="B1356" s="14" t="s">
        <v>8813</v>
      </c>
      <c r="C1356" s="14" t="s">
        <v>8828</v>
      </c>
      <c r="D1356" s="14" t="s">
        <v>8531</v>
      </c>
      <c r="E1356" s="14" t="s">
        <v>1635</v>
      </c>
      <c r="F1356" s="14" t="s">
        <v>1636</v>
      </c>
      <c r="G1356" s="8" t="s">
        <v>8831</v>
      </c>
      <c r="H1356" s="14"/>
      <c r="I1356" s="14"/>
      <c r="J1356" s="14"/>
      <c r="K1356" s="14"/>
      <c r="L1356" s="14"/>
      <c r="M1356" s="14" t="s">
        <v>1639</v>
      </c>
      <c r="N1356" s="14"/>
      <c r="O1356" s="14" t="s">
        <v>1640</v>
      </c>
      <c r="P1356" s="14" t="str">
        <f>HYPERLINK("https://ceds.ed.gov/cedselementdetails.aspx?termid=17594")</f>
        <v>https://ceds.ed.gov/cedselementdetails.aspx?termid=17594</v>
      </c>
      <c r="Q1356" s="14" t="str">
        <f>HYPERLINK("https://ceds.ed.gov/elementComment.aspx?elementName=Attendance Event Type &amp;elementID=17594", "Click here to submit comment")</f>
        <v>Click here to submit comment</v>
      </c>
      <c r="R1356" s="14">
        <v>48897</v>
      </c>
    </row>
    <row r="1357" spans="1:18" ht="45" x14ac:dyDescent="0.25">
      <c r="A1357" s="14" t="s">
        <v>8732</v>
      </c>
      <c r="B1357" s="14" t="s">
        <v>8813</v>
      </c>
      <c r="C1357" s="14" t="s">
        <v>8828</v>
      </c>
      <c r="D1357" s="14" t="s">
        <v>8531</v>
      </c>
      <c r="E1357" s="14" t="s">
        <v>1630</v>
      </c>
      <c r="F1357" s="14" t="s">
        <v>1631</v>
      </c>
      <c r="G1357" s="14" t="s">
        <v>37</v>
      </c>
      <c r="H1357" s="14"/>
      <c r="I1357" s="14"/>
      <c r="J1357" s="14" t="s">
        <v>135</v>
      </c>
      <c r="K1357" s="14"/>
      <c r="L1357" s="14"/>
      <c r="M1357" s="14" t="s">
        <v>1633</v>
      </c>
      <c r="N1357" s="14"/>
      <c r="O1357" s="14" t="s">
        <v>1634</v>
      </c>
      <c r="P1357" s="14" t="str">
        <f>HYPERLINK("https://ceds.ed.gov/cedselementdetails.aspx?termid=18630")</f>
        <v>https://ceds.ed.gov/cedselementdetails.aspx?termid=18630</v>
      </c>
      <c r="Q1357" s="14" t="str">
        <f>HYPERLINK("https://ceds.ed.gov/elementComment.aspx?elementName=Attendance Event Date &amp;elementID=18630", "Click here to submit comment")</f>
        <v>Click here to submit comment</v>
      </c>
      <c r="R1357" s="14">
        <v>51343</v>
      </c>
    </row>
    <row r="1358" spans="1:18" ht="105" x14ac:dyDescent="0.25">
      <c r="A1358" s="14" t="s">
        <v>8732</v>
      </c>
      <c r="B1358" s="14" t="s">
        <v>8813</v>
      </c>
      <c r="C1358" s="14" t="s">
        <v>8828</v>
      </c>
      <c r="D1358" s="14" t="s">
        <v>8531</v>
      </c>
      <c r="E1358" s="14" t="s">
        <v>1641</v>
      </c>
      <c r="F1358" s="14" t="s">
        <v>1642</v>
      </c>
      <c r="G1358" s="8" t="s">
        <v>8832</v>
      </c>
      <c r="H1358" s="14"/>
      <c r="I1358" s="14"/>
      <c r="J1358" s="14"/>
      <c r="K1358" s="14"/>
      <c r="L1358" s="14"/>
      <c r="M1358" s="14" t="s">
        <v>1644</v>
      </c>
      <c r="N1358" s="14"/>
      <c r="O1358" s="14" t="s">
        <v>1645</v>
      </c>
      <c r="P1358" s="14" t="str">
        <f>HYPERLINK("https://ceds.ed.gov/cedselementdetails.aspx?termid=17076")</f>
        <v>https://ceds.ed.gov/cedselementdetails.aspx?termid=17076</v>
      </c>
      <c r="Q1358" s="14" t="str">
        <f>HYPERLINK("https://ceds.ed.gov/elementComment.aspx?elementName=Attendance Status &amp;elementID=17076", "Click here to submit comment")</f>
        <v>Click here to submit comment</v>
      </c>
      <c r="R1358" s="14">
        <v>48736</v>
      </c>
    </row>
    <row r="1359" spans="1:18" ht="45" x14ac:dyDescent="0.25">
      <c r="A1359" s="14" t="s">
        <v>8732</v>
      </c>
      <c r="B1359" s="14" t="s">
        <v>8813</v>
      </c>
      <c r="C1359" s="14" t="s">
        <v>8828</v>
      </c>
      <c r="D1359" s="14" t="s">
        <v>8531</v>
      </c>
      <c r="E1359" s="14" t="s">
        <v>4057</v>
      </c>
      <c r="F1359" s="14" t="s">
        <v>4058</v>
      </c>
      <c r="G1359" s="14" t="s">
        <v>37</v>
      </c>
      <c r="H1359" s="14"/>
      <c r="I1359" s="14"/>
      <c r="J1359" s="14"/>
      <c r="K1359" s="14"/>
      <c r="L1359" s="14"/>
      <c r="M1359" s="14" t="s">
        <v>4060</v>
      </c>
      <c r="N1359" s="14"/>
      <c r="O1359" s="14" t="s">
        <v>4061</v>
      </c>
      <c r="P1359" s="14" t="str">
        <f>HYPERLINK("https://ceds.ed.gov/cedselementdetails.aspx?termid=18901")</f>
        <v>https://ceds.ed.gov/cedselementdetails.aspx?termid=18901</v>
      </c>
      <c r="Q1359" s="14" t="str">
        <f>HYPERLINK("https://ceds.ed.gov/elementComment.aspx?elementName=End Time &amp;elementID=18901", "Click here to submit comment")</f>
        <v>Click here to submit comment</v>
      </c>
      <c r="R1359" s="14">
        <v>52197</v>
      </c>
    </row>
    <row r="1360" spans="1:18" ht="45" x14ac:dyDescent="0.25">
      <c r="A1360" s="14" t="s">
        <v>8732</v>
      </c>
      <c r="B1360" s="14" t="s">
        <v>8813</v>
      </c>
      <c r="C1360" s="14" t="s">
        <v>8828</v>
      </c>
      <c r="D1360" s="14" t="s">
        <v>8531</v>
      </c>
      <c r="E1360" s="14" t="s">
        <v>7956</v>
      </c>
      <c r="F1360" s="14" t="s">
        <v>7957</v>
      </c>
      <c r="G1360" s="14" t="s">
        <v>37</v>
      </c>
      <c r="H1360" s="14"/>
      <c r="I1360" s="14"/>
      <c r="J1360" s="14"/>
      <c r="K1360" s="14"/>
      <c r="L1360" s="14"/>
      <c r="M1360" s="14" t="s">
        <v>7958</v>
      </c>
      <c r="N1360" s="14"/>
      <c r="O1360" s="14" t="s">
        <v>7959</v>
      </c>
      <c r="P1360" s="14" t="str">
        <f>HYPERLINK("https://ceds.ed.gov/cedselementdetails.aspx?termid=18900")</f>
        <v>https://ceds.ed.gov/cedselementdetails.aspx?termid=18900</v>
      </c>
      <c r="Q1360" s="14" t="str">
        <f>HYPERLINK("https://ceds.ed.gov/elementComment.aspx?elementName=Start Time &amp;elementID=18900", "Click here to submit comment")</f>
        <v>Click here to submit comment</v>
      </c>
      <c r="R1360" s="14">
        <v>52198</v>
      </c>
    </row>
    <row r="1361" spans="1:18" ht="105" x14ac:dyDescent="0.25">
      <c r="A1361" s="16" t="s">
        <v>8732</v>
      </c>
      <c r="B1361" s="16" t="s">
        <v>8813</v>
      </c>
      <c r="C1361" s="16" t="s">
        <v>8833</v>
      </c>
      <c r="D1361" s="16" t="s">
        <v>8531</v>
      </c>
      <c r="E1361" s="16" t="s">
        <v>2966</v>
      </c>
      <c r="F1361" s="16" t="s">
        <v>2967</v>
      </c>
      <c r="G1361" s="16" t="s">
        <v>37</v>
      </c>
      <c r="H1361" s="16" t="s">
        <v>2970</v>
      </c>
      <c r="I1361" s="16"/>
      <c r="J1361" s="16" t="s">
        <v>149</v>
      </c>
      <c r="K1361" s="16"/>
      <c r="L1361" s="14" t="s">
        <v>150</v>
      </c>
      <c r="M1361" s="16" t="s">
        <v>2968</v>
      </c>
      <c r="N1361" s="16"/>
      <c r="O1361" s="16" t="s">
        <v>2969</v>
      </c>
      <c r="P1361" s="16" t="str">
        <f>HYPERLINK("https://ceds.ed.gov/cedselementdetails.aspx?termid=17055")</f>
        <v>https://ceds.ed.gov/cedselementdetails.aspx?termid=17055</v>
      </c>
      <c r="Q1361" s="16" t="str">
        <f>HYPERLINK("https://ceds.ed.gov/elementComment.aspx?elementName=Course Identifier &amp;elementID=17055", "Click here to submit comment")</f>
        <v>Click here to submit comment</v>
      </c>
      <c r="R1361" s="16">
        <v>48003</v>
      </c>
    </row>
    <row r="1362" spans="1:18" x14ac:dyDescent="0.25">
      <c r="A1362" s="16"/>
      <c r="B1362" s="16"/>
      <c r="C1362" s="16"/>
      <c r="D1362" s="16"/>
      <c r="E1362" s="16"/>
      <c r="F1362" s="16"/>
      <c r="G1362" s="16"/>
      <c r="H1362" s="16"/>
      <c r="I1362" s="16"/>
      <c r="J1362" s="16"/>
      <c r="K1362" s="16"/>
      <c r="L1362" s="14"/>
      <c r="M1362" s="16"/>
      <c r="N1362" s="16"/>
      <c r="O1362" s="16"/>
      <c r="P1362" s="16"/>
      <c r="Q1362" s="16"/>
      <c r="R1362" s="16"/>
    </row>
    <row r="1363" spans="1:18" ht="90" x14ac:dyDescent="0.25">
      <c r="A1363" s="16"/>
      <c r="B1363" s="16"/>
      <c r="C1363" s="16"/>
      <c r="D1363" s="16"/>
      <c r="E1363" s="16"/>
      <c r="F1363" s="16"/>
      <c r="G1363" s="16"/>
      <c r="H1363" s="16"/>
      <c r="I1363" s="16"/>
      <c r="J1363" s="16"/>
      <c r="K1363" s="16"/>
      <c r="L1363" s="14" t="s">
        <v>153</v>
      </c>
      <c r="M1363" s="16"/>
      <c r="N1363" s="16"/>
      <c r="O1363" s="16"/>
      <c r="P1363" s="16"/>
      <c r="Q1363" s="16"/>
      <c r="R1363" s="16"/>
    </row>
    <row r="1364" spans="1:18" ht="195" x14ac:dyDescent="0.25">
      <c r="A1364" s="14" t="s">
        <v>8732</v>
      </c>
      <c r="B1364" s="14" t="s">
        <v>8813</v>
      </c>
      <c r="C1364" s="14" t="s">
        <v>8833</v>
      </c>
      <c r="D1364" s="14" t="s">
        <v>8531</v>
      </c>
      <c r="E1364" s="14" t="s">
        <v>2909</v>
      </c>
      <c r="F1364" s="14" t="s">
        <v>2910</v>
      </c>
      <c r="G1364" s="8" t="s">
        <v>8834</v>
      </c>
      <c r="H1364" s="14" t="s">
        <v>1713</v>
      </c>
      <c r="I1364" s="14"/>
      <c r="J1364" s="14"/>
      <c r="K1364" s="14"/>
      <c r="L1364" s="14"/>
      <c r="M1364" s="14" t="s">
        <v>2913</v>
      </c>
      <c r="N1364" s="14"/>
      <c r="O1364" s="14" t="s">
        <v>2914</v>
      </c>
      <c r="P1364" s="14" t="str">
        <f>HYPERLINK("https://ceds.ed.gov/cedselementdetails.aspx?termid=17056")</f>
        <v>https://ceds.ed.gov/cedselementdetails.aspx?termid=17056</v>
      </c>
      <c r="Q1364" s="14" t="str">
        <f>HYPERLINK("https://ceds.ed.gov/elementComment.aspx?elementName=Course Code System &amp;elementID=17056", "Click here to submit comment")</f>
        <v>Click here to submit comment</v>
      </c>
      <c r="R1364" s="14">
        <v>48730</v>
      </c>
    </row>
    <row r="1365" spans="1:18" ht="225" x14ac:dyDescent="0.25">
      <c r="A1365" s="14" t="s">
        <v>8732</v>
      </c>
      <c r="B1365" s="14" t="s">
        <v>8813</v>
      </c>
      <c r="C1365" s="14" t="s">
        <v>8833</v>
      </c>
      <c r="D1365" s="14" t="s">
        <v>8531</v>
      </c>
      <c r="E1365" s="14" t="s">
        <v>3099</v>
      </c>
      <c r="F1365" s="14" t="s">
        <v>3100</v>
      </c>
      <c r="G1365" s="14" t="s">
        <v>37</v>
      </c>
      <c r="H1365" s="14" t="s">
        <v>1713</v>
      </c>
      <c r="I1365" s="14"/>
      <c r="J1365" s="14" t="s">
        <v>175</v>
      </c>
      <c r="K1365" s="14"/>
      <c r="L1365" s="14"/>
      <c r="M1365" s="14" t="s">
        <v>3101</v>
      </c>
      <c r="N1365" s="14"/>
      <c r="O1365" s="14" t="s">
        <v>3102</v>
      </c>
      <c r="P1365" s="14" t="str">
        <f>HYPERLINK("https://ceds.ed.gov/cedselementdetails.aspx?termid=17067")</f>
        <v>https://ceds.ed.gov/cedselementdetails.aspx?termid=17067</v>
      </c>
      <c r="Q1365" s="14" t="str">
        <f>HYPERLINK("https://ceds.ed.gov/elementComment.aspx?elementName=Course Title &amp;elementID=17067", "Click here to submit comment")</f>
        <v>Click here to submit comment</v>
      </c>
      <c r="R1365" s="14">
        <v>48732</v>
      </c>
    </row>
    <row r="1366" spans="1:18" ht="330" x14ac:dyDescent="0.25">
      <c r="A1366" s="14" t="s">
        <v>8732</v>
      </c>
      <c r="B1366" s="14" t="s">
        <v>8813</v>
      </c>
      <c r="C1366" s="14" t="s">
        <v>8833</v>
      </c>
      <c r="D1366" s="14" t="s">
        <v>8531</v>
      </c>
      <c r="E1366" s="14" t="s">
        <v>4830</v>
      </c>
      <c r="F1366" s="14" t="s">
        <v>4831</v>
      </c>
      <c r="G1366" s="8" t="s">
        <v>8821</v>
      </c>
      <c r="H1366" s="14" t="s">
        <v>72</v>
      </c>
      <c r="I1366" s="14"/>
      <c r="J1366" s="14"/>
      <c r="K1366" s="14"/>
      <c r="L1366" s="14"/>
      <c r="M1366" s="14" t="s">
        <v>4833</v>
      </c>
      <c r="N1366" s="14"/>
      <c r="O1366" s="14" t="s">
        <v>4834</v>
      </c>
      <c r="P1366" s="14" t="str">
        <f>HYPERLINK("https://ceds.ed.gov/cedselementdetails.aspx?termid=17125")</f>
        <v>https://ceds.ed.gov/cedselementdetails.aspx?termid=17125</v>
      </c>
      <c r="Q1366" s="14" t="str">
        <f>HYPERLINK("https://ceds.ed.gov/elementComment.aspx?elementName=Grade Level When Course Taken &amp;elementID=17125", "Click here to submit comment")</f>
        <v>Click here to submit comment</v>
      </c>
      <c r="R1366" s="14">
        <v>48758</v>
      </c>
    </row>
    <row r="1367" spans="1:18" ht="210" x14ac:dyDescent="0.25">
      <c r="A1367" s="14" t="s">
        <v>8732</v>
      </c>
      <c r="B1367" s="14" t="s">
        <v>8813</v>
      </c>
      <c r="C1367" s="14" t="s">
        <v>8833</v>
      </c>
      <c r="D1367" s="14" t="s">
        <v>8531</v>
      </c>
      <c r="E1367" s="14" t="s">
        <v>3019</v>
      </c>
      <c r="F1367" s="14" t="s">
        <v>3020</v>
      </c>
      <c r="G1367" s="8" t="s">
        <v>8835</v>
      </c>
      <c r="H1367" s="14" t="s">
        <v>72</v>
      </c>
      <c r="I1367" s="14"/>
      <c r="J1367" s="14"/>
      <c r="K1367" s="14"/>
      <c r="L1367" s="14"/>
      <c r="M1367" s="14" t="s">
        <v>3023</v>
      </c>
      <c r="N1367" s="14"/>
      <c r="O1367" s="14" t="s">
        <v>3024</v>
      </c>
      <c r="P1367" s="14" t="str">
        <f>HYPERLINK("https://ceds.ed.gov/cedselementdetails.aspx?termid=17065")</f>
        <v>https://ceds.ed.gov/cedselementdetails.aspx?termid=17065</v>
      </c>
      <c r="Q1367" s="14" t="str">
        <f>HYPERLINK("https://ceds.ed.gov/elementComment.aspx?elementName=Course Repeat Code &amp;elementID=17065", "Click here to submit comment")</f>
        <v>Click here to submit comment</v>
      </c>
      <c r="R1367" s="14">
        <v>48731</v>
      </c>
    </row>
    <row r="1368" spans="1:18" ht="90" x14ac:dyDescent="0.25">
      <c r="A1368" s="14" t="s">
        <v>8732</v>
      </c>
      <c r="B1368" s="14" t="s">
        <v>8813</v>
      </c>
      <c r="C1368" s="14" t="s">
        <v>8833</v>
      </c>
      <c r="D1368" s="14" t="s">
        <v>8531</v>
      </c>
      <c r="E1368" s="14" t="s">
        <v>6431</v>
      </c>
      <c r="F1368" s="14" t="s">
        <v>6432</v>
      </c>
      <c r="G1368" s="14" t="s">
        <v>37</v>
      </c>
      <c r="H1368" s="14" t="s">
        <v>72</v>
      </c>
      <c r="I1368" s="14"/>
      <c r="J1368" s="14" t="s">
        <v>1710</v>
      </c>
      <c r="K1368" s="14"/>
      <c r="L1368" s="14"/>
      <c r="M1368" s="14" t="s">
        <v>6434</v>
      </c>
      <c r="N1368" s="14"/>
      <c r="O1368" s="14" t="s">
        <v>6435</v>
      </c>
      <c r="P1368" s="14" t="str">
        <f>HYPERLINK("https://ceds.ed.gov/cedselementdetails.aspx?termid=17199")</f>
        <v>https://ceds.ed.gov/cedselementdetails.aspx?termid=17199</v>
      </c>
      <c r="Q1368" s="14" t="str">
        <f>HYPERLINK("https://ceds.ed.gov/elementComment.aspx?elementName=Number of Credits Attempted &amp;elementID=17199", "Click here to submit comment")</f>
        <v>Click here to submit comment</v>
      </c>
      <c r="R1368" s="14">
        <v>48793</v>
      </c>
    </row>
    <row r="1369" spans="1:18" ht="120" x14ac:dyDescent="0.25">
      <c r="A1369" s="14" t="s">
        <v>8732</v>
      </c>
      <c r="B1369" s="14" t="s">
        <v>8813</v>
      </c>
      <c r="C1369" s="14" t="s">
        <v>8833</v>
      </c>
      <c r="D1369" s="14" t="s">
        <v>8531</v>
      </c>
      <c r="E1369" s="14" t="s">
        <v>6436</v>
      </c>
      <c r="F1369" s="14" t="s">
        <v>6437</v>
      </c>
      <c r="G1369" s="14" t="s">
        <v>37</v>
      </c>
      <c r="H1369" s="14" t="s">
        <v>6137</v>
      </c>
      <c r="I1369" s="14"/>
      <c r="J1369" s="14" t="s">
        <v>1710</v>
      </c>
      <c r="K1369" s="14"/>
      <c r="L1369" s="14"/>
      <c r="M1369" s="14" t="s">
        <v>6439</v>
      </c>
      <c r="N1369" s="14"/>
      <c r="O1369" s="14" t="s">
        <v>6440</v>
      </c>
      <c r="P1369" s="14" t="str">
        <f>HYPERLINK("https://ceds.ed.gov/cedselementdetails.aspx?termid=17200")</f>
        <v>https://ceds.ed.gov/cedselementdetails.aspx?termid=17200</v>
      </c>
      <c r="Q1369" s="14" t="str">
        <f>HYPERLINK("https://ceds.ed.gov/elementComment.aspx?elementName=Number of Credits Earned &amp;elementID=17200", "Click here to submit comment")</f>
        <v>Click here to submit comment</v>
      </c>
      <c r="R1369" s="14">
        <v>48794</v>
      </c>
    </row>
    <row r="1370" spans="1:18" ht="105" x14ac:dyDescent="0.25">
      <c r="A1370" s="14" t="s">
        <v>8732</v>
      </c>
      <c r="B1370" s="14" t="s">
        <v>8813</v>
      </c>
      <c r="C1370" s="14" t="s">
        <v>8833</v>
      </c>
      <c r="D1370" s="14" t="s">
        <v>8531</v>
      </c>
      <c r="E1370" s="14" t="s">
        <v>3365</v>
      </c>
      <c r="F1370" s="14" t="s">
        <v>3366</v>
      </c>
      <c r="G1370" s="14" t="s">
        <v>37</v>
      </c>
      <c r="H1370" s="14" t="s">
        <v>72</v>
      </c>
      <c r="I1370" s="14"/>
      <c r="J1370" s="14" t="s">
        <v>1710</v>
      </c>
      <c r="K1370" s="14"/>
      <c r="L1370" s="14"/>
      <c r="M1370" s="14" t="s">
        <v>3367</v>
      </c>
      <c r="N1370" s="14"/>
      <c r="O1370" s="14" t="s">
        <v>3368</v>
      </c>
      <c r="P1370" s="14" t="str">
        <f>HYPERLINK("https://ceds.ed.gov/cedselementdetails.aspx?termid=17073")</f>
        <v>https://ceds.ed.gov/cedselementdetails.aspx?termid=17073</v>
      </c>
      <c r="Q1370" s="14" t="str">
        <f>HYPERLINK("https://ceds.ed.gov/elementComment.aspx?elementName=Credits Attempted Cumulative &amp;elementID=17073", "Click here to submit comment")</f>
        <v>Click here to submit comment</v>
      </c>
      <c r="R1370" s="14">
        <v>48734</v>
      </c>
    </row>
    <row r="1371" spans="1:18" ht="105" x14ac:dyDescent="0.25">
      <c r="A1371" s="14" t="s">
        <v>8732</v>
      </c>
      <c r="B1371" s="14" t="s">
        <v>8813</v>
      </c>
      <c r="C1371" s="14" t="s">
        <v>8833</v>
      </c>
      <c r="D1371" s="14" t="s">
        <v>8531</v>
      </c>
      <c r="E1371" s="14" t="s">
        <v>3369</v>
      </c>
      <c r="F1371" s="14" t="s">
        <v>3370</v>
      </c>
      <c r="G1371" s="14" t="s">
        <v>37</v>
      </c>
      <c r="H1371" s="14" t="s">
        <v>72</v>
      </c>
      <c r="I1371" s="14"/>
      <c r="J1371" s="14" t="s">
        <v>1710</v>
      </c>
      <c r="K1371" s="14"/>
      <c r="L1371" s="14"/>
      <c r="M1371" s="14" t="s">
        <v>3371</v>
      </c>
      <c r="N1371" s="14"/>
      <c r="O1371" s="14" t="s">
        <v>3372</v>
      </c>
      <c r="P1371" s="14" t="str">
        <f>HYPERLINK("https://ceds.ed.gov/cedselementdetails.aspx?termid=17074")</f>
        <v>https://ceds.ed.gov/cedselementdetails.aspx?termid=17074</v>
      </c>
      <c r="Q1371" s="14" t="str">
        <f>HYPERLINK("https://ceds.ed.gov/elementComment.aspx?elementName=Credits Earned Cumulative &amp;elementID=17074", "Click here to submit comment")</f>
        <v>Click here to submit comment</v>
      </c>
      <c r="R1371" s="14">
        <v>48735</v>
      </c>
    </row>
    <row r="1372" spans="1:18" ht="90" x14ac:dyDescent="0.25">
      <c r="A1372" s="14" t="s">
        <v>8732</v>
      </c>
      <c r="B1372" s="14" t="s">
        <v>8813</v>
      </c>
      <c r="C1372" s="14" t="s">
        <v>8833</v>
      </c>
      <c r="D1372" s="14" t="s">
        <v>8531</v>
      </c>
      <c r="E1372" s="14" t="s">
        <v>8046</v>
      </c>
      <c r="F1372" s="14" t="s">
        <v>8047</v>
      </c>
      <c r="G1372" s="14" t="s">
        <v>37</v>
      </c>
      <c r="H1372" s="14" t="s">
        <v>72</v>
      </c>
      <c r="I1372" s="14"/>
      <c r="J1372" s="14" t="s">
        <v>2870</v>
      </c>
      <c r="K1372" s="14"/>
      <c r="L1372" s="14"/>
      <c r="M1372" s="14" t="s">
        <v>8049</v>
      </c>
      <c r="N1372" s="14"/>
      <c r="O1372" s="14" t="s">
        <v>8050</v>
      </c>
      <c r="P1372" s="14" t="str">
        <f>HYPERLINK("https://ceds.ed.gov/cedselementdetails.aspx?termid=17124")</f>
        <v>https://ceds.ed.gov/cedselementdetails.aspx?termid=17124</v>
      </c>
      <c r="Q1372" s="14" t="str">
        <f>HYPERLINK("https://ceds.ed.gov/elementComment.aspx?elementName=Student Course Section Grade Earned &amp;elementID=17124", "Click here to submit comment")</f>
        <v>Click here to submit comment</v>
      </c>
      <c r="R1372" s="14">
        <v>48757</v>
      </c>
    </row>
    <row r="1373" spans="1:18" ht="360" x14ac:dyDescent="0.25">
      <c r="A1373" s="14" t="s">
        <v>8732</v>
      </c>
      <c r="B1373" s="14" t="s">
        <v>8813</v>
      </c>
      <c r="C1373" s="14" t="s">
        <v>8833</v>
      </c>
      <c r="D1373" s="14" t="s">
        <v>8531</v>
      </c>
      <c r="E1373" s="14" t="s">
        <v>3353</v>
      </c>
      <c r="F1373" s="14" t="s">
        <v>3354</v>
      </c>
      <c r="G1373" s="8" t="s">
        <v>8836</v>
      </c>
      <c r="H1373" s="14" t="s">
        <v>72</v>
      </c>
      <c r="I1373" s="14"/>
      <c r="J1373" s="14"/>
      <c r="K1373" s="14"/>
      <c r="L1373" s="14"/>
      <c r="M1373" s="14" t="s">
        <v>3357</v>
      </c>
      <c r="N1373" s="14"/>
      <c r="O1373" s="14" t="s">
        <v>3358</v>
      </c>
      <c r="P1373" s="14" t="str">
        <f>HYPERLINK("https://ceds.ed.gov/cedselementdetails.aspx?termid=17072")</f>
        <v>https://ceds.ed.gov/cedselementdetails.aspx?termid=17072</v>
      </c>
      <c r="Q1373" s="14" t="str">
        <f>HYPERLINK("https://ceds.ed.gov/elementComment.aspx?elementName=Credit Unit Type &amp;elementID=17072", "Click here to submit comment")</f>
        <v>Click here to submit comment</v>
      </c>
      <c r="R1373" s="14">
        <v>48733</v>
      </c>
    </row>
    <row r="1374" spans="1:18" ht="135" x14ac:dyDescent="0.25">
      <c r="A1374" s="14" t="s">
        <v>8732</v>
      </c>
      <c r="B1374" s="14" t="s">
        <v>8813</v>
      </c>
      <c r="C1374" s="14" t="s">
        <v>8833</v>
      </c>
      <c r="D1374" s="14" t="s">
        <v>8531</v>
      </c>
      <c r="E1374" s="14" t="s">
        <v>4878</v>
      </c>
      <c r="F1374" s="14" t="s">
        <v>4879</v>
      </c>
      <c r="G1374" s="14" t="s">
        <v>37</v>
      </c>
      <c r="H1374" s="14"/>
      <c r="I1374" s="14"/>
      <c r="J1374" s="14" t="s">
        <v>874</v>
      </c>
      <c r="K1374" s="14"/>
      <c r="L1374" s="14" t="s">
        <v>4881</v>
      </c>
      <c r="M1374" s="14" t="s">
        <v>4882</v>
      </c>
      <c r="N1374" s="14"/>
      <c r="O1374" s="14" t="s">
        <v>4883</v>
      </c>
      <c r="P1374" s="14" t="str">
        <f>HYPERLINK("https://ceds.ed.gov/cedselementdetails.aspx?termid=17609")</f>
        <v>https://ceds.ed.gov/cedselementdetails.aspx?termid=17609</v>
      </c>
      <c r="Q1374" s="14" t="str">
        <f>HYPERLINK("https://ceds.ed.gov/elementComment.aspx?elementName=Grade Value Qualifier &amp;elementID=17609", "Click here to submit comment")</f>
        <v>Click here to submit comment</v>
      </c>
      <c r="R1374" s="14">
        <v>48900</v>
      </c>
    </row>
    <row r="1375" spans="1:18" ht="75" x14ac:dyDescent="0.25">
      <c r="A1375" s="14" t="s">
        <v>8732</v>
      </c>
      <c r="B1375" s="14" t="s">
        <v>8813</v>
      </c>
      <c r="C1375" s="14" t="s">
        <v>8833</v>
      </c>
      <c r="D1375" s="14" t="s">
        <v>8531</v>
      </c>
      <c r="E1375" s="14" t="s">
        <v>8208</v>
      </c>
      <c r="F1375" s="14" t="s">
        <v>8209</v>
      </c>
      <c r="G1375" s="8" t="s">
        <v>8837</v>
      </c>
      <c r="H1375" s="14" t="s">
        <v>258</v>
      </c>
      <c r="I1375" s="14"/>
      <c r="J1375" s="14"/>
      <c r="K1375" s="14"/>
      <c r="L1375" s="14"/>
      <c r="M1375" s="14" t="s">
        <v>8211</v>
      </c>
      <c r="N1375" s="14"/>
      <c r="O1375" s="14" t="s">
        <v>8212</v>
      </c>
      <c r="P1375" s="14" t="str">
        <f>HYPERLINK("https://ceds.ed.gov/cedselementdetails.aspx?termid=17558")</f>
        <v>https://ceds.ed.gov/cedselementdetails.aspx?termid=17558</v>
      </c>
      <c r="Q1375" s="14" t="str">
        <f>HYPERLINK("https://ceds.ed.gov/elementComment.aspx?elementName=Technology Literacy Status in 8th Grade &amp;elementID=17558", "Click here to submit comment")</f>
        <v>Click here to submit comment</v>
      </c>
      <c r="R1375" s="14">
        <v>48878</v>
      </c>
    </row>
    <row r="1376" spans="1:18" ht="105" x14ac:dyDescent="0.25">
      <c r="A1376" s="14" t="s">
        <v>8732</v>
      </c>
      <c r="B1376" s="14" t="s">
        <v>8813</v>
      </c>
      <c r="C1376" s="14" t="s">
        <v>8833</v>
      </c>
      <c r="D1376" s="14" t="s">
        <v>8531</v>
      </c>
      <c r="E1376" s="14" t="s">
        <v>4874</v>
      </c>
      <c r="F1376" s="14" t="s">
        <v>4875</v>
      </c>
      <c r="G1376" s="14" t="s">
        <v>37</v>
      </c>
      <c r="H1376" s="14" t="s">
        <v>72</v>
      </c>
      <c r="I1376" s="14"/>
      <c r="J1376" s="14" t="s">
        <v>1710</v>
      </c>
      <c r="K1376" s="14"/>
      <c r="L1376" s="14"/>
      <c r="M1376" s="14" t="s">
        <v>4876</v>
      </c>
      <c r="N1376" s="14"/>
      <c r="O1376" s="14" t="s">
        <v>4877</v>
      </c>
      <c r="P1376" s="14" t="str">
        <f>HYPERLINK("https://ceds.ed.gov/cedselementdetails.aspx?termid=17130")</f>
        <v>https://ceds.ed.gov/cedselementdetails.aspx?termid=17130</v>
      </c>
      <c r="Q1376" s="14" t="str">
        <f>HYPERLINK("https://ceds.ed.gov/elementComment.aspx?elementName=Grade Points Earned Cumulative &amp;elementID=17130", "Click here to submit comment")</f>
        <v>Click here to submit comment</v>
      </c>
      <c r="R1376" s="14">
        <v>48761</v>
      </c>
    </row>
    <row r="1377" spans="1:18" ht="180" x14ac:dyDescent="0.25">
      <c r="A1377" s="14" t="s">
        <v>8732</v>
      </c>
      <c r="B1377" s="14" t="s">
        <v>8813</v>
      </c>
      <c r="C1377" s="14" t="s">
        <v>8833</v>
      </c>
      <c r="D1377" s="14" t="s">
        <v>8531</v>
      </c>
      <c r="E1377" s="14" t="s">
        <v>4845</v>
      </c>
      <c r="F1377" s="14" t="s">
        <v>4846</v>
      </c>
      <c r="G1377" s="14" t="s">
        <v>37</v>
      </c>
      <c r="H1377" s="14" t="s">
        <v>4852</v>
      </c>
      <c r="I1377" s="14"/>
      <c r="J1377" s="14" t="s">
        <v>1112</v>
      </c>
      <c r="K1377" s="14"/>
      <c r="L1377" s="14" t="s">
        <v>4848</v>
      </c>
      <c r="M1377" s="14" t="s">
        <v>4849</v>
      </c>
      <c r="N1377" s="14" t="s">
        <v>4850</v>
      </c>
      <c r="O1377" s="14" t="s">
        <v>4851</v>
      </c>
      <c r="P1377" s="14" t="str">
        <f>HYPERLINK("https://ceds.ed.gov/cedselementdetails.aspx?termid=17128")</f>
        <v>https://ceds.ed.gov/cedselementdetails.aspx?termid=17128</v>
      </c>
      <c r="Q1377" s="14" t="str">
        <f>HYPERLINK("https://ceds.ed.gov/elementComment.aspx?elementName=Grade Point Average Cumulative &amp;elementID=17128", "Click here to submit comment")</f>
        <v>Click here to submit comment</v>
      </c>
      <c r="R1377" s="14">
        <v>48759</v>
      </c>
    </row>
    <row r="1378" spans="1:18" ht="90" x14ac:dyDescent="0.25">
      <c r="A1378" s="14" t="s">
        <v>8732</v>
      </c>
      <c r="B1378" s="14" t="s">
        <v>8813</v>
      </c>
      <c r="C1378" s="14" t="s">
        <v>8833</v>
      </c>
      <c r="D1378" s="14" t="s">
        <v>8531</v>
      </c>
      <c r="E1378" s="14" t="s">
        <v>4860</v>
      </c>
      <c r="F1378" s="14" t="s">
        <v>4861</v>
      </c>
      <c r="G1378" s="14" t="s">
        <v>37</v>
      </c>
      <c r="H1378" s="14" t="s">
        <v>72</v>
      </c>
      <c r="I1378" s="14"/>
      <c r="J1378" s="14" t="s">
        <v>1112</v>
      </c>
      <c r="K1378" s="14"/>
      <c r="L1378" s="14"/>
      <c r="M1378" s="14" t="s">
        <v>4862</v>
      </c>
      <c r="N1378" s="14" t="s">
        <v>4863</v>
      </c>
      <c r="O1378" s="14" t="s">
        <v>4864</v>
      </c>
      <c r="P1378" s="14" t="str">
        <f>HYPERLINK("https://ceds.ed.gov/cedselementdetails.aspx?termid=17129")</f>
        <v>https://ceds.ed.gov/cedselementdetails.aspx?termid=17129</v>
      </c>
      <c r="Q1378" s="14" t="str">
        <f>HYPERLINK("https://ceds.ed.gov/elementComment.aspx?elementName=Grade Point Average Given Session &amp;elementID=17129", "Click here to submit comment")</f>
        <v>Click here to submit comment</v>
      </c>
      <c r="R1378" s="14">
        <v>48760</v>
      </c>
    </row>
    <row r="1379" spans="1:18" ht="120" x14ac:dyDescent="0.25">
      <c r="A1379" s="14" t="s">
        <v>8732</v>
      </c>
      <c r="B1379" s="14" t="s">
        <v>8813</v>
      </c>
      <c r="C1379" s="14" t="s">
        <v>8833</v>
      </c>
      <c r="D1379" s="14" t="s">
        <v>8531</v>
      </c>
      <c r="E1379" s="14" t="s">
        <v>4978</v>
      </c>
      <c r="F1379" s="14" t="s">
        <v>4979</v>
      </c>
      <c r="G1379" s="14" t="s">
        <v>37</v>
      </c>
      <c r="H1379" s="14" t="s">
        <v>4983</v>
      </c>
      <c r="I1379" s="14"/>
      <c r="J1379" s="14" t="s">
        <v>370</v>
      </c>
      <c r="K1379" s="14"/>
      <c r="L1379" s="14"/>
      <c r="M1379" s="14" t="s">
        <v>4981</v>
      </c>
      <c r="N1379" s="14"/>
      <c r="O1379" s="14" t="s">
        <v>4982</v>
      </c>
      <c r="P1379" s="14" t="str">
        <f>HYPERLINK("https://ceds.ed.gov/cedselementdetails.aspx?termid=17041")</f>
        <v>https://ceds.ed.gov/cedselementdetails.aspx?termid=17041</v>
      </c>
      <c r="Q1379" s="14" t="str">
        <f>HYPERLINK("https://ceds.ed.gov/elementComment.aspx?elementName=High School Student Class Rank &amp;elementID=17041", "Click here to submit comment")</f>
        <v>Click here to submit comment</v>
      </c>
      <c r="R1379" s="14">
        <v>47998</v>
      </c>
    </row>
    <row r="1380" spans="1:18" ht="90" x14ac:dyDescent="0.25">
      <c r="A1380" s="14" t="s">
        <v>8732</v>
      </c>
      <c r="B1380" s="14" t="s">
        <v>8813</v>
      </c>
      <c r="C1380" s="14" t="s">
        <v>8833</v>
      </c>
      <c r="D1380" s="14" t="s">
        <v>8531</v>
      </c>
      <c r="E1380" s="14" t="s">
        <v>2360</v>
      </c>
      <c r="F1380" s="14" t="s">
        <v>2361</v>
      </c>
      <c r="G1380" s="14" t="s">
        <v>37</v>
      </c>
      <c r="H1380" s="14" t="s">
        <v>72</v>
      </c>
      <c r="I1380" s="14"/>
      <c r="J1380" s="14" t="s">
        <v>2362</v>
      </c>
      <c r="K1380" s="14"/>
      <c r="L1380" s="14"/>
      <c r="M1380" s="14" t="s">
        <v>2363</v>
      </c>
      <c r="N1380" s="14"/>
      <c r="O1380" s="14" t="s">
        <v>2364</v>
      </c>
      <c r="P1380" s="14" t="str">
        <f>HYPERLINK("https://ceds.ed.gov/cedselementdetails.aspx?termid=17042")</f>
        <v>https://ceds.ed.gov/cedselementdetails.aspx?termid=17042</v>
      </c>
      <c r="Q1380" s="14" t="str">
        <f>HYPERLINK("https://ceds.ed.gov/elementComment.aspx?elementName=Class Ranking Date &amp;elementID=17042", "Click here to submit comment")</f>
        <v>Click here to submit comment</v>
      </c>
      <c r="R1380" s="14">
        <v>47999</v>
      </c>
    </row>
    <row r="1381" spans="1:18" ht="120" x14ac:dyDescent="0.25">
      <c r="A1381" s="14" t="s">
        <v>8732</v>
      </c>
      <c r="B1381" s="14" t="s">
        <v>8813</v>
      </c>
      <c r="C1381" s="14" t="s">
        <v>8833</v>
      </c>
      <c r="D1381" s="14" t="s">
        <v>8531</v>
      </c>
      <c r="E1381" s="14" t="s">
        <v>7794</v>
      </c>
      <c r="F1381" s="14" t="s">
        <v>7795</v>
      </c>
      <c r="G1381" s="14" t="s">
        <v>37</v>
      </c>
      <c r="H1381" s="14" t="s">
        <v>4983</v>
      </c>
      <c r="I1381" s="14"/>
      <c r="J1381" s="14" t="s">
        <v>370</v>
      </c>
      <c r="K1381" s="14"/>
      <c r="L1381" s="14"/>
      <c r="M1381" s="14" t="s">
        <v>7796</v>
      </c>
      <c r="N1381" s="14"/>
      <c r="O1381" s="14" t="s">
        <v>7797</v>
      </c>
      <c r="P1381" s="14" t="str">
        <f>HYPERLINK("https://ceds.ed.gov/cedselementdetails.aspx?termid=17294")</f>
        <v>https://ceds.ed.gov/cedselementdetails.aspx?termid=17294</v>
      </c>
      <c r="Q1381" s="14" t="str">
        <f>HYPERLINK("https://ceds.ed.gov/elementComment.aspx?elementName=Size of High School Graduating Class &amp;elementID=17294", "Click here to submit comment")</f>
        <v>Click here to submit comment</v>
      </c>
      <c r="R1381" s="14">
        <v>48827</v>
      </c>
    </row>
    <row r="1382" spans="1:18" ht="90" x14ac:dyDescent="0.25">
      <c r="A1382" s="14" t="s">
        <v>8732</v>
      </c>
      <c r="B1382" s="14" t="s">
        <v>8813</v>
      </c>
      <c r="C1382" s="14" t="s">
        <v>8833</v>
      </c>
      <c r="D1382" s="14" t="s">
        <v>8531</v>
      </c>
      <c r="E1382" s="14" t="s">
        <v>7183</v>
      </c>
      <c r="F1382" s="14" t="s">
        <v>7184</v>
      </c>
      <c r="G1382" s="14" t="s">
        <v>37</v>
      </c>
      <c r="H1382" s="14" t="s">
        <v>72</v>
      </c>
      <c r="I1382" s="14"/>
      <c r="J1382" s="14" t="s">
        <v>3554</v>
      </c>
      <c r="K1382" s="14"/>
      <c r="L1382" s="14"/>
      <c r="M1382" s="14" t="s">
        <v>7185</v>
      </c>
      <c r="N1382" s="14"/>
      <c r="O1382" s="14" t="s">
        <v>7186</v>
      </c>
      <c r="P1382" s="14" t="str">
        <f>HYPERLINK("https://ceds.ed.gov/cedselementdetails.aspx?termid=17226")</f>
        <v>https://ceds.ed.gov/cedselementdetails.aspx?termid=17226</v>
      </c>
      <c r="Q1382" s="14" t="str">
        <f>HYPERLINK("https://ceds.ed.gov/elementComment.aspx?elementName=Projected Graduation Date &amp;elementID=17226", "Click here to submit comment")</f>
        <v>Click here to submit comment</v>
      </c>
      <c r="R1382" s="14">
        <v>48803</v>
      </c>
    </row>
    <row r="1383" spans="1:18" ht="345" x14ac:dyDescent="0.25">
      <c r="A1383" s="14" t="s">
        <v>8732</v>
      </c>
      <c r="B1383" s="14" t="s">
        <v>8813</v>
      </c>
      <c r="C1383" s="14" t="s">
        <v>8833</v>
      </c>
      <c r="D1383" s="14" t="s">
        <v>8531</v>
      </c>
      <c r="E1383" s="14" t="s">
        <v>66</v>
      </c>
      <c r="F1383" s="14" t="s">
        <v>67</v>
      </c>
      <c r="G1383" s="8" t="s">
        <v>8838</v>
      </c>
      <c r="H1383" s="14" t="s">
        <v>72</v>
      </c>
      <c r="I1383" s="14"/>
      <c r="J1383" s="14"/>
      <c r="K1383" s="14"/>
      <c r="L1383" s="14"/>
      <c r="M1383" s="14" t="s">
        <v>70</v>
      </c>
      <c r="N1383" s="14"/>
      <c r="O1383" s="14" t="s">
        <v>71</v>
      </c>
      <c r="P1383" s="14" t="str">
        <f>HYPERLINK("https://ceds.ed.gov/cedselementdetails.aspx?termid=17004")</f>
        <v>https://ceds.ed.gov/cedselementdetails.aspx?termid=17004</v>
      </c>
      <c r="Q1383" s="14" t="str">
        <f>HYPERLINK("https://ceds.ed.gov/elementComment.aspx?elementName=Academic Honors Type &amp;elementID=17004", "Click here to submit comment")</f>
        <v>Click here to submit comment</v>
      </c>
      <c r="R1383" s="14">
        <v>47988</v>
      </c>
    </row>
    <row r="1384" spans="1:18" ht="90" x14ac:dyDescent="0.25">
      <c r="A1384" s="14" t="s">
        <v>8732</v>
      </c>
      <c r="B1384" s="14" t="s">
        <v>8813</v>
      </c>
      <c r="C1384" s="14" t="s">
        <v>8833</v>
      </c>
      <c r="D1384" s="14" t="s">
        <v>8531</v>
      </c>
      <c r="E1384" s="14" t="s">
        <v>5035</v>
      </c>
      <c r="F1384" s="14" t="s">
        <v>5036</v>
      </c>
      <c r="G1384" s="14" t="s">
        <v>37</v>
      </c>
      <c r="H1384" s="14" t="s">
        <v>72</v>
      </c>
      <c r="I1384" s="14"/>
      <c r="J1384" s="14" t="s">
        <v>62</v>
      </c>
      <c r="K1384" s="14"/>
      <c r="L1384" s="14"/>
      <c r="M1384" s="14" t="s">
        <v>5037</v>
      </c>
      <c r="N1384" s="14"/>
      <c r="O1384" s="14" t="s">
        <v>5038</v>
      </c>
      <c r="P1384" s="14" t="str">
        <f>HYPERLINK("https://ceds.ed.gov/cedselementdetails.aspx?termid=17150")</f>
        <v>https://ceds.ed.gov/cedselementdetails.aspx?termid=17150</v>
      </c>
      <c r="Q1384" s="14" t="str">
        <f>HYPERLINK("https://ceds.ed.gov/elementComment.aspx?elementName=Honors Description &amp;elementID=17150", "Click here to submit comment")</f>
        <v>Click here to submit comment</v>
      </c>
      <c r="R1384" s="14">
        <v>48770</v>
      </c>
    </row>
    <row r="1385" spans="1:18" ht="90" x14ac:dyDescent="0.25">
      <c r="A1385" s="14" t="s">
        <v>8732</v>
      </c>
      <c r="B1385" s="14" t="s">
        <v>8813</v>
      </c>
      <c r="C1385" s="14" t="s">
        <v>8833</v>
      </c>
      <c r="D1385" s="14" t="s">
        <v>8531</v>
      </c>
      <c r="E1385" s="14" t="s">
        <v>2145</v>
      </c>
      <c r="F1385" s="14" t="s">
        <v>2146</v>
      </c>
      <c r="G1385" s="14" t="s">
        <v>24</v>
      </c>
      <c r="H1385" s="14" t="s">
        <v>72</v>
      </c>
      <c r="I1385" s="14"/>
      <c r="J1385" s="14"/>
      <c r="K1385" s="14"/>
      <c r="L1385" s="14"/>
      <c r="M1385" s="14" t="s">
        <v>2148</v>
      </c>
      <c r="N1385" s="14" t="s">
        <v>2149</v>
      </c>
      <c r="O1385" s="14" t="s">
        <v>2150</v>
      </c>
      <c r="P1385" s="14" t="str">
        <f>HYPERLINK("https://ceds.ed.gov/cedselementdetails.aspx?termid=17036")</f>
        <v>https://ceds.ed.gov/cedselementdetails.aspx?termid=17036</v>
      </c>
      <c r="Q1385" s="14" t="str">
        <f>HYPERLINK("https://ceds.ed.gov/elementComment.aspx?elementName=Career and Technical Education Completer &amp;elementID=17036", "Click here to submit comment")</f>
        <v>Click here to submit comment</v>
      </c>
      <c r="R1385" s="14">
        <v>49835</v>
      </c>
    </row>
    <row r="1386" spans="1:18" ht="210" x14ac:dyDescent="0.25">
      <c r="A1386" s="14" t="s">
        <v>8732</v>
      </c>
      <c r="B1386" s="14" t="s">
        <v>8813</v>
      </c>
      <c r="C1386" s="14" t="s">
        <v>8833</v>
      </c>
      <c r="D1386" s="14" t="s">
        <v>8531</v>
      </c>
      <c r="E1386" s="14" t="s">
        <v>7315</v>
      </c>
      <c r="F1386" s="14" t="s">
        <v>7316</v>
      </c>
      <c r="G1386" s="8" t="s">
        <v>8839</v>
      </c>
      <c r="H1386" s="14" t="s">
        <v>72</v>
      </c>
      <c r="I1386" s="14"/>
      <c r="J1386" s="14"/>
      <c r="K1386" s="14"/>
      <c r="L1386" s="14"/>
      <c r="M1386" s="14" t="s">
        <v>7318</v>
      </c>
      <c r="N1386" s="14"/>
      <c r="O1386" s="14" t="s">
        <v>7319</v>
      </c>
      <c r="P1386" s="14" t="str">
        <f>HYPERLINK("https://ceds.ed.gov/cedselementdetails.aspx?termid=17229")</f>
        <v>https://ceds.ed.gov/cedselementdetails.aspx?termid=17229</v>
      </c>
      <c r="Q1386" s="14" t="str">
        <f>HYPERLINK("https://ceds.ed.gov/elementComment.aspx?elementName=Recognition for Participation or Performance in an Activity &amp;elementID=17229", "Click here to submit comment")</f>
        <v>Click here to submit comment</v>
      </c>
      <c r="R1386" s="14">
        <v>48805</v>
      </c>
    </row>
    <row r="1387" spans="1:18" ht="45" x14ac:dyDescent="0.25">
      <c r="A1387" s="14" t="s">
        <v>8732</v>
      </c>
      <c r="B1387" s="14" t="s">
        <v>8813</v>
      </c>
      <c r="C1387" s="14" t="s">
        <v>8833</v>
      </c>
      <c r="D1387" s="14" t="s">
        <v>8531</v>
      </c>
      <c r="E1387" s="14" t="s">
        <v>4052</v>
      </c>
      <c r="F1387" s="14" t="s">
        <v>4053</v>
      </c>
      <c r="G1387" s="8" t="s">
        <v>8840</v>
      </c>
      <c r="H1387" s="14" t="s">
        <v>28</v>
      </c>
      <c r="I1387" s="14"/>
      <c r="J1387" s="14"/>
      <c r="K1387" s="14"/>
      <c r="L1387" s="14"/>
      <c r="M1387" s="14" t="s">
        <v>4055</v>
      </c>
      <c r="N1387" s="14"/>
      <c r="O1387" s="14" t="s">
        <v>4056</v>
      </c>
      <c r="P1387" s="14" t="str">
        <f>HYPERLINK("https://ceds.ed.gov/cedselementdetails.aspx?termid=17093")</f>
        <v>https://ceds.ed.gov/cedselementdetails.aspx?termid=17093</v>
      </c>
      <c r="Q1387" s="14" t="str">
        <f>HYPERLINK("https://ceds.ed.gov/elementComment.aspx?elementName=End of Term Status &amp;elementID=17093", "Click here to submit comment")</f>
        <v>Click here to submit comment</v>
      </c>
      <c r="R1387" s="14">
        <v>48745</v>
      </c>
    </row>
    <row r="1388" spans="1:18" ht="150" x14ac:dyDescent="0.25">
      <c r="A1388" s="14" t="s">
        <v>8732</v>
      </c>
      <c r="B1388" s="14" t="s">
        <v>8813</v>
      </c>
      <c r="C1388" s="14" t="s">
        <v>8833</v>
      </c>
      <c r="D1388" s="14" t="s">
        <v>8531</v>
      </c>
      <c r="E1388" s="14" t="s">
        <v>7187</v>
      </c>
      <c r="F1388" s="14" t="s">
        <v>7188</v>
      </c>
      <c r="G1388" s="8" t="s">
        <v>8841</v>
      </c>
      <c r="H1388" s="14"/>
      <c r="I1388" s="14"/>
      <c r="J1388" s="14"/>
      <c r="K1388" s="14"/>
      <c r="L1388" s="14"/>
      <c r="M1388" s="14" t="s">
        <v>7190</v>
      </c>
      <c r="N1388" s="14"/>
      <c r="O1388" s="14" t="s">
        <v>7191</v>
      </c>
      <c r="P1388" s="14" t="str">
        <f>HYPERLINK("https://ceds.ed.gov/cedselementdetails.aspx?termid=17521")</f>
        <v>https://ceds.ed.gov/cedselementdetails.aspx?termid=17521</v>
      </c>
      <c r="Q1388" s="14" t="str">
        <f>HYPERLINK("https://ceds.ed.gov/elementComment.aspx?elementName=Promotion Reason &amp;elementID=17521", "Click here to submit comment")</f>
        <v>Click here to submit comment</v>
      </c>
      <c r="R1388" s="14">
        <v>48861</v>
      </c>
    </row>
    <row r="1389" spans="1:18" ht="165" x14ac:dyDescent="0.25">
      <c r="A1389" s="14" t="s">
        <v>8732</v>
      </c>
      <c r="B1389" s="14" t="s">
        <v>8813</v>
      </c>
      <c r="C1389" s="14" t="s">
        <v>8833</v>
      </c>
      <c r="D1389" s="14" t="s">
        <v>8531</v>
      </c>
      <c r="E1389" s="14" t="s">
        <v>6413</v>
      </c>
      <c r="F1389" s="14" t="s">
        <v>6414</v>
      </c>
      <c r="G1389" s="8" t="s">
        <v>8842</v>
      </c>
      <c r="H1389" s="14"/>
      <c r="I1389" s="14"/>
      <c r="J1389" s="14"/>
      <c r="K1389" s="14"/>
      <c r="L1389" s="14"/>
      <c r="M1389" s="14" t="s">
        <v>6416</v>
      </c>
      <c r="N1389" s="14"/>
      <c r="O1389" s="14" t="s">
        <v>6417</v>
      </c>
      <c r="P1389" s="14" t="str">
        <f>HYPERLINK("https://ceds.ed.gov/cedselementdetails.aspx?termid=17522")</f>
        <v>https://ceds.ed.gov/cedselementdetails.aspx?termid=17522</v>
      </c>
      <c r="Q1389" s="14" t="str">
        <f>HYPERLINK("https://ceds.ed.gov/elementComment.aspx?elementName=Nonpromotion Reason &amp;elementID=17522", "Click here to submit comment")</f>
        <v>Click here to submit comment</v>
      </c>
      <c r="R1389" s="14">
        <v>48862</v>
      </c>
    </row>
    <row r="1390" spans="1:18" ht="240" x14ac:dyDescent="0.25">
      <c r="A1390" s="14" t="s">
        <v>8732</v>
      </c>
      <c r="B1390" s="14" t="s">
        <v>8813</v>
      </c>
      <c r="C1390" s="14" t="s">
        <v>8833</v>
      </c>
      <c r="D1390" s="14" t="s">
        <v>8531</v>
      </c>
      <c r="E1390" s="14" t="s">
        <v>6106</v>
      </c>
      <c r="F1390" s="14" t="s">
        <v>6107</v>
      </c>
      <c r="G1390" s="8" t="s">
        <v>8843</v>
      </c>
      <c r="H1390" s="14" t="s">
        <v>245</v>
      </c>
      <c r="I1390" s="14"/>
      <c r="J1390" s="14"/>
      <c r="K1390" s="14"/>
      <c r="L1390" s="14"/>
      <c r="M1390" s="14" t="s">
        <v>6109</v>
      </c>
      <c r="N1390" s="14"/>
      <c r="O1390" s="14" t="s">
        <v>6110</v>
      </c>
      <c r="P1390" s="14" t="str">
        <f>HYPERLINK("https://ceds.ed.gov/cedselementdetails.aspx?termid=17456")</f>
        <v>https://ceds.ed.gov/cedselementdetails.aspx?termid=17456</v>
      </c>
      <c r="Q1390" s="14" t="str">
        <f>HYPERLINK("https://ceds.ed.gov/elementComment.aspx?elementName=Literacy Assessment Administered Type &amp;elementID=17456", "Click here to submit comment")</f>
        <v>Click here to submit comment</v>
      </c>
      <c r="R1390" s="14">
        <v>49856</v>
      </c>
    </row>
    <row r="1391" spans="1:18" ht="45" x14ac:dyDescent="0.25">
      <c r="A1391" s="14" t="s">
        <v>8732</v>
      </c>
      <c r="B1391" s="14" t="s">
        <v>8813</v>
      </c>
      <c r="C1391" s="14" t="s">
        <v>8833</v>
      </c>
      <c r="D1391" s="14" t="s">
        <v>8531</v>
      </c>
      <c r="E1391" s="14" t="s">
        <v>6119</v>
      </c>
      <c r="F1391" s="14" t="s">
        <v>6120</v>
      </c>
      <c r="G1391" s="14" t="s">
        <v>24</v>
      </c>
      <c r="H1391" s="14" t="s">
        <v>245</v>
      </c>
      <c r="I1391" s="14"/>
      <c r="J1391" s="14"/>
      <c r="K1391" s="14"/>
      <c r="L1391" s="14"/>
      <c r="M1391" s="14" t="s">
        <v>6121</v>
      </c>
      <c r="N1391" s="14"/>
      <c r="O1391" s="14" t="s">
        <v>6122</v>
      </c>
      <c r="P1391" s="14" t="str">
        <f>HYPERLINK("https://ceds.ed.gov/cedselementdetails.aspx?termid=17459")</f>
        <v>https://ceds.ed.gov/cedselementdetails.aspx?termid=17459</v>
      </c>
      <c r="Q1391" s="14" t="str">
        <f>HYPERLINK("https://ceds.ed.gov/elementComment.aspx?elementName=Literacy Pre Test Status &amp;elementID=17459", "Click here to submit comment")</f>
        <v>Click here to submit comment</v>
      </c>
      <c r="R1391" s="14">
        <v>48853</v>
      </c>
    </row>
    <row r="1392" spans="1:18" ht="45" x14ac:dyDescent="0.25">
      <c r="A1392" s="14" t="s">
        <v>8732</v>
      </c>
      <c r="B1392" s="14" t="s">
        <v>8813</v>
      </c>
      <c r="C1392" s="14" t="s">
        <v>8833</v>
      </c>
      <c r="D1392" s="14" t="s">
        <v>8531</v>
      </c>
      <c r="E1392" s="14" t="s">
        <v>6115</v>
      </c>
      <c r="F1392" s="14" t="s">
        <v>6116</v>
      </c>
      <c r="G1392" s="14" t="s">
        <v>24</v>
      </c>
      <c r="H1392" s="14" t="s">
        <v>245</v>
      </c>
      <c r="I1392" s="14"/>
      <c r="J1392" s="14"/>
      <c r="K1392" s="14"/>
      <c r="L1392" s="14"/>
      <c r="M1392" s="14" t="s">
        <v>6117</v>
      </c>
      <c r="N1392" s="14"/>
      <c r="O1392" s="14" t="s">
        <v>6118</v>
      </c>
      <c r="P1392" s="14" t="str">
        <f>HYPERLINK("https://ceds.ed.gov/cedselementdetails.aspx?termid=17458")</f>
        <v>https://ceds.ed.gov/cedselementdetails.aspx?termid=17458</v>
      </c>
      <c r="Q1392" s="14" t="str">
        <f>HYPERLINK("https://ceds.ed.gov/elementComment.aspx?elementName=Literacy Post Test Status &amp;elementID=17458", "Click here to submit comment")</f>
        <v>Click here to submit comment</v>
      </c>
      <c r="R1392" s="14">
        <v>48852</v>
      </c>
    </row>
    <row r="1393" spans="1:18" ht="60" x14ac:dyDescent="0.25">
      <c r="A1393" s="14" t="s">
        <v>8732</v>
      </c>
      <c r="B1393" s="14" t="s">
        <v>8813</v>
      </c>
      <c r="C1393" s="14" t="s">
        <v>8833</v>
      </c>
      <c r="D1393" s="14" t="s">
        <v>8531</v>
      </c>
      <c r="E1393" s="14" t="s">
        <v>6111</v>
      </c>
      <c r="F1393" s="14" t="s">
        <v>6112</v>
      </c>
      <c r="G1393" s="14" t="s">
        <v>24</v>
      </c>
      <c r="H1393" s="14" t="s">
        <v>245</v>
      </c>
      <c r="I1393" s="14"/>
      <c r="J1393" s="14"/>
      <c r="K1393" s="14"/>
      <c r="L1393" s="14"/>
      <c r="M1393" s="14" t="s">
        <v>6113</v>
      </c>
      <c r="N1393" s="14"/>
      <c r="O1393" s="14" t="s">
        <v>6114</v>
      </c>
      <c r="P1393" s="14" t="str">
        <f>HYPERLINK("https://ceds.ed.gov/cedselementdetails.aspx?termid=17457")</f>
        <v>https://ceds.ed.gov/cedselementdetails.aspx?termid=17457</v>
      </c>
      <c r="Q1393" s="14" t="str">
        <f>HYPERLINK("https://ceds.ed.gov/elementComment.aspx?elementName=Literacy Goal Met Status &amp;elementID=17457", "Click here to submit comment")</f>
        <v>Click here to submit comment</v>
      </c>
      <c r="R1393" s="14">
        <v>48851</v>
      </c>
    </row>
    <row r="1394" spans="1:18" ht="75" x14ac:dyDescent="0.25">
      <c r="A1394" s="14" t="s">
        <v>8732</v>
      </c>
      <c r="B1394" s="14" t="s">
        <v>8813</v>
      </c>
      <c r="C1394" s="14" t="s">
        <v>8833</v>
      </c>
      <c r="D1394" s="14" t="s">
        <v>8531</v>
      </c>
      <c r="E1394" s="14" t="s">
        <v>6772</v>
      </c>
      <c r="F1394" s="14" t="s">
        <v>6773</v>
      </c>
      <c r="G1394" s="8" t="s">
        <v>8844</v>
      </c>
      <c r="H1394" s="14" t="s">
        <v>258</v>
      </c>
      <c r="I1394" s="14"/>
      <c r="J1394" s="14"/>
      <c r="K1394" s="14"/>
      <c r="L1394" s="14"/>
      <c r="M1394" s="14" t="s">
        <v>6774</v>
      </c>
      <c r="N1394" s="14"/>
      <c r="O1394" s="14" t="s">
        <v>6775</v>
      </c>
      <c r="P1394" s="14" t="str">
        <f>HYPERLINK("https://ceds.ed.gov/cedselementdetails.aspx?termid=17579")</f>
        <v>https://ceds.ed.gov/cedselementdetails.aspx?termid=17579</v>
      </c>
      <c r="Q1394" s="14" t="str">
        <f>HYPERLINK("https://ceds.ed.gov/elementComment.aspx?elementName=Postsecondary Enrollment Action &amp;elementID=17579", "Click here to submit comment")</f>
        <v>Click here to submit comment</v>
      </c>
      <c r="R1394" s="14">
        <v>48889</v>
      </c>
    </row>
    <row r="1395" spans="1:18" ht="45" x14ac:dyDescent="0.25">
      <c r="A1395" s="14" t="s">
        <v>8732</v>
      </c>
      <c r="B1395" s="14" t="s">
        <v>8813</v>
      </c>
      <c r="C1395" s="14" t="s">
        <v>8833</v>
      </c>
      <c r="D1395" s="14" t="s">
        <v>8531</v>
      </c>
      <c r="E1395" s="14" t="s">
        <v>2395</v>
      </c>
      <c r="F1395" s="14" t="s">
        <v>2396</v>
      </c>
      <c r="G1395" s="14" t="s">
        <v>37</v>
      </c>
      <c r="H1395" s="14"/>
      <c r="I1395" s="14"/>
      <c r="J1395" s="14" t="s">
        <v>97</v>
      </c>
      <c r="K1395" s="14"/>
      <c r="L1395" s="14"/>
      <c r="M1395" s="14" t="s">
        <v>2397</v>
      </c>
      <c r="N1395" s="14"/>
      <c r="O1395" s="14" t="s">
        <v>2398</v>
      </c>
      <c r="P1395" s="14" t="str">
        <f>HYPERLINK("https://ceds.ed.gov/cedselementdetails.aspx?termid=17687")</f>
        <v>https://ceds.ed.gov/cedselementdetails.aspx?termid=17687</v>
      </c>
      <c r="Q1395" s="14" t="str">
        <f>HYPERLINK("https://ceds.ed.gov/elementComment.aspx?elementName=Cohort Description &amp;elementID=17687", "Click here to submit comment")</f>
        <v>Click here to submit comment</v>
      </c>
      <c r="R1395" s="14">
        <v>48912</v>
      </c>
    </row>
    <row r="1396" spans="1:18" ht="45" x14ac:dyDescent="0.25">
      <c r="A1396" s="14" t="s">
        <v>8732</v>
      </c>
      <c r="B1396" s="14" t="s">
        <v>8813</v>
      </c>
      <c r="C1396" s="14" t="s">
        <v>8833</v>
      </c>
      <c r="D1396" s="14" t="s">
        <v>8531</v>
      </c>
      <c r="E1396" s="14" t="s">
        <v>4904</v>
      </c>
      <c r="F1396" s="14" t="s">
        <v>4905</v>
      </c>
      <c r="G1396" s="14" t="s">
        <v>37</v>
      </c>
      <c r="H1396" s="14"/>
      <c r="I1396" s="14"/>
      <c r="J1396" s="14" t="s">
        <v>2094</v>
      </c>
      <c r="K1396" s="14"/>
      <c r="L1396" s="14"/>
      <c r="M1396" s="14" t="s">
        <v>4906</v>
      </c>
      <c r="N1396" s="14"/>
      <c r="O1396" s="14" t="s">
        <v>4907</v>
      </c>
      <c r="P1396" s="14" t="str">
        <f>HYPERLINK("https://ceds.ed.gov/cedselementdetails.aspx?termid=17132")</f>
        <v>https://ceds.ed.gov/cedselementdetails.aspx?termid=17132</v>
      </c>
      <c r="Q1396" s="14" t="str">
        <f>HYPERLINK("https://ceds.ed.gov/elementComment.aspx?elementName=Graduation Rate Survey Cohort Year &amp;elementID=17132", "Click here to submit comment")</f>
        <v>Click here to submit comment</v>
      </c>
      <c r="R1396" s="14">
        <v>48762</v>
      </c>
    </row>
    <row r="1397" spans="1:18" ht="75" x14ac:dyDescent="0.25">
      <c r="A1397" s="14" t="s">
        <v>8732</v>
      </c>
      <c r="B1397" s="14" t="s">
        <v>8813</v>
      </c>
      <c r="C1397" s="14" t="s">
        <v>8833</v>
      </c>
      <c r="D1397" s="14" t="s">
        <v>8531</v>
      </c>
      <c r="E1397" s="14" t="s">
        <v>4908</v>
      </c>
      <c r="F1397" s="14" t="s">
        <v>4909</v>
      </c>
      <c r="G1397" s="14" t="s">
        <v>24</v>
      </c>
      <c r="H1397" s="14" t="s">
        <v>4912</v>
      </c>
      <c r="I1397" s="14"/>
      <c r="J1397" s="14"/>
      <c r="K1397" s="14"/>
      <c r="L1397" s="14"/>
      <c r="M1397" s="14" t="s">
        <v>4910</v>
      </c>
      <c r="N1397" s="14"/>
      <c r="O1397" s="14" t="s">
        <v>4911</v>
      </c>
      <c r="P1397" s="14" t="str">
        <f>HYPERLINK("https://ceds.ed.gov/cedselementdetails.aspx?termid=17133")</f>
        <v>https://ceds.ed.gov/cedselementdetails.aspx?termid=17133</v>
      </c>
      <c r="Q1397" s="14" t="str">
        <f>HYPERLINK("https://ceds.ed.gov/elementComment.aspx?elementName=Graduation Rate Survey Indicator &amp;elementID=17133", "Click here to submit comment")</f>
        <v>Click here to submit comment</v>
      </c>
      <c r="R1397" s="14">
        <v>48763</v>
      </c>
    </row>
    <row r="1398" spans="1:18" ht="75" x14ac:dyDescent="0.25">
      <c r="A1398" s="14" t="s">
        <v>8732</v>
      </c>
      <c r="B1398" s="14" t="s">
        <v>8813</v>
      </c>
      <c r="C1398" s="14" t="s">
        <v>8833</v>
      </c>
      <c r="D1398" s="14" t="s">
        <v>8531</v>
      </c>
      <c r="E1398" s="14" t="s">
        <v>6814</v>
      </c>
      <c r="F1398" s="14" t="s">
        <v>6815</v>
      </c>
      <c r="G1398" s="8" t="s">
        <v>8845</v>
      </c>
      <c r="H1398" s="14" t="s">
        <v>1455</v>
      </c>
      <c r="I1398" s="14"/>
      <c r="J1398" s="14"/>
      <c r="K1398" s="14"/>
      <c r="L1398" s="14"/>
      <c r="M1398" s="14" t="s">
        <v>6817</v>
      </c>
      <c r="N1398" s="14"/>
      <c r="O1398" s="14" t="s">
        <v>6818</v>
      </c>
      <c r="P1398" s="14" t="str">
        <f>HYPERLINK("https://ceds.ed.gov/cedselementdetails.aspx?termid=17563")</f>
        <v>https://ceds.ed.gov/cedselementdetails.aspx?termid=17563</v>
      </c>
      <c r="Q1398" s="14" t="str">
        <f>HYPERLINK("https://ceds.ed.gov/elementComment.aspx?elementName=Pre and Post Test Indicator &amp;elementID=17563", "Click here to submit comment")</f>
        <v>Click here to submit comment</v>
      </c>
      <c r="R1398" s="14">
        <v>48881</v>
      </c>
    </row>
    <row r="1399" spans="1:18" ht="45" x14ac:dyDescent="0.25">
      <c r="A1399" s="14" t="s">
        <v>8732</v>
      </c>
      <c r="B1399" s="14" t="s">
        <v>8813</v>
      </c>
      <c r="C1399" s="14" t="s">
        <v>8833</v>
      </c>
      <c r="D1399" s="14" t="s">
        <v>8531</v>
      </c>
      <c r="E1399" s="14" t="s">
        <v>7057</v>
      </c>
      <c r="F1399" s="14" t="s">
        <v>7058</v>
      </c>
      <c r="G1399" s="8" t="s">
        <v>8846</v>
      </c>
      <c r="H1399" s="14" t="s">
        <v>258</v>
      </c>
      <c r="I1399" s="14"/>
      <c r="J1399" s="14"/>
      <c r="K1399" s="14"/>
      <c r="L1399" s="14"/>
      <c r="M1399" s="14" t="s">
        <v>7061</v>
      </c>
      <c r="N1399" s="14"/>
      <c r="O1399" s="14" t="s">
        <v>7062</v>
      </c>
      <c r="P1399" s="14" t="str">
        <f>HYPERLINK("https://ceds.ed.gov/cedselementdetails.aspx?termid=17565")</f>
        <v>https://ceds.ed.gov/cedselementdetails.aspx?termid=17565</v>
      </c>
      <c r="Q1399" s="14" t="str">
        <f>HYPERLINK("https://ceds.ed.gov/elementComment.aspx?elementName=Proficiency Status &amp;elementID=17565", "Click here to submit comment")</f>
        <v>Click here to submit comment</v>
      </c>
      <c r="R1399" s="14">
        <v>48882</v>
      </c>
    </row>
    <row r="1400" spans="1:18" ht="165" x14ac:dyDescent="0.25">
      <c r="A1400" s="14" t="s">
        <v>8732</v>
      </c>
      <c r="B1400" s="14" t="s">
        <v>8813</v>
      </c>
      <c r="C1400" s="14" t="s">
        <v>8833</v>
      </c>
      <c r="D1400" s="14" t="s">
        <v>8531</v>
      </c>
      <c r="E1400" s="14" t="s">
        <v>7178</v>
      </c>
      <c r="F1400" s="14" t="s">
        <v>7179</v>
      </c>
      <c r="G1400" s="8" t="s">
        <v>8847</v>
      </c>
      <c r="H1400" s="14" t="s">
        <v>258</v>
      </c>
      <c r="I1400" s="14"/>
      <c r="J1400" s="14"/>
      <c r="K1400" s="14"/>
      <c r="L1400" s="14"/>
      <c r="M1400" s="14" t="s">
        <v>7181</v>
      </c>
      <c r="N1400" s="14"/>
      <c r="O1400" s="14" t="s">
        <v>7182</v>
      </c>
      <c r="P1400" s="14" t="str">
        <f>HYPERLINK("https://ceds.ed.gov/cedselementdetails.aspx?termid=17553")</f>
        <v>https://ceds.ed.gov/cedselementdetails.aspx?termid=17553</v>
      </c>
      <c r="Q1400" s="14" t="str">
        <f>HYPERLINK("https://ceds.ed.gov/elementComment.aspx?elementName=Progress Level &amp;elementID=17553", "Click here to submit comment")</f>
        <v>Click here to submit comment</v>
      </c>
      <c r="R1400" s="14">
        <v>48874</v>
      </c>
    </row>
    <row r="1401" spans="1:18" ht="45" x14ac:dyDescent="0.25">
      <c r="A1401" s="14" t="s">
        <v>8732</v>
      </c>
      <c r="B1401" s="14" t="s">
        <v>8813</v>
      </c>
      <c r="C1401" s="14" t="s">
        <v>8833</v>
      </c>
      <c r="D1401" s="14" t="s">
        <v>8531</v>
      </c>
      <c r="E1401" s="14" t="s">
        <v>2189</v>
      </c>
      <c r="F1401" s="14" t="s">
        <v>2190</v>
      </c>
      <c r="G1401" s="14" t="s">
        <v>37</v>
      </c>
      <c r="H1401" s="14"/>
      <c r="I1401" s="14"/>
      <c r="J1401" s="14" t="s">
        <v>135</v>
      </c>
      <c r="K1401" s="14"/>
      <c r="L1401" s="14"/>
      <c r="M1401" s="14" t="s">
        <v>2192</v>
      </c>
      <c r="N1401" s="14"/>
      <c r="O1401" s="14" t="s">
        <v>2193</v>
      </c>
      <c r="P1401" s="14" t="str">
        <f>HYPERLINK("https://ceds.ed.gov/cedselementdetails.aspx?termid=18255")</f>
        <v>https://ceds.ed.gov/cedselementdetails.aspx?termid=18255</v>
      </c>
      <c r="Q1401" s="14" t="str">
        <f>HYPERLINK("https://ceds.ed.gov/elementComment.aspx?elementName=Career Education Plan Date &amp;elementID=18255", "Click here to submit comment")</f>
        <v>Click here to submit comment</v>
      </c>
      <c r="R1401" s="14">
        <v>50078</v>
      </c>
    </row>
    <row r="1402" spans="1:18" ht="75" x14ac:dyDescent="0.25">
      <c r="A1402" s="14" t="s">
        <v>8732</v>
      </c>
      <c r="B1402" s="14" t="s">
        <v>8813</v>
      </c>
      <c r="C1402" s="14" t="s">
        <v>8833</v>
      </c>
      <c r="D1402" s="14" t="s">
        <v>8531</v>
      </c>
      <c r="E1402" s="14" t="s">
        <v>2194</v>
      </c>
      <c r="F1402" s="14" t="s">
        <v>2195</v>
      </c>
      <c r="G1402" s="8" t="s">
        <v>8660</v>
      </c>
      <c r="H1402" s="14"/>
      <c r="I1402" s="14" t="s">
        <v>195</v>
      </c>
      <c r="J1402" s="14"/>
      <c r="K1402" s="14" t="s">
        <v>2197</v>
      </c>
      <c r="L1402" s="14"/>
      <c r="M1402" s="14" t="s">
        <v>2198</v>
      </c>
      <c r="N1402" s="14"/>
      <c r="O1402" s="14" t="s">
        <v>2199</v>
      </c>
      <c r="P1402" s="14" t="str">
        <f>HYPERLINK("https://ceds.ed.gov/cedselementdetails.aspx?termid=18256")</f>
        <v>https://ceds.ed.gov/cedselementdetails.aspx?termid=18256</v>
      </c>
      <c r="Q1402" s="14" t="str">
        <f>HYPERLINK("https://ceds.ed.gov/elementComment.aspx?elementName=Career Education Plan Type &amp;elementID=18256", "Click here to submit comment")</f>
        <v>Click here to submit comment</v>
      </c>
      <c r="R1402" s="14">
        <v>50081</v>
      </c>
    </row>
    <row r="1403" spans="1:18" ht="45" x14ac:dyDescent="0.25">
      <c r="A1403" s="14" t="s">
        <v>8732</v>
      </c>
      <c r="B1403" s="14" t="s">
        <v>8813</v>
      </c>
      <c r="C1403" s="14" t="s">
        <v>8833</v>
      </c>
      <c r="D1403" s="14" t="s">
        <v>8531</v>
      </c>
      <c r="E1403" s="14" t="s">
        <v>2931</v>
      </c>
      <c r="F1403" s="14" t="s">
        <v>2932</v>
      </c>
      <c r="G1403" s="14" t="s">
        <v>37</v>
      </c>
      <c r="H1403" s="14"/>
      <c r="I1403" s="14"/>
      <c r="J1403" s="14" t="s">
        <v>175</v>
      </c>
      <c r="K1403" s="14"/>
      <c r="L1403" s="14"/>
      <c r="M1403" s="14" t="s">
        <v>2934</v>
      </c>
      <c r="N1403" s="14"/>
      <c r="O1403" s="14" t="s">
        <v>2935</v>
      </c>
      <c r="P1403" s="14" t="str">
        <f>HYPERLINK("https://ceds.ed.gov/cedselementdetails.aspx?termid=18525")</f>
        <v>https://ceds.ed.gov/cedselementdetails.aspx?termid=18525</v>
      </c>
      <c r="Q1403" s="14" t="str">
        <f>HYPERLINK("https://ceds.ed.gov/elementComment.aspx?elementName=Course Department Name &amp;elementID=18525", "Click here to submit comment")</f>
        <v>Click here to submit comment</v>
      </c>
      <c r="R1403" s="14">
        <v>50836</v>
      </c>
    </row>
    <row r="1404" spans="1:18" ht="45" x14ac:dyDescent="0.25">
      <c r="A1404" s="14" t="s">
        <v>8732</v>
      </c>
      <c r="B1404" s="14" t="s">
        <v>8813</v>
      </c>
      <c r="C1404" s="14" t="s">
        <v>8833</v>
      </c>
      <c r="D1404" s="14" t="s">
        <v>8531</v>
      </c>
      <c r="E1404" s="14" t="s">
        <v>8051</v>
      </c>
      <c r="F1404" s="14" t="s">
        <v>8052</v>
      </c>
      <c r="G1404" s="14" t="s">
        <v>37</v>
      </c>
      <c r="H1404" s="14"/>
      <c r="I1404" s="14"/>
      <c r="J1404" s="14" t="s">
        <v>129</v>
      </c>
      <c r="K1404" s="14"/>
      <c r="L1404" s="14"/>
      <c r="M1404" s="14" t="s">
        <v>8054</v>
      </c>
      <c r="N1404" s="14"/>
      <c r="O1404" s="14" t="s">
        <v>8055</v>
      </c>
      <c r="P1404" s="14" t="str">
        <f>HYPERLINK("https://ceds.ed.gov/cedselementdetails.aspx?termid=18552")</f>
        <v>https://ceds.ed.gov/cedselementdetails.aspx?termid=18552</v>
      </c>
      <c r="Q1404" s="14" t="str">
        <f>HYPERLINK("https://ceds.ed.gov/elementComment.aspx?elementName=Student Course Section Grade Narrative &amp;elementID=18552", "Click here to submit comment")</f>
        <v>Click here to submit comment</v>
      </c>
      <c r="R1404" s="14">
        <v>50927</v>
      </c>
    </row>
    <row r="1405" spans="1:18" ht="75" x14ac:dyDescent="0.25">
      <c r="A1405" s="14" t="s">
        <v>8732</v>
      </c>
      <c r="B1405" s="14" t="s">
        <v>8813</v>
      </c>
      <c r="C1405" s="14" t="s">
        <v>8833</v>
      </c>
      <c r="D1405" s="14" t="s">
        <v>8541</v>
      </c>
      <c r="E1405" s="14" t="s">
        <v>4865</v>
      </c>
      <c r="F1405" s="14" t="s">
        <v>4866</v>
      </c>
      <c r="G1405" s="8" t="s">
        <v>8848</v>
      </c>
      <c r="H1405" s="14" t="s">
        <v>4873</v>
      </c>
      <c r="I1405" s="14" t="s">
        <v>195</v>
      </c>
      <c r="J1405" s="14"/>
      <c r="K1405" s="14" t="s">
        <v>4869</v>
      </c>
      <c r="L1405" s="14"/>
      <c r="M1405" s="14" t="s">
        <v>4870</v>
      </c>
      <c r="N1405" s="14" t="s">
        <v>4871</v>
      </c>
      <c r="O1405" s="14" t="s">
        <v>4872</v>
      </c>
      <c r="P1405" s="14" t="str">
        <f>HYPERLINK("https://ceds.ed.gov/cedselementdetails.aspx?termid=17123")</f>
        <v>https://ceds.ed.gov/cedselementdetails.aspx?termid=17123</v>
      </c>
      <c r="Q1405" s="14" t="str">
        <f>HYPERLINK("https://ceds.ed.gov/elementComment.aspx?elementName=Grade Point Average Weighted Indicator &amp;elementID=17123", "Click here to submit comment")</f>
        <v>Click here to submit comment</v>
      </c>
      <c r="R1405" s="14">
        <v>52339</v>
      </c>
    </row>
    <row r="1406" spans="1:18" ht="90" x14ac:dyDescent="0.25">
      <c r="A1406" s="14" t="s">
        <v>8732</v>
      </c>
      <c r="B1406" s="14" t="s">
        <v>8813</v>
      </c>
      <c r="C1406" s="14" t="s">
        <v>8849</v>
      </c>
      <c r="D1406" s="14" t="s">
        <v>8531</v>
      </c>
      <c r="E1406" s="14" t="s">
        <v>173</v>
      </c>
      <c r="F1406" s="14" t="s">
        <v>174</v>
      </c>
      <c r="G1406" s="14" t="s">
        <v>37</v>
      </c>
      <c r="H1406" s="14" t="s">
        <v>72</v>
      </c>
      <c r="I1406" s="14"/>
      <c r="J1406" s="14" t="s">
        <v>175</v>
      </c>
      <c r="K1406" s="14"/>
      <c r="L1406" s="14"/>
      <c r="M1406" s="14" t="s">
        <v>176</v>
      </c>
      <c r="N1406" s="14"/>
      <c r="O1406" s="14" t="s">
        <v>177</v>
      </c>
      <c r="P1406" s="14" t="str">
        <f>HYPERLINK("https://ceds.ed.gov/cedselementdetails.aspx?termid=17009")</f>
        <v>https://ceds.ed.gov/cedselementdetails.aspx?termid=17009</v>
      </c>
      <c r="Q1406" s="14" t="str">
        <f>HYPERLINK("https://ceds.ed.gov/elementComment.aspx?elementName=Activity Title &amp;elementID=17009", "Click here to submit comment")</f>
        <v>Click here to submit comment</v>
      </c>
      <c r="R1406" s="14">
        <v>48916</v>
      </c>
    </row>
    <row r="1407" spans="1:18" ht="105" x14ac:dyDescent="0.25">
      <c r="A1407" s="16" t="s">
        <v>8732</v>
      </c>
      <c r="B1407" s="16" t="s">
        <v>8813</v>
      </c>
      <c r="C1407" s="16" t="s">
        <v>8849</v>
      </c>
      <c r="D1407" s="16" t="s">
        <v>8531</v>
      </c>
      <c r="E1407" s="16" t="s">
        <v>147</v>
      </c>
      <c r="F1407" s="16" t="s">
        <v>148</v>
      </c>
      <c r="G1407" s="16" t="s">
        <v>37</v>
      </c>
      <c r="H1407" s="16" t="s">
        <v>72</v>
      </c>
      <c r="I1407" s="16"/>
      <c r="J1407" s="16" t="s">
        <v>149</v>
      </c>
      <c r="K1407" s="16"/>
      <c r="L1407" s="14" t="s">
        <v>150</v>
      </c>
      <c r="M1407" s="16" t="s">
        <v>151</v>
      </c>
      <c r="N1407" s="16"/>
      <c r="O1407" s="16" t="s">
        <v>152</v>
      </c>
      <c r="P1407" s="16" t="str">
        <f>HYPERLINK("https://ceds.ed.gov/cedselementdetails.aspx?termid=17006")</f>
        <v>https://ceds.ed.gov/cedselementdetails.aspx?termid=17006</v>
      </c>
      <c r="Q1407" s="16" t="str">
        <f>HYPERLINK("https://ceds.ed.gov/elementComment.aspx?elementName=Activity Identifier &amp;elementID=17006", "Click here to submit comment")</f>
        <v>Click here to submit comment</v>
      </c>
      <c r="R1407" s="16">
        <v>48915</v>
      </c>
    </row>
    <row r="1408" spans="1:18" x14ac:dyDescent="0.25">
      <c r="A1408" s="16"/>
      <c r="B1408" s="16"/>
      <c r="C1408" s="16"/>
      <c r="D1408" s="16"/>
      <c r="E1408" s="16"/>
      <c r="F1408" s="16"/>
      <c r="G1408" s="16"/>
      <c r="H1408" s="16"/>
      <c r="I1408" s="16"/>
      <c r="J1408" s="16"/>
      <c r="K1408" s="16"/>
      <c r="L1408" s="14"/>
      <c r="M1408" s="16"/>
      <c r="N1408" s="16"/>
      <c r="O1408" s="16"/>
      <c r="P1408" s="16"/>
      <c r="Q1408" s="16"/>
      <c r="R1408" s="16"/>
    </row>
    <row r="1409" spans="1:18" ht="90" x14ac:dyDescent="0.25">
      <c r="A1409" s="16"/>
      <c r="B1409" s="16"/>
      <c r="C1409" s="16"/>
      <c r="D1409" s="16"/>
      <c r="E1409" s="16"/>
      <c r="F1409" s="16"/>
      <c r="G1409" s="16"/>
      <c r="H1409" s="16"/>
      <c r="I1409" s="16"/>
      <c r="J1409" s="16"/>
      <c r="K1409" s="16"/>
      <c r="L1409" s="14" t="s">
        <v>153</v>
      </c>
      <c r="M1409" s="16"/>
      <c r="N1409" s="16"/>
      <c r="O1409" s="16"/>
      <c r="P1409" s="16"/>
      <c r="Q1409" s="16"/>
      <c r="R1409" s="16"/>
    </row>
    <row r="1410" spans="1:18" ht="90" x14ac:dyDescent="0.25">
      <c r="A1410" s="14" t="s">
        <v>8732</v>
      </c>
      <c r="B1410" s="14" t="s">
        <v>8813</v>
      </c>
      <c r="C1410" s="14" t="s">
        <v>8849</v>
      </c>
      <c r="D1410" s="14" t="s">
        <v>8531</v>
      </c>
      <c r="E1410" s="14" t="s">
        <v>142</v>
      </c>
      <c r="F1410" s="14" t="s">
        <v>143</v>
      </c>
      <c r="G1410" s="14" t="s">
        <v>37</v>
      </c>
      <c r="H1410" s="14"/>
      <c r="I1410" s="14"/>
      <c r="J1410" s="14" t="s">
        <v>129</v>
      </c>
      <c r="K1410" s="14"/>
      <c r="L1410" s="14"/>
      <c r="M1410" s="14" t="s">
        <v>145</v>
      </c>
      <c r="N1410" s="14"/>
      <c r="O1410" s="14" t="s">
        <v>146</v>
      </c>
      <c r="P1410" s="14" t="str">
        <f>HYPERLINK("https://ceds.ed.gov/cedselementdetails.aspx?termid=18505")</f>
        <v>https://ceds.ed.gov/cedselementdetails.aspx?termid=18505</v>
      </c>
      <c r="Q1410" s="14" t="str">
        <f>HYPERLINK("https://ceds.ed.gov/elementComment.aspx?elementName=Activity Description &amp;elementID=18505", "Click here to submit comment")</f>
        <v>Click here to submit comment</v>
      </c>
      <c r="R1410" s="14">
        <v>50769</v>
      </c>
    </row>
    <row r="1411" spans="1:18" ht="90" x14ac:dyDescent="0.25">
      <c r="A1411" s="14" t="s">
        <v>8732</v>
      </c>
      <c r="B1411" s="14" t="s">
        <v>8813</v>
      </c>
      <c r="C1411" s="14" t="s">
        <v>8849</v>
      </c>
      <c r="D1411" s="14" t="s">
        <v>8531</v>
      </c>
      <c r="E1411" s="14" t="s">
        <v>154</v>
      </c>
      <c r="F1411" s="14" t="s">
        <v>155</v>
      </c>
      <c r="G1411" s="14" t="s">
        <v>37</v>
      </c>
      <c r="H1411" s="14" t="s">
        <v>72</v>
      </c>
      <c r="I1411" s="14"/>
      <c r="J1411" s="14" t="s">
        <v>135</v>
      </c>
      <c r="K1411" s="14"/>
      <c r="L1411" s="14"/>
      <c r="M1411" s="14" t="s">
        <v>156</v>
      </c>
      <c r="N1411" s="14"/>
      <c r="O1411" s="14" t="s">
        <v>157</v>
      </c>
      <c r="P1411" s="14" t="str">
        <f>HYPERLINK("https://ceds.ed.gov/cedselementdetails.aspx?termid=17007")</f>
        <v>https://ceds.ed.gov/cedselementdetails.aspx?termid=17007</v>
      </c>
      <c r="Q1411" s="14" t="str">
        <f>HYPERLINK("https://ceds.ed.gov/elementComment.aspx?elementName=Activity Involvement Begin Date &amp;elementID=17007", "Click here to submit comment")</f>
        <v>Click here to submit comment</v>
      </c>
      <c r="R1411" s="14">
        <v>50762</v>
      </c>
    </row>
    <row r="1412" spans="1:18" ht="90" x14ac:dyDescent="0.25">
      <c r="A1412" s="14" t="s">
        <v>8732</v>
      </c>
      <c r="B1412" s="14" t="s">
        <v>8813</v>
      </c>
      <c r="C1412" s="14" t="s">
        <v>8849</v>
      </c>
      <c r="D1412" s="14" t="s">
        <v>8531</v>
      </c>
      <c r="E1412" s="14" t="s">
        <v>158</v>
      </c>
      <c r="F1412" s="14" t="s">
        <v>159</v>
      </c>
      <c r="G1412" s="14" t="s">
        <v>37</v>
      </c>
      <c r="H1412" s="14" t="s">
        <v>72</v>
      </c>
      <c r="I1412" s="14"/>
      <c r="J1412" s="14" t="s">
        <v>135</v>
      </c>
      <c r="K1412" s="14"/>
      <c r="L1412" s="14" t="s">
        <v>160</v>
      </c>
      <c r="M1412" s="14" t="s">
        <v>161</v>
      </c>
      <c r="N1412" s="14"/>
      <c r="O1412" s="14" t="s">
        <v>162</v>
      </c>
      <c r="P1412" s="14" t="str">
        <f>HYPERLINK("https://ceds.ed.gov/cedselementdetails.aspx?termid=17008")</f>
        <v>https://ceds.ed.gov/cedselementdetails.aspx?termid=17008</v>
      </c>
      <c r="Q1412" s="14" t="str">
        <f>HYPERLINK("https://ceds.ed.gov/elementComment.aspx?elementName=Activity Involvement End Date &amp;elementID=17008", "Click here to submit comment")</f>
        <v>Click here to submit comment</v>
      </c>
      <c r="R1412" s="14">
        <v>50763</v>
      </c>
    </row>
    <row r="1413" spans="1:18" ht="90" x14ac:dyDescent="0.25">
      <c r="A1413" s="14" t="s">
        <v>8732</v>
      </c>
      <c r="B1413" s="14" t="s">
        <v>8813</v>
      </c>
      <c r="C1413" s="14" t="s">
        <v>8849</v>
      </c>
      <c r="D1413" s="14" t="s">
        <v>8531</v>
      </c>
      <c r="E1413" s="14" t="s">
        <v>163</v>
      </c>
      <c r="F1413" s="14" t="s">
        <v>164</v>
      </c>
      <c r="G1413" s="14" t="s">
        <v>37</v>
      </c>
      <c r="H1413" s="14"/>
      <c r="I1413" s="14"/>
      <c r="J1413" s="14" t="s">
        <v>165</v>
      </c>
      <c r="K1413" s="14"/>
      <c r="L1413" s="14"/>
      <c r="M1413" s="14" t="s">
        <v>166</v>
      </c>
      <c r="N1413" s="14"/>
      <c r="O1413" s="14" t="s">
        <v>167</v>
      </c>
      <c r="P1413" s="14" t="str">
        <f>HYPERLINK("https://ceds.ed.gov/cedselementdetails.aspx?termid=18502")</f>
        <v>https://ceds.ed.gov/cedselementdetails.aspx?termid=18502</v>
      </c>
      <c r="Q1413" s="14" t="str">
        <f>HYPERLINK("https://ceds.ed.gov/elementComment.aspx?elementName=Activity Time Involved &amp;elementID=18502", "Click here to submit comment")</f>
        <v>Click here to submit comment</v>
      </c>
      <c r="R1413" s="14">
        <v>50759</v>
      </c>
    </row>
    <row r="1414" spans="1:18" ht="105" x14ac:dyDescent="0.25">
      <c r="A1414" s="14" t="s">
        <v>8732</v>
      </c>
      <c r="B1414" s="14" t="s">
        <v>8813</v>
      </c>
      <c r="C1414" s="14" t="s">
        <v>8849</v>
      </c>
      <c r="D1414" s="14" t="s">
        <v>8531</v>
      </c>
      <c r="E1414" s="14" t="s">
        <v>168</v>
      </c>
      <c r="F1414" s="14" t="s">
        <v>169</v>
      </c>
      <c r="G1414" s="8" t="s">
        <v>8827</v>
      </c>
      <c r="H1414" s="14"/>
      <c r="I1414" s="14"/>
      <c r="J1414" s="14"/>
      <c r="K1414" s="14"/>
      <c r="L1414" s="14"/>
      <c r="M1414" s="14" t="s">
        <v>171</v>
      </c>
      <c r="N1414" s="14"/>
      <c r="O1414" s="14" t="s">
        <v>172</v>
      </c>
      <c r="P1414" s="14" t="str">
        <f>HYPERLINK("https://ceds.ed.gov/cedselementdetails.aspx?termid=18503")</f>
        <v>https://ceds.ed.gov/cedselementdetails.aspx?termid=18503</v>
      </c>
      <c r="Q1414" s="14" t="str">
        <f>HYPERLINK("https://ceds.ed.gov/elementComment.aspx?elementName=Activity Time Measurement Type &amp;elementID=18503", "Click here to submit comment")</f>
        <v>Click here to submit comment</v>
      </c>
      <c r="R1414" s="14">
        <v>50761</v>
      </c>
    </row>
    <row r="1415" spans="1:18" ht="135" x14ac:dyDescent="0.25">
      <c r="A1415" s="14" t="s">
        <v>8732</v>
      </c>
      <c r="B1415" s="14" t="s">
        <v>8813</v>
      </c>
      <c r="C1415" s="14" t="s">
        <v>8850</v>
      </c>
      <c r="D1415" s="14" t="s">
        <v>8531</v>
      </c>
      <c r="E1415" s="14" t="s">
        <v>3551</v>
      </c>
      <c r="F1415" s="14" t="s">
        <v>3552</v>
      </c>
      <c r="G1415" s="14" t="s">
        <v>37</v>
      </c>
      <c r="H1415" s="14" t="s">
        <v>3557</v>
      </c>
      <c r="I1415" s="14"/>
      <c r="J1415" s="14" t="s">
        <v>3554</v>
      </c>
      <c r="K1415" s="14"/>
      <c r="L1415" s="14"/>
      <c r="M1415" s="14" t="s">
        <v>3555</v>
      </c>
      <c r="N1415" s="14"/>
      <c r="O1415" s="14" t="s">
        <v>3556</v>
      </c>
      <c r="P1415" s="14" t="str">
        <f>HYPERLINK("https://ceds.ed.gov/cedselementdetails.aspx?termid=17081")</f>
        <v>https://ceds.ed.gov/cedselementdetails.aspx?termid=17081</v>
      </c>
      <c r="Q1415" s="14" t="str">
        <f>HYPERLINK("https://ceds.ed.gov/elementComment.aspx?elementName=Diploma or Credential Award Date &amp;elementID=17081", "Click here to submit comment")</f>
        <v>Click here to submit comment</v>
      </c>
      <c r="R1415" s="14">
        <v>48737</v>
      </c>
    </row>
    <row r="1416" spans="1:18" ht="270" x14ac:dyDescent="0.25">
      <c r="A1416" s="14" t="s">
        <v>8732</v>
      </c>
      <c r="B1416" s="14" t="s">
        <v>8813</v>
      </c>
      <c r="C1416" s="14" t="s">
        <v>8850</v>
      </c>
      <c r="D1416" s="14" t="s">
        <v>8531</v>
      </c>
      <c r="E1416" s="14" t="s">
        <v>4959</v>
      </c>
      <c r="F1416" s="14" t="s">
        <v>4960</v>
      </c>
      <c r="G1416" s="8" t="s">
        <v>8851</v>
      </c>
      <c r="H1416" s="14" t="s">
        <v>4966</v>
      </c>
      <c r="I1416" s="14"/>
      <c r="J1416" s="14"/>
      <c r="K1416" s="14"/>
      <c r="L1416" s="14" t="s">
        <v>4963</v>
      </c>
      <c r="M1416" s="14" t="s">
        <v>4964</v>
      </c>
      <c r="N1416" s="14"/>
      <c r="O1416" s="14" t="s">
        <v>4965</v>
      </c>
      <c r="P1416" s="14" t="str">
        <f>HYPERLINK("https://ceds.ed.gov/cedselementdetails.aspx?termid=17138")</f>
        <v>https://ceds.ed.gov/cedselementdetails.aspx?termid=17138</v>
      </c>
      <c r="Q1416" s="14" t="str">
        <f>HYPERLINK("https://ceds.ed.gov/elementComment.aspx?elementName=High School Diploma Type &amp;elementID=17138", "Click here to submit comment")</f>
        <v>Click here to submit comment</v>
      </c>
      <c r="R1416" s="14">
        <v>48764</v>
      </c>
    </row>
    <row r="1417" spans="1:18" ht="105" x14ac:dyDescent="0.25">
      <c r="A1417" s="14" t="s">
        <v>8732</v>
      </c>
      <c r="B1417" s="14" t="s">
        <v>8813</v>
      </c>
      <c r="C1417" s="14" t="s">
        <v>8850</v>
      </c>
      <c r="D1417" s="14" t="s">
        <v>8531</v>
      </c>
      <c r="E1417" s="14" t="s">
        <v>4953</v>
      </c>
      <c r="F1417" s="14" t="s">
        <v>4954</v>
      </c>
      <c r="G1417" s="8" t="s">
        <v>8852</v>
      </c>
      <c r="H1417" s="14"/>
      <c r="I1417" s="14"/>
      <c r="J1417" s="14"/>
      <c r="K1417" s="14"/>
      <c r="L1417" s="14"/>
      <c r="M1417" s="14" t="s">
        <v>4957</v>
      </c>
      <c r="N1417" s="14"/>
      <c r="O1417" s="14" t="s">
        <v>4958</v>
      </c>
      <c r="P1417" s="14" t="str">
        <f>HYPERLINK("https://ceds.ed.gov/cedselementdetails.aspx?termid=17689")</f>
        <v>https://ceds.ed.gov/cedselementdetails.aspx?termid=17689</v>
      </c>
      <c r="Q1417" s="14" t="str">
        <f>HYPERLINK("https://ceds.ed.gov/elementComment.aspx?elementName=High School Diploma Distinction Type &amp;elementID=17689", "Click here to submit comment")</f>
        <v>Click here to submit comment</v>
      </c>
      <c r="R1417" s="14">
        <v>48913</v>
      </c>
    </row>
    <row r="1418" spans="1:18" ht="60" x14ac:dyDescent="0.25">
      <c r="A1418" s="14" t="s">
        <v>8732</v>
      </c>
      <c r="B1418" s="14" t="s">
        <v>8813</v>
      </c>
      <c r="C1418" s="14" t="s">
        <v>8850</v>
      </c>
      <c r="D1418" s="14" t="s">
        <v>8531</v>
      </c>
      <c r="E1418" s="14" t="s">
        <v>35</v>
      </c>
      <c r="F1418" s="14" t="s">
        <v>36</v>
      </c>
      <c r="G1418" s="14" t="s">
        <v>37</v>
      </c>
      <c r="H1418" s="14" t="s">
        <v>42</v>
      </c>
      <c r="I1418" s="14"/>
      <c r="J1418" s="14" t="s">
        <v>39</v>
      </c>
      <c r="K1418" s="14"/>
      <c r="L1418" s="14"/>
      <c r="M1418" s="14" t="s">
        <v>40</v>
      </c>
      <c r="N1418" s="14"/>
      <c r="O1418" s="14" t="s">
        <v>41</v>
      </c>
      <c r="P1418" s="14" t="str">
        <f>HYPERLINK("https://ceds.ed.gov/cedselementdetails.aspx?termid=17001")</f>
        <v>https://ceds.ed.gov/cedselementdetails.aspx?termid=17001</v>
      </c>
      <c r="Q1418" s="14" t="str">
        <f>HYPERLINK("https://ceds.ed.gov/elementComment.aspx?elementName=Academic Award Date &amp;elementID=17001", "Click here to submit comment")</f>
        <v>Click here to submit comment</v>
      </c>
      <c r="R1418" s="14">
        <v>51675</v>
      </c>
    </row>
    <row r="1419" spans="1:18" ht="285" x14ac:dyDescent="0.25">
      <c r="A1419" s="14" t="s">
        <v>8732</v>
      </c>
      <c r="B1419" s="14" t="s">
        <v>8813</v>
      </c>
      <c r="C1419" s="14" t="s">
        <v>8850</v>
      </c>
      <c r="D1419" s="14" t="s">
        <v>8531</v>
      </c>
      <c r="E1419" s="14" t="s">
        <v>43</v>
      </c>
      <c r="F1419" s="14" t="s">
        <v>44</v>
      </c>
      <c r="G1419" s="8" t="s">
        <v>8853</v>
      </c>
      <c r="H1419" s="14" t="s">
        <v>48</v>
      </c>
      <c r="I1419" s="14"/>
      <c r="J1419" s="14"/>
      <c r="K1419" s="14"/>
      <c r="L1419" s="14"/>
      <c r="M1419" s="14" t="s">
        <v>46</v>
      </c>
      <c r="N1419" s="14"/>
      <c r="O1419" s="14" t="s">
        <v>47</v>
      </c>
      <c r="P1419" s="14" t="str">
        <f>HYPERLINK("https://ceds.ed.gov/cedselementdetails.aspx?termid=17002")</f>
        <v>https://ceds.ed.gov/cedselementdetails.aspx?termid=17002</v>
      </c>
      <c r="Q1419" s="14" t="str">
        <f>HYPERLINK("https://ceds.ed.gov/elementComment.aspx?elementName=Academic Award Level Conferred &amp;elementID=17002", "Click here to submit comment")</f>
        <v>Click here to submit comment</v>
      </c>
      <c r="R1419" s="14">
        <v>51671</v>
      </c>
    </row>
    <row r="1420" spans="1:18" ht="45" x14ac:dyDescent="0.25">
      <c r="A1420" s="14" t="s">
        <v>8732</v>
      </c>
      <c r="B1420" s="14" t="s">
        <v>8813</v>
      </c>
      <c r="C1420" s="14" t="s">
        <v>8850</v>
      </c>
      <c r="D1420" s="14" t="s">
        <v>8531</v>
      </c>
      <c r="E1420" s="14" t="s">
        <v>60</v>
      </c>
      <c r="F1420" s="14" t="s">
        <v>61</v>
      </c>
      <c r="G1420" s="14" t="s">
        <v>37</v>
      </c>
      <c r="H1420" s="14" t="s">
        <v>65</v>
      </c>
      <c r="I1420" s="14"/>
      <c r="J1420" s="14" t="s">
        <v>62</v>
      </c>
      <c r="K1420" s="14"/>
      <c r="L1420" s="14"/>
      <c r="M1420" s="14" t="s">
        <v>63</v>
      </c>
      <c r="N1420" s="14"/>
      <c r="O1420" s="14" t="s">
        <v>64</v>
      </c>
      <c r="P1420" s="14" t="str">
        <f>HYPERLINK("https://ceds.ed.gov/cedselementdetails.aspx?termid=17003")</f>
        <v>https://ceds.ed.gov/cedselementdetails.aspx?termid=17003</v>
      </c>
      <c r="Q1420" s="14" t="str">
        <f>HYPERLINK("https://ceds.ed.gov/elementComment.aspx?elementName=Academic Award Title &amp;elementID=17003", "Click here to submit comment")</f>
        <v>Click here to submit comment</v>
      </c>
      <c r="R1420" s="14">
        <v>51672</v>
      </c>
    </row>
    <row r="1421" spans="1:18" ht="270" x14ac:dyDescent="0.25">
      <c r="A1421" s="14" t="s">
        <v>8732</v>
      </c>
      <c r="B1421" s="14" t="s">
        <v>8813</v>
      </c>
      <c r="C1421" s="14" t="s">
        <v>8850</v>
      </c>
      <c r="D1421" s="14" t="s">
        <v>8531</v>
      </c>
      <c r="E1421" s="14" t="s">
        <v>3347</v>
      </c>
      <c r="F1421" s="14" t="s">
        <v>3348</v>
      </c>
      <c r="G1421" s="8" t="s">
        <v>8854</v>
      </c>
      <c r="H1421" s="14"/>
      <c r="I1421" s="14"/>
      <c r="J1421" s="14"/>
      <c r="K1421" s="14"/>
      <c r="L1421" s="14"/>
      <c r="M1421" s="14" t="s">
        <v>3351</v>
      </c>
      <c r="N1421" s="14"/>
      <c r="O1421" s="14" t="s">
        <v>3352</v>
      </c>
      <c r="P1421" s="14" t="str">
        <f>HYPERLINK("https://ceds.ed.gov/cedselementdetails.aspx?termid=18283")</f>
        <v>https://ceds.ed.gov/cedselementdetails.aspx?termid=18283</v>
      </c>
      <c r="Q1421" s="14" t="str">
        <f>HYPERLINK("https://ceds.ed.gov/elementComment.aspx?elementName=Credit Hours Applied Other Program &amp;elementID=18283", "Click here to submit comment")</f>
        <v>Click here to submit comment</v>
      </c>
      <c r="R1421" s="14">
        <v>51670</v>
      </c>
    </row>
    <row r="1422" spans="1:18" ht="195" x14ac:dyDescent="0.25">
      <c r="A1422" s="14" t="s">
        <v>8732</v>
      </c>
      <c r="B1422" s="14" t="s">
        <v>8813</v>
      </c>
      <c r="C1422" s="14" t="s">
        <v>8850</v>
      </c>
      <c r="D1422" s="14" t="s">
        <v>8531</v>
      </c>
      <c r="E1422" s="14" t="s">
        <v>7051</v>
      </c>
      <c r="F1422" s="14" t="s">
        <v>7052</v>
      </c>
      <c r="G1422" s="8" t="s">
        <v>8855</v>
      </c>
      <c r="H1422" s="14"/>
      <c r="I1422" s="14"/>
      <c r="J1422" s="14"/>
      <c r="K1422" s="14"/>
      <c r="L1422" s="14"/>
      <c r="M1422" s="14" t="s">
        <v>7055</v>
      </c>
      <c r="N1422" s="14"/>
      <c r="O1422" s="14" t="s">
        <v>7056</v>
      </c>
      <c r="P1422" s="14" t="str">
        <f>HYPERLINK("https://ceds.ed.gov/cedselementdetails.aspx?termid=17780")</f>
        <v>https://ceds.ed.gov/cedselementdetails.aspx?termid=17780</v>
      </c>
      <c r="Q1422" s="14" t="str">
        <f>HYPERLINK("https://ceds.ed.gov/elementComment.aspx?elementName=Professional or Technical Credential Conferred &amp;elementID=17780", "Click here to submit comment")</f>
        <v>Click here to submit comment</v>
      </c>
      <c r="R1422" s="14">
        <v>49839</v>
      </c>
    </row>
    <row r="1423" spans="1:18" ht="105" x14ac:dyDescent="0.25">
      <c r="A1423" s="16" t="s">
        <v>8732</v>
      </c>
      <c r="B1423" s="16" t="s">
        <v>8813</v>
      </c>
      <c r="C1423" s="16" t="s">
        <v>8850</v>
      </c>
      <c r="D1423" s="16" t="s">
        <v>8531</v>
      </c>
      <c r="E1423" s="16" t="s">
        <v>7098</v>
      </c>
      <c r="F1423" s="16" t="s">
        <v>7099</v>
      </c>
      <c r="G1423" s="16" t="s">
        <v>37</v>
      </c>
      <c r="H1423" s="16" t="s">
        <v>2944</v>
      </c>
      <c r="I1423" s="16"/>
      <c r="J1423" s="16" t="s">
        <v>149</v>
      </c>
      <c r="K1423" s="16"/>
      <c r="L1423" s="14" t="s">
        <v>150</v>
      </c>
      <c r="M1423" s="16" t="s">
        <v>7101</v>
      </c>
      <c r="N1423" s="16"/>
      <c r="O1423" s="16" t="s">
        <v>7102</v>
      </c>
      <c r="P1423" s="16" t="str">
        <f>HYPERLINK("https://ceds.ed.gov/cedselementdetails.aspx?termid=17618")</f>
        <v>https://ceds.ed.gov/cedselementdetails.aspx?termid=17618</v>
      </c>
      <c r="Q1423" s="16" t="str">
        <f>HYPERLINK("https://ceds.ed.gov/elementComment.aspx?elementName=Program Identifier &amp;elementID=17618", "Click here to submit comment")</f>
        <v>Click here to submit comment</v>
      </c>
      <c r="R1423" s="16">
        <v>51673</v>
      </c>
    </row>
    <row r="1424" spans="1:18" x14ac:dyDescent="0.25">
      <c r="A1424" s="16"/>
      <c r="B1424" s="16"/>
      <c r="C1424" s="16"/>
      <c r="D1424" s="16"/>
      <c r="E1424" s="16"/>
      <c r="F1424" s="16"/>
      <c r="G1424" s="16"/>
      <c r="H1424" s="16"/>
      <c r="I1424" s="16"/>
      <c r="J1424" s="16"/>
      <c r="K1424" s="16"/>
      <c r="L1424" s="14"/>
      <c r="M1424" s="16"/>
      <c r="N1424" s="16"/>
      <c r="O1424" s="16"/>
      <c r="P1424" s="16"/>
      <c r="Q1424" s="16"/>
      <c r="R1424" s="16"/>
    </row>
    <row r="1425" spans="1:18" ht="90" x14ac:dyDescent="0.25">
      <c r="A1425" s="16"/>
      <c r="B1425" s="16"/>
      <c r="C1425" s="16"/>
      <c r="D1425" s="16"/>
      <c r="E1425" s="16"/>
      <c r="F1425" s="16"/>
      <c r="G1425" s="16"/>
      <c r="H1425" s="16"/>
      <c r="I1425" s="16"/>
      <c r="J1425" s="16"/>
      <c r="K1425" s="16"/>
      <c r="L1425" s="14" t="s">
        <v>153</v>
      </c>
      <c r="M1425" s="16"/>
      <c r="N1425" s="16"/>
      <c r="O1425" s="16"/>
      <c r="P1425" s="16"/>
      <c r="Q1425" s="16"/>
      <c r="R1425" s="16"/>
    </row>
    <row r="1426" spans="1:18" ht="60" x14ac:dyDescent="0.25">
      <c r="A1426" s="14" t="s">
        <v>8732</v>
      </c>
      <c r="B1426" s="14" t="s">
        <v>8813</v>
      </c>
      <c r="C1426" s="14" t="s">
        <v>8640</v>
      </c>
      <c r="D1426" s="14" t="s">
        <v>8531</v>
      </c>
      <c r="E1426" s="14" t="s">
        <v>1724</v>
      </c>
      <c r="F1426" s="14" t="s">
        <v>1725</v>
      </c>
      <c r="G1426" s="14" t="s">
        <v>24</v>
      </c>
      <c r="H1426" s="14" t="s">
        <v>28</v>
      </c>
      <c r="I1426" s="14"/>
      <c r="J1426" s="14"/>
      <c r="K1426" s="14"/>
      <c r="L1426" s="14"/>
      <c r="M1426" s="14" t="s">
        <v>1727</v>
      </c>
      <c r="N1426" s="14"/>
      <c r="O1426" s="14" t="s">
        <v>1728</v>
      </c>
      <c r="P1426" s="14" t="str">
        <f>HYPERLINK("https://ceds.ed.gov/cedselementdetails.aspx?termid=17031")</f>
        <v>https://ceds.ed.gov/cedselementdetails.aspx?termid=17031</v>
      </c>
      <c r="Q1426" s="14" t="str">
        <f>HYPERLINK("https://ceds.ed.gov/elementComment.aspx?elementName=Awaiting Initial IDEA Evaluation Status &amp;elementID=17031", "Click here to submit comment")</f>
        <v>Click here to submit comment</v>
      </c>
      <c r="R1426" s="14">
        <v>47994</v>
      </c>
    </row>
    <row r="1427" spans="1:18" ht="285" x14ac:dyDescent="0.25">
      <c r="A1427" s="14" t="s">
        <v>8732</v>
      </c>
      <c r="B1427" s="14" t="s">
        <v>8813</v>
      </c>
      <c r="C1427" s="14" t="s">
        <v>8640</v>
      </c>
      <c r="D1427" s="14" t="s">
        <v>8531</v>
      </c>
      <c r="E1427" s="14" t="s">
        <v>5086</v>
      </c>
      <c r="F1427" s="14" t="s">
        <v>5087</v>
      </c>
      <c r="G1427" s="14" t="s">
        <v>24</v>
      </c>
      <c r="H1427" s="14" t="s">
        <v>5090</v>
      </c>
      <c r="I1427" s="14"/>
      <c r="J1427" s="14"/>
      <c r="K1427" s="14"/>
      <c r="L1427" s="14"/>
      <c r="M1427" s="14" t="s">
        <v>5088</v>
      </c>
      <c r="N1427" s="14"/>
      <c r="O1427" s="14" t="s">
        <v>5089</v>
      </c>
      <c r="P1427" s="14" t="str">
        <f>HYPERLINK("https://ceds.ed.gov/cedselementdetails.aspx?termid=17151")</f>
        <v>https://ceds.ed.gov/cedselementdetails.aspx?termid=17151</v>
      </c>
      <c r="Q1427" s="14" t="str">
        <f>HYPERLINK("https://ceds.ed.gov/elementComment.aspx?elementName=IDEA Indicator &amp;elementID=17151", "Click here to submit comment")</f>
        <v>Click here to submit comment</v>
      </c>
      <c r="R1427" s="14">
        <v>48771</v>
      </c>
    </row>
    <row r="1428" spans="1:18" ht="45" x14ac:dyDescent="0.25">
      <c r="A1428" s="14" t="s">
        <v>8732</v>
      </c>
      <c r="B1428" s="14" t="s">
        <v>8813</v>
      </c>
      <c r="C1428" s="14" t="s">
        <v>8640</v>
      </c>
      <c r="D1428" s="14" t="s">
        <v>8531</v>
      </c>
      <c r="E1428" s="14" t="s">
        <v>3584</v>
      </c>
      <c r="F1428" s="14" t="s">
        <v>3585</v>
      </c>
      <c r="G1428" s="14" t="s">
        <v>24</v>
      </c>
      <c r="H1428" s="14" t="s">
        <v>258</v>
      </c>
      <c r="I1428" s="14"/>
      <c r="J1428" s="14"/>
      <c r="K1428" s="14"/>
      <c r="L1428" s="14"/>
      <c r="M1428" s="14" t="s">
        <v>3587</v>
      </c>
      <c r="N1428" s="14"/>
      <c r="O1428" s="14" t="s">
        <v>3588</v>
      </c>
      <c r="P1428" s="14" t="str">
        <f>HYPERLINK("https://ceds.ed.gov/cedselementdetails.aspx?termid=17569")</f>
        <v>https://ceds.ed.gov/cedselementdetails.aspx?termid=17569</v>
      </c>
      <c r="Q1428" s="14" t="str">
        <f>HYPERLINK("https://ceds.ed.gov/elementComment.aspx?elementName=Disability Status &amp;elementID=17569", "Click here to submit comment")</f>
        <v>Click here to submit comment</v>
      </c>
      <c r="R1428" s="14">
        <v>48884</v>
      </c>
    </row>
    <row r="1429" spans="1:18" ht="90" x14ac:dyDescent="0.25">
      <c r="A1429" s="14" t="s">
        <v>8732</v>
      </c>
      <c r="B1429" s="14" t="s">
        <v>8813</v>
      </c>
      <c r="C1429" s="14" t="s">
        <v>8640</v>
      </c>
      <c r="D1429" s="14" t="s">
        <v>8531</v>
      </c>
      <c r="E1429" s="14" t="s">
        <v>7664</v>
      </c>
      <c r="F1429" s="14" t="s">
        <v>7665</v>
      </c>
      <c r="G1429" s="14" t="s">
        <v>24</v>
      </c>
      <c r="H1429" s="14" t="s">
        <v>5090</v>
      </c>
      <c r="I1429" s="14"/>
      <c r="J1429" s="14"/>
      <c r="K1429" s="14"/>
      <c r="L1429" s="14"/>
      <c r="M1429" s="14" t="s">
        <v>7667</v>
      </c>
      <c r="N1429" s="14"/>
      <c r="O1429" s="14" t="s">
        <v>7668</v>
      </c>
      <c r="P1429" s="14" t="str">
        <f>HYPERLINK("https://ceds.ed.gov/cedselementdetails.aspx?termid=17249")</f>
        <v>https://ceds.ed.gov/cedselementdetails.aspx?termid=17249</v>
      </c>
      <c r="Q1429" s="14" t="str">
        <f>HYPERLINK("https://ceds.ed.gov/elementComment.aspx?elementName=Section 504 Status &amp;elementID=17249", "Click here to submit comment")</f>
        <v>Click here to submit comment</v>
      </c>
      <c r="R1429" s="14">
        <v>48810</v>
      </c>
    </row>
    <row r="1430" spans="1:18" ht="210" x14ac:dyDescent="0.25">
      <c r="A1430" s="14" t="s">
        <v>8732</v>
      </c>
      <c r="B1430" s="14" t="s">
        <v>8813</v>
      </c>
      <c r="C1430" s="14" t="s">
        <v>8640</v>
      </c>
      <c r="D1430" s="14" t="s">
        <v>8531</v>
      </c>
      <c r="E1430" s="14" t="s">
        <v>6857</v>
      </c>
      <c r="F1430" s="14" t="s">
        <v>6858</v>
      </c>
      <c r="G1430" s="8" t="s">
        <v>8641</v>
      </c>
      <c r="H1430" s="14" t="s">
        <v>6864</v>
      </c>
      <c r="I1430" s="14"/>
      <c r="J1430" s="14"/>
      <c r="K1430" s="14"/>
      <c r="L1430" s="14" t="s">
        <v>6861</v>
      </c>
      <c r="M1430" s="14" t="s">
        <v>6862</v>
      </c>
      <c r="N1430" s="14"/>
      <c r="O1430" s="14" t="s">
        <v>6863</v>
      </c>
      <c r="P1430" s="14" t="str">
        <f>HYPERLINK("https://ceds.ed.gov/cedselementdetails.aspx?termid=17218")</f>
        <v>https://ceds.ed.gov/cedselementdetails.aspx?termid=17218</v>
      </c>
      <c r="Q1430" s="14" t="str">
        <f>HYPERLINK("https://ceds.ed.gov/elementComment.aspx?elementName=Primary Disability Type &amp;elementID=17218", "Click here to submit comment")</f>
        <v>Click here to submit comment</v>
      </c>
      <c r="R1430" s="14">
        <v>48800</v>
      </c>
    </row>
    <row r="1431" spans="1:18" ht="255" x14ac:dyDescent="0.25">
      <c r="A1431" s="14" t="s">
        <v>8732</v>
      </c>
      <c r="B1431" s="14" t="s">
        <v>8813</v>
      </c>
      <c r="C1431" s="14" t="s">
        <v>8640</v>
      </c>
      <c r="D1431" s="14" t="s">
        <v>8531</v>
      </c>
      <c r="E1431" s="14" t="s">
        <v>3571</v>
      </c>
      <c r="F1431" s="14" t="s">
        <v>3572</v>
      </c>
      <c r="G1431" s="8" t="s">
        <v>8642</v>
      </c>
      <c r="H1431" s="14"/>
      <c r="I1431" s="14"/>
      <c r="J1431" s="14"/>
      <c r="K1431" s="14"/>
      <c r="L1431" s="14" t="s">
        <v>3575</v>
      </c>
      <c r="M1431" s="14" t="s">
        <v>3576</v>
      </c>
      <c r="N1431" s="14"/>
      <c r="O1431" s="14" t="s">
        <v>3577</v>
      </c>
      <c r="P1431" s="14" t="str">
        <f>HYPERLINK("https://ceds.ed.gov/cedselementdetails.aspx?termid=18286")</f>
        <v>https://ceds.ed.gov/cedselementdetails.aspx?termid=18286</v>
      </c>
      <c r="Q1431" s="14" t="str">
        <f>HYPERLINK("https://ceds.ed.gov/elementComment.aspx?elementName=Disability Condition Type &amp;elementID=18286", "Click here to submit comment")</f>
        <v>Click here to submit comment</v>
      </c>
      <c r="R1431" s="14">
        <v>50662</v>
      </c>
    </row>
    <row r="1432" spans="1:18" ht="180" x14ac:dyDescent="0.25">
      <c r="A1432" s="14" t="s">
        <v>8732</v>
      </c>
      <c r="B1432" s="14" t="s">
        <v>8813</v>
      </c>
      <c r="C1432" s="14" t="s">
        <v>8640</v>
      </c>
      <c r="D1432" s="14" t="s">
        <v>8531</v>
      </c>
      <c r="E1432" s="14" t="s">
        <v>3578</v>
      </c>
      <c r="F1432" s="14" t="s">
        <v>3579</v>
      </c>
      <c r="G1432" s="8" t="s">
        <v>8643</v>
      </c>
      <c r="H1432" s="14"/>
      <c r="I1432" s="14"/>
      <c r="J1432" s="14"/>
      <c r="K1432" s="14"/>
      <c r="L1432" s="14" t="s">
        <v>3575</v>
      </c>
      <c r="M1432" s="14" t="s">
        <v>3582</v>
      </c>
      <c r="N1432" s="14"/>
      <c r="O1432" s="14" t="s">
        <v>3583</v>
      </c>
      <c r="P1432" s="14" t="str">
        <f>HYPERLINK("https://ceds.ed.gov/cedselementdetails.aspx?termid=18287")</f>
        <v>https://ceds.ed.gov/cedselementdetails.aspx?termid=18287</v>
      </c>
      <c r="Q1432" s="14" t="str">
        <f>HYPERLINK("https://ceds.ed.gov/elementComment.aspx?elementName=Disability Determination Source Type &amp;elementID=18287", "Click here to submit comment")</f>
        <v>Click here to submit comment</v>
      </c>
      <c r="R1432" s="14">
        <v>50664</v>
      </c>
    </row>
    <row r="1433" spans="1:18" ht="195" x14ac:dyDescent="0.25">
      <c r="A1433" s="14" t="s">
        <v>8732</v>
      </c>
      <c r="B1433" s="14" t="s">
        <v>8813</v>
      </c>
      <c r="C1433" s="14" t="s">
        <v>8640</v>
      </c>
      <c r="D1433" s="14" t="s">
        <v>8531</v>
      </c>
      <c r="E1433" s="14" t="s">
        <v>5069</v>
      </c>
      <c r="F1433" s="14" t="s">
        <v>5070</v>
      </c>
      <c r="G1433" s="8" t="s">
        <v>8856</v>
      </c>
      <c r="H1433" s="14" t="s">
        <v>258</v>
      </c>
      <c r="I1433" s="14"/>
      <c r="J1433" s="14"/>
      <c r="K1433" s="14"/>
      <c r="L1433" s="14"/>
      <c r="M1433" s="14" t="s">
        <v>5073</v>
      </c>
      <c r="N1433" s="14"/>
      <c r="O1433" s="14" t="s">
        <v>5074</v>
      </c>
      <c r="P1433" s="14" t="str">
        <f>HYPERLINK("https://ceds.ed.gov/cedselementdetails.aspx?termid=17526")</f>
        <v>https://ceds.ed.gov/cedselementdetails.aspx?termid=17526</v>
      </c>
      <c r="Q1433" s="14" t="str">
        <f>HYPERLINK("https://ceds.ed.gov/elementComment.aspx?elementName=IDEA Educational Environment for School Age &amp;elementID=17526", "Click here to submit comment")</f>
        <v>Click here to submit comment</v>
      </c>
      <c r="R1433" s="14">
        <v>48864</v>
      </c>
    </row>
    <row r="1434" spans="1:18" ht="90" x14ac:dyDescent="0.25">
      <c r="A1434" s="14" t="s">
        <v>8732</v>
      </c>
      <c r="B1434" s="14" t="s">
        <v>8813</v>
      </c>
      <c r="C1434" s="14" t="s">
        <v>8857</v>
      </c>
      <c r="D1434" s="14" t="s">
        <v>8531</v>
      </c>
      <c r="E1434" s="14" t="s">
        <v>7823</v>
      </c>
      <c r="F1434" s="14" t="s">
        <v>7824</v>
      </c>
      <c r="G1434" s="14" t="s">
        <v>37</v>
      </c>
      <c r="H1434" s="14"/>
      <c r="I1434" s="14"/>
      <c r="J1434" s="14" t="s">
        <v>4773</v>
      </c>
      <c r="K1434" s="14"/>
      <c r="L1434" s="14"/>
      <c r="M1434" s="14" t="s">
        <v>7825</v>
      </c>
      <c r="N1434" s="14" t="s">
        <v>7826</v>
      </c>
      <c r="O1434" s="14" t="s">
        <v>7827</v>
      </c>
      <c r="P1434" s="14" t="str">
        <f>HYPERLINK("https://ceds.ed.gov/cedselementdetails.aspx?termid=18208")</f>
        <v>https://ceds.ed.gov/cedselementdetails.aspx?termid=18208</v>
      </c>
      <c r="Q1434" s="14" t="str">
        <f>HYPERLINK("https://ceds.ed.gov/elementComment.aspx?elementName=Special Education Full Time Equivalency &amp;elementID=18208", "Click here to submit comment")</f>
        <v>Click here to submit comment</v>
      </c>
      <c r="R1434" s="14">
        <v>48706</v>
      </c>
    </row>
    <row r="1435" spans="1:18" ht="60" x14ac:dyDescent="0.25">
      <c r="A1435" s="14" t="s">
        <v>8732</v>
      </c>
      <c r="B1435" s="14" t="s">
        <v>8813</v>
      </c>
      <c r="C1435" s="14" t="s">
        <v>8857</v>
      </c>
      <c r="D1435" s="14" t="s">
        <v>8531</v>
      </c>
      <c r="E1435" s="14" t="s">
        <v>7125</v>
      </c>
      <c r="F1435" s="14" t="s">
        <v>7126</v>
      </c>
      <c r="G1435" s="14" t="s">
        <v>37</v>
      </c>
      <c r="H1435" s="14" t="s">
        <v>7129</v>
      </c>
      <c r="I1435" s="14"/>
      <c r="J1435" s="14" t="s">
        <v>135</v>
      </c>
      <c r="K1435" s="14"/>
      <c r="L1435" s="14"/>
      <c r="M1435" s="14" t="s">
        <v>7127</v>
      </c>
      <c r="N1435" s="14"/>
      <c r="O1435" s="14" t="s">
        <v>7128</v>
      </c>
      <c r="P1435" s="14" t="str">
        <f>HYPERLINK("https://ceds.ed.gov/cedselementdetails.aspx?termid=17583")</f>
        <v>https://ceds.ed.gov/cedselementdetails.aspx?termid=17583</v>
      </c>
      <c r="Q1435" s="14" t="str">
        <f>HYPERLINK("https://ceds.ed.gov/elementComment.aspx?elementName=Program Participation Start Date &amp;elementID=17583", "Click here to submit comment")</f>
        <v>Click here to submit comment</v>
      </c>
      <c r="R1435" s="14">
        <v>48995</v>
      </c>
    </row>
    <row r="1436" spans="1:18" ht="75" x14ac:dyDescent="0.25">
      <c r="A1436" s="14" t="s">
        <v>8732</v>
      </c>
      <c r="B1436" s="14" t="s">
        <v>8813</v>
      </c>
      <c r="C1436" s="14" t="s">
        <v>8857</v>
      </c>
      <c r="D1436" s="14" t="s">
        <v>8531</v>
      </c>
      <c r="E1436" s="14" t="s">
        <v>7120</v>
      </c>
      <c r="F1436" s="14" t="s">
        <v>2201</v>
      </c>
      <c r="G1436" s="14" t="s">
        <v>37</v>
      </c>
      <c r="H1436" s="14" t="s">
        <v>7124</v>
      </c>
      <c r="I1436" s="14"/>
      <c r="J1436" s="14" t="s">
        <v>135</v>
      </c>
      <c r="K1436" s="14"/>
      <c r="L1436" s="14" t="s">
        <v>160</v>
      </c>
      <c r="M1436" s="14" t="s">
        <v>7122</v>
      </c>
      <c r="N1436" s="14"/>
      <c r="O1436" s="14" t="s">
        <v>7123</v>
      </c>
      <c r="P1436" s="14" t="str">
        <f>HYPERLINK("https://ceds.ed.gov/cedselementdetails.aspx?termid=17584")</f>
        <v>https://ceds.ed.gov/cedselementdetails.aspx?termid=17584</v>
      </c>
      <c r="Q1436" s="14" t="str">
        <f>HYPERLINK("https://ceds.ed.gov/elementComment.aspx?elementName=Program Participation Exit Date &amp;elementID=17584", "Click here to submit comment")</f>
        <v>Click here to submit comment</v>
      </c>
      <c r="R1436" s="14">
        <v>48996</v>
      </c>
    </row>
    <row r="1437" spans="1:18" ht="409.5" x14ac:dyDescent="0.25">
      <c r="A1437" s="14" t="s">
        <v>8732</v>
      </c>
      <c r="B1437" s="14" t="s">
        <v>8813</v>
      </c>
      <c r="C1437" s="14" t="s">
        <v>8857</v>
      </c>
      <c r="D1437" s="14" t="s">
        <v>8531</v>
      </c>
      <c r="E1437" s="14" t="s">
        <v>7817</v>
      </c>
      <c r="F1437" s="14" t="s">
        <v>7818</v>
      </c>
      <c r="G1437" s="8" t="s">
        <v>8651</v>
      </c>
      <c r="H1437" s="14" t="s">
        <v>258</v>
      </c>
      <c r="I1437" s="14"/>
      <c r="J1437" s="14"/>
      <c r="K1437" s="14"/>
      <c r="L1437" s="14"/>
      <c r="M1437" s="14" t="s">
        <v>7821</v>
      </c>
      <c r="N1437" s="14"/>
      <c r="O1437" s="14" t="s">
        <v>7822</v>
      </c>
      <c r="P1437" s="14" t="str">
        <f>HYPERLINK("https://ceds.ed.gov/cedselementdetails.aspx?termid=17260")</f>
        <v>https://ceds.ed.gov/cedselementdetails.aspx?termid=17260</v>
      </c>
      <c r="Q1437" s="14" t="str">
        <f>HYPERLINK("https://ceds.ed.gov/elementComment.aspx?elementName=Special Education Exit Reason &amp;elementID=17260", "Click here to submit comment")</f>
        <v>Click here to submit comment</v>
      </c>
      <c r="R1437" s="14">
        <v>48812</v>
      </c>
    </row>
    <row r="1438" spans="1:18" ht="75" x14ac:dyDescent="0.25">
      <c r="A1438" s="14" t="s">
        <v>8732</v>
      </c>
      <c r="B1438" s="14" t="s">
        <v>8813</v>
      </c>
      <c r="C1438" s="14" t="s">
        <v>8857</v>
      </c>
      <c r="D1438" s="14" t="s">
        <v>8531</v>
      </c>
      <c r="E1438" s="14" t="s">
        <v>7836</v>
      </c>
      <c r="F1438" s="14" t="s">
        <v>7837</v>
      </c>
      <c r="G1438" s="14" t="s">
        <v>37</v>
      </c>
      <c r="H1438" s="14" t="s">
        <v>258</v>
      </c>
      <c r="I1438" s="14"/>
      <c r="J1438" s="14" t="s">
        <v>135</v>
      </c>
      <c r="K1438" s="14"/>
      <c r="L1438" s="14" t="s">
        <v>160</v>
      </c>
      <c r="M1438" s="14" t="s">
        <v>7839</v>
      </c>
      <c r="N1438" s="14"/>
      <c r="O1438" s="14" t="s">
        <v>7840</v>
      </c>
      <c r="P1438" s="14" t="str">
        <f>HYPERLINK("https://ceds.ed.gov/cedselementdetails.aspx?termid=17263")</f>
        <v>https://ceds.ed.gov/cedselementdetails.aspx?termid=17263</v>
      </c>
      <c r="Q1438" s="14" t="str">
        <f>HYPERLINK("https://ceds.ed.gov/elementComment.aspx?elementName=Special Education Services Exit Date &amp;elementID=17263", "Click here to submit comment")</f>
        <v>Click here to submit comment</v>
      </c>
      <c r="R1438" s="14">
        <v>48813</v>
      </c>
    </row>
    <row r="1439" spans="1:18" ht="120" x14ac:dyDescent="0.25">
      <c r="A1439" s="14" t="s">
        <v>8732</v>
      </c>
      <c r="B1439" s="14" t="s">
        <v>8813</v>
      </c>
      <c r="C1439" s="14" t="s">
        <v>8858</v>
      </c>
      <c r="D1439" s="14" t="s">
        <v>8531</v>
      </c>
      <c r="E1439" s="14" t="s">
        <v>8251</v>
      </c>
      <c r="F1439" s="14" t="s">
        <v>8252</v>
      </c>
      <c r="G1439" s="8" t="s">
        <v>8859</v>
      </c>
      <c r="H1439" s="14" t="s">
        <v>72</v>
      </c>
      <c r="I1439" s="14"/>
      <c r="J1439" s="14"/>
      <c r="K1439" s="14"/>
      <c r="L1439" s="14"/>
      <c r="M1439" s="14" t="s">
        <v>8254</v>
      </c>
      <c r="N1439" s="14"/>
      <c r="O1439" s="14" t="s">
        <v>8255</v>
      </c>
      <c r="P1439" s="14" t="str">
        <f>HYPERLINK("https://ceds.ed.gov/cedselementdetails.aspx?termid=17281")</f>
        <v>https://ceds.ed.gov/cedselementdetails.aspx?termid=17281</v>
      </c>
      <c r="Q1439" s="14" t="str">
        <f>HYPERLINK("https://ceds.ed.gov/elementComment.aspx?elementName=Title I Indicator &amp;elementID=17281", "Click here to submit comment")</f>
        <v>Click here to submit comment</v>
      </c>
      <c r="R1439" s="14">
        <v>48821</v>
      </c>
    </row>
    <row r="1440" spans="1:18" ht="60" x14ac:dyDescent="0.25">
      <c r="A1440" s="14" t="s">
        <v>8732</v>
      </c>
      <c r="B1440" s="14" t="s">
        <v>8813</v>
      </c>
      <c r="C1440" s="14" t="s">
        <v>8858</v>
      </c>
      <c r="D1440" s="14" t="s">
        <v>8531</v>
      </c>
      <c r="E1440" s="14" t="s">
        <v>7125</v>
      </c>
      <c r="F1440" s="14" t="s">
        <v>7126</v>
      </c>
      <c r="G1440" s="14" t="s">
        <v>37</v>
      </c>
      <c r="H1440" s="14" t="s">
        <v>7129</v>
      </c>
      <c r="I1440" s="14"/>
      <c r="J1440" s="14" t="s">
        <v>135</v>
      </c>
      <c r="K1440" s="14"/>
      <c r="L1440" s="14"/>
      <c r="M1440" s="14" t="s">
        <v>7127</v>
      </c>
      <c r="N1440" s="14"/>
      <c r="O1440" s="14" t="s">
        <v>7128</v>
      </c>
      <c r="P1440" s="14" t="str">
        <f>HYPERLINK("https://ceds.ed.gov/cedselementdetails.aspx?termid=17583")</f>
        <v>https://ceds.ed.gov/cedselementdetails.aspx?termid=17583</v>
      </c>
      <c r="Q1440" s="14" t="str">
        <f>HYPERLINK("https://ceds.ed.gov/elementComment.aspx?elementName=Program Participation Start Date &amp;elementID=17583", "Click here to submit comment")</f>
        <v>Click here to submit comment</v>
      </c>
      <c r="R1440" s="14">
        <v>48997</v>
      </c>
    </row>
    <row r="1441" spans="1:18" ht="75" x14ac:dyDescent="0.25">
      <c r="A1441" s="14" t="s">
        <v>8732</v>
      </c>
      <c r="B1441" s="14" t="s">
        <v>8813</v>
      </c>
      <c r="C1441" s="14" t="s">
        <v>8858</v>
      </c>
      <c r="D1441" s="14" t="s">
        <v>8531</v>
      </c>
      <c r="E1441" s="14" t="s">
        <v>7120</v>
      </c>
      <c r="F1441" s="14" t="s">
        <v>2201</v>
      </c>
      <c r="G1441" s="14" t="s">
        <v>37</v>
      </c>
      <c r="H1441" s="14" t="s">
        <v>7124</v>
      </c>
      <c r="I1441" s="14"/>
      <c r="J1441" s="14" t="s">
        <v>135</v>
      </c>
      <c r="K1441" s="14"/>
      <c r="L1441" s="14" t="s">
        <v>160</v>
      </c>
      <c r="M1441" s="14" t="s">
        <v>7122</v>
      </c>
      <c r="N1441" s="14"/>
      <c r="O1441" s="14" t="s">
        <v>7123</v>
      </c>
      <c r="P1441" s="14" t="str">
        <f>HYPERLINK("https://ceds.ed.gov/cedselementdetails.aspx?termid=17584")</f>
        <v>https://ceds.ed.gov/cedselementdetails.aspx?termid=17584</v>
      </c>
      <c r="Q1441" s="14" t="str">
        <f>HYPERLINK("https://ceds.ed.gov/elementComment.aspx?elementName=Program Participation Exit Date &amp;elementID=17584", "Click here to submit comment")</f>
        <v>Click here to submit comment</v>
      </c>
      <c r="R1441" s="14">
        <v>48998</v>
      </c>
    </row>
    <row r="1442" spans="1:18" ht="105" x14ac:dyDescent="0.25">
      <c r="A1442" s="14" t="s">
        <v>8732</v>
      </c>
      <c r="B1442" s="14" t="s">
        <v>8813</v>
      </c>
      <c r="C1442" s="14" t="s">
        <v>8858</v>
      </c>
      <c r="D1442" s="14" t="s">
        <v>8531</v>
      </c>
      <c r="E1442" s="14" t="s">
        <v>7545</v>
      </c>
      <c r="F1442" s="14" t="s">
        <v>7546</v>
      </c>
      <c r="G1442" s="14" t="s">
        <v>24</v>
      </c>
      <c r="H1442" s="14" t="s">
        <v>258</v>
      </c>
      <c r="I1442" s="14"/>
      <c r="J1442" s="14"/>
      <c r="K1442" s="14"/>
      <c r="L1442" s="14"/>
      <c r="M1442" s="14" t="s">
        <v>7548</v>
      </c>
      <c r="N1442" s="14"/>
      <c r="O1442" s="14" t="s">
        <v>7549</v>
      </c>
      <c r="P1442" s="14" t="str">
        <f>HYPERLINK("https://ceds.ed.gov/cedselementdetails.aspx?termid=17235")</f>
        <v>https://ceds.ed.gov/cedselementdetails.aspx?termid=17235</v>
      </c>
      <c r="Q1442" s="14" t="str">
        <f>HYPERLINK("https://ceds.ed.gov/elementComment.aspx?elementName=School Choice Applied for Transfer Status &amp;elementID=17235", "Click here to submit comment")</f>
        <v>Click here to submit comment</v>
      </c>
      <c r="R1442" s="14">
        <v>48806</v>
      </c>
    </row>
    <row r="1443" spans="1:18" ht="165" x14ac:dyDescent="0.25">
      <c r="A1443" s="14" t="s">
        <v>8732</v>
      </c>
      <c r="B1443" s="14" t="s">
        <v>8813</v>
      </c>
      <c r="C1443" s="14" t="s">
        <v>8858</v>
      </c>
      <c r="D1443" s="14" t="s">
        <v>8531</v>
      </c>
      <c r="E1443" s="14" t="s">
        <v>7550</v>
      </c>
      <c r="F1443" s="14" t="s">
        <v>7551</v>
      </c>
      <c r="G1443" s="14" t="s">
        <v>24</v>
      </c>
      <c r="H1443" s="14" t="s">
        <v>258</v>
      </c>
      <c r="I1443" s="14"/>
      <c r="J1443" s="14"/>
      <c r="K1443" s="14"/>
      <c r="L1443" s="14" t="s">
        <v>7552</v>
      </c>
      <c r="M1443" s="14" t="s">
        <v>7553</v>
      </c>
      <c r="N1443" s="14"/>
      <c r="O1443" s="14" t="s">
        <v>7554</v>
      </c>
      <c r="P1443" s="14" t="str">
        <f>HYPERLINK("https://ceds.ed.gov/cedselementdetails.aspx?termid=17236")</f>
        <v>https://ceds.ed.gov/cedselementdetails.aspx?termid=17236</v>
      </c>
      <c r="Q1443" s="14" t="str">
        <f>HYPERLINK("https://ceds.ed.gov/elementComment.aspx?elementName=School Choice Eligible for Transfer Status &amp;elementID=17236", "Click here to submit comment")</f>
        <v>Click here to submit comment</v>
      </c>
      <c r="R1443" s="14">
        <v>48807</v>
      </c>
    </row>
    <row r="1444" spans="1:18" ht="90" x14ac:dyDescent="0.25">
      <c r="A1444" s="14" t="s">
        <v>8732</v>
      </c>
      <c r="B1444" s="14" t="s">
        <v>8813</v>
      </c>
      <c r="C1444" s="14" t="s">
        <v>8858</v>
      </c>
      <c r="D1444" s="14" t="s">
        <v>8531</v>
      </c>
      <c r="E1444" s="14" t="s">
        <v>7555</v>
      </c>
      <c r="F1444" s="14" t="s">
        <v>7556</v>
      </c>
      <c r="G1444" s="14" t="s">
        <v>24</v>
      </c>
      <c r="H1444" s="14" t="s">
        <v>72</v>
      </c>
      <c r="I1444" s="14"/>
      <c r="J1444" s="14"/>
      <c r="K1444" s="14"/>
      <c r="L1444" s="14"/>
      <c r="M1444" s="14" t="s">
        <v>7557</v>
      </c>
      <c r="N1444" s="14"/>
      <c r="O1444" s="14" t="s">
        <v>7558</v>
      </c>
      <c r="P1444" s="14" t="str">
        <f>HYPERLINK("https://ceds.ed.gov/cedselementdetails.aspx?termid=17237")</f>
        <v>https://ceds.ed.gov/cedselementdetails.aspx?termid=17237</v>
      </c>
      <c r="Q1444" s="14" t="str">
        <f>HYPERLINK("https://ceds.ed.gov/elementComment.aspx?elementName=School Choice Transfer Status &amp;elementID=17237", "Click here to submit comment")</f>
        <v>Click here to submit comment</v>
      </c>
      <c r="R1444" s="14">
        <v>48808</v>
      </c>
    </row>
    <row r="1445" spans="1:18" ht="90" x14ac:dyDescent="0.25">
      <c r="A1445" s="14" t="s">
        <v>8732</v>
      </c>
      <c r="B1445" s="14" t="s">
        <v>8813</v>
      </c>
      <c r="C1445" s="14" t="s">
        <v>8858</v>
      </c>
      <c r="D1445" s="14" t="s">
        <v>8531</v>
      </c>
      <c r="E1445" s="14" t="s">
        <v>8277</v>
      </c>
      <c r="F1445" s="14" t="s">
        <v>8278</v>
      </c>
      <c r="G1445" s="14" t="s">
        <v>24</v>
      </c>
      <c r="H1445" s="14" t="s">
        <v>258</v>
      </c>
      <c r="I1445" s="14"/>
      <c r="J1445" s="14"/>
      <c r="K1445" s="14"/>
      <c r="L1445" s="14"/>
      <c r="M1445" s="14" t="s">
        <v>8279</v>
      </c>
      <c r="N1445" s="14"/>
      <c r="O1445" s="14" t="s">
        <v>8280</v>
      </c>
      <c r="P1445" s="14" t="str">
        <f>HYPERLINK("https://ceds.ed.gov/cedselementdetails.aspx?termid=17286")</f>
        <v>https://ceds.ed.gov/cedselementdetails.aspx?termid=17286</v>
      </c>
      <c r="Q1445" s="14" t="str">
        <f>HYPERLINK("https://ceds.ed.gov/elementComment.aspx?elementName=Title I School Supplemental Services Applied Status &amp;elementID=17286", "Click here to submit comment")</f>
        <v>Click here to submit comment</v>
      </c>
      <c r="R1445" s="14">
        <v>48822</v>
      </c>
    </row>
    <row r="1446" spans="1:18" ht="75" x14ac:dyDescent="0.25">
      <c r="A1446" s="14" t="s">
        <v>8732</v>
      </c>
      <c r="B1446" s="14" t="s">
        <v>8813</v>
      </c>
      <c r="C1446" s="14" t="s">
        <v>8858</v>
      </c>
      <c r="D1446" s="14" t="s">
        <v>8531</v>
      </c>
      <c r="E1446" s="14" t="s">
        <v>8281</v>
      </c>
      <c r="F1446" s="14" t="s">
        <v>8282</v>
      </c>
      <c r="G1446" s="14" t="s">
        <v>24</v>
      </c>
      <c r="H1446" s="14" t="s">
        <v>258</v>
      </c>
      <c r="I1446" s="14"/>
      <c r="J1446" s="14"/>
      <c r="K1446" s="14"/>
      <c r="L1446" s="14"/>
      <c r="M1446" s="14" t="s">
        <v>8283</v>
      </c>
      <c r="N1446" s="14"/>
      <c r="O1446" s="14" t="s">
        <v>8284</v>
      </c>
      <c r="P1446" s="14" t="str">
        <f>HYPERLINK("https://ceds.ed.gov/cedselementdetails.aspx?termid=17287")</f>
        <v>https://ceds.ed.gov/cedselementdetails.aspx?termid=17287</v>
      </c>
      <c r="Q1446" s="14" t="str">
        <f>HYPERLINK("https://ceds.ed.gov/elementComment.aspx?elementName=Title I School Supplemental Services Eligible Status &amp;elementID=17287", "Click here to submit comment")</f>
        <v>Click here to submit comment</v>
      </c>
      <c r="R1446" s="14">
        <v>48823</v>
      </c>
    </row>
    <row r="1447" spans="1:18" ht="75" x14ac:dyDescent="0.25">
      <c r="A1447" s="14" t="s">
        <v>8732</v>
      </c>
      <c r="B1447" s="14" t="s">
        <v>8813</v>
      </c>
      <c r="C1447" s="14" t="s">
        <v>8858</v>
      </c>
      <c r="D1447" s="14" t="s">
        <v>8531</v>
      </c>
      <c r="E1447" s="14" t="s">
        <v>8285</v>
      </c>
      <c r="F1447" s="14" t="s">
        <v>8286</v>
      </c>
      <c r="G1447" s="14" t="s">
        <v>24</v>
      </c>
      <c r="H1447" s="14" t="s">
        <v>258</v>
      </c>
      <c r="I1447" s="14"/>
      <c r="J1447" s="14"/>
      <c r="K1447" s="14"/>
      <c r="L1447" s="14"/>
      <c r="M1447" s="14" t="s">
        <v>8287</v>
      </c>
      <c r="N1447" s="14"/>
      <c r="O1447" s="14" t="s">
        <v>8288</v>
      </c>
      <c r="P1447" s="14" t="str">
        <f>HYPERLINK("https://ceds.ed.gov/cedselementdetails.aspx?termid=17288")</f>
        <v>https://ceds.ed.gov/cedselementdetails.aspx?termid=17288</v>
      </c>
      <c r="Q1447" s="14" t="str">
        <f>HYPERLINK("https://ceds.ed.gov/elementComment.aspx?elementName=Title I School Supplemental Services Received Status &amp;elementID=17288", "Click here to submit comment")</f>
        <v>Click here to submit comment</v>
      </c>
      <c r="R1447" s="14">
        <v>48824</v>
      </c>
    </row>
    <row r="1448" spans="1:18" ht="60" x14ac:dyDescent="0.25">
      <c r="A1448" s="14" t="s">
        <v>8732</v>
      </c>
      <c r="B1448" s="14" t="s">
        <v>8813</v>
      </c>
      <c r="C1448" s="14" t="s">
        <v>8858</v>
      </c>
      <c r="D1448" s="14" t="s">
        <v>8531</v>
      </c>
      <c r="E1448" s="14" t="s">
        <v>8289</v>
      </c>
      <c r="F1448" s="14" t="s">
        <v>8290</v>
      </c>
      <c r="G1448" s="14" t="s">
        <v>24</v>
      </c>
      <c r="H1448" s="14" t="s">
        <v>258</v>
      </c>
      <c r="I1448" s="14"/>
      <c r="J1448" s="14"/>
      <c r="K1448" s="14"/>
      <c r="L1448" s="14"/>
      <c r="M1448" s="14" t="s">
        <v>8291</v>
      </c>
      <c r="N1448" s="14"/>
      <c r="O1448" s="14" t="s">
        <v>8292</v>
      </c>
      <c r="P1448" s="14" t="str">
        <f>HYPERLINK("https://ceds.ed.gov/cedselementdetails.aspx?termid=17541")</f>
        <v>https://ceds.ed.gov/cedselementdetails.aspx?termid=17541</v>
      </c>
      <c r="Q1448" s="14" t="str">
        <f>HYPERLINK("https://ceds.ed.gov/elementComment.aspx?elementName=Title I Schoolwide Program Participation &amp;elementID=17541", "Click here to submit comment")</f>
        <v>Click here to submit comment</v>
      </c>
      <c r="R1448" s="14">
        <v>48870</v>
      </c>
    </row>
    <row r="1449" spans="1:18" ht="75" x14ac:dyDescent="0.25">
      <c r="A1449" s="14" t="s">
        <v>8732</v>
      </c>
      <c r="B1449" s="14" t="s">
        <v>8813</v>
      </c>
      <c r="C1449" s="14" t="s">
        <v>8858</v>
      </c>
      <c r="D1449" s="14" t="s">
        <v>8531</v>
      </c>
      <c r="E1449" s="14" t="s">
        <v>8298</v>
      </c>
      <c r="F1449" s="14" t="s">
        <v>8299</v>
      </c>
      <c r="G1449" s="14" t="s">
        <v>24</v>
      </c>
      <c r="H1449" s="14" t="s">
        <v>258</v>
      </c>
      <c r="I1449" s="14"/>
      <c r="J1449" s="14"/>
      <c r="K1449" s="14"/>
      <c r="L1449" s="14"/>
      <c r="M1449" s="14" t="s">
        <v>8300</v>
      </c>
      <c r="N1449" s="14"/>
      <c r="O1449" s="14" t="s">
        <v>8301</v>
      </c>
      <c r="P1449" s="14" t="str">
        <f>HYPERLINK("https://ceds.ed.gov/cedselementdetails.aspx?termid=17542")</f>
        <v>https://ceds.ed.gov/cedselementdetails.aspx?termid=17542</v>
      </c>
      <c r="Q1449" s="14" t="str">
        <f>HYPERLINK("https://ceds.ed.gov/elementComment.aspx?elementName=Title I Targeted Assistance Participation &amp;elementID=17542", "Click here to submit comment")</f>
        <v>Click here to submit comment</v>
      </c>
      <c r="R1449" s="14">
        <v>48871</v>
      </c>
    </row>
    <row r="1450" spans="1:18" ht="270" x14ac:dyDescent="0.25">
      <c r="A1450" s="14" t="s">
        <v>8732</v>
      </c>
      <c r="B1450" s="14" t="s">
        <v>8813</v>
      </c>
      <c r="C1450" s="14" t="s">
        <v>8654</v>
      </c>
      <c r="D1450" s="14" t="s">
        <v>8531</v>
      </c>
      <c r="E1450" s="14" t="s">
        <v>5450</v>
      </c>
      <c r="F1450" s="14" t="s">
        <v>5451</v>
      </c>
      <c r="G1450" s="8" t="s">
        <v>8648</v>
      </c>
      <c r="H1450" s="14" t="s">
        <v>467</v>
      </c>
      <c r="I1450" s="14"/>
      <c r="J1450" s="14"/>
      <c r="K1450" s="14"/>
      <c r="L1450" s="14"/>
      <c r="M1450" s="14" t="s">
        <v>5454</v>
      </c>
      <c r="N1450" s="14"/>
      <c r="O1450" s="14" t="s">
        <v>5455</v>
      </c>
      <c r="P1450" s="14" t="str">
        <f>HYPERLINK("https://ceds.ed.gov/cedselementdetails.aspx?termid=17320")</f>
        <v>https://ceds.ed.gov/cedselementdetails.aspx?termid=17320</v>
      </c>
      <c r="Q1450" s="14" t="str">
        <f>HYPERLINK("https://ceds.ed.gov/elementComment.aspx?elementName=Individualized Program Type &amp;elementID=17320", "Click here to submit comment")</f>
        <v>Click here to submit comment</v>
      </c>
      <c r="R1450" s="14">
        <v>48830</v>
      </c>
    </row>
    <row r="1451" spans="1:18" ht="120" x14ac:dyDescent="0.25">
      <c r="A1451" s="14" t="s">
        <v>8732</v>
      </c>
      <c r="B1451" s="14" t="s">
        <v>8813</v>
      </c>
      <c r="C1451" s="14" t="s">
        <v>8654</v>
      </c>
      <c r="D1451" s="14" t="s">
        <v>8531</v>
      </c>
      <c r="E1451" s="14" t="s">
        <v>5391</v>
      </c>
      <c r="F1451" s="14" t="s">
        <v>5392</v>
      </c>
      <c r="G1451" s="8" t="s">
        <v>8655</v>
      </c>
      <c r="H1451" s="14"/>
      <c r="I1451" s="14"/>
      <c r="J1451" s="14"/>
      <c r="K1451" s="14"/>
      <c r="L1451" s="14"/>
      <c r="M1451" s="14" t="s">
        <v>5394</v>
      </c>
      <c r="N1451" s="14"/>
      <c r="O1451" s="14" t="s">
        <v>5395</v>
      </c>
      <c r="P1451" s="14" t="str">
        <f>HYPERLINK("https://ceds.ed.gov/cedselementdetails.aspx?termid=18196")</f>
        <v>https://ceds.ed.gov/cedselementdetails.aspx?termid=18196</v>
      </c>
      <c r="Q1451" s="14" t="str">
        <f>HYPERLINK("https://ceds.ed.gov/elementComment.aspx?elementName=Individualized Program Service Plan Date Type &amp;elementID=18196", "Click here to submit comment")</f>
        <v>Click here to submit comment</v>
      </c>
      <c r="R1451" s="14">
        <v>48685</v>
      </c>
    </row>
    <row r="1452" spans="1:18" ht="255" x14ac:dyDescent="0.25">
      <c r="A1452" s="14" t="s">
        <v>8732</v>
      </c>
      <c r="B1452" s="14" t="s">
        <v>8813</v>
      </c>
      <c r="C1452" s="14" t="s">
        <v>8654</v>
      </c>
      <c r="D1452" s="14" t="s">
        <v>8531</v>
      </c>
      <c r="E1452" s="14" t="s">
        <v>5063</v>
      </c>
      <c r="F1452" s="14" t="s">
        <v>5064</v>
      </c>
      <c r="G1452" s="8" t="s">
        <v>8636</v>
      </c>
      <c r="H1452" s="14" t="s">
        <v>258</v>
      </c>
      <c r="I1452" s="14"/>
      <c r="J1452" s="14"/>
      <c r="K1452" s="14"/>
      <c r="L1452" s="14"/>
      <c r="M1452" s="14" t="s">
        <v>5067</v>
      </c>
      <c r="N1452" s="14"/>
      <c r="O1452" s="14" t="s">
        <v>5068</v>
      </c>
      <c r="P1452" s="14" t="str">
        <f>HYPERLINK("https://ceds.ed.gov/cedselementdetails.aspx?termid=17550")</f>
        <v>https://ceds.ed.gov/cedselementdetails.aspx?termid=17550</v>
      </c>
      <c r="Q1452" s="14" t="str">
        <f>HYPERLINK("https://ceds.ed.gov/elementComment.aspx?elementName=IDEA Educational Environment for Early Childhood &amp;elementID=17550", "Click here to submit comment")</f>
        <v>Click here to submit comment</v>
      </c>
      <c r="R1452" s="14">
        <v>51789</v>
      </c>
    </row>
    <row r="1453" spans="1:18" ht="195" x14ac:dyDescent="0.25">
      <c r="A1453" s="14" t="s">
        <v>8732</v>
      </c>
      <c r="B1453" s="14" t="s">
        <v>8813</v>
      </c>
      <c r="C1453" s="14" t="s">
        <v>8654</v>
      </c>
      <c r="D1453" s="14" t="s">
        <v>8531</v>
      </c>
      <c r="E1453" s="14" t="s">
        <v>5069</v>
      </c>
      <c r="F1453" s="14" t="s">
        <v>5070</v>
      </c>
      <c r="G1453" s="8" t="s">
        <v>8856</v>
      </c>
      <c r="H1453" s="14" t="s">
        <v>258</v>
      </c>
      <c r="I1453" s="14"/>
      <c r="J1453" s="14"/>
      <c r="K1453" s="14"/>
      <c r="L1453" s="14"/>
      <c r="M1453" s="14" t="s">
        <v>5073</v>
      </c>
      <c r="N1453" s="14"/>
      <c r="O1453" s="14" t="s">
        <v>5074</v>
      </c>
      <c r="P1453" s="14" t="str">
        <f>HYPERLINK("https://ceds.ed.gov/cedselementdetails.aspx?termid=17526")</f>
        <v>https://ceds.ed.gov/cedselementdetails.aspx?termid=17526</v>
      </c>
      <c r="Q1453" s="14" t="str">
        <f>HYPERLINK("https://ceds.ed.gov/elementComment.aspx?elementName=IDEA Educational Environment for School Age &amp;elementID=17526", "Click here to submit comment")</f>
        <v>Click here to submit comment</v>
      </c>
      <c r="R1453" s="14">
        <v>51786</v>
      </c>
    </row>
    <row r="1454" spans="1:18" ht="135" x14ac:dyDescent="0.25">
      <c r="A1454" s="14" t="s">
        <v>8732</v>
      </c>
      <c r="B1454" s="14" t="s">
        <v>8813</v>
      </c>
      <c r="C1454" s="14" t="s">
        <v>8654</v>
      </c>
      <c r="D1454" s="14" t="s">
        <v>8531</v>
      </c>
      <c r="E1454" s="14" t="s">
        <v>5189</v>
      </c>
      <c r="F1454" s="14" t="s">
        <v>5190</v>
      </c>
      <c r="G1454" s="14" t="s">
        <v>37</v>
      </c>
      <c r="H1454" s="14"/>
      <c r="I1454" s="14"/>
      <c r="J1454" s="14" t="s">
        <v>382</v>
      </c>
      <c r="K1454" s="14"/>
      <c r="L1454" s="14"/>
      <c r="M1454" s="14" t="s">
        <v>5192</v>
      </c>
      <c r="N1454" s="14"/>
      <c r="O1454" s="14" t="s">
        <v>5193</v>
      </c>
      <c r="P1454" s="14" t="str">
        <f>HYPERLINK("https://ceds.ed.gov/cedselementdetails.aspx?termid=18663")</f>
        <v>https://ceds.ed.gov/cedselementdetails.aspx?termid=18663</v>
      </c>
      <c r="Q1454" s="14" t="str">
        <f>HYPERLINK("https://ceds.ed.gov/elementComment.aspx?elementName=IEP Transfer of Rights Statement &amp;elementID=18663", "Click here to submit comment")</f>
        <v>Click here to submit comment</v>
      </c>
      <c r="R1454" s="14">
        <v>51948</v>
      </c>
    </row>
    <row r="1455" spans="1:18" ht="45" x14ac:dyDescent="0.25">
      <c r="A1455" s="14" t="s">
        <v>8732</v>
      </c>
      <c r="B1455" s="14" t="s">
        <v>8813</v>
      </c>
      <c r="C1455" s="14" t="s">
        <v>8654</v>
      </c>
      <c r="D1455" s="14" t="s">
        <v>8531</v>
      </c>
      <c r="E1455" s="14" t="s">
        <v>5316</v>
      </c>
      <c r="F1455" s="14" t="s">
        <v>5317</v>
      </c>
      <c r="G1455" s="14" t="s">
        <v>24</v>
      </c>
      <c r="H1455" s="14"/>
      <c r="I1455" s="14"/>
      <c r="J1455" s="14"/>
      <c r="K1455" s="14"/>
      <c r="L1455" s="14"/>
      <c r="M1455" s="14" t="s">
        <v>5319</v>
      </c>
      <c r="N1455" s="14"/>
      <c r="O1455" s="14" t="s">
        <v>5320</v>
      </c>
      <c r="P1455" s="14" t="str">
        <f>HYPERLINK("https://ceds.ed.gov/cedselementdetails.aspx?termid=18615")</f>
        <v>https://ceds.ed.gov/cedselementdetails.aspx?termid=18615</v>
      </c>
      <c r="Q1455" s="14" t="str">
        <f>HYPERLINK("https://ceds.ed.gov/elementComment.aspx?elementName=Inclusive Setting Indicator &amp;elementID=18615", "Click here to submit comment")</f>
        <v>Click here to submit comment</v>
      </c>
      <c r="R1455" s="14">
        <v>51855</v>
      </c>
    </row>
    <row r="1456" spans="1:18" ht="45" x14ac:dyDescent="0.25">
      <c r="A1456" s="14" t="s">
        <v>8732</v>
      </c>
      <c r="B1456" s="14" t="s">
        <v>8813</v>
      </c>
      <c r="C1456" s="14" t="s">
        <v>8654</v>
      </c>
      <c r="D1456" s="14" t="s">
        <v>8531</v>
      </c>
      <c r="E1456" s="14" t="s">
        <v>5345</v>
      </c>
      <c r="F1456" s="14" t="s">
        <v>5346</v>
      </c>
      <c r="G1456" s="14" t="s">
        <v>37</v>
      </c>
      <c r="H1456" s="14"/>
      <c r="I1456" s="14"/>
      <c r="J1456" s="14" t="s">
        <v>135</v>
      </c>
      <c r="K1456" s="14"/>
      <c r="L1456" s="14"/>
      <c r="M1456" s="14" t="s">
        <v>5348</v>
      </c>
      <c r="N1456" s="14"/>
      <c r="O1456" s="14" t="s">
        <v>5349</v>
      </c>
      <c r="P1456" s="14" t="str">
        <f>HYPERLINK("https://ceds.ed.gov/cedselementdetails.aspx?termid=18197")</f>
        <v>https://ceds.ed.gov/cedselementdetails.aspx?termid=18197</v>
      </c>
      <c r="Q1456" s="14" t="str">
        <f>HYPERLINK("https://ceds.ed.gov/elementComment.aspx?elementName=Individualized Program Date &amp;elementID=18197", "Click here to submit comment")</f>
        <v>Click here to submit comment</v>
      </c>
      <c r="R1456" s="14">
        <v>48687</v>
      </c>
    </row>
    <row r="1457" spans="1:18" ht="45" x14ac:dyDescent="0.25">
      <c r="A1457" s="14" t="s">
        <v>8732</v>
      </c>
      <c r="B1457" s="14" t="s">
        <v>8813</v>
      </c>
      <c r="C1457" s="14" t="s">
        <v>8654</v>
      </c>
      <c r="D1457" s="14" t="s">
        <v>8531</v>
      </c>
      <c r="E1457" s="14" t="s">
        <v>5387</v>
      </c>
      <c r="F1457" s="14" t="s">
        <v>5388</v>
      </c>
      <c r="G1457" s="14" t="s">
        <v>37</v>
      </c>
      <c r="H1457" s="14"/>
      <c r="I1457" s="14"/>
      <c r="J1457" s="14" t="s">
        <v>135</v>
      </c>
      <c r="K1457" s="14"/>
      <c r="L1457" s="14"/>
      <c r="M1457" s="14" t="s">
        <v>5389</v>
      </c>
      <c r="N1457" s="14"/>
      <c r="O1457" s="14" t="s">
        <v>5390</v>
      </c>
      <c r="P1457" s="14" t="str">
        <f>HYPERLINK("https://ceds.ed.gov/cedselementdetails.aspx?termid=18201")</f>
        <v>https://ceds.ed.gov/cedselementdetails.aspx?termid=18201</v>
      </c>
      <c r="Q1457" s="14" t="str">
        <f>HYPERLINK("https://ceds.ed.gov/elementComment.aspx?elementName=Individualized Program Service Plan Date &amp;elementID=18201", "Click here to submit comment")</f>
        <v>Click here to submit comment</v>
      </c>
      <c r="R1457" s="14">
        <v>48695</v>
      </c>
    </row>
    <row r="1458" spans="1:18" ht="75" x14ac:dyDescent="0.25">
      <c r="A1458" s="14" t="s">
        <v>8732</v>
      </c>
      <c r="B1458" s="14" t="s">
        <v>8813</v>
      </c>
      <c r="C1458" s="14" t="s">
        <v>8654</v>
      </c>
      <c r="D1458" s="14" t="s">
        <v>8531</v>
      </c>
      <c r="E1458" s="14" t="s">
        <v>5396</v>
      </c>
      <c r="F1458" s="14" t="s">
        <v>5397</v>
      </c>
      <c r="G1458" s="14" t="s">
        <v>37</v>
      </c>
      <c r="H1458" s="14"/>
      <c r="I1458" s="14"/>
      <c r="J1458" s="14" t="s">
        <v>135</v>
      </c>
      <c r="K1458" s="14"/>
      <c r="L1458" s="14" t="s">
        <v>160</v>
      </c>
      <c r="M1458" s="14" t="s">
        <v>5398</v>
      </c>
      <c r="N1458" s="14"/>
      <c r="O1458" s="14" t="s">
        <v>5399</v>
      </c>
      <c r="P1458" s="14" t="str">
        <f>HYPERLINK("https://ceds.ed.gov/cedselementdetails.aspx?termid=18664")</f>
        <v>https://ceds.ed.gov/cedselementdetails.aspx?termid=18664</v>
      </c>
      <c r="Q1458" s="14" t="str">
        <f>HYPERLINK("https://ceds.ed.gov/elementComment.aspx?elementName=Individualized Program Service Plan End Date &amp;elementID=18664", "Click here to submit comment")</f>
        <v>Click here to submit comment</v>
      </c>
      <c r="R1458" s="14">
        <v>51953</v>
      </c>
    </row>
    <row r="1459" spans="1:18" ht="45" x14ac:dyDescent="0.25">
      <c r="A1459" s="14" t="s">
        <v>8732</v>
      </c>
      <c r="B1459" s="14" t="s">
        <v>8813</v>
      </c>
      <c r="C1459" s="14" t="s">
        <v>8654</v>
      </c>
      <c r="D1459" s="14" t="s">
        <v>8531</v>
      </c>
      <c r="E1459" s="14" t="s">
        <v>5400</v>
      </c>
      <c r="F1459" s="14" t="s">
        <v>5401</v>
      </c>
      <c r="G1459" s="14" t="s">
        <v>37</v>
      </c>
      <c r="H1459" s="14"/>
      <c r="I1459" s="14"/>
      <c r="J1459" s="14" t="s">
        <v>135</v>
      </c>
      <c r="K1459" s="14"/>
      <c r="L1459" s="14"/>
      <c r="M1459" s="14" t="s">
        <v>5402</v>
      </c>
      <c r="N1459" s="14"/>
      <c r="O1459" s="14" t="s">
        <v>5403</v>
      </c>
      <c r="P1459" s="14" t="str">
        <f>HYPERLINK("https://ceds.ed.gov/cedselementdetails.aspx?termid=18665")</f>
        <v>https://ceds.ed.gov/cedselementdetails.aspx?termid=18665</v>
      </c>
      <c r="Q1459" s="14" t="str">
        <f>HYPERLINK("https://ceds.ed.gov/elementComment.aspx?elementName=Individualized Program Service Plan Meeting Date &amp;elementID=18665", "Click here to submit comment")</f>
        <v>Click here to submit comment</v>
      </c>
      <c r="R1459" s="14">
        <v>51954</v>
      </c>
    </row>
    <row r="1460" spans="1:18" ht="45" x14ac:dyDescent="0.25">
      <c r="A1460" s="14" t="s">
        <v>8732</v>
      </c>
      <c r="B1460" s="14" t="s">
        <v>8813</v>
      </c>
      <c r="C1460" s="14" t="s">
        <v>8654</v>
      </c>
      <c r="D1460" s="14" t="s">
        <v>8531</v>
      </c>
      <c r="E1460" s="14" t="s">
        <v>5433</v>
      </c>
      <c r="F1460" s="14" t="s">
        <v>5434</v>
      </c>
      <c r="G1460" s="14" t="s">
        <v>37</v>
      </c>
      <c r="H1460" s="14"/>
      <c r="I1460" s="14"/>
      <c r="J1460" s="14" t="s">
        <v>135</v>
      </c>
      <c r="K1460" s="14"/>
      <c r="L1460" s="14"/>
      <c r="M1460" s="14" t="s">
        <v>5435</v>
      </c>
      <c r="N1460" s="14"/>
      <c r="O1460" s="14" t="s">
        <v>5436</v>
      </c>
      <c r="P1460" s="14" t="str">
        <f>HYPERLINK("https://ceds.ed.gov/cedselementdetails.aspx?termid=18207")</f>
        <v>https://ceds.ed.gov/cedselementdetails.aspx?termid=18207</v>
      </c>
      <c r="Q1460" s="14" t="str">
        <f>HYPERLINK("https://ceds.ed.gov/elementComment.aspx?elementName=Individualized Program Service Plan Reevaluation Date &amp;elementID=18207", "Click here to submit comment")</f>
        <v>Click here to submit comment</v>
      </c>
      <c r="R1460" s="14">
        <v>48705</v>
      </c>
    </row>
    <row r="1461" spans="1:18" ht="255" x14ac:dyDescent="0.25">
      <c r="A1461" s="14" t="s">
        <v>8732</v>
      </c>
      <c r="B1461" s="14" t="s">
        <v>8813</v>
      </c>
      <c r="C1461" s="14" t="s">
        <v>8654</v>
      </c>
      <c r="D1461" s="14" t="s">
        <v>8531</v>
      </c>
      <c r="E1461" s="14" t="s">
        <v>5404</v>
      </c>
      <c r="F1461" s="14" t="s">
        <v>5405</v>
      </c>
      <c r="G1461" s="8" t="s">
        <v>8656</v>
      </c>
      <c r="H1461" s="14"/>
      <c r="I1461" s="14"/>
      <c r="J1461" s="14"/>
      <c r="K1461" s="14"/>
      <c r="L1461" s="14"/>
      <c r="M1461" s="14" t="s">
        <v>5407</v>
      </c>
      <c r="N1461" s="14"/>
      <c r="O1461" s="14" t="s">
        <v>5408</v>
      </c>
      <c r="P1461" s="14" t="str">
        <f>HYPERLINK("https://ceds.ed.gov/cedselementdetails.aspx?termid=18202")</f>
        <v>https://ceds.ed.gov/cedselementdetails.aspx?termid=18202</v>
      </c>
      <c r="Q1461" s="14" t="str">
        <f>HYPERLINK("https://ceds.ed.gov/elementComment.aspx?elementName=Individualized Program Service Plan Meeting Location &amp;elementID=18202", "Click here to submit comment")</f>
        <v>Click here to submit comment</v>
      </c>
      <c r="R1461" s="14">
        <v>48697</v>
      </c>
    </row>
    <row r="1462" spans="1:18" ht="45" x14ac:dyDescent="0.25">
      <c r="A1462" s="14" t="s">
        <v>8732</v>
      </c>
      <c r="B1462" s="14" t="s">
        <v>8813</v>
      </c>
      <c r="C1462" s="14" t="s">
        <v>8654</v>
      </c>
      <c r="D1462" s="14" t="s">
        <v>8531</v>
      </c>
      <c r="E1462" s="14" t="s">
        <v>5409</v>
      </c>
      <c r="F1462" s="14" t="s">
        <v>5410</v>
      </c>
      <c r="G1462" s="14" t="s">
        <v>37</v>
      </c>
      <c r="H1462" s="14"/>
      <c r="I1462" s="14"/>
      <c r="J1462" s="14" t="s">
        <v>382</v>
      </c>
      <c r="K1462" s="14"/>
      <c r="L1462" s="14"/>
      <c r="M1462" s="14" t="s">
        <v>5411</v>
      </c>
      <c r="N1462" s="14"/>
      <c r="O1462" s="14" t="s">
        <v>5412</v>
      </c>
      <c r="P1462" s="14" t="str">
        <f>HYPERLINK("https://ceds.ed.gov/cedselementdetails.aspx?termid=18203")</f>
        <v>https://ceds.ed.gov/cedselementdetails.aspx?termid=18203</v>
      </c>
      <c r="Q1462" s="14" t="str">
        <f>HYPERLINK("https://ceds.ed.gov/elementComment.aspx?elementName=Individualized Program Service Plan Meeting Participants &amp;elementID=18203", "Click here to submit comment")</f>
        <v>Click here to submit comment</v>
      </c>
      <c r="R1462" s="14">
        <v>48699</v>
      </c>
    </row>
    <row r="1463" spans="1:18" ht="45" x14ac:dyDescent="0.25">
      <c r="A1463" s="14" t="s">
        <v>8732</v>
      </c>
      <c r="B1463" s="14" t="s">
        <v>8813</v>
      </c>
      <c r="C1463" s="14" t="s">
        <v>8654</v>
      </c>
      <c r="D1463" s="14" t="s">
        <v>8531</v>
      </c>
      <c r="E1463" s="14" t="s">
        <v>5441</v>
      </c>
      <c r="F1463" s="14" t="s">
        <v>5442</v>
      </c>
      <c r="G1463" s="14" t="s">
        <v>37</v>
      </c>
      <c r="H1463" s="14"/>
      <c r="I1463" s="14"/>
      <c r="J1463" s="14" t="s">
        <v>382</v>
      </c>
      <c r="K1463" s="14"/>
      <c r="L1463" s="14"/>
      <c r="M1463" s="14" t="s">
        <v>5443</v>
      </c>
      <c r="N1463" s="14"/>
      <c r="O1463" s="14" t="s">
        <v>5444</v>
      </c>
      <c r="P1463" s="14" t="str">
        <f>HYPERLINK("https://ceds.ed.gov/cedselementdetails.aspx?termid=18204")</f>
        <v>https://ceds.ed.gov/cedselementdetails.aspx?termid=18204</v>
      </c>
      <c r="Q1463" s="14" t="str">
        <f>HYPERLINK("https://ceds.ed.gov/elementComment.aspx?elementName=Individualized Program Service Plan Signed By &amp;elementID=18204", "Click here to submit comment")</f>
        <v>Click here to submit comment</v>
      </c>
      <c r="R1463" s="14">
        <v>48701</v>
      </c>
    </row>
    <row r="1464" spans="1:18" ht="45" x14ac:dyDescent="0.25">
      <c r="A1464" s="14" t="s">
        <v>8732</v>
      </c>
      <c r="B1464" s="14" t="s">
        <v>8813</v>
      </c>
      <c r="C1464" s="14" t="s">
        <v>8654</v>
      </c>
      <c r="D1464" s="14" t="s">
        <v>8531</v>
      </c>
      <c r="E1464" s="14" t="s">
        <v>5437</v>
      </c>
      <c r="F1464" s="14" t="s">
        <v>5438</v>
      </c>
      <c r="G1464" s="14" t="s">
        <v>37</v>
      </c>
      <c r="H1464" s="14"/>
      <c r="I1464" s="14"/>
      <c r="J1464" s="14" t="s">
        <v>135</v>
      </c>
      <c r="K1464" s="14"/>
      <c r="L1464" s="14"/>
      <c r="M1464" s="14" t="s">
        <v>5439</v>
      </c>
      <c r="N1464" s="14"/>
      <c r="O1464" s="14" t="s">
        <v>5440</v>
      </c>
      <c r="P1464" s="14" t="str">
        <f>HYPERLINK("https://ceds.ed.gov/cedselementdetails.aspx?termid=18205")</f>
        <v>https://ceds.ed.gov/cedselementdetails.aspx?termid=18205</v>
      </c>
      <c r="Q1464" s="14" t="str">
        <f>HYPERLINK("https://ceds.ed.gov/elementComment.aspx?elementName=Individualized Program Service Plan Signature Date &amp;elementID=18205", "Click here to submit comment")</f>
        <v>Click here to submit comment</v>
      </c>
      <c r="R1464" s="14">
        <v>48703</v>
      </c>
    </row>
    <row r="1465" spans="1:18" ht="105" x14ac:dyDescent="0.25">
      <c r="A1465" s="14" t="s">
        <v>8732</v>
      </c>
      <c r="B1465" s="14" t="s">
        <v>8813</v>
      </c>
      <c r="C1465" s="14" t="s">
        <v>8654</v>
      </c>
      <c r="D1465" s="14" t="s">
        <v>8531</v>
      </c>
      <c r="E1465" s="14" t="s">
        <v>5422</v>
      </c>
      <c r="F1465" s="14" t="s">
        <v>5423</v>
      </c>
      <c r="G1465" s="8" t="s">
        <v>8860</v>
      </c>
      <c r="H1465" s="14"/>
      <c r="I1465" s="14"/>
      <c r="J1465" s="14"/>
      <c r="K1465" s="14"/>
      <c r="L1465" s="14"/>
      <c r="M1465" s="14" t="s">
        <v>5425</v>
      </c>
      <c r="N1465" s="14"/>
      <c r="O1465" s="14" t="s">
        <v>5426</v>
      </c>
      <c r="P1465" s="14" t="str">
        <f>HYPERLINK("https://ceds.ed.gov/cedselementdetails.aspx?termid=18662")</f>
        <v>https://ceds.ed.gov/cedselementdetails.aspx?termid=18662</v>
      </c>
      <c r="Q1465" s="14" t="str">
        <f>HYPERLINK("https://ceds.ed.gov/elementComment.aspx?elementName=Individualized Program Service Plan Progress Report Schedule &amp;elementID=18662", "Click here to submit comment")</f>
        <v>Click here to submit comment</v>
      </c>
      <c r="R1465" s="14">
        <v>51957</v>
      </c>
    </row>
    <row r="1466" spans="1:18" ht="90" x14ac:dyDescent="0.25">
      <c r="A1466" s="14" t="s">
        <v>8732</v>
      </c>
      <c r="B1466" s="14" t="s">
        <v>8813</v>
      </c>
      <c r="C1466" s="14" t="s">
        <v>8654</v>
      </c>
      <c r="D1466" s="14" t="s">
        <v>8531</v>
      </c>
      <c r="E1466" s="14" t="s">
        <v>5427</v>
      </c>
      <c r="F1466" s="14" t="s">
        <v>5428</v>
      </c>
      <c r="G1466" s="8" t="s">
        <v>8861</v>
      </c>
      <c r="H1466" s="14"/>
      <c r="I1466" s="14"/>
      <c r="J1466" s="14"/>
      <c r="K1466" s="14"/>
      <c r="L1466" s="14"/>
      <c r="M1466" s="14" t="s">
        <v>5431</v>
      </c>
      <c r="N1466" s="14"/>
      <c r="O1466" s="14" t="s">
        <v>5432</v>
      </c>
      <c r="P1466" s="14" t="str">
        <f>HYPERLINK("https://ceds.ed.gov/cedselementdetails.aspx?termid=18682")</f>
        <v>https://ceds.ed.gov/cedselementdetails.aspx?termid=18682</v>
      </c>
      <c r="Q1466" s="14" t="str">
        <f>HYPERLINK("https://ceds.ed.gov/elementComment.aspx?elementName=Individualized Program Service Plan Progress Report Type &amp;elementID=18682", "Click here to submit comment")</f>
        <v>Click here to submit comment</v>
      </c>
      <c r="R1466" s="14">
        <v>51958</v>
      </c>
    </row>
    <row r="1467" spans="1:18" ht="60" x14ac:dyDescent="0.25">
      <c r="A1467" s="14" t="s">
        <v>8732</v>
      </c>
      <c r="B1467" s="14" t="s">
        <v>8813</v>
      </c>
      <c r="C1467" s="14" t="s">
        <v>8654</v>
      </c>
      <c r="D1467" s="14" t="s">
        <v>8531</v>
      </c>
      <c r="E1467" s="14" t="s">
        <v>5355</v>
      </c>
      <c r="F1467" s="14" t="s">
        <v>5356</v>
      </c>
      <c r="G1467" s="14" t="s">
        <v>37</v>
      </c>
      <c r="H1467" s="14"/>
      <c r="I1467" s="14"/>
      <c r="J1467" s="14" t="s">
        <v>370</v>
      </c>
      <c r="K1467" s="14"/>
      <c r="L1467" s="14"/>
      <c r="M1467" s="14" t="s">
        <v>5357</v>
      </c>
      <c r="N1467" s="14"/>
      <c r="O1467" s="14" t="s">
        <v>5358</v>
      </c>
      <c r="P1467" s="14" t="str">
        <f>HYPERLINK("https://ceds.ed.gov/cedselementdetails.aspx?termid=18198")</f>
        <v>https://ceds.ed.gov/cedselementdetails.aspx?termid=18198</v>
      </c>
      <c r="Q1467" s="14" t="str">
        <f>HYPERLINK("https://ceds.ed.gov/elementComment.aspx?elementName=Individualized Program NonInclusion Minutes Per Week &amp;elementID=18198", "Click here to submit comment")</f>
        <v>Click here to submit comment</v>
      </c>
      <c r="R1467" s="14">
        <v>48689</v>
      </c>
    </row>
    <row r="1468" spans="1:18" ht="60" x14ac:dyDescent="0.25">
      <c r="A1468" s="14" t="s">
        <v>8732</v>
      </c>
      <c r="B1468" s="14" t="s">
        <v>8813</v>
      </c>
      <c r="C1468" s="14" t="s">
        <v>8654</v>
      </c>
      <c r="D1468" s="14" t="s">
        <v>8531</v>
      </c>
      <c r="E1468" s="14" t="s">
        <v>5350</v>
      </c>
      <c r="F1468" s="14" t="s">
        <v>5351</v>
      </c>
      <c r="G1468" s="14" t="s">
        <v>37</v>
      </c>
      <c r="H1468" s="14"/>
      <c r="I1468" s="14"/>
      <c r="J1468" s="14" t="s">
        <v>370</v>
      </c>
      <c r="K1468" s="14"/>
      <c r="L1468" s="14"/>
      <c r="M1468" s="14" t="s">
        <v>5353</v>
      </c>
      <c r="N1468" s="14"/>
      <c r="O1468" s="14" t="s">
        <v>5354</v>
      </c>
      <c r="P1468" s="14" t="str">
        <f>HYPERLINK("https://ceds.ed.gov/cedselementdetails.aspx?termid=18199")</f>
        <v>https://ceds.ed.gov/cedselementdetails.aspx?termid=18199</v>
      </c>
      <c r="Q1468" s="14" t="str">
        <f>HYPERLINK("https://ceds.ed.gov/elementComment.aspx?elementName=Individualized Program Inclusion Minutes Per Week &amp;elementID=18199", "Click here to submit comment")</f>
        <v>Click here to submit comment</v>
      </c>
      <c r="R1468" s="14">
        <v>48691</v>
      </c>
    </row>
    <row r="1469" spans="1:18" ht="75" x14ac:dyDescent="0.25">
      <c r="A1469" s="14" t="s">
        <v>8732</v>
      </c>
      <c r="B1469" s="14" t="s">
        <v>8813</v>
      </c>
      <c r="C1469" s="14" t="s">
        <v>8654</v>
      </c>
      <c r="D1469" s="14" t="s">
        <v>8531</v>
      </c>
      <c r="E1469" s="14" t="s">
        <v>5445</v>
      </c>
      <c r="F1469" s="14" t="s">
        <v>5446</v>
      </c>
      <c r="G1469" s="8" t="s">
        <v>8862</v>
      </c>
      <c r="H1469" s="14"/>
      <c r="I1469" s="14"/>
      <c r="J1469" s="14"/>
      <c r="K1469" s="14"/>
      <c r="L1469" s="14"/>
      <c r="M1469" s="14" t="s">
        <v>5448</v>
      </c>
      <c r="N1469" s="14"/>
      <c r="O1469" s="14" t="s">
        <v>5449</v>
      </c>
      <c r="P1469" s="14" t="str">
        <f>HYPERLINK("https://ceds.ed.gov/cedselementdetails.aspx?termid=18200")</f>
        <v>https://ceds.ed.gov/cedselementdetails.aspx?termid=18200</v>
      </c>
      <c r="Q1469" s="14" t="str">
        <f>HYPERLINK("https://ceds.ed.gov/elementComment.aspx?elementName=Individualized Program Transition Plan Type &amp;elementID=18200", "Click here to submit comment")</f>
        <v>Click here to submit comment</v>
      </c>
      <c r="R1469" s="14">
        <v>48693</v>
      </c>
    </row>
    <row r="1470" spans="1:18" ht="409.5" x14ac:dyDescent="0.25">
      <c r="A1470" s="14" t="s">
        <v>8732</v>
      </c>
      <c r="B1470" s="14" t="s">
        <v>8813</v>
      </c>
      <c r="C1470" s="14" t="s">
        <v>8654</v>
      </c>
      <c r="D1470" s="14" t="s">
        <v>8531</v>
      </c>
      <c r="E1470" s="14" t="s">
        <v>8081</v>
      </c>
      <c r="F1470" s="14" t="s">
        <v>8082</v>
      </c>
      <c r="G1470" s="8" t="s">
        <v>8757</v>
      </c>
      <c r="H1470" s="14"/>
      <c r="I1470" s="14" t="s">
        <v>195</v>
      </c>
      <c r="J1470" s="14"/>
      <c r="K1470" s="14" t="s">
        <v>8085</v>
      </c>
      <c r="L1470" s="14" t="s">
        <v>8086</v>
      </c>
      <c r="M1470" s="14" t="s">
        <v>8087</v>
      </c>
      <c r="N1470" s="14"/>
      <c r="O1470" s="14" t="s">
        <v>8088</v>
      </c>
      <c r="P1470" s="14" t="str">
        <f>HYPERLINK("https://ceds.ed.gov/cedselementdetails.aspx?termid=17273")</f>
        <v>https://ceds.ed.gov/cedselementdetails.aspx?termid=17273</v>
      </c>
      <c r="Q1470" s="14" t="str">
        <f>HYPERLINK("https://ceds.ed.gov/elementComment.aspx?elementName=Student Support Service Type &amp;elementID=17273", "Click here to submit comment")</f>
        <v>Click here to submit comment</v>
      </c>
      <c r="R1470" s="14">
        <v>48710</v>
      </c>
    </row>
    <row r="1471" spans="1:18" ht="45" x14ac:dyDescent="0.25">
      <c r="A1471" s="14" t="s">
        <v>8732</v>
      </c>
      <c r="B1471" s="14" t="s">
        <v>8813</v>
      </c>
      <c r="C1471" s="14" t="s">
        <v>8654</v>
      </c>
      <c r="D1471" s="14" t="s">
        <v>8531</v>
      </c>
      <c r="E1471" s="14" t="s">
        <v>2189</v>
      </c>
      <c r="F1471" s="14" t="s">
        <v>2190</v>
      </c>
      <c r="G1471" s="14" t="s">
        <v>37</v>
      </c>
      <c r="H1471" s="14"/>
      <c r="I1471" s="14"/>
      <c r="J1471" s="14" t="s">
        <v>135</v>
      </c>
      <c r="K1471" s="14"/>
      <c r="L1471" s="14"/>
      <c r="M1471" s="14" t="s">
        <v>2192</v>
      </c>
      <c r="N1471" s="14"/>
      <c r="O1471" s="14" t="s">
        <v>2193</v>
      </c>
      <c r="P1471" s="14" t="str">
        <f>HYPERLINK("https://ceds.ed.gov/cedselementdetails.aspx?termid=18255")</f>
        <v>https://ceds.ed.gov/cedselementdetails.aspx?termid=18255</v>
      </c>
      <c r="Q1471" s="14" t="str">
        <f>HYPERLINK("https://ceds.ed.gov/elementComment.aspx?elementName=Career Education Plan Date &amp;elementID=18255", "Click here to submit comment")</f>
        <v>Click here to submit comment</v>
      </c>
      <c r="R1471" s="14">
        <v>50827</v>
      </c>
    </row>
    <row r="1472" spans="1:18" ht="75" x14ac:dyDescent="0.25">
      <c r="A1472" s="14" t="s">
        <v>8732</v>
      </c>
      <c r="B1472" s="14" t="s">
        <v>8813</v>
      </c>
      <c r="C1472" s="14" t="s">
        <v>8654</v>
      </c>
      <c r="D1472" s="14" t="s">
        <v>8531</v>
      </c>
      <c r="E1472" s="14" t="s">
        <v>2194</v>
      </c>
      <c r="F1472" s="14" t="s">
        <v>2195</v>
      </c>
      <c r="G1472" s="8" t="s">
        <v>8660</v>
      </c>
      <c r="H1472" s="14"/>
      <c r="I1472" s="14" t="s">
        <v>195</v>
      </c>
      <c r="J1472" s="14"/>
      <c r="K1472" s="14" t="s">
        <v>2197</v>
      </c>
      <c r="L1472" s="14"/>
      <c r="M1472" s="14" t="s">
        <v>2198</v>
      </c>
      <c r="N1472" s="14"/>
      <c r="O1472" s="14" t="s">
        <v>2199</v>
      </c>
      <c r="P1472" s="14" t="str">
        <f>HYPERLINK("https://ceds.ed.gov/cedselementdetails.aspx?termid=18256")</f>
        <v>https://ceds.ed.gov/cedselementdetails.aspx?termid=18256</v>
      </c>
      <c r="Q1472" s="14" t="str">
        <f>HYPERLINK("https://ceds.ed.gov/elementComment.aspx?elementName=Career Education Plan Type &amp;elementID=18256", "Click here to submit comment")</f>
        <v>Click here to submit comment</v>
      </c>
      <c r="R1472" s="14">
        <v>50830</v>
      </c>
    </row>
    <row r="1473" spans="1:18" ht="45" x14ac:dyDescent="0.25">
      <c r="A1473" s="14" t="s">
        <v>8732</v>
      </c>
      <c r="B1473" s="14" t="s">
        <v>8813</v>
      </c>
      <c r="C1473" s="14" t="s">
        <v>8863</v>
      </c>
      <c r="D1473" s="14" t="s">
        <v>8531</v>
      </c>
      <c r="E1473" s="14" t="s">
        <v>2775</v>
      </c>
      <c r="F1473" s="14" t="s">
        <v>2776</v>
      </c>
      <c r="G1473" s="14" t="s">
        <v>37</v>
      </c>
      <c r="H1473" s="14"/>
      <c r="I1473" s="14"/>
      <c r="J1473" s="14" t="s">
        <v>135</v>
      </c>
      <c r="K1473" s="14"/>
      <c r="L1473" s="14"/>
      <c r="M1473" s="14" t="s">
        <v>2778</v>
      </c>
      <c r="N1473" s="14"/>
      <c r="O1473" s="14" t="s">
        <v>2779</v>
      </c>
      <c r="P1473" s="14" t="str">
        <f>HYPERLINK("https://ceds.ed.gov/cedselementdetails.aspx?termid=18708")</f>
        <v>https://ceds.ed.gov/cedselementdetails.aspx?termid=18708</v>
      </c>
      <c r="Q1473" s="14" t="str">
        <f>HYPERLINK("https://ceds.ed.gov/elementComment.aspx?elementName=Consent to Evaluation Date &amp;elementID=18708", "Click here to submit comment")</f>
        <v>Click here to submit comment</v>
      </c>
      <c r="R1473" s="14">
        <v>51875</v>
      </c>
    </row>
    <row r="1474" spans="1:18" ht="45" x14ac:dyDescent="0.25">
      <c r="A1474" s="14" t="s">
        <v>8732</v>
      </c>
      <c r="B1474" s="14" t="s">
        <v>8813</v>
      </c>
      <c r="C1474" s="14" t="s">
        <v>8863</v>
      </c>
      <c r="D1474" s="14" t="s">
        <v>8531</v>
      </c>
      <c r="E1474" s="14" t="s">
        <v>2780</v>
      </c>
      <c r="F1474" s="14" t="s">
        <v>2781</v>
      </c>
      <c r="G1474" s="14" t="s">
        <v>24</v>
      </c>
      <c r="H1474" s="14"/>
      <c r="I1474" s="14"/>
      <c r="J1474" s="14"/>
      <c r="K1474" s="14"/>
      <c r="L1474" s="14"/>
      <c r="M1474" s="14" t="s">
        <v>2782</v>
      </c>
      <c r="N1474" s="14"/>
      <c r="O1474" s="14" t="s">
        <v>2783</v>
      </c>
      <c r="P1474" s="14" t="str">
        <f>HYPERLINK("https://ceds.ed.gov/cedselementdetails.aspx?termid=18707")</f>
        <v>https://ceds.ed.gov/cedselementdetails.aspx?termid=18707</v>
      </c>
      <c r="Q1474" s="14" t="str">
        <f>HYPERLINK("https://ceds.ed.gov/elementComment.aspx?elementName=Consent to Evaluation Indicator &amp;elementID=18707", "Click here to submit comment")</f>
        <v>Click here to submit comment</v>
      </c>
      <c r="R1474" s="14">
        <v>51876</v>
      </c>
    </row>
    <row r="1475" spans="1:18" ht="105" x14ac:dyDescent="0.25">
      <c r="A1475" s="16" t="s">
        <v>8732</v>
      </c>
      <c r="B1475" s="16" t="s">
        <v>8813</v>
      </c>
      <c r="C1475" s="16" t="s">
        <v>8863</v>
      </c>
      <c r="D1475" s="16" t="s">
        <v>8531</v>
      </c>
      <c r="E1475" s="16" t="s">
        <v>6711</v>
      </c>
      <c r="F1475" s="16" t="s">
        <v>6712</v>
      </c>
      <c r="G1475" s="16" t="s">
        <v>37</v>
      </c>
      <c r="H1475" s="16"/>
      <c r="I1475" s="16"/>
      <c r="J1475" s="16" t="s">
        <v>149</v>
      </c>
      <c r="K1475" s="16"/>
      <c r="L1475" s="14" t="s">
        <v>150</v>
      </c>
      <c r="M1475" s="16" t="s">
        <v>6713</v>
      </c>
      <c r="N1475" s="16"/>
      <c r="O1475" s="16" t="s">
        <v>6714</v>
      </c>
      <c r="P1475" s="16" t="str">
        <f>HYPERLINK("https://ceds.ed.gov/cedselementdetails.aspx?termid=18551")</f>
        <v>https://ceds.ed.gov/cedselementdetails.aspx?termid=18551</v>
      </c>
      <c r="Q1475" s="16" t="str">
        <f>HYPERLINK("https://ceds.ed.gov/elementComment.aspx?elementName=Person Identifier &amp;elementID=18551", "Click here to submit comment")</f>
        <v>Click here to submit comment</v>
      </c>
      <c r="R1475" s="16">
        <v>51854</v>
      </c>
    </row>
    <row r="1476" spans="1:18" x14ac:dyDescent="0.25">
      <c r="A1476" s="16"/>
      <c r="B1476" s="16"/>
      <c r="C1476" s="16"/>
      <c r="D1476" s="16"/>
      <c r="E1476" s="16"/>
      <c r="F1476" s="16"/>
      <c r="G1476" s="16"/>
      <c r="H1476" s="16"/>
      <c r="I1476" s="16"/>
      <c r="J1476" s="16"/>
      <c r="K1476" s="16"/>
      <c r="L1476" s="14"/>
      <c r="M1476" s="16"/>
      <c r="N1476" s="16"/>
      <c r="O1476" s="16"/>
      <c r="P1476" s="16"/>
      <c r="Q1476" s="16"/>
      <c r="R1476" s="16"/>
    </row>
    <row r="1477" spans="1:18" ht="90" x14ac:dyDescent="0.25">
      <c r="A1477" s="16"/>
      <c r="B1477" s="16"/>
      <c r="C1477" s="16"/>
      <c r="D1477" s="16"/>
      <c r="E1477" s="16"/>
      <c r="F1477" s="16"/>
      <c r="G1477" s="16"/>
      <c r="H1477" s="16"/>
      <c r="I1477" s="16"/>
      <c r="J1477" s="16"/>
      <c r="K1477" s="16"/>
      <c r="L1477" s="14" t="s">
        <v>153</v>
      </c>
      <c r="M1477" s="16"/>
      <c r="N1477" s="16"/>
      <c r="O1477" s="16"/>
      <c r="P1477" s="16"/>
      <c r="Q1477" s="16"/>
      <c r="R1477" s="16"/>
    </row>
    <row r="1478" spans="1:18" ht="375" x14ac:dyDescent="0.25">
      <c r="A1478" s="14" t="s">
        <v>8732</v>
      </c>
      <c r="B1478" s="14" t="s">
        <v>8813</v>
      </c>
      <c r="C1478" s="14" t="s">
        <v>8863</v>
      </c>
      <c r="D1478" s="14" t="s">
        <v>8531</v>
      </c>
      <c r="E1478" s="14" t="s">
        <v>6705</v>
      </c>
      <c r="F1478" s="14" t="s">
        <v>6706</v>
      </c>
      <c r="G1478" s="8" t="s">
        <v>8676</v>
      </c>
      <c r="H1478" s="14"/>
      <c r="I1478" s="14"/>
      <c r="J1478" s="14"/>
      <c r="K1478" s="14"/>
      <c r="L1478" s="14"/>
      <c r="M1478" s="14" t="s">
        <v>6709</v>
      </c>
      <c r="N1478" s="14"/>
      <c r="O1478" s="14" t="s">
        <v>6710</v>
      </c>
      <c r="P1478" s="14" t="str">
        <f>HYPERLINK("https://ceds.ed.gov/cedselementdetails.aspx?termid=18550")</f>
        <v>https://ceds.ed.gov/cedselementdetails.aspx?termid=18550</v>
      </c>
      <c r="Q1478" s="14" t="str">
        <f>HYPERLINK("https://ceds.ed.gov/elementComment.aspx?elementName=Person Identification System &amp;elementID=18550", "Click here to submit comment")</f>
        <v>Click here to submit comment</v>
      </c>
      <c r="R1478" s="14">
        <v>51845</v>
      </c>
    </row>
    <row r="1479" spans="1:18" ht="45" x14ac:dyDescent="0.25">
      <c r="A1479" s="14" t="s">
        <v>8732</v>
      </c>
      <c r="B1479" s="14" t="s">
        <v>8813</v>
      </c>
      <c r="C1479" s="14" t="s">
        <v>8864</v>
      </c>
      <c r="D1479" s="14" t="s">
        <v>8531</v>
      </c>
      <c r="E1479" s="14" t="s">
        <v>3584</v>
      </c>
      <c r="F1479" s="14" t="s">
        <v>3585</v>
      </c>
      <c r="G1479" s="14" t="s">
        <v>24</v>
      </c>
      <c r="H1479" s="14" t="s">
        <v>258</v>
      </c>
      <c r="I1479" s="14"/>
      <c r="J1479" s="14"/>
      <c r="K1479" s="14"/>
      <c r="L1479" s="14"/>
      <c r="M1479" s="14" t="s">
        <v>3587</v>
      </c>
      <c r="N1479" s="14"/>
      <c r="O1479" s="14" t="s">
        <v>3588</v>
      </c>
      <c r="P1479" s="14" t="str">
        <f>HYPERLINK("https://ceds.ed.gov/cedselementdetails.aspx?termid=17569")</f>
        <v>https://ceds.ed.gov/cedselementdetails.aspx?termid=17569</v>
      </c>
      <c r="Q1479" s="14" t="str">
        <f>HYPERLINK("https://ceds.ed.gov/elementComment.aspx?elementName=Disability Status &amp;elementID=17569", "Click here to submit comment")</f>
        <v>Click here to submit comment</v>
      </c>
      <c r="R1479" s="14">
        <v>51791</v>
      </c>
    </row>
    <row r="1480" spans="1:18" ht="90" x14ac:dyDescent="0.25">
      <c r="A1480" s="14" t="s">
        <v>8732</v>
      </c>
      <c r="B1480" s="14" t="s">
        <v>8813</v>
      </c>
      <c r="C1480" s="14" t="s">
        <v>8864</v>
      </c>
      <c r="D1480" s="14" t="s">
        <v>8531</v>
      </c>
      <c r="E1480" s="14" t="s">
        <v>7664</v>
      </c>
      <c r="F1480" s="14" t="s">
        <v>7665</v>
      </c>
      <c r="G1480" s="14" t="s">
        <v>24</v>
      </c>
      <c r="H1480" s="14" t="s">
        <v>5090</v>
      </c>
      <c r="I1480" s="14"/>
      <c r="J1480" s="14"/>
      <c r="K1480" s="14"/>
      <c r="L1480" s="14"/>
      <c r="M1480" s="14" t="s">
        <v>7667</v>
      </c>
      <c r="N1480" s="14"/>
      <c r="O1480" s="14" t="s">
        <v>7668</v>
      </c>
      <c r="P1480" s="14" t="str">
        <f>HYPERLINK("https://ceds.ed.gov/cedselementdetails.aspx?termid=17249")</f>
        <v>https://ceds.ed.gov/cedselementdetails.aspx?termid=17249</v>
      </c>
      <c r="Q1480" s="14" t="str">
        <f>HYPERLINK("https://ceds.ed.gov/elementComment.aspx?elementName=Section 504 Status &amp;elementID=17249", "Click here to submit comment")</f>
        <v>Click here to submit comment</v>
      </c>
      <c r="R1480" s="14">
        <v>51777</v>
      </c>
    </row>
    <row r="1481" spans="1:18" ht="210" x14ac:dyDescent="0.25">
      <c r="A1481" s="14" t="s">
        <v>8732</v>
      </c>
      <c r="B1481" s="14" t="s">
        <v>8813</v>
      </c>
      <c r="C1481" s="14" t="s">
        <v>8864</v>
      </c>
      <c r="D1481" s="14" t="s">
        <v>8531</v>
      </c>
      <c r="E1481" s="14" t="s">
        <v>6857</v>
      </c>
      <c r="F1481" s="14" t="s">
        <v>6858</v>
      </c>
      <c r="G1481" s="8" t="s">
        <v>8641</v>
      </c>
      <c r="H1481" s="14" t="s">
        <v>6864</v>
      </c>
      <c r="I1481" s="14"/>
      <c r="J1481" s="14"/>
      <c r="K1481" s="14"/>
      <c r="L1481" s="14" t="s">
        <v>6861</v>
      </c>
      <c r="M1481" s="14" t="s">
        <v>6862</v>
      </c>
      <c r="N1481" s="14"/>
      <c r="O1481" s="14" t="s">
        <v>6863</v>
      </c>
      <c r="P1481" s="14" t="str">
        <f>HYPERLINK("https://ceds.ed.gov/cedselementdetails.aspx?termid=17218")</f>
        <v>https://ceds.ed.gov/cedselementdetails.aspx?termid=17218</v>
      </c>
      <c r="Q1481" s="14" t="str">
        <f>HYPERLINK("https://ceds.ed.gov/elementComment.aspx?elementName=Primary Disability Type &amp;elementID=17218", "Click here to submit comment")</f>
        <v>Click here to submit comment</v>
      </c>
      <c r="R1481" s="14">
        <v>51776</v>
      </c>
    </row>
    <row r="1482" spans="1:18" ht="285" x14ac:dyDescent="0.25">
      <c r="A1482" s="14" t="s">
        <v>8732</v>
      </c>
      <c r="B1482" s="14" t="s">
        <v>8813</v>
      </c>
      <c r="C1482" s="14" t="s">
        <v>8864</v>
      </c>
      <c r="D1482" s="14" t="s">
        <v>8531</v>
      </c>
      <c r="E1482" s="14" t="s">
        <v>5086</v>
      </c>
      <c r="F1482" s="14" t="s">
        <v>5087</v>
      </c>
      <c r="G1482" s="14" t="s">
        <v>24</v>
      </c>
      <c r="H1482" s="14" t="s">
        <v>5090</v>
      </c>
      <c r="I1482" s="14"/>
      <c r="J1482" s="14"/>
      <c r="K1482" s="14"/>
      <c r="L1482" s="14"/>
      <c r="M1482" s="14" t="s">
        <v>5088</v>
      </c>
      <c r="N1482" s="14"/>
      <c r="O1482" s="14" t="s">
        <v>5089</v>
      </c>
      <c r="P1482" s="14" t="str">
        <f>HYPERLINK("https://ceds.ed.gov/cedselementdetails.aspx?termid=17151")</f>
        <v>https://ceds.ed.gov/cedselementdetails.aspx?termid=17151</v>
      </c>
      <c r="Q1482" s="14" t="str">
        <f>HYPERLINK("https://ceds.ed.gov/elementComment.aspx?elementName=IDEA Indicator &amp;elementID=17151", "Click here to submit comment")</f>
        <v>Click here to submit comment</v>
      </c>
      <c r="R1482" s="14">
        <v>51773</v>
      </c>
    </row>
    <row r="1483" spans="1:18" ht="375" x14ac:dyDescent="0.25">
      <c r="A1483" s="14" t="s">
        <v>8732</v>
      </c>
      <c r="B1483" s="14" t="s">
        <v>8813</v>
      </c>
      <c r="C1483" s="14" t="s">
        <v>8864</v>
      </c>
      <c r="D1483" s="14" t="s">
        <v>8531</v>
      </c>
      <c r="E1483" s="14" t="s">
        <v>5051</v>
      </c>
      <c r="F1483" s="14" t="s">
        <v>5052</v>
      </c>
      <c r="G1483" s="8" t="s">
        <v>8865</v>
      </c>
      <c r="H1483" s="14"/>
      <c r="I1483" s="14"/>
      <c r="J1483" s="14"/>
      <c r="K1483" s="14"/>
      <c r="L1483" s="14" t="s">
        <v>5055</v>
      </c>
      <c r="M1483" s="14" t="s">
        <v>5056</v>
      </c>
      <c r="N1483" s="14"/>
      <c r="O1483" s="14" t="s">
        <v>5057</v>
      </c>
      <c r="P1483" s="14" t="str">
        <f>HYPERLINK("https://ceds.ed.gov/cedselementdetails.aspx?termid=18714")</f>
        <v>https://ceds.ed.gov/cedselementdetails.aspx?termid=18714</v>
      </c>
      <c r="Q1483" s="14" t="str">
        <f>HYPERLINK("https://ceds.ed.gov/elementComment.aspx?elementName=IDEA Disability Type &amp;elementID=18714", "Click here to submit comment")</f>
        <v>Click here to submit comment</v>
      </c>
      <c r="R1483" s="14">
        <v>51931</v>
      </c>
    </row>
    <row r="1484" spans="1:18" ht="60" x14ac:dyDescent="0.25">
      <c r="A1484" s="14" t="s">
        <v>8732</v>
      </c>
      <c r="B1484" s="14" t="s">
        <v>8813</v>
      </c>
      <c r="C1484" s="14" t="s">
        <v>8864</v>
      </c>
      <c r="D1484" s="14" t="s">
        <v>8531</v>
      </c>
      <c r="E1484" s="14" t="s">
        <v>7776</v>
      </c>
      <c r="F1484" s="14" t="s">
        <v>7777</v>
      </c>
      <c r="G1484" s="14" t="s">
        <v>24</v>
      </c>
      <c r="H1484" s="14"/>
      <c r="I1484" s="14"/>
      <c r="J1484" s="14"/>
      <c r="K1484" s="14"/>
      <c r="L1484" s="14"/>
      <c r="M1484" s="14" t="s">
        <v>7778</v>
      </c>
      <c r="N1484" s="14"/>
      <c r="O1484" s="14" t="s">
        <v>7779</v>
      </c>
      <c r="P1484" s="14" t="str">
        <f>HYPERLINK("https://ceds.ed.gov/cedselementdetails.aspx?termid=18746")</f>
        <v>https://ceds.ed.gov/cedselementdetails.aspx?termid=18746</v>
      </c>
      <c r="Q1484" s="14" t="str">
        <f>HYPERLINK("https://ceds.ed.gov/elementComment.aspx?elementName=Significant Cognitive Disability Indicator &amp;elementID=18746", "Click here to submit comment")</f>
        <v>Click here to submit comment</v>
      </c>
      <c r="R1484" s="14">
        <v>52149</v>
      </c>
    </row>
    <row r="1485" spans="1:18" ht="45" x14ac:dyDescent="0.25">
      <c r="A1485" s="14" t="s">
        <v>8732</v>
      </c>
      <c r="B1485" s="14" t="s">
        <v>8813</v>
      </c>
      <c r="C1485" s="14" t="s">
        <v>8866</v>
      </c>
      <c r="D1485" s="14" t="s">
        <v>8531</v>
      </c>
      <c r="E1485" s="14" t="s">
        <v>3949</v>
      </c>
      <c r="F1485" s="14" t="s">
        <v>3950</v>
      </c>
      <c r="G1485" s="14" t="s">
        <v>37</v>
      </c>
      <c r="H1485" s="14"/>
      <c r="I1485" s="14"/>
      <c r="J1485" s="14" t="s">
        <v>135</v>
      </c>
      <c r="K1485" s="14"/>
      <c r="L1485" s="14"/>
      <c r="M1485" s="14" t="s">
        <v>3952</v>
      </c>
      <c r="N1485" s="14"/>
      <c r="O1485" s="14" t="s">
        <v>3953</v>
      </c>
      <c r="P1485" s="14" t="str">
        <f>HYPERLINK("https://ceds.ed.gov/cedselementdetails.aspx?termid=18712")</f>
        <v>https://ceds.ed.gov/cedselementdetails.aspx?termid=18712</v>
      </c>
      <c r="Q1485" s="14" t="str">
        <f>HYPERLINK("https://ceds.ed.gov/elementComment.aspx?elementName=Eligibility Evaluation Date &amp;elementID=18712", "Click here to submit comment")</f>
        <v>Click here to submit comment</v>
      </c>
      <c r="R1485" s="14">
        <v>51914</v>
      </c>
    </row>
    <row r="1486" spans="1:18" ht="45" x14ac:dyDescent="0.25">
      <c r="A1486" s="14" t="s">
        <v>8732</v>
      </c>
      <c r="B1486" s="14" t="s">
        <v>8813</v>
      </c>
      <c r="C1486" s="14" t="s">
        <v>8866</v>
      </c>
      <c r="D1486" s="14" t="s">
        <v>8531</v>
      </c>
      <c r="E1486" s="14" t="s">
        <v>3954</v>
      </c>
      <c r="F1486" s="14" t="s">
        <v>3955</v>
      </c>
      <c r="G1486" s="14" t="s">
        <v>37</v>
      </c>
      <c r="H1486" s="14"/>
      <c r="I1486" s="14"/>
      <c r="J1486" s="14" t="s">
        <v>382</v>
      </c>
      <c r="K1486" s="14"/>
      <c r="L1486" s="14"/>
      <c r="M1486" s="14" t="s">
        <v>3956</v>
      </c>
      <c r="N1486" s="14"/>
      <c r="O1486" s="14" t="s">
        <v>3957</v>
      </c>
      <c r="P1486" s="14" t="str">
        <f>HYPERLINK("https://ceds.ed.gov/cedselementdetails.aspx?termid=18711")</f>
        <v>https://ceds.ed.gov/cedselementdetails.aspx?termid=18711</v>
      </c>
      <c r="Q1486" s="14" t="str">
        <f>HYPERLINK("https://ceds.ed.gov/elementComment.aspx?elementName=Eligibility Evaluation Description &amp;elementID=18711", "Click here to submit comment")</f>
        <v>Click here to submit comment</v>
      </c>
      <c r="R1486" s="14">
        <v>51915</v>
      </c>
    </row>
    <row r="1487" spans="1:18" ht="45" x14ac:dyDescent="0.25">
      <c r="A1487" s="14" t="s">
        <v>8732</v>
      </c>
      <c r="B1487" s="14" t="s">
        <v>8813</v>
      </c>
      <c r="C1487" s="14" t="s">
        <v>8866</v>
      </c>
      <c r="D1487" s="14" t="s">
        <v>8531</v>
      </c>
      <c r="E1487" s="14" t="s">
        <v>3958</v>
      </c>
      <c r="F1487" s="14" t="s">
        <v>3959</v>
      </c>
      <c r="G1487" s="14" t="s">
        <v>37</v>
      </c>
      <c r="H1487" s="14"/>
      <c r="I1487" s="14"/>
      <c r="J1487" s="14" t="s">
        <v>382</v>
      </c>
      <c r="K1487" s="14"/>
      <c r="L1487" s="14"/>
      <c r="M1487" s="14" t="s">
        <v>3960</v>
      </c>
      <c r="N1487" s="14"/>
      <c r="O1487" s="14" t="s">
        <v>3961</v>
      </c>
      <c r="P1487" s="14" t="str">
        <f>HYPERLINK("https://ceds.ed.gov/cedselementdetails.aspx?termid=18713")</f>
        <v>https://ceds.ed.gov/cedselementdetails.aspx?termid=18713</v>
      </c>
      <c r="Q1487" s="14" t="str">
        <f>HYPERLINK("https://ceds.ed.gov/elementComment.aspx?elementName=Eligibility Parent Observations Explanation &amp;elementID=18713", "Click here to submit comment")</f>
        <v>Click here to submit comment</v>
      </c>
      <c r="R1487" s="14">
        <v>51916</v>
      </c>
    </row>
    <row r="1488" spans="1:18" ht="300" x14ac:dyDescent="0.25">
      <c r="A1488" s="14" t="s">
        <v>8732</v>
      </c>
      <c r="B1488" s="14" t="s">
        <v>8813</v>
      </c>
      <c r="C1488" s="14" t="s">
        <v>8866</v>
      </c>
      <c r="D1488" s="14" t="s">
        <v>8531</v>
      </c>
      <c r="E1488" s="14" t="s">
        <v>5075</v>
      </c>
      <c r="F1488" s="14" t="s">
        <v>5076</v>
      </c>
      <c r="G1488" s="8" t="s">
        <v>8867</v>
      </c>
      <c r="H1488" s="14"/>
      <c r="I1488" s="14"/>
      <c r="J1488" s="14"/>
      <c r="K1488" s="14"/>
      <c r="L1488" s="14"/>
      <c r="M1488" s="14" t="s">
        <v>5078</v>
      </c>
      <c r="N1488" s="14"/>
      <c r="O1488" s="14" t="s">
        <v>5079</v>
      </c>
      <c r="P1488" s="14" t="str">
        <f>HYPERLINK("https://ceds.ed.gov/cedselementdetails.aspx?termid=18710")</f>
        <v>https://ceds.ed.gov/cedselementdetails.aspx?termid=18710</v>
      </c>
      <c r="Q1488" s="14" t="str">
        <f>HYPERLINK("https://ceds.ed.gov/elementComment.aspx?elementName=IDEA Eligibility Evaluation Category &amp;elementID=18710", "Click here to submit comment")</f>
        <v>Click here to submit comment</v>
      </c>
      <c r="R1488" s="14">
        <v>51932</v>
      </c>
    </row>
    <row r="1489" spans="1:18" ht="45" x14ac:dyDescent="0.25">
      <c r="A1489" s="14" t="s">
        <v>8732</v>
      </c>
      <c r="B1489" s="14" t="s">
        <v>8813</v>
      </c>
      <c r="C1489" s="14" t="s">
        <v>8866</v>
      </c>
      <c r="D1489" s="14" t="s">
        <v>8531</v>
      </c>
      <c r="E1489" s="14" t="s">
        <v>5150</v>
      </c>
      <c r="F1489" s="14" t="s">
        <v>5151</v>
      </c>
      <c r="G1489" s="8" t="s">
        <v>8868</v>
      </c>
      <c r="H1489" s="14"/>
      <c r="I1489" s="14"/>
      <c r="J1489" s="14"/>
      <c r="K1489" s="14"/>
      <c r="L1489" s="14"/>
      <c r="M1489" s="14" t="s">
        <v>5153</v>
      </c>
      <c r="N1489" s="14"/>
      <c r="O1489" s="14" t="s">
        <v>5154</v>
      </c>
      <c r="P1489" s="14" t="str">
        <f>HYPERLINK("https://ceds.ed.gov/cedselementdetails.aspx?termid=18709")</f>
        <v>https://ceds.ed.gov/cedselementdetails.aspx?termid=18709</v>
      </c>
      <c r="Q1489" s="14" t="str">
        <f>HYPERLINK("https://ceds.ed.gov/elementComment.aspx?elementName=IEP Eligibility Evaluation Type &amp;elementID=18709", "Click here to submit comment")</f>
        <v>Click here to submit comment</v>
      </c>
      <c r="R1489" s="14">
        <v>51938</v>
      </c>
    </row>
    <row r="1490" spans="1:18" ht="45" x14ac:dyDescent="0.25">
      <c r="A1490" s="14" t="s">
        <v>8732</v>
      </c>
      <c r="B1490" s="14" t="s">
        <v>8813</v>
      </c>
      <c r="C1490" s="14" t="s">
        <v>8869</v>
      </c>
      <c r="D1490" s="14" t="s">
        <v>8531</v>
      </c>
      <c r="E1490" s="14" t="s">
        <v>7335</v>
      </c>
      <c r="F1490" s="14" t="s">
        <v>7336</v>
      </c>
      <c r="G1490" s="14" t="s">
        <v>37</v>
      </c>
      <c r="H1490" s="14"/>
      <c r="I1490" s="14"/>
      <c r="J1490" s="14" t="s">
        <v>135</v>
      </c>
      <c r="K1490" s="14"/>
      <c r="L1490" s="14"/>
      <c r="M1490" s="14" t="s">
        <v>7338</v>
      </c>
      <c r="N1490" s="14"/>
      <c r="O1490" s="14" t="s">
        <v>7339</v>
      </c>
      <c r="P1490" s="14" t="str">
        <f>HYPERLINK("https://ceds.ed.gov/cedselementdetails.aspx?termid=18453")</f>
        <v>https://ceds.ed.gov/cedselementdetails.aspx?termid=18453</v>
      </c>
      <c r="Q1490" s="14" t="str">
        <f>HYPERLINK("https://ceds.ed.gov/elementComment.aspx?elementName=Referral Date &amp;elementID=18453", "Click here to submit comment")</f>
        <v>Click here to submit comment</v>
      </c>
      <c r="R1490" s="14">
        <v>51828</v>
      </c>
    </row>
    <row r="1491" spans="1:18" ht="45" x14ac:dyDescent="0.25">
      <c r="A1491" s="14" t="s">
        <v>8732</v>
      </c>
      <c r="B1491" s="14" t="s">
        <v>8813</v>
      </c>
      <c r="C1491" s="14" t="s">
        <v>8869</v>
      </c>
      <c r="D1491" s="14" t="s">
        <v>8531</v>
      </c>
      <c r="E1491" s="14" t="s">
        <v>7350</v>
      </c>
      <c r="F1491" s="14" t="s">
        <v>7351</v>
      </c>
      <c r="G1491" s="14" t="s">
        <v>37</v>
      </c>
      <c r="H1491" s="14"/>
      <c r="I1491" s="14"/>
      <c r="J1491" s="14" t="s">
        <v>382</v>
      </c>
      <c r="K1491" s="14"/>
      <c r="L1491" s="14"/>
      <c r="M1491" s="14" t="s">
        <v>7352</v>
      </c>
      <c r="N1491" s="14"/>
      <c r="O1491" s="14" t="s">
        <v>7353</v>
      </c>
      <c r="P1491" s="14" t="str">
        <f>HYPERLINK("https://ceds.ed.gov/cedselementdetails.aspx?termid=18455")</f>
        <v>https://ceds.ed.gov/cedselementdetails.aspx?termid=18455</v>
      </c>
      <c r="Q1491" s="14" t="str">
        <f>HYPERLINK("https://ceds.ed.gov/elementComment.aspx?elementName=Referral Reason &amp;elementID=18455", "Click here to submit comment")</f>
        <v>Click here to submit comment</v>
      </c>
      <c r="R1491" s="14">
        <v>51830</v>
      </c>
    </row>
    <row r="1492" spans="1:18" ht="45" x14ac:dyDescent="0.25">
      <c r="A1492" s="14" t="s">
        <v>8732</v>
      </c>
      <c r="B1492" s="14" t="s">
        <v>8813</v>
      </c>
      <c r="C1492" s="14" t="s">
        <v>8869</v>
      </c>
      <c r="D1492" s="14" t="s">
        <v>8531</v>
      </c>
      <c r="E1492" s="14" t="s">
        <v>7354</v>
      </c>
      <c r="F1492" s="14" t="s">
        <v>7355</v>
      </c>
      <c r="G1492" s="14" t="s">
        <v>37</v>
      </c>
      <c r="H1492" s="14"/>
      <c r="I1492" s="14"/>
      <c r="J1492" s="14" t="s">
        <v>175</v>
      </c>
      <c r="K1492" s="14"/>
      <c r="L1492" s="14"/>
      <c r="M1492" s="14" t="s">
        <v>7356</v>
      </c>
      <c r="N1492" s="14"/>
      <c r="O1492" s="14" t="s">
        <v>7357</v>
      </c>
      <c r="P1492" s="14" t="str">
        <f>HYPERLINK("https://ceds.ed.gov/cedselementdetails.aspx?termid=18456")</f>
        <v>https://ceds.ed.gov/cedselementdetails.aspx?termid=18456</v>
      </c>
      <c r="Q1492" s="14" t="str">
        <f>HYPERLINK("https://ceds.ed.gov/elementComment.aspx?elementName=Referral Source &amp;elementID=18456", "Click here to submit comment")</f>
        <v>Click here to submit comment</v>
      </c>
      <c r="R1492" s="14">
        <v>51832</v>
      </c>
    </row>
    <row r="1493" spans="1:18" ht="255" x14ac:dyDescent="0.25">
      <c r="A1493" s="14" t="s">
        <v>8732</v>
      </c>
      <c r="B1493" s="14" t="s">
        <v>8813</v>
      </c>
      <c r="C1493" s="14" t="s">
        <v>8870</v>
      </c>
      <c r="D1493" s="14" t="s">
        <v>8531</v>
      </c>
      <c r="E1493" s="14" t="s">
        <v>5063</v>
      </c>
      <c r="F1493" s="14" t="s">
        <v>5064</v>
      </c>
      <c r="G1493" s="8" t="s">
        <v>8636</v>
      </c>
      <c r="H1493" s="14" t="s">
        <v>258</v>
      </c>
      <c r="I1493" s="14"/>
      <c r="J1493" s="14"/>
      <c r="K1493" s="14"/>
      <c r="L1493" s="14"/>
      <c r="M1493" s="14" t="s">
        <v>5067</v>
      </c>
      <c r="N1493" s="14"/>
      <c r="O1493" s="14" t="s">
        <v>5068</v>
      </c>
      <c r="P1493" s="14" t="str">
        <f>HYPERLINK("https://ceds.ed.gov/cedselementdetails.aspx?termid=17550")</f>
        <v>https://ceds.ed.gov/cedselementdetails.aspx?termid=17550</v>
      </c>
      <c r="Q1493" s="14" t="str">
        <f>HYPERLINK("https://ceds.ed.gov/elementComment.aspx?elementName=IDEA Educational Environment for Early Childhood &amp;elementID=17550", "Click here to submit comment")</f>
        <v>Click here to submit comment</v>
      </c>
      <c r="R1493" s="14">
        <v>51790</v>
      </c>
    </row>
    <row r="1494" spans="1:18" ht="195" x14ac:dyDescent="0.25">
      <c r="A1494" s="14" t="s">
        <v>8732</v>
      </c>
      <c r="B1494" s="14" t="s">
        <v>8813</v>
      </c>
      <c r="C1494" s="14" t="s">
        <v>8870</v>
      </c>
      <c r="D1494" s="14" t="s">
        <v>8531</v>
      </c>
      <c r="E1494" s="14" t="s">
        <v>5069</v>
      </c>
      <c r="F1494" s="14" t="s">
        <v>5070</v>
      </c>
      <c r="G1494" s="8" t="s">
        <v>8856</v>
      </c>
      <c r="H1494" s="14" t="s">
        <v>258</v>
      </c>
      <c r="I1494" s="14"/>
      <c r="J1494" s="14"/>
      <c r="K1494" s="14"/>
      <c r="L1494" s="14"/>
      <c r="M1494" s="14" t="s">
        <v>5073</v>
      </c>
      <c r="N1494" s="14"/>
      <c r="O1494" s="14" t="s">
        <v>5074</v>
      </c>
      <c r="P1494" s="14" t="str">
        <f>HYPERLINK("https://ceds.ed.gov/cedselementdetails.aspx?termid=17526")</f>
        <v>https://ceds.ed.gov/cedselementdetails.aspx?termid=17526</v>
      </c>
      <c r="Q1494" s="14" t="str">
        <f>HYPERLINK("https://ceds.ed.gov/elementComment.aspx?elementName=IDEA Educational Environment for School Age &amp;elementID=17526", "Click here to submit comment")</f>
        <v>Click here to submit comment</v>
      </c>
      <c r="R1494" s="14">
        <v>51787</v>
      </c>
    </row>
    <row r="1495" spans="1:18" ht="120" x14ac:dyDescent="0.25">
      <c r="A1495" s="14" t="s">
        <v>8732</v>
      </c>
      <c r="B1495" s="14" t="s">
        <v>8813</v>
      </c>
      <c r="C1495" s="14" t="s">
        <v>8870</v>
      </c>
      <c r="D1495" s="14" t="s">
        <v>8531</v>
      </c>
      <c r="E1495" s="14" t="s">
        <v>5123</v>
      </c>
      <c r="F1495" s="14" t="s">
        <v>5124</v>
      </c>
      <c r="G1495" s="14" t="s">
        <v>37</v>
      </c>
      <c r="H1495" s="14"/>
      <c r="I1495" s="14"/>
      <c r="J1495" s="14" t="s">
        <v>382</v>
      </c>
      <c r="K1495" s="14"/>
      <c r="L1495" s="14"/>
      <c r="M1495" s="14" t="s">
        <v>5126</v>
      </c>
      <c r="N1495" s="14"/>
      <c r="O1495" s="14" t="s">
        <v>5127</v>
      </c>
      <c r="P1495" s="14" t="str">
        <f>HYPERLINK("https://ceds.ed.gov/cedselementdetails.aspx?termid=18685")</f>
        <v>https://ceds.ed.gov/cedselementdetails.aspx?termid=18685</v>
      </c>
      <c r="Q1495" s="14" t="str">
        <f>HYPERLINK("https://ceds.ed.gov/elementComment.aspx?elementName=IDEA Placement Rationale &amp;elementID=18685", "Click here to submit comment")</f>
        <v>Click here to submit comment</v>
      </c>
      <c r="R1495" s="14">
        <v>51933</v>
      </c>
    </row>
    <row r="1496" spans="1:18" ht="45" x14ac:dyDescent="0.25">
      <c r="A1496" s="14" t="s">
        <v>8732</v>
      </c>
      <c r="B1496" s="14" t="s">
        <v>8813</v>
      </c>
      <c r="C1496" s="14" t="s">
        <v>8870</v>
      </c>
      <c r="D1496" s="14" t="s">
        <v>8531</v>
      </c>
      <c r="E1496" s="14" t="s">
        <v>5316</v>
      </c>
      <c r="F1496" s="14" t="s">
        <v>5317</v>
      </c>
      <c r="G1496" s="14" t="s">
        <v>24</v>
      </c>
      <c r="H1496" s="14"/>
      <c r="I1496" s="14"/>
      <c r="J1496" s="14"/>
      <c r="K1496" s="14"/>
      <c r="L1496" s="14"/>
      <c r="M1496" s="14" t="s">
        <v>5319</v>
      </c>
      <c r="N1496" s="14"/>
      <c r="O1496" s="14" t="s">
        <v>5320</v>
      </c>
      <c r="P1496" s="14" t="str">
        <f>HYPERLINK("https://ceds.ed.gov/cedselementdetails.aspx?termid=18615")</f>
        <v>https://ceds.ed.gov/cedselementdetails.aspx?termid=18615</v>
      </c>
      <c r="Q1496" s="14" t="str">
        <f>HYPERLINK("https://ceds.ed.gov/elementComment.aspx?elementName=Inclusive Setting Indicator &amp;elementID=18615", "Click here to submit comment")</f>
        <v>Click here to submit comment</v>
      </c>
      <c r="R1496" s="14">
        <v>51856</v>
      </c>
    </row>
    <row r="1497" spans="1:18" ht="60" x14ac:dyDescent="0.25">
      <c r="A1497" s="14" t="s">
        <v>8732</v>
      </c>
      <c r="B1497" s="14" t="s">
        <v>8813</v>
      </c>
      <c r="C1497" s="14" t="s">
        <v>8870</v>
      </c>
      <c r="D1497" s="14" t="s">
        <v>8531</v>
      </c>
      <c r="E1497" s="14" t="s">
        <v>5350</v>
      </c>
      <c r="F1497" s="14" t="s">
        <v>5351</v>
      </c>
      <c r="G1497" s="14" t="s">
        <v>37</v>
      </c>
      <c r="H1497" s="14"/>
      <c r="I1497" s="14"/>
      <c r="J1497" s="14" t="s">
        <v>370</v>
      </c>
      <c r="K1497" s="14"/>
      <c r="L1497" s="14"/>
      <c r="M1497" s="14" t="s">
        <v>5353</v>
      </c>
      <c r="N1497" s="14"/>
      <c r="O1497" s="14" t="s">
        <v>5354</v>
      </c>
      <c r="P1497" s="14" t="str">
        <f>HYPERLINK("https://ceds.ed.gov/cedselementdetails.aspx?termid=18199")</f>
        <v>https://ceds.ed.gov/cedselementdetails.aspx?termid=18199</v>
      </c>
      <c r="Q1497" s="14" t="str">
        <f>HYPERLINK("https://ceds.ed.gov/elementComment.aspx?elementName=Individualized Program Inclusion Minutes Per Week &amp;elementID=18199", "Click here to submit comment")</f>
        <v>Click here to submit comment</v>
      </c>
      <c r="R1497" s="14">
        <v>51821</v>
      </c>
    </row>
    <row r="1498" spans="1:18" ht="60" x14ac:dyDescent="0.25">
      <c r="A1498" s="14" t="s">
        <v>8732</v>
      </c>
      <c r="B1498" s="14" t="s">
        <v>8813</v>
      </c>
      <c r="C1498" s="14" t="s">
        <v>8870</v>
      </c>
      <c r="D1498" s="14" t="s">
        <v>8531</v>
      </c>
      <c r="E1498" s="14" t="s">
        <v>5355</v>
      </c>
      <c r="F1498" s="14" t="s">
        <v>5356</v>
      </c>
      <c r="G1498" s="14" t="s">
        <v>37</v>
      </c>
      <c r="H1498" s="14"/>
      <c r="I1498" s="14"/>
      <c r="J1498" s="14" t="s">
        <v>370</v>
      </c>
      <c r="K1498" s="14"/>
      <c r="L1498" s="14"/>
      <c r="M1498" s="14" t="s">
        <v>5357</v>
      </c>
      <c r="N1498" s="14"/>
      <c r="O1498" s="14" t="s">
        <v>5358</v>
      </c>
      <c r="P1498" s="14" t="str">
        <f>HYPERLINK("https://ceds.ed.gov/cedselementdetails.aspx?termid=18198")</f>
        <v>https://ceds.ed.gov/cedselementdetails.aspx?termid=18198</v>
      </c>
      <c r="Q1498" s="14" t="str">
        <f>HYPERLINK("https://ceds.ed.gov/elementComment.aspx?elementName=Individualized Program NonInclusion Minutes Per Week &amp;elementID=18198", "Click here to submit comment")</f>
        <v>Click here to submit comment</v>
      </c>
      <c r="R1498" s="14">
        <v>51820</v>
      </c>
    </row>
    <row r="1499" spans="1:18" ht="60" x14ac:dyDescent="0.25">
      <c r="A1499" s="14" t="s">
        <v>8732</v>
      </c>
      <c r="B1499" s="14" t="s">
        <v>8813</v>
      </c>
      <c r="C1499" s="14" t="s">
        <v>8871</v>
      </c>
      <c r="D1499" s="14" t="s">
        <v>8531</v>
      </c>
      <c r="E1499" s="14" t="s">
        <v>1667</v>
      </c>
      <c r="F1499" s="14" t="s">
        <v>1668</v>
      </c>
      <c r="G1499" s="14" t="s">
        <v>24</v>
      </c>
      <c r="H1499" s="14"/>
      <c r="I1499" s="14"/>
      <c r="J1499" s="14"/>
      <c r="K1499" s="14"/>
      <c r="L1499" s="14"/>
      <c r="M1499" s="14" t="s">
        <v>1670</v>
      </c>
      <c r="N1499" s="14"/>
      <c r="O1499" s="14" t="s">
        <v>1671</v>
      </c>
      <c r="P1499" s="14" t="str">
        <f>HYPERLINK("https://ceds.ed.gov/cedselementdetails.aspx?termid=18702")</f>
        <v>https://ceds.ed.gov/cedselementdetails.aspx?termid=18702</v>
      </c>
      <c r="Q1499" s="14" t="str">
        <f>HYPERLINK("https://ceds.ed.gov/elementComment.aspx?elementName=Authorization Acceptance Indicator &amp;elementID=18702", "Click here to submit comment")</f>
        <v>Click here to submit comment</v>
      </c>
      <c r="R1499" s="14">
        <v>51869</v>
      </c>
    </row>
    <row r="1500" spans="1:18" ht="45" x14ac:dyDescent="0.25">
      <c r="A1500" s="14" t="s">
        <v>8732</v>
      </c>
      <c r="B1500" s="14" t="s">
        <v>8813</v>
      </c>
      <c r="C1500" s="14" t="s">
        <v>8871</v>
      </c>
      <c r="D1500" s="14" t="s">
        <v>8531</v>
      </c>
      <c r="E1500" s="14" t="s">
        <v>1686</v>
      </c>
      <c r="F1500" s="14" t="s">
        <v>1687</v>
      </c>
      <c r="G1500" s="14" t="s">
        <v>37</v>
      </c>
      <c r="H1500" s="14"/>
      <c r="I1500" s="14"/>
      <c r="J1500" s="14" t="s">
        <v>135</v>
      </c>
      <c r="K1500" s="14"/>
      <c r="L1500" s="14"/>
      <c r="M1500" s="14" t="s">
        <v>1688</v>
      </c>
      <c r="N1500" s="14"/>
      <c r="O1500" s="14" t="s">
        <v>1689</v>
      </c>
      <c r="P1500" s="14" t="str">
        <f>HYPERLINK("https://ceds.ed.gov/cedselementdetails.aspx?termid=18706")</f>
        <v>https://ceds.ed.gov/cedselementdetails.aspx?termid=18706</v>
      </c>
      <c r="Q1500" s="14" t="str">
        <f>HYPERLINK("https://ceds.ed.gov/elementComment.aspx?elementName=Authorization Date &amp;elementID=18706", "Click here to submit comment")</f>
        <v>Click here to submit comment</v>
      </c>
      <c r="R1500" s="14">
        <v>51870</v>
      </c>
    </row>
    <row r="1501" spans="1:18" ht="45" x14ac:dyDescent="0.25">
      <c r="A1501" s="14" t="s">
        <v>8732</v>
      </c>
      <c r="B1501" s="14" t="s">
        <v>8813</v>
      </c>
      <c r="C1501" s="14" t="s">
        <v>8871</v>
      </c>
      <c r="D1501" s="14" t="s">
        <v>8531</v>
      </c>
      <c r="E1501" s="14" t="s">
        <v>1690</v>
      </c>
      <c r="F1501" s="14" t="s">
        <v>1691</v>
      </c>
      <c r="G1501" s="14" t="s">
        <v>37</v>
      </c>
      <c r="H1501" s="14"/>
      <c r="I1501" s="14"/>
      <c r="J1501" s="14" t="s">
        <v>382</v>
      </c>
      <c r="K1501" s="14"/>
      <c r="L1501" s="14"/>
      <c r="M1501" s="14" t="s">
        <v>1692</v>
      </c>
      <c r="N1501" s="14"/>
      <c r="O1501" s="14" t="s">
        <v>1693</v>
      </c>
      <c r="P1501" s="14" t="str">
        <f>HYPERLINK("https://ceds.ed.gov/cedselementdetails.aspx?termid=18703")</f>
        <v>https://ceds.ed.gov/cedselementdetails.aspx?termid=18703</v>
      </c>
      <c r="Q1501" s="14" t="str">
        <f>HYPERLINK("https://ceds.ed.gov/elementComment.aspx?elementName=Authorization Decision Explanation &amp;elementID=18703", "Click here to submit comment")</f>
        <v>Click here to submit comment</v>
      </c>
      <c r="R1501" s="14">
        <v>51871</v>
      </c>
    </row>
    <row r="1502" spans="1:18" ht="135" x14ac:dyDescent="0.25">
      <c r="A1502" s="14" t="s">
        <v>8732</v>
      </c>
      <c r="B1502" s="14" t="s">
        <v>8813</v>
      </c>
      <c r="C1502" s="14" t="s">
        <v>8871</v>
      </c>
      <c r="D1502" s="14" t="s">
        <v>8531</v>
      </c>
      <c r="E1502" s="14" t="s">
        <v>1702</v>
      </c>
      <c r="F1502" s="14" t="s">
        <v>1703</v>
      </c>
      <c r="G1502" s="8" t="s">
        <v>8872</v>
      </c>
      <c r="H1502" s="14"/>
      <c r="I1502" s="14"/>
      <c r="J1502" s="14"/>
      <c r="K1502" s="14"/>
      <c r="L1502" s="14"/>
      <c r="M1502" s="14" t="s">
        <v>1705</v>
      </c>
      <c r="N1502" s="14"/>
      <c r="O1502" s="14" t="s">
        <v>1706</v>
      </c>
      <c r="P1502" s="14" t="str">
        <f>HYPERLINK("https://ceds.ed.gov/cedselementdetails.aspx?termid=18701")</f>
        <v>https://ceds.ed.gov/cedselementdetails.aspx?termid=18701</v>
      </c>
      <c r="Q1502" s="14" t="str">
        <f>HYPERLINK("https://ceds.ed.gov/elementComment.aspx?elementName=Authorizer Type &amp;elementID=18701", "Click here to submit comment")</f>
        <v>Click here to submit comment</v>
      </c>
      <c r="R1502" s="14">
        <v>51872</v>
      </c>
    </row>
    <row r="1503" spans="1:18" ht="120" x14ac:dyDescent="0.25">
      <c r="A1503" s="14" t="s">
        <v>8732</v>
      </c>
      <c r="B1503" s="14" t="s">
        <v>8813</v>
      </c>
      <c r="C1503" s="14" t="s">
        <v>8871</v>
      </c>
      <c r="D1503" s="14" t="s">
        <v>8531</v>
      </c>
      <c r="E1503" s="14" t="s">
        <v>5137</v>
      </c>
      <c r="F1503" s="14" t="s">
        <v>5138</v>
      </c>
      <c r="G1503" s="8" t="s">
        <v>8873</v>
      </c>
      <c r="H1503" s="14"/>
      <c r="I1503" s="14"/>
      <c r="J1503" s="14"/>
      <c r="K1503" s="14"/>
      <c r="L1503" s="14"/>
      <c r="M1503" s="14" t="s">
        <v>5140</v>
      </c>
      <c r="N1503" s="14"/>
      <c r="O1503" s="14" t="s">
        <v>5141</v>
      </c>
      <c r="P1503" s="14" t="str">
        <f>HYPERLINK("https://ceds.ed.gov/cedselementdetails.aspx?termid=18700")</f>
        <v>https://ceds.ed.gov/cedselementdetails.aspx?termid=18700</v>
      </c>
      <c r="Q1503" s="14" t="str">
        <f>HYPERLINK("https://ceds.ed.gov/elementComment.aspx?elementName=IEP Authorization Document Type &amp;elementID=18700", "Click here to submit comment")</f>
        <v>Click here to submit comment</v>
      </c>
      <c r="R1503" s="14">
        <v>51935</v>
      </c>
    </row>
    <row r="1504" spans="1:18" ht="45" x14ac:dyDescent="0.25">
      <c r="A1504" s="14" t="s">
        <v>8732</v>
      </c>
      <c r="B1504" s="14" t="s">
        <v>8813</v>
      </c>
      <c r="C1504" s="14" t="s">
        <v>8871</v>
      </c>
      <c r="D1504" s="14" t="s">
        <v>8531</v>
      </c>
      <c r="E1504" s="14" t="s">
        <v>5142</v>
      </c>
      <c r="F1504" s="14" t="s">
        <v>5143</v>
      </c>
      <c r="G1504" s="14" t="s">
        <v>37</v>
      </c>
      <c r="H1504" s="14"/>
      <c r="I1504" s="14"/>
      <c r="J1504" s="14" t="s">
        <v>382</v>
      </c>
      <c r="K1504" s="14"/>
      <c r="L1504" s="14"/>
      <c r="M1504" s="14" t="s">
        <v>5144</v>
      </c>
      <c r="N1504" s="14"/>
      <c r="O1504" s="14" t="s">
        <v>5145</v>
      </c>
      <c r="P1504" s="14" t="str">
        <f>HYPERLINK("https://ceds.ed.gov/cedselementdetails.aspx?termid=18704")</f>
        <v>https://ceds.ed.gov/cedselementdetails.aspx?termid=18704</v>
      </c>
      <c r="Q1504" s="14" t="str">
        <f>HYPERLINK("https://ceds.ed.gov/elementComment.aspx?elementName=IEP Authorization Rejected Portion Description &amp;elementID=18704", "Click here to submit comment")</f>
        <v>Click here to submit comment</v>
      </c>
      <c r="R1504" s="14">
        <v>51936</v>
      </c>
    </row>
    <row r="1505" spans="1:18" ht="45" x14ac:dyDescent="0.25">
      <c r="A1505" s="14" t="s">
        <v>8732</v>
      </c>
      <c r="B1505" s="14" t="s">
        <v>8813</v>
      </c>
      <c r="C1505" s="14" t="s">
        <v>8871</v>
      </c>
      <c r="D1505" s="14" t="s">
        <v>8531</v>
      </c>
      <c r="E1505" s="14" t="s">
        <v>5146</v>
      </c>
      <c r="F1505" s="14" t="s">
        <v>5147</v>
      </c>
      <c r="G1505" s="14" t="s">
        <v>37</v>
      </c>
      <c r="H1505" s="14"/>
      <c r="I1505" s="14"/>
      <c r="J1505" s="14" t="s">
        <v>382</v>
      </c>
      <c r="K1505" s="14"/>
      <c r="L1505" s="14"/>
      <c r="M1505" s="14" t="s">
        <v>5148</v>
      </c>
      <c r="N1505" s="14"/>
      <c r="O1505" s="14" t="s">
        <v>5149</v>
      </c>
      <c r="P1505" s="14" t="str">
        <f>HYPERLINK("https://ceds.ed.gov/cedselementdetails.aspx?termid=18705")</f>
        <v>https://ceds.ed.gov/cedselementdetails.aspx?termid=18705</v>
      </c>
      <c r="Q1505" s="14" t="str">
        <f>HYPERLINK("https://ceds.ed.gov/elementComment.aspx?elementName=IEP Authorization Rejected Portion Explanation &amp;elementID=18705", "Click here to submit comment")</f>
        <v>Click here to submit comment</v>
      </c>
      <c r="R1505" s="14">
        <v>51937</v>
      </c>
    </row>
    <row r="1506" spans="1:18" ht="105" x14ac:dyDescent="0.25">
      <c r="A1506" s="16" t="s">
        <v>8732</v>
      </c>
      <c r="B1506" s="16" t="s">
        <v>8813</v>
      </c>
      <c r="C1506" s="16" t="s">
        <v>8871</v>
      </c>
      <c r="D1506" s="16" t="s">
        <v>8531</v>
      </c>
      <c r="E1506" s="16" t="s">
        <v>6711</v>
      </c>
      <c r="F1506" s="16" t="s">
        <v>6712</v>
      </c>
      <c r="G1506" s="16" t="s">
        <v>37</v>
      </c>
      <c r="H1506" s="16"/>
      <c r="I1506" s="16"/>
      <c r="J1506" s="16" t="s">
        <v>149</v>
      </c>
      <c r="K1506" s="16"/>
      <c r="L1506" s="14" t="s">
        <v>150</v>
      </c>
      <c r="M1506" s="16" t="s">
        <v>6713</v>
      </c>
      <c r="N1506" s="16"/>
      <c r="O1506" s="16" t="s">
        <v>6714</v>
      </c>
      <c r="P1506" s="16" t="str">
        <f>HYPERLINK("https://ceds.ed.gov/cedselementdetails.aspx?termid=18551")</f>
        <v>https://ceds.ed.gov/cedselementdetails.aspx?termid=18551</v>
      </c>
      <c r="Q1506" s="16" t="str">
        <f>HYPERLINK("https://ceds.ed.gov/elementComment.aspx?elementName=Person Identifier &amp;elementID=18551", "Click here to submit comment")</f>
        <v>Click here to submit comment</v>
      </c>
      <c r="R1506" s="16">
        <v>51853</v>
      </c>
    </row>
    <row r="1507" spans="1:18" x14ac:dyDescent="0.25">
      <c r="A1507" s="16"/>
      <c r="B1507" s="16"/>
      <c r="C1507" s="16"/>
      <c r="D1507" s="16"/>
      <c r="E1507" s="16"/>
      <c r="F1507" s="16"/>
      <c r="G1507" s="16"/>
      <c r="H1507" s="16"/>
      <c r="I1507" s="16"/>
      <c r="J1507" s="16"/>
      <c r="K1507" s="16"/>
      <c r="L1507" s="14"/>
      <c r="M1507" s="16"/>
      <c r="N1507" s="16"/>
      <c r="O1507" s="16"/>
      <c r="P1507" s="16"/>
      <c r="Q1507" s="16"/>
      <c r="R1507" s="16"/>
    </row>
    <row r="1508" spans="1:18" ht="90" x14ac:dyDescent="0.25">
      <c r="A1508" s="16"/>
      <c r="B1508" s="16"/>
      <c r="C1508" s="16"/>
      <c r="D1508" s="16"/>
      <c r="E1508" s="16"/>
      <c r="F1508" s="16"/>
      <c r="G1508" s="16"/>
      <c r="H1508" s="16"/>
      <c r="I1508" s="16"/>
      <c r="J1508" s="16"/>
      <c r="K1508" s="16"/>
      <c r="L1508" s="14" t="s">
        <v>153</v>
      </c>
      <c r="M1508" s="16"/>
      <c r="N1508" s="16"/>
      <c r="O1508" s="16"/>
      <c r="P1508" s="16"/>
      <c r="Q1508" s="16"/>
      <c r="R1508" s="16"/>
    </row>
    <row r="1509" spans="1:18" ht="375" x14ac:dyDescent="0.25">
      <c r="A1509" s="14" t="s">
        <v>8732</v>
      </c>
      <c r="B1509" s="14" t="s">
        <v>8813</v>
      </c>
      <c r="C1509" s="14" t="s">
        <v>8871</v>
      </c>
      <c r="D1509" s="14" t="s">
        <v>8531</v>
      </c>
      <c r="E1509" s="14" t="s">
        <v>6705</v>
      </c>
      <c r="F1509" s="14" t="s">
        <v>6706</v>
      </c>
      <c r="G1509" s="8" t="s">
        <v>8676</v>
      </c>
      <c r="H1509" s="14"/>
      <c r="I1509" s="14"/>
      <c r="J1509" s="14"/>
      <c r="K1509" s="14"/>
      <c r="L1509" s="14"/>
      <c r="M1509" s="14" t="s">
        <v>6709</v>
      </c>
      <c r="N1509" s="14"/>
      <c r="O1509" s="14" t="s">
        <v>6710</v>
      </c>
      <c r="P1509" s="14" t="str">
        <f>HYPERLINK("https://ceds.ed.gov/cedselementdetails.aspx?termid=18550")</f>
        <v>https://ceds.ed.gov/cedselementdetails.aspx?termid=18550</v>
      </c>
      <c r="Q1509" s="14" t="str">
        <f>HYPERLINK("https://ceds.ed.gov/elementComment.aspx?elementName=Person Identification System &amp;elementID=18550", "Click here to submit comment")</f>
        <v>Click here to submit comment</v>
      </c>
      <c r="R1509" s="14">
        <v>51844</v>
      </c>
    </row>
    <row r="1510" spans="1:18" ht="45" x14ac:dyDescent="0.25">
      <c r="A1510" s="14" t="s">
        <v>8732</v>
      </c>
      <c r="B1510" s="14" t="s">
        <v>8813</v>
      </c>
      <c r="C1510" s="14" t="s">
        <v>8874</v>
      </c>
      <c r="D1510" s="14" t="s">
        <v>8531</v>
      </c>
      <c r="E1510" s="14" t="s">
        <v>5160</v>
      </c>
      <c r="F1510" s="14" t="s">
        <v>5161</v>
      </c>
      <c r="G1510" s="14" t="s">
        <v>37</v>
      </c>
      <c r="H1510" s="14"/>
      <c r="I1510" s="14"/>
      <c r="J1510" s="14" t="s">
        <v>382</v>
      </c>
      <c r="K1510" s="14"/>
      <c r="L1510" s="14"/>
      <c r="M1510" s="14" t="s">
        <v>5163</v>
      </c>
      <c r="N1510" s="14"/>
      <c r="O1510" s="14" t="s">
        <v>5164</v>
      </c>
      <c r="P1510" s="14" t="str">
        <f>HYPERLINK("https://ceds.ed.gov/cedselementdetails.aspx?termid=18686")</f>
        <v>https://ceds.ed.gov/cedselementdetails.aspx?termid=18686</v>
      </c>
      <c r="Q1510" s="14" t="str">
        <f>HYPERLINK("https://ceds.ed.gov/elementComment.aspx?elementName=IEP Present Level Academic Description &amp;elementID=18686", "Click here to submit comment")</f>
        <v>Click here to submit comment</v>
      </c>
      <c r="R1510" s="14">
        <v>51941</v>
      </c>
    </row>
    <row r="1511" spans="1:18" ht="45" x14ac:dyDescent="0.25">
      <c r="A1511" s="14" t="s">
        <v>8732</v>
      </c>
      <c r="B1511" s="14" t="s">
        <v>8813</v>
      </c>
      <c r="C1511" s="14" t="s">
        <v>8874</v>
      </c>
      <c r="D1511" s="14" t="s">
        <v>8531</v>
      </c>
      <c r="E1511" s="14" t="s">
        <v>5165</v>
      </c>
      <c r="F1511" s="14" t="s">
        <v>5166</v>
      </c>
      <c r="G1511" s="14" t="s">
        <v>37</v>
      </c>
      <c r="H1511" s="14"/>
      <c r="I1511" s="14"/>
      <c r="J1511" s="14" t="s">
        <v>382</v>
      </c>
      <c r="K1511" s="14"/>
      <c r="L1511" s="14"/>
      <c r="M1511" s="14" t="s">
        <v>5167</v>
      </c>
      <c r="N1511" s="14"/>
      <c r="O1511" s="14" t="s">
        <v>5168</v>
      </c>
      <c r="P1511" s="14" t="str">
        <f>HYPERLINK("https://ceds.ed.gov/cedselementdetails.aspx?termid=18687")</f>
        <v>https://ceds.ed.gov/cedselementdetails.aspx?termid=18687</v>
      </c>
      <c r="Q1511" s="14" t="str">
        <f>HYPERLINK("https://ceds.ed.gov/elementComment.aspx?elementName=IEP Present Level Functional Description &amp;elementID=18687", "Click here to submit comment")</f>
        <v>Click here to submit comment</v>
      </c>
      <c r="R1511" s="14">
        <v>51942</v>
      </c>
    </row>
    <row r="1512" spans="1:18" ht="45" x14ac:dyDescent="0.25">
      <c r="A1512" s="14" t="s">
        <v>8732</v>
      </c>
      <c r="B1512" s="14" t="s">
        <v>8813</v>
      </c>
      <c r="C1512" s="14" t="s">
        <v>8874</v>
      </c>
      <c r="D1512" s="14" t="s">
        <v>8531</v>
      </c>
      <c r="E1512" s="14" t="s">
        <v>5169</v>
      </c>
      <c r="F1512" s="14" t="s">
        <v>5170</v>
      </c>
      <c r="G1512" s="14" t="s">
        <v>37</v>
      </c>
      <c r="H1512" s="14"/>
      <c r="I1512" s="14"/>
      <c r="J1512" s="14" t="s">
        <v>382</v>
      </c>
      <c r="K1512" s="14"/>
      <c r="L1512" s="14"/>
      <c r="M1512" s="14" t="s">
        <v>5171</v>
      </c>
      <c r="N1512" s="14"/>
      <c r="O1512" s="14" t="s">
        <v>5172</v>
      </c>
      <c r="P1512" s="14" t="str">
        <f>HYPERLINK("https://ceds.ed.gov/cedselementdetails.aspx?termid=18688")</f>
        <v>https://ceds.ed.gov/cedselementdetails.aspx?termid=18688</v>
      </c>
      <c r="Q1512" s="14" t="str">
        <f>HYPERLINK("https://ceds.ed.gov/elementComment.aspx?elementName=IEP Present Level General Education Description &amp;elementID=18688", "Click here to submit comment")</f>
        <v>Click here to submit comment</v>
      </c>
      <c r="R1512" s="14">
        <v>51943</v>
      </c>
    </row>
    <row r="1513" spans="1:18" ht="45" x14ac:dyDescent="0.25">
      <c r="A1513" s="14" t="s">
        <v>8732</v>
      </c>
      <c r="B1513" s="14" t="s">
        <v>8813</v>
      </c>
      <c r="C1513" s="14" t="s">
        <v>8874</v>
      </c>
      <c r="D1513" s="14" t="s">
        <v>8531</v>
      </c>
      <c r="E1513" s="14" t="s">
        <v>5173</v>
      </c>
      <c r="F1513" s="14" t="s">
        <v>5174</v>
      </c>
      <c r="G1513" s="14" t="s">
        <v>37</v>
      </c>
      <c r="H1513" s="14"/>
      <c r="I1513" s="14"/>
      <c r="J1513" s="14" t="s">
        <v>382</v>
      </c>
      <c r="K1513" s="14"/>
      <c r="L1513" s="14"/>
      <c r="M1513" s="14" t="s">
        <v>5175</v>
      </c>
      <c r="N1513" s="14"/>
      <c r="O1513" s="14" t="s">
        <v>5176</v>
      </c>
      <c r="P1513" s="14" t="str">
        <f>HYPERLINK("https://ceds.ed.gov/cedselementdetails.aspx?termid=18691")</f>
        <v>https://ceds.ed.gov/cedselementdetails.aspx?termid=18691</v>
      </c>
      <c r="Q1513" s="14" t="str">
        <f>HYPERLINK("https://ceds.ed.gov/elementComment.aspx?elementName=IEP Present Level Parent Concern Description &amp;elementID=18691", "Click here to submit comment")</f>
        <v>Click here to submit comment</v>
      </c>
      <c r="R1513" s="14">
        <v>51944</v>
      </c>
    </row>
    <row r="1514" spans="1:18" ht="45" x14ac:dyDescent="0.25">
      <c r="A1514" s="14" t="s">
        <v>8732</v>
      </c>
      <c r="B1514" s="14" t="s">
        <v>8813</v>
      </c>
      <c r="C1514" s="14" t="s">
        <v>8874</v>
      </c>
      <c r="D1514" s="14" t="s">
        <v>8531</v>
      </c>
      <c r="E1514" s="14" t="s">
        <v>5177</v>
      </c>
      <c r="F1514" s="14" t="s">
        <v>5178</v>
      </c>
      <c r="G1514" s="14" t="s">
        <v>37</v>
      </c>
      <c r="H1514" s="14"/>
      <c r="I1514" s="14"/>
      <c r="J1514" s="14" t="s">
        <v>382</v>
      </c>
      <c r="K1514" s="14"/>
      <c r="L1514" s="14"/>
      <c r="M1514" s="14" t="s">
        <v>5179</v>
      </c>
      <c r="N1514" s="14"/>
      <c r="O1514" s="14" t="s">
        <v>5180</v>
      </c>
      <c r="P1514" s="14" t="str">
        <f>HYPERLINK("https://ceds.ed.gov/cedselementdetails.aspx?termid=18689")</f>
        <v>https://ceds.ed.gov/cedselementdetails.aspx?termid=18689</v>
      </c>
      <c r="Q1514" s="14" t="str">
        <f>HYPERLINK("https://ceds.ed.gov/elementComment.aspx?elementName=IEP Present Level Preschool Description &amp;elementID=18689", "Click here to submit comment")</f>
        <v>Click here to submit comment</v>
      </c>
      <c r="R1514" s="14">
        <v>51945</v>
      </c>
    </row>
    <row r="1515" spans="1:18" ht="45" x14ac:dyDescent="0.25">
      <c r="A1515" s="14" t="s">
        <v>8732</v>
      </c>
      <c r="B1515" s="14" t="s">
        <v>8813</v>
      </c>
      <c r="C1515" s="14" t="s">
        <v>8874</v>
      </c>
      <c r="D1515" s="14" t="s">
        <v>8531</v>
      </c>
      <c r="E1515" s="14" t="s">
        <v>5181</v>
      </c>
      <c r="F1515" s="14" t="s">
        <v>5182</v>
      </c>
      <c r="G1515" s="14" t="s">
        <v>37</v>
      </c>
      <c r="H1515" s="14"/>
      <c r="I1515" s="14"/>
      <c r="J1515" s="14" t="s">
        <v>382</v>
      </c>
      <c r="K1515" s="14"/>
      <c r="L1515" s="14"/>
      <c r="M1515" s="14" t="s">
        <v>5183</v>
      </c>
      <c r="N1515" s="14"/>
      <c r="O1515" s="14" t="s">
        <v>5184</v>
      </c>
      <c r="P1515" s="14" t="str">
        <f>HYPERLINK("https://ceds.ed.gov/cedselementdetails.aspx?termid=18692")</f>
        <v>https://ceds.ed.gov/cedselementdetails.aspx?termid=18692</v>
      </c>
      <c r="Q1515" s="14" t="str">
        <f>HYPERLINK("https://ceds.ed.gov/elementComment.aspx?elementName=IEP Present Level Student Concern Description &amp;elementID=18692", "Click here to submit comment")</f>
        <v>Click here to submit comment</v>
      </c>
      <c r="R1515" s="14">
        <v>51946</v>
      </c>
    </row>
    <row r="1516" spans="1:18" ht="45" x14ac:dyDescent="0.25">
      <c r="A1516" s="14" t="s">
        <v>8732</v>
      </c>
      <c r="B1516" s="14" t="s">
        <v>8813</v>
      </c>
      <c r="C1516" s="14" t="s">
        <v>8874</v>
      </c>
      <c r="D1516" s="14" t="s">
        <v>8531</v>
      </c>
      <c r="E1516" s="14" t="s">
        <v>5185</v>
      </c>
      <c r="F1516" s="14" t="s">
        <v>5186</v>
      </c>
      <c r="G1516" s="14" t="s">
        <v>37</v>
      </c>
      <c r="H1516" s="14"/>
      <c r="I1516" s="14"/>
      <c r="J1516" s="14" t="s">
        <v>382</v>
      </c>
      <c r="K1516" s="14"/>
      <c r="L1516" s="14"/>
      <c r="M1516" s="14" t="s">
        <v>5187</v>
      </c>
      <c r="N1516" s="14"/>
      <c r="O1516" s="14" t="s">
        <v>5188</v>
      </c>
      <c r="P1516" s="14" t="str">
        <f>HYPERLINK("https://ceds.ed.gov/cedselementdetails.aspx?termid=18690")</f>
        <v>https://ceds.ed.gov/cedselementdetails.aspx?termid=18690</v>
      </c>
      <c r="Q1516" s="14" t="str">
        <f>HYPERLINK("https://ceds.ed.gov/elementComment.aspx?elementName=IEP Present Level Student Strengths Description &amp;elementID=18690", "Click here to submit comment")</f>
        <v>Click here to submit comment</v>
      </c>
      <c r="R1516" s="14">
        <v>51947</v>
      </c>
    </row>
    <row r="1517" spans="1:18" ht="45" x14ac:dyDescent="0.25">
      <c r="A1517" s="14" t="s">
        <v>8732</v>
      </c>
      <c r="B1517" s="14" t="s">
        <v>8813</v>
      </c>
      <c r="C1517" s="14" t="s">
        <v>8661</v>
      </c>
      <c r="D1517" s="14" t="s">
        <v>8531</v>
      </c>
      <c r="E1517" s="14" t="s">
        <v>4801</v>
      </c>
      <c r="F1517" s="14" t="s">
        <v>4802</v>
      </c>
      <c r="G1517" s="14" t="s">
        <v>37</v>
      </c>
      <c r="H1517" s="14"/>
      <c r="I1517" s="14"/>
      <c r="J1517" s="14" t="s">
        <v>135</v>
      </c>
      <c r="K1517" s="14"/>
      <c r="L1517" s="14"/>
      <c r="M1517" s="14" t="s">
        <v>4803</v>
      </c>
      <c r="N1517" s="14"/>
      <c r="O1517" s="14" t="s">
        <v>4804</v>
      </c>
      <c r="P1517" s="14" t="str">
        <f>HYPERLINK("https://ceds.ed.gov/cedselementdetails.aspx?termid=18169")</f>
        <v>https://ceds.ed.gov/cedselementdetails.aspx?termid=18169</v>
      </c>
      <c r="Q1517" s="14" t="str">
        <f>HYPERLINK("https://ceds.ed.gov/elementComment.aspx?elementName=Goal Start Date &amp;elementID=18169", "Click here to submit comment")</f>
        <v>Click here to submit comment</v>
      </c>
      <c r="R1517" s="14">
        <v>50890</v>
      </c>
    </row>
    <row r="1518" spans="1:18" ht="105" x14ac:dyDescent="0.25">
      <c r="A1518" s="14" t="s">
        <v>8732</v>
      </c>
      <c r="B1518" s="14" t="s">
        <v>8813</v>
      </c>
      <c r="C1518" s="14" t="s">
        <v>8661</v>
      </c>
      <c r="D1518" s="14" t="s">
        <v>8531</v>
      </c>
      <c r="E1518" s="14" t="s">
        <v>4765</v>
      </c>
      <c r="F1518" s="14" t="s">
        <v>4766</v>
      </c>
      <c r="G1518" s="14" t="s">
        <v>37</v>
      </c>
      <c r="H1518" s="14"/>
      <c r="I1518" s="14"/>
      <c r="J1518" s="14" t="s">
        <v>135</v>
      </c>
      <c r="K1518" s="14"/>
      <c r="L1518" s="14" t="s">
        <v>4767</v>
      </c>
      <c r="M1518" s="14" t="s">
        <v>4768</v>
      </c>
      <c r="N1518" s="14"/>
      <c r="O1518" s="14" t="s">
        <v>4769</v>
      </c>
      <c r="P1518" s="14" t="str">
        <f>HYPERLINK("https://ceds.ed.gov/cedselementdetails.aspx?termid=18170")</f>
        <v>https://ceds.ed.gov/cedselementdetails.aspx?termid=18170</v>
      </c>
      <c r="Q1518" s="14" t="str">
        <f>HYPERLINK("https://ceds.ed.gov/elementComment.aspx?elementName=Goal End Date &amp;elementID=18170", "Click here to submit comment")</f>
        <v>Click here to submit comment</v>
      </c>
      <c r="R1518" s="14">
        <v>51818</v>
      </c>
    </row>
    <row r="1519" spans="1:18" ht="45" x14ac:dyDescent="0.25">
      <c r="A1519" s="14" t="s">
        <v>8732</v>
      </c>
      <c r="B1519" s="14" t="s">
        <v>8813</v>
      </c>
      <c r="C1519" s="14" t="s">
        <v>8661</v>
      </c>
      <c r="D1519" s="14" t="s">
        <v>8531</v>
      </c>
      <c r="E1519" s="14" t="s">
        <v>4760</v>
      </c>
      <c r="F1519" s="14" t="s">
        <v>4761</v>
      </c>
      <c r="G1519" s="14" t="s">
        <v>37</v>
      </c>
      <c r="H1519" s="14"/>
      <c r="I1519" s="14"/>
      <c r="J1519" s="14" t="s">
        <v>129</v>
      </c>
      <c r="K1519" s="14"/>
      <c r="L1519" s="14"/>
      <c r="M1519" s="14" t="s">
        <v>4763</v>
      </c>
      <c r="N1519" s="14"/>
      <c r="O1519" s="14" t="s">
        <v>4764</v>
      </c>
      <c r="P1519" s="14" t="str">
        <f>HYPERLINK("https://ceds.ed.gov/cedselementdetails.aspx?termid=17903")</f>
        <v>https://ceds.ed.gov/cedselementdetails.aspx?termid=17903</v>
      </c>
      <c r="Q1519" s="14" t="str">
        <f>HYPERLINK("https://ceds.ed.gov/elementComment.aspx?elementName=Goal Description &amp;elementID=17903", "Click here to submit comment")</f>
        <v>Click here to submit comment</v>
      </c>
      <c r="R1519" s="14">
        <v>50882</v>
      </c>
    </row>
    <row r="1520" spans="1:18" ht="60" x14ac:dyDescent="0.25">
      <c r="A1520" s="14" t="s">
        <v>8732</v>
      </c>
      <c r="B1520" s="14" t="s">
        <v>8813</v>
      </c>
      <c r="C1520" s="14" t="s">
        <v>8661</v>
      </c>
      <c r="D1520" s="14" t="s">
        <v>8531</v>
      </c>
      <c r="E1520" s="14" t="s">
        <v>5155</v>
      </c>
      <c r="F1520" s="14" t="s">
        <v>5156</v>
      </c>
      <c r="G1520" s="8" t="s">
        <v>8875</v>
      </c>
      <c r="H1520" s="14"/>
      <c r="I1520" s="14"/>
      <c r="J1520" s="14"/>
      <c r="K1520" s="14"/>
      <c r="L1520" s="14"/>
      <c r="M1520" s="14" t="s">
        <v>5158</v>
      </c>
      <c r="N1520" s="14"/>
      <c r="O1520" s="14" t="s">
        <v>5159</v>
      </c>
      <c r="P1520" s="14" t="str">
        <f>HYPERLINK("https://ceds.ed.gov/cedselementdetails.aspx?termid=18679")</f>
        <v>https://ceds.ed.gov/cedselementdetails.aspx?termid=18679</v>
      </c>
      <c r="Q1520" s="14" t="str">
        <f>HYPERLINK("https://ceds.ed.gov/elementComment.aspx?elementName=IEP Goal Type &amp;elementID=18679", "Click here to submit comment")</f>
        <v>Click here to submit comment</v>
      </c>
      <c r="R1520" s="14">
        <v>51939</v>
      </c>
    </row>
    <row r="1521" spans="1:18" ht="60" x14ac:dyDescent="0.25">
      <c r="A1521" s="14" t="s">
        <v>8732</v>
      </c>
      <c r="B1521" s="14" t="s">
        <v>8813</v>
      </c>
      <c r="C1521" s="14" t="s">
        <v>8661</v>
      </c>
      <c r="D1521" s="14" t="s">
        <v>8531</v>
      </c>
      <c r="E1521" s="14" t="s">
        <v>4815</v>
      </c>
      <c r="F1521" s="14" t="s">
        <v>4816</v>
      </c>
      <c r="G1521" s="14" t="s">
        <v>37</v>
      </c>
      <c r="H1521" s="14"/>
      <c r="I1521" s="14"/>
      <c r="J1521" s="14" t="s">
        <v>129</v>
      </c>
      <c r="K1521" s="14"/>
      <c r="L1521" s="14"/>
      <c r="M1521" s="14" t="s">
        <v>4817</v>
      </c>
      <c r="N1521" s="14"/>
      <c r="O1521" s="14" t="s">
        <v>4818</v>
      </c>
      <c r="P1521" s="14" t="str">
        <f>HYPERLINK("https://ceds.ed.gov/cedselementdetails.aspx?termid=17902")</f>
        <v>https://ceds.ed.gov/cedselementdetails.aspx?termid=17902</v>
      </c>
      <c r="Q1521" s="14" t="str">
        <f>HYPERLINK("https://ceds.ed.gov/elementComment.aspx?elementName=Goal Success Criteria &amp;elementID=17902", "Click here to submit comment")</f>
        <v>Click here to submit comment</v>
      </c>
      <c r="R1521" s="14">
        <v>50892</v>
      </c>
    </row>
    <row r="1522" spans="1:18" ht="90" x14ac:dyDescent="0.25">
      <c r="A1522" s="14" t="s">
        <v>8732</v>
      </c>
      <c r="B1522" s="14" t="s">
        <v>8813</v>
      </c>
      <c r="C1522" s="14" t="s">
        <v>8661</v>
      </c>
      <c r="D1522" s="14" t="s">
        <v>8531</v>
      </c>
      <c r="E1522" s="14" t="s">
        <v>2476</v>
      </c>
      <c r="F1522" s="14" t="s">
        <v>2477</v>
      </c>
      <c r="G1522" s="14" t="s">
        <v>37</v>
      </c>
      <c r="H1522" s="14"/>
      <c r="I1522" s="14"/>
      <c r="J1522" s="14" t="s">
        <v>97</v>
      </c>
      <c r="K1522" s="14"/>
      <c r="L1522" s="14" t="s">
        <v>2479</v>
      </c>
      <c r="M1522" s="14" t="s">
        <v>2480</v>
      </c>
      <c r="N1522" s="14" t="s">
        <v>2481</v>
      </c>
      <c r="O1522" s="14" t="s">
        <v>2482</v>
      </c>
      <c r="P1522" s="14" t="str">
        <f>HYPERLINK("https://ceds.ed.gov/cedselementdetails.aspx?termid=17669")</f>
        <v>https://ceds.ed.gov/cedselementdetails.aspx?termid=17669</v>
      </c>
      <c r="Q1522" s="14" t="str">
        <f>HYPERLINK("https://ceds.ed.gov/elementComment.aspx?elementName=Competency Definition Code &amp;elementID=17669", "Click here to submit comment")</f>
        <v>Click here to submit comment</v>
      </c>
      <c r="R1522" s="14">
        <v>51794</v>
      </c>
    </row>
    <row r="1523" spans="1:18" ht="225" x14ac:dyDescent="0.25">
      <c r="A1523" s="14" t="s">
        <v>8732</v>
      </c>
      <c r="B1523" s="14" t="s">
        <v>8813</v>
      </c>
      <c r="C1523" s="14" t="s">
        <v>8661</v>
      </c>
      <c r="D1523" s="14" t="s">
        <v>8531</v>
      </c>
      <c r="E1523" s="14" t="s">
        <v>2576</v>
      </c>
      <c r="F1523" s="14" t="s">
        <v>2577</v>
      </c>
      <c r="G1523" s="14" t="s">
        <v>37</v>
      </c>
      <c r="H1523" s="14" t="s">
        <v>908</v>
      </c>
      <c r="I1523" s="14"/>
      <c r="J1523" s="14" t="s">
        <v>382</v>
      </c>
      <c r="K1523" s="14"/>
      <c r="L1523" s="14" t="s">
        <v>2578</v>
      </c>
      <c r="M1523" s="14" t="s">
        <v>2579</v>
      </c>
      <c r="N1523" s="14" t="s">
        <v>2580</v>
      </c>
      <c r="O1523" s="14" t="s">
        <v>2581</v>
      </c>
      <c r="P1523" s="14" t="str">
        <f>HYPERLINK("https://ceds.ed.gov/cedselementdetails.aspx?termid=17667")</f>
        <v>https://ceds.ed.gov/cedselementdetails.aspx?termid=17667</v>
      </c>
      <c r="Q1523" s="14" t="str">
        <f>HYPERLINK("https://ceds.ed.gov/elementComment.aspx?elementName=Competency Definition Statement &amp;elementID=17667", "Click here to submit comment")</f>
        <v>Click here to submit comment</v>
      </c>
      <c r="R1523" s="14">
        <v>51792</v>
      </c>
    </row>
    <row r="1524" spans="1:18" ht="90" x14ac:dyDescent="0.25">
      <c r="A1524" s="14" t="s">
        <v>8732</v>
      </c>
      <c r="B1524" s="14" t="s">
        <v>8813</v>
      </c>
      <c r="C1524" s="14" t="s">
        <v>8661</v>
      </c>
      <c r="D1524" s="14" t="s">
        <v>8531</v>
      </c>
      <c r="E1524" s="14" t="s">
        <v>2625</v>
      </c>
      <c r="F1524" s="14" t="s">
        <v>2626</v>
      </c>
      <c r="G1524" s="14" t="s">
        <v>37</v>
      </c>
      <c r="H1524" s="14"/>
      <c r="I1524" s="14"/>
      <c r="J1524" s="14" t="s">
        <v>57</v>
      </c>
      <c r="K1524" s="14"/>
      <c r="L1524" s="14" t="s">
        <v>153</v>
      </c>
      <c r="M1524" s="14" t="s">
        <v>2628</v>
      </c>
      <c r="N1524" s="14" t="s">
        <v>2629</v>
      </c>
      <c r="O1524" s="14" t="s">
        <v>2630</v>
      </c>
      <c r="P1524" s="14" t="str">
        <f>HYPERLINK("https://ceds.ed.gov/cedselementdetails.aspx?termid=17874")</f>
        <v>https://ceds.ed.gov/cedselementdetails.aspx?termid=17874</v>
      </c>
      <c r="Q1524" s="14" t="str">
        <f>HYPERLINK("https://ceds.ed.gov/elementComment.aspx?elementName=Competency Definition URL &amp;elementID=17874", "Click here to submit comment")</f>
        <v>Click here to submit comment</v>
      </c>
      <c r="R1524" s="14">
        <v>51803</v>
      </c>
    </row>
    <row r="1525" spans="1:18" ht="45" x14ac:dyDescent="0.25">
      <c r="A1525" s="14" t="s">
        <v>8732</v>
      </c>
      <c r="B1525" s="14" t="s">
        <v>8813</v>
      </c>
      <c r="C1525" s="14" t="s">
        <v>8661</v>
      </c>
      <c r="D1525" s="14" t="s">
        <v>8531</v>
      </c>
      <c r="E1525" s="14" t="s">
        <v>4755</v>
      </c>
      <c r="F1525" s="14" t="s">
        <v>4756</v>
      </c>
      <c r="G1525" s="14" t="s">
        <v>37</v>
      </c>
      <c r="H1525" s="14"/>
      <c r="I1525" s="14"/>
      <c r="J1525" s="14" t="s">
        <v>382</v>
      </c>
      <c r="K1525" s="14"/>
      <c r="L1525" s="14"/>
      <c r="M1525" s="14" t="s">
        <v>4758</v>
      </c>
      <c r="N1525" s="14"/>
      <c r="O1525" s="14" t="s">
        <v>4759</v>
      </c>
      <c r="P1525" s="14" t="str">
        <f>HYPERLINK("https://ceds.ed.gov/cedselementdetails.aspx?termid=18671")</f>
        <v>https://ceds.ed.gov/cedselementdetails.aspx?termid=18671</v>
      </c>
      <c r="Q1525" s="14" t="str">
        <f>HYPERLINK("https://ceds.ed.gov/elementComment.aspx?elementName=Goal Current Performance Description &amp;elementID=18671", "Click here to submit comment")</f>
        <v>Click here to submit comment</v>
      </c>
      <c r="R1525" s="14">
        <v>51920</v>
      </c>
    </row>
    <row r="1526" spans="1:18" ht="75" x14ac:dyDescent="0.25">
      <c r="A1526" s="14" t="s">
        <v>8732</v>
      </c>
      <c r="B1526" s="14" t="s">
        <v>8813</v>
      </c>
      <c r="C1526" s="14" t="s">
        <v>8661</v>
      </c>
      <c r="D1526" s="14" t="s">
        <v>8531</v>
      </c>
      <c r="E1526" s="14" t="s">
        <v>4796</v>
      </c>
      <c r="F1526" s="14" t="s">
        <v>4797</v>
      </c>
      <c r="G1526" s="8" t="s">
        <v>8876</v>
      </c>
      <c r="H1526" s="14"/>
      <c r="I1526" s="14"/>
      <c r="J1526" s="14"/>
      <c r="K1526" s="14"/>
      <c r="L1526" s="14"/>
      <c r="M1526" s="14" t="s">
        <v>4799</v>
      </c>
      <c r="N1526" s="14"/>
      <c r="O1526" s="14" t="s">
        <v>4800</v>
      </c>
      <c r="P1526" s="14" t="str">
        <f>HYPERLINK("https://ceds.ed.gov/cedselementdetails.aspx?termid=18678")</f>
        <v>https://ceds.ed.gov/cedselementdetails.aspx?termid=18678</v>
      </c>
      <c r="Q1526" s="14" t="str">
        <f>HYPERLINK("https://ceds.ed.gov/elementComment.aspx?elementName=Goal Measurement Type &amp;elementID=18678", "Click here to submit comment")</f>
        <v>Click here to submit comment</v>
      </c>
      <c r="R1526" s="14">
        <v>51928</v>
      </c>
    </row>
    <row r="1527" spans="1:18" ht="60" x14ac:dyDescent="0.25">
      <c r="A1527" s="14" t="s">
        <v>8732</v>
      </c>
      <c r="B1527" s="14" t="s">
        <v>8813</v>
      </c>
      <c r="C1527" s="14" t="s">
        <v>8661</v>
      </c>
      <c r="D1527" s="14" t="s">
        <v>8531</v>
      </c>
      <c r="E1527" s="14" t="s">
        <v>4788</v>
      </c>
      <c r="F1527" s="14" t="s">
        <v>4789</v>
      </c>
      <c r="G1527" s="14" t="s">
        <v>37</v>
      </c>
      <c r="H1527" s="14"/>
      <c r="I1527" s="14"/>
      <c r="J1527" s="14" t="s">
        <v>382</v>
      </c>
      <c r="K1527" s="14"/>
      <c r="L1527" s="14"/>
      <c r="M1527" s="14" t="s">
        <v>4790</v>
      </c>
      <c r="N1527" s="14"/>
      <c r="O1527" s="14" t="s">
        <v>4791</v>
      </c>
      <c r="P1527" s="14" t="str">
        <f>HYPERLINK("https://ceds.ed.gov/cedselementdetails.aspx?termid=18676")</f>
        <v>https://ceds.ed.gov/cedselementdetails.aspx?termid=18676</v>
      </c>
      <c r="Q1527" s="14" t="str">
        <f>HYPERLINK("https://ceds.ed.gov/elementComment.aspx?elementName=Goal Measurement Description &amp;elementID=18676", "Click here to submit comment")</f>
        <v>Click here to submit comment</v>
      </c>
      <c r="R1527" s="14">
        <v>51926</v>
      </c>
    </row>
    <row r="1528" spans="1:18" ht="45" x14ac:dyDescent="0.25">
      <c r="A1528" s="14" t="s">
        <v>8732</v>
      </c>
      <c r="B1528" s="14" t="s">
        <v>8813</v>
      </c>
      <c r="C1528" s="14" t="s">
        <v>8661</v>
      </c>
      <c r="D1528" s="14" t="s">
        <v>8531</v>
      </c>
      <c r="E1528" s="14" t="s">
        <v>4792</v>
      </c>
      <c r="F1528" s="14" t="s">
        <v>4793</v>
      </c>
      <c r="G1528" s="14" t="s">
        <v>37</v>
      </c>
      <c r="H1528" s="14"/>
      <c r="I1528" s="14"/>
      <c r="J1528" s="14" t="s">
        <v>382</v>
      </c>
      <c r="K1528" s="14"/>
      <c r="L1528" s="14"/>
      <c r="M1528" s="14" t="s">
        <v>4794</v>
      </c>
      <c r="N1528" s="14"/>
      <c r="O1528" s="14" t="s">
        <v>4795</v>
      </c>
      <c r="P1528" s="14" t="str">
        <f>HYPERLINK("https://ceds.ed.gov/cedselementdetails.aspx?termid=18677")</f>
        <v>https://ceds.ed.gov/cedselementdetails.aspx?termid=18677</v>
      </c>
      <c r="Q1528" s="14" t="str">
        <f>HYPERLINK("https://ceds.ed.gov/elementComment.aspx?elementName=Goal Measurement Schedule &amp;elementID=18677", "Click here to submit comment")</f>
        <v>Click here to submit comment</v>
      </c>
      <c r="R1528" s="14">
        <v>51927</v>
      </c>
    </row>
    <row r="1529" spans="1:18" ht="45" x14ac:dyDescent="0.25">
      <c r="A1529" s="14" t="s">
        <v>8732</v>
      </c>
      <c r="B1529" s="14" t="s">
        <v>8813</v>
      </c>
      <c r="C1529" s="14" t="s">
        <v>8661</v>
      </c>
      <c r="D1529" s="14" t="s">
        <v>8531</v>
      </c>
      <c r="E1529" s="14" t="s">
        <v>4780</v>
      </c>
      <c r="F1529" s="14" t="s">
        <v>4781</v>
      </c>
      <c r="G1529" s="14" t="s">
        <v>37</v>
      </c>
      <c r="H1529" s="14"/>
      <c r="I1529" s="14"/>
      <c r="J1529" s="14" t="s">
        <v>175</v>
      </c>
      <c r="K1529" s="14"/>
      <c r="L1529" s="14"/>
      <c r="M1529" s="14" t="s">
        <v>4782</v>
      </c>
      <c r="N1529" s="14"/>
      <c r="O1529" s="14" t="s">
        <v>4783</v>
      </c>
      <c r="P1529" s="14" t="str">
        <f>HYPERLINK("https://ceds.ed.gov/cedselementdetails.aspx?termid=18674")</f>
        <v>https://ceds.ed.gov/cedselementdetails.aspx?termid=18674</v>
      </c>
      <c r="Q1529" s="14" t="str">
        <f>HYPERLINK("https://ceds.ed.gov/elementComment.aspx?elementName=Goal Measurement Criterion Metric &amp;elementID=18674", "Click here to submit comment")</f>
        <v>Click here to submit comment</v>
      </c>
      <c r="R1529" s="14">
        <v>51924</v>
      </c>
    </row>
    <row r="1530" spans="1:18" ht="45" x14ac:dyDescent="0.25">
      <c r="A1530" s="14" t="s">
        <v>8732</v>
      </c>
      <c r="B1530" s="14" t="s">
        <v>8813</v>
      </c>
      <c r="C1530" s="14" t="s">
        <v>8661</v>
      </c>
      <c r="D1530" s="14" t="s">
        <v>8531</v>
      </c>
      <c r="E1530" s="14" t="s">
        <v>4770</v>
      </c>
      <c r="F1530" s="14" t="s">
        <v>4771</v>
      </c>
      <c r="G1530" s="14" t="s">
        <v>37</v>
      </c>
      <c r="H1530" s="14"/>
      <c r="I1530" s="14"/>
      <c r="J1530" s="14" t="s">
        <v>4773</v>
      </c>
      <c r="K1530" s="14"/>
      <c r="L1530" s="14"/>
      <c r="M1530" s="14" t="s">
        <v>4774</v>
      </c>
      <c r="N1530" s="14"/>
      <c r="O1530" s="14" t="s">
        <v>4775</v>
      </c>
      <c r="P1530" s="14" t="str">
        <f>HYPERLINK("https://ceds.ed.gov/cedselementdetails.aspx?termid=18672")</f>
        <v>https://ceds.ed.gov/cedselementdetails.aspx?termid=18672</v>
      </c>
      <c r="Q1530" s="14" t="str">
        <f>HYPERLINK("https://ceds.ed.gov/elementComment.aspx?elementName=Goal Measurement Criterion Accuracy Percent &amp;elementID=18672", "Click here to submit comment")</f>
        <v>Click here to submit comment</v>
      </c>
      <c r="R1530" s="14">
        <v>51922</v>
      </c>
    </row>
    <row r="1531" spans="1:18" ht="45" x14ac:dyDescent="0.25">
      <c r="A1531" s="14" t="s">
        <v>8732</v>
      </c>
      <c r="B1531" s="14" t="s">
        <v>8813</v>
      </c>
      <c r="C1531" s="14" t="s">
        <v>8661</v>
      </c>
      <c r="D1531" s="14" t="s">
        <v>8531</v>
      </c>
      <c r="E1531" s="14" t="s">
        <v>4776</v>
      </c>
      <c r="F1531" s="14" t="s">
        <v>4777</v>
      </c>
      <c r="G1531" s="14" t="s">
        <v>37</v>
      </c>
      <c r="H1531" s="14"/>
      <c r="I1531" s="14"/>
      <c r="J1531" s="14" t="s">
        <v>1922</v>
      </c>
      <c r="K1531" s="14"/>
      <c r="L1531" s="14"/>
      <c r="M1531" s="14" t="s">
        <v>4778</v>
      </c>
      <c r="N1531" s="14"/>
      <c r="O1531" s="14" t="s">
        <v>4779</v>
      </c>
      <c r="P1531" s="14" t="str">
        <f>HYPERLINK("https://ceds.ed.gov/cedselementdetails.aspx?termid=18673")</f>
        <v>https://ceds.ed.gov/cedselementdetails.aspx?termid=18673</v>
      </c>
      <c r="Q1531" s="14" t="str">
        <f>HYPERLINK("https://ceds.ed.gov/elementComment.aspx?elementName=Goal Measurement Criterion Attempts Count &amp;elementID=18673", "Click here to submit comment")</f>
        <v>Click here to submit comment</v>
      </c>
      <c r="R1531" s="14">
        <v>51923</v>
      </c>
    </row>
    <row r="1532" spans="1:18" ht="45" x14ac:dyDescent="0.25">
      <c r="A1532" s="14" t="s">
        <v>8732</v>
      </c>
      <c r="B1532" s="14" t="s">
        <v>8813</v>
      </c>
      <c r="C1532" s="14" t="s">
        <v>8661</v>
      </c>
      <c r="D1532" s="14" t="s">
        <v>8531</v>
      </c>
      <c r="E1532" s="14" t="s">
        <v>4784</v>
      </c>
      <c r="F1532" s="14" t="s">
        <v>4785</v>
      </c>
      <c r="G1532" s="14" t="s">
        <v>37</v>
      </c>
      <c r="H1532" s="14"/>
      <c r="I1532" s="14"/>
      <c r="J1532" s="14" t="s">
        <v>1922</v>
      </c>
      <c r="K1532" s="14"/>
      <c r="L1532" s="14"/>
      <c r="M1532" s="14" t="s">
        <v>4786</v>
      </c>
      <c r="N1532" s="14"/>
      <c r="O1532" s="14" t="s">
        <v>4787</v>
      </c>
      <c r="P1532" s="14" t="str">
        <f>HYPERLINK("https://ceds.ed.gov/cedselementdetails.aspx?termid=18675")</f>
        <v>https://ceds.ed.gov/cedselementdetails.aspx?termid=18675</v>
      </c>
      <c r="Q1532" s="14" t="str">
        <f>HYPERLINK("https://ceds.ed.gov/elementComment.aspx?elementName=Goal Measurement Criterion Success Count &amp;elementID=18675", "Click here to submit comment")</f>
        <v>Click here to submit comment</v>
      </c>
      <c r="R1532" s="14">
        <v>51925</v>
      </c>
    </row>
    <row r="1533" spans="1:18" ht="60" x14ac:dyDescent="0.25">
      <c r="A1533" s="14" t="s">
        <v>8732</v>
      </c>
      <c r="B1533" s="14" t="s">
        <v>8813</v>
      </c>
      <c r="C1533" s="14" t="s">
        <v>8877</v>
      </c>
      <c r="D1533" s="14" t="s">
        <v>8531</v>
      </c>
      <c r="E1533" s="14" t="s">
        <v>7677</v>
      </c>
      <c r="F1533" s="14" t="s">
        <v>7678</v>
      </c>
      <c r="G1533" s="14" t="s">
        <v>37</v>
      </c>
      <c r="H1533" s="14"/>
      <c r="I1533" s="14"/>
      <c r="J1533" s="14" t="s">
        <v>135</v>
      </c>
      <c r="K1533" s="14"/>
      <c r="L1533" s="14"/>
      <c r="M1533" s="14" t="s">
        <v>7679</v>
      </c>
      <c r="N1533" s="14"/>
      <c r="O1533" s="14" t="s">
        <v>7680</v>
      </c>
      <c r="P1533" s="14" t="str">
        <f>HYPERLINK("https://ceds.ed.gov/cedselementdetails.aspx?termid=17326")</f>
        <v>https://ceds.ed.gov/cedselementdetails.aspx?termid=17326</v>
      </c>
      <c r="Q1533" s="14" t="str">
        <f>HYPERLINK("https://ceds.ed.gov/elementComment.aspx?elementName=Service Entry Date &amp;elementID=17326", "Click here to submit comment")</f>
        <v>Click here to submit comment</v>
      </c>
      <c r="R1533" s="14">
        <v>51779</v>
      </c>
    </row>
    <row r="1534" spans="1:18" ht="75" x14ac:dyDescent="0.25">
      <c r="A1534" s="14" t="s">
        <v>8732</v>
      </c>
      <c r="B1534" s="14" t="s">
        <v>8813</v>
      </c>
      <c r="C1534" s="14" t="s">
        <v>8877</v>
      </c>
      <c r="D1534" s="14" t="s">
        <v>8531</v>
      </c>
      <c r="E1534" s="14" t="s">
        <v>7681</v>
      </c>
      <c r="F1534" s="14" t="s">
        <v>7682</v>
      </c>
      <c r="G1534" s="14" t="s">
        <v>37</v>
      </c>
      <c r="H1534" s="14"/>
      <c r="I1534" s="14"/>
      <c r="J1534" s="14" t="s">
        <v>135</v>
      </c>
      <c r="K1534" s="14"/>
      <c r="L1534" s="14" t="s">
        <v>160</v>
      </c>
      <c r="M1534" s="14" t="s">
        <v>7683</v>
      </c>
      <c r="N1534" s="14"/>
      <c r="O1534" s="14" t="s">
        <v>7684</v>
      </c>
      <c r="P1534" s="14" t="str">
        <f>HYPERLINK("https://ceds.ed.gov/cedselementdetails.aspx?termid=17327")</f>
        <v>https://ceds.ed.gov/cedselementdetails.aspx?termid=17327</v>
      </c>
      <c r="Q1534" s="14" t="str">
        <f>HYPERLINK("https://ceds.ed.gov/elementComment.aspx?elementName=Service Exit Date &amp;elementID=17327", "Click here to submit comment")</f>
        <v>Click here to submit comment</v>
      </c>
      <c r="R1534" s="14">
        <v>51780</v>
      </c>
    </row>
    <row r="1535" spans="1:18" ht="45" x14ac:dyDescent="0.25">
      <c r="A1535" s="14" t="s">
        <v>8732</v>
      </c>
      <c r="B1535" s="14" t="s">
        <v>8813</v>
      </c>
      <c r="C1535" s="14" t="s">
        <v>8877</v>
      </c>
      <c r="D1535" s="14" t="s">
        <v>8531</v>
      </c>
      <c r="E1535" s="14" t="s">
        <v>7685</v>
      </c>
      <c r="F1535" s="14" t="s">
        <v>7686</v>
      </c>
      <c r="G1535" s="14" t="s">
        <v>24</v>
      </c>
      <c r="H1535" s="14"/>
      <c r="I1535" s="14"/>
      <c r="J1535" s="14"/>
      <c r="K1535" s="14"/>
      <c r="L1535" s="14"/>
      <c r="M1535" s="14" t="s">
        <v>7687</v>
      </c>
      <c r="N1535" s="14"/>
      <c r="O1535" s="14" t="s">
        <v>7688</v>
      </c>
      <c r="P1535" s="14" t="str">
        <f>HYPERLINK("https://ceds.ed.gov/cedselementdetails.aspx?termid=18698")</f>
        <v>https://ceds.ed.gov/cedselementdetails.aspx?termid=18698</v>
      </c>
      <c r="Q1535" s="14" t="str">
        <f>HYPERLINK("https://ceds.ed.gov/elementComment.aspx?elementName=Service Extends Outside School Year &amp;elementID=18698", "Click here to submit comment")</f>
        <v>Click here to submit comment</v>
      </c>
      <c r="R1535" s="14">
        <v>51992</v>
      </c>
    </row>
    <row r="1536" spans="1:18" ht="45" x14ac:dyDescent="0.25">
      <c r="A1536" s="14" t="s">
        <v>8732</v>
      </c>
      <c r="B1536" s="14" t="s">
        <v>8813</v>
      </c>
      <c r="C1536" s="14" t="s">
        <v>8877</v>
      </c>
      <c r="D1536" s="14" t="s">
        <v>8531</v>
      </c>
      <c r="E1536" s="14" t="s">
        <v>3460</v>
      </c>
      <c r="F1536" s="14" t="s">
        <v>3461</v>
      </c>
      <c r="G1536" s="14" t="s">
        <v>37</v>
      </c>
      <c r="H1536" s="14"/>
      <c r="I1536" s="14"/>
      <c r="J1536" s="14" t="s">
        <v>135</v>
      </c>
      <c r="K1536" s="14"/>
      <c r="L1536" s="14"/>
      <c r="M1536" s="14" t="s">
        <v>3463</v>
      </c>
      <c r="N1536" s="14"/>
      <c r="O1536" s="14" t="s">
        <v>3464</v>
      </c>
      <c r="P1536" s="14" t="str">
        <f>HYPERLINK("https://ceds.ed.gov/cedselementdetails.aspx?termid=18693")</f>
        <v>https://ceds.ed.gov/cedselementdetails.aspx?termid=18693</v>
      </c>
      <c r="Q1536" s="14" t="str">
        <f>HYPERLINK("https://ceds.ed.gov/elementComment.aspx?elementName=Declined Services Date &amp;elementID=18693", "Click here to submit comment")</f>
        <v>Click here to submit comment</v>
      </c>
      <c r="R1536" s="14">
        <v>51912</v>
      </c>
    </row>
    <row r="1537" spans="1:18" ht="45" x14ac:dyDescent="0.25">
      <c r="A1537" s="14" t="s">
        <v>8732</v>
      </c>
      <c r="B1537" s="14" t="s">
        <v>8813</v>
      </c>
      <c r="C1537" s="14" t="s">
        <v>8877</v>
      </c>
      <c r="D1537" s="14" t="s">
        <v>8531</v>
      </c>
      <c r="E1537" s="14" t="s">
        <v>7294</v>
      </c>
      <c r="F1537" s="14" t="s">
        <v>7295</v>
      </c>
      <c r="G1537" s="14" t="s">
        <v>37</v>
      </c>
      <c r="H1537" s="14"/>
      <c r="I1537" s="14"/>
      <c r="J1537" s="14" t="s">
        <v>382</v>
      </c>
      <c r="K1537" s="14"/>
      <c r="L1537" s="14"/>
      <c r="M1537" s="14" t="s">
        <v>7297</v>
      </c>
      <c r="N1537" s="14"/>
      <c r="O1537" s="14" t="s">
        <v>7298</v>
      </c>
      <c r="P1537" s="14" t="str">
        <f>HYPERLINK("https://ceds.ed.gov/cedselementdetails.aspx?termid=18460")</f>
        <v>https://ceds.ed.gov/cedselementdetails.aspx?termid=18460</v>
      </c>
      <c r="Q1537" s="14" t="str">
        <f>HYPERLINK("https://ceds.ed.gov/elementComment.aspx?elementName=Reason for Declined Services &amp;elementID=18460", "Click here to submit comment")</f>
        <v>Click here to submit comment</v>
      </c>
      <c r="R1537" s="14">
        <v>51834</v>
      </c>
    </row>
    <row r="1538" spans="1:18" ht="45" x14ac:dyDescent="0.25">
      <c r="A1538" s="14" t="s">
        <v>8732</v>
      </c>
      <c r="B1538" s="14" t="s">
        <v>8813</v>
      </c>
      <c r="C1538" s="14" t="s">
        <v>8877</v>
      </c>
      <c r="D1538" s="14" t="s">
        <v>8531</v>
      </c>
      <c r="E1538" s="14" t="s">
        <v>3686</v>
      </c>
      <c r="F1538" s="14" t="s">
        <v>3687</v>
      </c>
      <c r="G1538" s="14" t="s">
        <v>37</v>
      </c>
      <c r="H1538" s="14"/>
      <c r="I1538" s="14"/>
      <c r="J1538" s="14" t="s">
        <v>1922</v>
      </c>
      <c r="K1538" s="14"/>
      <c r="L1538" s="14"/>
      <c r="M1538" s="14" t="s">
        <v>3688</v>
      </c>
      <c r="N1538" s="14"/>
      <c r="O1538" s="14" t="s">
        <v>3689</v>
      </c>
      <c r="P1538" s="14" t="str">
        <f>HYPERLINK("https://ceds.ed.gov/cedselementdetails.aspx?termid=18697")</f>
        <v>https://ceds.ed.gov/cedselementdetails.aspx?termid=18697</v>
      </c>
      <c r="Q1538" s="14" t="str">
        <f>HYPERLINK("https://ceds.ed.gov/elementComment.aspx?elementName=Duration Length in Minutes &amp;elementID=18697", "Click here to submit comment")</f>
        <v>Click here to submit comment</v>
      </c>
      <c r="R1538" s="14">
        <v>51913</v>
      </c>
    </row>
    <row r="1539" spans="1:18" ht="105" x14ac:dyDescent="0.25">
      <c r="A1539" s="14" t="s">
        <v>8732</v>
      </c>
      <c r="B1539" s="14" t="s">
        <v>8813</v>
      </c>
      <c r="C1539" s="14" t="s">
        <v>8877</v>
      </c>
      <c r="D1539" s="14" t="s">
        <v>8531</v>
      </c>
      <c r="E1539" s="14" t="s">
        <v>4707</v>
      </c>
      <c r="F1539" s="14" t="s">
        <v>4708</v>
      </c>
      <c r="G1539" s="8" t="s">
        <v>8878</v>
      </c>
      <c r="H1539" s="14"/>
      <c r="I1539" s="14"/>
      <c r="J1539" s="14"/>
      <c r="K1539" s="14"/>
      <c r="L1539" s="14"/>
      <c r="M1539" s="14" t="s">
        <v>4710</v>
      </c>
      <c r="N1539" s="14"/>
      <c r="O1539" s="14" t="s">
        <v>4711</v>
      </c>
      <c r="P1539" s="14" t="str">
        <f>HYPERLINK("https://ceds.ed.gov/cedselementdetails.aspx?termid=18694")</f>
        <v>https://ceds.ed.gov/cedselementdetails.aspx?termid=18694</v>
      </c>
      <c r="Q1539" s="14" t="str">
        <f>HYPERLINK("https://ceds.ed.gov/elementComment.aspx?elementName=Frequency Unit &amp;elementID=18694", "Click here to submit comment")</f>
        <v>Click here to submit comment</v>
      </c>
      <c r="R1539" s="14">
        <v>51919</v>
      </c>
    </row>
    <row r="1540" spans="1:18" ht="90" x14ac:dyDescent="0.25">
      <c r="A1540" s="14" t="s">
        <v>8732</v>
      </c>
      <c r="B1540" s="14" t="s">
        <v>8813</v>
      </c>
      <c r="C1540" s="14" t="s">
        <v>8877</v>
      </c>
      <c r="D1540" s="14" t="s">
        <v>8531</v>
      </c>
      <c r="E1540" s="14" t="s">
        <v>4698</v>
      </c>
      <c r="F1540" s="14" t="s">
        <v>4699</v>
      </c>
      <c r="G1540" s="14" t="s">
        <v>37</v>
      </c>
      <c r="H1540" s="14"/>
      <c r="I1540" s="14"/>
      <c r="J1540" s="14" t="s">
        <v>1922</v>
      </c>
      <c r="K1540" s="14"/>
      <c r="L1540" s="14"/>
      <c r="M1540" s="14" t="s">
        <v>4700</v>
      </c>
      <c r="N1540" s="14"/>
      <c r="O1540" s="14" t="s">
        <v>4701</v>
      </c>
      <c r="P1540" s="14" t="str">
        <f>HYPERLINK("https://ceds.ed.gov/cedselementdetails.aspx?termid=18696")</f>
        <v>https://ceds.ed.gov/cedselementdetails.aspx?termid=18696</v>
      </c>
      <c r="Q1540" s="14" t="str">
        <f>HYPERLINK("https://ceds.ed.gov/elementComment.aspx?elementName=Frequency Length &amp;elementID=18696", "Click here to submit comment")</f>
        <v>Click here to submit comment</v>
      </c>
      <c r="R1540" s="14">
        <v>51918</v>
      </c>
    </row>
    <row r="1541" spans="1:18" ht="45" x14ac:dyDescent="0.25">
      <c r="A1541" s="14" t="s">
        <v>8732</v>
      </c>
      <c r="B1541" s="14" t="s">
        <v>8813</v>
      </c>
      <c r="C1541" s="14" t="s">
        <v>8877</v>
      </c>
      <c r="D1541" s="14" t="s">
        <v>8531</v>
      </c>
      <c r="E1541" s="14" t="s">
        <v>4694</v>
      </c>
      <c r="F1541" s="14" t="s">
        <v>4695</v>
      </c>
      <c r="G1541" s="14" t="s">
        <v>37</v>
      </c>
      <c r="H1541" s="14"/>
      <c r="I1541" s="14"/>
      <c r="J1541" s="14" t="s">
        <v>1922</v>
      </c>
      <c r="K1541" s="14"/>
      <c r="L1541" s="14"/>
      <c r="M1541" s="14" t="s">
        <v>4696</v>
      </c>
      <c r="N1541" s="14"/>
      <c r="O1541" s="14" t="s">
        <v>4697</v>
      </c>
      <c r="P1541" s="14" t="str">
        <f>HYPERLINK("https://ceds.ed.gov/cedselementdetails.aspx?termid=18695")</f>
        <v>https://ceds.ed.gov/cedselementdetails.aspx?termid=18695</v>
      </c>
      <c r="Q1541" s="14" t="str">
        <f>HYPERLINK("https://ceds.ed.gov/elementComment.aspx?elementName=Frequency Instances Per Cycle &amp;elementID=18695", "Click here to submit comment")</f>
        <v>Click here to submit comment</v>
      </c>
      <c r="R1541" s="14">
        <v>51917</v>
      </c>
    </row>
    <row r="1542" spans="1:18" ht="45" x14ac:dyDescent="0.25">
      <c r="A1542" s="14" t="s">
        <v>8732</v>
      </c>
      <c r="B1542" s="14" t="s">
        <v>8813</v>
      </c>
      <c r="C1542" s="14" t="s">
        <v>8877</v>
      </c>
      <c r="D1542" s="14" t="s">
        <v>8531</v>
      </c>
      <c r="E1542" s="14" t="s">
        <v>7703</v>
      </c>
      <c r="F1542" s="14" t="s">
        <v>7704</v>
      </c>
      <c r="G1542" s="14" t="s">
        <v>37</v>
      </c>
      <c r="H1542" s="14"/>
      <c r="I1542" s="14"/>
      <c r="J1542" s="14" t="s">
        <v>382</v>
      </c>
      <c r="K1542" s="14"/>
      <c r="L1542" s="14"/>
      <c r="M1542" s="14" t="s">
        <v>7705</v>
      </c>
      <c r="N1542" s="14"/>
      <c r="O1542" s="14" t="s">
        <v>7706</v>
      </c>
      <c r="P1542" s="14" t="str">
        <f>HYPERLINK("https://ceds.ed.gov/cedselementdetails.aspx?termid=18699")</f>
        <v>https://ceds.ed.gov/cedselementdetails.aspx?termid=18699</v>
      </c>
      <c r="Q1542" s="14" t="str">
        <f>HYPERLINK("https://ceds.ed.gov/elementComment.aspx?elementName=Service Setting Description &amp;elementID=18699", "Click here to submit comment")</f>
        <v>Click here to submit comment</v>
      </c>
      <c r="R1542" s="14">
        <v>51993</v>
      </c>
    </row>
    <row r="1543" spans="1:18" ht="409.5" x14ac:dyDescent="0.25">
      <c r="A1543" s="14" t="s">
        <v>8732</v>
      </c>
      <c r="B1543" s="14" t="s">
        <v>8813</v>
      </c>
      <c r="C1543" s="14" t="s">
        <v>8877</v>
      </c>
      <c r="D1543" s="14" t="s">
        <v>8531</v>
      </c>
      <c r="E1543" s="14" t="s">
        <v>8081</v>
      </c>
      <c r="F1543" s="14" t="s">
        <v>8082</v>
      </c>
      <c r="G1543" s="8" t="s">
        <v>8757</v>
      </c>
      <c r="H1543" s="14"/>
      <c r="I1543" s="14" t="s">
        <v>195</v>
      </c>
      <c r="J1543" s="14"/>
      <c r="K1543" s="14" t="s">
        <v>8085</v>
      </c>
      <c r="L1543" s="14" t="s">
        <v>8086</v>
      </c>
      <c r="M1543" s="14" t="s">
        <v>8087</v>
      </c>
      <c r="N1543" s="14"/>
      <c r="O1543" s="14" t="s">
        <v>8088</v>
      </c>
      <c r="P1543" s="14" t="str">
        <f>HYPERLINK("https://ceds.ed.gov/cedselementdetails.aspx?termid=17273")</f>
        <v>https://ceds.ed.gov/cedselementdetails.aspx?termid=17273</v>
      </c>
      <c r="Q1543" s="14" t="str">
        <f>HYPERLINK("https://ceds.ed.gov/elementComment.aspx?elementName=Student Support Service Type &amp;elementID=17273", "Click here to submit comment")</f>
        <v>Click here to submit comment</v>
      </c>
      <c r="R1543" s="14">
        <v>51778</v>
      </c>
    </row>
    <row r="1544" spans="1:18" ht="105" x14ac:dyDescent="0.25">
      <c r="A1544" s="16" t="s">
        <v>8732</v>
      </c>
      <c r="B1544" s="16" t="s">
        <v>8813</v>
      </c>
      <c r="C1544" s="16" t="s">
        <v>8879</v>
      </c>
      <c r="D1544" s="16" t="s">
        <v>8531</v>
      </c>
      <c r="E1544" s="16" t="s">
        <v>6530</v>
      </c>
      <c r="F1544" s="16" t="s">
        <v>6531</v>
      </c>
      <c r="G1544" s="16" t="s">
        <v>37</v>
      </c>
      <c r="H1544" s="16" t="s">
        <v>125</v>
      </c>
      <c r="I1544" s="16"/>
      <c r="J1544" s="16" t="s">
        <v>149</v>
      </c>
      <c r="K1544" s="16"/>
      <c r="L1544" s="14" t="s">
        <v>150</v>
      </c>
      <c r="M1544" s="16" t="s">
        <v>6533</v>
      </c>
      <c r="N1544" s="16"/>
      <c r="O1544" s="16" t="s">
        <v>6534</v>
      </c>
      <c r="P1544" s="16" t="str">
        <f>HYPERLINK("https://ceds.ed.gov/cedselementdetails.aspx?termid=17825")</f>
        <v>https://ceds.ed.gov/cedselementdetails.aspx?termid=17825</v>
      </c>
      <c r="Q1544" s="16" t="str">
        <f>HYPERLINK("https://ceds.ed.gov/elementComment.aspx?elementName=Organization Identifier &amp;elementID=17825", "Click here to submit comment")</f>
        <v>Click here to submit comment</v>
      </c>
      <c r="R1544" s="16">
        <v>51798</v>
      </c>
    </row>
    <row r="1545" spans="1:18" x14ac:dyDescent="0.25">
      <c r="A1545" s="16"/>
      <c r="B1545" s="16"/>
      <c r="C1545" s="16"/>
      <c r="D1545" s="16"/>
      <c r="E1545" s="16"/>
      <c r="F1545" s="16"/>
      <c r="G1545" s="16"/>
      <c r="H1545" s="16"/>
      <c r="I1545" s="16"/>
      <c r="J1545" s="16"/>
      <c r="K1545" s="16"/>
      <c r="L1545" s="14"/>
      <c r="M1545" s="16"/>
      <c r="N1545" s="16"/>
      <c r="O1545" s="16"/>
      <c r="P1545" s="16"/>
      <c r="Q1545" s="16"/>
      <c r="R1545" s="16"/>
    </row>
    <row r="1546" spans="1:18" ht="90" x14ac:dyDescent="0.25">
      <c r="A1546" s="16"/>
      <c r="B1546" s="16"/>
      <c r="C1546" s="16"/>
      <c r="D1546" s="16"/>
      <c r="E1546" s="16"/>
      <c r="F1546" s="16"/>
      <c r="G1546" s="16"/>
      <c r="H1546" s="16"/>
      <c r="I1546" s="16"/>
      <c r="J1546" s="16"/>
      <c r="K1546" s="16"/>
      <c r="L1546" s="14" t="s">
        <v>153</v>
      </c>
      <c r="M1546" s="16"/>
      <c r="N1546" s="16"/>
      <c r="O1546" s="16"/>
      <c r="P1546" s="16"/>
      <c r="Q1546" s="16"/>
      <c r="R1546" s="16"/>
    </row>
    <row r="1547" spans="1:18" ht="255" x14ac:dyDescent="0.25">
      <c r="A1547" s="14" t="s">
        <v>8732</v>
      </c>
      <c r="B1547" s="14" t="s">
        <v>8813</v>
      </c>
      <c r="C1547" s="14" t="s">
        <v>8879</v>
      </c>
      <c r="D1547" s="14" t="s">
        <v>8531</v>
      </c>
      <c r="E1547" s="14" t="s">
        <v>6524</v>
      </c>
      <c r="F1547" s="14" t="s">
        <v>6525</v>
      </c>
      <c r="G1547" s="8" t="s">
        <v>8534</v>
      </c>
      <c r="H1547" s="14" t="s">
        <v>125</v>
      </c>
      <c r="I1547" s="14"/>
      <c r="J1547" s="14"/>
      <c r="K1547" s="14"/>
      <c r="L1547" s="14"/>
      <c r="M1547" s="14" t="s">
        <v>6528</v>
      </c>
      <c r="N1547" s="14"/>
      <c r="O1547" s="14" t="s">
        <v>6529</v>
      </c>
      <c r="P1547" s="14" t="str">
        <f>HYPERLINK("https://ceds.ed.gov/cedselementdetails.aspx?termid=17827")</f>
        <v>https://ceds.ed.gov/cedselementdetails.aspx?termid=17827</v>
      </c>
      <c r="Q1547" s="14" t="str">
        <f>HYPERLINK("https://ceds.ed.gov/elementComment.aspx?elementName=Organization Identification System &amp;elementID=17827", "Click here to submit comment")</f>
        <v>Click here to submit comment</v>
      </c>
      <c r="R1547" s="14">
        <v>51801</v>
      </c>
    </row>
    <row r="1548" spans="1:18" ht="105" x14ac:dyDescent="0.25">
      <c r="A1548" s="16" t="s">
        <v>8732</v>
      </c>
      <c r="B1548" s="16" t="s">
        <v>8813</v>
      </c>
      <c r="C1548" s="16" t="s">
        <v>8879</v>
      </c>
      <c r="D1548" s="16" t="s">
        <v>8531</v>
      </c>
      <c r="E1548" s="16" t="s">
        <v>6711</v>
      </c>
      <c r="F1548" s="16" t="s">
        <v>6712</v>
      </c>
      <c r="G1548" s="16" t="s">
        <v>37</v>
      </c>
      <c r="H1548" s="16"/>
      <c r="I1548" s="16"/>
      <c r="J1548" s="16" t="s">
        <v>149</v>
      </c>
      <c r="K1548" s="16"/>
      <c r="L1548" s="14" t="s">
        <v>150</v>
      </c>
      <c r="M1548" s="16" t="s">
        <v>6713</v>
      </c>
      <c r="N1548" s="16"/>
      <c r="O1548" s="16" t="s">
        <v>6714</v>
      </c>
      <c r="P1548" s="16" t="str">
        <f>HYPERLINK("https://ceds.ed.gov/cedselementdetails.aspx?termid=18551")</f>
        <v>https://ceds.ed.gov/cedselementdetails.aspx?termid=18551</v>
      </c>
      <c r="Q1548" s="16" t="str">
        <f>HYPERLINK("https://ceds.ed.gov/elementComment.aspx?elementName=Person Identifier &amp;elementID=18551", "Click here to submit comment")</f>
        <v>Click here to submit comment</v>
      </c>
      <c r="R1548" s="16">
        <v>51848</v>
      </c>
    </row>
    <row r="1549" spans="1:18" x14ac:dyDescent="0.25">
      <c r="A1549" s="16"/>
      <c r="B1549" s="16"/>
      <c r="C1549" s="16"/>
      <c r="D1549" s="16"/>
      <c r="E1549" s="16"/>
      <c r="F1549" s="16"/>
      <c r="G1549" s="16"/>
      <c r="H1549" s="16"/>
      <c r="I1549" s="16"/>
      <c r="J1549" s="16"/>
      <c r="K1549" s="16"/>
      <c r="L1549" s="14"/>
      <c r="M1549" s="16"/>
      <c r="N1549" s="16"/>
      <c r="O1549" s="16"/>
      <c r="P1549" s="16"/>
      <c r="Q1549" s="16"/>
      <c r="R1549" s="16"/>
    </row>
    <row r="1550" spans="1:18" ht="90" x14ac:dyDescent="0.25">
      <c r="A1550" s="16"/>
      <c r="B1550" s="16"/>
      <c r="C1550" s="16"/>
      <c r="D1550" s="16"/>
      <c r="E1550" s="16"/>
      <c r="F1550" s="16"/>
      <c r="G1550" s="16"/>
      <c r="H1550" s="16"/>
      <c r="I1550" s="16"/>
      <c r="J1550" s="16"/>
      <c r="K1550" s="16"/>
      <c r="L1550" s="14" t="s">
        <v>153</v>
      </c>
      <c r="M1550" s="16"/>
      <c r="N1550" s="16"/>
      <c r="O1550" s="16"/>
      <c r="P1550" s="16"/>
      <c r="Q1550" s="16"/>
      <c r="R1550" s="16"/>
    </row>
    <row r="1551" spans="1:18" ht="375" x14ac:dyDescent="0.25">
      <c r="A1551" s="14" t="s">
        <v>8732</v>
      </c>
      <c r="B1551" s="14" t="s">
        <v>8813</v>
      </c>
      <c r="C1551" s="14" t="s">
        <v>8879</v>
      </c>
      <c r="D1551" s="14" t="s">
        <v>8531</v>
      </c>
      <c r="E1551" s="14" t="s">
        <v>6705</v>
      </c>
      <c r="F1551" s="14" t="s">
        <v>6706</v>
      </c>
      <c r="G1551" s="8" t="s">
        <v>8676</v>
      </c>
      <c r="H1551" s="14"/>
      <c r="I1551" s="14"/>
      <c r="J1551" s="14"/>
      <c r="K1551" s="14"/>
      <c r="L1551" s="14"/>
      <c r="M1551" s="14" t="s">
        <v>6709</v>
      </c>
      <c r="N1551" s="14"/>
      <c r="O1551" s="14" t="s">
        <v>6710</v>
      </c>
      <c r="P1551" s="14" t="str">
        <f>HYPERLINK("https://ceds.ed.gov/cedselementdetails.aspx?termid=18550")</f>
        <v>https://ceds.ed.gov/cedselementdetails.aspx?termid=18550</v>
      </c>
      <c r="Q1551" s="14" t="str">
        <f>HYPERLINK("https://ceds.ed.gov/elementComment.aspx?elementName=Person Identification System &amp;elementID=18550", "Click here to submit comment")</f>
        <v>Click here to submit comment</v>
      </c>
      <c r="R1551" s="14">
        <v>51839</v>
      </c>
    </row>
    <row r="1552" spans="1:18" ht="270" x14ac:dyDescent="0.25">
      <c r="A1552" s="14" t="s">
        <v>8732</v>
      </c>
      <c r="B1552" s="14" t="s">
        <v>8813</v>
      </c>
      <c r="C1552" s="14" t="s">
        <v>8879</v>
      </c>
      <c r="D1552" s="14" t="s">
        <v>8531</v>
      </c>
      <c r="E1552" s="14" t="s">
        <v>7841</v>
      </c>
      <c r="F1552" s="14" t="s">
        <v>7842</v>
      </c>
      <c r="G1552" s="8" t="s">
        <v>8880</v>
      </c>
      <c r="H1552" s="14" t="s">
        <v>258</v>
      </c>
      <c r="I1552" s="14"/>
      <c r="J1552" s="14"/>
      <c r="K1552" s="14"/>
      <c r="L1552" s="14"/>
      <c r="M1552" s="14" t="s">
        <v>7845</v>
      </c>
      <c r="N1552" s="14"/>
      <c r="O1552" s="14" t="s">
        <v>7846</v>
      </c>
      <c r="P1552" s="14" t="str">
        <f>HYPERLINK("https://ceds.ed.gov/cedselementdetails.aspx?termid=17549")</f>
        <v>https://ceds.ed.gov/cedselementdetails.aspx?termid=17549</v>
      </c>
      <c r="Q1552" s="14" t="str">
        <f>HYPERLINK("https://ceds.ed.gov/elementComment.aspx?elementName=Special Education Support Services Category &amp;elementID=17549", "Click here to submit comment")</f>
        <v>Click here to submit comment</v>
      </c>
      <c r="R1552" s="14">
        <v>51788</v>
      </c>
    </row>
    <row r="1553" spans="1:18" ht="409.5" x14ac:dyDescent="0.25">
      <c r="A1553" s="14" t="s">
        <v>8732</v>
      </c>
      <c r="B1553" s="14" t="s">
        <v>8813</v>
      </c>
      <c r="C1553" s="14" t="s">
        <v>8881</v>
      </c>
      <c r="D1553" s="14" t="s">
        <v>8531</v>
      </c>
      <c r="E1553" s="14" t="s">
        <v>100</v>
      </c>
      <c r="F1553" s="14" t="s">
        <v>101</v>
      </c>
      <c r="G1553" s="8" t="s">
        <v>8882</v>
      </c>
      <c r="H1553" s="14" t="s">
        <v>106</v>
      </c>
      <c r="I1553" s="14"/>
      <c r="J1553" s="14"/>
      <c r="K1553" s="14"/>
      <c r="L1553" s="14"/>
      <c r="M1553" s="14" t="s">
        <v>104</v>
      </c>
      <c r="N1553" s="14"/>
      <c r="O1553" s="14" t="s">
        <v>105</v>
      </c>
      <c r="P1553" s="14" t="str">
        <f>HYPERLINK("https://ceds.ed.gov/cedselementdetails.aspx?termid=17376")</f>
        <v>https://ceds.ed.gov/cedselementdetails.aspx?termid=17376</v>
      </c>
      <c r="Q1553" s="14" t="str">
        <f>HYPERLINK("https://ceds.ed.gov/elementComment.aspx?elementName=Accommodation Type &amp;elementID=17376", "Click here to submit comment")</f>
        <v>Click here to submit comment</v>
      </c>
      <c r="R1553" s="14">
        <v>51783</v>
      </c>
    </row>
    <row r="1554" spans="1:18" ht="45" x14ac:dyDescent="0.25">
      <c r="A1554" s="14" t="s">
        <v>8732</v>
      </c>
      <c r="B1554" s="14" t="s">
        <v>8813</v>
      </c>
      <c r="C1554" s="14" t="s">
        <v>8881</v>
      </c>
      <c r="D1554" s="14" t="s">
        <v>8531</v>
      </c>
      <c r="E1554" s="14" t="s">
        <v>94</v>
      </c>
      <c r="F1554" s="14" t="s">
        <v>95</v>
      </c>
      <c r="G1554" s="14" t="s">
        <v>37</v>
      </c>
      <c r="H1554" s="14"/>
      <c r="I1554" s="14"/>
      <c r="J1554" s="14" t="s">
        <v>97</v>
      </c>
      <c r="K1554" s="14"/>
      <c r="L1554" s="14"/>
      <c r="M1554" s="14" t="s">
        <v>98</v>
      </c>
      <c r="N1554" s="14"/>
      <c r="O1554" s="14" t="s">
        <v>99</v>
      </c>
      <c r="P1554" s="14" t="str">
        <f>HYPERLINK("https://ceds.ed.gov/cedselementdetails.aspx?termid=18116")</f>
        <v>https://ceds.ed.gov/cedselementdetails.aspx?termid=18116</v>
      </c>
      <c r="Q1554" s="14" t="str">
        <f>HYPERLINK("https://ceds.ed.gov/elementComment.aspx?elementName=Accommodation Other Description &amp;elementID=18116", "Click here to submit comment")</f>
        <v>Click here to submit comment</v>
      </c>
      <c r="R1554" s="14">
        <v>51812</v>
      </c>
    </row>
    <row r="1555" spans="1:18" ht="45" x14ac:dyDescent="0.25">
      <c r="A1555" s="14" t="s">
        <v>8732</v>
      </c>
      <c r="B1555" s="14" t="s">
        <v>8813</v>
      </c>
      <c r="C1555" s="14" t="s">
        <v>8881</v>
      </c>
      <c r="D1555" s="14" t="s">
        <v>8531</v>
      </c>
      <c r="E1555" s="14" t="s">
        <v>5336</v>
      </c>
      <c r="F1555" s="14" t="s">
        <v>5337</v>
      </c>
      <c r="G1555" s="14" t="s">
        <v>37</v>
      </c>
      <c r="H1555" s="14"/>
      <c r="I1555" s="14"/>
      <c r="J1555" s="14" t="s">
        <v>382</v>
      </c>
      <c r="K1555" s="14"/>
      <c r="L1555" s="14"/>
      <c r="M1555" s="14" t="s">
        <v>5339</v>
      </c>
      <c r="N1555" s="14"/>
      <c r="O1555" s="14" t="s">
        <v>5340</v>
      </c>
      <c r="P1555" s="14" t="str">
        <f>HYPERLINK("https://ceds.ed.gov/cedselementdetails.aspx?termid=18667")</f>
        <v>https://ceds.ed.gov/cedselementdetails.aspx?termid=18667</v>
      </c>
      <c r="Q1555" s="14" t="str">
        <f>HYPERLINK("https://ceds.ed.gov/elementComment.aspx?elementName=Individualized Program Accommodation Applicability &amp;elementID=18667", "Click here to submit comment")</f>
        <v>Click here to submit comment</v>
      </c>
      <c r="R1555" s="14">
        <v>51949</v>
      </c>
    </row>
    <row r="1556" spans="1:18" ht="45" x14ac:dyDescent="0.25">
      <c r="A1556" s="14" t="s">
        <v>8732</v>
      </c>
      <c r="B1556" s="14" t="s">
        <v>8813</v>
      </c>
      <c r="C1556" s="14" t="s">
        <v>8881</v>
      </c>
      <c r="D1556" s="14" t="s">
        <v>8531</v>
      </c>
      <c r="E1556" s="14" t="s">
        <v>5341</v>
      </c>
      <c r="F1556" s="14" t="s">
        <v>5342</v>
      </c>
      <c r="G1556" s="14" t="s">
        <v>37</v>
      </c>
      <c r="H1556" s="14"/>
      <c r="I1556" s="14"/>
      <c r="J1556" s="14" t="s">
        <v>382</v>
      </c>
      <c r="K1556" s="14"/>
      <c r="L1556" s="14"/>
      <c r="M1556" s="14" t="s">
        <v>5343</v>
      </c>
      <c r="N1556" s="14"/>
      <c r="O1556" s="14" t="s">
        <v>5344</v>
      </c>
      <c r="P1556" s="14" t="str">
        <f>HYPERLINK("https://ceds.ed.gov/cedselementdetails.aspx?termid=18666")</f>
        <v>https://ceds.ed.gov/cedselementdetails.aspx?termid=18666</v>
      </c>
      <c r="Q1556" s="14" t="str">
        <f>HYPERLINK("https://ceds.ed.gov/elementComment.aspx?elementName=Individualized Program Accommodation Description &amp;elementID=18666", "Click here to submit comment")</f>
        <v>Click here to submit comment</v>
      </c>
      <c r="R1556" s="14">
        <v>51950</v>
      </c>
    </row>
    <row r="1557" spans="1:18" ht="409.5" x14ac:dyDescent="0.25">
      <c r="A1557" s="14" t="s">
        <v>8732</v>
      </c>
      <c r="B1557" s="14" t="s">
        <v>8813</v>
      </c>
      <c r="C1557" s="14" t="s">
        <v>8881</v>
      </c>
      <c r="D1557" s="14" t="s">
        <v>8531</v>
      </c>
      <c r="E1557" s="14" t="s">
        <v>7573</v>
      </c>
      <c r="F1557" s="14" t="s">
        <v>7574</v>
      </c>
      <c r="G1557" s="8" t="s">
        <v>8883</v>
      </c>
      <c r="H1557" s="14"/>
      <c r="I1557" s="14"/>
      <c r="J1557" s="14"/>
      <c r="K1557" s="14"/>
      <c r="L1557" s="14" t="s">
        <v>7577</v>
      </c>
      <c r="M1557" s="14" t="s">
        <v>7578</v>
      </c>
      <c r="N1557" s="14" t="s">
        <v>7579</v>
      </c>
      <c r="O1557" s="14" t="s">
        <v>7580</v>
      </c>
      <c r="P1557" s="14" t="str">
        <f>HYPERLINK("https://ceds.ed.gov/cedselementdetails.aspx?termid=18491")</f>
        <v>https://ceds.ed.gov/cedselementdetails.aspx?termid=18491</v>
      </c>
      <c r="Q1557" s="14" t="str">
        <f>HYPERLINK("https://ceds.ed.gov/elementComment.aspx?elementName=School Courses for the Exchange of Data Course Subject Area &amp;elementID=18491", "Click here to submit comment")</f>
        <v>Click here to submit comment</v>
      </c>
      <c r="R1557" s="14">
        <v>51835</v>
      </c>
    </row>
    <row r="1558" spans="1:18" ht="165" x14ac:dyDescent="0.25">
      <c r="A1558" s="14" t="s">
        <v>8732</v>
      </c>
      <c r="B1558" s="14" t="s">
        <v>8813</v>
      </c>
      <c r="C1558" s="14" t="s">
        <v>8884</v>
      </c>
      <c r="D1558" s="14" t="s">
        <v>8531</v>
      </c>
      <c r="E1558" s="14" t="s">
        <v>1606</v>
      </c>
      <c r="F1558" s="14" t="s">
        <v>1607</v>
      </c>
      <c r="G1558" s="14" t="s">
        <v>37</v>
      </c>
      <c r="H1558" s="14" t="s">
        <v>1601</v>
      </c>
      <c r="I1558" s="14"/>
      <c r="J1558" s="14" t="s">
        <v>175</v>
      </c>
      <c r="K1558" s="14"/>
      <c r="L1558" s="14"/>
      <c r="M1558" s="14" t="s">
        <v>1609</v>
      </c>
      <c r="N1558" s="14"/>
      <c r="O1558" s="14" t="s">
        <v>1610</v>
      </c>
      <c r="P1558" s="14" t="str">
        <f>HYPERLINK("https://ceds.ed.gov/cedselementdetails.aspx?termid=17028")</f>
        <v>https://ceds.ed.gov/cedselementdetails.aspx?termid=17028</v>
      </c>
      <c r="Q1558" s="14" t="str">
        <f>HYPERLINK("https://ceds.ed.gov/elementComment.aspx?elementName=Assessment Title &amp;elementID=17028", "Click here to submit comment")</f>
        <v>Click here to submit comment</v>
      </c>
      <c r="R1558" s="14">
        <v>51769</v>
      </c>
    </row>
    <row r="1559" spans="1:18" ht="240" x14ac:dyDescent="0.25">
      <c r="A1559" s="14" t="s">
        <v>8732</v>
      </c>
      <c r="B1559" s="14" t="s">
        <v>8813</v>
      </c>
      <c r="C1559" s="14" t="s">
        <v>8884</v>
      </c>
      <c r="D1559" s="14" t="s">
        <v>8531</v>
      </c>
      <c r="E1559" s="14" t="s">
        <v>479</v>
      </c>
      <c r="F1559" s="14" t="s">
        <v>480</v>
      </c>
      <c r="G1559" s="8" t="s">
        <v>8885</v>
      </c>
      <c r="H1559" s="14" t="s">
        <v>106</v>
      </c>
      <c r="I1559" s="14"/>
      <c r="J1559" s="14"/>
      <c r="K1559" s="14"/>
      <c r="L1559" s="14"/>
      <c r="M1559" s="14" t="s">
        <v>483</v>
      </c>
      <c r="N1559" s="14"/>
      <c r="O1559" s="14" t="s">
        <v>484</v>
      </c>
      <c r="P1559" s="14" t="str">
        <f>HYPERLINK("https://ceds.ed.gov/cedselementdetails.aspx?termid=17374")</f>
        <v>https://ceds.ed.gov/cedselementdetails.aspx?termid=17374</v>
      </c>
      <c r="Q1559" s="14" t="str">
        <f>HYPERLINK("https://ceds.ed.gov/elementComment.aspx?elementName=Assessment Accommodation Category &amp;elementID=17374", "Click here to submit comment")</f>
        <v>Click here to submit comment</v>
      </c>
      <c r="R1559" s="14">
        <v>51782</v>
      </c>
    </row>
    <row r="1560" spans="1:18" ht="409.5" x14ac:dyDescent="0.25">
      <c r="A1560" s="14" t="s">
        <v>8732</v>
      </c>
      <c r="B1560" s="14" t="s">
        <v>8813</v>
      </c>
      <c r="C1560" s="14" t="s">
        <v>8884</v>
      </c>
      <c r="D1560" s="14" t="s">
        <v>8531</v>
      </c>
      <c r="E1560" s="14" t="s">
        <v>100</v>
      </c>
      <c r="F1560" s="14" t="s">
        <v>101</v>
      </c>
      <c r="G1560" s="8" t="s">
        <v>8882</v>
      </c>
      <c r="H1560" s="14" t="s">
        <v>106</v>
      </c>
      <c r="I1560" s="14"/>
      <c r="J1560" s="14"/>
      <c r="K1560" s="14"/>
      <c r="L1560" s="14"/>
      <c r="M1560" s="14" t="s">
        <v>104</v>
      </c>
      <c r="N1560" s="14"/>
      <c r="O1560" s="14" t="s">
        <v>105</v>
      </c>
      <c r="P1560" s="14" t="str">
        <f>HYPERLINK("https://ceds.ed.gov/cedselementdetails.aspx?termid=17376")</f>
        <v>https://ceds.ed.gov/cedselementdetails.aspx?termid=17376</v>
      </c>
      <c r="Q1560" s="14" t="str">
        <f>HYPERLINK("https://ceds.ed.gov/elementComment.aspx?elementName=Accommodation Type &amp;elementID=17376", "Click here to submit comment")</f>
        <v>Click here to submit comment</v>
      </c>
      <c r="R1560" s="14">
        <v>51784</v>
      </c>
    </row>
    <row r="1561" spans="1:18" ht="45" x14ac:dyDescent="0.25">
      <c r="A1561" s="14" t="s">
        <v>8732</v>
      </c>
      <c r="B1561" s="14" t="s">
        <v>8813</v>
      </c>
      <c r="C1561" s="14" t="s">
        <v>8884</v>
      </c>
      <c r="D1561" s="14" t="s">
        <v>8531</v>
      </c>
      <c r="E1561" s="14" t="s">
        <v>94</v>
      </c>
      <c r="F1561" s="14" t="s">
        <v>95</v>
      </c>
      <c r="G1561" s="14" t="s">
        <v>37</v>
      </c>
      <c r="H1561" s="14"/>
      <c r="I1561" s="14"/>
      <c r="J1561" s="14" t="s">
        <v>97</v>
      </c>
      <c r="K1561" s="14"/>
      <c r="L1561" s="14"/>
      <c r="M1561" s="14" t="s">
        <v>98</v>
      </c>
      <c r="N1561" s="14"/>
      <c r="O1561" s="14" t="s">
        <v>99</v>
      </c>
      <c r="P1561" s="14" t="str">
        <f>HYPERLINK("https://ceds.ed.gov/cedselementdetails.aspx?termid=18116")</f>
        <v>https://ceds.ed.gov/cedselementdetails.aspx?termid=18116</v>
      </c>
      <c r="Q1561" s="14" t="str">
        <f>HYPERLINK("https://ceds.ed.gov/elementComment.aspx?elementName=Accommodation Other Description &amp;elementID=18116", "Click here to submit comment")</f>
        <v>Click here to submit comment</v>
      </c>
      <c r="R1561" s="14">
        <v>51813</v>
      </c>
    </row>
    <row r="1562" spans="1:18" ht="409.5" x14ac:dyDescent="0.25">
      <c r="A1562" s="14" t="s">
        <v>8732</v>
      </c>
      <c r="B1562" s="14" t="s">
        <v>8813</v>
      </c>
      <c r="C1562" s="14" t="s">
        <v>8884</v>
      </c>
      <c r="D1562" s="14" t="s">
        <v>8531</v>
      </c>
      <c r="E1562" s="14" t="s">
        <v>1616</v>
      </c>
      <c r="F1562" s="14" t="s">
        <v>1617</v>
      </c>
      <c r="G1562" s="8" t="s">
        <v>8886</v>
      </c>
      <c r="H1562" s="14" t="s">
        <v>1385</v>
      </c>
      <c r="I1562" s="14"/>
      <c r="J1562" s="14"/>
      <c r="K1562" s="14"/>
      <c r="L1562" s="14"/>
      <c r="M1562" s="14" t="s">
        <v>1619</v>
      </c>
      <c r="N1562" s="14"/>
      <c r="O1562" s="14" t="s">
        <v>1620</v>
      </c>
      <c r="P1562" s="14" t="str">
        <f>HYPERLINK("https://ceds.ed.gov/cedselementdetails.aspx?termid=17405")</f>
        <v>https://ceds.ed.gov/cedselementdetails.aspx?termid=17405</v>
      </c>
      <c r="Q1562" s="14" t="str">
        <f>HYPERLINK("https://ceds.ed.gov/elementComment.aspx?elementName=Assessment Type Administered to Children with Disabilities &amp;elementID=17405", "Click here to submit comment")</f>
        <v>Click here to submit comment</v>
      </c>
      <c r="R1562" s="14">
        <v>51785</v>
      </c>
    </row>
    <row r="1563" spans="1:18" ht="75" x14ac:dyDescent="0.25">
      <c r="A1563" s="14" t="s">
        <v>8732</v>
      </c>
      <c r="B1563" s="14" t="s">
        <v>8813</v>
      </c>
      <c r="C1563" s="14" t="s">
        <v>8884</v>
      </c>
      <c r="D1563" s="14" t="s">
        <v>8531</v>
      </c>
      <c r="E1563" s="14" t="s">
        <v>5132</v>
      </c>
      <c r="F1563" s="14" t="s">
        <v>5133</v>
      </c>
      <c r="G1563" s="14" t="s">
        <v>37</v>
      </c>
      <c r="H1563" s="14"/>
      <c r="I1563" s="14"/>
      <c r="J1563" s="14" t="s">
        <v>382</v>
      </c>
      <c r="K1563" s="14"/>
      <c r="L1563" s="14"/>
      <c r="M1563" s="14" t="s">
        <v>5135</v>
      </c>
      <c r="N1563" s="14"/>
      <c r="O1563" s="14" t="s">
        <v>5136</v>
      </c>
      <c r="P1563" s="14" t="str">
        <f>HYPERLINK("https://ceds.ed.gov/cedselementdetails.aspx?termid=18668")</f>
        <v>https://ceds.ed.gov/cedselementdetails.aspx?termid=18668</v>
      </c>
      <c r="Q1563" s="14" t="str">
        <f>HYPERLINK("https://ceds.ed.gov/elementComment.aspx?elementName=IEP Alternative Assessment Rationale &amp;elementID=18668", "Click here to submit comment")</f>
        <v>Click here to submit comment</v>
      </c>
      <c r="R1563" s="14">
        <v>51934</v>
      </c>
    </row>
    <row r="1564" spans="1:18" ht="90" x14ac:dyDescent="0.25">
      <c r="A1564" s="14" t="s">
        <v>8732</v>
      </c>
      <c r="B1564" s="14" t="s">
        <v>8813</v>
      </c>
      <c r="C1564" s="14" t="s">
        <v>8887</v>
      </c>
      <c r="D1564" s="14" t="s">
        <v>8531</v>
      </c>
      <c r="E1564" s="14" t="s">
        <v>5427</v>
      </c>
      <c r="F1564" s="14" t="s">
        <v>5428</v>
      </c>
      <c r="G1564" s="8" t="s">
        <v>8861</v>
      </c>
      <c r="H1564" s="14"/>
      <c r="I1564" s="14"/>
      <c r="J1564" s="14"/>
      <c r="K1564" s="14"/>
      <c r="L1564" s="14"/>
      <c r="M1564" s="14" t="s">
        <v>5431</v>
      </c>
      <c r="N1564" s="14"/>
      <c r="O1564" s="14" t="s">
        <v>5432</v>
      </c>
      <c r="P1564" s="14" t="str">
        <f>HYPERLINK("https://ceds.ed.gov/cedselementdetails.aspx?termid=18682")</f>
        <v>https://ceds.ed.gov/cedselementdetails.aspx?termid=18682</v>
      </c>
      <c r="Q1564" s="14" t="str">
        <f>HYPERLINK("https://ceds.ed.gov/elementComment.aspx?elementName=Individualized Program Service Plan Progress Report Type &amp;elementID=18682", "Click here to submit comment")</f>
        <v>Click here to submit comment</v>
      </c>
      <c r="R1564" s="14">
        <v>51959</v>
      </c>
    </row>
    <row r="1565" spans="1:18" ht="75" x14ac:dyDescent="0.25">
      <c r="A1565" s="14" t="s">
        <v>8732</v>
      </c>
      <c r="B1565" s="14" t="s">
        <v>8813</v>
      </c>
      <c r="C1565" s="14" t="s">
        <v>8887</v>
      </c>
      <c r="D1565" s="14" t="s">
        <v>8531</v>
      </c>
      <c r="E1565" s="14" t="s">
        <v>5413</v>
      </c>
      <c r="F1565" s="14" t="s">
        <v>5414</v>
      </c>
      <c r="G1565" s="14" t="s">
        <v>37</v>
      </c>
      <c r="H1565" s="14"/>
      <c r="I1565" s="14"/>
      <c r="J1565" s="14" t="s">
        <v>135</v>
      </c>
      <c r="K1565" s="14"/>
      <c r="L1565" s="14"/>
      <c r="M1565" s="14" t="s">
        <v>5416</v>
      </c>
      <c r="N1565" s="14"/>
      <c r="O1565" s="14" t="s">
        <v>5417</v>
      </c>
      <c r="P1565" s="14" t="str">
        <f>HYPERLINK("https://ceds.ed.gov/cedselementdetails.aspx?termid=18680")</f>
        <v>https://ceds.ed.gov/cedselementdetails.aspx?termid=18680</v>
      </c>
      <c r="Q1565" s="14" t="str">
        <f>HYPERLINK("https://ceds.ed.gov/elementComment.aspx?elementName=Individualized Program Service Plan Progress Report Date &amp;elementID=18680", "Click here to submit comment")</f>
        <v>Click here to submit comment</v>
      </c>
      <c r="R1565" s="14">
        <v>51955</v>
      </c>
    </row>
    <row r="1566" spans="1:18" ht="90" x14ac:dyDescent="0.25">
      <c r="A1566" s="14" t="s">
        <v>8732</v>
      </c>
      <c r="B1566" s="14" t="s">
        <v>8813</v>
      </c>
      <c r="C1566" s="14" t="s">
        <v>8887</v>
      </c>
      <c r="D1566" s="14" t="s">
        <v>8531</v>
      </c>
      <c r="E1566" s="14" t="s">
        <v>5418</v>
      </c>
      <c r="F1566" s="14" t="s">
        <v>5419</v>
      </c>
      <c r="G1566" s="14" t="s">
        <v>37</v>
      </c>
      <c r="H1566" s="14"/>
      <c r="I1566" s="14"/>
      <c r="J1566" s="14" t="s">
        <v>382</v>
      </c>
      <c r="K1566" s="14"/>
      <c r="L1566" s="14"/>
      <c r="M1566" s="14" t="s">
        <v>5420</v>
      </c>
      <c r="N1566" s="14"/>
      <c r="O1566" s="14" t="s">
        <v>5421</v>
      </c>
      <c r="P1566" s="14" t="str">
        <f>HYPERLINK("https://ceds.ed.gov/cedselementdetails.aspx?termid=18681")</f>
        <v>https://ceds.ed.gov/cedselementdetails.aspx?termid=18681</v>
      </c>
      <c r="Q1566" s="14" t="str">
        <f>HYPERLINK("https://ceds.ed.gov/elementComment.aspx?elementName=Individualized Program Service Plan Progress Report Description &amp;elementID=18681", "Click here to submit comment")</f>
        <v>Click here to submit comment</v>
      </c>
      <c r="R1566" s="14">
        <v>51956</v>
      </c>
    </row>
    <row r="1567" spans="1:18" ht="60" x14ac:dyDescent="0.25">
      <c r="A1567" s="14" t="s">
        <v>8732</v>
      </c>
      <c r="B1567" s="14" t="s">
        <v>8813</v>
      </c>
      <c r="C1567" s="14" t="s">
        <v>8888</v>
      </c>
      <c r="D1567" s="14" t="s">
        <v>8531</v>
      </c>
      <c r="E1567" s="14" t="s">
        <v>5155</v>
      </c>
      <c r="F1567" s="14" t="s">
        <v>5156</v>
      </c>
      <c r="G1567" s="8" t="s">
        <v>8875</v>
      </c>
      <c r="H1567" s="14"/>
      <c r="I1567" s="14"/>
      <c r="J1567" s="14"/>
      <c r="K1567" s="14"/>
      <c r="L1567" s="14"/>
      <c r="M1567" s="14" t="s">
        <v>5158</v>
      </c>
      <c r="N1567" s="14"/>
      <c r="O1567" s="14" t="s">
        <v>5159</v>
      </c>
      <c r="P1567" s="14" t="str">
        <f>HYPERLINK("https://ceds.ed.gov/cedselementdetails.aspx?termid=18679")</f>
        <v>https://ceds.ed.gov/cedselementdetails.aspx?termid=18679</v>
      </c>
      <c r="Q1567" s="14" t="str">
        <f>HYPERLINK("https://ceds.ed.gov/elementComment.aspx?elementName=IEP Goal Type &amp;elementID=18679", "Click here to submit comment")</f>
        <v>Click here to submit comment</v>
      </c>
      <c r="R1567" s="14">
        <v>51940</v>
      </c>
    </row>
    <row r="1568" spans="1:18" ht="45" x14ac:dyDescent="0.25">
      <c r="A1568" s="14" t="s">
        <v>8732</v>
      </c>
      <c r="B1568" s="14" t="s">
        <v>8813</v>
      </c>
      <c r="C1568" s="14" t="s">
        <v>8888</v>
      </c>
      <c r="D1568" s="14" t="s">
        <v>8531</v>
      </c>
      <c r="E1568" s="14" t="s">
        <v>4760</v>
      </c>
      <c r="F1568" s="14" t="s">
        <v>4761</v>
      </c>
      <c r="G1568" s="14" t="s">
        <v>37</v>
      </c>
      <c r="H1568" s="14"/>
      <c r="I1568" s="14"/>
      <c r="J1568" s="14" t="s">
        <v>129</v>
      </c>
      <c r="K1568" s="14"/>
      <c r="L1568" s="14"/>
      <c r="M1568" s="14" t="s">
        <v>4763</v>
      </c>
      <c r="N1568" s="14"/>
      <c r="O1568" s="14" t="s">
        <v>4764</v>
      </c>
      <c r="P1568" s="14" t="str">
        <f>HYPERLINK("https://ceds.ed.gov/cedselementdetails.aspx?termid=17903")</f>
        <v>https://ceds.ed.gov/cedselementdetails.aspx?termid=17903</v>
      </c>
      <c r="Q1568" s="14" t="str">
        <f>HYPERLINK("https://ceds.ed.gov/elementComment.aspx?elementName=Goal Description &amp;elementID=17903", "Click here to submit comment")</f>
        <v>Click here to submit comment</v>
      </c>
      <c r="R1568" s="14">
        <v>51809</v>
      </c>
    </row>
    <row r="1569" spans="1:18" ht="45" x14ac:dyDescent="0.25">
      <c r="A1569" s="14" t="s">
        <v>8732</v>
      </c>
      <c r="B1569" s="14" t="s">
        <v>8813</v>
      </c>
      <c r="C1569" s="14" t="s">
        <v>8888</v>
      </c>
      <c r="D1569" s="14" t="s">
        <v>8531</v>
      </c>
      <c r="E1569" s="14" t="s">
        <v>4801</v>
      </c>
      <c r="F1569" s="14" t="s">
        <v>4802</v>
      </c>
      <c r="G1569" s="14" t="s">
        <v>37</v>
      </c>
      <c r="H1569" s="14"/>
      <c r="I1569" s="14"/>
      <c r="J1569" s="14" t="s">
        <v>135</v>
      </c>
      <c r="K1569" s="14"/>
      <c r="L1569" s="14"/>
      <c r="M1569" s="14" t="s">
        <v>4803</v>
      </c>
      <c r="N1569" s="14"/>
      <c r="O1569" s="14" t="s">
        <v>4804</v>
      </c>
      <c r="P1569" s="14" t="str">
        <f>HYPERLINK("https://ceds.ed.gov/cedselementdetails.aspx?termid=18169")</f>
        <v>https://ceds.ed.gov/cedselementdetails.aspx?termid=18169</v>
      </c>
      <c r="Q1569" s="14" t="str">
        <f>HYPERLINK("https://ceds.ed.gov/elementComment.aspx?elementName=Goal Start Date &amp;elementID=18169", "Click here to submit comment")</f>
        <v>Click here to submit comment</v>
      </c>
      <c r="R1569" s="14">
        <v>51816</v>
      </c>
    </row>
    <row r="1570" spans="1:18" ht="105" x14ac:dyDescent="0.25">
      <c r="A1570" s="14" t="s">
        <v>8732</v>
      </c>
      <c r="B1570" s="14" t="s">
        <v>8813</v>
      </c>
      <c r="C1570" s="14" t="s">
        <v>8888</v>
      </c>
      <c r="D1570" s="14" t="s">
        <v>8531</v>
      </c>
      <c r="E1570" s="14" t="s">
        <v>4765</v>
      </c>
      <c r="F1570" s="14" t="s">
        <v>4766</v>
      </c>
      <c r="G1570" s="14" t="s">
        <v>37</v>
      </c>
      <c r="H1570" s="14"/>
      <c r="I1570" s="14"/>
      <c r="J1570" s="14" t="s">
        <v>135</v>
      </c>
      <c r="K1570" s="14"/>
      <c r="L1570" s="14" t="s">
        <v>4767</v>
      </c>
      <c r="M1570" s="14" t="s">
        <v>4768</v>
      </c>
      <c r="N1570" s="14"/>
      <c r="O1570" s="14" t="s">
        <v>4769</v>
      </c>
      <c r="P1570" s="14" t="str">
        <f>HYPERLINK("https://ceds.ed.gov/cedselementdetails.aspx?termid=18170")</f>
        <v>https://ceds.ed.gov/cedselementdetails.aspx?termid=18170</v>
      </c>
      <c r="Q1570" s="14" t="str">
        <f>HYPERLINK("https://ceds.ed.gov/elementComment.aspx?elementName=Goal End Date &amp;elementID=18170", "Click here to submit comment")</f>
        <v>Click here to submit comment</v>
      </c>
      <c r="R1570" s="14">
        <v>51819</v>
      </c>
    </row>
    <row r="1571" spans="1:18" ht="45" x14ac:dyDescent="0.25">
      <c r="A1571" s="14" t="s">
        <v>8732</v>
      </c>
      <c r="B1571" s="14" t="s">
        <v>8813</v>
      </c>
      <c r="C1571" s="14" t="s">
        <v>8888</v>
      </c>
      <c r="D1571" s="14" t="s">
        <v>8531</v>
      </c>
      <c r="E1571" s="14" t="s">
        <v>4805</v>
      </c>
      <c r="F1571" s="14" t="s">
        <v>4806</v>
      </c>
      <c r="G1571" s="14" t="s">
        <v>37</v>
      </c>
      <c r="H1571" s="14"/>
      <c r="I1571" s="14"/>
      <c r="J1571" s="14" t="s">
        <v>382</v>
      </c>
      <c r="K1571" s="14"/>
      <c r="L1571" s="14"/>
      <c r="M1571" s="14" t="s">
        <v>4808</v>
      </c>
      <c r="N1571" s="14"/>
      <c r="O1571" s="14" t="s">
        <v>4809</v>
      </c>
      <c r="P1571" s="14" t="str">
        <f>HYPERLINK("https://ceds.ed.gov/cedselementdetails.aspx?termid=18684")</f>
        <v>https://ceds.ed.gov/cedselementdetails.aspx?termid=18684</v>
      </c>
      <c r="Q1571" s="14" t="str">
        <f>HYPERLINK("https://ceds.ed.gov/elementComment.aspx?elementName=Goal Status &amp;elementID=18684", "Click here to submit comment")</f>
        <v>Click here to submit comment</v>
      </c>
      <c r="R1571" s="14">
        <v>51929</v>
      </c>
    </row>
    <row r="1572" spans="1:18" ht="105" x14ac:dyDescent="0.25">
      <c r="A1572" s="14" t="s">
        <v>8732</v>
      </c>
      <c r="B1572" s="14" t="s">
        <v>8813</v>
      </c>
      <c r="C1572" s="14" t="s">
        <v>8888</v>
      </c>
      <c r="D1572" s="14" t="s">
        <v>8531</v>
      </c>
      <c r="E1572" s="14" t="s">
        <v>4810</v>
      </c>
      <c r="F1572" s="14" t="s">
        <v>4811</v>
      </c>
      <c r="G1572" s="8" t="s">
        <v>8889</v>
      </c>
      <c r="H1572" s="14"/>
      <c r="I1572" s="14"/>
      <c r="J1572" s="14"/>
      <c r="K1572" s="14"/>
      <c r="L1572" s="14"/>
      <c r="M1572" s="14" t="s">
        <v>4813</v>
      </c>
      <c r="N1572" s="14"/>
      <c r="O1572" s="14" t="s">
        <v>4814</v>
      </c>
      <c r="P1572" s="14" t="str">
        <f>HYPERLINK("https://ceds.ed.gov/cedselementdetails.aspx?termid=18683")</f>
        <v>https://ceds.ed.gov/cedselementdetails.aspx?termid=18683</v>
      </c>
      <c r="Q1572" s="14" t="str">
        <f>HYPERLINK("https://ceds.ed.gov/elementComment.aspx?elementName=Goal Status Type &amp;elementID=18683", "Click here to submit comment")</f>
        <v>Click here to submit comment</v>
      </c>
      <c r="R1572" s="14">
        <v>51930</v>
      </c>
    </row>
    <row r="1573" spans="1:18" ht="45" x14ac:dyDescent="0.25">
      <c r="A1573" s="14" t="s">
        <v>8732</v>
      </c>
      <c r="B1573" s="14" t="s">
        <v>8813</v>
      </c>
      <c r="C1573" s="14" t="s">
        <v>8888</v>
      </c>
      <c r="D1573" s="14" t="s">
        <v>8531</v>
      </c>
      <c r="E1573" s="14" t="s">
        <v>4755</v>
      </c>
      <c r="F1573" s="14" t="s">
        <v>4756</v>
      </c>
      <c r="G1573" s="14" t="s">
        <v>37</v>
      </c>
      <c r="H1573" s="14"/>
      <c r="I1573" s="14"/>
      <c r="J1573" s="14" t="s">
        <v>382</v>
      </c>
      <c r="K1573" s="14"/>
      <c r="L1573" s="14"/>
      <c r="M1573" s="14" t="s">
        <v>4758</v>
      </c>
      <c r="N1573" s="14"/>
      <c r="O1573" s="14" t="s">
        <v>4759</v>
      </c>
      <c r="P1573" s="14" t="str">
        <f>HYPERLINK("https://ceds.ed.gov/cedselementdetails.aspx?termid=18671")</f>
        <v>https://ceds.ed.gov/cedselementdetails.aspx?termid=18671</v>
      </c>
      <c r="Q1573" s="14" t="str">
        <f>HYPERLINK("https://ceds.ed.gov/elementComment.aspx?elementName=Goal Current Performance Description &amp;elementID=18671", "Click here to submit comment")</f>
        <v>Click here to submit comment</v>
      </c>
      <c r="R1573" s="14">
        <v>51921</v>
      </c>
    </row>
    <row r="1574" spans="1:18" ht="60" x14ac:dyDescent="0.25">
      <c r="A1574" s="14" t="s">
        <v>8732</v>
      </c>
      <c r="B1574" s="14" t="s">
        <v>8813</v>
      </c>
      <c r="C1574" s="14" t="s">
        <v>8888</v>
      </c>
      <c r="D1574" s="14" t="s">
        <v>8531</v>
      </c>
      <c r="E1574" s="14" t="s">
        <v>4815</v>
      </c>
      <c r="F1574" s="14" t="s">
        <v>4816</v>
      </c>
      <c r="G1574" s="14" t="s">
        <v>37</v>
      </c>
      <c r="H1574" s="14"/>
      <c r="I1574" s="14"/>
      <c r="J1574" s="14" t="s">
        <v>129</v>
      </c>
      <c r="K1574" s="14"/>
      <c r="L1574" s="14"/>
      <c r="M1574" s="14" t="s">
        <v>4817</v>
      </c>
      <c r="N1574" s="14"/>
      <c r="O1574" s="14" t="s">
        <v>4818</v>
      </c>
      <c r="P1574" s="14" t="str">
        <f>HYPERLINK("https://ceds.ed.gov/cedselementdetails.aspx?termid=17902")</f>
        <v>https://ceds.ed.gov/cedselementdetails.aspx?termid=17902</v>
      </c>
      <c r="Q1574" s="14" t="str">
        <f>HYPERLINK("https://ceds.ed.gov/elementComment.aspx?elementName=Goal Success Criteria &amp;elementID=17902", "Click here to submit comment")</f>
        <v>Click here to submit comment</v>
      </c>
      <c r="R1574" s="14">
        <v>51808</v>
      </c>
    </row>
    <row r="1575" spans="1:18" ht="90" x14ac:dyDescent="0.25">
      <c r="A1575" s="14" t="s">
        <v>8732</v>
      </c>
      <c r="B1575" s="14" t="s">
        <v>8813</v>
      </c>
      <c r="C1575" s="14" t="s">
        <v>8888</v>
      </c>
      <c r="D1575" s="14" t="s">
        <v>8531</v>
      </c>
      <c r="E1575" s="14" t="s">
        <v>2476</v>
      </c>
      <c r="F1575" s="14" t="s">
        <v>2477</v>
      </c>
      <c r="G1575" s="14" t="s">
        <v>37</v>
      </c>
      <c r="H1575" s="14"/>
      <c r="I1575" s="14"/>
      <c r="J1575" s="14" t="s">
        <v>97</v>
      </c>
      <c r="K1575" s="14"/>
      <c r="L1575" s="14" t="s">
        <v>2479</v>
      </c>
      <c r="M1575" s="14" t="s">
        <v>2480</v>
      </c>
      <c r="N1575" s="14" t="s">
        <v>2481</v>
      </c>
      <c r="O1575" s="14" t="s">
        <v>2482</v>
      </c>
      <c r="P1575" s="14" t="str">
        <f>HYPERLINK("https://ceds.ed.gov/cedselementdetails.aspx?termid=17669")</f>
        <v>https://ceds.ed.gov/cedselementdetails.aspx?termid=17669</v>
      </c>
      <c r="Q1575" s="14" t="str">
        <f>HYPERLINK("https://ceds.ed.gov/elementComment.aspx?elementName=Competency Definition Code &amp;elementID=17669", "Click here to submit comment")</f>
        <v>Click here to submit comment</v>
      </c>
      <c r="R1575" s="14">
        <v>51795</v>
      </c>
    </row>
    <row r="1576" spans="1:18" ht="225" x14ac:dyDescent="0.25">
      <c r="A1576" s="14" t="s">
        <v>8732</v>
      </c>
      <c r="B1576" s="14" t="s">
        <v>8813</v>
      </c>
      <c r="C1576" s="14" t="s">
        <v>8888</v>
      </c>
      <c r="D1576" s="14" t="s">
        <v>8531</v>
      </c>
      <c r="E1576" s="14" t="s">
        <v>2576</v>
      </c>
      <c r="F1576" s="14" t="s">
        <v>2577</v>
      </c>
      <c r="G1576" s="14" t="s">
        <v>37</v>
      </c>
      <c r="H1576" s="14" t="s">
        <v>908</v>
      </c>
      <c r="I1576" s="14"/>
      <c r="J1576" s="14" t="s">
        <v>382</v>
      </c>
      <c r="K1576" s="14"/>
      <c r="L1576" s="14" t="s">
        <v>2578</v>
      </c>
      <c r="M1576" s="14" t="s">
        <v>2579</v>
      </c>
      <c r="N1576" s="14" t="s">
        <v>2580</v>
      </c>
      <c r="O1576" s="14" t="s">
        <v>2581</v>
      </c>
      <c r="P1576" s="14" t="str">
        <f>HYPERLINK("https://ceds.ed.gov/cedselementdetails.aspx?termid=17667")</f>
        <v>https://ceds.ed.gov/cedselementdetails.aspx?termid=17667</v>
      </c>
      <c r="Q1576" s="14" t="str">
        <f>HYPERLINK("https://ceds.ed.gov/elementComment.aspx?elementName=Competency Definition Statement &amp;elementID=17667", "Click here to submit comment")</f>
        <v>Click here to submit comment</v>
      </c>
      <c r="R1576" s="14">
        <v>51793</v>
      </c>
    </row>
    <row r="1577" spans="1:18" ht="90" x14ac:dyDescent="0.25">
      <c r="A1577" s="14" t="s">
        <v>8732</v>
      </c>
      <c r="B1577" s="14" t="s">
        <v>8813</v>
      </c>
      <c r="C1577" s="14" t="s">
        <v>8888</v>
      </c>
      <c r="D1577" s="14" t="s">
        <v>8531</v>
      </c>
      <c r="E1577" s="14" t="s">
        <v>2625</v>
      </c>
      <c r="F1577" s="14" t="s">
        <v>2626</v>
      </c>
      <c r="G1577" s="14" t="s">
        <v>37</v>
      </c>
      <c r="H1577" s="14"/>
      <c r="I1577" s="14"/>
      <c r="J1577" s="14" t="s">
        <v>57</v>
      </c>
      <c r="K1577" s="14"/>
      <c r="L1577" s="14" t="s">
        <v>153</v>
      </c>
      <c r="M1577" s="14" t="s">
        <v>2628</v>
      </c>
      <c r="N1577" s="14" t="s">
        <v>2629</v>
      </c>
      <c r="O1577" s="14" t="s">
        <v>2630</v>
      </c>
      <c r="P1577" s="14" t="str">
        <f>HYPERLINK("https://ceds.ed.gov/cedselementdetails.aspx?termid=17874")</f>
        <v>https://ceds.ed.gov/cedselementdetails.aspx?termid=17874</v>
      </c>
      <c r="Q1577" s="14" t="str">
        <f>HYPERLINK("https://ceds.ed.gov/elementComment.aspx?elementName=Competency Definition URL &amp;elementID=17874", "Click here to submit comment")</f>
        <v>Click here to submit comment</v>
      </c>
      <c r="R1577" s="14">
        <v>51804</v>
      </c>
    </row>
    <row r="1578" spans="1:18" ht="45" x14ac:dyDescent="0.25">
      <c r="A1578" s="14" t="s">
        <v>8732</v>
      </c>
      <c r="B1578" s="14" t="s">
        <v>8813</v>
      </c>
      <c r="C1578" s="14" t="s">
        <v>8890</v>
      </c>
      <c r="D1578" s="14" t="s">
        <v>8531</v>
      </c>
      <c r="E1578" s="14" t="s">
        <v>5378</v>
      </c>
      <c r="F1578" s="14" t="s">
        <v>5379</v>
      </c>
      <c r="G1578" s="14" t="s">
        <v>37</v>
      </c>
      <c r="H1578" s="14"/>
      <c r="I1578" s="14"/>
      <c r="J1578" s="14" t="s">
        <v>382</v>
      </c>
      <c r="K1578" s="14"/>
      <c r="L1578" s="14"/>
      <c r="M1578" s="14" t="s">
        <v>5381</v>
      </c>
      <c r="N1578" s="14"/>
      <c r="O1578" s="14" t="s">
        <v>5382</v>
      </c>
      <c r="P1578" s="14" t="str">
        <f>HYPERLINK("https://ceds.ed.gov/cedselementdetails.aspx?termid=18670")</f>
        <v>https://ceds.ed.gov/cedselementdetails.aspx?termid=18670</v>
      </c>
      <c r="Q1578" s="14" t="str">
        <f>HYPERLINK("https://ceds.ed.gov/elementComment.aspx?elementName=Individualized Program Service Plan Amendment Description &amp;elementID=18670", "Click here to submit comment")</f>
        <v>Click here to submit comment</v>
      </c>
      <c r="R1578" s="14">
        <v>51951</v>
      </c>
    </row>
    <row r="1579" spans="1:18" ht="45" x14ac:dyDescent="0.25">
      <c r="A1579" s="14" t="s">
        <v>8732</v>
      </c>
      <c r="B1579" s="14" t="s">
        <v>8813</v>
      </c>
      <c r="C1579" s="14" t="s">
        <v>8890</v>
      </c>
      <c r="D1579" s="14" t="s">
        <v>8531</v>
      </c>
      <c r="E1579" s="14" t="s">
        <v>5383</v>
      </c>
      <c r="F1579" s="14" t="s">
        <v>5384</v>
      </c>
      <c r="G1579" s="14" t="s">
        <v>37</v>
      </c>
      <c r="H1579" s="14"/>
      <c r="I1579" s="14"/>
      <c r="J1579" s="14" t="s">
        <v>382</v>
      </c>
      <c r="K1579" s="14"/>
      <c r="L1579" s="14"/>
      <c r="M1579" s="14" t="s">
        <v>5385</v>
      </c>
      <c r="N1579" s="14"/>
      <c r="O1579" s="14" t="s">
        <v>5386</v>
      </c>
      <c r="P1579" s="14" t="str">
        <f>HYPERLINK("https://ceds.ed.gov/cedselementdetails.aspx?termid=18669")</f>
        <v>https://ceds.ed.gov/cedselementdetails.aspx?termid=18669</v>
      </c>
      <c r="Q1579" s="14" t="str">
        <f>HYPERLINK("https://ceds.ed.gov/elementComment.aspx?elementName=Individualized Program Service Plan Amendment Reason Description &amp;elementID=18669", "Click here to submit comment")</f>
        <v>Click here to submit comment</v>
      </c>
      <c r="R1579" s="14">
        <v>51952</v>
      </c>
    </row>
    <row r="1580" spans="1:18" ht="409.5" x14ac:dyDescent="0.25">
      <c r="A1580" s="14" t="s">
        <v>8732</v>
      </c>
      <c r="B1580" s="14" t="s">
        <v>8813</v>
      </c>
      <c r="C1580" s="14" t="s">
        <v>8891</v>
      </c>
      <c r="D1580" s="14" t="s">
        <v>8531</v>
      </c>
      <c r="E1580" s="14" t="s">
        <v>3603</v>
      </c>
      <c r="F1580" s="14" t="s">
        <v>3604</v>
      </c>
      <c r="G1580" s="8" t="s">
        <v>8892</v>
      </c>
      <c r="H1580" s="14" t="s">
        <v>28</v>
      </c>
      <c r="I1580" s="14"/>
      <c r="J1580" s="14"/>
      <c r="K1580" s="14"/>
      <c r="L1580" s="14"/>
      <c r="M1580" s="14" t="s">
        <v>3606</v>
      </c>
      <c r="N1580" s="14"/>
      <c r="O1580" s="14" t="s">
        <v>3607</v>
      </c>
      <c r="P1580" s="14" t="str">
        <f>HYPERLINK("https://ceds.ed.gov/cedselementdetails.aspx?termid=17479")</f>
        <v>https://ceds.ed.gov/cedselementdetails.aspx?termid=17479</v>
      </c>
      <c r="Q1580" s="14" t="str">
        <f>HYPERLINK("https://ceds.ed.gov/elementComment.aspx?elementName=Disciplinary Action Taken &amp;elementID=17479", "Click here to submit comment")</f>
        <v>Click here to submit comment</v>
      </c>
      <c r="R1580" s="14">
        <v>48855</v>
      </c>
    </row>
    <row r="1581" spans="1:18" ht="180" x14ac:dyDescent="0.25">
      <c r="A1581" s="14" t="s">
        <v>8732</v>
      </c>
      <c r="B1581" s="14" t="s">
        <v>8813</v>
      </c>
      <c r="C1581" s="14" t="s">
        <v>8891</v>
      </c>
      <c r="D1581" s="14" t="s">
        <v>8531</v>
      </c>
      <c r="E1581" s="14" t="s">
        <v>3623</v>
      </c>
      <c r="F1581" s="14" t="s">
        <v>3624</v>
      </c>
      <c r="G1581" s="8" t="s">
        <v>8893</v>
      </c>
      <c r="H1581" s="14" t="s">
        <v>258</v>
      </c>
      <c r="I1581" s="14"/>
      <c r="J1581" s="14"/>
      <c r="K1581" s="14"/>
      <c r="L1581" s="14"/>
      <c r="M1581" s="14" t="s">
        <v>3626</v>
      </c>
      <c r="N1581" s="14"/>
      <c r="O1581" s="14" t="s">
        <v>3627</v>
      </c>
      <c r="P1581" s="14" t="str">
        <f>HYPERLINK("https://ceds.ed.gov/cedselementdetails.aspx?termid=17536")</f>
        <v>https://ceds.ed.gov/cedselementdetails.aspx?termid=17536</v>
      </c>
      <c r="Q1581" s="14" t="str">
        <f>HYPERLINK("https://ceds.ed.gov/elementComment.aspx?elementName=Discipline Reason &amp;elementID=17536", "Click here to submit comment")</f>
        <v>Click here to submit comment</v>
      </c>
      <c r="R1581" s="14">
        <v>48869</v>
      </c>
    </row>
    <row r="1582" spans="1:18" ht="45" x14ac:dyDescent="0.25">
      <c r="A1582" s="14" t="s">
        <v>8732</v>
      </c>
      <c r="B1582" s="14" t="s">
        <v>8813</v>
      </c>
      <c r="C1582" s="14" t="s">
        <v>8891</v>
      </c>
      <c r="D1582" s="14" t="s">
        <v>8531</v>
      </c>
      <c r="E1582" s="14" t="s">
        <v>3599</v>
      </c>
      <c r="F1582" s="14" t="s">
        <v>3600</v>
      </c>
      <c r="G1582" s="14" t="s">
        <v>37</v>
      </c>
      <c r="H1582" s="14" t="s">
        <v>28</v>
      </c>
      <c r="I1582" s="14"/>
      <c r="J1582" s="14" t="s">
        <v>135</v>
      </c>
      <c r="K1582" s="14"/>
      <c r="L1582" s="14"/>
      <c r="M1582" s="14" t="s">
        <v>3601</v>
      </c>
      <c r="N1582" s="14"/>
      <c r="O1582" s="14" t="s">
        <v>3602</v>
      </c>
      <c r="P1582" s="14" t="str">
        <f>HYPERLINK("https://ceds.ed.gov/cedselementdetails.aspx?termid=17083")</f>
        <v>https://ceds.ed.gov/cedselementdetails.aspx?termid=17083</v>
      </c>
      <c r="Q1582" s="14" t="str">
        <f>HYPERLINK("https://ceds.ed.gov/elementComment.aspx?elementName=Disciplinary Action Start Date &amp;elementID=17083", "Click here to submit comment")</f>
        <v>Click here to submit comment</v>
      </c>
      <c r="R1582" s="14">
        <v>48739</v>
      </c>
    </row>
    <row r="1583" spans="1:18" ht="75" x14ac:dyDescent="0.25">
      <c r="A1583" s="14" t="s">
        <v>8732</v>
      </c>
      <c r="B1583" s="14" t="s">
        <v>8813</v>
      </c>
      <c r="C1583" s="14" t="s">
        <v>8891</v>
      </c>
      <c r="D1583" s="14" t="s">
        <v>8531</v>
      </c>
      <c r="E1583" s="14" t="s">
        <v>3589</v>
      </c>
      <c r="F1583" s="14" t="s">
        <v>3590</v>
      </c>
      <c r="G1583" s="14" t="s">
        <v>37</v>
      </c>
      <c r="H1583" s="14" t="s">
        <v>28</v>
      </c>
      <c r="I1583" s="14"/>
      <c r="J1583" s="14" t="s">
        <v>135</v>
      </c>
      <c r="K1583" s="14"/>
      <c r="L1583" s="14" t="s">
        <v>160</v>
      </c>
      <c r="M1583" s="14" t="s">
        <v>3592</v>
      </c>
      <c r="N1583" s="14"/>
      <c r="O1583" s="14" t="s">
        <v>3593</v>
      </c>
      <c r="P1583" s="14" t="str">
        <f>HYPERLINK("https://ceds.ed.gov/cedselementdetails.aspx?termid=17082")</f>
        <v>https://ceds.ed.gov/cedselementdetails.aspx?termid=17082</v>
      </c>
      <c r="Q1583" s="14" t="str">
        <f>HYPERLINK("https://ceds.ed.gov/elementComment.aspx?elementName=Disciplinary Action End Date &amp;elementID=17082", "Click here to submit comment")</f>
        <v>Click here to submit comment</v>
      </c>
      <c r="R1583" s="14">
        <v>48738</v>
      </c>
    </row>
    <row r="1584" spans="1:18" ht="45" x14ac:dyDescent="0.25">
      <c r="A1584" s="14" t="s">
        <v>8732</v>
      </c>
      <c r="B1584" s="14" t="s">
        <v>8813</v>
      </c>
      <c r="C1584" s="14" t="s">
        <v>8891</v>
      </c>
      <c r="D1584" s="14" t="s">
        <v>8531</v>
      </c>
      <c r="E1584" s="14" t="s">
        <v>3690</v>
      </c>
      <c r="F1584" s="14" t="s">
        <v>3691</v>
      </c>
      <c r="G1584" s="14" t="s">
        <v>37</v>
      </c>
      <c r="H1584" s="14"/>
      <c r="I1584" s="14"/>
      <c r="J1584" s="14" t="s">
        <v>1710</v>
      </c>
      <c r="K1584" s="14"/>
      <c r="L1584" s="14"/>
      <c r="M1584" s="14" t="s">
        <v>3692</v>
      </c>
      <c r="N1584" s="14"/>
      <c r="O1584" s="14" t="s">
        <v>3693</v>
      </c>
      <c r="P1584" s="14" t="str">
        <f>HYPERLINK("https://ceds.ed.gov/cedselementdetails.aspx?termid=17502")</f>
        <v>https://ceds.ed.gov/cedselementdetails.aspx?termid=17502</v>
      </c>
      <c r="Q1584" s="14" t="str">
        <f>HYPERLINK("https://ceds.ed.gov/elementComment.aspx?elementName=Duration of Disciplinary Action &amp;elementID=17502", "Click here to submit comment")</f>
        <v>Click here to submit comment</v>
      </c>
      <c r="R1584" s="14">
        <v>48856</v>
      </c>
    </row>
    <row r="1585" spans="1:18" ht="60" x14ac:dyDescent="0.25">
      <c r="A1585" s="14" t="s">
        <v>8732</v>
      </c>
      <c r="B1585" s="14" t="s">
        <v>8813</v>
      </c>
      <c r="C1585" s="14" t="s">
        <v>8891</v>
      </c>
      <c r="D1585" s="14" t="s">
        <v>8531</v>
      </c>
      <c r="E1585" s="14" t="s">
        <v>7772</v>
      </c>
      <c r="F1585" s="14" t="s">
        <v>7773</v>
      </c>
      <c r="G1585" s="14" t="s">
        <v>24</v>
      </c>
      <c r="H1585" s="14"/>
      <c r="I1585" s="14"/>
      <c r="J1585" s="14"/>
      <c r="K1585" s="14"/>
      <c r="L1585" s="14"/>
      <c r="M1585" s="14" t="s">
        <v>7774</v>
      </c>
      <c r="N1585" s="14"/>
      <c r="O1585" s="14" t="s">
        <v>7775</v>
      </c>
      <c r="P1585" s="14" t="str">
        <f>HYPERLINK("https://ceds.ed.gov/cedselementdetails.aspx?termid=17505")</f>
        <v>https://ceds.ed.gov/cedselementdetails.aspx?termid=17505</v>
      </c>
      <c r="Q1585" s="14" t="str">
        <f>HYPERLINK("https://ceds.ed.gov/elementComment.aspx?elementName=Shortened Expulsion &amp;elementID=17505", "Click here to submit comment")</f>
        <v>Click here to submit comment</v>
      </c>
      <c r="R1585" s="14">
        <v>48859</v>
      </c>
    </row>
    <row r="1586" spans="1:18" ht="300" x14ac:dyDescent="0.25">
      <c r="A1586" s="14" t="s">
        <v>8732</v>
      </c>
      <c r="B1586" s="14" t="s">
        <v>8813</v>
      </c>
      <c r="C1586" s="14" t="s">
        <v>8891</v>
      </c>
      <c r="D1586" s="14" t="s">
        <v>8531</v>
      </c>
      <c r="E1586" s="14" t="s">
        <v>3608</v>
      </c>
      <c r="F1586" s="14" t="s">
        <v>3609</v>
      </c>
      <c r="G1586" s="8" t="s">
        <v>8894</v>
      </c>
      <c r="H1586" s="14"/>
      <c r="I1586" s="14"/>
      <c r="J1586" s="14"/>
      <c r="K1586" s="14"/>
      <c r="L1586" s="14"/>
      <c r="M1586" s="14" t="s">
        <v>3611</v>
      </c>
      <c r="N1586" s="14"/>
      <c r="O1586" s="14" t="s">
        <v>3612</v>
      </c>
      <c r="P1586" s="14" t="str">
        <f>HYPERLINK("https://ceds.ed.gov/cedselementdetails.aspx?termid=17602")</f>
        <v>https://ceds.ed.gov/cedselementdetails.aspx?termid=17602</v>
      </c>
      <c r="Q1586" s="14" t="str">
        <f>HYPERLINK("https://ceds.ed.gov/elementComment.aspx?elementName=Discipline Action Length Difference Reason &amp;elementID=17602", "Click here to submit comment")</f>
        <v>Click here to submit comment</v>
      </c>
      <c r="R1586" s="14">
        <v>48898</v>
      </c>
    </row>
    <row r="1587" spans="1:18" ht="45" x14ac:dyDescent="0.25">
      <c r="A1587" s="14" t="s">
        <v>8732</v>
      </c>
      <c r="B1587" s="14" t="s">
        <v>8813</v>
      </c>
      <c r="C1587" s="14" t="s">
        <v>8891</v>
      </c>
      <c r="D1587" s="14" t="s">
        <v>8531</v>
      </c>
      <c r="E1587" s="14" t="s">
        <v>4718</v>
      </c>
      <c r="F1587" s="14" t="s">
        <v>4719</v>
      </c>
      <c r="G1587" s="14" t="s">
        <v>24</v>
      </c>
      <c r="H1587" s="14"/>
      <c r="I1587" s="14"/>
      <c r="J1587" s="14"/>
      <c r="K1587" s="14"/>
      <c r="L1587" s="14"/>
      <c r="M1587" s="14" t="s">
        <v>4720</v>
      </c>
      <c r="N1587" s="14"/>
      <c r="O1587" s="14" t="s">
        <v>4721</v>
      </c>
      <c r="P1587" s="14" t="str">
        <f>HYPERLINK("https://ceds.ed.gov/cedselementdetails.aspx?termid=17504")</f>
        <v>https://ceds.ed.gov/cedselementdetails.aspx?termid=17504</v>
      </c>
      <c r="Q1587" s="14" t="str">
        <f>HYPERLINK("https://ceds.ed.gov/elementComment.aspx?elementName=Full Year Expulsion &amp;elementID=17504", "Click here to submit comment")</f>
        <v>Click here to submit comment</v>
      </c>
      <c r="R1587" s="14">
        <v>48858</v>
      </c>
    </row>
    <row r="1588" spans="1:18" ht="75" x14ac:dyDescent="0.25">
      <c r="A1588" s="14" t="s">
        <v>8732</v>
      </c>
      <c r="B1588" s="14" t="s">
        <v>8813</v>
      </c>
      <c r="C1588" s="14" t="s">
        <v>8891</v>
      </c>
      <c r="D1588" s="14" t="s">
        <v>8531</v>
      </c>
      <c r="E1588" s="14" t="s">
        <v>7376</v>
      </c>
      <c r="F1588" s="14" t="s">
        <v>7377</v>
      </c>
      <c r="G1588" s="14" t="s">
        <v>24</v>
      </c>
      <c r="H1588" s="14"/>
      <c r="I1588" s="14"/>
      <c r="J1588" s="14"/>
      <c r="K1588" s="14"/>
      <c r="L1588" s="14"/>
      <c r="M1588" s="14" t="s">
        <v>7378</v>
      </c>
      <c r="N1588" s="14"/>
      <c r="O1588" s="14" t="s">
        <v>7379</v>
      </c>
      <c r="P1588" s="14" t="str">
        <f>HYPERLINK("https://ceds.ed.gov/cedselementdetails.aspx?termid=17503")</f>
        <v>https://ceds.ed.gov/cedselementdetails.aspx?termid=17503</v>
      </c>
      <c r="Q1588" s="14" t="str">
        <f>HYPERLINK("https://ceds.ed.gov/elementComment.aspx?elementName=Related to Zero Tolerance Policy &amp;elementID=17503", "Click here to submit comment")</f>
        <v>Click here to submit comment</v>
      </c>
      <c r="R1588" s="14">
        <v>48857</v>
      </c>
    </row>
    <row r="1589" spans="1:18" ht="75" x14ac:dyDescent="0.25">
      <c r="A1589" s="14" t="s">
        <v>8732</v>
      </c>
      <c r="B1589" s="14" t="s">
        <v>8813</v>
      </c>
      <c r="C1589" s="14" t="s">
        <v>8891</v>
      </c>
      <c r="D1589" s="14" t="s">
        <v>8531</v>
      </c>
      <c r="E1589" s="14" t="s">
        <v>5091</v>
      </c>
      <c r="F1589" s="14" t="s">
        <v>5092</v>
      </c>
      <c r="G1589" s="8" t="s">
        <v>8895</v>
      </c>
      <c r="H1589" s="14" t="s">
        <v>258</v>
      </c>
      <c r="I1589" s="14"/>
      <c r="J1589" s="14"/>
      <c r="K1589" s="14"/>
      <c r="L1589" s="14"/>
      <c r="M1589" s="14" t="s">
        <v>5094</v>
      </c>
      <c r="N1589" s="14"/>
      <c r="O1589" s="14" t="s">
        <v>5095</v>
      </c>
      <c r="P1589" s="14" t="str">
        <f>HYPERLINK("https://ceds.ed.gov/cedselementdetails.aspx?termid=17532")</f>
        <v>https://ceds.ed.gov/cedselementdetails.aspx?termid=17532</v>
      </c>
      <c r="Q1589" s="14" t="str">
        <f>HYPERLINK("https://ceds.ed.gov/elementComment.aspx?elementName=IDEA Interim Removal &amp;elementID=17532", "Click here to submit comment")</f>
        <v>Click here to submit comment</v>
      </c>
      <c r="R1589" s="14">
        <v>48868</v>
      </c>
    </row>
    <row r="1590" spans="1:18" ht="75" x14ac:dyDescent="0.25">
      <c r="A1590" s="14" t="s">
        <v>8732</v>
      </c>
      <c r="B1590" s="14" t="s">
        <v>8813</v>
      </c>
      <c r="C1590" s="14" t="s">
        <v>8891</v>
      </c>
      <c r="D1590" s="14" t="s">
        <v>8531</v>
      </c>
      <c r="E1590" s="14" t="s">
        <v>5096</v>
      </c>
      <c r="F1590" s="14" t="s">
        <v>5097</v>
      </c>
      <c r="G1590" s="8" t="s">
        <v>8896</v>
      </c>
      <c r="H1590" s="14" t="s">
        <v>258</v>
      </c>
      <c r="I1590" s="14"/>
      <c r="J1590" s="14"/>
      <c r="K1590" s="14"/>
      <c r="L1590" s="14"/>
      <c r="M1590" s="14" t="s">
        <v>5099</v>
      </c>
      <c r="N1590" s="14"/>
      <c r="O1590" s="14" t="s">
        <v>5100</v>
      </c>
      <c r="P1590" s="14" t="str">
        <f>HYPERLINK("https://ceds.ed.gov/cedselementdetails.aspx?termid=17530")</f>
        <v>https://ceds.ed.gov/cedselementdetails.aspx?termid=17530</v>
      </c>
      <c r="Q1590" s="14" t="str">
        <f>HYPERLINK("https://ceds.ed.gov/elementComment.aspx?elementName=IDEA Interim Removal Reason &amp;elementID=17530", "Click here to submit comment")</f>
        <v>Click here to submit comment</v>
      </c>
      <c r="R1590" s="14">
        <v>48867</v>
      </c>
    </row>
    <row r="1591" spans="1:18" ht="255" x14ac:dyDescent="0.25">
      <c r="A1591" s="14" t="s">
        <v>8732</v>
      </c>
      <c r="B1591" s="14" t="s">
        <v>8813</v>
      </c>
      <c r="C1591" s="14" t="s">
        <v>8891</v>
      </c>
      <c r="D1591" s="14" t="s">
        <v>8531</v>
      </c>
      <c r="E1591" s="14" t="s">
        <v>3613</v>
      </c>
      <c r="F1591" s="14" t="s">
        <v>3614</v>
      </c>
      <c r="G1591" s="8" t="s">
        <v>8897</v>
      </c>
      <c r="H1591" s="14" t="s">
        <v>258</v>
      </c>
      <c r="I1591" s="14"/>
      <c r="J1591" s="14"/>
      <c r="K1591" s="14"/>
      <c r="L1591" s="14"/>
      <c r="M1591" s="14" t="s">
        <v>3616</v>
      </c>
      <c r="N1591" s="14"/>
      <c r="O1591" s="14" t="s">
        <v>3617</v>
      </c>
      <c r="P1591" s="14" t="str">
        <f>HYPERLINK("https://ceds.ed.gov/cedselementdetails.aspx?termid=17546")</f>
        <v>https://ceds.ed.gov/cedselementdetails.aspx?termid=17546</v>
      </c>
      <c r="Q1591" s="14" t="str">
        <f>HYPERLINK("https://ceds.ed.gov/elementComment.aspx?elementName=Discipline Method for Firearms Incidents &amp;elementID=17546", "Click here to submit comment")</f>
        <v>Click here to submit comment</v>
      </c>
      <c r="R1591" s="14">
        <v>48872</v>
      </c>
    </row>
    <row r="1592" spans="1:18" ht="60" x14ac:dyDescent="0.25">
      <c r="A1592" s="14" t="s">
        <v>8732</v>
      </c>
      <c r="B1592" s="14" t="s">
        <v>8813</v>
      </c>
      <c r="C1592" s="14" t="s">
        <v>8891</v>
      </c>
      <c r="D1592" s="14" t="s">
        <v>8531</v>
      </c>
      <c r="E1592" s="14" t="s">
        <v>3618</v>
      </c>
      <c r="F1592" s="14" t="s">
        <v>3619</v>
      </c>
      <c r="G1592" s="8" t="s">
        <v>8898</v>
      </c>
      <c r="H1592" s="14" t="s">
        <v>258</v>
      </c>
      <c r="I1592" s="14"/>
      <c r="J1592" s="14"/>
      <c r="K1592" s="14"/>
      <c r="L1592" s="14"/>
      <c r="M1592" s="14" t="s">
        <v>3621</v>
      </c>
      <c r="N1592" s="14"/>
      <c r="O1592" s="14" t="s">
        <v>3622</v>
      </c>
      <c r="P1592" s="14" t="str">
        <f>HYPERLINK("https://ceds.ed.gov/cedselementdetails.aspx?termid=17529")</f>
        <v>https://ceds.ed.gov/cedselementdetails.aspx?termid=17529</v>
      </c>
      <c r="Q1592" s="14" t="str">
        <f>HYPERLINK("https://ceds.ed.gov/elementComment.aspx?elementName=Discipline Method of Children with Disabilities &amp;elementID=17529", "Click here to submit comment")</f>
        <v>Click here to submit comment</v>
      </c>
      <c r="R1592" s="14">
        <v>48866</v>
      </c>
    </row>
    <row r="1593" spans="1:18" ht="180" x14ac:dyDescent="0.25">
      <c r="A1593" s="14" t="s">
        <v>8732</v>
      </c>
      <c r="B1593" s="14" t="s">
        <v>8813</v>
      </c>
      <c r="C1593" s="14" t="s">
        <v>8891</v>
      </c>
      <c r="D1593" s="14" t="s">
        <v>8531</v>
      </c>
      <c r="E1593" s="14" t="s">
        <v>5058</v>
      </c>
      <c r="F1593" s="14" t="s">
        <v>5059</v>
      </c>
      <c r="G1593" s="8" t="s">
        <v>8899</v>
      </c>
      <c r="H1593" s="14" t="s">
        <v>258</v>
      </c>
      <c r="I1593" s="14"/>
      <c r="J1593" s="14"/>
      <c r="K1593" s="14"/>
      <c r="L1593" s="14"/>
      <c r="M1593" s="14" t="s">
        <v>5061</v>
      </c>
      <c r="N1593" s="14"/>
      <c r="O1593" s="14" t="s">
        <v>5062</v>
      </c>
      <c r="P1593" s="14" t="str">
        <f>HYPERLINK("https://ceds.ed.gov/cedselementdetails.aspx?termid=17547")</f>
        <v>https://ceds.ed.gov/cedselementdetails.aspx?termid=17547</v>
      </c>
      <c r="Q1593" s="14" t="str">
        <f>HYPERLINK("https://ceds.ed.gov/elementComment.aspx?elementName=IDEA Discipline Method for Firearms Incidents &amp;elementID=17547", "Click here to submit comment")</f>
        <v>Click here to submit comment</v>
      </c>
      <c r="R1593" s="14">
        <v>48873</v>
      </c>
    </row>
    <row r="1594" spans="1:18" ht="75" x14ac:dyDescent="0.25">
      <c r="A1594" s="14" t="s">
        <v>8732</v>
      </c>
      <c r="B1594" s="14" t="s">
        <v>8813</v>
      </c>
      <c r="C1594" s="14" t="s">
        <v>8891</v>
      </c>
      <c r="D1594" s="14" t="s">
        <v>8531</v>
      </c>
      <c r="E1594" s="14" t="s">
        <v>3594</v>
      </c>
      <c r="F1594" s="14" t="s">
        <v>3595</v>
      </c>
      <c r="G1594" s="14" t="s">
        <v>24</v>
      </c>
      <c r="H1594" s="14"/>
      <c r="I1594" s="14"/>
      <c r="J1594" s="14"/>
      <c r="K1594" s="14"/>
      <c r="L1594" s="14"/>
      <c r="M1594" s="14" t="s">
        <v>3597</v>
      </c>
      <c r="N1594" s="14"/>
      <c r="O1594" s="14" t="s">
        <v>3598</v>
      </c>
      <c r="P1594" s="14" t="str">
        <f>HYPERLINK("https://ceds.ed.gov/cedselementdetails.aspx?termid=18288")</f>
        <v>https://ceds.ed.gov/cedselementdetails.aspx?termid=18288</v>
      </c>
      <c r="Q1594" s="14" t="str">
        <f>HYPERLINK("https://ceds.ed.gov/elementComment.aspx?elementName=Disciplinary Action IEP Placement Meeting Indicator &amp;elementID=18288", "Click here to submit comment")</f>
        <v>Click here to submit comment</v>
      </c>
      <c r="R1594" s="14">
        <v>50128</v>
      </c>
    </row>
    <row r="1595" spans="1:18" ht="75" x14ac:dyDescent="0.25">
      <c r="A1595" s="14" t="s">
        <v>8732</v>
      </c>
      <c r="B1595" s="14" t="s">
        <v>8813</v>
      </c>
      <c r="C1595" s="14" t="s">
        <v>8891</v>
      </c>
      <c r="D1595" s="14" t="s">
        <v>8531</v>
      </c>
      <c r="E1595" s="14" t="s">
        <v>3927</v>
      </c>
      <c r="F1595" s="14" t="s">
        <v>3928</v>
      </c>
      <c r="G1595" s="14" t="s">
        <v>24</v>
      </c>
      <c r="H1595" s="14"/>
      <c r="I1595" s="14"/>
      <c r="J1595" s="14"/>
      <c r="K1595" s="14"/>
      <c r="L1595" s="14"/>
      <c r="M1595" s="14" t="s">
        <v>3929</v>
      </c>
      <c r="N1595" s="14"/>
      <c r="O1595" s="14" t="s">
        <v>3930</v>
      </c>
      <c r="P1595" s="14" t="str">
        <f>HYPERLINK("https://ceds.ed.gov/cedselementdetails.aspx?termid=17570")</f>
        <v>https://ceds.ed.gov/cedselementdetails.aspx?termid=17570</v>
      </c>
      <c r="Q1595" s="14" t="str">
        <f>HYPERLINK("https://ceds.ed.gov/elementComment.aspx?elementName=Educational Services After Removal &amp;elementID=17570", "Click here to submit comment")</f>
        <v>Click here to submit comment</v>
      </c>
      <c r="R1595" s="14">
        <v>48885</v>
      </c>
    </row>
    <row r="1596" spans="1:18" ht="135" x14ac:dyDescent="0.25">
      <c r="A1596" s="14" t="s">
        <v>8732</v>
      </c>
      <c r="B1596" s="14" t="s">
        <v>8813</v>
      </c>
      <c r="C1596" s="14" t="s">
        <v>8632</v>
      </c>
      <c r="D1596" s="14" t="s">
        <v>8531</v>
      </c>
      <c r="E1596" s="14" t="s">
        <v>5717</v>
      </c>
      <c r="F1596" s="14" t="s">
        <v>5718</v>
      </c>
      <c r="G1596" s="8" t="s">
        <v>8633</v>
      </c>
      <c r="H1596" s="14" t="s">
        <v>5668</v>
      </c>
      <c r="I1596" s="14" t="s">
        <v>195</v>
      </c>
      <c r="J1596" s="14"/>
      <c r="K1596" s="14" t="s">
        <v>2856</v>
      </c>
      <c r="L1596" s="14"/>
      <c r="M1596" s="14" t="s">
        <v>5721</v>
      </c>
      <c r="N1596" s="14"/>
      <c r="O1596" s="14" t="s">
        <v>5722</v>
      </c>
      <c r="P1596" s="14" t="str">
        <f>HYPERLINK("https://ceds.ed.gov/cedselementdetails.aspx?termid=17316")</f>
        <v>https://ceds.ed.gov/cedselementdetails.aspx?termid=17316</v>
      </c>
      <c r="Q1596" s="14" t="str">
        <f>HYPERLINK("https://ceds.ed.gov/elementComment.aspx?elementName=Language Type &amp;elementID=17316", "Click here to submit comment")</f>
        <v>Click here to submit comment</v>
      </c>
      <c r="R1596" s="14">
        <v>48828</v>
      </c>
    </row>
    <row r="1597" spans="1:18" ht="90" x14ac:dyDescent="0.25">
      <c r="A1597" s="14" t="s">
        <v>8732</v>
      </c>
      <c r="B1597" s="14" t="s">
        <v>8813</v>
      </c>
      <c r="C1597" s="14" t="s">
        <v>8632</v>
      </c>
      <c r="D1597" s="14" t="s">
        <v>8531</v>
      </c>
      <c r="E1597" s="14" t="s">
        <v>5662</v>
      </c>
      <c r="F1597" s="14" t="s">
        <v>5663</v>
      </c>
      <c r="G1597" s="14" t="s">
        <v>8527</v>
      </c>
      <c r="H1597" s="14" t="s">
        <v>5668</v>
      </c>
      <c r="I1597" s="14" t="s">
        <v>195</v>
      </c>
      <c r="J1597" s="14"/>
      <c r="K1597" s="14" t="s">
        <v>5665</v>
      </c>
      <c r="L1597" s="6" t="s">
        <v>1087</v>
      </c>
      <c r="M1597" s="14" t="s">
        <v>5666</v>
      </c>
      <c r="N1597" s="14"/>
      <c r="O1597" s="14" t="s">
        <v>5667</v>
      </c>
      <c r="P1597" s="14" t="str">
        <f>HYPERLINK("https://ceds.ed.gov/cedselementdetails.aspx?termid=17317")</f>
        <v>https://ceds.ed.gov/cedselementdetails.aspx?termid=17317</v>
      </c>
      <c r="Q1597" s="14" t="str">
        <f>HYPERLINK("https://ceds.ed.gov/elementComment.aspx?elementName=ISO 639-2 Language Code &amp;elementID=17317", "Click here to submit comment")</f>
        <v>Click here to submit comment</v>
      </c>
      <c r="R1597" s="14">
        <v>48829</v>
      </c>
    </row>
    <row r="1598" spans="1:18" ht="105" x14ac:dyDescent="0.25">
      <c r="A1598" s="14" t="s">
        <v>8732</v>
      </c>
      <c r="B1598" s="14" t="s">
        <v>8813</v>
      </c>
      <c r="C1598" s="14" t="s">
        <v>8632</v>
      </c>
      <c r="D1598" s="14" t="s">
        <v>8531</v>
      </c>
      <c r="E1598" s="14" t="s">
        <v>5669</v>
      </c>
      <c r="F1598" s="14" t="s">
        <v>5663</v>
      </c>
      <c r="G1598" s="14" t="s">
        <v>8527</v>
      </c>
      <c r="H1598" s="14"/>
      <c r="I1598" s="14" t="s">
        <v>195</v>
      </c>
      <c r="J1598" s="14"/>
      <c r="K1598" s="14" t="s">
        <v>5670</v>
      </c>
      <c r="L1598" s="6" t="s">
        <v>5671</v>
      </c>
      <c r="M1598" s="14" t="s">
        <v>5672</v>
      </c>
      <c r="N1598" s="14"/>
      <c r="O1598" s="14" t="s">
        <v>5673</v>
      </c>
      <c r="P1598" s="14" t="str">
        <f>HYPERLINK("https://ceds.ed.gov/cedselementdetails.aspx?termid=18618")</f>
        <v>https://ceds.ed.gov/cedselementdetails.aspx?termid=18618</v>
      </c>
      <c r="Q1598" s="14" t="str">
        <f>HYPERLINK("https://ceds.ed.gov/elementComment.aspx?elementName=ISO 639-3 Language Code &amp;elementID=18618", "Click here to submit comment")</f>
        <v>Click here to submit comment</v>
      </c>
      <c r="R1598" s="14">
        <v>51215</v>
      </c>
    </row>
    <row r="1599" spans="1:18" ht="409.5" x14ac:dyDescent="0.25">
      <c r="A1599" s="14" t="s">
        <v>8732</v>
      </c>
      <c r="B1599" s="14" t="s">
        <v>8813</v>
      </c>
      <c r="C1599" s="14" t="s">
        <v>8632</v>
      </c>
      <c r="D1599" s="14" t="s">
        <v>8531</v>
      </c>
      <c r="E1599" s="14" t="s">
        <v>5674</v>
      </c>
      <c r="F1599" s="14" t="s">
        <v>5675</v>
      </c>
      <c r="G1599" s="8" t="s">
        <v>8634</v>
      </c>
      <c r="H1599" s="14"/>
      <c r="I1599" s="14" t="s">
        <v>195</v>
      </c>
      <c r="J1599" s="14"/>
      <c r="K1599" s="14" t="s">
        <v>2856</v>
      </c>
      <c r="L1599" s="6" t="s">
        <v>5677</v>
      </c>
      <c r="M1599" s="14" t="s">
        <v>5678</v>
      </c>
      <c r="N1599" s="14"/>
      <c r="O1599" s="14" t="s">
        <v>5679</v>
      </c>
      <c r="P1599" s="14" t="str">
        <f>HYPERLINK("https://ceds.ed.gov/cedselementdetails.aspx?termid=18619")</f>
        <v>https://ceds.ed.gov/cedselementdetails.aspx?termid=18619</v>
      </c>
      <c r="Q1599" s="14" t="str">
        <f>HYPERLINK("https://ceds.ed.gov/elementComment.aspx?elementName=ISO 639-5 Language Family &amp;elementID=18619", "Click here to submit comment")</f>
        <v>Click here to submit comment</v>
      </c>
      <c r="R1599" s="14">
        <v>51222</v>
      </c>
    </row>
    <row r="1600" spans="1:18" ht="90" x14ac:dyDescent="0.25">
      <c r="A1600" s="14" t="s">
        <v>8732</v>
      </c>
      <c r="B1600" s="14" t="s">
        <v>8813</v>
      </c>
      <c r="C1600" s="14" t="s">
        <v>8900</v>
      </c>
      <c r="D1600" s="14" t="s">
        <v>8531</v>
      </c>
      <c r="E1600" s="14" t="s">
        <v>3966</v>
      </c>
      <c r="F1600" s="14" t="s">
        <v>3967</v>
      </c>
      <c r="G1600" s="8" t="s">
        <v>8901</v>
      </c>
      <c r="H1600" s="14" t="s">
        <v>72</v>
      </c>
      <c r="I1600" s="14"/>
      <c r="J1600" s="14"/>
      <c r="K1600" s="14"/>
      <c r="L1600" s="14"/>
      <c r="M1600" s="14" t="s">
        <v>3969</v>
      </c>
      <c r="N1600" s="14"/>
      <c r="O1600" s="14" t="s">
        <v>3970</v>
      </c>
      <c r="P1600" s="14" t="str">
        <f>HYPERLINK("https://ceds.ed.gov/cedselementdetails.aspx?termid=17092")</f>
        <v>https://ceds.ed.gov/cedselementdetails.aspx?termid=17092</v>
      </c>
      <c r="Q1600" s="14" t="str">
        <f>HYPERLINK("https://ceds.ed.gov/elementComment.aspx?elementName=Eligibility Status for School Food Service Programs &amp;elementID=17092", "Click here to submit comment")</f>
        <v>Click here to submit comment</v>
      </c>
      <c r="R1600" s="14">
        <v>48744</v>
      </c>
    </row>
    <row r="1601" spans="1:18" ht="45" x14ac:dyDescent="0.25">
      <c r="A1601" s="14" t="s">
        <v>8732</v>
      </c>
      <c r="B1601" s="14" t="s">
        <v>8813</v>
      </c>
      <c r="C1601" s="14" t="s">
        <v>8900</v>
      </c>
      <c r="D1601" s="14" t="s">
        <v>8531</v>
      </c>
      <c r="E1601" s="14" t="s">
        <v>8037</v>
      </c>
      <c r="F1601" s="14" t="s">
        <v>8038</v>
      </c>
      <c r="G1601" s="14" t="s">
        <v>37</v>
      </c>
      <c r="H1601" s="14"/>
      <c r="I1601" s="14"/>
      <c r="J1601" s="14" t="s">
        <v>135</v>
      </c>
      <c r="K1601" s="14"/>
      <c r="L1601" s="14"/>
      <c r="M1601" s="14" t="s">
        <v>8039</v>
      </c>
      <c r="N1601" s="14"/>
      <c r="O1601" s="14" t="s">
        <v>8040</v>
      </c>
      <c r="P1601" s="14" t="str">
        <f>HYPERLINK("https://ceds.ed.gov/cedselementdetails.aspx?termid=18192")</f>
        <v>https://ceds.ed.gov/cedselementdetails.aspx?termid=18192</v>
      </c>
      <c r="Q1601" s="14" t="str">
        <f>HYPERLINK("https://ceds.ed.gov/elementComment.aspx?elementName=Status Start Date &amp;elementID=18192", "Click here to submit comment")</f>
        <v>Click here to submit comment</v>
      </c>
      <c r="R1601" s="14">
        <v>48917</v>
      </c>
    </row>
    <row r="1602" spans="1:18" ht="409.5" x14ac:dyDescent="0.25">
      <c r="A1602" s="14" t="s">
        <v>8732</v>
      </c>
      <c r="B1602" s="14" t="s">
        <v>8813</v>
      </c>
      <c r="C1602" s="14" t="s">
        <v>8900</v>
      </c>
      <c r="D1602" s="14" t="s">
        <v>8531</v>
      </c>
      <c r="E1602" s="14" t="s">
        <v>8031</v>
      </c>
      <c r="F1602" s="14" t="s">
        <v>8032</v>
      </c>
      <c r="G1602" s="14" t="s">
        <v>37</v>
      </c>
      <c r="H1602" s="14"/>
      <c r="I1602" s="14"/>
      <c r="J1602" s="14" t="s">
        <v>135</v>
      </c>
      <c r="K1602" s="14"/>
      <c r="L1602" s="14" t="s">
        <v>8034</v>
      </c>
      <c r="M1602" s="14" t="s">
        <v>8035</v>
      </c>
      <c r="N1602" s="14"/>
      <c r="O1602" s="14" t="s">
        <v>8036</v>
      </c>
      <c r="P1602" s="14" t="str">
        <f>HYPERLINK("https://ceds.ed.gov/cedselementdetails.aspx?termid=18193")</f>
        <v>https://ceds.ed.gov/cedselementdetails.aspx?termid=18193</v>
      </c>
      <c r="Q1602" s="14" t="str">
        <f>HYPERLINK("https://ceds.ed.gov/elementComment.aspx?elementName=Status End Date &amp;elementID=18193", "Click here to submit comment")</f>
        <v>Click here to submit comment</v>
      </c>
      <c r="R1602" s="14">
        <v>48982</v>
      </c>
    </row>
    <row r="1603" spans="1:18" ht="105" x14ac:dyDescent="0.25">
      <c r="A1603" s="14" t="s">
        <v>8732</v>
      </c>
      <c r="B1603" s="14" t="s">
        <v>8813</v>
      </c>
      <c r="C1603" s="14" t="s">
        <v>8900</v>
      </c>
      <c r="D1603" s="14" t="s">
        <v>8531</v>
      </c>
      <c r="E1603" s="14" t="s">
        <v>3908</v>
      </c>
      <c r="F1603" s="14" t="s">
        <v>3909</v>
      </c>
      <c r="G1603" s="14" t="s">
        <v>24</v>
      </c>
      <c r="H1603" s="14" t="s">
        <v>2157</v>
      </c>
      <c r="I1603" s="14"/>
      <c r="J1603" s="14"/>
      <c r="K1603" s="14"/>
      <c r="L1603" s="14"/>
      <c r="M1603" s="14" t="s">
        <v>3911</v>
      </c>
      <c r="N1603" s="14"/>
      <c r="O1603" s="14" t="s">
        <v>3912</v>
      </c>
      <c r="P1603" s="14" t="str">
        <f>HYPERLINK("https://ceds.ed.gov/cedselementdetails.aspx?termid=17086")</f>
        <v>https://ceds.ed.gov/cedselementdetails.aspx?termid=17086</v>
      </c>
      <c r="Q1603" s="14" t="str">
        <f>HYPERLINK("https://ceds.ed.gov/elementComment.aspx?elementName=Economic Disadvantage Status &amp;elementID=17086", "Click here to submit comment")</f>
        <v>Click here to submit comment</v>
      </c>
      <c r="R1603" s="14">
        <v>48741</v>
      </c>
    </row>
    <row r="1604" spans="1:18" ht="300" x14ac:dyDescent="0.25">
      <c r="A1604" s="14" t="s">
        <v>8732</v>
      </c>
      <c r="B1604" s="14" t="s">
        <v>8813</v>
      </c>
      <c r="C1604" s="14" t="s">
        <v>8900</v>
      </c>
      <c r="D1604" s="14" t="s">
        <v>8531</v>
      </c>
      <c r="E1604" s="14" t="s">
        <v>6646</v>
      </c>
      <c r="F1604" s="14" t="s">
        <v>6647</v>
      </c>
      <c r="G1604" s="8" t="s">
        <v>8638</v>
      </c>
      <c r="H1604" s="14" t="s">
        <v>467</v>
      </c>
      <c r="I1604" s="14"/>
      <c r="J1604" s="14"/>
      <c r="K1604" s="14"/>
      <c r="L1604" s="14"/>
      <c r="M1604" s="14" t="s">
        <v>6650</v>
      </c>
      <c r="N1604" s="14"/>
      <c r="O1604" s="14" t="s">
        <v>6651</v>
      </c>
      <c r="P1604" s="14" t="str">
        <f>HYPERLINK("https://ceds.ed.gov/cedselementdetails.aspx?termid=17325")</f>
        <v>https://ceds.ed.gov/cedselementdetails.aspx?termid=17325</v>
      </c>
      <c r="Q1604" s="14" t="str">
        <f>HYPERLINK("https://ceds.ed.gov/elementComment.aspx?elementName=Participation in School Food Service Programs &amp;elementID=17325", "Click here to submit comment")</f>
        <v>Click here to submit comment</v>
      </c>
      <c r="R1604" s="14">
        <v>48613</v>
      </c>
    </row>
    <row r="1605" spans="1:18" ht="75" x14ac:dyDescent="0.25">
      <c r="A1605" s="14" t="s">
        <v>8732</v>
      </c>
      <c r="B1605" s="14" t="s">
        <v>8813</v>
      </c>
      <c r="C1605" s="14" t="s">
        <v>8900</v>
      </c>
      <c r="D1605" s="14" t="s">
        <v>8531</v>
      </c>
      <c r="E1605" s="14" t="s">
        <v>6368</v>
      </c>
      <c r="F1605" s="14" t="s">
        <v>6369</v>
      </c>
      <c r="G1605" s="14" t="s">
        <v>24</v>
      </c>
      <c r="H1605" s="14" t="s">
        <v>258</v>
      </c>
      <c r="I1605" s="14"/>
      <c r="J1605" s="14"/>
      <c r="K1605" s="14"/>
      <c r="L1605" s="14" t="s">
        <v>6370</v>
      </c>
      <c r="M1605" s="14" t="s">
        <v>6371</v>
      </c>
      <c r="N1605" s="14"/>
      <c r="O1605" s="14" t="s">
        <v>6372</v>
      </c>
      <c r="P1605" s="14" t="str">
        <f>HYPERLINK("https://ceds.ed.gov/cedselementdetails.aspx?termid=18635")</f>
        <v>https://ceds.ed.gov/cedselementdetails.aspx?termid=18635</v>
      </c>
      <c r="Q1605" s="14" t="str">
        <f>HYPERLINK("https://ceds.ed.gov/elementComment.aspx?elementName=National School Lunch Program Direct Certification Indicator &amp;elementID=18635", "Click here to submit comment")</f>
        <v>Click here to submit comment</v>
      </c>
      <c r="R1605" s="14">
        <v>51349</v>
      </c>
    </row>
    <row r="1606" spans="1:18" ht="90" x14ac:dyDescent="0.25">
      <c r="A1606" s="14" t="s">
        <v>8732</v>
      </c>
      <c r="B1606" s="14" t="s">
        <v>8813</v>
      </c>
      <c r="C1606" s="14" t="s">
        <v>8902</v>
      </c>
      <c r="D1606" s="14" t="s">
        <v>8531</v>
      </c>
      <c r="E1606" s="14" t="s">
        <v>3373</v>
      </c>
      <c r="F1606" s="14" t="s">
        <v>3374</v>
      </c>
      <c r="G1606" s="14" t="s">
        <v>37</v>
      </c>
      <c r="H1606" s="14"/>
      <c r="I1606" s="14"/>
      <c r="J1606" s="14" t="s">
        <v>1710</v>
      </c>
      <c r="K1606" s="14"/>
      <c r="L1606" s="14" t="s">
        <v>3376</v>
      </c>
      <c r="M1606" s="14" t="s">
        <v>3377</v>
      </c>
      <c r="N1606" s="14"/>
      <c r="O1606" s="14" t="s">
        <v>3378</v>
      </c>
      <c r="P1606" s="14" t="str">
        <f>HYPERLINK("https://ceds.ed.gov/cedselementdetails.aspx?termid=18553")</f>
        <v>https://ceds.ed.gov/cedselementdetails.aspx?termid=18553</v>
      </c>
      <c r="Q1606" s="14" t="str">
        <f>HYPERLINK("https://ceds.ed.gov/elementComment.aspx?elementName=Credits Required &amp;elementID=18553", "Click here to submit comment")</f>
        <v>Click here to submit comment</v>
      </c>
      <c r="R1606" s="14">
        <v>51145</v>
      </c>
    </row>
    <row r="1607" spans="1:18" ht="90" x14ac:dyDescent="0.25">
      <c r="A1607" s="14" t="s">
        <v>8732</v>
      </c>
      <c r="B1607" s="14" t="s">
        <v>8813</v>
      </c>
      <c r="C1607" s="14" t="s">
        <v>8903</v>
      </c>
      <c r="D1607" s="14" t="s">
        <v>8531</v>
      </c>
      <c r="E1607" s="14" t="s">
        <v>3373</v>
      </c>
      <c r="F1607" s="14" t="s">
        <v>3374</v>
      </c>
      <c r="G1607" s="14" t="s">
        <v>37</v>
      </c>
      <c r="H1607" s="14"/>
      <c r="I1607" s="14"/>
      <c r="J1607" s="14" t="s">
        <v>1710</v>
      </c>
      <c r="K1607" s="14"/>
      <c r="L1607" s="14" t="s">
        <v>3376</v>
      </c>
      <c r="M1607" s="14" t="s">
        <v>3377</v>
      </c>
      <c r="N1607" s="14"/>
      <c r="O1607" s="14" t="s">
        <v>3378</v>
      </c>
      <c r="P1607" s="14" t="str">
        <f>HYPERLINK("https://ceds.ed.gov/cedselementdetails.aspx?termid=18553")</f>
        <v>https://ceds.ed.gov/cedselementdetails.aspx?termid=18553</v>
      </c>
      <c r="Q1607" s="14" t="str">
        <f>HYPERLINK("https://ceds.ed.gov/elementComment.aspx?elementName=Credits Required &amp;elementID=18553", "Click here to submit comment")</f>
        <v>Click here to submit comment</v>
      </c>
      <c r="R1607" s="14">
        <v>51147</v>
      </c>
    </row>
    <row r="1608" spans="1:18" ht="409.5" x14ac:dyDescent="0.25">
      <c r="A1608" s="14" t="s">
        <v>8732</v>
      </c>
      <c r="B1608" s="14" t="s">
        <v>8813</v>
      </c>
      <c r="C1608" s="14" t="s">
        <v>8903</v>
      </c>
      <c r="D1608" s="14" t="s">
        <v>8531</v>
      </c>
      <c r="E1608" s="14" t="s">
        <v>7573</v>
      </c>
      <c r="F1608" s="14" t="s">
        <v>7574</v>
      </c>
      <c r="G1608" s="8" t="s">
        <v>8883</v>
      </c>
      <c r="H1608" s="14"/>
      <c r="I1608" s="14"/>
      <c r="J1608" s="14"/>
      <c r="K1608" s="14"/>
      <c r="L1608" s="14" t="s">
        <v>7577</v>
      </c>
      <c r="M1608" s="14" t="s">
        <v>7578</v>
      </c>
      <c r="N1608" s="14" t="s">
        <v>7579</v>
      </c>
      <c r="O1608" s="14" t="s">
        <v>7580</v>
      </c>
      <c r="P1608" s="14" t="str">
        <f>HYPERLINK("https://ceds.ed.gov/cedselementdetails.aspx?termid=18491")</f>
        <v>https://ceds.ed.gov/cedselementdetails.aspx?termid=18491</v>
      </c>
      <c r="Q1608" s="14" t="str">
        <f>HYPERLINK("https://ceds.ed.gov/elementComment.aspx?elementName=School Courses for the Exchange of Data Course Subject Area &amp;elementID=18491", "Click here to submit comment")</f>
        <v>Click here to submit comment</v>
      </c>
      <c r="R1608" s="14">
        <v>51146</v>
      </c>
    </row>
    <row r="1609" spans="1:18" ht="105" x14ac:dyDescent="0.25">
      <c r="A1609" s="16" t="s">
        <v>8732</v>
      </c>
      <c r="B1609" s="16" t="s">
        <v>8813</v>
      </c>
      <c r="C1609" s="16" t="s">
        <v>8904</v>
      </c>
      <c r="D1609" s="16" t="s">
        <v>8531</v>
      </c>
      <c r="E1609" s="16" t="s">
        <v>2966</v>
      </c>
      <c r="F1609" s="16" t="s">
        <v>2967</v>
      </c>
      <c r="G1609" s="16" t="s">
        <v>37</v>
      </c>
      <c r="H1609" s="16" t="s">
        <v>2970</v>
      </c>
      <c r="I1609" s="16"/>
      <c r="J1609" s="16" t="s">
        <v>149</v>
      </c>
      <c r="K1609" s="16"/>
      <c r="L1609" s="14" t="s">
        <v>150</v>
      </c>
      <c r="M1609" s="16" t="s">
        <v>2968</v>
      </c>
      <c r="N1609" s="16"/>
      <c r="O1609" s="16" t="s">
        <v>2969</v>
      </c>
      <c r="P1609" s="16" t="str">
        <f>HYPERLINK("https://ceds.ed.gov/cedselementdetails.aspx?termid=17055")</f>
        <v>https://ceds.ed.gov/cedselementdetails.aspx?termid=17055</v>
      </c>
      <c r="Q1609" s="16" t="str">
        <f>HYPERLINK("https://ceds.ed.gov/elementComment.aspx?elementName=Course Identifier &amp;elementID=17055", "Click here to submit comment")</f>
        <v>Click here to submit comment</v>
      </c>
      <c r="R1609" s="16">
        <v>51148</v>
      </c>
    </row>
    <row r="1610" spans="1:18" x14ac:dyDescent="0.25">
      <c r="A1610" s="16"/>
      <c r="B1610" s="16"/>
      <c r="C1610" s="16"/>
      <c r="D1610" s="16"/>
      <c r="E1610" s="16"/>
      <c r="F1610" s="16"/>
      <c r="G1610" s="16"/>
      <c r="H1610" s="16"/>
      <c r="I1610" s="16"/>
      <c r="J1610" s="16"/>
      <c r="K1610" s="16"/>
      <c r="L1610" s="14"/>
      <c r="M1610" s="16"/>
      <c r="N1610" s="16"/>
      <c r="O1610" s="16"/>
      <c r="P1610" s="16"/>
      <c r="Q1610" s="16"/>
      <c r="R1610" s="16"/>
    </row>
    <row r="1611" spans="1:18" ht="90" x14ac:dyDescent="0.25">
      <c r="A1611" s="16"/>
      <c r="B1611" s="16"/>
      <c r="C1611" s="16"/>
      <c r="D1611" s="16"/>
      <c r="E1611" s="16"/>
      <c r="F1611" s="16"/>
      <c r="G1611" s="16"/>
      <c r="H1611" s="16"/>
      <c r="I1611" s="16"/>
      <c r="J1611" s="16"/>
      <c r="K1611" s="16"/>
      <c r="L1611" s="14" t="s">
        <v>153</v>
      </c>
      <c r="M1611" s="16"/>
      <c r="N1611" s="16"/>
      <c r="O1611" s="16"/>
      <c r="P1611" s="16"/>
      <c r="Q1611" s="16"/>
      <c r="R1611" s="16"/>
    </row>
    <row r="1612" spans="1:18" ht="195" x14ac:dyDescent="0.25">
      <c r="A1612" s="14" t="s">
        <v>8732</v>
      </c>
      <c r="B1612" s="14" t="s">
        <v>8813</v>
      </c>
      <c r="C1612" s="14" t="s">
        <v>8904</v>
      </c>
      <c r="D1612" s="14" t="s">
        <v>8531</v>
      </c>
      <c r="E1612" s="14" t="s">
        <v>2909</v>
      </c>
      <c r="F1612" s="14" t="s">
        <v>2910</v>
      </c>
      <c r="G1612" s="8" t="s">
        <v>8834</v>
      </c>
      <c r="H1612" s="14" t="s">
        <v>1713</v>
      </c>
      <c r="I1612" s="14"/>
      <c r="J1612" s="14"/>
      <c r="K1612" s="14"/>
      <c r="L1612" s="14"/>
      <c r="M1612" s="14" t="s">
        <v>2913</v>
      </c>
      <c r="N1612" s="14"/>
      <c r="O1612" s="14" t="s">
        <v>2914</v>
      </c>
      <c r="P1612" s="14" t="str">
        <f>HYPERLINK("https://ceds.ed.gov/cedselementdetails.aspx?termid=17056")</f>
        <v>https://ceds.ed.gov/cedselementdetails.aspx?termid=17056</v>
      </c>
      <c r="Q1612" s="14" t="str">
        <f>HYPERLINK("https://ceds.ed.gov/elementComment.aspx?elementName=Course Code System &amp;elementID=17056", "Click here to submit comment")</f>
        <v>Click here to submit comment</v>
      </c>
      <c r="R1612" s="14">
        <v>51149</v>
      </c>
    </row>
    <row r="1613" spans="1:18" ht="409.5" x14ac:dyDescent="0.25">
      <c r="A1613" s="14" t="s">
        <v>8732</v>
      </c>
      <c r="B1613" s="14" t="s">
        <v>8813</v>
      </c>
      <c r="C1613" s="14" t="s">
        <v>8904</v>
      </c>
      <c r="D1613" s="14" t="s">
        <v>8531</v>
      </c>
      <c r="E1613" s="14" t="s">
        <v>7573</v>
      </c>
      <c r="F1613" s="14" t="s">
        <v>7574</v>
      </c>
      <c r="G1613" s="8" t="s">
        <v>8883</v>
      </c>
      <c r="H1613" s="14"/>
      <c r="I1613" s="14"/>
      <c r="J1613" s="14"/>
      <c r="K1613" s="14"/>
      <c r="L1613" s="14" t="s">
        <v>7577</v>
      </c>
      <c r="M1613" s="14" t="s">
        <v>7578</v>
      </c>
      <c r="N1613" s="14" t="s">
        <v>7579</v>
      </c>
      <c r="O1613" s="14" t="s">
        <v>7580</v>
      </c>
      <c r="P1613" s="14" t="str">
        <f>HYPERLINK("https://ceds.ed.gov/cedselementdetails.aspx?termid=18491")</f>
        <v>https://ceds.ed.gov/cedselementdetails.aspx?termid=18491</v>
      </c>
      <c r="Q1613" s="14" t="str">
        <f>HYPERLINK("https://ceds.ed.gov/elementComment.aspx?elementName=School Courses for the Exchange of Data Course Subject Area &amp;elementID=18491", "Click here to submit comment")</f>
        <v>Click here to submit comment</v>
      </c>
      <c r="R1613" s="14">
        <v>51150</v>
      </c>
    </row>
    <row r="1614" spans="1:18" ht="120" x14ac:dyDescent="0.25">
      <c r="A1614" s="14" t="s">
        <v>8732</v>
      </c>
      <c r="B1614" s="14" t="s">
        <v>8813</v>
      </c>
      <c r="C1614" s="14" t="s">
        <v>8904</v>
      </c>
      <c r="D1614" s="14" t="s">
        <v>8531</v>
      </c>
      <c r="E1614" s="14" t="s">
        <v>7589</v>
      </c>
      <c r="F1614" s="14" t="s">
        <v>7590</v>
      </c>
      <c r="G1614" s="14" t="s">
        <v>37</v>
      </c>
      <c r="H1614" s="14" t="s">
        <v>1713</v>
      </c>
      <c r="I1614" s="14"/>
      <c r="J1614" s="14" t="s">
        <v>3096</v>
      </c>
      <c r="K1614" s="14"/>
      <c r="L1614" s="14" t="s">
        <v>7591</v>
      </c>
      <c r="M1614" s="14" t="s">
        <v>7592</v>
      </c>
      <c r="N1614" s="14" t="s">
        <v>7593</v>
      </c>
      <c r="O1614" s="14" t="s">
        <v>7594</v>
      </c>
      <c r="P1614" s="14" t="str">
        <f>HYPERLINK("https://ceds.ed.gov/cedselementdetails.aspx?termid=17250")</f>
        <v>https://ceds.ed.gov/cedselementdetails.aspx?termid=17250</v>
      </c>
      <c r="Q1614" s="14" t="str">
        <f>HYPERLINK("https://ceds.ed.gov/elementComment.aspx?elementName=School Courses for the Exchange of Data Sequence of Course &amp;elementID=17250", "Click here to submit comment")</f>
        <v>Click here to submit comment</v>
      </c>
      <c r="R1614" s="14">
        <v>51151</v>
      </c>
    </row>
    <row r="1615" spans="1:18" ht="120" x14ac:dyDescent="0.25">
      <c r="A1615" s="14" t="s">
        <v>8732</v>
      </c>
      <c r="B1615" s="14" t="s">
        <v>8813</v>
      </c>
      <c r="C1615" s="14" t="s">
        <v>8904</v>
      </c>
      <c r="D1615" s="14" t="s">
        <v>8531</v>
      </c>
      <c r="E1615" s="14" t="s">
        <v>7559</v>
      </c>
      <c r="F1615" s="14" t="s">
        <v>7560</v>
      </c>
      <c r="G1615" s="14" t="s">
        <v>8527</v>
      </c>
      <c r="H1615" s="14"/>
      <c r="I1615" s="14" t="s">
        <v>195</v>
      </c>
      <c r="J1615" s="14"/>
      <c r="K1615" s="14" t="s">
        <v>7562</v>
      </c>
      <c r="L1615" s="6" t="s">
        <v>7563</v>
      </c>
      <c r="M1615" s="14" t="s">
        <v>7564</v>
      </c>
      <c r="N1615" s="14" t="s">
        <v>7565</v>
      </c>
      <c r="O1615" s="14" t="s">
        <v>7566</v>
      </c>
      <c r="P1615" s="14" t="str">
        <f>HYPERLINK("https://ceds.ed.gov/cedselementdetails.aspx?termid=18490")</f>
        <v>https://ceds.ed.gov/cedselementdetails.aspx?termid=18490</v>
      </c>
      <c r="Q1615" s="14" t="str">
        <f>HYPERLINK("https://ceds.ed.gov/elementComment.aspx?elementName=School Courses for the Exchange of Data Course Code &amp;elementID=18490", "Click here to submit comment")</f>
        <v>Click here to submit comment</v>
      </c>
      <c r="R1615" s="14">
        <v>51152</v>
      </c>
    </row>
    <row r="1616" spans="1:18" ht="105" x14ac:dyDescent="0.25">
      <c r="A1616" s="14" t="s">
        <v>8732</v>
      </c>
      <c r="B1616" s="14" t="s">
        <v>8813</v>
      </c>
      <c r="C1616" s="14" t="s">
        <v>8904</v>
      </c>
      <c r="D1616" s="14" t="s">
        <v>8531</v>
      </c>
      <c r="E1616" s="14" t="s">
        <v>7567</v>
      </c>
      <c r="F1616" s="14" t="s">
        <v>7568</v>
      </c>
      <c r="G1616" s="8" t="s">
        <v>8905</v>
      </c>
      <c r="H1616" s="14"/>
      <c r="I1616" s="14"/>
      <c r="J1616" s="14"/>
      <c r="K1616" s="14"/>
      <c r="L1616" s="14"/>
      <c r="M1616" s="14" t="s">
        <v>7570</v>
      </c>
      <c r="N1616" s="14" t="s">
        <v>7571</v>
      </c>
      <c r="O1616" s="14" t="s">
        <v>7572</v>
      </c>
      <c r="P1616" s="14" t="str">
        <f>HYPERLINK("https://ceds.ed.gov/cedselementdetails.aspx?termid=18488")</f>
        <v>https://ceds.ed.gov/cedselementdetails.aspx?termid=18488</v>
      </c>
      <c r="Q1616" s="14" t="str">
        <f>HYPERLINK("https://ceds.ed.gov/elementComment.aspx?elementName=School Courses for the Exchange of Data Course Level &amp;elementID=18488", "Click here to submit comment")</f>
        <v>Click here to submit comment</v>
      </c>
      <c r="R1616" s="14">
        <v>51153</v>
      </c>
    </row>
    <row r="1617" spans="1:18" ht="105" x14ac:dyDescent="0.25">
      <c r="A1617" s="14" t="s">
        <v>8732</v>
      </c>
      <c r="B1617" s="14" t="s">
        <v>8813</v>
      </c>
      <c r="C1617" s="14" t="s">
        <v>8904</v>
      </c>
      <c r="D1617" s="14" t="s">
        <v>8531</v>
      </c>
      <c r="E1617" s="14" t="s">
        <v>7581</v>
      </c>
      <c r="F1617" s="14" t="s">
        <v>7582</v>
      </c>
      <c r="G1617" s="14" t="s">
        <v>37</v>
      </c>
      <c r="H1617" s="14"/>
      <c r="I1617" s="14"/>
      <c r="J1617" s="14" t="s">
        <v>7584</v>
      </c>
      <c r="K1617" s="14"/>
      <c r="L1617" s="14" t="s">
        <v>7585</v>
      </c>
      <c r="M1617" s="14" t="s">
        <v>7586</v>
      </c>
      <c r="N1617" s="14" t="s">
        <v>7587</v>
      </c>
      <c r="O1617" s="14" t="s">
        <v>7588</v>
      </c>
      <c r="P1617" s="14" t="str">
        <f>HYPERLINK("https://ceds.ed.gov/cedselementdetails.aspx?termid=18452")</f>
        <v>https://ceds.ed.gov/cedselementdetails.aspx?termid=18452</v>
      </c>
      <c r="Q1617" s="14" t="str">
        <f>HYPERLINK("https://ceds.ed.gov/elementComment.aspx?elementName=School Courses for the Exchange of Data Grade Span &amp;elementID=18452", "Click here to submit comment")</f>
        <v>Click here to submit comment</v>
      </c>
      <c r="R1617" s="14">
        <v>51154</v>
      </c>
    </row>
    <row r="1618" spans="1:18" ht="120" x14ac:dyDescent="0.25">
      <c r="A1618" s="14" t="s">
        <v>8732</v>
      </c>
      <c r="B1618" s="14" t="s">
        <v>8813</v>
      </c>
      <c r="C1618" s="14" t="s">
        <v>8904</v>
      </c>
      <c r="D1618" s="14" t="s">
        <v>8531</v>
      </c>
      <c r="E1618" s="14" t="s">
        <v>4948</v>
      </c>
      <c r="F1618" s="14" t="s">
        <v>4949</v>
      </c>
      <c r="G1618" s="14" t="s">
        <v>24</v>
      </c>
      <c r="H1618" s="14" t="s">
        <v>1713</v>
      </c>
      <c r="I1618" s="14"/>
      <c r="J1618" s="14"/>
      <c r="K1618" s="14"/>
      <c r="L1618" s="14"/>
      <c r="M1618" s="14" t="s">
        <v>4951</v>
      </c>
      <c r="N1618" s="14"/>
      <c r="O1618" s="14" t="s">
        <v>4952</v>
      </c>
      <c r="P1618" s="14" t="str">
        <f>HYPERLINK("https://ceds.ed.gov/cedselementdetails.aspx?termid=17137")</f>
        <v>https://ceds.ed.gov/cedselementdetails.aspx?termid=17137</v>
      </c>
      <c r="Q1618" s="14" t="str">
        <f>HYPERLINK("https://ceds.ed.gov/elementComment.aspx?elementName=High School Course Requirement &amp;elementID=17137", "Click here to submit comment")</f>
        <v>Click here to submit comment</v>
      </c>
      <c r="R1618" s="14">
        <v>51155</v>
      </c>
    </row>
    <row r="1619" spans="1:18" ht="105" x14ac:dyDescent="0.25">
      <c r="A1619" s="14" t="s">
        <v>8732</v>
      </c>
      <c r="B1619" s="14" t="s">
        <v>8813</v>
      </c>
      <c r="C1619" s="14" t="s">
        <v>8904</v>
      </c>
      <c r="D1619" s="14" t="s">
        <v>8531</v>
      </c>
      <c r="E1619" s="14" t="s">
        <v>3359</v>
      </c>
      <c r="F1619" s="14" t="s">
        <v>3360</v>
      </c>
      <c r="G1619" s="14" t="s">
        <v>37</v>
      </c>
      <c r="H1619" s="14" t="s">
        <v>65</v>
      </c>
      <c r="I1619" s="14"/>
      <c r="J1619" s="14" t="s">
        <v>1710</v>
      </c>
      <c r="K1619" s="14"/>
      <c r="L1619" s="14" t="s">
        <v>3362</v>
      </c>
      <c r="M1619" s="14" t="s">
        <v>3363</v>
      </c>
      <c r="N1619" s="14"/>
      <c r="O1619" s="14" t="s">
        <v>3364</v>
      </c>
      <c r="P1619" s="14" t="str">
        <f>HYPERLINK("https://ceds.ed.gov/cedselementdetails.aspx?termid=17058")</f>
        <v>https://ceds.ed.gov/cedselementdetails.aspx?termid=17058</v>
      </c>
      <c r="Q1619" s="14" t="str">
        <f>HYPERLINK("https://ceds.ed.gov/elementComment.aspx?elementName=Credit Value &amp;elementID=17058", "Click here to submit comment")</f>
        <v>Click here to submit comment</v>
      </c>
      <c r="R1619" s="14">
        <v>51156</v>
      </c>
    </row>
    <row r="1620" spans="1:18" ht="330" x14ac:dyDescent="0.25">
      <c r="A1620" s="14" t="s">
        <v>8732</v>
      </c>
      <c r="B1620" s="14" t="s">
        <v>8813</v>
      </c>
      <c r="C1620" s="14" t="s">
        <v>8904</v>
      </c>
      <c r="D1620" s="14" t="s">
        <v>8531</v>
      </c>
      <c r="E1620" s="14" t="s">
        <v>4830</v>
      </c>
      <c r="F1620" s="14" t="s">
        <v>4831</v>
      </c>
      <c r="G1620" s="8" t="s">
        <v>8821</v>
      </c>
      <c r="H1620" s="14" t="s">
        <v>72</v>
      </c>
      <c r="I1620" s="14"/>
      <c r="J1620" s="14"/>
      <c r="K1620" s="14"/>
      <c r="L1620" s="14"/>
      <c r="M1620" s="14" t="s">
        <v>4833</v>
      </c>
      <c r="N1620" s="14"/>
      <c r="O1620" s="14" t="s">
        <v>4834</v>
      </c>
      <c r="P1620" s="14" t="str">
        <f>HYPERLINK("https://ceds.ed.gov/cedselementdetails.aspx?termid=17125")</f>
        <v>https://ceds.ed.gov/cedselementdetails.aspx?termid=17125</v>
      </c>
      <c r="Q1620" s="14" t="str">
        <f>HYPERLINK("https://ceds.ed.gov/elementComment.aspx?elementName=Grade Level When Course Taken &amp;elementID=17125", "Click here to submit comment")</f>
        <v>Click here to submit comment</v>
      </c>
      <c r="R1620" s="14">
        <v>51157</v>
      </c>
    </row>
    <row r="1621" spans="1:18" ht="409.5" x14ac:dyDescent="0.25">
      <c r="A1621" s="14" t="s">
        <v>8732</v>
      </c>
      <c r="B1621" s="14" t="s">
        <v>8813</v>
      </c>
      <c r="C1621" s="14" t="s">
        <v>8671</v>
      </c>
      <c r="D1621" s="14" t="s">
        <v>8531</v>
      </c>
      <c r="E1621" s="14" t="s">
        <v>5029</v>
      </c>
      <c r="F1621" s="14" t="s">
        <v>5030</v>
      </c>
      <c r="G1621" s="14" t="s">
        <v>24</v>
      </c>
      <c r="H1621" s="14" t="s">
        <v>5034</v>
      </c>
      <c r="I1621" s="14"/>
      <c r="J1621" s="14"/>
      <c r="K1621" s="14"/>
      <c r="L1621" s="14"/>
      <c r="M1621" s="14" t="s">
        <v>5032</v>
      </c>
      <c r="N1621" s="14"/>
      <c r="O1621" s="14" t="s">
        <v>5033</v>
      </c>
      <c r="P1621" s="14" t="str">
        <f>HYPERLINK("https://ceds.ed.gov/cedselementdetails.aspx?termid=17149")</f>
        <v>https://ceds.ed.gov/cedselementdetails.aspx?termid=17149</v>
      </c>
      <c r="Q1621" s="14" t="str">
        <f>HYPERLINK("https://ceds.ed.gov/elementComment.aspx?elementName=Homelessness Status &amp;elementID=17149", "Click here to submit comment")</f>
        <v>Click here to submit comment</v>
      </c>
      <c r="R1621" s="14">
        <v>48769</v>
      </c>
    </row>
    <row r="1622" spans="1:18" ht="45" x14ac:dyDescent="0.25">
      <c r="A1622" s="14" t="s">
        <v>8732</v>
      </c>
      <c r="B1622" s="14" t="s">
        <v>8813</v>
      </c>
      <c r="C1622" s="14" t="s">
        <v>8671</v>
      </c>
      <c r="D1622" s="14" t="s">
        <v>8531</v>
      </c>
      <c r="E1622" s="14" t="s">
        <v>8037</v>
      </c>
      <c r="F1622" s="14" t="s">
        <v>8038</v>
      </c>
      <c r="G1622" s="14" t="s">
        <v>37</v>
      </c>
      <c r="H1622" s="14"/>
      <c r="I1622" s="14"/>
      <c r="J1622" s="14" t="s">
        <v>135</v>
      </c>
      <c r="K1622" s="14"/>
      <c r="L1622" s="14"/>
      <c r="M1622" s="14" t="s">
        <v>8039</v>
      </c>
      <c r="N1622" s="14"/>
      <c r="O1622" s="14" t="s">
        <v>8040</v>
      </c>
      <c r="P1622" s="14" t="str">
        <f>HYPERLINK("https://ceds.ed.gov/cedselementdetails.aspx?termid=18192")</f>
        <v>https://ceds.ed.gov/cedselementdetails.aspx?termid=18192</v>
      </c>
      <c r="Q1622" s="14" t="str">
        <f>HYPERLINK("https://ceds.ed.gov/elementComment.aspx?elementName=Status Start Date &amp;elementID=18192", "Click here to submit comment")</f>
        <v>Click here to submit comment</v>
      </c>
      <c r="R1622" s="14">
        <v>48420</v>
      </c>
    </row>
    <row r="1623" spans="1:18" ht="409.5" x14ac:dyDescent="0.25">
      <c r="A1623" s="14" t="s">
        <v>8732</v>
      </c>
      <c r="B1623" s="14" t="s">
        <v>8813</v>
      </c>
      <c r="C1623" s="14" t="s">
        <v>8671</v>
      </c>
      <c r="D1623" s="14" t="s">
        <v>8531</v>
      </c>
      <c r="E1623" s="14" t="s">
        <v>8031</v>
      </c>
      <c r="F1623" s="14" t="s">
        <v>8032</v>
      </c>
      <c r="G1623" s="14" t="s">
        <v>37</v>
      </c>
      <c r="H1623" s="14"/>
      <c r="I1623" s="14"/>
      <c r="J1623" s="14" t="s">
        <v>135</v>
      </c>
      <c r="K1623" s="14"/>
      <c r="L1623" s="14" t="s">
        <v>8034</v>
      </c>
      <c r="M1623" s="14" t="s">
        <v>8035</v>
      </c>
      <c r="N1623" s="14"/>
      <c r="O1623" s="14" t="s">
        <v>8036</v>
      </c>
      <c r="P1623" s="14" t="str">
        <f>HYPERLINK("https://ceds.ed.gov/cedselementdetails.aspx?termid=18193")</f>
        <v>https://ceds.ed.gov/cedselementdetails.aspx?termid=18193</v>
      </c>
      <c r="Q1623" s="14" t="str">
        <f>HYPERLINK("https://ceds.ed.gov/elementComment.aspx?elementName=Status End Date &amp;elementID=18193", "Click here to submit comment")</f>
        <v>Click here to submit comment</v>
      </c>
      <c r="R1623" s="14">
        <v>48543</v>
      </c>
    </row>
    <row r="1624" spans="1:18" ht="135" x14ac:dyDescent="0.25">
      <c r="A1624" s="14" t="s">
        <v>8732</v>
      </c>
      <c r="B1624" s="14" t="s">
        <v>8813</v>
      </c>
      <c r="C1624" s="14" t="s">
        <v>8671</v>
      </c>
      <c r="D1624" s="14" t="s">
        <v>8531</v>
      </c>
      <c r="E1624" s="14" t="s">
        <v>5012</v>
      </c>
      <c r="F1624" s="14" t="s">
        <v>5013</v>
      </c>
      <c r="G1624" s="8" t="s">
        <v>8672</v>
      </c>
      <c r="H1624" s="14" t="s">
        <v>258</v>
      </c>
      <c r="I1624" s="14" t="s">
        <v>195</v>
      </c>
      <c r="J1624" s="14"/>
      <c r="K1624" s="14" t="s">
        <v>5016</v>
      </c>
      <c r="L1624" s="14"/>
      <c r="M1624" s="14" t="s">
        <v>5017</v>
      </c>
      <c r="N1624" s="14"/>
      <c r="O1624" s="14" t="s">
        <v>5018</v>
      </c>
      <c r="P1624" s="14" t="str">
        <f>HYPERLINK("https://ceds.ed.gov/cedselementdetails.aspx?termid=17146")</f>
        <v>https://ceds.ed.gov/cedselementdetails.aspx?termid=17146</v>
      </c>
      <c r="Q1624" s="14" t="str">
        <f>HYPERLINK("https://ceds.ed.gov/elementComment.aspx?elementName=Homeless Primary Nighttime Residence &amp;elementID=17146", "Click here to submit comment")</f>
        <v>Click here to submit comment</v>
      </c>
      <c r="R1624" s="14">
        <v>48766</v>
      </c>
    </row>
    <row r="1625" spans="1:18" ht="45" x14ac:dyDescent="0.25">
      <c r="A1625" s="14" t="s">
        <v>8732</v>
      </c>
      <c r="B1625" s="14" t="s">
        <v>8813</v>
      </c>
      <c r="C1625" s="14" t="s">
        <v>8671</v>
      </c>
      <c r="D1625" s="14" t="s">
        <v>8531</v>
      </c>
      <c r="E1625" s="14" t="s">
        <v>5019</v>
      </c>
      <c r="F1625" s="14" t="s">
        <v>5020</v>
      </c>
      <c r="G1625" s="14" t="s">
        <v>24</v>
      </c>
      <c r="H1625" s="14"/>
      <c r="I1625" s="14"/>
      <c r="J1625" s="14"/>
      <c r="K1625" s="14"/>
      <c r="L1625" s="14"/>
      <c r="M1625" s="14" t="s">
        <v>5022</v>
      </c>
      <c r="N1625" s="14"/>
      <c r="O1625" s="14" t="s">
        <v>5023</v>
      </c>
      <c r="P1625" s="14" t="str">
        <f>HYPERLINK("https://ceds.ed.gov/cedselementdetails.aspx?termid=17147")</f>
        <v>https://ceds.ed.gov/cedselementdetails.aspx?termid=17147</v>
      </c>
      <c r="Q1625" s="14" t="str">
        <f>HYPERLINK("https://ceds.ed.gov/elementComment.aspx?elementName=Homeless Serviced Indicator &amp;elementID=17147", "Click here to submit comment")</f>
        <v>Click here to submit comment</v>
      </c>
      <c r="R1625" s="14">
        <v>48767</v>
      </c>
    </row>
    <row r="1626" spans="1:18" ht="45" x14ac:dyDescent="0.25">
      <c r="A1626" s="14" t="s">
        <v>8732</v>
      </c>
      <c r="B1626" s="14" t="s">
        <v>8813</v>
      </c>
      <c r="C1626" s="14" t="s">
        <v>8671</v>
      </c>
      <c r="D1626" s="14" t="s">
        <v>8531</v>
      </c>
      <c r="E1626" s="14" t="s">
        <v>5024</v>
      </c>
      <c r="F1626" s="14" t="s">
        <v>5025</v>
      </c>
      <c r="G1626" s="14" t="s">
        <v>24</v>
      </c>
      <c r="H1626" s="14" t="s">
        <v>258</v>
      </c>
      <c r="I1626" s="14"/>
      <c r="J1626" s="14"/>
      <c r="K1626" s="14"/>
      <c r="L1626" s="14"/>
      <c r="M1626" s="14" t="s">
        <v>5027</v>
      </c>
      <c r="N1626" s="14"/>
      <c r="O1626" s="14" t="s">
        <v>5028</v>
      </c>
      <c r="P1626" s="14" t="str">
        <f>HYPERLINK("https://ceds.ed.gov/cedselementdetails.aspx?termid=17148")</f>
        <v>https://ceds.ed.gov/cedselementdetails.aspx?termid=17148</v>
      </c>
      <c r="Q1626" s="14" t="str">
        <f>HYPERLINK("https://ceds.ed.gov/elementComment.aspx?elementName=Homeless Unaccompanied Youth Status &amp;elementID=17148", "Click here to submit comment")</f>
        <v>Click here to submit comment</v>
      </c>
      <c r="R1626" s="14">
        <v>48768</v>
      </c>
    </row>
    <row r="1627" spans="1:18" ht="120" x14ac:dyDescent="0.25">
      <c r="A1627" s="14" t="s">
        <v>8732</v>
      </c>
      <c r="B1627" s="14" t="s">
        <v>8813</v>
      </c>
      <c r="C1627" s="14" t="s">
        <v>8906</v>
      </c>
      <c r="D1627" s="14" t="s">
        <v>8531</v>
      </c>
      <c r="E1627" s="14" t="s">
        <v>8320</v>
      </c>
      <c r="F1627" s="14" t="s">
        <v>8321</v>
      </c>
      <c r="G1627" s="14" t="s">
        <v>24</v>
      </c>
      <c r="H1627" s="14" t="s">
        <v>72</v>
      </c>
      <c r="I1627" s="14"/>
      <c r="J1627" s="14"/>
      <c r="K1627" s="14"/>
      <c r="L1627" s="14"/>
      <c r="M1627" s="14" t="s">
        <v>8322</v>
      </c>
      <c r="N1627" s="14"/>
      <c r="O1627" s="14" t="s">
        <v>8323</v>
      </c>
      <c r="P1627" s="14" t="str">
        <f>HYPERLINK("https://ceds.ed.gov/cedselementdetails.aspx?termid=17291")</f>
        <v>https://ceds.ed.gov/cedselementdetails.aspx?termid=17291</v>
      </c>
      <c r="Q1627" s="14" t="str">
        <f>HYPERLINK("https://ceds.ed.gov/elementComment.aspx?elementName=Title III Immigrant Status &amp;elementID=17291", "Click here to submit comment")</f>
        <v>Click here to submit comment</v>
      </c>
      <c r="R1627" s="14">
        <v>48826</v>
      </c>
    </row>
    <row r="1628" spans="1:18" ht="90" x14ac:dyDescent="0.25">
      <c r="A1628" s="14" t="s">
        <v>8732</v>
      </c>
      <c r="B1628" s="14" t="s">
        <v>8813</v>
      </c>
      <c r="C1628" s="14" t="s">
        <v>8906</v>
      </c>
      <c r="D1628" s="14" t="s">
        <v>8531</v>
      </c>
      <c r="E1628" s="14" t="s">
        <v>8316</v>
      </c>
      <c r="F1628" s="14" t="s">
        <v>8317</v>
      </c>
      <c r="G1628" s="14" t="s">
        <v>24</v>
      </c>
      <c r="H1628" s="14" t="s">
        <v>258</v>
      </c>
      <c r="I1628" s="14"/>
      <c r="J1628" s="14"/>
      <c r="K1628" s="14"/>
      <c r="L1628" s="14"/>
      <c r="M1628" s="14" t="s">
        <v>8318</v>
      </c>
      <c r="N1628" s="14"/>
      <c r="O1628" s="14" t="s">
        <v>8319</v>
      </c>
      <c r="P1628" s="14" t="str">
        <f>HYPERLINK("https://ceds.ed.gov/cedselementdetails.aspx?termid=17290")</f>
        <v>https://ceds.ed.gov/cedselementdetails.aspx?termid=17290</v>
      </c>
      <c r="Q1628" s="14" t="str">
        <f>HYPERLINK("https://ceds.ed.gov/elementComment.aspx?elementName=Title III Immigrant Participation Status &amp;elementID=17290", "Click here to submit comment")</f>
        <v>Click here to submit comment</v>
      </c>
      <c r="R1628" s="14">
        <v>48825</v>
      </c>
    </row>
    <row r="1629" spans="1:18" ht="45" x14ac:dyDescent="0.25">
      <c r="A1629" s="14" t="s">
        <v>8732</v>
      </c>
      <c r="B1629" s="14" t="s">
        <v>8813</v>
      </c>
      <c r="C1629" s="14" t="s">
        <v>8906</v>
      </c>
      <c r="D1629" s="14" t="s">
        <v>8531</v>
      </c>
      <c r="E1629" s="14" t="s">
        <v>8037</v>
      </c>
      <c r="F1629" s="14" t="s">
        <v>8038</v>
      </c>
      <c r="G1629" s="14" t="s">
        <v>37</v>
      </c>
      <c r="H1629" s="14"/>
      <c r="I1629" s="14"/>
      <c r="J1629" s="14" t="s">
        <v>135</v>
      </c>
      <c r="K1629" s="14"/>
      <c r="L1629" s="14"/>
      <c r="M1629" s="14" t="s">
        <v>8039</v>
      </c>
      <c r="N1629" s="14"/>
      <c r="O1629" s="14" t="s">
        <v>8040</v>
      </c>
      <c r="P1629" s="14" t="str">
        <f>HYPERLINK("https://ceds.ed.gov/cedselementdetails.aspx?termid=18192")</f>
        <v>https://ceds.ed.gov/cedselementdetails.aspx?termid=18192</v>
      </c>
      <c r="Q1629" s="14" t="str">
        <f>HYPERLINK("https://ceds.ed.gov/elementComment.aspx?elementName=Status Start Date &amp;elementID=18192", "Click here to submit comment")</f>
        <v>Click here to submit comment</v>
      </c>
      <c r="R1629" s="14">
        <v>48983</v>
      </c>
    </row>
    <row r="1630" spans="1:18" ht="409.5" x14ac:dyDescent="0.25">
      <c r="A1630" s="14" t="s">
        <v>8732</v>
      </c>
      <c r="B1630" s="14" t="s">
        <v>8813</v>
      </c>
      <c r="C1630" s="14" t="s">
        <v>8906</v>
      </c>
      <c r="D1630" s="14" t="s">
        <v>8531</v>
      </c>
      <c r="E1630" s="14" t="s">
        <v>8031</v>
      </c>
      <c r="F1630" s="14" t="s">
        <v>8032</v>
      </c>
      <c r="G1630" s="14" t="s">
        <v>37</v>
      </c>
      <c r="H1630" s="14"/>
      <c r="I1630" s="14"/>
      <c r="J1630" s="14" t="s">
        <v>135</v>
      </c>
      <c r="K1630" s="14"/>
      <c r="L1630" s="14" t="s">
        <v>8034</v>
      </c>
      <c r="M1630" s="14" t="s">
        <v>8035</v>
      </c>
      <c r="N1630" s="14"/>
      <c r="O1630" s="14" t="s">
        <v>8036</v>
      </c>
      <c r="P1630" s="14" t="str">
        <f>HYPERLINK("https://ceds.ed.gov/cedselementdetails.aspx?termid=18193")</f>
        <v>https://ceds.ed.gov/cedselementdetails.aspx?termid=18193</v>
      </c>
      <c r="Q1630" s="14" t="str">
        <f>HYPERLINK("https://ceds.ed.gov/elementComment.aspx?elementName=Status End Date &amp;elementID=18193", "Click here to submit comment")</f>
        <v>Click here to submit comment</v>
      </c>
      <c r="R1630" s="14">
        <v>48984</v>
      </c>
    </row>
    <row r="1631" spans="1:18" ht="45" x14ac:dyDescent="0.25">
      <c r="A1631" s="14" t="s">
        <v>8732</v>
      </c>
      <c r="B1631" s="14" t="s">
        <v>8813</v>
      </c>
      <c r="C1631" s="14" t="s">
        <v>8906</v>
      </c>
      <c r="D1631" s="14" t="s">
        <v>8531</v>
      </c>
      <c r="E1631" s="14" t="s">
        <v>4658</v>
      </c>
      <c r="F1631" s="14" t="s">
        <v>4659</v>
      </c>
      <c r="G1631" s="14" t="s">
        <v>37</v>
      </c>
      <c r="H1631" s="14"/>
      <c r="I1631" s="14"/>
      <c r="J1631" s="14" t="s">
        <v>135</v>
      </c>
      <c r="K1631" s="14"/>
      <c r="L1631" s="14"/>
      <c r="M1631" s="14" t="s">
        <v>4661</v>
      </c>
      <c r="N1631" s="14"/>
      <c r="O1631" s="14" t="s">
        <v>4662</v>
      </c>
      <c r="P1631" s="14" t="str">
        <f>HYPERLINK("https://ceds.ed.gov/cedselementdetails.aspx?termid=17520")</f>
        <v>https://ceds.ed.gov/cedselementdetails.aspx?termid=17520</v>
      </c>
      <c r="Q1631" s="14" t="str">
        <f>HYPERLINK("https://ceds.ed.gov/elementComment.aspx?elementName=First Entry Date into a US School &amp;elementID=17520", "Click here to submit comment")</f>
        <v>Click here to submit comment</v>
      </c>
      <c r="R1631" s="14">
        <v>48860</v>
      </c>
    </row>
    <row r="1632" spans="1:18" ht="409.5" x14ac:dyDescent="0.25">
      <c r="A1632" s="14" t="s">
        <v>8732</v>
      </c>
      <c r="B1632" s="14" t="s">
        <v>8813</v>
      </c>
      <c r="C1632" s="14" t="s">
        <v>8907</v>
      </c>
      <c r="D1632" s="14" t="s">
        <v>8531</v>
      </c>
      <c r="E1632" s="14" t="s">
        <v>4069</v>
      </c>
      <c r="F1632" s="14" t="s">
        <v>4070</v>
      </c>
      <c r="G1632" s="14" t="s">
        <v>24</v>
      </c>
      <c r="H1632" s="14" t="s">
        <v>2157</v>
      </c>
      <c r="I1632" s="14"/>
      <c r="J1632" s="14"/>
      <c r="K1632" s="14"/>
      <c r="L1632" s="14" t="s">
        <v>4072</v>
      </c>
      <c r="M1632" s="14" t="s">
        <v>4073</v>
      </c>
      <c r="N1632" s="14" t="s">
        <v>4074</v>
      </c>
      <c r="O1632" s="14" t="s">
        <v>4075</v>
      </c>
      <c r="P1632" s="14" t="str">
        <f>HYPERLINK("https://ceds.ed.gov/cedselementdetails.aspx?termid=17180")</f>
        <v>https://ceds.ed.gov/cedselementdetails.aspx?termid=17180</v>
      </c>
      <c r="Q1632" s="14" t="str">
        <f>HYPERLINK("https://ceds.ed.gov/elementComment.aspx?elementName=English Learner Status &amp;elementID=17180", "Click here to submit comment")</f>
        <v>Click here to submit comment</v>
      </c>
      <c r="R1632" s="14">
        <v>48783</v>
      </c>
    </row>
    <row r="1633" spans="1:18" ht="60" x14ac:dyDescent="0.25">
      <c r="A1633" s="14" t="s">
        <v>8732</v>
      </c>
      <c r="B1633" s="14" t="s">
        <v>8813</v>
      </c>
      <c r="C1633" s="14" t="s">
        <v>8907</v>
      </c>
      <c r="D1633" s="14" t="s">
        <v>8531</v>
      </c>
      <c r="E1633" s="14" t="s">
        <v>7125</v>
      </c>
      <c r="F1633" s="14" t="s">
        <v>7126</v>
      </c>
      <c r="G1633" s="14" t="s">
        <v>37</v>
      </c>
      <c r="H1633" s="14" t="s">
        <v>7129</v>
      </c>
      <c r="I1633" s="14"/>
      <c r="J1633" s="14" t="s">
        <v>135</v>
      </c>
      <c r="K1633" s="14"/>
      <c r="L1633" s="14"/>
      <c r="M1633" s="14" t="s">
        <v>7127</v>
      </c>
      <c r="N1633" s="14"/>
      <c r="O1633" s="14" t="s">
        <v>7128</v>
      </c>
      <c r="P1633" s="14" t="str">
        <f>HYPERLINK("https://ceds.ed.gov/cedselementdetails.aspx?termid=17583")</f>
        <v>https://ceds.ed.gov/cedselementdetails.aspx?termid=17583</v>
      </c>
      <c r="Q1633" s="14" t="str">
        <f>HYPERLINK("https://ceds.ed.gov/elementComment.aspx?elementName=Program Participation Start Date &amp;elementID=17583", "Click here to submit comment")</f>
        <v>Click here to submit comment</v>
      </c>
      <c r="R1633" s="14">
        <v>48985</v>
      </c>
    </row>
    <row r="1634" spans="1:18" ht="75" x14ac:dyDescent="0.25">
      <c r="A1634" s="14" t="s">
        <v>8732</v>
      </c>
      <c r="B1634" s="14" t="s">
        <v>8813</v>
      </c>
      <c r="C1634" s="14" t="s">
        <v>8907</v>
      </c>
      <c r="D1634" s="14" t="s">
        <v>8531</v>
      </c>
      <c r="E1634" s="14" t="s">
        <v>7120</v>
      </c>
      <c r="F1634" s="14" t="s">
        <v>2201</v>
      </c>
      <c r="G1634" s="14" t="s">
        <v>37</v>
      </c>
      <c r="H1634" s="14" t="s">
        <v>7124</v>
      </c>
      <c r="I1634" s="14"/>
      <c r="J1634" s="14" t="s">
        <v>135</v>
      </c>
      <c r="K1634" s="14"/>
      <c r="L1634" s="14" t="s">
        <v>160</v>
      </c>
      <c r="M1634" s="14" t="s">
        <v>7122</v>
      </c>
      <c r="N1634" s="14"/>
      <c r="O1634" s="14" t="s">
        <v>7123</v>
      </c>
      <c r="P1634" s="14" t="str">
        <f>HYPERLINK("https://ceds.ed.gov/cedselementdetails.aspx?termid=17584")</f>
        <v>https://ceds.ed.gov/cedselementdetails.aspx?termid=17584</v>
      </c>
      <c r="Q1634" s="14" t="str">
        <f>HYPERLINK("https://ceds.ed.gov/elementComment.aspx?elementName=Program Participation Exit Date &amp;elementID=17584", "Click here to submit comment")</f>
        <v>Click here to submit comment</v>
      </c>
      <c r="R1634" s="14">
        <v>48986</v>
      </c>
    </row>
    <row r="1635" spans="1:18" ht="210" x14ac:dyDescent="0.25">
      <c r="A1635" s="14" t="s">
        <v>8732</v>
      </c>
      <c r="B1635" s="14" t="s">
        <v>8813</v>
      </c>
      <c r="C1635" s="14" t="s">
        <v>8907</v>
      </c>
      <c r="D1635" s="14" t="s">
        <v>8531</v>
      </c>
      <c r="E1635" s="14" t="s">
        <v>6686</v>
      </c>
      <c r="F1635" s="14" t="s">
        <v>6687</v>
      </c>
      <c r="G1635" s="14" t="s">
        <v>24</v>
      </c>
      <c r="H1635" s="14" t="s">
        <v>258</v>
      </c>
      <c r="I1635" s="14"/>
      <c r="J1635" s="14"/>
      <c r="K1635" s="14"/>
      <c r="L1635" s="14"/>
      <c r="M1635" s="14" t="s">
        <v>6689</v>
      </c>
      <c r="N1635" s="14" t="s">
        <v>6690</v>
      </c>
      <c r="O1635" s="14" t="s">
        <v>6691</v>
      </c>
      <c r="P1635" s="14" t="str">
        <f>HYPERLINK("https://ceds.ed.gov/cedselementdetails.aspx?termid=17574")</f>
        <v>https://ceds.ed.gov/cedselementdetails.aspx?termid=17574</v>
      </c>
      <c r="Q1635" s="14" t="str">
        <f>HYPERLINK("https://ceds.ed.gov/elementComment.aspx?elementName=Perkins Limited English Proficiency Status &amp;elementID=17574", "Click here to submit comment")</f>
        <v>Click here to submit comment</v>
      </c>
      <c r="R1635" s="14">
        <v>48887</v>
      </c>
    </row>
    <row r="1636" spans="1:18" ht="60" x14ac:dyDescent="0.25">
      <c r="A1636" s="14" t="s">
        <v>8732</v>
      </c>
      <c r="B1636" s="14" t="s">
        <v>8813</v>
      </c>
      <c r="C1636" s="14" t="s">
        <v>8907</v>
      </c>
      <c r="D1636" s="14" t="s">
        <v>8531</v>
      </c>
      <c r="E1636" s="14" t="s">
        <v>8306</v>
      </c>
      <c r="F1636" s="14" t="s">
        <v>8307</v>
      </c>
      <c r="G1636" s="8" t="s">
        <v>8908</v>
      </c>
      <c r="H1636" s="14" t="s">
        <v>258</v>
      </c>
      <c r="I1636" s="14"/>
      <c r="J1636" s="14"/>
      <c r="K1636" s="14"/>
      <c r="L1636" s="14"/>
      <c r="M1636" s="14" t="s">
        <v>8309</v>
      </c>
      <c r="N1636" s="14"/>
      <c r="O1636" s="14" t="s">
        <v>8310</v>
      </c>
      <c r="P1636" s="14" t="str">
        <f>HYPERLINK("https://ceds.ed.gov/cedselementdetails.aspx?termid=17527")</f>
        <v>https://ceds.ed.gov/cedselementdetails.aspx?termid=17527</v>
      </c>
      <c r="Q1636" s="14" t="str">
        <f>HYPERLINK("https://ceds.ed.gov/elementComment.aspx?elementName=Title III Accountability Progress Status &amp;elementID=17527", "Click here to submit comment")</f>
        <v>Click here to submit comment</v>
      </c>
      <c r="R1636" s="14">
        <v>48865</v>
      </c>
    </row>
    <row r="1637" spans="1:18" ht="75" x14ac:dyDescent="0.25">
      <c r="A1637" s="14" t="s">
        <v>8732</v>
      </c>
      <c r="B1637" s="14" t="s">
        <v>8813</v>
      </c>
      <c r="C1637" s="14" t="s">
        <v>8907</v>
      </c>
      <c r="D1637" s="14" t="s">
        <v>8531</v>
      </c>
      <c r="E1637" s="14" t="s">
        <v>8311</v>
      </c>
      <c r="F1637" s="14" t="s">
        <v>8312</v>
      </c>
      <c r="G1637" s="14" t="s">
        <v>24</v>
      </c>
      <c r="H1637" s="14" t="s">
        <v>258</v>
      </c>
      <c r="I1637" s="14"/>
      <c r="J1637" s="14"/>
      <c r="K1637" s="14"/>
      <c r="L1637" s="14"/>
      <c r="M1637" s="14" t="s">
        <v>8313</v>
      </c>
      <c r="N1637" s="14" t="s">
        <v>8314</v>
      </c>
      <c r="O1637" s="14" t="s">
        <v>8315</v>
      </c>
      <c r="P1637" s="14" t="str">
        <f>HYPERLINK("https://ceds.ed.gov/cedselementdetails.aspx?termid=17557")</f>
        <v>https://ceds.ed.gov/cedselementdetails.aspx?termid=17557</v>
      </c>
      <c r="Q1637" s="14" t="str">
        <f>HYPERLINK("https://ceds.ed.gov/elementComment.aspx?elementName=Title III English Learner Participation Status &amp;elementID=17557", "Click here to submit comment")</f>
        <v>Click here to submit comment</v>
      </c>
      <c r="R1637" s="14">
        <v>48877</v>
      </c>
    </row>
    <row r="1638" spans="1:18" ht="195" x14ac:dyDescent="0.25">
      <c r="A1638" s="14" t="s">
        <v>8732</v>
      </c>
      <c r="B1638" s="14" t="s">
        <v>8813</v>
      </c>
      <c r="C1638" s="14" t="s">
        <v>8907</v>
      </c>
      <c r="D1638" s="14" t="s">
        <v>8531</v>
      </c>
      <c r="E1638" s="14" t="s">
        <v>8401</v>
      </c>
      <c r="F1638" s="14" t="s">
        <v>8402</v>
      </c>
      <c r="G1638" s="8" t="s">
        <v>8785</v>
      </c>
      <c r="H1638" s="14" t="s">
        <v>245</v>
      </c>
      <c r="I1638" s="14"/>
      <c r="J1638" s="14"/>
      <c r="K1638" s="14"/>
      <c r="L1638" s="14"/>
      <c r="M1638" s="14" t="s">
        <v>8405</v>
      </c>
      <c r="N1638" s="14" t="s">
        <v>8406</v>
      </c>
      <c r="O1638" s="14" t="s">
        <v>8407</v>
      </c>
      <c r="P1638" s="14" t="str">
        <f>HYPERLINK("https://ceds.ed.gov/cedselementdetails.aspx?termid=17477")</f>
        <v>https://ceds.ed.gov/cedselementdetails.aspx?termid=17477</v>
      </c>
      <c r="Q1638" s="14" t="str">
        <f>HYPERLINK("https://ceds.ed.gov/elementComment.aspx?elementName=Type of Use of the Rural Low-Income Schools Program &amp;elementID=17477", "Click here to submit comment")</f>
        <v>Click here to submit comment</v>
      </c>
      <c r="R1638" s="14">
        <v>52003</v>
      </c>
    </row>
    <row r="1639" spans="1:18" ht="105" x14ac:dyDescent="0.25">
      <c r="A1639" s="16" t="s">
        <v>8732</v>
      </c>
      <c r="B1639" s="16" t="s">
        <v>8813</v>
      </c>
      <c r="C1639" s="16" t="s">
        <v>8909</v>
      </c>
      <c r="D1639" s="16" t="s">
        <v>8531</v>
      </c>
      <c r="E1639" s="16" t="s">
        <v>8072</v>
      </c>
      <c r="F1639" s="16" t="s">
        <v>8073</v>
      </c>
      <c r="G1639" s="16" t="s">
        <v>37</v>
      </c>
      <c r="H1639" s="16" t="s">
        <v>8071</v>
      </c>
      <c r="I1639" s="16"/>
      <c r="J1639" s="16" t="s">
        <v>149</v>
      </c>
      <c r="K1639" s="16"/>
      <c r="L1639" s="14" t="s">
        <v>150</v>
      </c>
      <c r="M1639" s="16" t="s">
        <v>8074</v>
      </c>
      <c r="N1639" s="16"/>
      <c r="O1639" s="16" t="s">
        <v>8075</v>
      </c>
      <c r="P1639" s="16" t="str">
        <f>HYPERLINK("https://ceds.ed.gov/cedselementdetails.aspx?termid=17157")</f>
        <v>https://ceds.ed.gov/cedselementdetails.aspx?termid=17157</v>
      </c>
      <c r="Q1639" s="16" t="str">
        <f>HYPERLINK("https://ceds.ed.gov/elementComment.aspx?elementName=Student Identifier &amp;elementID=17157", "Click here to submit comment")</f>
        <v>Click here to submit comment</v>
      </c>
      <c r="R1639" s="16">
        <v>48347</v>
      </c>
    </row>
    <row r="1640" spans="1:18" x14ac:dyDescent="0.25">
      <c r="A1640" s="16"/>
      <c r="B1640" s="16"/>
      <c r="C1640" s="16"/>
      <c r="D1640" s="16"/>
      <c r="E1640" s="16"/>
      <c r="F1640" s="16"/>
      <c r="G1640" s="16"/>
      <c r="H1640" s="16"/>
      <c r="I1640" s="16"/>
      <c r="J1640" s="16"/>
      <c r="K1640" s="16"/>
      <c r="L1640" s="14"/>
      <c r="M1640" s="16"/>
      <c r="N1640" s="16"/>
      <c r="O1640" s="16"/>
      <c r="P1640" s="16"/>
      <c r="Q1640" s="16"/>
      <c r="R1640" s="16"/>
    </row>
    <row r="1641" spans="1:18" ht="90" x14ac:dyDescent="0.25">
      <c r="A1641" s="16"/>
      <c r="B1641" s="16"/>
      <c r="C1641" s="16"/>
      <c r="D1641" s="16"/>
      <c r="E1641" s="16"/>
      <c r="F1641" s="16"/>
      <c r="G1641" s="16"/>
      <c r="H1641" s="16"/>
      <c r="I1641" s="16"/>
      <c r="J1641" s="16"/>
      <c r="K1641" s="16"/>
      <c r="L1641" s="14" t="s">
        <v>153</v>
      </c>
      <c r="M1641" s="16"/>
      <c r="N1641" s="16"/>
      <c r="O1641" s="16"/>
      <c r="P1641" s="16"/>
      <c r="Q1641" s="16"/>
      <c r="R1641" s="16"/>
    </row>
    <row r="1642" spans="1:18" ht="210" x14ac:dyDescent="0.25">
      <c r="A1642" s="14" t="s">
        <v>8732</v>
      </c>
      <c r="B1642" s="14" t="s">
        <v>8813</v>
      </c>
      <c r="C1642" s="14" t="s">
        <v>8909</v>
      </c>
      <c r="D1642" s="14" t="s">
        <v>8531</v>
      </c>
      <c r="E1642" s="14" t="s">
        <v>8065</v>
      </c>
      <c r="F1642" s="14" t="s">
        <v>8066</v>
      </c>
      <c r="G1642" s="8" t="s">
        <v>8814</v>
      </c>
      <c r="H1642" s="14" t="s">
        <v>8071</v>
      </c>
      <c r="I1642" s="14"/>
      <c r="J1642" s="14"/>
      <c r="K1642" s="14"/>
      <c r="L1642" s="14"/>
      <c r="M1642" s="14" t="s">
        <v>8069</v>
      </c>
      <c r="N1642" s="14"/>
      <c r="O1642" s="14" t="s">
        <v>8070</v>
      </c>
      <c r="P1642" s="14" t="str">
        <f>HYPERLINK("https://ceds.ed.gov/cedselementdetails.aspx?termid=17163")</f>
        <v>https://ceds.ed.gov/cedselementdetails.aspx?termid=17163</v>
      </c>
      <c r="Q1642" s="14" t="str">
        <f>HYPERLINK("https://ceds.ed.gov/elementComment.aspx?elementName=Student Identification System &amp;elementID=17163", "Click here to submit comment")</f>
        <v>Click here to submit comment</v>
      </c>
      <c r="R1642" s="14">
        <v>48346</v>
      </c>
    </row>
    <row r="1643" spans="1:18" ht="270" x14ac:dyDescent="0.25">
      <c r="A1643" s="14" t="s">
        <v>8732</v>
      </c>
      <c r="B1643" s="14" t="s">
        <v>8813</v>
      </c>
      <c r="C1643" s="14" t="s">
        <v>8909</v>
      </c>
      <c r="D1643" s="14" t="s">
        <v>8531</v>
      </c>
      <c r="E1643" s="14" t="s">
        <v>6289</v>
      </c>
      <c r="F1643" s="14" t="s">
        <v>6290</v>
      </c>
      <c r="G1643" s="14" t="s">
        <v>24</v>
      </c>
      <c r="H1643" s="14" t="s">
        <v>2157</v>
      </c>
      <c r="I1643" s="14"/>
      <c r="J1643" s="14"/>
      <c r="K1643" s="14"/>
      <c r="L1643" s="14"/>
      <c r="M1643" s="14" t="s">
        <v>6292</v>
      </c>
      <c r="N1643" s="14"/>
      <c r="O1643" s="14" t="s">
        <v>6293</v>
      </c>
      <c r="P1643" s="14" t="str">
        <f>HYPERLINK("https://ceds.ed.gov/cedselementdetails.aspx?termid=17189")</f>
        <v>https://ceds.ed.gov/cedselementdetails.aspx?termid=17189</v>
      </c>
      <c r="Q1643" s="14" t="str">
        <f>HYPERLINK("https://ceds.ed.gov/elementComment.aspx?elementName=Migrant Status &amp;elementID=17189", "Click here to submit comment")</f>
        <v>Click here to submit comment</v>
      </c>
      <c r="R1643" s="14">
        <v>48789</v>
      </c>
    </row>
    <row r="1644" spans="1:18" ht="60" x14ac:dyDescent="0.25">
      <c r="A1644" s="14" t="s">
        <v>8732</v>
      </c>
      <c r="B1644" s="14" t="s">
        <v>8813</v>
      </c>
      <c r="C1644" s="14" t="s">
        <v>8909</v>
      </c>
      <c r="D1644" s="14" t="s">
        <v>8531</v>
      </c>
      <c r="E1644" s="14" t="s">
        <v>7125</v>
      </c>
      <c r="F1644" s="14" t="s">
        <v>7126</v>
      </c>
      <c r="G1644" s="14" t="s">
        <v>37</v>
      </c>
      <c r="H1644" s="14" t="s">
        <v>7129</v>
      </c>
      <c r="I1644" s="14"/>
      <c r="J1644" s="14" t="s">
        <v>135</v>
      </c>
      <c r="K1644" s="14"/>
      <c r="L1644" s="14"/>
      <c r="M1644" s="14" t="s">
        <v>7127</v>
      </c>
      <c r="N1644" s="14"/>
      <c r="O1644" s="14" t="s">
        <v>7128</v>
      </c>
      <c r="P1644" s="14" t="str">
        <f>HYPERLINK("https://ceds.ed.gov/cedselementdetails.aspx?termid=17583")</f>
        <v>https://ceds.ed.gov/cedselementdetails.aspx?termid=17583</v>
      </c>
      <c r="Q1644" s="14" t="str">
        <f>HYPERLINK("https://ceds.ed.gov/elementComment.aspx?elementName=Program Participation Start Date &amp;elementID=17583", "Click here to submit comment")</f>
        <v>Click here to submit comment</v>
      </c>
      <c r="R1644" s="14">
        <v>48987</v>
      </c>
    </row>
    <row r="1645" spans="1:18" ht="75" x14ac:dyDescent="0.25">
      <c r="A1645" s="14" t="s">
        <v>8732</v>
      </c>
      <c r="B1645" s="14" t="s">
        <v>8813</v>
      </c>
      <c r="C1645" s="14" t="s">
        <v>8909</v>
      </c>
      <c r="D1645" s="14" t="s">
        <v>8531</v>
      </c>
      <c r="E1645" s="14" t="s">
        <v>7120</v>
      </c>
      <c r="F1645" s="14" t="s">
        <v>2201</v>
      </c>
      <c r="G1645" s="14" t="s">
        <v>37</v>
      </c>
      <c r="H1645" s="14" t="s">
        <v>7124</v>
      </c>
      <c r="I1645" s="14"/>
      <c r="J1645" s="14" t="s">
        <v>135</v>
      </c>
      <c r="K1645" s="14"/>
      <c r="L1645" s="14" t="s">
        <v>160</v>
      </c>
      <c r="M1645" s="14" t="s">
        <v>7122</v>
      </c>
      <c r="N1645" s="14"/>
      <c r="O1645" s="14" t="s">
        <v>7123</v>
      </c>
      <c r="P1645" s="14" t="str">
        <f>HYPERLINK("https://ceds.ed.gov/cedselementdetails.aspx?termid=17584")</f>
        <v>https://ceds.ed.gov/cedselementdetails.aspx?termid=17584</v>
      </c>
      <c r="Q1645" s="14" t="str">
        <f>HYPERLINK("https://ceds.ed.gov/elementComment.aspx?elementName=Program Participation Exit Date &amp;elementID=17584", "Click here to submit comment")</f>
        <v>Click here to submit comment</v>
      </c>
      <c r="R1645" s="14">
        <v>48988</v>
      </c>
    </row>
    <row r="1646" spans="1:18" ht="120" x14ac:dyDescent="0.25">
      <c r="A1646" s="14" t="s">
        <v>8732</v>
      </c>
      <c r="B1646" s="14" t="s">
        <v>8813</v>
      </c>
      <c r="C1646" s="14" t="s">
        <v>8909</v>
      </c>
      <c r="D1646" s="14" t="s">
        <v>8531</v>
      </c>
      <c r="E1646" s="14" t="s">
        <v>6233</v>
      </c>
      <c r="F1646" s="14" t="s">
        <v>6234</v>
      </c>
      <c r="G1646" s="14" t="s">
        <v>37</v>
      </c>
      <c r="H1646" s="14" t="s">
        <v>1751</v>
      </c>
      <c r="I1646" s="14"/>
      <c r="J1646" s="14" t="s">
        <v>135</v>
      </c>
      <c r="K1646" s="14"/>
      <c r="L1646" s="14"/>
      <c r="M1646" s="14" t="s">
        <v>6235</v>
      </c>
      <c r="N1646" s="14" t="s">
        <v>6236</v>
      </c>
      <c r="O1646" s="14" t="s">
        <v>6237</v>
      </c>
      <c r="P1646" s="14" t="str">
        <f>HYPERLINK("https://ceds.ed.gov/cedselementdetails.aspx?termid=17420")</f>
        <v>https://ceds.ed.gov/cedselementdetails.aspx?termid=17420</v>
      </c>
      <c r="Q1646" s="14" t="str">
        <f>HYPERLINK("https://ceds.ed.gov/elementComment.aspx?elementName=Migrant Education Program Eligibility Expiration Date &amp;elementID=17420", "Click here to submit comment")</f>
        <v>Click here to submit comment</v>
      </c>
      <c r="R1646" s="14">
        <v>48840</v>
      </c>
    </row>
    <row r="1647" spans="1:18" ht="45" x14ac:dyDescent="0.25">
      <c r="A1647" s="14" t="s">
        <v>8732</v>
      </c>
      <c r="B1647" s="14" t="s">
        <v>8813</v>
      </c>
      <c r="C1647" s="14" t="s">
        <v>8909</v>
      </c>
      <c r="D1647" s="14" t="s">
        <v>8531</v>
      </c>
      <c r="E1647" s="14" t="s">
        <v>6244</v>
      </c>
      <c r="F1647" s="14" t="s">
        <v>6245</v>
      </c>
      <c r="G1647" s="14" t="s">
        <v>24</v>
      </c>
      <c r="H1647" s="14" t="s">
        <v>258</v>
      </c>
      <c r="I1647" s="14"/>
      <c r="J1647" s="14"/>
      <c r="K1647" s="14"/>
      <c r="L1647" s="14"/>
      <c r="M1647" s="14" t="s">
        <v>6246</v>
      </c>
      <c r="N1647" s="14" t="s">
        <v>6247</v>
      </c>
      <c r="O1647" s="14" t="s">
        <v>6248</v>
      </c>
      <c r="P1647" s="14" t="str">
        <f>HYPERLINK("https://ceds.ed.gov/cedselementdetails.aspx?termid=17185")</f>
        <v>https://ceds.ed.gov/cedselementdetails.aspx?termid=17185</v>
      </c>
      <c r="Q1647" s="14" t="str">
        <f>HYPERLINK("https://ceds.ed.gov/elementComment.aspx?elementName=Migrant Education Program Participation Status &amp;elementID=17185", "Click here to submit comment")</f>
        <v>Click here to submit comment</v>
      </c>
      <c r="R1647" s="14">
        <v>48787</v>
      </c>
    </row>
    <row r="1648" spans="1:18" ht="150" x14ac:dyDescent="0.25">
      <c r="A1648" s="14" t="s">
        <v>8732</v>
      </c>
      <c r="B1648" s="14" t="s">
        <v>8813</v>
      </c>
      <c r="C1648" s="14" t="s">
        <v>8909</v>
      </c>
      <c r="D1648" s="14" t="s">
        <v>8531</v>
      </c>
      <c r="E1648" s="14" t="s">
        <v>6238</v>
      </c>
      <c r="F1648" s="14" t="s">
        <v>6239</v>
      </c>
      <c r="G1648" s="8" t="s">
        <v>8910</v>
      </c>
      <c r="H1648" s="14" t="s">
        <v>1751</v>
      </c>
      <c r="I1648" s="14"/>
      <c r="J1648" s="14"/>
      <c r="K1648" s="14"/>
      <c r="L1648" s="14"/>
      <c r="M1648" s="14" t="s">
        <v>6241</v>
      </c>
      <c r="N1648" s="14" t="s">
        <v>6242</v>
      </c>
      <c r="O1648" s="14" t="s">
        <v>6243</v>
      </c>
      <c r="P1648" s="14" t="str">
        <f>HYPERLINK("https://ceds.ed.gov/cedselementdetails.aspx?termid=17427")</f>
        <v>https://ceds.ed.gov/cedselementdetails.aspx?termid=17427</v>
      </c>
      <c r="Q1648" s="14" t="str">
        <f>HYPERLINK("https://ceds.ed.gov/elementComment.aspx?elementName=Migrant Education Program Enrollment Type &amp;elementID=17427", "Click here to submit comment")</f>
        <v>Click here to submit comment</v>
      </c>
      <c r="R1648" s="14">
        <v>48847</v>
      </c>
    </row>
    <row r="1649" spans="1:18" ht="195" x14ac:dyDescent="0.25">
      <c r="A1649" s="14" t="s">
        <v>8732</v>
      </c>
      <c r="B1649" s="14" t="s">
        <v>8813</v>
      </c>
      <c r="C1649" s="14" t="s">
        <v>8909</v>
      </c>
      <c r="D1649" s="14" t="s">
        <v>8531</v>
      </c>
      <c r="E1649" s="14" t="s">
        <v>6266</v>
      </c>
      <c r="F1649" s="14" t="s">
        <v>6267</v>
      </c>
      <c r="G1649" s="8" t="s">
        <v>8911</v>
      </c>
      <c r="H1649" s="14" t="s">
        <v>258</v>
      </c>
      <c r="I1649" s="14"/>
      <c r="J1649" s="14"/>
      <c r="K1649" s="14"/>
      <c r="L1649" s="14"/>
      <c r="M1649" s="14" t="s">
        <v>6269</v>
      </c>
      <c r="N1649" s="14" t="s">
        <v>6270</v>
      </c>
      <c r="O1649" s="14" t="s">
        <v>6271</v>
      </c>
      <c r="P1649" s="14" t="str">
        <f>HYPERLINK("https://ceds.ed.gov/cedselementdetails.aspx?termid=17186")</f>
        <v>https://ceds.ed.gov/cedselementdetails.aspx?termid=17186</v>
      </c>
      <c r="Q1649" s="14" t="str">
        <f>HYPERLINK("https://ceds.ed.gov/elementComment.aspx?elementName=Migrant Education Program Services Type &amp;elementID=17186", "Click here to submit comment")</f>
        <v>Click here to submit comment</v>
      </c>
      <c r="R1649" s="14">
        <v>48788</v>
      </c>
    </row>
    <row r="1650" spans="1:18" ht="75" x14ac:dyDescent="0.25">
      <c r="A1650" s="14" t="s">
        <v>8732</v>
      </c>
      <c r="B1650" s="14" t="s">
        <v>8813</v>
      </c>
      <c r="C1650" s="14" t="s">
        <v>8909</v>
      </c>
      <c r="D1650" s="14" t="s">
        <v>8531</v>
      </c>
      <c r="E1650" s="14" t="s">
        <v>6228</v>
      </c>
      <c r="F1650" s="14" t="s">
        <v>6229</v>
      </c>
      <c r="G1650" s="14" t="s">
        <v>24</v>
      </c>
      <c r="H1650" s="14" t="s">
        <v>258</v>
      </c>
      <c r="I1650" s="14"/>
      <c r="J1650" s="14"/>
      <c r="K1650" s="14"/>
      <c r="L1650" s="14"/>
      <c r="M1650" s="14" t="s">
        <v>6230</v>
      </c>
      <c r="N1650" s="14" t="s">
        <v>6231</v>
      </c>
      <c r="O1650" s="14" t="s">
        <v>6232</v>
      </c>
      <c r="P1650" s="14" t="str">
        <f>HYPERLINK("https://ceds.ed.gov/cedselementdetails.aspx?termid=17555")</f>
        <v>https://ceds.ed.gov/cedselementdetails.aspx?termid=17555</v>
      </c>
      <c r="Q1650" s="14" t="str">
        <f>HYPERLINK("https://ceds.ed.gov/elementComment.aspx?elementName=Migrant Education Program Continuation of Services Status &amp;elementID=17555", "Click here to submit comment")</f>
        <v>Click here to submit comment</v>
      </c>
      <c r="R1650" s="14">
        <v>48876</v>
      </c>
    </row>
    <row r="1651" spans="1:18" ht="120" x14ac:dyDescent="0.25">
      <c r="A1651" s="14" t="s">
        <v>8732</v>
      </c>
      <c r="B1651" s="14" t="s">
        <v>8813</v>
      </c>
      <c r="C1651" s="14" t="s">
        <v>8909</v>
      </c>
      <c r="D1651" s="14" t="s">
        <v>8531</v>
      </c>
      <c r="E1651" s="14" t="s">
        <v>2790</v>
      </c>
      <c r="F1651" s="14" t="s">
        <v>2791</v>
      </c>
      <c r="G1651" s="8" t="s">
        <v>8912</v>
      </c>
      <c r="H1651" s="14" t="s">
        <v>1751</v>
      </c>
      <c r="I1651" s="14"/>
      <c r="J1651" s="14"/>
      <c r="K1651" s="14"/>
      <c r="L1651" s="14"/>
      <c r="M1651" s="14" t="s">
        <v>2794</v>
      </c>
      <c r="N1651" s="14"/>
      <c r="O1651" s="14" t="s">
        <v>2795</v>
      </c>
      <c r="P1651" s="14" t="str">
        <f>HYPERLINK("https://ceds.ed.gov/cedselementdetails.aspx?termid=17419")</f>
        <v>https://ceds.ed.gov/cedselementdetails.aspx?termid=17419</v>
      </c>
      <c r="Q1651" s="14" t="str">
        <f>HYPERLINK("https://ceds.ed.gov/elementComment.aspx?elementName=Continuation of Services Reason &amp;elementID=17419", "Click here to submit comment")</f>
        <v>Click here to submit comment</v>
      </c>
      <c r="R1651" s="14">
        <v>48839</v>
      </c>
    </row>
    <row r="1652" spans="1:18" ht="75" x14ac:dyDescent="0.25">
      <c r="A1652" s="14" t="s">
        <v>8732</v>
      </c>
      <c r="B1652" s="14" t="s">
        <v>8813</v>
      </c>
      <c r="C1652" s="14" t="s">
        <v>8909</v>
      </c>
      <c r="D1652" s="14" t="s">
        <v>8531</v>
      </c>
      <c r="E1652" s="14" t="s">
        <v>6254</v>
      </c>
      <c r="F1652" s="14" t="s">
        <v>6255</v>
      </c>
      <c r="G1652" s="8" t="s">
        <v>8913</v>
      </c>
      <c r="H1652" s="14" t="s">
        <v>1751</v>
      </c>
      <c r="I1652" s="14"/>
      <c r="J1652" s="14"/>
      <c r="K1652" s="14"/>
      <c r="L1652" s="14"/>
      <c r="M1652" s="14" t="s">
        <v>6257</v>
      </c>
      <c r="N1652" s="14" t="s">
        <v>6258</v>
      </c>
      <c r="O1652" s="14" t="s">
        <v>6259</v>
      </c>
      <c r="P1652" s="14" t="str">
        <f>HYPERLINK("https://ceds.ed.gov/cedselementdetails.aspx?termid=17430")</f>
        <v>https://ceds.ed.gov/cedselementdetails.aspx?termid=17430</v>
      </c>
      <c r="Q1652" s="14" t="str">
        <f>HYPERLINK("https://ceds.ed.gov/elementComment.aspx?elementName=Migrant Education Program Project Based &amp;elementID=17430", "Click here to submit comment")</f>
        <v>Click here to submit comment</v>
      </c>
      <c r="R1652" s="14">
        <v>48850</v>
      </c>
    </row>
    <row r="1653" spans="1:18" ht="120" x14ac:dyDescent="0.25">
      <c r="A1653" s="14" t="s">
        <v>8732</v>
      </c>
      <c r="B1653" s="14" t="s">
        <v>8813</v>
      </c>
      <c r="C1653" s="14" t="s">
        <v>8909</v>
      </c>
      <c r="D1653" s="14" t="s">
        <v>8531</v>
      </c>
      <c r="E1653" s="14" t="s">
        <v>6285</v>
      </c>
      <c r="F1653" s="14" t="s">
        <v>6286</v>
      </c>
      <c r="G1653" s="14" t="s">
        <v>24</v>
      </c>
      <c r="H1653" s="14" t="s">
        <v>258</v>
      </c>
      <c r="I1653" s="14"/>
      <c r="J1653" s="14"/>
      <c r="K1653" s="14"/>
      <c r="L1653" s="14"/>
      <c r="M1653" s="14" t="s">
        <v>6287</v>
      </c>
      <c r="N1653" s="14"/>
      <c r="O1653" s="14" t="s">
        <v>6288</v>
      </c>
      <c r="P1653" s="14" t="str">
        <f>HYPERLINK("https://ceds.ed.gov/cedselementdetails.aspx?termid=17554")</f>
        <v>https://ceds.ed.gov/cedselementdetails.aspx?termid=17554</v>
      </c>
      <c r="Q1653" s="14" t="str">
        <f>HYPERLINK("https://ceds.ed.gov/elementComment.aspx?elementName=Migrant Prioritized for Services &amp;elementID=17554", "Click here to submit comment")</f>
        <v>Click here to submit comment</v>
      </c>
      <c r="R1653" s="14">
        <v>48875</v>
      </c>
    </row>
    <row r="1654" spans="1:18" ht="195" x14ac:dyDescent="0.25">
      <c r="A1654" s="14" t="s">
        <v>8732</v>
      </c>
      <c r="B1654" s="14" t="s">
        <v>8813</v>
      </c>
      <c r="C1654" s="14" t="s">
        <v>8909</v>
      </c>
      <c r="D1654" s="14" t="s">
        <v>8531</v>
      </c>
      <c r="E1654" s="14" t="s">
        <v>6294</v>
      </c>
      <c r="F1654" s="14" t="s">
        <v>6295</v>
      </c>
      <c r="G1654" s="14" t="s">
        <v>37</v>
      </c>
      <c r="H1654" s="14" t="s">
        <v>1751</v>
      </c>
      <c r="I1654" s="14"/>
      <c r="J1654" s="14" t="s">
        <v>135</v>
      </c>
      <c r="K1654" s="14"/>
      <c r="L1654" s="14"/>
      <c r="M1654" s="14" t="s">
        <v>6296</v>
      </c>
      <c r="N1654" s="14"/>
      <c r="O1654" s="14" t="s">
        <v>6297</v>
      </c>
      <c r="P1654" s="14" t="str">
        <f>HYPERLINK("https://ceds.ed.gov/cedselementdetails.aspx?termid=17422")</f>
        <v>https://ceds.ed.gov/cedselementdetails.aspx?termid=17422</v>
      </c>
      <c r="Q1654" s="14" t="str">
        <f>HYPERLINK("https://ceds.ed.gov/elementComment.aspx?elementName=Migrant Student Qualifying Arrival Date &amp;elementID=17422", "Click here to submit comment")</f>
        <v>Click here to submit comment</v>
      </c>
      <c r="R1654" s="14">
        <v>48842</v>
      </c>
    </row>
    <row r="1655" spans="1:18" ht="45" x14ac:dyDescent="0.25">
      <c r="A1655" s="14" t="s">
        <v>8732</v>
      </c>
      <c r="B1655" s="14" t="s">
        <v>8813</v>
      </c>
      <c r="C1655" s="14" t="s">
        <v>8909</v>
      </c>
      <c r="D1655" s="14" t="s">
        <v>8531</v>
      </c>
      <c r="E1655" s="14" t="s">
        <v>5732</v>
      </c>
      <c r="F1655" s="14" t="s">
        <v>5733</v>
      </c>
      <c r="G1655" s="14" t="s">
        <v>37</v>
      </c>
      <c r="H1655" s="14" t="s">
        <v>258</v>
      </c>
      <c r="I1655" s="14"/>
      <c r="J1655" s="14" t="s">
        <v>135</v>
      </c>
      <c r="K1655" s="14"/>
      <c r="L1655" s="14"/>
      <c r="M1655" s="14" t="s">
        <v>5734</v>
      </c>
      <c r="N1655" s="14"/>
      <c r="O1655" s="14" t="s">
        <v>5735</v>
      </c>
      <c r="P1655" s="14" t="str">
        <f>HYPERLINK("https://ceds.ed.gov/cedselementdetails.aspx?termid=17171")</f>
        <v>https://ceds.ed.gov/cedselementdetails.aspx?termid=17171</v>
      </c>
      <c r="Q1655" s="14" t="str">
        <f>HYPERLINK("https://ceds.ed.gov/elementComment.aspx?elementName=Last Qualifying Move Date &amp;elementID=17171", "Click here to submit comment")</f>
        <v>Click here to submit comment</v>
      </c>
      <c r="R1655" s="14">
        <v>48780</v>
      </c>
    </row>
    <row r="1656" spans="1:18" ht="45" x14ac:dyDescent="0.25">
      <c r="A1656" s="14" t="s">
        <v>8732</v>
      </c>
      <c r="B1656" s="14" t="s">
        <v>8813</v>
      </c>
      <c r="C1656" s="14" t="s">
        <v>8909</v>
      </c>
      <c r="D1656" s="14" t="s">
        <v>8531</v>
      </c>
      <c r="E1656" s="14" t="s">
        <v>7230</v>
      </c>
      <c r="F1656" s="14" t="s">
        <v>7231</v>
      </c>
      <c r="G1656" s="14" t="s">
        <v>37</v>
      </c>
      <c r="H1656" s="14" t="s">
        <v>1751</v>
      </c>
      <c r="I1656" s="14"/>
      <c r="J1656" s="14" t="s">
        <v>97</v>
      </c>
      <c r="K1656" s="14"/>
      <c r="L1656" s="14"/>
      <c r="M1656" s="14" t="s">
        <v>7232</v>
      </c>
      <c r="N1656" s="14"/>
      <c r="O1656" s="14" t="s">
        <v>7233</v>
      </c>
      <c r="P1656" s="14" t="str">
        <f>HYPERLINK("https://ceds.ed.gov/cedselementdetails.aspx?termid=17423")</f>
        <v>https://ceds.ed.gov/cedselementdetails.aspx?termid=17423</v>
      </c>
      <c r="Q1656" s="14" t="str">
        <f>HYPERLINK("https://ceds.ed.gov/elementComment.aspx?elementName=Qualifying Move From City &amp;elementID=17423", "Click here to submit comment")</f>
        <v>Click here to submit comment</v>
      </c>
      <c r="R1656" s="14">
        <v>48843</v>
      </c>
    </row>
    <row r="1657" spans="1:18" ht="409.5" x14ac:dyDescent="0.25">
      <c r="A1657" s="14" t="s">
        <v>8732</v>
      </c>
      <c r="B1657" s="14" t="s">
        <v>8813</v>
      </c>
      <c r="C1657" s="14" t="s">
        <v>8909</v>
      </c>
      <c r="D1657" s="14" t="s">
        <v>8531</v>
      </c>
      <c r="E1657" s="14" t="s">
        <v>7234</v>
      </c>
      <c r="F1657" s="14" t="s">
        <v>7235</v>
      </c>
      <c r="G1657" s="8" t="s">
        <v>8548</v>
      </c>
      <c r="H1657" s="14" t="s">
        <v>1751</v>
      </c>
      <c r="I1657" s="14"/>
      <c r="J1657" s="14"/>
      <c r="K1657" s="14"/>
      <c r="L1657" s="6" t="s">
        <v>2849</v>
      </c>
      <c r="M1657" s="14" t="s">
        <v>7236</v>
      </c>
      <c r="N1657" s="14"/>
      <c r="O1657" s="14" t="s">
        <v>7237</v>
      </c>
      <c r="P1657" s="14" t="str">
        <f>HYPERLINK("https://ceds.ed.gov/cedselementdetails.aspx?termid=17424")</f>
        <v>https://ceds.ed.gov/cedselementdetails.aspx?termid=17424</v>
      </c>
      <c r="Q1657" s="14" t="str">
        <f>HYPERLINK("https://ceds.ed.gov/elementComment.aspx?elementName=Qualifying Move From Country &amp;elementID=17424", "Click here to submit comment")</f>
        <v>Click here to submit comment</v>
      </c>
      <c r="R1657" s="14">
        <v>48844</v>
      </c>
    </row>
    <row r="1658" spans="1:18" ht="409.5" x14ac:dyDescent="0.25">
      <c r="A1658" s="14" t="s">
        <v>8732</v>
      </c>
      <c r="B1658" s="14" t="s">
        <v>8813</v>
      </c>
      <c r="C1658" s="14" t="s">
        <v>8909</v>
      </c>
      <c r="D1658" s="14" t="s">
        <v>8531</v>
      </c>
      <c r="E1658" s="14" t="s">
        <v>7238</v>
      </c>
      <c r="F1658" s="14" t="s">
        <v>7239</v>
      </c>
      <c r="G1658" s="8" t="s">
        <v>8540</v>
      </c>
      <c r="H1658" s="14" t="s">
        <v>1751</v>
      </c>
      <c r="I1658" s="14"/>
      <c r="J1658" s="14"/>
      <c r="K1658" s="14"/>
      <c r="L1658" s="14"/>
      <c r="M1658" s="14" t="s">
        <v>7241</v>
      </c>
      <c r="N1658" s="14"/>
      <c r="O1658" s="14" t="s">
        <v>7242</v>
      </c>
      <c r="P1658" s="14" t="str">
        <f>HYPERLINK("https://ceds.ed.gov/cedselementdetails.aspx?termid=17425")</f>
        <v>https://ceds.ed.gov/cedselementdetails.aspx?termid=17425</v>
      </c>
      <c r="Q1658" s="14" t="str">
        <f>HYPERLINK("https://ceds.ed.gov/elementComment.aspx?elementName=Qualifying Move From State &amp;elementID=17425", "Click here to submit comment")</f>
        <v>Click here to submit comment</v>
      </c>
      <c r="R1658" s="14">
        <v>48845</v>
      </c>
    </row>
    <row r="1659" spans="1:18" ht="105" x14ac:dyDescent="0.25">
      <c r="A1659" s="16" t="s">
        <v>8732</v>
      </c>
      <c r="B1659" s="16" t="s">
        <v>8813</v>
      </c>
      <c r="C1659" s="16" t="s">
        <v>8909</v>
      </c>
      <c r="D1659" s="16" t="s">
        <v>8531</v>
      </c>
      <c r="E1659" s="16" t="s">
        <v>3521</v>
      </c>
      <c r="F1659" s="16" t="s">
        <v>3522</v>
      </c>
      <c r="G1659" s="16" t="s">
        <v>37</v>
      </c>
      <c r="H1659" s="16" t="s">
        <v>1751</v>
      </c>
      <c r="I1659" s="16"/>
      <c r="J1659" s="16" t="s">
        <v>149</v>
      </c>
      <c r="K1659" s="16"/>
      <c r="L1659" s="14" t="s">
        <v>150</v>
      </c>
      <c r="M1659" s="16" t="s">
        <v>3523</v>
      </c>
      <c r="N1659" s="16"/>
      <c r="O1659" s="16" t="s">
        <v>3524</v>
      </c>
      <c r="P1659" s="16" t="str">
        <f>HYPERLINK("https://ceds.ed.gov/cedselementdetails.aspx?termid=17426")</f>
        <v>https://ceds.ed.gov/cedselementdetails.aspx?termid=17426</v>
      </c>
      <c r="Q1659" s="16" t="str">
        <f>HYPERLINK("https://ceds.ed.gov/elementComment.aspx?elementName=Designated Graduation School Identifier &amp;elementID=17426", "Click here to submit comment")</f>
        <v>Click here to submit comment</v>
      </c>
      <c r="R1659" s="16">
        <v>48846</v>
      </c>
    </row>
    <row r="1660" spans="1:18" x14ac:dyDescent="0.25">
      <c r="A1660" s="16"/>
      <c r="B1660" s="16"/>
      <c r="C1660" s="16"/>
      <c r="D1660" s="16"/>
      <c r="E1660" s="16"/>
      <c r="F1660" s="16"/>
      <c r="G1660" s="16"/>
      <c r="H1660" s="16"/>
      <c r="I1660" s="16"/>
      <c r="J1660" s="16"/>
      <c r="K1660" s="16"/>
      <c r="L1660" s="14"/>
      <c r="M1660" s="16"/>
      <c r="N1660" s="16"/>
      <c r="O1660" s="16"/>
      <c r="P1660" s="16"/>
      <c r="Q1660" s="16"/>
      <c r="R1660" s="16"/>
    </row>
    <row r="1661" spans="1:18" ht="90" x14ac:dyDescent="0.25">
      <c r="A1661" s="16"/>
      <c r="B1661" s="16"/>
      <c r="C1661" s="16"/>
      <c r="D1661" s="16"/>
      <c r="E1661" s="16"/>
      <c r="F1661" s="16"/>
      <c r="G1661" s="16"/>
      <c r="H1661" s="16"/>
      <c r="I1661" s="16"/>
      <c r="J1661" s="16"/>
      <c r="K1661" s="16"/>
      <c r="L1661" s="14" t="s">
        <v>153</v>
      </c>
      <c r="M1661" s="16"/>
      <c r="N1661" s="16"/>
      <c r="O1661" s="16"/>
      <c r="P1661" s="16"/>
      <c r="Q1661" s="16"/>
      <c r="R1661" s="16"/>
    </row>
    <row r="1662" spans="1:18" ht="45" x14ac:dyDescent="0.25">
      <c r="A1662" s="14" t="s">
        <v>8732</v>
      </c>
      <c r="B1662" s="14" t="s">
        <v>8813</v>
      </c>
      <c r="C1662" s="14" t="s">
        <v>8909</v>
      </c>
      <c r="D1662" s="14" t="s">
        <v>8531</v>
      </c>
      <c r="E1662" s="14" t="s">
        <v>1746</v>
      </c>
      <c r="F1662" s="14" t="s">
        <v>1747</v>
      </c>
      <c r="G1662" s="14" t="s">
        <v>37</v>
      </c>
      <c r="H1662" s="14" t="s">
        <v>1751</v>
      </c>
      <c r="I1662" s="14"/>
      <c r="J1662" s="14" t="s">
        <v>175</v>
      </c>
      <c r="K1662" s="14"/>
      <c r="L1662" s="14"/>
      <c r="M1662" s="14" t="s">
        <v>1749</v>
      </c>
      <c r="N1662" s="14"/>
      <c r="O1662" s="14" t="s">
        <v>1750</v>
      </c>
      <c r="P1662" s="14" t="str">
        <f>HYPERLINK("https://ceds.ed.gov/cedselementdetails.aspx?termid=17418")</f>
        <v>https://ceds.ed.gov/cedselementdetails.aspx?termid=17418</v>
      </c>
      <c r="Q1662" s="14" t="str">
        <f>HYPERLINK("https://ceds.ed.gov/elementComment.aspx?elementName=Birthdate Verification &amp;elementID=17418", "Click here to submit comment")</f>
        <v>Click here to submit comment</v>
      </c>
      <c r="R1662" s="14">
        <v>48838</v>
      </c>
    </row>
    <row r="1663" spans="1:18" ht="45" x14ac:dyDescent="0.25">
      <c r="A1663" s="14" t="s">
        <v>8732</v>
      </c>
      <c r="B1663" s="14" t="s">
        <v>8813</v>
      </c>
      <c r="C1663" s="14" t="s">
        <v>8909</v>
      </c>
      <c r="D1663" s="14" t="s">
        <v>8531</v>
      </c>
      <c r="E1663" s="14" t="s">
        <v>5204</v>
      </c>
      <c r="F1663" s="14" t="s">
        <v>5205</v>
      </c>
      <c r="G1663" s="14" t="s">
        <v>24</v>
      </c>
      <c r="H1663" s="14" t="s">
        <v>1751</v>
      </c>
      <c r="I1663" s="14"/>
      <c r="J1663" s="14"/>
      <c r="K1663" s="14"/>
      <c r="L1663" s="14"/>
      <c r="M1663" s="14" t="s">
        <v>5206</v>
      </c>
      <c r="N1663" s="14"/>
      <c r="O1663" s="14" t="s">
        <v>5207</v>
      </c>
      <c r="P1663" s="14" t="str">
        <f>HYPERLINK("https://ceds.ed.gov/cedselementdetails.aspx?termid=17428")</f>
        <v>https://ceds.ed.gov/cedselementdetails.aspx?termid=17428</v>
      </c>
      <c r="Q1663" s="14" t="str">
        <f>HYPERLINK("https://ceds.ed.gov/elementComment.aspx?elementName=Immunization Record Flag &amp;elementID=17428", "Click here to submit comment")</f>
        <v>Click here to submit comment</v>
      </c>
      <c r="R1663" s="14">
        <v>48848</v>
      </c>
    </row>
    <row r="1664" spans="1:18" ht="45" x14ac:dyDescent="0.25">
      <c r="A1664" s="14" t="s">
        <v>8732</v>
      </c>
      <c r="B1664" s="14" t="s">
        <v>8813</v>
      </c>
      <c r="C1664" s="14" t="s">
        <v>8909</v>
      </c>
      <c r="D1664" s="14" t="s">
        <v>8531</v>
      </c>
      <c r="E1664" s="14" t="s">
        <v>6339</v>
      </c>
      <c r="F1664" s="14" t="s">
        <v>6340</v>
      </c>
      <c r="G1664" s="14" t="s">
        <v>24</v>
      </c>
      <c r="H1664" s="14" t="s">
        <v>1751</v>
      </c>
      <c r="I1664" s="14"/>
      <c r="J1664" s="14"/>
      <c r="K1664" s="14"/>
      <c r="L1664" s="14"/>
      <c r="M1664" s="14" t="s">
        <v>6341</v>
      </c>
      <c r="N1664" s="14"/>
      <c r="O1664" s="14" t="s">
        <v>6342</v>
      </c>
      <c r="P1664" s="14" t="str">
        <f>HYPERLINK("https://ceds.ed.gov/cedselementdetails.aspx?termid=17421")</f>
        <v>https://ceds.ed.gov/cedselementdetails.aspx?termid=17421</v>
      </c>
      <c r="Q1664" s="14" t="str">
        <f>HYPERLINK("https://ceds.ed.gov/elementComment.aspx?elementName=Multiple Birth Indicator &amp;elementID=17421", "Click here to submit comment")</f>
        <v>Click here to submit comment</v>
      </c>
      <c r="R1664" s="14">
        <v>48841</v>
      </c>
    </row>
    <row r="1665" spans="1:18" ht="150" x14ac:dyDescent="0.25">
      <c r="A1665" s="14" t="s">
        <v>8732</v>
      </c>
      <c r="B1665" s="14" t="s">
        <v>8813</v>
      </c>
      <c r="C1665" s="14" t="s">
        <v>8914</v>
      </c>
      <c r="D1665" s="14" t="s">
        <v>8531</v>
      </c>
      <c r="E1665" s="14" t="s">
        <v>6404</v>
      </c>
      <c r="F1665" s="14" t="s">
        <v>6405</v>
      </c>
      <c r="G1665" s="8" t="s">
        <v>8915</v>
      </c>
      <c r="H1665" s="14" t="s">
        <v>258</v>
      </c>
      <c r="I1665" s="14"/>
      <c r="J1665" s="14"/>
      <c r="K1665" s="14"/>
      <c r="L1665" s="14"/>
      <c r="M1665" s="14" t="s">
        <v>6407</v>
      </c>
      <c r="N1665" s="14"/>
      <c r="O1665" s="14" t="s">
        <v>6408</v>
      </c>
      <c r="P1665" s="14" t="str">
        <f>HYPERLINK("https://ceds.ed.gov/cedselementdetails.aspx?termid=17194")</f>
        <v>https://ceds.ed.gov/cedselementdetails.aspx?termid=17194</v>
      </c>
      <c r="Q1665" s="14" t="str">
        <f>HYPERLINK("https://ceds.ed.gov/elementComment.aspx?elementName=Neglected or Delinquent Program Type &amp;elementID=17194", "Click here to submit comment")</f>
        <v>Click here to submit comment</v>
      </c>
      <c r="R1665" s="14">
        <v>48792</v>
      </c>
    </row>
    <row r="1666" spans="1:18" ht="105" x14ac:dyDescent="0.25">
      <c r="A1666" s="14" t="s">
        <v>8732</v>
      </c>
      <c r="B1666" s="14" t="s">
        <v>8813</v>
      </c>
      <c r="C1666" s="14" t="s">
        <v>8914</v>
      </c>
      <c r="D1666" s="14" t="s">
        <v>8531</v>
      </c>
      <c r="E1666" s="14" t="s">
        <v>6409</v>
      </c>
      <c r="F1666" s="14" t="s">
        <v>6410</v>
      </c>
      <c r="G1666" s="14" t="s">
        <v>3430</v>
      </c>
      <c r="H1666" s="14" t="s">
        <v>2157</v>
      </c>
      <c r="I1666" s="14"/>
      <c r="J1666" s="14"/>
      <c r="K1666" s="14"/>
      <c r="L1666" s="14"/>
      <c r="M1666" s="14" t="s">
        <v>6411</v>
      </c>
      <c r="N1666" s="14"/>
      <c r="O1666" s="14" t="s">
        <v>6412</v>
      </c>
      <c r="P1666" s="14" t="str">
        <f>HYPERLINK("https://ceds.ed.gov/cedselementdetails.aspx?termid=17193")</f>
        <v>https://ceds.ed.gov/cedselementdetails.aspx?termid=17193</v>
      </c>
      <c r="Q1666" s="14" t="str">
        <f>HYPERLINK("https://ceds.ed.gov/elementComment.aspx?elementName=Neglected or Delinquent Status &amp;elementID=17193", "Click here to submit comment")</f>
        <v>Click here to submit comment</v>
      </c>
      <c r="R1666" s="14">
        <v>48791</v>
      </c>
    </row>
    <row r="1667" spans="1:18" ht="60" x14ac:dyDescent="0.25">
      <c r="A1667" s="14" t="s">
        <v>8732</v>
      </c>
      <c r="B1667" s="14" t="s">
        <v>8813</v>
      </c>
      <c r="C1667" s="14" t="s">
        <v>8914</v>
      </c>
      <c r="D1667" s="14" t="s">
        <v>8531</v>
      </c>
      <c r="E1667" s="14" t="s">
        <v>7125</v>
      </c>
      <c r="F1667" s="14" t="s">
        <v>7126</v>
      </c>
      <c r="G1667" s="14" t="s">
        <v>37</v>
      </c>
      <c r="H1667" s="14" t="s">
        <v>7129</v>
      </c>
      <c r="I1667" s="14"/>
      <c r="J1667" s="14" t="s">
        <v>135</v>
      </c>
      <c r="K1667" s="14"/>
      <c r="L1667" s="14"/>
      <c r="M1667" s="14" t="s">
        <v>7127</v>
      </c>
      <c r="N1667" s="14"/>
      <c r="O1667" s="14" t="s">
        <v>7128</v>
      </c>
      <c r="P1667" s="14" t="str">
        <f>HYPERLINK("https://ceds.ed.gov/cedselementdetails.aspx?termid=17583")</f>
        <v>https://ceds.ed.gov/cedselementdetails.aspx?termid=17583</v>
      </c>
      <c r="Q1667" s="14" t="str">
        <f>HYPERLINK("https://ceds.ed.gov/elementComment.aspx?elementName=Program Participation Start Date &amp;elementID=17583", "Click here to submit comment")</f>
        <v>Click here to submit comment</v>
      </c>
      <c r="R1667" s="14">
        <v>48989</v>
      </c>
    </row>
    <row r="1668" spans="1:18" ht="75" x14ac:dyDescent="0.25">
      <c r="A1668" s="14" t="s">
        <v>8732</v>
      </c>
      <c r="B1668" s="14" t="s">
        <v>8813</v>
      </c>
      <c r="C1668" s="14" t="s">
        <v>8914</v>
      </c>
      <c r="D1668" s="14" t="s">
        <v>8531</v>
      </c>
      <c r="E1668" s="14" t="s">
        <v>7120</v>
      </c>
      <c r="F1668" s="14" t="s">
        <v>2201</v>
      </c>
      <c r="G1668" s="14" t="s">
        <v>37</v>
      </c>
      <c r="H1668" s="14" t="s">
        <v>7124</v>
      </c>
      <c r="I1668" s="14"/>
      <c r="J1668" s="14" t="s">
        <v>135</v>
      </c>
      <c r="K1668" s="14"/>
      <c r="L1668" s="14" t="s">
        <v>160</v>
      </c>
      <c r="M1668" s="14" t="s">
        <v>7122</v>
      </c>
      <c r="N1668" s="14"/>
      <c r="O1668" s="14" t="s">
        <v>7123</v>
      </c>
      <c r="P1668" s="14" t="str">
        <f>HYPERLINK("https://ceds.ed.gov/cedselementdetails.aspx?termid=17584")</f>
        <v>https://ceds.ed.gov/cedselementdetails.aspx?termid=17584</v>
      </c>
      <c r="Q1668" s="14" t="str">
        <f>HYPERLINK("https://ceds.ed.gov/elementComment.aspx?elementName=Program Participation Exit Date &amp;elementID=17584", "Click here to submit comment")</f>
        <v>Click here to submit comment</v>
      </c>
      <c r="R1668" s="14">
        <v>48990</v>
      </c>
    </row>
    <row r="1669" spans="1:18" ht="90" x14ac:dyDescent="0.25">
      <c r="A1669" s="16" t="s">
        <v>8732</v>
      </c>
      <c r="B1669" s="16" t="s">
        <v>8813</v>
      </c>
      <c r="C1669" s="16" t="s">
        <v>8914</v>
      </c>
      <c r="D1669" s="16" t="s">
        <v>8531</v>
      </c>
      <c r="E1669" s="16" t="s">
        <v>6388</v>
      </c>
      <c r="F1669" s="16" t="s">
        <v>6389</v>
      </c>
      <c r="G1669" s="16" t="s">
        <v>24</v>
      </c>
      <c r="H1669" s="16" t="s">
        <v>258</v>
      </c>
      <c r="I1669" s="16" t="s">
        <v>195</v>
      </c>
      <c r="J1669" s="16"/>
      <c r="K1669" s="16" t="s">
        <v>6391</v>
      </c>
      <c r="L1669" s="14" t="s">
        <v>6392</v>
      </c>
      <c r="M1669" s="16" t="s">
        <v>6393</v>
      </c>
      <c r="N1669" s="16"/>
      <c r="O1669" s="16" t="s">
        <v>6394</v>
      </c>
      <c r="P1669" s="16" t="str">
        <f>HYPERLINK("https://ceds.ed.gov/cedselementdetails.aspx?termid=17636")</f>
        <v>https://ceds.ed.gov/cedselementdetails.aspx?termid=17636</v>
      </c>
      <c r="Q1669" s="16" t="str">
        <f>HYPERLINK("https://ceds.ed.gov/elementComment.aspx?elementName=Neglected or Delinquent Academic Achievement Indicator &amp;elementID=17636", "Click here to submit comment")</f>
        <v>Click here to submit comment</v>
      </c>
      <c r="R1669" s="16">
        <v>48903</v>
      </c>
    </row>
    <row r="1670" spans="1:18" ht="90" x14ac:dyDescent="0.25">
      <c r="A1670" s="16"/>
      <c r="B1670" s="16"/>
      <c r="C1670" s="16"/>
      <c r="D1670" s="16"/>
      <c r="E1670" s="16"/>
      <c r="F1670" s="16"/>
      <c r="G1670" s="16"/>
      <c r="H1670" s="16"/>
      <c r="I1670" s="16"/>
      <c r="J1670" s="16"/>
      <c r="K1670" s="16"/>
      <c r="L1670" s="14" t="s">
        <v>6395</v>
      </c>
      <c r="M1670" s="16"/>
      <c r="N1670" s="16"/>
      <c r="O1670" s="16"/>
      <c r="P1670" s="16"/>
      <c r="Q1670" s="16"/>
      <c r="R1670" s="16"/>
    </row>
    <row r="1671" spans="1:18" ht="90" x14ac:dyDescent="0.25">
      <c r="A1671" s="16" t="s">
        <v>8732</v>
      </c>
      <c r="B1671" s="16" t="s">
        <v>8813</v>
      </c>
      <c r="C1671" s="16" t="s">
        <v>8914</v>
      </c>
      <c r="D1671" s="16" t="s">
        <v>8531</v>
      </c>
      <c r="E1671" s="16" t="s">
        <v>6396</v>
      </c>
      <c r="F1671" s="16" t="s">
        <v>6397</v>
      </c>
      <c r="G1671" s="16" t="s">
        <v>24</v>
      </c>
      <c r="H1671" s="16" t="s">
        <v>258</v>
      </c>
      <c r="I1671" s="16" t="s">
        <v>195</v>
      </c>
      <c r="J1671" s="16"/>
      <c r="K1671" s="16" t="s">
        <v>6391</v>
      </c>
      <c r="L1671" s="14" t="s">
        <v>6392</v>
      </c>
      <c r="M1671" s="16" t="s">
        <v>6398</v>
      </c>
      <c r="N1671" s="16"/>
      <c r="O1671" s="16" t="s">
        <v>6399</v>
      </c>
      <c r="P1671" s="16" t="str">
        <f>HYPERLINK("https://ceds.ed.gov/cedselementdetails.aspx?termid=17638")</f>
        <v>https://ceds.ed.gov/cedselementdetails.aspx?termid=17638</v>
      </c>
      <c r="Q1671" s="16" t="str">
        <f>HYPERLINK("https://ceds.ed.gov/elementComment.aspx?elementName=Neglected or Delinquent Academic Outcome Indicator &amp;elementID=17638", "Click here to submit comment")</f>
        <v>Click here to submit comment</v>
      </c>
      <c r="R1671" s="16">
        <v>48904</v>
      </c>
    </row>
    <row r="1672" spans="1:18" ht="90" x14ac:dyDescent="0.25">
      <c r="A1672" s="16"/>
      <c r="B1672" s="16"/>
      <c r="C1672" s="16"/>
      <c r="D1672" s="16"/>
      <c r="E1672" s="16"/>
      <c r="F1672" s="16"/>
      <c r="G1672" s="16"/>
      <c r="H1672" s="16"/>
      <c r="I1672" s="16"/>
      <c r="J1672" s="16"/>
      <c r="K1672" s="16"/>
      <c r="L1672" s="14" t="s">
        <v>6395</v>
      </c>
      <c r="M1672" s="16"/>
      <c r="N1672" s="16"/>
      <c r="O1672" s="16"/>
      <c r="P1672" s="16"/>
      <c r="Q1672" s="16"/>
      <c r="R1672" s="16"/>
    </row>
    <row r="1673" spans="1:18" ht="45" x14ac:dyDescent="0.25">
      <c r="A1673" s="14" t="s">
        <v>8732</v>
      </c>
      <c r="B1673" s="14" t="s">
        <v>8813</v>
      </c>
      <c r="C1673" s="14" t="s">
        <v>8914</v>
      </c>
      <c r="D1673" s="14" t="s">
        <v>8531</v>
      </c>
      <c r="E1673" s="14" t="s">
        <v>6400</v>
      </c>
      <c r="F1673" s="14" t="s">
        <v>6401</v>
      </c>
      <c r="G1673" s="14" t="s">
        <v>24</v>
      </c>
      <c r="H1673" s="14" t="s">
        <v>245</v>
      </c>
      <c r="I1673" s="14"/>
      <c r="J1673" s="14"/>
      <c r="K1673" s="14"/>
      <c r="L1673" s="14"/>
      <c r="M1673" s="14" t="s">
        <v>6402</v>
      </c>
      <c r="N1673" s="14"/>
      <c r="O1673" s="14" t="s">
        <v>6403</v>
      </c>
      <c r="P1673" s="14" t="str">
        <f>HYPERLINK("https://ceds.ed.gov/cedselementdetails.aspx?termid=17475")</f>
        <v>https://ceds.ed.gov/cedselementdetails.aspx?termid=17475</v>
      </c>
      <c r="Q1673" s="14" t="str">
        <f>HYPERLINK("https://ceds.ed.gov/elementComment.aspx?elementName=Neglected or Delinquent Obtained Employment &amp;elementID=17475", "Click here to submit comment")</f>
        <v>Click here to submit comment</v>
      </c>
      <c r="R1673" s="14">
        <v>48854</v>
      </c>
    </row>
    <row r="1674" spans="1:18" ht="409.5" x14ac:dyDescent="0.25">
      <c r="A1674" s="14" t="s">
        <v>8732</v>
      </c>
      <c r="B1674" s="14" t="s">
        <v>8813</v>
      </c>
      <c r="C1674" s="14" t="s">
        <v>8668</v>
      </c>
      <c r="D1674" s="14" t="s">
        <v>8531</v>
      </c>
      <c r="E1674" s="14" t="s">
        <v>7163</v>
      </c>
      <c r="F1674" s="14" t="s">
        <v>7164</v>
      </c>
      <c r="G1674" s="8" t="s">
        <v>8669</v>
      </c>
      <c r="H1674" s="14" t="s">
        <v>72</v>
      </c>
      <c r="I1674" s="14"/>
      <c r="J1674" s="14"/>
      <c r="K1674" s="14"/>
      <c r="L1674" s="14"/>
      <c r="M1674" s="14" t="s">
        <v>7167</v>
      </c>
      <c r="N1674" s="14"/>
      <c r="O1674" s="14" t="s">
        <v>7168</v>
      </c>
      <c r="P1674" s="14" t="str">
        <f>HYPERLINK("https://ceds.ed.gov/cedselementdetails.aspx?termid=17225")</f>
        <v>https://ceds.ed.gov/cedselementdetails.aspx?termid=17225</v>
      </c>
      <c r="Q1674" s="14" t="str">
        <f>HYPERLINK("https://ceds.ed.gov/elementComment.aspx?elementName=Program Type &amp;elementID=17225", "Click here to submit comment")</f>
        <v>Click here to submit comment</v>
      </c>
      <c r="R1674" s="14">
        <v>48992</v>
      </c>
    </row>
    <row r="1675" spans="1:18" ht="105" x14ac:dyDescent="0.25">
      <c r="A1675" s="16" t="s">
        <v>8732</v>
      </c>
      <c r="B1675" s="16" t="s">
        <v>8813</v>
      </c>
      <c r="C1675" s="16" t="s">
        <v>8668</v>
      </c>
      <c r="D1675" s="16" t="s">
        <v>8531</v>
      </c>
      <c r="E1675" s="16" t="s">
        <v>7098</v>
      </c>
      <c r="F1675" s="16" t="s">
        <v>7099</v>
      </c>
      <c r="G1675" s="16" t="s">
        <v>37</v>
      </c>
      <c r="H1675" s="16" t="s">
        <v>2944</v>
      </c>
      <c r="I1675" s="16"/>
      <c r="J1675" s="16" t="s">
        <v>149</v>
      </c>
      <c r="K1675" s="16"/>
      <c r="L1675" s="14" t="s">
        <v>150</v>
      </c>
      <c r="M1675" s="16" t="s">
        <v>7101</v>
      </c>
      <c r="N1675" s="16"/>
      <c r="O1675" s="16" t="s">
        <v>7102</v>
      </c>
      <c r="P1675" s="16" t="str">
        <f>HYPERLINK("https://ceds.ed.gov/cedselementdetails.aspx?termid=17618")</f>
        <v>https://ceds.ed.gov/cedselementdetails.aspx?termid=17618</v>
      </c>
      <c r="Q1675" s="16" t="str">
        <f>HYPERLINK("https://ceds.ed.gov/elementComment.aspx?elementName=Program Identifier &amp;elementID=17618", "Click here to submit comment")</f>
        <v>Click here to submit comment</v>
      </c>
      <c r="R1675" s="16">
        <v>50697</v>
      </c>
    </row>
    <row r="1676" spans="1:18" x14ac:dyDescent="0.25">
      <c r="A1676" s="16"/>
      <c r="B1676" s="16"/>
      <c r="C1676" s="16"/>
      <c r="D1676" s="16"/>
      <c r="E1676" s="16"/>
      <c r="F1676" s="16"/>
      <c r="G1676" s="16"/>
      <c r="H1676" s="16"/>
      <c r="I1676" s="16"/>
      <c r="J1676" s="16"/>
      <c r="K1676" s="16"/>
      <c r="L1676" s="14"/>
      <c r="M1676" s="16"/>
      <c r="N1676" s="16"/>
      <c r="O1676" s="16"/>
      <c r="P1676" s="16"/>
      <c r="Q1676" s="16"/>
      <c r="R1676" s="16"/>
    </row>
    <row r="1677" spans="1:18" ht="90" x14ac:dyDescent="0.25">
      <c r="A1677" s="16"/>
      <c r="B1677" s="16"/>
      <c r="C1677" s="16"/>
      <c r="D1677" s="16"/>
      <c r="E1677" s="16"/>
      <c r="F1677" s="16"/>
      <c r="G1677" s="16"/>
      <c r="H1677" s="16"/>
      <c r="I1677" s="16"/>
      <c r="J1677" s="16"/>
      <c r="K1677" s="16"/>
      <c r="L1677" s="14" t="s">
        <v>153</v>
      </c>
      <c r="M1677" s="16"/>
      <c r="N1677" s="16"/>
      <c r="O1677" s="16"/>
      <c r="P1677" s="16"/>
      <c r="Q1677" s="16"/>
      <c r="R1677" s="16"/>
    </row>
    <row r="1678" spans="1:18" ht="60" x14ac:dyDescent="0.25">
      <c r="A1678" s="14" t="s">
        <v>8732</v>
      </c>
      <c r="B1678" s="14" t="s">
        <v>8813</v>
      </c>
      <c r="C1678" s="14" t="s">
        <v>8668</v>
      </c>
      <c r="D1678" s="14" t="s">
        <v>8531</v>
      </c>
      <c r="E1678" s="14" t="s">
        <v>7115</v>
      </c>
      <c r="F1678" s="14" t="s">
        <v>7116</v>
      </c>
      <c r="G1678" s="14" t="s">
        <v>37</v>
      </c>
      <c r="H1678" s="14" t="s">
        <v>2944</v>
      </c>
      <c r="I1678" s="14"/>
      <c r="J1678" s="14" t="s">
        <v>175</v>
      </c>
      <c r="K1678" s="14"/>
      <c r="L1678" s="14"/>
      <c r="M1678" s="14" t="s">
        <v>7118</v>
      </c>
      <c r="N1678" s="14"/>
      <c r="O1678" s="14" t="s">
        <v>7119</v>
      </c>
      <c r="P1678" s="14" t="str">
        <f>HYPERLINK("https://ceds.ed.gov/cedselementdetails.aspx?termid=17619")</f>
        <v>https://ceds.ed.gov/cedselementdetails.aspx?termid=17619</v>
      </c>
      <c r="Q1678" s="14" t="str">
        <f>HYPERLINK("https://ceds.ed.gov/elementComment.aspx?elementName=Program Name &amp;elementID=17619", "Click here to submit comment")</f>
        <v>Click here to submit comment</v>
      </c>
      <c r="R1678" s="14">
        <v>50696</v>
      </c>
    </row>
    <row r="1679" spans="1:18" ht="135" x14ac:dyDescent="0.25">
      <c r="A1679" s="14" t="s">
        <v>8732</v>
      </c>
      <c r="B1679" s="14" t="s">
        <v>8813</v>
      </c>
      <c r="C1679" s="14" t="s">
        <v>8668</v>
      </c>
      <c r="D1679" s="14" t="s">
        <v>8531</v>
      </c>
      <c r="E1679" s="14" t="s">
        <v>7130</v>
      </c>
      <c r="F1679" s="14" t="s">
        <v>7131</v>
      </c>
      <c r="G1679" s="8" t="s">
        <v>8670</v>
      </c>
      <c r="H1679" s="14" t="s">
        <v>2944</v>
      </c>
      <c r="I1679" s="14"/>
      <c r="J1679" s="14"/>
      <c r="K1679" s="14"/>
      <c r="L1679" s="14"/>
      <c r="M1679" s="14" t="s">
        <v>7134</v>
      </c>
      <c r="N1679" s="14"/>
      <c r="O1679" s="14" t="s">
        <v>7135</v>
      </c>
      <c r="P1679" s="14" t="str">
        <f>HYPERLINK("https://ceds.ed.gov/cedselementdetails.aspx?termid=18209")</f>
        <v>https://ceds.ed.gov/cedselementdetails.aspx?termid=18209</v>
      </c>
      <c r="Q1679" s="14" t="str">
        <f>HYPERLINK("https://ceds.ed.gov/elementComment.aspx?elementName=Program Participation Status &amp;elementID=18209", "Click here to submit comment")</f>
        <v>Click here to submit comment</v>
      </c>
      <c r="R1679" s="14">
        <v>48708</v>
      </c>
    </row>
    <row r="1680" spans="1:18" ht="60" x14ac:dyDescent="0.25">
      <c r="A1680" s="14" t="s">
        <v>8732</v>
      </c>
      <c r="B1680" s="14" t="s">
        <v>8813</v>
      </c>
      <c r="C1680" s="14" t="s">
        <v>8668</v>
      </c>
      <c r="D1680" s="14" t="s">
        <v>8531</v>
      </c>
      <c r="E1680" s="14" t="s">
        <v>7125</v>
      </c>
      <c r="F1680" s="14" t="s">
        <v>7126</v>
      </c>
      <c r="G1680" s="14" t="s">
        <v>37</v>
      </c>
      <c r="H1680" s="14" t="s">
        <v>7129</v>
      </c>
      <c r="I1680" s="14"/>
      <c r="J1680" s="14" t="s">
        <v>135</v>
      </c>
      <c r="K1680" s="14"/>
      <c r="L1680" s="14"/>
      <c r="M1680" s="14" t="s">
        <v>7127</v>
      </c>
      <c r="N1680" s="14"/>
      <c r="O1680" s="14" t="s">
        <v>7128</v>
      </c>
      <c r="P1680" s="14" t="str">
        <f>HYPERLINK("https://ceds.ed.gov/cedselementdetails.aspx?termid=17583")</f>
        <v>https://ceds.ed.gov/cedselementdetails.aspx?termid=17583</v>
      </c>
      <c r="Q1680" s="14" t="str">
        <f>HYPERLINK("https://ceds.ed.gov/elementComment.aspx?elementName=Program Participation Start Date &amp;elementID=17583", "Click here to submit comment")</f>
        <v>Click here to submit comment</v>
      </c>
      <c r="R1680" s="14">
        <v>48993</v>
      </c>
    </row>
    <row r="1681" spans="1:18" ht="75" x14ac:dyDescent="0.25">
      <c r="A1681" s="14" t="s">
        <v>8732</v>
      </c>
      <c r="B1681" s="14" t="s">
        <v>8813</v>
      </c>
      <c r="C1681" s="14" t="s">
        <v>8668</v>
      </c>
      <c r="D1681" s="14" t="s">
        <v>8531</v>
      </c>
      <c r="E1681" s="14" t="s">
        <v>7120</v>
      </c>
      <c r="F1681" s="14" t="s">
        <v>2201</v>
      </c>
      <c r="G1681" s="14" t="s">
        <v>37</v>
      </c>
      <c r="H1681" s="14" t="s">
        <v>7124</v>
      </c>
      <c r="I1681" s="14"/>
      <c r="J1681" s="14" t="s">
        <v>135</v>
      </c>
      <c r="K1681" s="14"/>
      <c r="L1681" s="14" t="s">
        <v>160</v>
      </c>
      <c r="M1681" s="14" t="s">
        <v>7122</v>
      </c>
      <c r="N1681" s="14"/>
      <c r="O1681" s="14" t="s">
        <v>7123</v>
      </c>
      <c r="P1681" s="14" t="str">
        <f>HYPERLINK("https://ceds.ed.gov/cedselementdetails.aspx?termid=17584")</f>
        <v>https://ceds.ed.gov/cedselementdetails.aspx?termid=17584</v>
      </c>
      <c r="Q1681" s="14" t="str">
        <f>HYPERLINK("https://ceds.ed.gov/elementComment.aspx?elementName=Program Participation Exit Date &amp;elementID=17584", "Click here to submit comment")</f>
        <v>Click here to submit comment</v>
      </c>
      <c r="R1681" s="14">
        <v>48994</v>
      </c>
    </row>
    <row r="1682" spans="1:18" ht="409.5" x14ac:dyDescent="0.25">
      <c r="A1682" s="14" t="s">
        <v>8732</v>
      </c>
      <c r="B1682" s="14" t="s">
        <v>8813</v>
      </c>
      <c r="C1682" s="14" t="s">
        <v>8668</v>
      </c>
      <c r="D1682" s="14" t="s">
        <v>8531</v>
      </c>
      <c r="E1682" s="14" t="s">
        <v>4141</v>
      </c>
      <c r="F1682" s="14" t="s">
        <v>4142</v>
      </c>
      <c r="G1682" s="8" t="s">
        <v>8637</v>
      </c>
      <c r="H1682" s="14"/>
      <c r="I1682" s="14"/>
      <c r="J1682" s="14"/>
      <c r="K1682" s="14"/>
      <c r="L1682" s="14"/>
      <c r="M1682" s="14" t="s">
        <v>4145</v>
      </c>
      <c r="N1682" s="14"/>
      <c r="O1682" s="14" t="s">
        <v>4146</v>
      </c>
      <c r="P1682" s="14" t="str">
        <f>HYPERLINK("https://ceds.ed.gov/cedselementdetails.aspx?termid=17222")</f>
        <v>https://ceds.ed.gov/cedselementdetails.aspx?termid=17222</v>
      </c>
      <c r="Q1682" s="14" t="str">
        <f>HYPERLINK("https://ceds.ed.gov/elementComment.aspx?elementName=Exit Reason &amp;elementID=17222", "Click here to submit comment")</f>
        <v>Click here to submit comment</v>
      </c>
      <c r="R1682" s="14">
        <v>48802</v>
      </c>
    </row>
    <row r="1683" spans="1:18" ht="90" x14ac:dyDescent="0.25">
      <c r="A1683" s="14" t="s">
        <v>8732</v>
      </c>
      <c r="B1683" s="14" t="s">
        <v>8813</v>
      </c>
      <c r="C1683" s="14" t="s">
        <v>8668</v>
      </c>
      <c r="D1683" s="14" t="s">
        <v>8531</v>
      </c>
      <c r="E1683" s="14" t="s">
        <v>3373</v>
      </c>
      <c r="F1683" s="14" t="s">
        <v>3374</v>
      </c>
      <c r="G1683" s="14" t="s">
        <v>37</v>
      </c>
      <c r="H1683" s="14"/>
      <c r="I1683" s="14"/>
      <c r="J1683" s="14" t="s">
        <v>1710</v>
      </c>
      <c r="K1683" s="14"/>
      <c r="L1683" s="14" t="s">
        <v>3376</v>
      </c>
      <c r="M1683" s="14" t="s">
        <v>3377</v>
      </c>
      <c r="N1683" s="14"/>
      <c r="O1683" s="14" t="s">
        <v>3378</v>
      </c>
      <c r="P1683" s="14" t="str">
        <f>HYPERLINK("https://ceds.ed.gov/cedselementdetails.aspx?termid=18553")</f>
        <v>https://ceds.ed.gov/cedselementdetails.aspx?termid=18553</v>
      </c>
      <c r="Q1683" s="14" t="str">
        <f>HYPERLINK("https://ceds.ed.gov/elementComment.aspx?elementName=Credits Required &amp;elementID=18553", "Click here to submit comment")</f>
        <v>Click here to submit comment</v>
      </c>
      <c r="R1683" s="14">
        <v>50928</v>
      </c>
    </row>
    <row r="1684" spans="1:18" ht="240" x14ac:dyDescent="0.25">
      <c r="A1684" s="14" t="s">
        <v>8732</v>
      </c>
      <c r="B1684" s="14" t="s">
        <v>8813</v>
      </c>
      <c r="C1684" s="14" t="s">
        <v>8668</v>
      </c>
      <c r="D1684" s="14" t="s">
        <v>8531</v>
      </c>
      <c r="E1684" s="14" t="s">
        <v>8492</v>
      </c>
      <c r="F1684" s="14" t="s">
        <v>8493</v>
      </c>
      <c r="G1684" s="8" t="s">
        <v>8916</v>
      </c>
      <c r="H1684" s="14"/>
      <c r="I1684" s="14"/>
      <c r="J1684" s="14"/>
      <c r="K1684" s="14"/>
      <c r="L1684" s="14"/>
      <c r="M1684" s="14" t="s">
        <v>8496</v>
      </c>
      <c r="N1684" s="14"/>
      <c r="O1684" s="14" t="s">
        <v>8497</v>
      </c>
      <c r="P1684" s="14" t="str">
        <f>HYPERLINK("https://ceds.ed.gov/cedselementdetails.aspx?termid=18471")</f>
        <v>https://ceds.ed.gov/cedselementdetails.aspx?termid=18471</v>
      </c>
      <c r="Q1684" s="14" t="str">
        <f>HYPERLINK("https://ceds.ed.gov/elementComment.aspx?elementName=Work-based Learning Opportunity Type &amp;elementID=18471", "Click here to submit comment")</f>
        <v>Click here to submit comment</v>
      </c>
      <c r="R1684" s="14">
        <v>50455</v>
      </c>
    </row>
    <row r="1685" spans="1:18" ht="45" x14ac:dyDescent="0.25">
      <c r="A1685" s="14" t="s">
        <v>8732</v>
      </c>
      <c r="B1685" s="14" t="s">
        <v>8813</v>
      </c>
      <c r="C1685" s="14" t="s">
        <v>8668</v>
      </c>
      <c r="D1685" s="14" t="s">
        <v>8541</v>
      </c>
      <c r="E1685" s="14" t="s">
        <v>7077</v>
      </c>
      <c r="F1685" s="14" t="s">
        <v>7078</v>
      </c>
      <c r="G1685" s="14" t="s">
        <v>37</v>
      </c>
      <c r="H1685" s="14"/>
      <c r="I1685" s="14" t="s">
        <v>188</v>
      </c>
      <c r="J1685" s="14" t="s">
        <v>129</v>
      </c>
      <c r="K1685" s="14" t="s">
        <v>1721</v>
      </c>
      <c r="L1685" s="14"/>
      <c r="M1685" s="14" t="s">
        <v>7080</v>
      </c>
      <c r="N1685" s="14"/>
      <c r="O1685" s="14" t="s">
        <v>7081</v>
      </c>
      <c r="P1685" s="14" t="str">
        <f>HYPERLINK("https://ceds.ed.gov/cedselementdetails.aspx?termid=18909")</f>
        <v>https://ceds.ed.gov/cedselementdetails.aspx?termid=18909</v>
      </c>
      <c r="Q1685" s="14" t="str">
        <f>HYPERLINK("https://ceds.ed.gov/elementComment.aspx?elementName=Program Entry Reason &amp;elementID=18909", "Click here to submit comment")</f>
        <v>Click here to submit comment</v>
      </c>
      <c r="R1685" s="14">
        <v>52347</v>
      </c>
    </row>
    <row r="1686" spans="1:18" ht="60" x14ac:dyDescent="0.25">
      <c r="A1686" s="14" t="s">
        <v>8732</v>
      </c>
      <c r="B1686" s="14" t="s">
        <v>8813</v>
      </c>
      <c r="C1686" s="14" t="s">
        <v>8693</v>
      </c>
      <c r="D1686" s="14" t="s">
        <v>8531</v>
      </c>
      <c r="E1686" s="14" t="s">
        <v>4037</v>
      </c>
      <c r="F1686" s="14" t="s">
        <v>4038</v>
      </c>
      <c r="G1686" s="14" t="s">
        <v>37</v>
      </c>
      <c r="H1686" s="14" t="s">
        <v>4041</v>
      </c>
      <c r="I1686" s="14"/>
      <c r="J1686" s="14" t="s">
        <v>135</v>
      </c>
      <c r="K1686" s="14"/>
      <c r="L1686" s="14"/>
      <c r="M1686" s="14" t="s">
        <v>4039</v>
      </c>
      <c r="N1686" s="14"/>
      <c r="O1686" s="14" t="s">
        <v>4040</v>
      </c>
      <c r="P1686" s="14" t="str">
        <f>HYPERLINK("https://ceds.ed.gov/cedselementdetails.aspx?termid=17345")</f>
        <v>https://ceds.ed.gov/cedselementdetails.aspx?termid=17345</v>
      </c>
      <c r="Q1686" s="14" t="str">
        <f>HYPERLINK("https://ceds.ed.gov/elementComment.aspx?elementName=Employment Start Date &amp;elementID=17345", "Click here to submit comment")</f>
        <v>Click here to submit comment</v>
      </c>
      <c r="R1686" s="14">
        <v>50705</v>
      </c>
    </row>
    <row r="1687" spans="1:18" ht="75" x14ac:dyDescent="0.25">
      <c r="A1687" s="14" t="s">
        <v>8732</v>
      </c>
      <c r="B1687" s="14" t="s">
        <v>8813</v>
      </c>
      <c r="C1687" s="14" t="s">
        <v>8693</v>
      </c>
      <c r="D1687" s="14" t="s">
        <v>8531</v>
      </c>
      <c r="E1687" s="14" t="s">
        <v>3995</v>
      </c>
      <c r="F1687" s="14" t="s">
        <v>3996</v>
      </c>
      <c r="G1687" s="14" t="s">
        <v>37</v>
      </c>
      <c r="H1687" s="14" t="s">
        <v>238</v>
      </c>
      <c r="I1687" s="14"/>
      <c r="J1687" s="14" t="s">
        <v>135</v>
      </c>
      <c r="K1687" s="14"/>
      <c r="L1687" s="14" t="s">
        <v>160</v>
      </c>
      <c r="M1687" s="14" t="s">
        <v>3998</v>
      </c>
      <c r="N1687" s="14"/>
      <c r="O1687" s="14" t="s">
        <v>3999</v>
      </c>
      <c r="P1687" s="14" t="str">
        <f>HYPERLINK("https://ceds.ed.gov/cedselementdetails.aspx?termid=17794")</f>
        <v>https://ceds.ed.gov/cedselementdetails.aspx?termid=17794</v>
      </c>
      <c r="Q1687" s="14" t="str">
        <f>HYPERLINK("https://ceds.ed.gov/elementComment.aspx?elementName=Employment End Date &amp;elementID=17794", "Click here to submit comment")</f>
        <v>Click here to submit comment</v>
      </c>
      <c r="R1687" s="14">
        <v>50700</v>
      </c>
    </row>
    <row r="1688" spans="1:18" ht="60" x14ac:dyDescent="0.25">
      <c r="A1688" s="14" t="s">
        <v>8732</v>
      </c>
      <c r="B1688" s="14" t="s">
        <v>8813</v>
      </c>
      <c r="C1688" s="14" t="s">
        <v>8693</v>
      </c>
      <c r="D1688" s="14" t="s">
        <v>8531</v>
      </c>
      <c r="E1688" s="14" t="s">
        <v>4006</v>
      </c>
      <c r="F1688" s="14" t="s">
        <v>4007</v>
      </c>
      <c r="G1688" s="14" t="s">
        <v>3259</v>
      </c>
      <c r="H1688" s="14"/>
      <c r="I1688" s="14"/>
      <c r="J1688" s="14" t="s">
        <v>3260</v>
      </c>
      <c r="K1688" s="14"/>
      <c r="L1688" s="14"/>
      <c r="M1688" s="14" t="s">
        <v>4009</v>
      </c>
      <c r="N1688" s="14"/>
      <c r="O1688" s="14" t="s">
        <v>4010</v>
      </c>
      <c r="P1688" s="14" t="str">
        <f>HYPERLINK("https://ceds.ed.gov/cedselementdetails.aspx?termid=18070")</f>
        <v>https://ceds.ed.gov/cedselementdetails.aspx?termid=18070</v>
      </c>
      <c r="Q1688" s="14" t="str">
        <f>HYPERLINK("https://ceds.ed.gov/elementComment.aspx?elementName=Employment NAICS Code &amp;elementID=18070", "Click here to submit comment")</f>
        <v>Click here to submit comment</v>
      </c>
      <c r="R1688" s="14">
        <v>48621</v>
      </c>
    </row>
    <row r="1689" spans="1:18" ht="225" x14ac:dyDescent="0.25">
      <c r="A1689" s="14" t="s">
        <v>8732</v>
      </c>
      <c r="B1689" s="14" t="s">
        <v>8813</v>
      </c>
      <c r="C1689" s="14" t="s">
        <v>8693</v>
      </c>
      <c r="D1689" s="14" t="s">
        <v>8531</v>
      </c>
      <c r="E1689" s="14" t="s">
        <v>3990</v>
      </c>
      <c r="F1689" s="14" t="s">
        <v>3991</v>
      </c>
      <c r="G1689" s="14" t="s">
        <v>3978</v>
      </c>
      <c r="H1689" s="14" t="s">
        <v>3983</v>
      </c>
      <c r="I1689" s="14"/>
      <c r="J1689" s="14"/>
      <c r="K1689" s="14"/>
      <c r="L1689" s="14" t="s">
        <v>3992</v>
      </c>
      <c r="M1689" s="14" t="s">
        <v>3993</v>
      </c>
      <c r="N1689" s="14"/>
      <c r="O1689" s="14" t="s">
        <v>3994</v>
      </c>
      <c r="P1689" s="14" t="str">
        <f>HYPERLINK("https://ceds.ed.gov/cedselementdetails.aspx?termid=17989")</f>
        <v>https://ceds.ed.gov/cedselementdetails.aspx?termid=17989</v>
      </c>
      <c r="Q1689" s="14" t="str">
        <f>HYPERLINK("https://ceds.ed.gov/elementComment.aspx?elementName=Employed While Enrolled &amp;elementID=17989", "Click here to submit comment")</f>
        <v>Click here to submit comment</v>
      </c>
      <c r="R1689" s="14">
        <v>48619</v>
      </c>
    </row>
    <row r="1690" spans="1:18" ht="270" x14ac:dyDescent="0.25">
      <c r="A1690" s="14" t="s">
        <v>8732</v>
      </c>
      <c r="B1690" s="14" t="s">
        <v>8813</v>
      </c>
      <c r="C1690" s="14" t="s">
        <v>8693</v>
      </c>
      <c r="D1690" s="14" t="s">
        <v>8531</v>
      </c>
      <c r="E1690" s="14" t="s">
        <v>3976</v>
      </c>
      <c r="F1690" s="14" t="s">
        <v>3977</v>
      </c>
      <c r="G1690" s="14" t="s">
        <v>3978</v>
      </c>
      <c r="H1690" s="14" t="s">
        <v>3983</v>
      </c>
      <c r="I1690" s="14"/>
      <c r="J1690" s="14"/>
      <c r="K1690" s="14"/>
      <c r="L1690" s="14" t="s">
        <v>3980</v>
      </c>
      <c r="M1690" s="14" t="s">
        <v>3981</v>
      </c>
      <c r="N1690" s="14"/>
      <c r="O1690" s="14" t="s">
        <v>3982</v>
      </c>
      <c r="P1690" s="14" t="str">
        <f>HYPERLINK("https://ceds.ed.gov/cedselementdetails.aspx?termid=17990")</f>
        <v>https://ceds.ed.gov/cedselementdetails.aspx?termid=17990</v>
      </c>
      <c r="Q1690" s="14" t="str">
        <f>HYPERLINK("https://ceds.ed.gov/elementComment.aspx?elementName=Employed After Exit &amp;elementID=17990", "Click here to submit comment")</f>
        <v>Click here to submit comment</v>
      </c>
      <c r="R1690" s="14">
        <v>48617</v>
      </c>
    </row>
    <row r="1691" spans="1:18" ht="105" x14ac:dyDescent="0.25">
      <c r="A1691" s="16" t="s">
        <v>8732</v>
      </c>
      <c r="B1691" s="16" t="s">
        <v>8813</v>
      </c>
      <c r="C1691" s="16" t="s">
        <v>8917</v>
      </c>
      <c r="D1691" s="16" t="s">
        <v>8531</v>
      </c>
      <c r="E1691" s="16" t="s">
        <v>5744</v>
      </c>
      <c r="F1691" s="16" t="s">
        <v>5745</v>
      </c>
      <c r="G1691" s="16" t="s">
        <v>37</v>
      </c>
      <c r="H1691" s="16"/>
      <c r="I1691" s="16"/>
      <c r="J1691" s="16" t="s">
        <v>149</v>
      </c>
      <c r="K1691" s="16"/>
      <c r="L1691" s="14" t="s">
        <v>150</v>
      </c>
      <c r="M1691" s="16" t="s">
        <v>5747</v>
      </c>
      <c r="N1691" s="16"/>
      <c r="O1691" s="16" t="s">
        <v>5748</v>
      </c>
      <c r="P1691" s="16" t="str">
        <f>HYPERLINK("https://ceds.ed.gov/cedselementdetails.aspx?termid=18533")</f>
        <v>https://ceds.ed.gov/cedselementdetails.aspx?termid=18533</v>
      </c>
      <c r="Q1691" s="16" t="str">
        <f>HYPERLINK("https://ceds.ed.gov/elementComment.aspx?elementName=Learner Action Actor Identifier &amp;elementID=18533", "Click here to submit comment")</f>
        <v>Click here to submit comment</v>
      </c>
      <c r="R1691" s="16">
        <v>50868</v>
      </c>
    </row>
    <row r="1692" spans="1:18" x14ac:dyDescent="0.25">
      <c r="A1692" s="16"/>
      <c r="B1692" s="16"/>
      <c r="C1692" s="16"/>
      <c r="D1692" s="16"/>
      <c r="E1692" s="16"/>
      <c r="F1692" s="16"/>
      <c r="G1692" s="16"/>
      <c r="H1692" s="16"/>
      <c r="I1692" s="16"/>
      <c r="J1692" s="16"/>
      <c r="K1692" s="16"/>
      <c r="L1692" s="14"/>
      <c r="M1692" s="16"/>
      <c r="N1692" s="16"/>
      <c r="O1692" s="16"/>
      <c r="P1692" s="16"/>
      <c r="Q1692" s="16"/>
      <c r="R1692" s="16"/>
    </row>
    <row r="1693" spans="1:18" ht="90" x14ac:dyDescent="0.25">
      <c r="A1693" s="16"/>
      <c r="B1693" s="16"/>
      <c r="C1693" s="16"/>
      <c r="D1693" s="16"/>
      <c r="E1693" s="16"/>
      <c r="F1693" s="16"/>
      <c r="G1693" s="16"/>
      <c r="H1693" s="16"/>
      <c r="I1693" s="16"/>
      <c r="J1693" s="16"/>
      <c r="K1693" s="16"/>
      <c r="L1693" s="14" t="s">
        <v>153</v>
      </c>
      <c r="M1693" s="16"/>
      <c r="N1693" s="16"/>
      <c r="O1693" s="16"/>
      <c r="P1693" s="16"/>
      <c r="Q1693" s="16"/>
      <c r="R1693" s="16"/>
    </row>
    <row r="1694" spans="1:18" ht="45" x14ac:dyDescent="0.25">
      <c r="A1694" s="14" t="s">
        <v>8732</v>
      </c>
      <c r="B1694" s="14" t="s">
        <v>8813</v>
      </c>
      <c r="C1694" s="14" t="s">
        <v>8917</v>
      </c>
      <c r="D1694" s="14" t="s">
        <v>8531</v>
      </c>
      <c r="E1694" s="14" t="s">
        <v>5749</v>
      </c>
      <c r="F1694" s="14" t="s">
        <v>5750</v>
      </c>
      <c r="G1694" s="14" t="s">
        <v>37</v>
      </c>
      <c r="H1694" s="14"/>
      <c r="I1694" s="14"/>
      <c r="J1694" s="14" t="s">
        <v>941</v>
      </c>
      <c r="K1694" s="14"/>
      <c r="L1694" s="14"/>
      <c r="M1694" s="14" t="s">
        <v>5751</v>
      </c>
      <c r="N1694" s="14"/>
      <c r="O1694" s="14" t="s">
        <v>5752</v>
      </c>
      <c r="P1694" s="14" t="str">
        <f>HYPERLINK("https://ceds.ed.gov/cedselementdetails.aspx?termid=17938")</f>
        <v>https://ceds.ed.gov/cedselementdetails.aspx?termid=17938</v>
      </c>
      <c r="Q1694" s="14" t="str">
        <f>HYPERLINK("https://ceds.ed.gov/elementComment.aspx?elementName=Learner Action Date Time &amp;elementID=17938", "Click here to submit comment")</f>
        <v>Click here to submit comment</v>
      </c>
      <c r="R1694" s="14">
        <v>50869</v>
      </c>
    </row>
    <row r="1695" spans="1:18" ht="45" x14ac:dyDescent="0.25">
      <c r="A1695" s="14" t="s">
        <v>8732</v>
      </c>
      <c r="B1695" s="14" t="s">
        <v>8813</v>
      </c>
      <c r="C1695" s="14" t="s">
        <v>8917</v>
      </c>
      <c r="D1695" s="14" t="s">
        <v>8531</v>
      </c>
      <c r="E1695" s="14" t="s">
        <v>5753</v>
      </c>
      <c r="F1695" s="14" t="s">
        <v>5754</v>
      </c>
      <c r="G1695" s="14" t="s">
        <v>37</v>
      </c>
      <c r="H1695" s="14"/>
      <c r="I1695" s="14"/>
      <c r="J1695" s="14" t="s">
        <v>129</v>
      </c>
      <c r="K1695" s="14"/>
      <c r="L1695" s="14"/>
      <c r="M1695" s="14" t="s">
        <v>5755</v>
      </c>
      <c r="N1695" s="14"/>
      <c r="O1695" s="14" t="s">
        <v>5756</v>
      </c>
      <c r="P1695" s="14" t="str">
        <f>HYPERLINK("https://ceds.ed.gov/cedselementdetails.aspx?termid=18534")</f>
        <v>https://ceds.ed.gov/cedselementdetails.aspx?termid=18534</v>
      </c>
      <c r="Q1695" s="14" t="str">
        <f>HYPERLINK("https://ceds.ed.gov/elementComment.aspx?elementName=Learner Action Object Description &amp;elementID=18534", "Click here to submit comment")</f>
        <v>Click here to submit comment</v>
      </c>
      <c r="R1695" s="14">
        <v>50870</v>
      </c>
    </row>
    <row r="1696" spans="1:18" ht="105" x14ac:dyDescent="0.25">
      <c r="A1696" s="16" t="s">
        <v>8732</v>
      </c>
      <c r="B1696" s="16" t="s">
        <v>8813</v>
      </c>
      <c r="C1696" s="16" t="s">
        <v>8917</v>
      </c>
      <c r="D1696" s="16" t="s">
        <v>8531</v>
      </c>
      <c r="E1696" s="16" t="s">
        <v>5757</v>
      </c>
      <c r="F1696" s="16" t="s">
        <v>5758</v>
      </c>
      <c r="G1696" s="16" t="s">
        <v>37</v>
      </c>
      <c r="H1696" s="16"/>
      <c r="I1696" s="16"/>
      <c r="J1696" s="16" t="s">
        <v>149</v>
      </c>
      <c r="K1696" s="16"/>
      <c r="L1696" s="14" t="s">
        <v>150</v>
      </c>
      <c r="M1696" s="16" t="s">
        <v>5759</v>
      </c>
      <c r="N1696" s="16"/>
      <c r="O1696" s="16" t="s">
        <v>5760</v>
      </c>
      <c r="P1696" s="16" t="str">
        <f>HYPERLINK("https://ceds.ed.gov/cedselementdetails.aspx?termid=18535")</f>
        <v>https://ceds.ed.gov/cedselementdetails.aspx?termid=18535</v>
      </c>
      <c r="Q1696" s="16" t="str">
        <f>HYPERLINK("https://ceds.ed.gov/elementComment.aspx?elementName=Learner Action Object Identifier &amp;elementID=18535", "Click here to submit comment")</f>
        <v>Click here to submit comment</v>
      </c>
      <c r="R1696" s="16">
        <v>50873</v>
      </c>
    </row>
    <row r="1697" spans="1:18" x14ac:dyDescent="0.25">
      <c r="A1697" s="16"/>
      <c r="B1697" s="16"/>
      <c r="C1697" s="16"/>
      <c r="D1697" s="16"/>
      <c r="E1697" s="16"/>
      <c r="F1697" s="16"/>
      <c r="G1697" s="16"/>
      <c r="H1697" s="16"/>
      <c r="I1697" s="16"/>
      <c r="J1697" s="16"/>
      <c r="K1697" s="16"/>
      <c r="L1697" s="14"/>
      <c r="M1697" s="16"/>
      <c r="N1697" s="16"/>
      <c r="O1697" s="16"/>
      <c r="P1697" s="16"/>
      <c r="Q1697" s="16"/>
      <c r="R1697" s="16"/>
    </row>
    <row r="1698" spans="1:18" ht="90" x14ac:dyDescent="0.25">
      <c r="A1698" s="16"/>
      <c r="B1698" s="16"/>
      <c r="C1698" s="16"/>
      <c r="D1698" s="16"/>
      <c r="E1698" s="16"/>
      <c r="F1698" s="16"/>
      <c r="G1698" s="16"/>
      <c r="H1698" s="16"/>
      <c r="I1698" s="16"/>
      <c r="J1698" s="16"/>
      <c r="K1698" s="16"/>
      <c r="L1698" s="14" t="s">
        <v>153</v>
      </c>
      <c r="M1698" s="16"/>
      <c r="N1698" s="16"/>
      <c r="O1698" s="16"/>
      <c r="P1698" s="16"/>
      <c r="Q1698" s="16"/>
      <c r="R1698" s="16"/>
    </row>
    <row r="1699" spans="1:18" ht="45" x14ac:dyDescent="0.25">
      <c r="A1699" s="14" t="s">
        <v>8732</v>
      </c>
      <c r="B1699" s="14" t="s">
        <v>8813</v>
      </c>
      <c r="C1699" s="14" t="s">
        <v>8917</v>
      </c>
      <c r="D1699" s="14" t="s">
        <v>8531</v>
      </c>
      <c r="E1699" s="14" t="s">
        <v>5761</v>
      </c>
      <c r="F1699" s="14" t="s">
        <v>5762</v>
      </c>
      <c r="G1699" s="14" t="s">
        <v>37</v>
      </c>
      <c r="H1699" s="14"/>
      <c r="I1699" s="14"/>
      <c r="J1699" s="14" t="s">
        <v>175</v>
      </c>
      <c r="K1699" s="14"/>
      <c r="L1699" s="14"/>
      <c r="M1699" s="14" t="s">
        <v>5763</v>
      </c>
      <c r="N1699" s="14"/>
      <c r="O1699" s="14" t="s">
        <v>5764</v>
      </c>
      <c r="P1699" s="14" t="str">
        <f>HYPERLINK("https://ceds.ed.gov/cedselementdetails.aspx?termid=18536")</f>
        <v>https://ceds.ed.gov/cedselementdetails.aspx?termid=18536</v>
      </c>
      <c r="Q1699" s="14" t="str">
        <f>HYPERLINK("https://ceds.ed.gov/elementComment.aspx?elementName=Learner Action Object Type &amp;elementID=18536", "Click here to submit comment")</f>
        <v>Click here to submit comment</v>
      </c>
      <c r="R1699" s="14">
        <v>50876</v>
      </c>
    </row>
    <row r="1700" spans="1:18" ht="409.5" x14ac:dyDescent="0.25">
      <c r="A1700" s="14" t="s">
        <v>8732</v>
      </c>
      <c r="B1700" s="14" t="s">
        <v>8813</v>
      </c>
      <c r="C1700" s="14" t="s">
        <v>8917</v>
      </c>
      <c r="D1700" s="14" t="s">
        <v>8531</v>
      </c>
      <c r="E1700" s="14" t="s">
        <v>5765</v>
      </c>
      <c r="F1700" s="14" t="s">
        <v>5766</v>
      </c>
      <c r="G1700" s="8" t="s">
        <v>8918</v>
      </c>
      <c r="H1700" s="14"/>
      <c r="I1700" s="14" t="s">
        <v>195</v>
      </c>
      <c r="J1700" s="14"/>
      <c r="K1700" s="14" t="s">
        <v>5768</v>
      </c>
      <c r="L1700" s="6" t="s">
        <v>5769</v>
      </c>
      <c r="M1700" s="14" t="s">
        <v>5770</v>
      </c>
      <c r="N1700" s="14"/>
      <c r="O1700" s="14" t="s">
        <v>5771</v>
      </c>
      <c r="P1700" s="14" t="str">
        <f>HYPERLINK("https://ceds.ed.gov/cedselementdetails.aspx?termid=17935")</f>
        <v>https://ceds.ed.gov/cedselementdetails.aspx?termid=17935</v>
      </c>
      <c r="Q1700" s="14" t="str">
        <f>HYPERLINK("https://ceds.ed.gov/elementComment.aspx?elementName=Learner Action Type &amp;elementID=17935", "Click here to submit comment")</f>
        <v>Click here to submit comment</v>
      </c>
      <c r="R1700" s="14">
        <v>50879</v>
      </c>
    </row>
    <row r="1701" spans="1:18" ht="75" x14ac:dyDescent="0.25">
      <c r="A1701" s="14" t="s">
        <v>8732</v>
      </c>
      <c r="B1701" s="14" t="s">
        <v>8813</v>
      </c>
      <c r="C1701" s="14" t="s">
        <v>8917</v>
      </c>
      <c r="D1701" s="14" t="s">
        <v>8531</v>
      </c>
      <c r="E1701" s="14" t="s">
        <v>5772</v>
      </c>
      <c r="F1701" s="14" t="s">
        <v>5773</v>
      </c>
      <c r="G1701" s="14" t="s">
        <v>37</v>
      </c>
      <c r="H1701" s="14"/>
      <c r="I1701" s="14"/>
      <c r="J1701" s="14" t="s">
        <v>382</v>
      </c>
      <c r="K1701" s="14"/>
      <c r="L1701" s="14"/>
      <c r="M1701" s="14" t="s">
        <v>5774</v>
      </c>
      <c r="N1701" s="14"/>
      <c r="O1701" s="14" t="s">
        <v>5775</v>
      </c>
      <c r="P1701" s="14" t="str">
        <f>HYPERLINK("https://ceds.ed.gov/cedselementdetails.aspx?termid=17936")</f>
        <v>https://ceds.ed.gov/cedselementdetails.aspx?termid=17936</v>
      </c>
      <c r="Q1701" s="14" t="str">
        <f>HYPERLINK("https://ceds.ed.gov/elementComment.aspx?elementName=Learner Action Value &amp;elementID=17936", "Click here to submit comment")</f>
        <v>Click here to submit comment</v>
      </c>
      <c r="R1701" s="14">
        <v>50880</v>
      </c>
    </row>
    <row r="1702" spans="1:18" ht="409.5" x14ac:dyDescent="0.25">
      <c r="A1702" s="14" t="s">
        <v>8732</v>
      </c>
      <c r="B1702" s="14" t="s">
        <v>8813</v>
      </c>
      <c r="C1702" s="14" t="s">
        <v>8673</v>
      </c>
      <c r="D1702" s="14" t="s">
        <v>8541</v>
      </c>
      <c r="E1702" s="14" t="s">
        <v>6727</v>
      </c>
      <c r="F1702" s="14" t="s">
        <v>6728</v>
      </c>
      <c r="G1702" s="8" t="s">
        <v>8674</v>
      </c>
      <c r="H1702" s="14" t="s">
        <v>1751</v>
      </c>
      <c r="I1702" s="14" t="s">
        <v>195</v>
      </c>
      <c r="J1702" s="14"/>
      <c r="K1702" s="14" t="s">
        <v>6731</v>
      </c>
      <c r="L1702" s="14" t="s">
        <v>6732</v>
      </c>
      <c r="M1702" s="14" t="s">
        <v>6733</v>
      </c>
      <c r="N1702" s="14"/>
      <c r="O1702" s="14" t="s">
        <v>6734</v>
      </c>
      <c r="P1702" s="14" t="str">
        <f>HYPERLINK("https://ceds.ed.gov/cedselementdetails.aspx?termid=17415")</f>
        <v>https://ceds.ed.gov/cedselementdetails.aspx?termid=17415</v>
      </c>
      <c r="Q1702" s="14" t="str">
        <f>HYPERLINK("https://ceds.ed.gov/elementComment.aspx?elementName=Person Relationship Type &amp;elementID=17415", "Click here to submit comment")</f>
        <v>Click here to submit comment</v>
      </c>
      <c r="R1702" s="14">
        <v>52348</v>
      </c>
    </row>
    <row r="1703" spans="1:18" ht="45" x14ac:dyDescent="0.25">
      <c r="A1703" s="14" t="s">
        <v>8732</v>
      </c>
      <c r="B1703" s="14" t="s">
        <v>8813</v>
      </c>
      <c r="C1703" s="14" t="s">
        <v>4</v>
      </c>
      <c r="D1703" s="14" t="s">
        <v>8541</v>
      </c>
      <c r="E1703" s="14" t="s">
        <v>1719</v>
      </c>
      <c r="F1703" s="14" t="s">
        <v>1720</v>
      </c>
      <c r="G1703" s="14" t="s">
        <v>24</v>
      </c>
      <c r="H1703" s="14"/>
      <c r="I1703" s="14" t="s">
        <v>188</v>
      </c>
      <c r="J1703" s="14"/>
      <c r="K1703" s="14" t="s">
        <v>1721</v>
      </c>
      <c r="L1703" s="14"/>
      <c r="M1703" s="14" t="s">
        <v>1722</v>
      </c>
      <c r="N1703" s="14"/>
      <c r="O1703" s="14" t="s">
        <v>1723</v>
      </c>
      <c r="P1703" s="14" t="str">
        <f>HYPERLINK("https://ceds.ed.gov/cedselementdetails.aspx?termid=18903")</f>
        <v>https://ceds.ed.gov/cedselementdetails.aspx?termid=18903</v>
      </c>
      <c r="Q1703" s="14" t="str">
        <f>HYPERLINK("https://ceds.ed.gov/elementComment.aspx?elementName=Awaiting Foster Care Status &amp;elementID=18903", "Click here to submit comment")</f>
        <v>Click here to submit comment</v>
      </c>
      <c r="R1703" s="14">
        <v>52349</v>
      </c>
    </row>
    <row r="1704" spans="1:18" ht="75" x14ac:dyDescent="0.25">
      <c r="A1704" s="14" t="s">
        <v>8732</v>
      </c>
      <c r="B1704" s="14" t="s">
        <v>8813</v>
      </c>
      <c r="C1704" s="14" t="s">
        <v>4</v>
      </c>
      <c r="D1704" s="14" t="s">
        <v>8541</v>
      </c>
      <c r="E1704" s="14" t="s">
        <v>7201</v>
      </c>
      <c r="F1704" s="14" t="s">
        <v>7202</v>
      </c>
      <c r="G1704" s="14" t="s">
        <v>24</v>
      </c>
      <c r="H1704" s="14"/>
      <c r="I1704" s="14" t="s">
        <v>195</v>
      </c>
      <c r="J1704" s="14"/>
      <c r="K1704" s="14" t="s">
        <v>2856</v>
      </c>
      <c r="L1704" s="14"/>
      <c r="M1704" s="14" t="s">
        <v>7204</v>
      </c>
      <c r="N1704" s="14"/>
      <c r="O1704" s="14" t="s">
        <v>7205</v>
      </c>
      <c r="P1704" s="14" t="str">
        <f>HYPERLINK("https://ceds.ed.gov/cedselementdetails.aspx?termid=17760")</f>
        <v>https://ceds.ed.gov/cedselementdetails.aspx?termid=17760</v>
      </c>
      <c r="Q1704" s="14" t="str">
        <f>HYPERLINK("https://ceds.ed.gov/elementComment.aspx?elementName=Public Assistance Status &amp;elementID=17760", "Click here to submit comment")</f>
        <v>Click here to submit comment</v>
      </c>
      <c r="R1704" s="14">
        <v>52350</v>
      </c>
    </row>
    <row r="1705" spans="1:18" ht="195" x14ac:dyDescent="0.25">
      <c r="A1705" s="14" t="s">
        <v>8732</v>
      </c>
      <c r="B1705" s="14" t="s">
        <v>8675</v>
      </c>
      <c r="C1705" s="14" t="s">
        <v>8597</v>
      </c>
      <c r="D1705" s="14" t="s">
        <v>8531</v>
      </c>
      <c r="E1705" s="14" t="s">
        <v>4667</v>
      </c>
      <c r="F1705" s="14" t="s">
        <v>4668</v>
      </c>
      <c r="G1705" s="14" t="s">
        <v>37</v>
      </c>
      <c r="H1705" s="14" t="s">
        <v>4673</v>
      </c>
      <c r="I1705" s="14"/>
      <c r="J1705" s="14" t="s">
        <v>1468</v>
      </c>
      <c r="K1705" s="14"/>
      <c r="L1705" s="14" t="s">
        <v>4670</v>
      </c>
      <c r="M1705" s="14" t="s">
        <v>4671</v>
      </c>
      <c r="N1705" s="14"/>
      <c r="O1705" s="14" t="s">
        <v>4672</v>
      </c>
      <c r="P1705" s="14" t="str">
        <f>HYPERLINK("https://ceds.ed.gov/cedselementdetails.aspx?termid=17115")</f>
        <v>https://ceds.ed.gov/cedselementdetails.aspx?termid=17115</v>
      </c>
      <c r="Q1705" s="14" t="str">
        <f>HYPERLINK("https://ceds.ed.gov/elementComment.aspx?elementName=First Name &amp;elementID=17115", "Click here to submit comment")</f>
        <v>Click here to submit comment</v>
      </c>
      <c r="R1705" s="14">
        <v>48244</v>
      </c>
    </row>
    <row r="1706" spans="1:18" x14ac:dyDescent="0.25">
      <c r="A1706" s="16" t="s">
        <v>8732</v>
      </c>
      <c r="B1706" s="16" t="s">
        <v>8675</v>
      </c>
      <c r="C1706" s="16" t="s">
        <v>8597</v>
      </c>
      <c r="D1706" s="16" t="s">
        <v>8531</v>
      </c>
      <c r="E1706" s="16" t="s">
        <v>6223</v>
      </c>
      <c r="F1706" s="16" t="s">
        <v>6224</v>
      </c>
      <c r="G1706" s="16" t="s">
        <v>37</v>
      </c>
      <c r="H1706" s="16" t="s">
        <v>4673</v>
      </c>
      <c r="I1706" s="16"/>
      <c r="J1706" s="16" t="s">
        <v>1468</v>
      </c>
      <c r="K1706" s="16"/>
      <c r="L1706" s="14" t="s">
        <v>4746</v>
      </c>
      <c r="M1706" s="16" t="s">
        <v>6226</v>
      </c>
      <c r="N1706" s="16"/>
      <c r="O1706" s="16" t="s">
        <v>6227</v>
      </c>
      <c r="P1706" s="16" t="str">
        <f>HYPERLINK("https://ceds.ed.gov/cedselementdetails.aspx?termid=17184")</f>
        <v>https://ceds.ed.gov/cedselementdetails.aspx?termid=17184</v>
      </c>
      <c r="Q1706" s="16" t="str">
        <f>HYPERLINK("https://ceds.ed.gov/elementComment.aspx?elementName=Middle Name &amp;elementID=17184", "Click here to submit comment")</f>
        <v>Click here to submit comment</v>
      </c>
      <c r="R1706" s="16">
        <v>48247</v>
      </c>
    </row>
    <row r="1707" spans="1:18" ht="90" x14ac:dyDescent="0.25">
      <c r="A1707" s="16"/>
      <c r="B1707" s="16"/>
      <c r="C1707" s="16"/>
      <c r="D1707" s="16"/>
      <c r="E1707" s="16"/>
      <c r="F1707" s="16"/>
      <c r="G1707" s="16"/>
      <c r="H1707" s="16"/>
      <c r="I1707" s="16"/>
      <c r="J1707" s="16"/>
      <c r="K1707" s="16"/>
      <c r="L1707" s="14" t="s">
        <v>4750</v>
      </c>
      <c r="M1707" s="16"/>
      <c r="N1707" s="16"/>
      <c r="O1707" s="16"/>
      <c r="P1707" s="16"/>
      <c r="Q1707" s="16"/>
      <c r="R1707" s="16"/>
    </row>
    <row r="1708" spans="1:18" x14ac:dyDescent="0.25">
      <c r="A1708" s="16" t="s">
        <v>8732</v>
      </c>
      <c r="B1708" s="16" t="s">
        <v>8675</v>
      </c>
      <c r="C1708" s="16" t="s">
        <v>8597</v>
      </c>
      <c r="D1708" s="16" t="s">
        <v>8531</v>
      </c>
      <c r="E1708" s="16" t="s">
        <v>5727</v>
      </c>
      <c r="F1708" s="16" t="s">
        <v>5728</v>
      </c>
      <c r="G1708" s="16" t="s">
        <v>37</v>
      </c>
      <c r="H1708" s="16" t="s">
        <v>4673</v>
      </c>
      <c r="I1708" s="16"/>
      <c r="J1708" s="16" t="s">
        <v>1468</v>
      </c>
      <c r="K1708" s="16"/>
      <c r="L1708" s="14" t="s">
        <v>4746</v>
      </c>
      <c r="M1708" s="16" t="s">
        <v>5729</v>
      </c>
      <c r="N1708" s="16" t="s">
        <v>5730</v>
      </c>
      <c r="O1708" s="16" t="s">
        <v>5731</v>
      </c>
      <c r="P1708" s="16" t="str">
        <f>HYPERLINK("https://ceds.ed.gov/cedselementdetails.aspx?termid=17172")</f>
        <v>https://ceds.ed.gov/cedselementdetails.aspx?termid=17172</v>
      </c>
      <c r="Q1708" s="16" t="str">
        <f>HYPERLINK("https://ceds.ed.gov/elementComment.aspx?elementName=Last or Surname &amp;elementID=17172", "Click here to submit comment")</f>
        <v>Click here to submit comment</v>
      </c>
      <c r="R1708" s="16">
        <v>48246</v>
      </c>
    </row>
    <row r="1709" spans="1:18" ht="90" x14ac:dyDescent="0.25">
      <c r="A1709" s="16"/>
      <c r="B1709" s="16"/>
      <c r="C1709" s="16"/>
      <c r="D1709" s="16"/>
      <c r="E1709" s="16"/>
      <c r="F1709" s="16"/>
      <c r="G1709" s="16"/>
      <c r="H1709" s="16"/>
      <c r="I1709" s="16"/>
      <c r="J1709" s="16"/>
      <c r="K1709" s="16"/>
      <c r="L1709" s="14" t="s">
        <v>4750</v>
      </c>
      <c r="M1709" s="16"/>
      <c r="N1709" s="16"/>
      <c r="O1709" s="16"/>
      <c r="P1709" s="16"/>
      <c r="Q1709" s="16"/>
      <c r="R1709" s="16"/>
    </row>
    <row r="1710" spans="1:18" x14ac:dyDescent="0.25">
      <c r="A1710" s="16" t="s">
        <v>8732</v>
      </c>
      <c r="B1710" s="16" t="s">
        <v>8675</v>
      </c>
      <c r="C1710" s="16" t="s">
        <v>8597</v>
      </c>
      <c r="D1710" s="16" t="s">
        <v>8531</v>
      </c>
      <c r="E1710" s="16" t="s">
        <v>4743</v>
      </c>
      <c r="F1710" s="16" t="s">
        <v>4744</v>
      </c>
      <c r="G1710" s="16" t="s">
        <v>37</v>
      </c>
      <c r="H1710" s="16" t="s">
        <v>4749</v>
      </c>
      <c r="I1710" s="16"/>
      <c r="J1710" s="16" t="s">
        <v>3096</v>
      </c>
      <c r="K1710" s="16"/>
      <c r="L1710" s="14" t="s">
        <v>4746</v>
      </c>
      <c r="M1710" s="16" t="s">
        <v>4747</v>
      </c>
      <c r="N1710" s="16"/>
      <c r="O1710" s="16" t="s">
        <v>4748</v>
      </c>
      <c r="P1710" s="16" t="str">
        <f>HYPERLINK("https://ceds.ed.gov/cedselementdetails.aspx?termid=17121")</f>
        <v>https://ceds.ed.gov/cedselementdetails.aspx?termid=17121</v>
      </c>
      <c r="Q1710" s="16" t="str">
        <f>HYPERLINK("https://ceds.ed.gov/elementComment.aspx?elementName=Generation Code or Suffix &amp;elementID=17121", "Click here to submit comment")</f>
        <v>Click here to submit comment</v>
      </c>
      <c r="R1710" s="16">
        <v>48245</v>
      </c>
    </row>
    <row r="1711" spans="1:18" ht="90" x14ac:dyDescent="0.25">
      <c r="A1711" s="16"/>
      <c r="B1711" s="16"/>
      <c r="C1711" s="16"/>
      <c r="D1711" s="16"/>
      <c r="E1711" s="16"/>
      <c r="F1711" s="16"/>
      <c r="G1711" s="16"/>
      <c r="H1711" s="16"/>
      <c r="I1711" s="16"/>
      <c r="J1711" s="16"/>
      <c r="K1711" s="16"/>
      <c r="L1711" s="14" t="s">
        <v>4750</v>
      </c>
      <c r="M1711" s="16"/>
      <c r="N1711" s="16"/>
      <c r="O1711" s="16"/>
      <c r="P1711" s="16"/>
      <c r="Q1711" s="16"/>
      <c r="R1711" s="16"/>
    </row>
    <row r="1712" spans="1:18" ht="105" x14ac:dyDescent="0.25">
      <c r="A1712" s="14" t="s">
        <v>8732</v>
      </c>
      <c r="B1712" s="14" t="s">
        <v>8675</v>
      </c>
      <c r="C1712" s="14" t="s">
        <v>8597</v>
      </c>
      <c r="D1712" s="14" t="s">
        <v>8531</v>
      </c>
      <c r="E1712" s="14" t="s">
        <v>6741</v>
      </c>
      <c r="F1712" s="14" t="s">
        <v>6742</v>
      </c>
      <c r="G1712" s="14" t="s">
        <v>37</v>
      </c>
      <c r="H1712" s="14" t="s">
        <v>6747</v>
      </c>
      <c r="I1712" s="14"/>
      <c r="J1712" s="14" t="s">
        <v>97</v>
      </c>
      <c r="K1712" s="14"/>
      <c r="L1712" s="14"/>
      <c r="M1712" s="14" t="s">
        <v>6744</v>
      </c>
      <c r="N1712" s="14" t="s">
        <v>6745</v>
      </c>
      <c r="O1712" s="14" t="s">
        <v>6746</v>
      </c>
      <c r="P1712" s="14" t="str">
        <f>HYPERLINK("https://ceds.ed.gov/cedselementdetails.aspx?termid=17212")</f>
        <v>https://ceds.ed.gov/cedselementdetails.aspx?termid=17212</v>
      </c>
      <c r="Q1712" s="14" t="str">
        <f>HYPERLINK("https://ceds.ed.gov/elementComment.aspx?elementName=Personal Title or Prefix &amp;elementID=17212", "Click here to submit comment")</f>
        <v>Click here to submit comment</v>
      </c>
      <c r="R1712" s="14">
        <v>48248</v>
      </c>
    </row>
    <row r="1713" spans="1:18" ht="45" x14ac:dyDescent="0.25">
      <c r="A1713" s="14" t="s">
        <v>8732</v>
      </c>
      <c r="B1713" s="14" t="s">
        <v>8675</v>
      </c>
      <c r="C1713" s="14" t="s">
        <v>8598</v>
      </c>
      <c r="D1713" s="14" t="s">
        <v>8531</v>
      </c>
      <c r="E1713" s="14" t="s">
        <v>6586</v>
      </c>
      <c r="F1713" s="14" t="s">
        <v>6587</v>
      </c>
      <c r="G1713" s="14" t="s">
        <v>37</v>
      </c>
      <c r="H1713" s="14"/>
      <c r="I1713" s="14"/>
      <c r="J1713" s="14" t="s">
        <v>1468</v>
      </c>
      <c r="K1713" s="14"/>
      <c r="L1713" s="14" t="s">
        <v>6589</v>
      </c>
      <c r="M1713" s="14" t="s">
        <v>6590</v>
      </c>
      <c r="N1713" s="14"/>
      <c r="O1713" s="14" t="s">
        <v>6591</v>
      </c>
      <c r="P1713" s="14" t="str">
        <f>HYPERLINK("https://ceds.ed.gov/cedselementdetails.aspx?termid=18486")</f>
        <v>https://ceds.ed.gov/cedselementdetails.aspx?termid=18486</v>
      </c>
      <c r="Q1713" s="14" t="str">
        <f>HYPERLINK("https://ceds.ed.gov/elementComment.aspx?elementName=Other First Name &amp;elementID=18486", "Click here to submit comment")</f>
        <v>Click here to submit comment</v>
      </c>
      <c r="R1713" s="14">
        <v>50631</v>
      </c>
    </row>
    <row r="1714" spans="1:18" ht="45" x14ac:dyDescent="0.25">
      <c r="A1714" s="14" t="s">
        <v>8732</v>
      </c>
      <c r="B1714" s="14" t="s">
        <v>8675</v>
      </c>
      <c r="C1714" s="14" t="s">
        <v>8598</v>
      </c>
      <c r="D1714" s="14" t="s">
        <v>8531</v>
      </c>
      <c r="E1714" s="14" t="s">
        <v>6597</v>
      </c>
      <c r="F1714" s="14" t="s">
        <v>6598</v>
      </c>
      <c r="G1714" s="14" t="s">
        <v>37</v>
      </c>
      <c r="H1714" s="14"/>
      <c r="I1714" s="14"/>
      <c r="J1714" s="14" t="s">
        <v>1468</v>
      </c>
      <c r="K1714" s="14"/>
      <c r="L1714" s="14" t="s">
        <v>6599</v>
      </c>
      <c r="M1714" s="14" t="s">
        <v>6600</v>
      </c>
      <c r="N1714" s="14"/>
      <c r="O1714" s="14" t="s">
        <v>6601</v>
      </c>
      <c r="P1714" s="14" t="str">
        <f>HYPERLINK("https://ceds.ed.gov/cedselementdetails.aspx?termid=18487")</f>
        <v>https://ceds.ed.gov/cedselementdetails.aspx?termid=18487</v>
      </c>
      <c r="Q1714" s="14" t="str">
        <f>HYPERLINK("https://ceds.ed.gov/elementComment.aspx?elementName=Other Middle Name &amp;elementID=18487", "Click here to submit comment")</f>
        <v>Click here to submit comment</v>
      </c>
      <c r="R1714" s="14">
        <v>50647</v>
      </c>
    </row>
    <row r="1715" spans="1:18" ht="45" x14ac:dyDescent="0.25">
      <c r="A1715" s="14" t="s">
        <v>8732</v>
      </c>
      <c r="B1715" s="14" t="s">
        <v>8675</v>
      </c>
      <c r="C1715" s="14" t="s">
        <v>8598</v>
      </c>
      <c r="D1715" s="14" t="s">
        <v>8531</v>
      </c>
      <c r="E1715" s="14" t="s">
        <v>6592</v>
      </c>
      <c r="F1715" s="14" t="s">
        <v>6593</v>
      </c>
      <c r="G1715" s="14" t="s">
        <v>37</v>
      </c>
      <c r="H1715" s="14"/>
      <c r="I1715" s="14"/>
      <c r="J1715" s="14" t="s">
        <v>1468</v>
      </c>
      <c r="K1715" s="14"/>
      <c r="L1715" s="14" t="s">
        <v>6594</v>
      </c>
      <c r="M1715" s="14" t="s">
        <v>6595</v>
      </c>
      <c r="N1715" s="14"/>
      <c r="O1715" s="14" t="s">
        <v>6596</v>
      </c>
      <c r="P1715" s="14" t="str">
        <f>HYPERLINK("https://ceds.ed.gov/cedselementdetails.aspx?termid=18485")</f>
        <v>https://ceds.ed.gov/cedselementdetails.aspx?termid=18485</v>
      </c>
      <c r="Q1715" s="14" t="str">
        <f>HYPERLINK("https://ceds.ed.gov/elementComment.aspx?elementName=Other Last Name &amp;elementID=18485", "Click here to submit comment")</f>
        <v>Click here to submit comment</v>
      </c>
      <c r="R1715" s="14">
        <v>50615</v>
      </c>
    </row>
    <row r="1716" spans="1:18" ht="150" x14ac:dyDescent="0.25">
      <c r="A1716" s="14" t="s">
        <v>8732</v>
      </c>
      <c r="B1716" s="14" t="s">
        <v>8675</v>
      </c>
      <c r="C1716" s="14" t="s">
        <v>8598</v>
      </c>
      <c r="D1716" s="14" t="s">
        <v>8531</v>
      </c>
      <c r="E1716" s="14" t="s">
        <v>6602</v>
      </c>
      <c r="F1716" s="14" t="s">
        <v>6603</v>
      </c>
      <c r="G1716" s="14" t="s">
        <v>37</v>
      </c>
      <c r="H1716" s="14" t="s">
        <v>4749</v>
      </c>
      <c r="I1716" s="14"/>
      <c r="J1716" s="14" t="s">
        <v>149</v>
      </c>
      <c r="K1716" s="14"/>
      <c r="L1716" s="14"/>
      <c r="M1716" s="14" t="s">
        <v>6604</v>
      </c>
      <c r="N1716" s="14"/>
      <c r="O1716" s="14" t="s">
        <v>6605</v>
      </c>
      <c r="P1716" s="14" t="str">
        <f>HYPERLINK("https://ceds.ed.gov/cedselementdetails.aspx?termid=17206")</f>
        <v>https://ceds.ed.gov/cedselementdetails.aspx?termid=17206</v>
      </c>
      <c r="Q1716" s="14" t="str">
        <f>HYPERLINK("https://ceds.ed.gov/elementComment.aspx?elementName=Other Name &amp;elementID=17206", "Click here to submit comment")</f>
        <v>Click here to submit comment</v>
      </c>
      <c r="R1716" s="14">
        <v>48999</v>
      </c>
    </row>
    <row r="1717" spans="1:18" ht="165" x14ac:dyDescent="0.25">
      <c r="A1717" s="14" t="s">
        <v>8732</v>
      </c>
      <c r="B1717" s="14" t="s">
        <v>8675</v>
      </c>
      <c r="C1717" s="14" t="s">
        <v>8598</v>
      </c>
      <c r="D1717" s="14" t="s">
        <v>8531</v>
      </c>
      <c r="E1717" s="14" t="s">
        <v>6606</v>
      </c>
      <c r="F1717" s="14" t="s">
        <v>6607</v>
      </c>
      <c r="G1717" s="8" t="s">
        <v>8554</v>
      </c>
      <c r="H1717" s="14" t="s">
        <v>6612</v>
      </c>
      <c r="I1717" s="14"/>
      <c r="J1717" s="14" t="s">
        <v>97</v>
      </c>
      <c r="K1717" s="14"/>
      <c r="L1717" s="14"/>
      <c r="M1717" s="14" t="s">
        <v>6610</v>
      </c>
      <c r="N1717" s="14"/>
      <c r="O1717" s="14" t="s">
        <v>6611</v>
      </c>
      <c r="P1717" s="14" t="str">
        <f>HYPERLINK("https://ceds.ed.gov/cedselementdetails.aspx?termid=17627")</f>
        <v>https://ceds.ed.gov/cedselementdetails.aspx?termid=17627</v>
      </c>
      <c r="Q1717" s="14" t="str">
        <f>HYPERLINK("https://ceds.ed.gov/elementComment.aspx?elementName=Other Name Type &amp;elementID=17627", "Click here to submit comment")</f>
        <v>Click here to submit comment</v>
      </c>
      <c r="R1717" s="14">
        <v>49000</v>
      </c>
    </row>
    <row r="1718" spans="1:18" ht="105" x14ac:dyDescent="0.25">
      <c r="A1718" s="16" t="s">
        <v>8732</v>
      </c>
      <c r="B1718" s="16" t="s">
        <v>8675</v>
      </c>
      <c r="C1718" s="16" t="s">
        <v>8599</v>
      </c>
      <c r="D1718" s="16" t="s">
        <v>8531</v>
      </c>
      <c r="E1718" s="16" t="s">
        <v>6711</v>
      </c>
      <c r="F1718" s="16" t="s">
        <v>6712</v>
      </c>
      <c r="G1718" s="16" t="s">
        <v>37</v>
      </c>
      <c r="H1718" s="16"/>
      <c r="I1718" s="16"/>
      <c r="J1718" s="16" t="s">
        <v>149</v>
      </c>
      <c r="K1718" s="16"/>
      <c r="L1718" s="14" t="s">
        <v>150</v>
      </c>
      <c r="M1718" s="16" t="s">
        <v>6713</v>
      </c>
      <c r="N1718" s="16"/>
      <c r="O1718" s="16" t="s">
        <v>6714</v>
      </c>
      <c r="P1718" s="16" t="str">
        <f>HYPERLINK("https://ceds.ed.gov/cedselementdetails.aspx?termid=18551")</f>
        <v>https://ceds.ed.gov/cedselementdetails.aspx?termid=18551</v>
      </c>
      <c r="Q1718" s="16" t="str">
        <f>HYPERLINK("https://ceds.ed.gov/elementComment.aspx?elementName=Person Identifier &amp;elementID=18551", "Click here to submit comment")</f>
        <v>Click here to submit comment</v>
      </c>
      <c r="R1718" s="16">
        <v>51387</v>
      </c>
    </row>
    <row r="1719" spans="1:18" x14ac:dyDescent="0.25">
      <c r="A1719" s="16"/>
      <c r="B1719" s="16"/>
      <c r="C1719" s="16"/>
      <c r="D1719" s="16"/>
      <c r="E1719" s="16"/>
      <c r="F1719" s="16"/>
      <c r="G1719" s="16"/>
      <c r="H1719" s="16"/>
      <c r="I1719" s="16"/>
      <c r="J1719" s="16"/>
      <c r="K1719" s="16"/>
      <c r="L1719" s="14"/>
      <c r="M1719" s="16"/>
      <c r="N1719" s="16"/>
      <c r="O1719" s="16"/>
      <c r="P1719" s="16"/>
      <c r="Q1719" s="16"/>
      <c r="R1719" s="16"/>
    </row>
    <row r="1720" spans="1:18" ht="90" x14ac:dyDescent="0.25">
      <c r="A1720" s="16"/>
      <c r="B1720" s="16"/>
      <c r="C1720" s="16"/>
      <c r="D1720" s="16"/>
      <c r="E1720" s="16"/>
      <c r="F1720" s="16"/>
      <c r="G1720" s="16"/>
      <c r="H1720" s="16"/>
      <c r="I1720" s="16"/>
      <c r="J1720" s="16"/>
      <c r="K1720" s="16"/>
      <c r="L1720" s="14" t="s">
        <v>153</v>
      </c>
      <c r="M1720" s="16"/>
      <c r="N1720" s="16"/>
      <c r="O1720" s="16"/>
      <c r="P1720" s="16"/>
      <c r="Q1720" s="16"/>
      <c r="R1720" s="16"/>
    </row>
    <row r="1721" spans="1:18" ht="375" x14ac:dyDescent="0.25">
      <c r="A1721" s="14" t="s">
        <v>8732</v>
      </c>
      <c r="B1721" s="14" t="s">
        <v>8675</v>
      </c>
      <c r="C1721" s="14" t="s">
        <v>8599</v>
      </c>
      <c r="D1721" s="14" t="s">
        <v>8531</v>
      </c>
      <c r="E1721" s="14" t="s">
        <v>6705</v>
      </c>
      <c r="F1721" s="14" t="s">
        <v>6706</v>
      </c>
      <c r="G1721" s="8" t="s">
        <v>8676</v>
      </c>
      <c r="H1721" s="14"/>
      <c r="I1721" s="14"/>
      <c r="J1721" s="14"/>
      <c r="K1721" s="14"/>
      <c r="L1721" s="14"/>
      <c r="M1721" s="14" t="s">
        <v>6709</v>
      </c>
      <c r="N1721" s="14"/>
      <c r="O1721" s="14" t="s">
        <v>6710</v>
      </c>
      <c r="P1721" s="14" t="str">
        <f>HYPERLINK("https://ceds.ed.gov/cedselementdetails.aspx?termid=18550")</f>
        <v>https://ceds.ed.gov/cedselementdetails.aspx?termid=18550</v>
      </c>
      <c r="Q1721" s="14" t="str">
        <f>HYPERLINK("https://ceds.ed.gov/elementComment.aspx?elementName=Person Identification System &amp;elementID=18550", "Click here to submit comment")</f>
        <v>Click here to submit comment</v>
      </c>
      <c r="R1721" s="14">
        <v>51388</v>
      </c>
    </row>
    <row r="1722" spans="1:18" ht="255" x14ac:dyDescent="0.25">
      <c r="A1722" s="14" t="s">
        <v>8732</v>
      </c>
      <c r="B1722" s="14" t="s">
        <v>8675</v>
      </c>
      <c r="C1722" s="14" t="s">
        <v>8599</v>
      </c>
      <c r="D1722" s="14" t="s">
        <v>8531</v>
      </c>
      <c r="E1722" s="14" t="s">
        <v>6735</v>
      </c>
      <c r="F1722" s="14" t="s">
        <v>6736</v>
      </c>
      <c r="G1722" s="8" t="s">
        <v>8601</v>
      </c>
      <c r="H1722" s="14"/>
      <c r="I1722" s="14"/>
      <c r="J1722" s="14"/>
      <c r="K1722" s="14"/>
      <c r="L1722" s="14"/>
      <c r="M1722" s="14" t="s">
        <v>6739</v>
      </c>
      <c r="N1722" s="14"/>
      <c r="O1722" s="14" t="s">
        <v>6740</v>
      </c>
      <c r="P1722" s="14" t="str">
        <f>HYPERLINK("https://ceds.ed.gov/cedselementdetails.aspx?termid=17611")</f>
        <v>https://ceds.ed.gov/cedselementdetails.aspx?termid=17611</v>
      </c>
      <c r="Q1722" s="14" t="str">
        <f>HYPERLINK("https://ceds.ed.gov/elementComment.aspx?elementName=Personal Information Verification &amp;elementID=17611", "Click here to submit comment")</f>
        <v>Click here to submit comment</v>
      </c>
      <c r="R1722" s="14">
        <v>49216</v>
      </c>
    </row>
    <row r="1723" spans="1:18" ht="210" x14ac:dyDescent="0.25">
      <c r="A1723" s="14" t="s">
        <v>8732</v>
      </c>
      <c r="B1723" s="14" t="s">
        <v>8675</v>
      </c>
      <c r="C1723" s="14" t="s">
        <v>8547</v>
      </c>
      <c r="D1723" s="14" t="s">
        <v>8531</v>
      </c>
      <c r="E1723" s="14" t="s">
        <v>219</v>
      </c>
      <c r="F1723" s="14" t="s">
        <v>220</v>
      </c>
      <c r="G1723" s="8" t="s">
        <v>8602</v>
      </c>
      <c r="H1723" s="14" t="s">
        <v>225</v>
      </c>
      <c r="I1723" s="14"/>
      <c r="J1723" s="14" t="s">
        <v>97</v>
      </c>
      <c r="K1723" s="14"/>
      <c r="L1723" s="14"/>
      <c r="M1723" s="14" t="s">
        <v>223</v>
      </c>
      <c r="N1723" s="14"/>
      <c r="O1723" s="14" t="s">
        <v>224</v>
      </c>
      <c r="P1723" s="14" t="str">
        <f>HYPERLINK("https://ceds.ed.gov/cedselementdetails.aspx?termid=17358")</f>
        <v>https://ceds.ed.gov/cedselementdetails.aspx?termid=17358</v>
      </c>
      <c r="Q1723" s="14" t="str">
        <f>HYPERLINK("https://ceds.ed.gov/elementComment.aspx?elementName=Address Type for Learner or Family &amp;elementID=17358", "Click here to submit comment")</f>
        <v>Click here to submit comment</v>
      </c>
      <c r="R1723" s="14">
        <v>49130</v>
      </c>
    </row>
    <row r="1724" spans="1:18" ht="225" x14ac:dyDescent="0.25">
      <c r="A1724" s="14" t="s">
        <v>8732</v>
      </c>
      <c r="B1724" s="14" t="s">
        <v>8675</v>
      </c>
      <c r="C1724" s="14" t="s">
        <v>8547</v>
      </c>
      <c r="D1724" s="14" t="s">
        <v>8531</v>
      </c>
      <c r="E1724" s="14" t="s">
        <v>214</v>
      </c>
      <c r="F1724" s="14" t="s">
        <v>215</v>
      </c>
      <c r="G1724" s="14" t="s">
        <v>37</v>
      </c>
      <c r="H1724" s="14" t="s">
        <v>199</v>
      </c>
      <c r="I1724" s="14" t="s">
        <v>195</v>
      </c>
      <c r="J1724" s="14" t="s">
        <v>216</v>
      </c>
      <c r="K1724" s="14" t="s">
        <v>196</v>
      </c>
      <c r="L1724" s="14"/>
      <c r="M1724" s="14" t="s">
        <v>217</v>
      </c>
      <c r="N1724" s="14"/>
      <c r="O1724" s="14" t="s">
        <v>218</v>
      </c>
      <c r="P1724" s="14" t="str">
        <f>HYPERLINK("https://ceds.ed.gov/cedselementdetails.aspx?termid=17269")</f>
        <v>https://ceds.ed.gov/cedselementdetails.aspx?termid=17269</v>
      </c>
      <c r="Q1724" s="14" t="str">
        <f>HYPERLINK("https://ceds.ed.gov/elementComment.aspx?elementName=Address Street Number and Name &amp;elementID=17269", "Click here to submit comment")</f>
        <v>Click here to submit comment</v>
      </c>
      <c r="R1724" s="14">
        <v>49001</v>
      </c>
    </row>
    <row r="1725" spans="1:18" ht="225" x14ac:dyDescent="0.25">
      <c r="A1725" s="14" t="s">
        <v>8732</v>
      </c>
      <c r="B1725" s="14" t="s">
        <v>8675</v>
      </c>
      <c r="C1725" s="14" t="s">
        <v>8547</v>
      </c>
      <c r="D1725" s="14" t="s">
        <v>8531</v>
      </c>
      <c r="E1725" s="14" t="s">
        <v>192</v>
      </c>
      <c r="F1725" s="14" t="s">
        <v>193</v>
      </c>
      <c r="G1725" s="14" t="s">
        <v>37</v>
      </c>
      <c r="H1725" s="14" t="s">
        <v>199</v>
      </c>
      <c r="I1725" s="14" t="s">
        <v>195</v>
      </c>
      <c r="J1725" s="14" t="s">
        <v>175</v>
      </c>
      <c r="K1725" s="14" t="s">
        <v>196</v>
      </c>
      <c r="L1725" s="14"/>
      <c r="M1725" s="14" t="s">
        <v>197</v>
      </c>
      <c r="N1725" s="14"/>
      <c r="O1725" s="14" t="s">
        <v>198</v>
      </c>
      <c r="P1725" s="14" t="str">
        <f>HYPERLINK("https://ceds.ed.gov/cedselementdetails.aspx?termid=17019")</f>
        <v>https://ceds.ed.gov/cedselementdetails.aspx?termid=17019</v>
      </c>
      <c r="Q1725" s="14" t="str">
        <f>HYPERLINK("https://ceds.ed.gov/elementComment.aspx?elementName=Address Apartment Room or Suite Number &amp;elementID=17019", "Click here to submit comment")</f>
        <v>Click here to submit comment</v>
      </c>
      <c r="R1725" s="14">
        <v>49002</v>
      </c>
    </row>
    <row r="1726" spans="1:18" ht="225" x14ac:dyDescent="0.25">
      <c r="A1726" s="14" t="s">
        <v>8732</v>
      </c>
      <c r="B1726" s="14" t="s">
        <v>8675</v>
      </c>
      <c r="C1726" s="14" t="s">
        <v>8547</v>
      </c>
      <c r="D1726" s="14" t="s">
        <v>8531</v>
      </c>
      <c r="E1726" s="14" t="s">
        <v>200</v>
      </c>
      <c r="F1726" s="14" t="s">
        <v>201</v>
      </c>
      <c r="G1726" s="14" t="s">
        <v>37</v>
      </c>
      <c r="H1726" s="14" t="s">
        <v>199</v>
      </c>
      <c r="I1726" s="14"/>
      <c r="J1726" s="14" t="s">
        <v>97</v>
      </c>
      <c r="K1726" s="14"/>
      <c r="L1726" s="14"/>
      <c r="M1726" s="14" t="s">
        <v>202</v>
      </c>
      <c r="N1726" s="14"/>
      <c r="O1726" s="14" t="s">
        <v>203</v>
      </c>
      <c r="P1726" s="14" t="str">
        <f>HYPERLINK("https://ceds.ed.gov/cedselementdetails.aspx?termid=17040")</f>
        <v>https://ceds.ed.gov/cedselementdetails.aspx?termid=17040</v>
      </c>
      <c r="Q1726" s="14" t="str">
        <f>HYPERLINK("https://ceds.ed.gov/elementComment.aspx?elementName=Address City &amp;elementID=17040", "Click here to submit comment")</f>
        <v>Click here to submit comment</v>
      </c>
      <c r="R1726" s="14">
        <v>49003</v>
      </c>
    </row>
    <row r="1727" spans="1:18" ht="409.5" x14ac:dyDescent="0.25">
      <c r="A1727" s="14" t="s">
        <v>8732</v>
      </c>
      <c r="B1727" s="14" t="s">
        <v>8675</v>
      </c>
      <c r="C1727" s="14" t="s">
        <v>8547</v>
      </c>
      <c r="D1727" s="14" t="s">
        <v>8531</v>
      </c>
      <c r="E1727" s="14" t="s">
        <v>7960</v>
      </c>
      <c r="F1727" s="14" t="s">
        <v>7961</v>
      </c>
      <c r="G1727" s="8" t="s">
        <v>8540</v>
      </c>
      <c r="H1727" s="14" t="s">
        <v>7964</v>
      </c>
      <c r="I1727" s="14"/>
      <c r="J1727" s="14"/>
      <c r="K1727" s="14"/>
      <c r="L1727" s="14"/>
      <c r="M1727" s="14" t="s">
        <v>7962</v>
      </c>
      <c r="N1727" s="14"/>
      <c r="O1727" s="14" t="s">
        <v>7963</v>
      </c>
      <c r="P1727" s="14" t="str">
        <f>HYPERLINK("https://ceds.ed.gov/cedselementdetails.aspx?termid=17267")</f>
        <v>https://ceds.ed.gov/cedselementdetails.aspx?termid=17267</v>
      </c>
      <c r="Q1727" s="14" t="str">
        <f>HYPERLINK("https://ceds.ed.gov/elementComment.aspx?elementName=State Abbreviation &amp;elementID=17267", "Click here to submit comment")</f>
        <v>Click here to submit comment</v>
      </c>
      <c r="R1727" s="14">
        <v>49004</v>
      </c>
    </row>
    <row r="1728" spans="1:18" ht="225" x14ac:dyDescent="0.25">
      <c r="A1728" s="14" t="s">
        <v>8732</v>
      </c>
      <c r="B1728" s="14" t="s">
        <v>8675</v>
      </c>
      <c r="C1728" s="14" t="s">
        <v>8547</v>
      </c>
      <c r="D1728" s="14" t="s">
        <v>8531</v>
      </c>
      <c r="E1728" s="14" t="s">
        <v>209</v>
      </c>
      <c r="F1728" s="14" t="s">
        <v>210</v>
      </c>
      <c r="G1728" s="14" t="s">
        <v>37</v>
      </c>
      <c r="H1728" s="14" t="s">
        <v>199</v>
      </c>
      <c r="I1728" s="14"/>
      <c r="J1728" s="14" t="s">
        <v>211</v>
      </c>
      <c r="K1728" s="14"/>
      <c r="L1728" s="14"/>
      <c r="M1728" s="14" t="s">
        <v>212</v>
      </c>
      <c r="N1728" s="14"/>
      <c r="O1728" s="14" t="s">
        <v>213</v>
      </c>
      <c r="P1728" s="14" t="str">
        <f>HYPERLINK("https://ceds.ed.gov/cedselementdetails.aspx?termid=17214")</f>
        <v>https://ceds.ed.gov/cedselementdetails.aspx?termid=17214</v>
      </c>
      <c r="Q1728" s="14" t="str">
        <f>HYPERLINK("https://ceds.ed.gov/elementComment.aspx?elementName=Address Postal Code &amp;elementID=17214", "Click here to submit comment")</f>
        <v>Click here to submit comment</v>
      </c>
      <c r="R1728" s="14">
        <v>49005</v>
      </c>
    </row>
    <row r="1729" spans="1:18" ht="225" x14ac:dyDescent="0.25">
      <c r="A1729" s="14" t="s">
        <v>8732</v>
      </c>
      <c r="B1729" s="14" t="s">
        <v>8675</v>
      </c>
      <c r="C1729" s="14" t="s">
        <v>8547</v>
      </c>
      <c r="D1729" s="14" t="s">
        <v>8531</v>
      </c>
      <c r="E1729" s="14" t="s">
        <v>204</v>
      </c>
      <c r="F1729" s="14" t="s">
        <v>205</v>
      </c>
      <c r="G1729" s="14" t="s">
        <v>37</v>
      </c>
      <c r="H1729" s="14" t="s">
        <v>199</v>
      </c>
      <c r="I1729" s="14"/>
      <c r="J1729" s="14" t="s">
        <v>97</v>
      </c>
      <c r="K1729" s="14"/>
      <c r="L1729" s="14"/>
      <c r="M1729" s="14" t="s">
        <v>207</v>
      </c>
      <c r="N1729" s="14"/>
      <c r="O1729" s="14" t="s">
        <v>208</v>
      </c>
      <c r="P1729" s="14" t="str">
        <f>HYPERLINK("https://ceds.ed.gov/cedselementdetails.aspx?termid=17190")</f>
        <v>https://ceds.ed.gov/cedselementdetails.aspx?termid=17190</v>
      </c>
      <c r="Q1729" s="14" t="str">
        <f>HYPERLINK("https://ceds.ed.gov/elementComment.aspx?elementName=Address County Name &amp;elementID=17190", "Click here to submit comment")</f>
        <v>Click here to submit comment</v>
      </c>
      <c r="R1729" s="14">
        <v>49006</v>
      </c>
    </row>
    <row r="1730" spans="1:18" ht="409.5" x14ac:dyDescent="0.25">
      <c r="A1730" s="14" t="s">
        <v>8732</v>
      </c>
      <c r="B1730" s="14" t="s">
        <v>8675</v>
      </c>
      <c r="C1730" s="14" t="s">
        <v>8547</v>
      </c>
      <c r="D1730" s="14" t="s">
        <v>8531</v>
      </c>
      <c r="E1730" s="14" t="s">
        <v>2845</v>
      </c>
      <c r="F1730" s="14" t="s">
        <v>2846</v>
      </c>
      <c r="G1730" s="8" t="s">
        <v>8548</v>
      </c>
      <c r="H1730" s="14" t="s">
        <v>2852</v>
      </c>
      <c r="I1730" s="14"/>
      <c r="J1730" s="14"/>
      <c r="K1730" s="14"/>
      <c r="L1730" s="6" t="s">
        <v>2849</v>
      </c>
      <c r="M1730" s="14" t="s">
        <v>2850</v>
      </c>
      <c r="N1730" s="14"/>
      <c r="O1730" s="14" t="s">
        <v>2851</v>
      </c>
      <c r="P1730" s="14" t="str">
        <f>HYPERLINK("https://ceds.ed.gov/cedselementdetails.aspx?termid=17050")</f>
        <v>https://ceds.ed.gov/cedselementdetails.aspx?termid=17050</v>
      </c>
      <c r="Q1730" s="14" t="str">
        <f>HYPERLINK("https://ceds.ed.gov/elementComment.aspx?elementName=Country Code &amp;elementID=17050", "Click here to submit comment")</f>
        <v>Click here to submit comment</v>
      </c>
      <c r="R1730" s="14">
        <v>49131</v>
      </c>
    </row>
    <row r="1731" spans="1:18" ht="75" x14ac:dyDescent="0.25">
      <c r="A1731" s="14" t="s">
        <v>8732</v>
      </c>
      <c r="B1731" s="14" t="s">
        <v>8675</v>
      </c>
      <c r="C1731" s="14" t="s">
        <v>8547</v>
      </c>
      <c r="D1731" s="14" t="s">
        <v>8531</v>
      </c>
      <c r="E1731" s="14" t="s">
        <v>5736</v>
      </c>
      <c r="F1731" s="14" t="s">
        <v>5737</v>
      </c>
      <c r="G1731" s="14" t="s">
        <v>37</v>
      </c>
      <c r="H1731" s="14"/>
      <c r="I1731" s="14"/>
      <c r="J1731" s="14" t="s">
        <v>1307</v>
      </c>
      <c r="K1731" s="14"/>
      <c r="L1731" s="14"/>
      <c r="M1731" s="14" t="s">
        <v>5739</v>
      </c>
      <c r="N1731" s="14"/>
      <c r="O1731" s="14" t="s">
        <v>5736</v>
      </c>
      <c r="P1731" s="14" t="str">
        <f>HYPERLINK("https://ceds.ed.gov/cedselementdetails.aspx?termid=17599")</f>
        <v>https://ceds.ed.gov/cedselementdetails.aspx?termid=17599</v>
      </c>
      <c r="Q1731" s="14" t="str">
        <f>HYPERLINK("https://ceds.ed.gov/elementComment.aspx?elementName=Latitude &amp;elementID=17599", "Click here to submit comment")</f>
        <v>Click here to submit comment</v>
      </c>
      <c r="R1731" s="14">
        <v>51261</v>
      </c>
    </row>
    <row r="1732" spans="1:18" ht="75" x14ac:dyDescent="0.25">
      <c r="A1732" s="14" t="s">
        <v>8732</v>
      </c>
      <c r="B1732" s="14" t="s">
        <v>8675</v>
      </c>
      <c r="C1732" s="14" t="s">
        <v>8547</v>
      </c>
      <c r="D1732" s="14" t="s">
        <v>8531</v>
      </c>
      <c r="E1732" s="14" t="s">
        <v>6174</v>
      </c>
      <c r="F1732" s="14" t="s">
        <v>6175</v>
      </c>
      <c r="G1732" s="14" t="s">
        <v>37</v>
      </c>
      <c r="H1732" s="14"/>
      <c r="I1732" s="14"/>
      <c r="J1732" s="14" t="s">
        <v>1307</v>
      </c>
      <c r="K1732" s="14"/>
      <c r="L1732" s="14"/>
      <c r="M1732" s="14" t="s">
        <v>6176</v>
      </c>
      <c r="N1732" s="14"/>
      <c r="O1732" s="14" t="s">
        <v>6174</v>
      </c>
      <c r="P1732" s="14" t="str">
        <f>HYPERLINK("https://ceds.ed.gov/cedselementdetails.aspx?termid=17600")</f>
        <v>https://ceds.ed.gov/cedselementdetails.aspx?termid=17600</v>
      </c>
      <c r="Q1732" s="14" t="str">
        <f>HYPERLINK("https://ceds.ed.gov/elementComment.aspx?elementName=Longitude &amp;elementID=17600", "Click here to submit comment")</f>
        <v>Click here to submit comment</v>
      </c>
      <c r="R1732" s="14">
        <v>51284</v>
      </c>
    </row>
    <row r="1733" spans="1:18" ht="195" x14ac:dyDescent="0.25">
      <c r="A1733" s="14" t="s">
        <v>8732</v>
      </c>
      <c r="B1733" s="14" t="s">
        <v>8675</v>
      </c>
      <c r="C1733" s="14" t="s">
        <v>8547</v>
      </c>
      <c r="D1733" s="14" t="s">
        <v>8541</v>
      </c>
      <c r="E1733" s="14" t="s">
        <v>2860</v>
      </c>
      <c r="F1733" s="14" t="s">
        <v>2861</v>
      </c>
      <c r="G1733" s="14" t="s">
        <v>37</v>
      </c>
      <c r="H1733" s="14"/>
      <c r="I1733" s="14" t="s">
        <v>195</v>
      </c>
      <c r="J1733" s="14" t="s">
        <v>2863</v>
      </c>
      <c r="K1733" s="14" t="s">
        <v>2864</v>
      </c>
      <c r="L1733" s="14"/>
      <c r="M1733" s="14" t="s">
        <v>2865</v>
      </c>
      <c r="N1733" s="14"/>
      <c r="O1733" s="14" t="s">
        <v>2866</v>
      </c>
      <c r="P1733" s="14" t="str">
        <f>HYPERLINK("https://ceds.ed.gov/cedselementdetails.aspx?termid=18176")</f>
        <v>https://ceds.ed.gov/cedselementdetails.aspx?termid=18176</v>
      </c>
      <c r="Q1733" s="14" t="str">
        <f>HYPERLINK("https://ceds.ed.gov/elementComment.aspx?elementName=County ANSI Code &amp;elementID=18176", "Click here to submit comment")</f>
        <v>Click here to submit comment</v>
      </c>
      <c r="R1733" s="14">
        <v>52365</v>
      </c>
    </row>
    <row r="1734" spans="1:18" ht="60" x14ac:dyDescent="0.25">
      <c r="A1734" s="14" t="s">
        <v>8732</v>
      </c>
      <c r="B1734" s="14" t="s">
        <v>8675</v>
      </c>
      <c r="C1734" s="14" t="s">
        <v>8547</v>
      </c>
      <c r="D1734" s="14" t="s">
        <v>8541</v>
      </c>
      <c r="E1734" s="14" t="s">
        <v>3651</v>
      </c>
      <c r="F1734" s="14" t="s">
        <v>3652</v>
      </c>
      <c r="G1734" s="14" t="s">
        <v>3430</v>
      </c>
      <c r="H1734" s="14"/>
      <c r="I1734" s="14" t="s">
        <v>188</v>
      </c>
      <c r="J1734" s="14"/>
      <c r="K1734" s="14" t="s">
        <v>1721</v>
      </c>
      <c r="L1734" s="14"/>
      <c r="M1734" s="14" t="s">
        <v>3654</v>
      </c>
      <c r="N1734" s="14"/>
      <c r="O1734" s="14" t="s">
        <v>3655</v>
      </c>
      <c r="P1734" s="14" t="str">
        <f>HYPERLINK("https://ceds.ed.gov/cedselementdetails.aspx?termid=18905")</f>
        <v>https://ceds.ed.gov/cedselementdetails.aspx?termid=18905</v>
      </c>
      <c r="Q1734" s="14" t="str">
        <f>HYPERLINK("https://ceds.ed.gov/elementComment.aspx?elementName=Do Not Publish Indicator &amp;elementID=18905", "Click here to submit comment")</f>
        <v>Click here to submit comment</v>
      </c>
      <c r="R1734" s="14">
        <v>52366</v>
      </c>
    </row>
    <row r="1735" spans="1:18" ht="90" x14ac:dyDescent="0.25">
      <c r="A1735" s="14" t="s">
        <v>8732</v>
      </c>
      <c r="B1735" s="14" t="s">
        <v>8675</v>
      </c>
      <c r="C1735" s="14" t="s">
        <v>8549</v>
      </c>
      <c r="D1735" s="14" t="s">
        <v>8531</v>
      </c>
      <c r="E1735" s="14" t="s">
        <v>8217</v>
      </c>
      <c r="F1735" s="14" t="s">
        <v>8218</v>
      </c>
      <c r="G1735" s="14" t="s">
        <v>37</v>
      </c>
      <c r="H1735" s="14" t="s">
        <v>72</v>
      </c>
      <c r="I1735" s="14"/>
      <c r="J1735" s="14" t="s">
        <v>8220</v>
      </c>
      <c r="K1735" s="14"/>
      <c r="L1735" s="14"/>
      <c r="M1735" s="14" t="s">
        <v>8221</v>
      </c>
      <c r="N1735" s="14"/>
      <c r="O1735" s="14" t="s">
        <v>8222</v>
      </c>
      <c r="P1735" s="14" t="str">
        <f>HYPERLINK("https://ceds.ed.gov/cedselementdetails.aspx?termid=17279")</f>
        <v>https://ceds.ed.gov/cedselementdetails.aspx?termid=17279</v>
      </c>
      <c r="Q1735" s="14" t="str">
        <f>HYPERLINK("https://ceds.ed.gov/elementComment.aspx?elementName=Telephone Number &amp;elementID=17279", "Click here to submit comment")</f>
        <v>Click here to submit comment</v>
      </c>
      <c r="R1735" s="14">
        <v>49009</v>
      </c>
    </row>
    <row r="1736" spans="1:18" ht="90" x14ac:dyDescent="0.25">
      <c r="A1736" s="14" t="s">
        <v>8732</v>
      </c>
      <c r="B1736" s="14" t="s">
        <v>8675</v>
      </c>
      <c r="C1736" s="14" t="s">
        <v>8549</v>
      </c>
      <c r="D1736" s="14" t="s">
        <v>8531</v>
      </c>
      <c r="E1736" s="14" t="s">
        <v>8229</v>
      </c>
      <c r="F1736" s="14" t="s">
        <v>8230</v>
      </c>
      <c r="G1736" s="8" t="s">
        <v>8550</v>
      </c>
      <c r="H1736" s="14" t="s">
        <v>72</v>
      </c>
      <c r="I1736" s="14"/>
      <c r="J1736" s="14" t="s">
        <v>2870</v>
      </c>
      <c r="K1736" s="14"/>
      <c r="L1736" s="14"/>
      <c r="M1736" s="14" t="s">
        <v>8233</v>
      </c>
      <c r="N1736" s="14"/>
      <c r="O1736" s="14" t="s">
        <v>8234</v>
      </c>
      <c r="P1736" s="14" t="str">
        <f>HYPERLINK("https://ceds.ed.gov/cedselementdetails.aspx?termid=17280")</f>
        <v>https://ceds.ed.gov/cedselementdetails.aspx?termid=17280</v>
      </c>
      <c r="Q1736" s="14" t="str">
        <f>HYPERLINK("https://ceds.ed.gov/elementComment.aspx?elementName=Telephone Number Type &amp;elementID=17280", "Click here to submit comment")</f>
        <v>Click here to submit comment</v>
      </c>
      <c r="R1736" s="14">
        <v>49007</v>
      </c>
    </row>
    <row r="1737" spans="1:18" ht="90" x14ac:dyDescent="0.25">
      <c r="A1737" s="14" t="s">
        <v>8732</v>
      </c>
      <c r="B1737" s="14" t="s">
        <v>8675</v>
      </c>
      <c r="C1737" s="14" t="s">
        <v>8549</v>
      </c>
      <c r="D1737" s="14" t="s">
        <v>8531</v>
      </c>
      <c r="E1737" s="14" t="s">
        <v>6865</v>
      </c>
      <c r="F1737" s="14" t="s">
        <v>6866</v>
      </c>
      <c r="G1737" s="14" t="s">
        <v>24</v>
      </c>
      <c r="H1737" s="14" t="s">
        <v>72</v>
      </c>
      <c r="I1737" s="14"/>
      <c r="J1737" s="14"/>
      <c r="K1737" s="14"/>
      <c r="L1737" s="14"/>
      <c r="M1737" s="14" t="s">
        <v>6868</v>
      </c>
      <c r="N1737" s="14"/>
      <c r="O1737" s="14" t="s">
        <v>6869</v>
      </c>
      <c r="P1737" s="14" t="str">
        <f>HYPERLINK("https://ceds.ed.gov/cedselementdetails.aspx?termid=17219")</f>
        <v>https://ceds.ed.gov/cedselementdetails.aspx?termid=17219</v>
      </c>
      <c r="Q1737" s="14" t="str">
        <f>HYPERLINK("https://ceds.ed.gov/elementComment.aspx?elementName=Primary Telephone Number Indicator &amp;elementID=17219", "Click here to submit comment")</f>
        <v>Click here to submit comment</v>
      </c>
      <c r="R1737" s="14">
        <v>49008</v>
      </c>
    </row>
    <row r="1738" spans="1:18" ht="60" x14ac:dyDescent="0.25">
      <c r="A1738" s="14" t="s">
        <v>8732</v>
      </c>
      <c r="B1738" s="14" t="s">
        <v>8675</v>
      </c>
      <c r="C1738" s="14" t="s">
        <v>8549</v>
      </c>
      <c r="D1738" s="14" t="s">
        <v>8541</v>
      </c>
      <c r="E1738" s="14" t="s">
        <v>3651</v>
      </c>
      <c r="F1738" s="14" t="s">
        <v>3652</v>
      </c>
      <c r="G1738" s="14" t="s">
        <v>3430</v>
      </c>
      <c r="H1738" s="14"/>
      <c r="I1738" s="14" t="s">
        <v>188</v>
      </c>
      <c r="J1738" s="14"/>
      <c r="K1738" s="14" t="s">
        <v>1721</v>
      </c>
      <c r="L1738" s="14"/>
      <c r="M1738" s="14" t="s">
        <v>3654</v>
      </c>
      <c r="N1738" s="14"/>
      <c r="O1738" s="14" t="s">
        <v>3655</v>
      </c>
      <c r="P1738" s="14" t="str">
        <f>HYPERLINK("https://ceds.ed.gov/cedselementdetails.aspx?termid=18905")</f>
        <v>https://ceds.ed.gov/cedselementdetails.aspx?termid=18905</v>
      </c>
      <c r="Q1738" s="14" t="str">
        <f>HYPERLINK("https://ceds.ed.gov/elementComment.aspx?elementName=Do Not Publish Indicator &amp;elementID=18905", "Click here to submit comment")</f>
        <v>Click here to submit comment</v>
      </c>
      <c r="R1738" s="14">
        <v>52368</v>
      </c>
    </row>
    <row r="1739" spans="1:18" ht="60" x14ac:dyDescent="0.25">
      <c r="A1739" s="14" t="s">
        <v>8732</v>
      </c>
      <c r="B1739" s="14" t="s">
        <v>8675</v>
      </c>
      <c r="C1739" s="14" t="s">
        <v>8549</v>
      </c>
      <c r="D1739" s="14" t="s">
        <v>8541</v>
      </c>
      <c r="E1739" s="14" t="s">
        <v>8223</v>
      </c>
      <c r="F1739" s="14" t="s">
        <v>8224</v>
      </c>
      <c r="G1739" s="8" t="s">
        <v>8544</v>
      </c>
      <c r="H1739" s="14"/>
      <c r="I1739" s="14" t="s">
        <v>188</v>
      </c>
      <c r="J1739" s="14"/>
      <c r="K1739" s="14" t="s">
        <v>1721</v>
      </c>
      <c r="L1739" s="14"/>
      <c r="M1739" s="14" t="s">
        <v>8227</v>
      </c>
      <c r="N1739" s="14"/>
      <c r="O1739" s="14" t="s">
        <v>8228</v>
      </c>
      <c r="P1739" s="14" t="str">
        <f>HYPERLINK("https://ceds.ed.gov/cedselementdetails.aspx?termid=18911")</f>
        <v>https://ceds.ed.gov/cedselementdetails.aspx?termid=18911</v>
      </c>
      <c r="Q1739" s="14" t="str">
        <f>HYPERLINK("https://ceds.ed.gov/elementComment.aspx?elementName=Telephone Number Listed Status &amp;elementID=18911", "Click here to submit comment")</f>
        <v>Click here to submit comment</v>
      </c>
      <c r="R1739" s="14">
        <v>52369</v>
      </c>
    </row>
    <row r="1740" spans="1:18" ht="90" x14ac:dyDescent="0.25">
      <c r="A1740" s="14" t="s">
        <v>8732</v>
      </c>
      <c r="B1740" s="14" t="s">
        <v>8675</v>
      </c>
      <c r="C1740" s="14" t="s">
        <v>8551</v>
      </c>
      <c r="D1740" s="14" t="s">
        <v>8531</v>
      </c>
      <c r="E1740" s="14" t="s">
        <v>3931</v>
      </c>
      <c r="F1740" s="14" t="s">
        <v>3932</v>
      </c>
      <c r="G1740" s="14" t="s">
        <v>37</v>
      </c>
      <c r="H1740" s="14" t="s">
        <v>72</v>
      </c>
      <c r="I1740" s="14"/>
      <c r="J1740" s="14" t="s">
        <v>3934</v>
      </c>
      <c r="K1740" s="14"/>
      <c r="L1740" s="14"/>
      <c r="M1740" s="14" t="s">
        <v>3935</v>
      </c>
      <c r="N1740" s="14" t="s">
        <v>3936</v>
      </c>
      <c r="O1740" s="14" t="s">
        <v>3937</v>
      </c>
      <c r="P1740" s="14" t="str">
        <f>HYPERLINK("https://ceds.ed.gov/cedselementdetails.aspx?termid=17088")</f>
        <v>https://ceds.ed.gov/cedselementdetails.aspx?termid=17088</v>
      </c>
      <c r="Q1740" s="14" t="str">
        <f>HYPERLINK("https://ceds.ed.gov/elementComment.aspx?elementName=Electronic Mail Address &amp;elementID=17088", "Click here to submit comment")</f>
        <v>Click here to submit comment</v>
      </c>
      <c r="R1740" s="14">
        <v>49011</v>
      </c>
    </row>
    <row r="1741" spans="1:18" ht="90" x14ac:dyDescent="0.25">
      <c r="A1741" s="14" t="s">
        <v>8732</v>
      </c>
      <c r="B1741" s="14" t="s">
        <v>8675</v>
      </c>
      <c r="C1741" s="14" t="s">
        <v>8551</v>
      </c>
      <c r="D1741" s="14" t="s">
        <v>8531</v>
      </c>
      <c r="E1741" s="14" t="s">
        <v>3938</v>
      </c>
      <c r="F1741" s="14" t="s">
        <v>3939</v>
      </c>
      <c r="G1741" s="8" t="s">
        <v>8552</v>
      </c>
      <c r="H1741" s="14" t="s">
        <v>72</v>
      </c>
      <c r="I1741" s="14"/>
      <c r="J1741" s="14"/>
      <c r="K1741" s="14"/>
      <c r="L1741" s="14"/>
      <c r="M1741" s="14" t="s">
        <v>3941</v>
      </c>
      <c r="N1741" s="14" t="s">
        <v>3942</v>
      </c>
      <c r="O1741" s="14" t="s">
        <v>3943</v>
      </c>
      <c r="P1741" s="14" t="str">
        <f>HYPERLINK("https://ceds.ed.gov/cedselementdetails.aspx?termid=17089")</f>
        <v>https://ceds.ed.gov/cedselementdetails.aspx?termid=17089</v>
      </c>
      <c r="Q1741" s="14" t="str">
        <f>HYPERLINK("https://ceds.ed.gov/elementComment.aspx?elementName=Electronic Mail Address Type &amp;elementID=17089", "Click here to submit comment")</f>
        <v>Click here to submit comment</v>
      </c>
      <c r="R1741" s="14">
        <v>49010</v>
      </c>
    </row>
    <row r="1742" spans="1:18" ht="60" x14ac:dyDescent="0.25">
      <c r="A1742" s="14" t="s">
        <v>8732</v>
      </c>
      <c r="B1742" s="14" t="s">
        <v>8675</v>
      </c>
      <c r="C1742" s="14" t="s">
        <v>8551</v>
      </c>
      <c r="D1742" s="14" t="s">
        <v>8541</v>
      </c>
      <c r="E1742" s="14" t="s">
        <v>3651</v>
      </c>
      <c r="F1742" s="14" t="s">
        <v>3652</v>
      </c>
      <c r="G1742" s="14" t="s">
        <v>3430</v>
      </c>
      <c r="H1742" s="14"/>
      <c r="I1742" s="14" t="s">
        <v>188</v>
      </c>
      <c r="J1742" s="14"/>
      <c r="K1742" s="14" t="s">
        <v>1721</v>
      </c>
      <c r="L1742" s="14"/>
      <c r="M1742" s="14" t="s">
        <v>3654</v>
      </c>
      <c r="N1742" s="14"/>
      <c r="O1742" s="14" t="s">
        <v>3655</v>
      </c>
      <c r="P1742" s="14" t="str">
        <f>HYPERLINK("https://ceds.ed.gov/cedselementdetails.aspx?termid=18905")</f>
        <v>https://ceds.ed.gov/cedselementdetails.aspx?termid=18905</v>
      </c>
      <c r="Q1742" s="14" t="str">
        <f>HYPERLINK("https://ceds.ed.gov/elementComment.aspx?elementName=Do Not Publish Indicator &amp;elementID=18905", "Click here to submit comment")</f>
        <v>Click here to submit comment</v>
      </c>
      <c r="R1742" s="14">
        <v>52367</v>
      </c>
    </row>
    <row r="1743" spans="1:18" ht="240" x14ac:dyDescent="0.25">
      <c r="A1743" s="14" t="s">
        <v>8732</v>
      </c>
      <c r="B1743" s="14" t="s">
        <v>8675</v>
      </c>
      <c r="C1743" s="14" t="s">
        <v>8603</v>
      </c>
      <c r="D1743" s="14" t="s">
        <v>8531</v>
      </c>
      <c r="E1743" s="14" t="s">
        <v>1741</v>
      </c>
      <c r="F1743" s="14" t="s">
        <v>1742</v>
      </c>
      <c r="G1743" s="14" t="s">
        <v>37</v>
      </c>
      <c r="H1743" s="14" t="s">
        <v>1745</v>
      </c>
      <c r="I1743" s="14"/>
      <c r="J1743" s="14" t="s">
        <v>135</v>
      </c>
      <c r="K1743" s="14"/>
      <c r="L1743" s="14"/>
      <c r="M1743" s="14" t="s">
        <v>1744</v>
      </c>
      <c r="N1743" s="14"/>
      <c r="O1743" s="14" t="s">
        <v>1741</v>
      </c>
      <c r="P1743" s="14" t="str">
        <f>HYPERLINK("https://ceds.ed.gov/cedselementdetails.aspx?termid=17033")</f>
        <v>https://ceds.ed.gov/cedselementdetails.aspx?termid=17033</v>
      </c>
      <c r="Q1743" s="14" t="str">
        <f>HYPERLINK("https://ceds.ed.gov/elementComment.aspx?elementName=Birthdate &amp;elementID=17033", "Click here to submit comment")</f>
        <v>Click here to submit comment</v>
      </c>
      <c r="R1743" s="14">
        <v>51469</v>
      </c>
    </row>
    <row r="1744" spans="1:18" ht="255" x14ac:dyDescent="0.25">
      <c r="A1744" s="14" t="s">
        <v>8732</v>
      </c>
      <c r="B1744" s="14" t="s">
        <v>8675</v>
      </c>
      <c r="C1744" s="14" t="s">
        <v>8603</v>
      </c>
      <c r="D1744" s="14" t="s">
        <v>8531</v>
      </c>
      <c r="E1744" s="14" t="s">
        <v>7756</v>
      </c>
      <c r="F1744" s="14" t="s">
        <v>7757</v>
      </c>
      <c r="G1744" s="8" t="s">
        <v>8604</v>
      </c>
      <c r="H1744" s="14" t="s">
        <v>7761</v>
      </c>
      <c r="I1744" s="14"/>
      <c r="J1744" s="14"/>
      <c r="K1744" s="14"/>
      <c r="L1744" s="14" t="s">
        <v>7759</v>
      </c>
      <c r="M1744" s="14" t="s">
        <v>7760</v>
      </c>
      <c r="N1744" s="14"/>
      <c r="O1744" s="14" t="s">
        <v>7756</v>
      </c>
      <c r="P1744" s="14" t="str">
        <f>HYPERLINK("https://ceds.ed.gov/cedselementdetails.aspx?termid=17255")</f>
        <v>https://ceds.ed.gov/cedselementdetails.aspx?termid=17255</v>
      </c>
      <c r="Q1744" s="14" t="str">
        <f>HYPERLINK("https://ceds.ed.gov/elementComment.aspx?elementName=Sex &amp;elementID=17255", "Click here to submit comment")</f>
        <v>Click here to submit comment</v>
      </c>
      <c r="R1744" s="14">
        <v>50419</v>
      </c>
    </row>
    <row r="1745" spans="1:18" ht="120" x14ac:dyDescent="0.25">
      <c r="A1745" s="14" t="s">
        <v>8732</v>
      </c>
      <c r="B1745" s="14" t="s">
        <v>8675</v>
      </c>
      <c r="C1745" s="14" t="s">
        <v>8603</v>
      </c>
      <c r="D1745" s="14" t="s">
        <v>8531</v>
      </c>
      <c r="E1745" s="14" t="s">
        <v>7940</v>
      </c>
      <c r="F1745" s="14" t="s">
        <v>7941</v>
      </c>
      <c r="G1745" s="14" t="s">
        <v>37</v>
      </c>
      <c r="H1745" s="14" t="s">
        <v>80</v>
      </c>
      <c r="I1745" s="14" t="s">
        <v>195</v>
      </c>
      <c r="J1745" s="14" t="s">
        <v>7943</v>
      </c>
      <c r="K1745" s="14" t="s">
        <v>2856</v>
      </c>
      <c r="L1745" s="14"/>
      <c r="M1745" s="14" t="s">
        <v>7944</v>
      </c>
      <c r="N1745" s="14"/>
      <c r="O1745" s="14" t="s">
        <v>7945</v>
      </c>
      <c r="P1745" s="14" t="str">
        <f>HYPERLINK("https://ceds.ed.gov/cedselementdetails.aspx?termid=17707")</f>
        <v>https://ceds.ed.gov/cedselementdetails.aspx?termid=17707</v>
      </c>
      <c r="Q1745" s="14" t="str">
        <f>HYPERLINK("https://ceds.ed.gov/elementComment.aspx?elementName=Standard Occupational Classification &amp;elementID=17707", "Click here to submit comment")</f>
        <v>Click here to submit comment</v>
      </c>
      <c r="R1745" s="14">
        <v>51126</v>
      </c>
    </row>
    <row r="1746" spans="1:18" ht="409.5" x14ac:dyDescent="0.25">
      <c r="A1746" s="14" t="s">
        <v>8732</v>
      </c>
      <c r="B1746" s="14" t="s">
        <v>8675</v>
      </c>
      <c r="C1746" s="14" t="s">
        <v>8603</v>
      </c>
      <c r="D1746" s="14" t="s">
        <v>8541</v>
      </c>
      <c r="E1746" s="14" t="s">
        <v>2853</v>
      </c>
      <c r="F1746" s="14" t="s">
        <v>2854</v>
      </c>
      <c r="G1746" s="8" t="s">
        <v>8548</v>
      </c>
      <c r="H1746" s="14" t="s">
        <v>2859</v>
      </c>
      <c r="I1746" s="14" t="s">
        <v>195</v>
      </c>
      <c r="J1746" s="14"/>
      <c r="K1746" s="14" t="s">
        <v>2856</v>
      </c>
      <c r="L1746" s="6" t="s">
        <v>2849</v>
      </c>
      <c r="M1746" s="14" t="s">
        <v>2857</v>
      </c>
      <c r="N1746" s="14"/>
      <c r="O1746" s="14" t="s">
        <v>2858</v>
      </c>
      <c r="P1746" s="14" t="str">
        <f>HYPERLINK("https://ceds.ed.gov/cedselementdetails.aspx?termid=17051")</f>
        <v>https://ceds.ed.gov/cedselementdetails.aspx?termid=17051</v>
      </c>
      <c r="Q1746" s="14" t="str">
        <f>HYPERLINK("https://ceds.ed.gov/elementComment.aspx?elementName=Country of Birth Code &amp;elementID=17051", "Click here to submit comment")</f>
        <v>Click here to submit comment</v>
      </c>
      <c r="R1746" s="14">
        <v>52370</v>
      </c>
    </row>
    <row r="1747" spans="1:18" ht="105" x14ac:dyDescent="0.25">
      <c r="A1747" s="14" t="s">
        <v>8732</v>
      </c>
      <c r="B1747" s="14" t="s">
        <v>8675</v>
      </c>
      <c r="C1747" s="14" t="s">
        <v>8603</v>
      </c>
      <c r="D1747" s="14" t="s">
        <v>8541</v>
      </c>
      <c r="E1747" s="14" t="s">
        <v>6304</v>
      </c>
      <c r="F1747" s="14" t="s">
        <v>6305</v>
      </c>
      <c r="G1747" s="8" t="s">
        <v>8677</v>
      </c>
      <c r="H1747" s="14"/>
      <c r="I1747" s="14" t="s">
        <v>195</v>
      </c>
      <c r="J1747" s="14"/>
      <c r="K1747" s="14" t="s">
        <v>6308</v>
      </c>
      <c r="L1747" s="14"/>
      <c r="M1747" s="14" t="s">
        <v>6309</v>
      </c>
      <c r="N1747" s="14"/>
      <c r="O1747" s="14" t="s">
        <v>6310</v>
      </c>
      <c r="P1747" s="14" t="str">
        <f>HYPERLINK("https://ceds.ed.gov/cedselementdetails.aspx?termid=18621")</f>
        <v>https://ceds.ed.gov/cedselementdetails.aspx?termid=18621</v>
      </c>
      <c r="Q1747" s="14" t="str">
        <f>HYPERLINK("https://ceds.ed.gov/elementComment.aspx?elementName=Military Branch &amp;elementID=18621", "Click here to submit comment")</f>
        <v>Click here to submit comment</v>
      </c>
      <c r="R1747" s="14">
        <v>52371</v>
      </c>
    </row>
    <row r="1748" spans="1:18" ht="105" x14ac:dyDescent="0.25">
      <c r="A1748" s="14" t="s">
        <v>8732</v>
      </c>
      <c r="B1748" s="14" t="s">
        <v>8675</v>
      </c>
      <c r="C1748" s="14" t="s">
        <v>8603</v>
      </c>
      <c r="D1748" s="14" t="s">
        <v>8541</v>
      </c>
      <c r="E1748" s="14" t="s">
        <v>8363</v>
      </c>
      <c r="F1748" s="14" t="s">
        <v>8364</v>
      </c>
      <c r="G1748" s="14" t="s">
        <v>8527</v>
      </c>
      <c r="H1748" s="14"/>
      <c r="I1748" s="14" t="s">
        <v>195</v>
      </c>
      <c r="J1748" s="14"/>
      <c r="K1748" s="14" t="s">
        <v>8366</v>
      </c>
      <c r="L1748" s="14"/>
      <c r="M1748" s="14" t="s">
        <v>8367</v>
      </c>
      <c r="N1748" s="14"/>
      <c r="O1748" s="14" t="s">
        <v>8368</v>
      </c>
      <c r="P1748" s="14" t="str">
        <f>HYPERLINK("https://ceds.ed.gov/cedselementdetails.aspx?termid=18638")</f>
        <v>https://ceds.ed.gov/cedselementdetails.aspx?termid=18638</v>
      </c>
      <c r="Q1748" s="14" t="str">
        <f>HYPERLINK("https://ceds.ed.gov/elementComment.aspx?elementName=Tribal Affiliation &amp;elementID=18638", "Click here to submit comment")</f>
        <v>Click here to submit comment</v>
      </c>
      <c r="R1748" s="14">
        <v>52372</v>
      </c>
    </row>
    <row r="1749" spans="1:18" ht="105" x14ac:dyDescent="0.25">
      <c r="A1749" s="16" t="s">
        <v>8732</v>
      </c>
      <c r="B1749" s="16" t="s">
        <v>8675</v>
      </c>
      <c r="C1749" s="16" t="s">
        <v>8673</v>
      </c>
      <c r="D1749" s="16" t="s">
        <v>8531</v>
      </c>
      <c r="E1749" s="16" t="s">
        <v>8072</v>
      </c>
      <c r="F1749" s="16" t="s">
        <v>8073</v>
      </c>
      <c r="G1749" s="16" t="s">
        <v>37</v>
      </c>
      <c r="H1749" s="16" t="s">
        <v>8071</v>
      </c>
      <c r="I1749" s="16"/>
      <c r="J1749" s="16" t="s">
        <v>149</v>
      </c>
      <c r="K1749" s="16"/>
      <c r="L1749" s="14" t="s">
        <v>150</v>
      </c>
      <c r="M1749" s="16" t="s">
        <v>8074</v>
      </c>
      <c r="N1749" s="16"/>
      <c r="O1749" s="16" t="s">
        <v>8075</v>
      </c>
      <c r="P1749" s="16" t="str">
        <f>HYPERLINK("https://ceds.ed.gov/cedselementdetails.aspx?termid=17157")</f>
        <v>https://ceds.ed.gov/cedselementdetails.aspx?termid=17157</v>
      </c>
      <c r="Q1749" s="16" t="str">
        <f>HYPERLINK("https://ceds.ed.gov/elementComment.aspx?elementName=Student Identifier &amp;elementID=17157", "Click here to submit comment")</f>
        <v>Click here to submit comment</v>
      </c>
      <c r="R1749" s="16">
        <v>51024</v>
      </c>
    </row>
    <row r="1750" spans="1:18" x14ac:dyDescent="0.25">
      <c r="A1750" s="16"/>
      <c r="B1750" s="16"/>
      <c r="C1750" s="16"/>
      <c r="D1750" s="16"/>
      <c r="E1750" s="16"/>
      <c r="F1750" s="16"/>
      <c r="G1750" s="16"/>
      <c r="H1750" s="16"/>
      <c r="I1750" s="16"/>
      <c r="J1750" s="16"/>
      <c r="K1750" s="16"/>
      <c r="L1750" s="14"/>
      <c r="M1750" s="16"/>
      <c r="N1750" s="16"/>
      <c r="O1750" s="16"/>
      <c r="P1750" s="16"/>
      <c r="Q1750" s="16"/>
      <c r="R1750" s="16"/>
    </row>
    <row r="1751" spans="1:18" ht="90" x14ac:dyDescent="0.25">
      <c r="A1751" s="16"/>
      <c r="B1751" s="16"/>
      <c r="C1751" s="16"/>
      <c r="D1751" s="16"/>
      <c r="E1751" s="16"/>
      <c r="F1751" s="16"/>
      <c r="G1751" s="16"/>
      <c r="H1751" s="16"/>
      <c r="I1751" s="16"/>
      <c r="J1751" s="16"/>
      <c r="K1751" s="16"/>
      <c r="L1751" s="14" t="s">
        <v>153</v>
      </c>
      <c r="M1751" s="16"/>
      <c r="N1751" s="16"/>
      <c r="O1751" s="16"/>
      <c r="P1751" s="16"/>
      <c r="Q1751" s="16"/>
      <c r="R1751" s="16"/>
    </row>
    <row r="1752" spans="1:18" ht="210" x14ac:dyDescent="0.25">
      <c r="A1752" s="14" t="s">
        <v>8732</v>
      </c>
      <c r="B1752" s="14" t="s">
        <v>8675</v>
      </c>
      <c r="C1752" s="14" t="s">
        <v>8673</v>
      </c>
      <c r="D1752" s="14" t="s">
        <v>8531</v>
      </c>
      <c r="E1752" s="14" t="s">
        <v>8065</v>
      </c>
      <c r="F1752" s="14" t="s">
        <v>8066</v>
      </c>
      <c r="G1752" s="8" t="s">
        <v>8814</v>
      </c>
      <c r="H1752" s="14" t="s">
        <v>8071</v>
      </c>
      <c r="I1752" s="14"/>
      <c r="J1752" s="14"/>
      <c r="K1752" s="14"/>
      <c r="L1752" s="14"/>
      <c r="M1752" s="14" t="s">
        <v>8069</v>
      </c>
      <c r="N1752" s="14"/>
      <c r="O1752" s="14" t="s">
        <v>8070</v>
      </c>
      <c r="P1752" s="14" t="str">
        <f>HYPERLINK("https://ceds.ed.gov/cedselementdetails.aspx?termid=17163")</f>
        <v>https://ceds.ed.gov/cedselementdetails.aspx?termid=17163</v>
      </c>
      <c r="Q1752" s="14" t="str">
        <f>HYPERLINK("https://ceds.ed.gov/elementComment.aspx?elementName=Student Identification System &amp;elementID=17163", "Click here to submit comment")</f>
        <v>Click here to submit comment</v>
      </c>
      <c r="R1752" s="14">
        <v>51025</v>
      </c>
    </row>
    <row r="1753" spans="1:18" ht="105" x14ac:dyDescent="0.25">
      <c r="A1753" s="16" t="s">
        <v>8732</v>
      </c>
      <c r="B1753" s="16" t="s">
        <v>8675</v>
      </c>
      <c r="C1753" s="16" t="s">
        <v>8673</v>
      </c>
      <c r="D1753" s="16" t="s">
        <v>8531</v>
      </c>
      <c r="E1753" s="16" t="s">
        <v>2299</v>
      </c>
      <c r="F1753" s="16" t="s">
        <v>2300</v>
      </c>
      <c r="G1753" s="16" t="s">
        <v>37</v>
      </c>
      <c r="H1753" s="16" t="s">
        <v>2298</v>
      </c>
      <c r="I1753" s="16"/>
      <c r="J1753" s="16" t="s">
        <v>149</v>
      </c>
      <c r="K1753" s="16"/>
      <c r="L1753" s="14" t="s">
        <v>150</v>
      </c>
      <c r="M1753" s="16" t="s">
        <v>2302</v>
      </c>
      <c r="N1753" s="16"/>
      <c r="O1753" s="16" t="s">
        <v>2303</v>
      </c>
      <c r="P1753" s="16" t="str">
        <f>HYPERLINK("https://ceds.ed.gov/cedselementdetails.aspx?termid=17781")</f>
        <v>https://ceds.ed.gov/cedselementdetails.aspx?termid=17781</v>
      </c>
      <c r="Q1753" s="16" t="str">
        <f>HYPERLINK("https://ceds.ed.gov/elementComment.aspx?elementName=Child Identifier &amp;elementID=17781", "Click here to submit comment")</f>
        <v>Click here to submit comment</v>
      </c>
      <c r="R1753" s="16">
        <v>51026</v>
      </c>
    </row>
    <row r="1754" spans="1:18" x14ac:dyDescent="0.25">
      <c r="A1754" s="16"/>
      <c r="B1754" s="16"/>
      <c r="C1754" s="16"/>
      <c r="D1754" s="16"/>
      <c r="E1754" s="16"/>
      <c r="F1754" s="16"/>
      <c r="G1754" s="16"/>
      <c r="H1754" s="16"/>
      <c r="I1754" s="16"/>
      <c r="J1754" s="16"/>
      <c r="K1754" s="16"/>
      <c r="L1754" s="14"/>
      <c r="M1754" s="16"/>
      <c r="N1754" s="16"/>
      <c r="O1754" s="16"/>
      <c r="P1754" s="16"/>
      <c r="Q1754" s="16"/>
      <c r="R1754" s="16"/>
    </row>
    <row r="1755" spans="1:18" ht="90" x14ac:dyDescent="0.25">
      <c r="A1755" s="16"/>
      <c r="B1755" s="16"/>
      <c r="C1755" s="16"/>
      <c r="D1755" s="16"/>
      <c r="E1755" s="16"/>
      <c r="F1755" s="16"/>
      <c r="G1755" s="16"/>
      <c r="H1755" s="16"/>
      <c r="I1755" s="16"/>
      <c r="J1755" s="16"/>
      <c r="K1755" s="16"/>
      <c r="L1755" s="14" t="s">
        <v>153</v>
      </c>
      <c r="M1755" s="16"/>
      <c r="N1755" s="16"/>
      <c r="O1755" s="16"/>
      <c r="P1755" s="16"/>
      <c r="Q1755" s="16"/>
      <c r="R1755" s="16"/>
    </row>
    <row r="1756" spans="1:18" ht="105" x14ac:dyDescent="0.25">
      <c r="A1756" s="16" t="s">
        <v>8732</v>
      </c>
      <c r="B1756" s="16" t="s">
        <v>8675</v>
      </c>
      <c r="C1756" s="16" t="s">
        <v>8673</v>
      </c>
      <c r="D1756" s="16" t="s">
        <v>8531</v>
      </c>
      <c r="E1756" s="16" t="s">
        <v>6711</v>
      </c>
      <c r="F1756" s="16" t="s">
        <v>6712</v>
      </c>
      <c r="G1756" s="16" t="s">
        <v>37</v>
      </c>
      <c r="H1756" s="16"/>
      <c r="I1756" s="16"/>
      <c r="J1756" s="16" t="s">
        <v>149</v>
      </c>
      <c r="K1756" s="16"/>
      <c r="L1756" s="14" t="s">
        <v>150</v>
      </c>
      <c r="M1756" s="16" t="s">
        <v>6713</v>
      </c>
      <c r="N1756" s="16"/>
      <c r="O1756" s="16" t="s">
        <v>6714</v>
      </c>
      <c r="P1756" s="16" t="str">
        <f>HYPERLINK("https://ceds.ed.gov/cedselementdetails.aspx?termid=18551")</f>
        <v>https://ceds.ed.gov/cedselementdetails.aspx?termid=18551</v>
      </c>
      <c r="Q1756" s="16" t="str">
        <f>HYPERLINK("https://ceds.ed.gov/elementComment.aspx?elementName=Person Identifier &amp;elementID=18551", "Click here to submit comment")</f>
        <v>Click here to submit comment</v>
      </c>
      <c r="R1756" s="16">
        <v>50909</v>
      </c>
    </row>
    <row r="1757" spans="1:18" x14ac:dyDescent="0.25">
      <c r="A1757" s="16"/>
      <c r="B1757" s="16"/>
      <c r="C1757" s="16"/>
      <c r="D1757" s="16"/>
      <c r="E1757" s="16"/>
      <c r="F1757" s="16"/>
      <c r="G1757" s="16"/>
      <c r="H1757" s="16"/>
      <c r="I1757" s="16"/>
      <c r="J1757" s="16"/>
      <c r="K1757" s="16"/>
      <c r="L1757" s="14"/>
      <c r="M1757" s="16"/>
      <c r="N1757" s="16"/>
      <c r="O1757" s="16"/>
      <c r="P1757" s="16"/>
      <c r="Q1757" s="16"/>
      <c r="R1757" s="16"/>
    </row>
    <row r="1758" spans="1:18" ht="90" x14ac:dyDescent="0.25">
      <c r="A1758" s="16"/>
      <c r="B1758" s="16"/>
      <c r="C1758" s="16"/>
      <c r="D1758" s="16"/>
      <c r="E1758" s="16"/>
      <c r="F1758" s="16"/>
      <c r="G1758" s="16"/>
      <c r="H1758" s="16"/>
      <c r="I1758" s="16"/>
      <c r="J1758" s="16"/>
      <c r="K1758" s="16"/>
      <c r="L1758" s="14" t="s">
        <v>153</v>
      </c>
      <c r="M1758" s="16"/>
      <c r="N1758" s="16"/>
      <c r="O1758" s="16"/>
      <c r="P1758" s="16"/>
      <c r="Q1758" s="16"/>
      <c r="R1758" s="16"/>
    </row>
    <row r="1759" spans="1:18" ht="375" x14ac:dyDescent="0.25">
      <c r="A1759" s="14" t="s">
        <v>8732</v>
      </c>
      <c r="B1759" s="14" t="s">
        <v>8675</v>
      </c>
      <c r="C1759" s="14" t="s">
        <v>8673</v>
      </c>
      <c r="D1759" s="14" t="s">
        <v>8531</v>
      </c>
      <c r="E1759" s="14" t="s">
        <v>6705</v>
      </c>
      <c r="F1759" s="14" t="s">
        <v>6706</v>
      </c>
      <c r="G1759" s="8" t="s">
        <v>8676</v>
      </c>
      <c r="H1759" s="14"/>
      <c r="I1759" s="14"/>
      <c r="J1759" s="14"/>
      <c r="K1759" s="14"/>
      <c r="L1759" s="14"/>
      <c r="M1759" s="14" t="s">
        <v>6709</v>
      </c>
      <c r="N1759" s="14"/>
      <c r="O1759" s="14" t="s">
        <v>6710</v>
      </c>
      <c r="P1759" s="14" t="str">
        <f>HYPERLINK("https://ceds.ed.gov/cedselementdetails.aspx?termid=18550")</f>
        <v>https://ceds.ed.gov/cedselementdetails.aspx?termid=18550</v>
      </c>
      <c r="Q1759" s="14" t="str">
        <f>HYPERLINK("https://ceds.ed.gov/elementComment.aspx?elementName=Person Identification System &amp;elementID=18550", "Click here to submit comment")</f>
        <v>Click here to submit comment</v>
      </c>
      <c r="R1759" s="14">
        <v>50904</v>
      </c>
    </row>
    <row r="1760" spans="1:18" ht="409.5" x14ac:dyDescent="0.25">
      <c r="A1760" s="14" t="s">
        <v>8732</v>
      </c>
      <c r="B1760" s="14" t="s">
        <v>8675</v>
      </c>
      <c r="C1760" s="14" t="s">
        <v>8673</v>
      </c>
      <c r="D1760" s="14" t="s">
        <v>8531</v>
      </c>
      <c r="E1760" s="14" t="s">
        <v>6727</v>
      </c>
      <c r="F1760" s="14" t="s">
        <v>6728</v>
      </c>
      <c r="G1760" s="8" t="s">
        <v>8674</v>
      </c>
      <c r="H1760" s="14" t="s">
        <v>1751</v>
      </c>
      <c r="I1760" s="14" t="s">
        <v>195</v>
      </c>
      <c r="J1760" s="14"/>
      <c r="K1760" s="14" t="s">
        <v>6731</v>
      </c>
      <c r="L1760" s="14" t="s">
        <v>6732</v>
      </c>
      <c r="M1760" s="14" t="s">
        <v>6733</v>
      </c>
      <c r="N1760" s="14"/>
      <c r="O1760" s="14" t="s">
        <v>6734</v>
      </c>
      <c r="P1760" s="14" t="str">
        <f>HYPERLINK("https://ceds.ed.gov/cedselementdetails.aspx?termid=17415")</f>
        <v>https://ceds.ed.gov/cedselementdetails.aspx?termid=17415</v>
      </c>
      <c r="Q1760" s="14" t="str">
        <f>HYPERLINK("https://ceds.ed.gov/elementComment.aspx?elementName=Person Relationship Type &amp;elementID=17415", "Click here to submit comment")</f>
        <v>Click here to submit comment</v>
      </c>
      <c r="R1760" s="14">
        <v>48249</v>
      </c>
    </row>
    <row r="1761" spans="1:18" ht="90" x14ac:dyDescent="0.25">
      <c r="A1761" s="14" t="s">
        <v>8732</v>
      </c>
      <c r="B1761" s="14" t="s">
        <v>8675</v>
      </c>
      <c r="C1761" s="14" t="s">
        <v>8673</v>
      </c>
      <c r="D1761" s="14" t="s">
        <v>8531</v>
      </c>
      <c r="E1761" s="14" t="s">
        <v>6852</v>
      </c>
      <c r="F1761" s="14" t="s">
        <v>6853</v>
      </c>
      <c r="G1761" s="14" t="s">
        <v>24</v>
      </c>
      <c r="H1761" s="14"/>
      <c r="I1761" s="14"/>
      <c r="J1761" s="14"/>
      <c r="K1761" s="14"/>
      <c r="L1761" s="14"/>
      <c r="M1761" s="14" t="s">
        <v>6855</v>
      </c>
      <c r="N1761" s="14"/>
      <c r="O1761" s="14" t="s">
        <v>6856</v>
      </c>
      <c r="P1761" s="14" t="str">
        <f>HYPERLINK("https://ceds.ed.gov/cedselementdetails.aspx?termid=18397")</f>
        <v>https://ceds.ed.gov/cedselementdetails.aspx?termid=18397</v>
      </c>
      <c r="Q1761" s="14" t="str">
        <f>HYPERLINK("https://ceds.ed.gov/elementComment.aspx?elementName=Primary Contact Indicator &amp;elementID=18397", "Click here to submit comment")</f>
        <v>Click here to submit comment</v>
      </c>
      <c r="R1761" s="14">
        <v>50323</v>
      </c>
    </row>
    <row r="1762" spans="1:18" ht="45" x14ac:dyDescent="0.25">
      <c r="A1762" s="14" t="s">
        <v>8732</v>
      </c>
      <c r="B1762" s="14" t="s">
        <v>8675</v>
      </c>
      <c r="C1762" s="14" t="s">
        <v>8673</v>
      </c>
      <c r="D1762" s="14" t="s">
        <v>8531</v>
      </c>
      <c r="E1762" s="14" t="s">
        <v>3971</v>
      </c>
      <c r="F1762" s="14" t="s">
        <v>3972</v>
      </c>
      <c r="G1762" s="14" t="s">
        <v>24</v>
      </c>
      <c r="H1762" s="14"/>
      <c r="I1762" s="14"/>
      <c r="J1762" s="14"/>
      <c r="K1762" s="14"/>
      <c r="L1762" s="14"/>
      <c r="M1762" s="14" t="s">
        <v>3974</v>
      </c>
      <c r="N1762" s="14"/>
      <c r="O1762" s="14" t="s">
        <v>3975</v>
      </c>
      <c r="P1762" s="14" t="str">
        <f>HYPERLINK("https://ceds.ed.gov/cedselementdetails.aspx?termid=18308")</f>
        <v>https://ceds.ed.gov/cedselementdetails.aspx?termid=18308</v>
      </c>
      <c r="Q1762" s="14" t="str">
        <f>HYPERLINK("https://ceds.ed.gov/elementComment.aspx?elementName=Emergency Contact Indicator &amp;elementID=18308", "Click here to submit comment")</f>
        <v>Click here to submit comment</v>
      </c>
      <c r="R1762" s="14">
        <v>50151</v>
      </c>
    </row>
    <row r="1763" spans="1:18" ht="45" x14ac:dyDescent="0.25">
      <c r="A1763" s="14" t="s">
        <v>8732</v>
      </c>
      <c r="B1763" s="14" t="s">
        <v>8675</v>
      </c>
      <c r="C1763" s="14" t="s">
        <v>8673</v>
      </c>
      <c r="D1763" s="14" t="s">
        <v>8531</v>
      </c>
      <c r="E1763" s="14" t="s">
        <v>6715</v>
      </c>
      <c r="F1763" s="14" t="s">
        <v>6716</v>
      </c>
      <c r="G1763" s="14" t="s">
        <v>37</v>
      </c>
      <c r="H1763" s="14"/>
      <c r="I1763" s="14"/>
      <c r="J1763" s="14" t="s">
        <v>370</v>
      </c>
      <c r="K1763" s="14"/>
      <c r="L1763" s="14"/>
      <c r="M1763" s="14" t="s">
        <v>6717</v>
      </c>
      <c r="N1763" s="14"/>
      <c r="O1763" s="14" t="s">
        <v>6718</v>
      </c>
      <c r="P1763" s="14" t="str">
        <f>HYPERLINK("https://ceds.ed.gov/cedselementdetails.aspx?termid=18392")</f>
        <v>https://ceds.ed.gov/cedselementdetails.aspx?termid=18392</v>
      </c>
      <c r="Q1763" s="14" t="str">
        <f>HYPERLINK("https://ceds.ed.gov/elementComment.aspx?elementName=Person Relationship to Learner Contact Priority Number &amp;elementID=18392", "Click here to submit comment")</f>
        <v>Click here to submit comment</v>
      </c>
      <c r="R1763" s="14">
        <v>50308</v>
      </c>
    </row>
    <row r="1764" spans="1:18" ht="60" x14ac:dyDescent="0.25">
      <c r="A1764" s="14" t="s">
        <v>8732</v>
      </c>
      <c r="B1764" s="14" t="s">
        <v>8675</v>
      </c>
      <c r="C1764" s="14" t="s">
        <v>8673</v>
      </c>
      <c r="D1764" s="14" t="s">
        <v>8531</v>
      </c>
      <c r="E1764" s="14" t="s">
        <v>6719</v>
      </c>
      <c r="F1764" s="14" t="s">
        <v>6720</v>
      </c>
      <c r="G1764" s="14" t="s">
        <v>37</v>
      </c>
      <c r="H1764" s="14"/>
      <c r="I1764" s="14"/>
      <c r="J1764" s="14" t="s">
        <v>382</v>
      </c>
      <c r="K1764" s="14"/>
      <c r="L1764" s="14"/>
      <c r="M1764" s="14" t="s">
        <v>6721</v>
      </c>
      <c r="N1764" s="14"/>
      <c r="O1764" s="14" t="s">
        <v>6722</v>
      </c>
      <c r="P1764" s="14" t="str">
        <f>HYPERLINK("https://ceds.ed.gov/cedselementdetails.aspx?termid=18393")</f>
        <v>https://ceds.ed.gov/cedselementdetails.aspx?termid=18393</v>
      </c>
      <c r="Q1764" s="14" t="str">
        <f>HYPERLINK("https://ceds.ed.gov/elementComment.aspx?elementName=Person Relationship to Learner Contact Restrictions Description &amp;elementID=18393", "Click here to submit comment")</f>
        <v>Click here to submit comment</v>
      </c>
      <c r="R1764" s="14">
        <v>50310</v>
      </c>
    </row>
    <row r="1765" spans="1:18" ht="45" x14ac:dyDescent="0.25">
      <c r="A1765" s="14" t="s">
        <v>8732</v>
      </c>
      <c r="B1765" s="14" t="s">
        <v>8675</v>
      </c>
      <c r="C1765" s="14" t="s">
        <v>8673</v>
      </c>
      <c r="D1765" s="14" t="s">
        <v>8531</v>
      </c>
      <c r="E1765" s="14" t="s">
        <v>6723</v>
      </c>
      <c r="F1765" s="14" t="s">
        <v>6724</v>
      </c>
      <c r="G1765" s="14" t="s">
        <v>24</v>
      </c>
      <c r="H1765" s="14"/>
      <c r="I1765" s="14"/>
      <c r="J1765" s="14"/>
      <c r="K1765" s="14"/>
      <c r="L1765" s="14"/>
      <c r="M1765" s="14" t="s">
        <v>6725</v>
      </c>
      <c r="N1765" s="14"/>
      <c r="O1765" s="14" t="s">
        <v>6726</v>
      </c>
      <c r="P1765" s="14" t="str">
        <f>HYPERLINK("https://ceds.ed.gov/cedselementdetails.aspx?termid=18394")</f>
        <v>https://ceds.ed.gov/cedselementdetails.aspx?termid=18394</v>
      </c>
      <c r="Q1765" s="14" t="str">
        <f>HYPERLINK("https://ceds.ed.gov/elementComment.aspx?elementName=Person Relationship to Learner Lives with Indicator &amp;elementID=18394", "Click here to submit comment")</f>
        <v>Click here to submit comment</v>
      </c>
      <c r="R1765" s="14">
        <v>50312</v>
      </c>
    </row>
    <row r="1766" spans="1:18" ht="90" x14ac:dyDescent="0.25">
      <c r="A1766" s="14" t="s">
        <v>8732</v>
      </c>
      <c r="B1766" s="14" t="s">
        <v>8675</v>
      </c>
      <c r="C1766" s="14" t="s">
        <v>8673</v>
      </c>
      <c r="D1766" s="14" t="s">
        <v>8541</v>
      </c>
      <c r="E1766" s="14" t="s">
        <v>3428</v>
      </c>
      <c r="F1766" s="14" t="s">
        <v>3429</v>
      </c>
      <c r="G1766" s="14" t="s">
        <v>3430</v>
      </c>
      <c r="H1766" s="14" t="s">
        <v>467</v>
      </c>
      <c r="I1766" s="14" t="s">
        <v>195</v>
      </c>
      <c r="J1766" s="14"/>
      <c r="K1766" s="14" t="s">
        <v>3432</v>
      </c>
      <c r="L1766" s="14"/>
      <c r="M1766" s="14" t="s">
        <v>3433</v>
      </c>
      <c r="N1766" s="14"/>
      <c r="O1766" s="14" t="s">
        <v>3434</v>
      </c>
      <c r="P1766" s="14" t="str">
        <f>HYPERLINK("https://ceds.ed.gov/cedselementdetails.aspx?termid=17328")</f>
        <v>https://ceds.ed.gov/cedselementdetails.aspx?termid=17328</v>
      </c>
      <c r="Q1766" s="14" t="str">
        <f>HYPERLINK("https://ceds.ed.gov/elementComment.aspx?elementName=Custodial Parent or Guardian Indicator &amp;elementID=17328", "Click here to submit comment")</f>
        <v>Click here to submit comment</v>
      </c>
      <c r="R1766" s="14">
        <v>52377</v>
      </c>
    </row>
    <row r="1767" spans="1:18" ht="90" x14ac:dyDescent="0.25">
      <c r="A1767" s="14" t="s">
        <v>8732</v>
      </c>
      <c r="B1767" s="14" t="s">
        <v>8675</v>
      </c>
      <c r="C1767" s="14" t="s">
        <v>8632</v>
      </c>
      <c r="D1767" s="14" t="s">
        <v>8541</v>
      </c>
      <c r="E1767" s="14" t="s">
        <v>5662</v>
      </c>
      <c r="F1767" s="14" t="s">
        <v>5663</v>
      </c>
      <c r="G1767" s="14" t="s">
        <v>8527</v>
      </c>
      <c r="H1767" s="14" t="s">
        <v>5668</v>
      </c>
      <c r="I1767" s="14" t="s">
        <v>195</v>
      </c>
      <c r="J1767" s="14"/>
      <c r="K1767" s="14" t="s">
        <v>5665</v>
      </c>
      <c r="L1767" s="6" t="s">
        <v>1087</v>
      </c>
      <c r="M1767" s="14" t="s">
        <v>5666</v>
      </c>
      <c r="N1767" s="14"/>
      <c r="O1767" s="14" t="s">
        <v>5667</v>
      </c>
      <c r="P1767" s="14" t="str">
        <f>HYPERLINK("https://ceds.ed.gov/cedselementdetails.aspx?termid=17317")</f>
        <v>https://ceds.ed.gov/cedselementdetails.aspx?termid=17317</v>
      </c>
      <c r="Q1767" s="14" t="str">
        <f>HYPERLINK("https://ceds.ed.gov/elementComment.aspx?elementName=ISO 639-2 Language Code &amp;elementID=17317", "Click here to submit comment")</f>
        <v>Click here to submit comment</v>
      </c>
      <c r="R1767" s="14">
        <v>52373</v>
      </c>
    </row>
    <row r="1768" spans="1:18" ht="105" x14ac:dyDescent="0.25">
      <c r="A1768" s="14" t="s">
        <v>8732</v>
      </c>
      <c r="B1768" s="14" t="s">
        <v>8675</v>
      </c>
      <c r="C1768" s="14" t="s">
        <v>8632</v>
      </c>
      <c r="D1768" s="14" t="s">
        <v>8541</v>
      </c>
      <c r="E1768" s="14" t="s">
        <v>5669</v>
      </c>
      <c r="F1768" s="14" t="s">
        <v>5663</v>
      </c>
      <c r="G1768" s="14" t="s">
        <v>8527</v>
      </c>
      <c r="H1768" s="14"/>
      <c r="I1768" s="14" t="s">
        <v>195</v>
      </c>
      <c r="J1768" s="14"/>
      <c r="K1768" s="14" t="s">
        <v>5670</v>
      </c>
      <c r="L1768" s="6" t="s">
        <v>5671</v>
      </c>
      <c r="M1768" s="14" t="s">
        <v>5672</v>
      </c>
      <c r="N1768" s="14"/>
      <c r="O1768" s="14" t="s">
        <v>5673</v>
      </c>
      <c r="P1768" s="14" t="str">
        <f>HYPERLINK("https://ceds.ed.gov/cedselementdetails.aspx?termid=18618")</f>
        <v>https://ceds.ed.gov/cedselementdetails.aspx?termid=18618</v>
      </c>
      <c r="Q1768" s="14" t="str">
        <f>HYPERLINK("https://ceds.ed.gov/elementComment.aspx?elementName=ISO 639-3 Language Code &amp;elementID=18618", "Click here to submit comment")</f>
        <v>Click here to submit comment</v>
      </c>
      <c r="R1768" s="14">
        <v>52374</v>
      </c>
    </row>
    <row r="1769" spans="1:18" ht="409.5" x14ac:dyDescent="0.25">
      <c r="A1769" s="14" t="s">
        <v>8732</v>
      </c>
      <c r="B1769" s="14" t="s">
        <v>8675</v>
      </c>
      <c r="C1769" s="14" t="s">
        <v>8632</v>
      </c>
      <c r="D1769" s="14" t="s">
        <v>8541</v>
      </c>
      <c r="E1769" s="14" t="s">
        <v>5674</v>
      </c>
      <c r="F1769" s="14" t="s">
        <v>5675</v>
      </c>
      <c r="G1769" s="8" t="s">
        <v>8634</v>
      </c>
      <c r="H1769" s="14"/>
      <c r="I1769" s="14" t="s">
        <v>195</v>
      </c>
      <c r="J1769" s="14"/>
      <c r="K1769" s="14" t="s">
        <v>2856</v>
      </c>
      <c r="L1769" s="6" t="s">
        <v>5677</v>
      </c>
      <c r="M1769" s="14" t="s">
        <v>5678</v>
      </c>
      <c r="N1769" s="14"/>
      <c r="O1769" s="14" t="s">
        <v>5679</v>
      </c>
      <c r="P1769" s="14" t="str">
        <f>HYPERLINK("https://ceds.ed.gov/cedselementdetails.aspx?termid=18619")</f>
        <v>https://ceds.ed.gov/cedselementdetails.aspx?termid=18619</v>
      </c>
      <c r="Q1769" s="14" t="str">
        <f>HYPERLINK("https://ceds.ed.gov/elementComment.aspx?elementName=ISO 639-5 Language Family &amp;elementID=18619", "Click here to submit comment")</f>
        <v>Click here to submit comment</v>
      </c>
      <c r="R1769" s="14">
        <v>52375</v>
      </c>
    </row>
    <row r="1770" spans="1:18" ht="135" x14ac:dyDescent="0.25">
      <c r="A1770" s="14" t="s">
        <v>8732</v>
      </c>
      <c r="B1770" s="14" t="s">
        <v>8675</v>
      </c>
      <c r="C1770" s="14" t="s">
        <v>8632</v>
      </c>
      <c r="D1770" s="14" t="s">
        <v>8541</v>
      </c>
      <c r="E1770" s="14" t="s">
        <v>5717</v>
      </c>
      <c r="F1770" s="14" t="s">
        <v>5718</v>
      </c>
      <c r="G1770" s="8" t="s">
        <v>8633</v>
      </c>
      <c r="H1770" s="14" t="s">
        <v>5668</v>
      </c>
      <c r="I1770" s="14" t="s">
        <v>195</v>
      </c>
      <c r="J1770" s="14"/>
      <c r="K1770" s="14" t="s">
        <v>2856</v>
      </c>
      <c r="L1770" s="14"/>
      <c r="M1770" s="14" t="s">
        <v>5721</v>
      </c>
      <c r="N1770" s="14"/>
      <c r="O1770" s="14" t="s">
        <v>5722</v>
      </c>
      <c r="P1770" s="14" t="str">
        <f>HYPERLINK("https://ceds.ed.gov/cedselementdetails.aspx?termid=17316")</f>
        <v>https://ceds.ed.gov/cedselementdetails.aspx?termid=17316</v>
      </c>
      <c r="Q1770" s="14" t="str">
        <f>HYPERLINK("https://ceds.ed.gov/elementComment.aspx?elementName=Language Type &amp;elementID=17316", "Click here to submit comment")</f>
        <v>Click here to submit comment</v>
      </c>
      <c r="R1770" s="14">
        <v>52376</v>
      </c>
    </row>
    <row r="1771" spans="1:18" ht="75" x14ac:dyDescent="0.25">
      <c r="A1771" s="14" t="s">
        <v>8732</v>
      </c>
      <c r="B1771" s="14" t="s">
        <v>8675</v>
      </c>
      <c r="C1771" s="14" t="s">
        <v>4</v>
      </c>
      <c r="D1771" s="14" t="s">
        <v>8541</v>
      </c>
      <c r="E1771" s="14" t="s">
        <v>7201</v>
      </c>
      <c r="F1771" s="14" t="s">
        <v>7202</v>
      </c>
      <c r="G1771" s="14" t="s">
        <v>24</v>
      </c>
      <c r="H1771" s="14"/>
      <c r="I1771" s="14" t="s">
        <v>195</v>
      </c>
      <c r="J1771" s="14"/>
      <c r="K1771" s="14" t="s">
        <v>2856</v>
      </c>
      <c r="L1771" s="14"/>
      <c r="M1771" s="14" t="s">
        <v>7204</v>
      </c>
      <c r="N1771" s="14"/>
      <c r="O1771" s="14" t="s">
        <v>7205</v>
      </c>
      <c r="P1771" s="14" t="str">
        <f>HYPERLINK("https://ceds.ed.gov/cedselementdetails.aspx?termid=17760")</f>
        <v>https://ceds.ed.gov/cedselementdetails.aspx?termid=17760</v>
      </c>
      <c r="Q1771" s="14" t="str">
        <f>HYPERLINK("https://ceds.ed.gov/elementComment.aspx?elementName=Public Assistance Status &amp;elementID=17760", "Click here to submit comment")</f>
        <v>Click here to submit comment</v>
      </c>
      <c r="R1771" s="14">
        <v>52378</v>
      </c>
    </row>
    <row r="1772" spans="1:18" ht="195" x14ac:dyDescent="0.25">
      <c r="A1772" s="14" t="s">
        <v>8732</v>
      </c>
      <c r="B1772" s="14" t="s">
        <v>8919</v>
      </c>
      <c r="C1772" s="14" t="s">
        <v>8597</v>
      </c>
      <c r="D1772" s="14" t="s">
        <v>8531</v>
      </c>
      <c r="E1772" s="14" t="s">
        <v>4667</v>
      </c>
      <c r="F1772" s="14" t="s">
        <v>4668</v>
      </c>
      <c r="G1772" s="14" t="s">
        <v>37</v>
      </c>
      <c r="H1772" s="14" t="s">
        <v>4673</v>
      </c>
      <c r="I1772" s="14"/>
      <c r="J1772" s="14" t="s">
        <v>1468</v>
      </c>
      <c r="K1772" s="14"/>
      <c r="L1772" s="14" t="s">
        <v>4670</v>
      </c>
      <c r="M1772" s="14" t="s">
        <v>4671</v>
      </c>
      <c r="N1772" s="14"/>
      <c r="O1772" s="14" t="s">
        <v>4672</v>
      </c>
      <c r="P1772" s="14" t="str">
        <f>HYPERLINK("https://ceds.ed.gov/cedselementdetails.aspx?termid=17115")</f>
        <v>https://ceds.ed.gov/cedselementdetails.aspx?termid=17115</v>
      </c>
      <c r="Q1772" s="14" t="str">
        <f>HYPERLINK("https://ceds.ed.gov/elementComment.aspx?elementName=First Name &amp;elementID=17115", "Click here to submit comment")</f>
        <v>Click here to submit comment</v>
      </c>
      <c r="R1772" s="14">
        <v>48085</v>
      </c>
    </row>
    <row r="1773" spans="1:18" x14ac:dyDescent="0.25">
      <c r="A1773" s="16" t="s">
        <v>8732</v>
      </c>
      <c r="B1773" s="16" t="s">
        <v>8919</v>
      </c>
      <c r="C1773" s="16" t="s">
        <v>8597</v>
      </c>
      <c r="D1773" s="16" t="s">
        <v>8531</v>
      </c>
      <c r="E1773" s="16" t="s">
        <v>6223</v>
      </c>
      <c r="F1773" s="16" t="s">
        <v>6224</v>
      </c>
      <c r="G1773" s="16" t="s">
        <v>37</v>
      </c>
      <c r="H1773" s="16" t="s">
        <v>4673</v>
      </c>
      <c r="I1773" s="16"/>
      <c r="J1773" s="16" t="s">
        <v>1468</v>
      </c>
      <c r="K1773" s="16"/>
      <c r="L1773" s="14" t="s">
        <v>4746</v>
      </c>
      <c r="M1773" s="16" t="s">
        <v>6226</v>
      </c>
      <c r="N1773" s="16"/>
      <c r="O1773" s="16" t="s">
        <v>6227</v>
      </c>
      <c r="P1773" s="16" t="str">
        <f>HYPERLINK("https://ceds.ed.gov/cedselementdetails.aspx?termid=17184")</f>
        <v>https://ceds.ed.gov/cedselementdetails.aspx?termid=17184</v>
      </c>
      <c r="Q1773" s="16" t="str">
        <f>HYPERLINK("https://ceds.ed.gov/elementComment.aspx?elementName=Middle Name &amp;elementID=17184", "Click here to submit comment")</f>
        <v>Click here to submit comment</v>
      </c>
      <c r="R1773" s="16">
        <v>48100</v>
      </c>
    </row>
    <row r="1774" spans="1:18" ht="90" x14ac:dyDescent="0.25">
      <c r="A1774" s="16"/>
      <c r="B1774" s="16"/>
      <c r="C1774" s="16"/>
      <c r="D1774" s="16"/>
      <c r="E1774" s="16"/>
      <c r="F1774" s="16"/>
      <c r="G1774" s="16"/>
      <c r="H1774" s="16"/>
      <c r="I1774" s="16"/>
      <c r="J1774" s="16"/>
      <c r="K1774" s="16"/>
      <c r="L1774" s="14" t="s">
        <v>4750</v>
      </c>
      <c r="M1774" s="16"/>
      <c r="N1774" s="16"/>
      <c r="O1774" s="16"/>
      <c r="P1774" s="16"/>
      <c r="Q1774" s="16"/>
      <c r="R1774" s="16"/>
    </row>
    <row r="1775" spans="1:18" x14ac:dyDescent="0.25">
      <c r="A1775" s="16" t="s">
        <v>8732</v>
      </c>
      <c r="B1775" s="16" t="s">
        <v>8919</v>
      </c>
      <c r="C1775" s="16" t="s">
        <v>8597</v>
      </c>
      <c r="D1775" s="16" t="s">
        <v>8531</v>
      </c>
      <c r="E1775" s="16" t="s">
        <v>5727</v>
      </c>
      <c r="F1775" s="16" t="s">
        <v>5728</v>
      </c>
      <c r="G1775" s="16" t="s">
        <v>37</v>
      </c>
      <c r="H1775" s="16" t="s">
        <v>4673</v>
      </c>
      <c r="I1775" s="16"/>
      <c r="J1775" s="16" t="s">
        <v>1468</v>
      </c>
      <c r="K1775" s="16"/>
      <c r="L1775" s="14" t="s">
        <v>4746</v>
      </c>
      <c r="M1775" s="16" t="s">
        <v>5729</v>
      </c>
      <c r="N1775" s="16" t="s">
        <v>5730</v>
      </c>
      <c r="O1775" s="16" t="s">
        <v>5731</v>
      </c>
      <c r="P1775" s="16" t="str">
        <f>HYPERLINK("https://ceds.ed.gov/cedselementdetails.aspx?termid=17172")</f>
        <v>https://ceds.ed.gov/cedselementdetails.aspx?termid=17172</v>
      </c>
      <c r="Q1775" s="16" t="str">
        <f>HYPERLINK("https://ceds.ed.gov/elementComment.aspx?elementName=Last or Surname &amp;elementID=17172", "Click here to submit comment")</f>
        <v>Click here to submit comment</v>
      </c>
      <c r="R1775" s="16">
        <v>48099</v>
      </c>
    </row>
    <row r="1776" spans="1:18" ht="90" x14ac:dyDescent="0.25">
      <c r="A1776" s="16"/>
      <c r="B1776" s="16"/>
      <c r="C1776" s="16"/>
      <c r="D1776" s="16"/>
      <c r="E1776" s="16"/>
      <c r="F1776" s="16"/>
      <c r="G1776" s="16"/>
      <c r="H1776" s="16"/>
      <c r="I1776" s="16"/>
      <c r="J1776" s="16"/>
      <c r="K1776" s="16"/>
      <c r="L1776" s="14" t="s">
        <v>4750</v>
      </c>
      <c r="M1776" s="16"/>
      <c r="N1776" s="16"/>
      <c r="O1776" s="16"/>
      <c r="P1776" s="16"/>
      <c r="Q1776" s="16"/>
      <c r="R1776" s="16"/>
    </row>
    <row r="1777" spans="1:18" x14ac:dyDescent="0.25">
      <c r="A1777" s="16" t="s">
        <v>8732</v>
      </c>
      <c r="B1777" s="16" t="s">
        <v>8919</v>
      </c>
      <c r="C1777" s="16" t="s">
        <v>8597</v>
      </c>
      <c r="D1777" s="16" t="s">
        <v>8531</v>
      </c>
      <c r="E1777" s="16" t="s">
        <v>4743</v>
      </c>
      <c r="F1777" s="16" t="s">
        <v>4744</v>
      </c>
      <c r="G1777" s="16" t="s">
        <v>37</v>
      </c>
      <c r="H1777" s="16" t="s">
        <v>4749</v>
      </c>
      <c r="I1777" s="16"/>
      <c r="J1777" s="16" t="s">
        <v>3096</v>
      </c>
      <c r="K1777" s="16"/>
      <c r="L1777" s="14" t="s">
        <v>4746</v>
      </c>
      <c r="M1777" s="16" t="s">
        <v>4747</v>
      </c>
      <c r="N1777" s="16"/>
      <c r="O1777" s="16" t="s">
        <v>4748</v>
      </c>
      <c r="P1777" s="16" t="str">
        <f>HYPERLINK("https://ceds.ed.gov/cedselementdetails.aspx?termid=17121")</f>
        <v>https://ceds.ed.gov/cedselementdetails.aspx?termid=17121</v>
      </c>
      <c r="Q1777" s="16" t="str">
        <f>HYPERLINK("https://ceds.ed.gov/elementComment.aspx?elementName=Generation Code or Suffix &amp;elementID=17121", "Click here to submit comment")</f>
        <v>Click here to submit comment</v>
      </c>
      <c r="R1777" s="16">
        <v>48087</v>
      </c>
    </row>
    <row r="1778" spans="1:18" ht="90" x14ac:dyDescent="0.25">
      <c r="A1778" s="16"/>
      <c r="B1778" s="16"/>
      <c r="C1778" s="16"/>
      <c r="D1778" s="16"/>
      <c r="E1778" s="16"/>
      <c r="F1778" s="16"/>
      <c r="G1778" s="16"/>
      <c r="H1778" s="16"/>
      <c r="I1778" s="16"/>
      <c r="J1778" s="16"/>
      <c r="K1778" s="16"/>
      <c r="L1778" s="14" t="s">
        <v>4750</v>
      </c>
      <c r="M1778" s="16"/>
      <c r="N1778" s="16"/>
      <c r="O1778" s="16"/>
      <c r="P1778" s="16"/>
      <c r="Q1778" s="16"/>
      <c r="R1778" s="16"/>
    </row>
    <row r="1779" spans="1:18" ht="105" x14ac:dyDescent="0.25">
      <c r="A1779" s="14" t="s">
        <v>8732</v>
      </c>
      <c r="B1779" s="14" t="s">
        <v>8919</v>
      </c>
      <c r="C1779" s="14" t="s">
        <v>8597</v>
      </c>
      <c r="D1779" s="14" t="s">
        <v>8531</v>
      </c>
      <c r="E1779" s="14" t="s">
        <v>6741</v>
      </c>
      <c r="F1779" s="14" t="s">
        <v>6742</v>
      </c>
      <c r="G1779" s="14" t="s">
        <v>37</v>
      </c>
      <c r="H1779" s="14" t="s">
        <v>6747</v>
      </c>
      <c r="I1779" s="14"/>
      <c r="J1779" s="14" t="s">
        <v>97</v>
      </c>
      <c r="K1779" s="14"/>
      <c r="L1779" s="14"/>
      <c r="M1779" s="14" t="s">
        <v>6744</v>
      </c>
      <c r="N1779" s="14" t="s">
        <v>6745</v>
      </c>
      <c r="O1779" s="14" t="s">
        <v>6746</v>
      </c>
      <c r="P1779" s="14" t="str">
        <f>HYPERLINK("https://ceds.ed.gov/cedselementdetails.aspx?termid=17212")</f>
        <v>https://ceds.ed.gov/cedselementdetails.aspx?termid=17212</v>
      </c>
      <c r="Q1779" s="14" t="str">
        <f>HYPERLINK("https://ceds.ed.gov/elementComment.aspx?elementName=Personal Title or Prefix &amp;elementID=17212", "Click here to submit comment")</f>
        <v>Click here to submit comment</v>
      </c>
      <c r="R1779" s="14">
        <v>48105</v>
      </c>
    </row>
    <row r="1780" spans="1:18" ht="45" x14ac:dyDescent="0.25">
      <c r="A1780" s="14" t="s">
        <v>8732</v>
      </c>
      <c r="B1780" s="14" t="s">
        <v>8919</v>
      </c>
      <c r="C1780" s="14" t="s">
        <v>8598</v>
      </c>
      <c r="D1780" s="14" t="s">
        <v>8531</v>
      </c>
      <c r="E1780" s="14" t="s">
        <v>6586</v>
      </c>
      <c r="F1780" s="14" t="s">
        <v>6587</v>
      </c>
      <c r="G1780" s="14" t="s">
        <v>37</v>
      </c>
      <c r="H1780" s="14"/>
      <c r="I1780" s="14"/>
      <c r="J1780" s="14" t="s">
        <v>1468</v>
      </c>
      <c r="K1780" s="14"/>
      <c r="L1780" s="14" t="s">
        <v>6589</v>
      </c>
      <c r="M1780" s="14" t="s">
        <v>6590</v>
      </c>
      <c r="N1780" s="14"/>
      <c r="O1780" s="14" t="s">
        <v>6591</v>
      </c>
      <c r="P1780" s="14" t="str">
        <f>HYPERLINK("https://ceds.ed.gov/cedselementdetails.aspx?termid=18486")</f>
        <v>https://ceds.ed.gov/cedselementdetails.aspx?termid=18486</v>
      </c>
      <c r="Q1780" s="14" t="str">
        <f>HYPERLINK("https://ceds.ed.gov/elementComment.aspx?elementName=Other First Name &amp;elementID=18486", "Click here to submit comment")</f>
        <v>Click here to submit comment</v>
      </c>
      <c r="R1780" s="14">
        <v>50632</v>
      </c>
    </row>
    <row r="1781" spans="1:18" ht="45" x14ac:dyDescent="0.25">
      <c r="A1781" s="14" t="s">
        <v>8732</v>
      </c>
      <c r="B1781" s="14" t="s">
        <v>8919</v>
      </c>
      <c r="C1781" s="14" t="s">
        <v>8598</v>
      </c>
      <c r="D1781" s="14" t="s">
        <v>8531</v>
      </c>
      <c r="E1781" s="14" t="s">
        <v>6597</v>
      </c>
      <c r="F1781" s="14" t="s">
        <v>6598</v>
      </c>
      <c r="G1781" s="14" t="s">
        <v>37</v>
      </c>
      <c r="H1781" s="14"/>
      <c r="I1781" s="14"/>
      <c r="J1781" s="14" t="s">
        <v>1468</v>
      </c>
      <c r="K1781" s="14"/>
      <c r="L1781" s="14" t="s">
        <v>6599</v>
      </c>
      <c r="M1781" s="14" t="s">
        <v>6600</v>
      </c>
      <c r="N1781" s="14"/>
      <c r="O1781" s="14" t="s">
        <v>6601</v>
      </c>
      <c r="P1781" s="14" t="str">
        <f>HYPERLINK("https://ceds.ed.gov/cedselementdetails.aspx?termid=18487")</f>
        <v>https://ceds.ed.gov/cedselementdetails.aspx?termid=18487</v>
      </c>
      <c r="Q1781" s="14" t="str">
        <f>HYPERLINK("https://ceds.ed.gov/elementComment.aspx?elementName=Other Middle Name &amp;elementID=18487", "Click here to submit comment")</f>
        <v>Click here to submit comment</v>
      </c>
      <c r="R1781" s="14">
        <v>50648</v>
      </c>
    </row>
    <row r="1782" spans="1:18" ht="45" x14ac:dyDescent="0.25">
      <c r="A1782" s="14" t="s">
        <v>8732</v>
      </c>
      <c r="B1782" s="14" t="s">
        <v>8919</v>
      </c>
      <c r="C1782" s="14" t="s">
        <v>8598</v>
      </c>
      <c r="D1782" s="14" t="s">
        <v>8531</v>
      </c>
      <c r="E1782" s="14" t="s">
        <v>6592</v>
      </c>
      <c r="F1782" s="14" t="s">
        <v>6593</v>
      </c>
      <c r="G1782" s="14" t="s">
        <v>37</v>
      </c>
      <c r="H1782" s="14"/>
      <c r="I1782" s="14"/>
      <c r="J1782" s="14" t="s">
        <v>1468</v>
      </c>
      <c r="K1782" s="14"/>
      <c r="L1782" s="14" t="s">
        <v>6594</v>
      </c>
      <c r="M1782" s="14" t="s">
        <v>6595</v>
      </c>
      <c r="N1782" s="14"/>
      <c r="O1782" s="14" t="s">
        <v>6596</v>
      </c>
      <c r="P1782" s="14" t="str">
        <f>HYPERLINK("https://ceds.ed.gov/cedselementdetails.aspx?termid=18485")</f>
        <v>https://ceds.ed.gov/cedselementdetails.aspx?termid=18485</v>
      </c>
      <c r="Q1782" s="14" t="str">
        <f>HYPERLINK("https://ceds.ed.gov/elementComment.aspx?elementName=Other Last Name &amp;elementID=18485", "Click here to submit comment")</f>
        <v>Click here to submit comment</v>
      </c>
      <c r="R1782" s="14">
        <v>50616</v>
      </c>
    </row>
    <row r="1783" spans="1:18" ht="150" x14ac:dyDescent="0.25">
      <c r="A1783" s="14" t="s">
        <v>8732</v>
      </c>
      <c r="B1783" s="14" t="s">
        <v>8919</v>
      </c>
      <c r="C1783" s="14" t="s">
        <v>8598</v>
      </c>
      <c r="D1783" s="14" t="s">
        <v>8531</v>
      </c>
      <c r="E1783" s="14" t="s">
        <v>6602</v>
      </c>
      <c r="F1783" s="14" t="s">
        <v>6603</v>
      </c>
      <c r="G1783" s="14" t="s">
        <v>37</v>
      </c>
      <c r="H1783" s="14" t="s">
        <v>4749</v>
      </c>
      <c r="I1783" s="14"/>
      <c r="J1783" s="14" t="s">
        <v>149</v>
      </c>
      <c r="K1783" s="14"/>
      <c r="L1783" s="14"/>
      <c r="M1783" s="14" t="s">
        <v>6604</v>
      </c>
      <c r="N1783" s="14"/>
      <c r="O1783" s="14" t="s">
        <v>6605</v>
      </c>
      <c r="P1783" s="14" t="str">
        <f>HYPERLINK("https://ceds.ed.gov/cedselementdetails.aspx?termid=17206")</f>
        <v>https://ceds.ed.gov/cedselementdetails.aspx?termid=17206</v>
      </c>
      <c r="Q1783" s="14" t="str">
        <f>HYPERLINK("https://ceds.ed.gov/elementComment.aspx?elementName=Other Name &amp;elementID=17206", "Click here to submit comment")</f>
        <v>Click here to submit comment</v>
      </c>
      <c r="R1783" s="14">
        <v>48103</v>
      </c>
    </row>
    <row r="1784" spans="1:18" ht="165" x14ac:dyDescent="0.25">
      <c r="A1784" s="14" t="s">
        <v>8732</v>
      </c>
      <c r="B1784" s="14" t="s">
        <v>8919</v>
      </c>
      <c r="C1784" s="14" t="s">
        <v>8598</v>
      </c>
      <c r="D1784" s="14" t="s">
        <v>8531</v>
      </c>
      <c r="E1784" s="14" t="s">
        <v>6606</v>
      </c>
      <c r="F1784" s="14" t="s">
        <v>6607</v>
      </c>
      <c r="G1784" s="8" t="s">
        <v>8554</v>
      </c>
      <c r="H1784" s="14" t="s">
        <v>6612</v>
      </c>
      <c r="I1784" s="14"/>
      <c r="J1784" s="14" t="s">
        <v>97</v>
      </c>
      <c r="K1784" s="14"/>
      <c r="L1784" s="14"/>
      <c r="M1784" s="14" t="s">
        <v>6610</v>
      </c>
      <c r="N1784" s="14"/>
      <c r="O1784" s="14" t="s">
        <v>6611</v>
      </c>
      <c r="P1784" s="14" t="str">
        <f>HYPERLINK("https://ceds.ed.gov/cedselementdetails.aspx?termid=17627")</f>
        <v>https://ceds.ed.gov/cedselementdetails.aspx?termid=17627</v>
      </c>
      <c r="Q1784" s="14" t="str">
        <f>HYPERLINK("https://ceds.ed.gov/elementComment.aspx?elementName=Other Name Type &amp;elementID=17627", "Click here to submit comment")</f>
        <v>Click here to submit comment</v>
      </c>
      <c r="R1784" s="14">
        <v>48140</v>
      </c>
    </row>
    <row r="1785" spans="1:18" ht="105" x14ac:dyDescent="0.25">
      <c r="A1785" s="16" t="s">
        <v>8732</v>
      </c>
      <c r="B1785" s="16" t="s">
        <v>8919</v>
      </c>
      <c r="C1785" s="16" t="s">
        <v>8599</v>
      </c>
      <c r="D1785" s="16" t="s">
        <v>8531</v>
      </c>
      <c r="E1785" s="16" t="s">
        <v>7927</v>
      </c>
      <c r="F1785" s="16" t="s">
        <v>7928</v>
      </c>
      <c r="G1785" s="16" t="s">
        <v>37</v>
      </c>
      <c r="H1785" s="16" t="s">
        <v>7931</v>
      </c>
      <c r="I1785" s="16"/>
      <c r="J1785" s="16" t="s">
        <v>149</v>
      </c>
      <c r="K1785" s="16"/>
      <c r="L1785" s="14" t="s">
        <v>150</v>
      </c>
      <c r="M1785" s="16" t="s">
        <v>7929</v>
      </c>
      <c r="N1785" s="16"/>
      <c r="O1785" s="16" t="s">
        <v>7930</v>
      </c>
      <c r="P1785" s="16" t="str">
        <f>HYPERLINK("https://ceds.ed.gov/cedselementdetails.aspx?termid=17156")</f>
        <v>https://ceds.ed.gov/cedselementdetails.aspx?termid=17156</v>
      </c>
      <c r="Q1785" s="16" t="str">
        <f>HYPERLINK("https://ceds.ed.gov/elementComment.aspx?elementName=Staff Member Identifier &amp;elementID=17156", "Click here to submit comment")</f>
        <v>Click here to submit comment</v>
      </c>
      <c r="R1785" s="16">
        <v>48095</v>
      </c>
    </row>
    <row r="1786" spans="1:18" x14ac:dyDescent="0.25">
      <c r="A1786" s="16"/>
      <c r="B1786" s="16"/>
      <c r="C1786" s="16"/>
      <c r="D1786" s="16"/>
      <c r="E1786" s="16"/>
      <c r="F1786" s="16"/>
      <c r="G1786" s="16"/>
      <c r="H1786" s="16"/>
      <c r="I1786" s="16"/>
      <c r="J1786" s="16"/>
      <c r="K1786" s="16"/>
      <c r="L1786" s="14"/>
      <c r="M1786" s="16"/>
      <c r="N1786" s="16"/>
      <c r="O1786" s="16"/>
      <c r="P1786" s="16"/>
      <c r="Q1786" s="16"/>
      <c r="R1786" s="16"/>
    </row>
    <row r="1787" spans="1:18" ht="90" x14ac:dyDescent="0.25">
      <c r="A1787" s="16"/>
      <c r="B1787" s="16"/>
      <c r="C1787" s="16"/>
      <c r="D1787" s="16"/>
      <c r="E1787" s="16"/>
      <c r="F1787" s="16"/>
      <c r="G1787" s="16"/>
      <c r="H1787" s="16"/>
      <c r="I1787" s="16"/>
      <c r="J1787" s="16"/>
      <c r="K1787" s="16"/>
      <c r="L1787" s="14" t="s">
        <v>153</v>
      </c>
      <c r="M1787" s="16"/>
      <c r="N1787" s="16"/>
      <c r="O1787" s="16"/>
      <c r="P1787" s="16"/>
      <c r="Q1787" s="16"/>
      <c r="R1787" s="16"/>
    </row>
    <row r="1788" spans="1:18" ht="345" x14ac:dyDescent="0.25">
      <c r="A1788" s="14" t="s">
        <v>8732</v>
      </c>
      <c r="B1788" s="14" t="s">
        <v>8919</v>
      </c>
      <c r="C1788" s="14" t="s">
        <v>8599</v>
      </c>
      <c r="D1788" s="14" t="s">
        <v>8531</v>
      </c>
      <c r="E1788" s="14" t="s">
        <v>7920</v>
      </c>
      <c r="F1788" s="14" t="s">
        <v>7921</v>
      </c>
      <c r="G1788" s="8" t="s">
        <v>8687</v>
      </c>
      <c r="H1788" s="14" t="s">
        <v>7926</v>
      </c>
      <c r="I1788" s="14"/>
      <c r="J1788" s="14"/>
      <c r="K1788" s="14"/>
      <c r="L1788" s="14"/>
      <c r="M1788" s="14" t="s">
        <v>7924</v>
      </c>
      <c r="N1788" s="14"/>
      <c r="O1788" s="14" t="s">
        <v>7925</v>
      </c>
      <c r="P1788" s="14" t="str">
        <f>HYPERLINK("https://ceds.ed.gov/cedselementdetails.aspx?termid=17162")</f>
        <v>https://ceds.ed.gov/cedselementdetails.aspx?termid=17162</v>
      </c>
      <c r="Q1788" s="14" t="str">
        <f>HYPERLINK("https://ceds.ed.gov/elementComment.aspx?elementName=Staff Member Identification System &amp;elementID=17162", "Click here to submit comment")</f>
        <v>Click here to submit comment</v>
      </c>
      <c r="R1788" s="14">
        <v>48098</v>
      </c>
    </row>
    <row r="1789" spans="1:18" ht="255" x14ac:dyDescent="0.25">
      <c r="A1789" s="14" t="s">
        <v>8732</v>
      </c>
      <c r="B1789" s="14" t="s">
        <v>8919</v>
      </c>
      <c r="C1789" s="14" t="s">
        <v>8599</v>
      </c>
      <c r="D1789" s="14" t="s">
        <v>8531</v>
      </c>
      <c r="E1789" s="14" t="s">
        <v>6735</v>
      </c>
      <c r="F1789" s="14" t="s">
        <v>6736</v>
      </c>
      <c r="G1789" s="8" t="s">
        <v>8601</v>
      </c>
      <c r="H1789" s="14"/>
      <c r="I1789" s="14"/>
      <c r="J1789" s="14"/>
      <c r="K1789" s="14"/>
      <c r="L1789" s="14"/>
      <c r="M1789" s="14" t="s">
        <v>6739</v>
      </c>
      <c r="N1789" s="14"/>
      <c r="O1789" s="14" t="s">
        <v>6740</v>
      </c>
      <c r="P1789" s="14" t="str">
        <f>HYPERLINK("https://ceds.ed.gov/cedselementdetails.aspx?termid=17611")</f>
        <v>https://ceds.ed.gov/cedselementdetails.aspx?termid=17611</v>
      </c>
      <c r="Q1789" s="14" t="str">
        <f>HYPERLINK("https://ceds.ed.gov/elementComment.aspx?elementName=Personal Information Verification &amp;elementID=17611", "Click here to submit comment")</f>
        <v>Click here to submit comment</v>
      </c>
      <c r="R1789" s="14">
        <v>48135</v>
      </c>
    </row>
    <row r="1790" spans="1:18" ht="105" x14ac:dyDescent="0.25">
      <c r="A1790" s="14" t="s">
        <v>8732</v>
      </c>
      <c r="B1790" s="14" t="s">
        <v>8919</v>
      </c>
      <c r="C1790" s="14" t="s">
        <v>8547</v>
      </c>
      <c r="D1790" s="14" t="s">
        <v>8531</v>
      </c>
      <c r="E1790" s="14" t="s">
        <v>232</v>
      </c>
      <c r="F1790" s="14" t="s">
        <v>233</v>
      </c>
      <c r="G1790" s="8" t="s">
        <v>8688</v>
      </c>
      <c r="H1790" s="14" t="s">
        <v>238</v>
      </c>
      <c r="I1790" s="14"/>
      <c r="J1790" s="14" t="s">
        <v>97</v>
      </c>
      <c r="K1790" s="14"/>
      <c r="L1790" s="14"/>
      <c r="M1790" s="14" t="s">
        <v>236</v>
      </c>
      <c r="N1790" s="14"/>
      <c r="O1790" s="14" t="s">
        <v>237</v>
      </c>
      <c r="P1790" s="14" t="str">
        <f>HYPERLINK("https://ceds.ed.gov/cedselementdetails.aspx?termid=17698")</f>
        <v>https://ceds.ed.gov/cedselementdetails.aspx?termid=17698</v>
      </c>
      <c r="Q1790" s="14" t="str">
        <f>HYPERLINK("https://ceds.ed.gov/elementComment.aspx?elementName=Address Type for Staff &amp;elementID=17698", "Click here to submit comment")</f>
        <v>Click here to submit comment</v>
      </c>
      <c r="R1790" s="14">
        <v>48149</v>
      </c>
    </row>
    <row r="1791" spans="1:18" ht="225" x14ac:dyDescent="0.25">
      <c r="A1791" s="14" t="s">
        <v>8732</v>
      </c>
      <c r="B1791" s="14" t="s">
        <v>8919</v>
      </c>
      <c r="C1791" s="14" t="s">
        <v>8547</v>
      </c>
      <c r="D1791" s="14" t="s">
        <v>8531</v>
      </c>
      <c r="E1791" s="14" t="s">
        <v>214</v>
      </c>
      <c r="F1791" s="14" t="s">
        <v>215</v>
      </c>
      <c r="G1791" s="14" t="s">
        <v>37</v>
      </c>
      <c r="H1791" s="14" t="s">
        <v>199</v>
      </c>
      <c r="I1791" s="14" t="s">
        <v>195</v>
      </c>
      <c r="J1791" s="14" t="s">
        <v>216</v>
      </c>
      <c r="K1791" s="14" t="s">
        <v>196</v>
      </c>
      <c r="L1791" s="14"/>
      <c r="M1791" s="14" t="s">
        <v>217</v>
      </c>
      <c r="N1791" s="14"/>
      <c r="O1791" s="14" t="s">
        <v>218</v>
      </c>
      <c r="P1791" s="14" t="str">
        <f>HYPERLINK("https://ceds.ed.gov/cedselementdetails.aspx?termid=17269")</f>
        <v>https://ceds.ed.gov/cedselementdetails.aspx?termid=17269</v>
      </c>
      <c r="Q1791" s="14" t="str">
        <f>HYPERLINK("https://ceds.ed.gov/elementComment.aspx?elementName=Address Street Number and Name &amp;elementID=17269", "Click here to submit comment")</f>
        <v>Click here to submit comment</v>
      </c>
      <c r="R1791" s="14">
        <v>48117</v>
      </c>
    </row>
    <row r="1792" spans="1:18" ht="225" x14ac:dyDescent="0.25">
      <c r="A1792" s="14" t="s">
        <v>8732</v>
      </c>
      <c r="B1792" s="14" t="s">
        <v>8919</v>
      </c>
      <c r="C1792" s="14" t="s">
        <v>8547</v>
      </c>
      <c r="D1792" s="14" t="s">
        <v>8531</v>
      </c>
      <c r="E1792" s="14" t="s">
        <v>192</v>
      </c>
      <c r="F1792" s="14" t="s">
        <v>193</v>
      </c>
      <c r="G1792" s="14" t="s">
        <v>37</v>
      </c>
      <c r="H1792" s="14" t="s">
        <v>199</v>
      </c>
      <c r="I1792" s="14" t="s">
        <v>195</v>
      </c>
      <c r="J1792" s="14" t="s">
        <v>175</v>
      </c>
      <c r="K1792" s="14" t="s">
        <v>196</v>
      </c>
      <c r="L1792" s="14"/>
      <c r="M1792" s="14" t="s">
        <v>197</v>
      </c>
      <c r="N1792" s="14"/>
      <c r="O1792" s="14" t="s">
        <v>198</v>
      </c>
      <c r="P1792" s="14" t="str">
        <f>HYPERLINK("https://ceds.ed.gov/cedselementdetails.aspx?termid=17019")</f>
        <v>https://ceds.ed.gov/cedselementdetails.aspx?termid=17019</v>
      </c>
      <c r="Q1792" s="14" t="str">
        <f>HYPERLINK("https://ceds.ed.gov/elementComment.aspx?elementName=Address Apartment Room or Suite Number &amp;elementID=17019", "Click here to submit comment")</f>
        <v>Click here to submit comment</v>
      </c>
      <c r="R1792" s="14">
        <v>48072</v>
      </c>
    </row>
    <row r="1793" spans="1:18" ht="225" x14ac:dyDescent="0.25">
      <c r="A1793" s="14" t="s">
        <v>8732</v>
      </c>
      <c r="B1793" s="14" t="s">
        <v>8919</v>
      </c>
      <c r="C1793" s="14" t="s">
        <v>8547</v>
      </c>
      <c r="D1793" s="14" t="s">
        <v>8531</v>
      </c>
      <c r="E1793" s="14" t="s">
        <v>200</v>
      </c>
      <c r="F1793" s="14" t="s">
        <v>201</v>
      </c>
      <c r="G1793" s="14" t="s">
        <v>37</v>
      </c>
      <c r="H1793" s="14" t="s">
        <v>199</v>
      </c>
      <c r="I1793" s="14"/>
      <c r="J1793" s="14" t="s">
        <v>97</v>
      </c>
      <c r="K1793" s="14"/>
      <c r="L1793" s="14"/>
      <c r="M1793" s="14" t="s">
        <v>202</v>
      </c>
      <c r="N1793" s="14"/>
      <c r="O1793" s="14" t="s">
        <v>203</v>
      </c>
      <c r="P1793" s="14" t="str">
        <f>HYPERLINK("https://ceds.ed.gov/cedselementdetails.aspx?termid=17040")</f>
        <v>https://ceds.ed.gov/cedselementdetails.aspx?termid=17040</v>
      </c>
      <c r="Q1793" s="14" t="str">
        <f>HYPERLINK("https://ceds.ed.gov/elementComment.aspx?elementName=Address City &amp;elementID=17040", "Click here to submit comment")</f>
        <v>Click here to submit comment</v>
      </c>
      <c r="R1793" s="14">
        <v>48075</v>
      </c>
    </row>
    <row r="1794" spans="1:18" ht="409.5" x14ac:dyDescent="0.25">
      <c r="A1794" s="14" t="s">
        <v>8732</v>
      </c>
      <c r="B1794" s="14" t="s">
        <v>8919</v>
      </c>
      <c r="C1794" s="14" t="s">
        <v>8547</v>
      </c>
      <c r="D1794" s="14" t="s">
        <v>8531</v>
      </c>
      <c r="E1794" s="14" t="s">
        <v>7960</v>
      </c>
      <c r="F1794" s="14" t="s">
        <v>7961</v>
      </c>
      <c r="G1794" s="8" t="s">
        <v>8540</v>
      </c>
      <c r="H1794" s="14" t="s">
        <v>7964</v>
      </c>
      <c r="I1794" s="14"/>
      <c r="J1794" s="14"/>
      <c r="K1794" s="14"/>
      <c r="L1794" s="14"/>
      <c r="M1794" s="14" t="s">
        <v>7962</v>
      </c>
      <c r="N1794" s="14"/>
      <c r="O1794" s="14" t="s">
        <v>7963</v>
      </c>
      <c r="P1794" s="14" t="str">
        <f>HYPERLINK("https://ceds.ed.gov/cedselementdetails.aspx?termid=17267")</f>
        <v>https://ceds.ed.gov/cedselementdetails.aspx?termid=17267</v>
      </c>
      <c r="Q1794" s="14" t="str">
        <f>HYPERLINK("https://ceds.ed.gov/elementComment.aspx?elementName=State Abbreviation &amp;elementID=17267", "Click here to submit comment")</f>
        <v>Click here to submit comment</v>
      </c>
      <c r="R1794" s="14">
        <v>48116</v>
      </c>
    </row>
    <row r="1795" spans="1:18" ht="225" x14ac:dyDescent="0.25">
      <c r="A1795" s="14" t="s">
        <v>8732</v>
      </c>
      <c r="B1795" s="14" t="s">
        <v>8919</v>
      </c>
      <c r="C1795" s="14" t="s">
        <v>8547</v>
      </c>
      <c r="D1795" s="14" t="s">
        <v>8531</v>
      </c>
      <c r="E1795" s="14" t="s">
        <v>209</v>
      </c>
      <c r="F1795" s="14" t="s">
        <v>210</v>
      </c>
      <c r="G1795" s="14" t="s">
        <v>37</v>
      </c>
      <c r="H1795" s="14" t="s">
        <v>199</v>
      </c>
      <c r="I1795" s="14"/>
      <c r="J1795" s="14" t="s">
        <v>211</v>
      </c>
      <c r="K1795" s="14"/>
      <c r="L1795" s="14"/>
      <c r="M1795" s="14" t="s">
        <v>212</v>
      </c>
      <c r="N1795" s="14"/>
      <c r="O1795" s="14" t="s">
        <v>213</v>
      </c>
      <c r="P1795" s="14" t="str">
        <f>HYPERLINK("https://ceds.ed.gov/cedselementdetails.aspx?termid=17214")</f>
        <v>https://ceds.ed.gov/cedselementdetails.aspx?termid=17214</v>
      </c>
      <c r="Q1795" s="14" t="str">
        <f>HYPERLINK("https://ceds.ed.gov/elementComment.aspx?elementName=Address Postal Code &amp;elementID=17214", "Click here to submit comment")</f>
        <v>Click here to submit comment</v>
      </c>
      <c r="R1795" s="14">
        <v>48107</v>
      </c>
    </row>
    <row r="1796" spans="1:18" ht="225" x14ac:dyDescent="0.25">
      <c r="A1796" s="14" t="s">
        <v>8732</v>
      </c>
      <c r="B1796" s="14" t="s">
        <v>8919</v>
      </c>
      <c r="C1796" s="14" t="s">
        <v>8547</v>
      </c>
      <c r="D1796" s="14" t="s">
        <v>8531</v>
      </c>
      <c r="E1796" s="14" t="s">
        <v>204</v>
      </c>
      <c r="F1796" s="14" t="s">
        <v>205</v>
      </c>
      <c r="G1796" s="14" t="s">
        <v>37</v>
      </c>
      <c r="H1796" s="14" t="s">
        <v>199</v>
      </c>
      <c r="I1796" s="14"/>
      <c r="J1796" s="14" t="s">
        <v>97</v>
      </c>
      <c r="K1796" s="14"/>
      <c r="L1796" s="14"/>
      <c r="M1796" s="14" t="s">
        <v>207</v>
      </c>
      <c r="N1796" s="14"/>
      <c r="O1796" s="14" t="s">
        <v>208</v>
      </c>
      <c r="P1796" s="14" t="str">
        <f>HYPERLINK("https://ceds.ed.gov/cedselementdetails.aspx?termid=17190")</f>
        <v>https://ceds.ed.gov/cedselementdetails.aspx?termid=17190</v>
      </c>
      <c r="Q1796" s="14" t="str">
        <f>HYPERLINK("https://ceds.ed.gov/elementComment.aspx?elementName=Address County Name &amp;elementID=17190", "Click here to submit comment")</f>
        <v>Click here to submit comment</v>
      </c>
      <c r="R1796" s="14">
        <v>49133</v>
      </c>
    </row>
    <row r="1797" spans="1:18" ht="409.5" x14ac:dyDescent="0.25">
      <c r="A1797" s="14" t="s">
        <v>8732</v>
      </c>
      <c r="B1797" s="14" t="s">
        <v>8919</v>
      </c>
      <c r="C1797" s="14" t="s">
        <v>8547</v>
      </c>
      <c r="D1797" s="14" t="s">
        <v>8531</v>
      </c>
      <c r="E1797" s="14" t="s">
        <v>2845</v>
      </c>
      <c r="F1797" s="14" t="s">
        <v>2846</v>
      </c>
      <c r="G1797" s="8" t="s">
        <v>8548</v>
      </c>
      <c r="H1797" s="14" t="s">
        <v>2852</v>
      </c>
      <c r="I1797" s="14"/>
      <c r="J1797" s="14"/>
      <c r="K1797" s="14"/>
      <c r="L1797" s="6" t="s">
        <v>2849</v>
      </c>
      <c r="M1797" s="14" t="s">
        <v>2850</v>
      </c>
      <c r="N1797" s="14"/>
      <c r="O1797" s="14" t="s">
        <v>2851</v>
      </c>
      <c r="P1797" s="14" t="str">
        <f>HYPERLINK("https://ceds.ed.gov/cedselementdetails.aspx?termid=17050")</f>
        <v>https://ceds.ed.gov/cedselementdetails.aspx?termid=17050</v>
      </c>
      <c r="Q1797" s="14" t="str">
        <f>HYPERLINK("https://ceds.ed.gov/elementComment.aspx?elementName=Country Code &amp;elementID=17050", "Click here to submit comment")</f>
        <v>Click here to submit comment</v>
      </c>
      <c r="R1797" s="14">
        <v>49132</v>
      </c>
    </row>
    <row r="1798" spans="1:18" ht="75" x14ac:dyDescent="0.25">
      <c r="A1798" s="14" t="s">
        <v>8732</v>
      </c>
      <c r="B1798" s="14" t="s">
        <v>8919</v>
      </c>
      <c r="C1798" s="14" t="s">
        <v>8547</v>
      </c>
      <c r="D1798" s="14" t="s">
        <v>8531</v>
      </c>
      <c r="E1798" s="14" t="s">
        <v>5736</v>
      </c>
      <c r="F1798" s="14" t="s">
        <v>5737</v>
      </c>
      <c r="G1798" s="14" t="s">
        <v>37</v>
      </c>
      <c r="H1798" s="14"/>
      <c r="I1798" s="14"/>
      <c r="J1798" s="14" t="s">
        <v>1307</v>
      </c>
      <c r="K1798" s="14"/>
      <c r="L1798" s="14"/>
      <c r="M1798" s="14" t="s">
        <v>5739</v>
      </c>
      <c r="N1798" s="14"/>
      <c r="O1798" s="14" t="s">
        <v>5736</v>
      </c>
      <c r="P1798" s="14" t="str">
        <f>HYPERLINK("https://ceds.ed.gov/cedselementdetails.aspx?termid=17599")</f>
        <v>https://ceds.ed.gov/cedselementdetails.aspx?termid=17599</v>
      </c>
      <c r="Q1798" s="14" t="str">
        <f>HYPERLINK("https://ceds.ed.gov/elementComment.aspx?elementName=Latitude &amp;elementID=17599", "Click here to submit comment")</f>
        <v>Click here to submit comment</v>
      </c>
      <c r="R1798" s="14">
        <v>51262</v>
      </c>
    </row>
    <row r="1799" spans="1:18" ht="75" x14ac:dyDescent="0.25">
      <c r="A1799" s="14" t="s">
        <v>8732</v>
      </c>
      <c r="B1799" s="14" t="s">
        <v>8919</v>
      </c>
      <c r="C1799" s="14" t="s">
        <v>8547</v>
      </c>
      <c r="D1799" s="14" t="s">
        <v>8531</v>
      </c>
      <c r="E1799" s="14" t="s">
        <v>6174</v>
      </c>
      <c r="F1799" s="14" t="s">
        <v>6175</v>
      </c>
      <c r="G1799" s="14" t="s">
        <v>37</v>
      </c>
      <c r="H1799" s="14"/>
      <c r="I1799" s="14"/>
      <c r="J1799" s="14" t="s">
        <v>1307</v>
      </c>
      <c r="K1799" s="14"/>
      <c r="L1799" s="14"/>
      <c r="M1799" s="14" t="s">
        <v>6176</v>
      </c>
      <c r="N1799" s="14"/>
      <c r="O1799" s="14" t="s">
        <v>6174</v>
      </c>
      <c r="P1799" s="14" t="str">
        <f>HYPERLINK("https://ceds.ed.gov/cedselementdetails.aspx?termid=17600")</f>
        <v>https://ceds.ed.gov/cedselementdetails.aspx?termid=17600</v>
      </c>
      <c r="Q1799" s="14" t="str">
        <f>HYPERLINK("https://ceds.ed.gov/elementComment.aspx?elementName=Longitude &amp;elementID=17600", "Click here to submit comment")</f>
        <v>Click here to submit comment</v>
      </c>
      <c r="R1799" s="14">
        <v>51285</v>
      </c>
    </row>
    <row r="1800" spans="1:18" ht="195" x14ac:dyDescent="0.25">
      <c r="A1800" s="14" t="s">
        <v>8732</v>
      </c>
      <c r="B1800" s="14" t="s">
        <v>8919</v>
      </c>
      <c r="C1800" s="14" t="s">
        <v>8547</v>
      </c>
      <c r="D1800" s="14" t="s">
        <v>8541</v>
      </c>
      <c r="E1800" s="14" t="s">
        <v>2860</v>
      </c>
      <c r="F1800" s="14" t="s">
        <v>2861</v>
      </c>
      <c r="G1800" s="14" t="s">
        <v>37</v>
      </c>
      <c r="H1800" s="14"/>
      <c r="I1800" s="14" t="s">
        <v>195</v>
      </c>
      <c r="J1800" s="14" t="s">
        <v>2863</v>
      </c>
      <c r="K1800" s="14" t="s">
        <v>2864</v>
      </c>
      <c r="L1800" s="14"/>
      <c r="M1800" s="14" t="s">
        <v>2865</v>
      </c>
      <c r="N1800" s="14"/>
      <c r="O1800" s="14" t="s">
        <v>2866</v>
      </c>
      <c r="P1800" s="14" t="str">
        <f>HYPERLINK("https://ceds.ed.gov/cedselementdetails.aspx?termid=18176")</f>
        <v>https://ceds.ed.gov/cedselementdetails.aspx?termid=18176</v>
      </c>
      <c r="Q1800" s="14" t="str">
        <f>HYPERLINK("https://ceds.ed.gov/elementComment.aspx?elementName=County ANSI Code &amp;elementID=18176", "Click here to submit comment")</f>
        <v>Click here to submit comment</v>
      </c>
      <c r="R1800" s="14">
        <v>52318</v>
      </c>
    </row>
    <row r="1801" spans="1:18" ht="60" x14ac:dyDescent="0.25">
      <c r="A1801" s="14" t="s">
        <v>8732</v>
      </c>
      <c r="B1801" s="14" t="s">
        <v>8919</v>
      </c>
      <c r="C1801" s="14" t="s">
        <v>8547</v>
      </c>
      <c r="D1801" s="14" t="s">
        <v>8541</v>
      </c>
      <c r="E1801" s="14" t="s">
        <v>3651</v>
      </c>
      <c r="F1801" s="14" t="s">
        <v>3652</v>
      </c>
      <c r="G1801" s="14" t="s">
        <v>3430</v>
      </c>
      <c r="H1801" s="14"/>
      <c r="I1801" s="14" t="s">
        <v>188</v>
      </c>
      <c r="J1801" s="14"/>
      <c r="K1801" s="14" t="s">
        <v>1721</v>
      </c>
      <c r="L1801" s="14"/>
      <c r="M1801" s="14" t="s">
        <v>3654</v>
      </c>
      <c r="N1801" s="14"/>
      <c r="O1801" s="14" t="s">
        <v>3655</v>
      </c>
      <c r="P1801" s="14" t="str">
        <f>HYPERLINK("https://ceds.ed.gov/cedselementdetails.aspx?termid=18905")</f>
        <v>https://ceds.ed.gov/cedselementdetails.aspx?termid=18905</v>
      </c>
      <c r="Q1801" s="14" t="str">
        <f>HYPERLINK("https://ceds.ed.gov/elementComment.aspx?elementName=Do Not Publish Indicator &amp;elementID=18905", "Click here to submit comment")</f>
        <v>Click here to submit comment</v>
      </c>
      <c r="R1801" s="14">
        <v>52319</v>
      </c>
    </row>
    <row r="1802" spans="1:18" ht="90" x14ac:dyDescent="0.25">
      <c r="A1802" s="14" t="s">
        <v>8732</v>
      </c>
      <c r="B1802" s="14" t="s">
        <v>8919</v>
      </c>
      <c r="C1802" s="14" t="s">
        <v>8549</v>
      </c>
      <c r="D1802" s="14" t="s">
        <v>8531</v>
      </c>
      <c r="E1802" s="14" t="s">
        <v>8217</v>
      </c>
      <c r="F1802" s="14" t="s">
        <v>8218</v>
      </c>
      <c r="G1802" s="14" t="s">
        <v>37</v>
      </c>
      <c r="H1802" s="14" t="s">
        <v>72</v>
      </c>
      <c r="I1802" s="14"/>
      <c r="J1802" s="14" t="s">
        <v>8220</v>
      </c>
      <c r="K1802" s="14"/>
      <c r="L1802" s="14"/>
      <c r="M1802" s="14" t="s">
        <v>8221</v>
      </c>
      <c r="N1802" s="14"/>
      <c r="O1802" s="14" t="s">
        <v>8222</v>
      </c>
      <c r="P1802" s="14" t="str">
        <f>HYPERLINK("https://ceds.ed.gov/cedselementdetails.aspx?termid=17279")</f>
        <v>https://ceds.ed.gov/cedselementdetails.aspx?termid=17279</v>
      </c>
      <c r="Q1802" s="14" t="str">
        <f>HYPERLINK("https://ceds.ed.gov/elementComment.aspx?elementName=Telephone Number &amp;elementID=17279", "Click here to submit comment")</f>
        <v>Click here to submit comment</v>
      </c>
      <c r="R1802" s="14">
        <v>49014</v>
      </c>
    </row>
    <row r="1803" spans="1:18" ht="90" x14ac:dyDescent="0.25">
      <c r="A1803" s="14" t="s">
        <v>8732</v>
      </c>
      <c r="B1803" s="14" t="s">
        <v>8919</v>
      </c>
      <c r="C1803" s="14" t="s">
        <v>8549</v>
      </c>
      <c r="D1803" s="14" t="s">
        <v>8531</v>
      </c>
      <c r="E1803" s="14" t="s">
        <v>8229</v>
      </c>
      <c r="F1803" s="14" t="s">
        <v>8230</v>
      </c>
      <c r="G1803" s="8" t="s">
        <v>8550</v>
      </c>
      <c r="H1803" s="14" t="s">
        <v>72</v>
      </c>
      <c r="I1803" s="14"/>
      <c r="J1803" s="14" t="s">
        <v>2870</v>
      </c>
      <c r="K1803" s="14"/>
      <c r="L1803" s="14"/>
      <c r="M1803" s="14" t="s">
        <v>8233</v>
      </c>
      <c r="N1803" s="14"/>
      <c r="O1803" s="14" t="s">
        <v>8234</v>
      </c>
      <c r="P1803" s="14" t="str">
        <f>HYPERLINK("https://ceds.ed.gov/cedselementdetails.aspx?termid=17280")</f>
        <v>https://ceds.ed.gov/cedselementdetails.aspx?termid=17280</v>
      </c>
      <c r="Q1803" s="14" t="str">
        <f>HYPERLINK("https://ceds.ed.gov/elementComment.aspx?elementName=Telephone Number Type &amp;elementID=17280", "Click here to submit comment")</f>
        <v>Click here to submit comment</v>
      </c>
      <c r="R1803" s="14">
        <v>49012</v>
      </c>
    </row>
    <row r="1804" spans="1:18" ht="90" x14ac:dyDescent="0.25">
      <c r="A1804" s="14" t="s">
        <v>8732</v>
      </c>
      <c r="B1804" s="14" t="s">
        <v>8919</v>
      </c>
      <c r="C1804" s="14" t="s">
        <v>8549</v>
      </c>
      <c r="D1804" s="14" t="s">
        <v>8531</v>
      </c>
      <c r="E1804" s="14" t="s">
        <v>6865</v>
      </c>
      <c r="F1804" s="14" t="s">
        <v>6866</v>
      </c>
      <c r="G1804" s="14" t="s">
        <v>24</v>
      </c>
      <c r="H1804" s="14" t="s">
        <v>72</v>
      </c>
      <c r="I1804" s="14"/>
      <c r="J1804" s="14"/>
      <c r="K1804" s="14"/>
      <c r="L1804" s="14"/>
      <c r="M1804" s="14" t="s">
        <v>6868</v>
      </c>
      <c r="N1804" s="14"/>
      <c r="O1804" s="14" t="s">
        <v>6869</v>
      </c>
      <c r="P1804" s="14" t="str">
        <f>HYPERLINK("https://ceds.ed.gov/cedselementdetails.aspx?termid=17219")</f>
        <v>https://ceds.ed.gov/cedselementdetails.aspx?termid=17219</v>
      </c>
      <c r="Q1804" s="14" t="str">
        <f>HYPERLINK("https://ceds.ed.gov/elementComment.aspx?elementName=Primary Telephone Number Indicator &amp;elementID=17219", "Click here to submit comment")</f>
        <v>Click here to submit comment</v>
      </c>
      <c r="R1804" s="14">
        <v>49013</v>
      </c>
    </row>
    <row r="1805" spans="1:18" ht="60" x14ac:dyDescent="0.25">
      <c r="A1805" s="14" t="s">
        <v>8732</v>
      </c>
      <c r="B1805" s="14" t="s">
        <v>8919</v>
      </c>
      <c r="C1805" s="14" t="s">
        <v>8549</v>
      </c>
      <c r="D1805" s="14" t="s">
        <v>8541</v>
      </c>
      <c r="E1805" s="14" t="s">
        <v>3651</v>
      </c>
      <c r="F1805" s="14" t="s">
        <v>3652</v>
      </c>
      <c r="G1805" s="14" t="s">
        <v>3430</v>
      </c>
      <c r="H1805" s="14"/>
      <c r="I1805" s="14" t="s">
        <v>188</v>
      </c>
      <c r="J1805" s="14"/>
      <c r="K1805" s="14" t="s">
        <v>1721</v>
      </c>
      <c r="L1805" s="14"/>
      <c r="M1805" s="14" t="s">
        <v>3654</v>
      </c>
      <c r="N1805" s="14"/>
      <c r="O1805" s="14" t="s">
        <v>3655</v>
      </c>
      <c r="P1805" s="14" t="str">
        <f>HYPERLINK("https://ceds.ed.gov/cedselementdetails.aspx?termid=18905")</f>
        <v>https://ceds.ed.gov/cedselementdetails.aspx?termid=18905</v>
      </c>
      <c r="Q1805" s="14" t="str">
        <f>HYPERLINK("https://ceds.ed.gov/elementComment.aspx?elementName=Do Not Publish Indicator &amp;elementID=18905", "Click here to submit comment")</f>
        <v>Click here to submit comment</v>
      </c>
      <c r="R1805" s="14">
        <v>52321</v>
      </c>
    </row>
    <row r="1806" spans="1:18" ht="60" x14ac:dyDescent="0.25">
      <c r="A1806" s="14" t="s">
        <v>8732</v>
      </c>
      <c r="B1806" s="14" t="s">
        <v>8919</v>
      </c>
      <c r="C1806" s="14" t="s">
        <v>8549</v>
      </c>
      <c r="D1806" s="14" t="s">
        <v>8541</v>
      </c>
      <c r="E1806" s="14" t="s">
        <v>8223</v>
      </c>
      <c r="F1806" s="14" t="s">
        <v>8224</v>
      </c>
      <c r="G1806" s="8" t="s">
        <v>8544</v>
      </c>
      <c r="H1806" s="14"/>
      <c r="I1806" s="14" t="s">
        <v>188</v>
      </c>
      <c r="J1806" s="14"/>
      <c r="K1806" s="14" t="s">
        <v>1721</v>
      </c>
      <c r="L1806" s="14"/>
      <c r="M1806" s="14" t="s">
        <v>8227</v>
      </c>
      <c r="N1806" s="14"/>
      <c r="O1806" s="14" t="s">
        <v>8228</v>
      </c>
      <c r="P1806" s="14" t="str">
        <f>HYPERLINK("https://ceds.ed.gov/cedselementdetails.aspx?termid=18911")</f>
        <v>https://ceds.ed.gov/cedselementdetails.aspx?termid=18911</v>
      </c>
      <c r="Q1806" s="14" t="str">
        <f>HYPERLINK("https://ceds.ed.gov/elementComment.aspx?elementName=Telephone Number Listed Status &amp;elementID=18911", "Click here to submit comment")</f>
        <v>Click here to submit comment</v>
      </c>
      <c r="R1806" s="14">
        <v>52322</v>
      </c>
    </row>
    <row r="1807" spans="1:18" ht="90" x14ac:dyDescent="0.25">
      <c r="A1807" s="14" t="s">
        <v>8732</v>
      </c>
      <c r="B1807" s="14" t="s">
        <v>8919</v>
      </c>
      <c r="C1807" s="14" t="s">
        <v>8551</v>
      </c>
      <c r="D1807" s="14" t="s">
        <v>8531</v>
      </c>
      <c r="E1807" s="14" t="s">
        <v>3931</v>
      </c>
      <c r="F1807" s="14" t="s">
        <v>3932</v>
      </c>
      <c r="G1807" s="14" t="s">
        <v>37</v>
      </c>
      <c r="H1807" s="14" t="s">
        <v>72</v>
      </c>
      <c r="I1807" s="14"/>
      <c r="J1807" s="14" t="s">
        <v>3934</v>
      </c>
      <c r="K1807" s="14"/>
      <c r="L1807" s="14"/>
      <c r="M1807" s="14" t="s">
        <v>3935</v>
      </c>
      <c r="N1807" s="14" t="s">
        <v>3936</v>
      </c>
      <c r="O1807" s="14" t="s">
        <v>3937</v>
      </c>
      <c r="P1807" s="14" t="str">
        <f>HYPERLINK("https://ceds.ed.gov/cedselementdetails.aspx?termid=17088")</f>
        <v>https://ceds.ed.gov/cedselementdetails.aspx?termid=17088</v>
      </c>
      <c r="Q1807" s="14" t="str">
        <f>HYPERLINK("https://ceds.ed.gov/elementComment.aspx?elementName=Electronic Mail Address &amp;elementID=17088", "Click here to submit comment")</f>
        <v>Click here to submit comment</v>
      </c>
      <c r="R1807" s="14">
        <v>49016</v>
      </c>
    </row>
    <row r="1808" spans="1:18" ht="90" x14ac:dyDescent="0.25">
      <c r="A1808" s="14" t="s">
        <v>8732</v>
      </c>
      <c r="B1808" s="14" t="s">
        <v>8919</v>
      </c>
      <c r="C1808" s="14" t="s">
        <v>8551</v>
      </c>
      <c r="D1808" s="14" t="s">
        <v>8531</v>
      </c>
      <c r="E1808" s="14" t="s">
        <v>3938</v>
      </c>
      <c r="F1808" s="14" t="s">
        <v>3939</v>
      </c>
      <c r="G1808" s="8" t="s">
        <v>8552</v>
      </c>
      <c r="H1808" s="14" t="s">
        <v>72</v>
      </c>
      <c r="I1808" s="14"/>
      <c r="J1808" s="14"/>
      <c r="K1808" s="14"/>
      <c r="L1808" s="14"/>
      <c r="M1808" s="14" t="s">
        <v>3941</v>
      </c>
      <c r="N1808" s="14" t="s">
        <v>3942</v>
      </c>
      <c r="O1808" s="14" t="s">
        <v>3943</v>
      </c>
      <c r="P1808" s="14" t="str">
        <f>HYPERLINK("https://ceds.ed.gov/cedselementdetails.aspx?termid=17089")</f>
        <v>https://ceds.ed.gov/cedselementdetails.aspx?termid=17089</v>
      </c>
      <c r="Q1808" s="14" t="str">
        <f>HYPERLINK("https://ceds.ed.gov/elementComment.aspx?elementName=Electronic Mail Address Type &amp;elementID=17089", "Click here to submit comment")</f>
        <v>Click here to submit comment</v>
      </c>
      <c r="R1808" s="14">
        <v>49015</v>
      </c>
    </row>
    <row r="1809" spans="1:18" ht="60" x14ac:dyDescent="0.25">
      <c r="A1809" s="14" t="s">
        <v>8732</v>
      </c>
      <c r="B1809" s="14" t="s">
        <v>8919</v>
      </c>
      <c r="C1809" s="14" t="s">
        <v>8551</v>
      </c>
      <c r="D1809" s="14" t="s">
        <v>8541</v>
      </c>
      <c r="E1809" s="14" t="s">
        <v>3651</v>
      </c>
      <c r="F1809" s="14" t="s">
        <v>3652</v>
      </c>
      <c r="G1809" s="14" t="s">
        <v>3430</v>
      </c>
      <c r="H1809" s="14"/>
      <c r="I1809" s="14" t="s">
        <v>188</v>
      </c>
      <c r="J1809" s="14"/>
      <c r="K1809" s="14" t="s">
        <v>1721</v>
      </c>
      <c r="L1809" s="14"/>
      <c r="M1809" s="14" t="s">
        <v>3654</v>
      </c>
      <c r="N1809" s="14"/>
      <c r="O1809" s="14" t="s">
        <v>3655</v>
      </c>
      <c r="P1809" s="14" t="str">
        <f>HYPERLINK("https://ceds.ed.gov/cedselementdetails.aspx?termid=18905")</f>
        <v>https://ceds.ed.gov/cedselementdetails.aspx?termid=18905</v>
      </c>
      <c r="Q1809" s="14" t="str">
        <f>HYPERLINK("https://ceds.ed.gov/elementComment.aspx?elementName=Do Not Publish Indicator &amp;elementID=18905", "Click here to submit comment")</f>
        <v>Click here to submit comment</v>
      </c>
      <c r="R1809" s="14">
        <v>52320</v>
      </c>
    </row>
    <row r="1810" spans="1:18" ht="240" x14ac:dyDescent="0.25">
      <c r="A1810" s="14" t="s">
        <v>8732</v>
      </c>
      <c r="B1810" s="14" t="s">
        <v>8919</v>
      </c>
      <c r="C1810" s="14" t="s">
        <v>8603</v>
      </c>
      <c r="D1810" s="14" t="s">
        <v>8531</v>
      </c>
      <c r="E1810" s="14" t="s">
        <v>1741</v>
      </c>
      <c r="F1810" s="14" t="s">
        <v>1742</v>
      </c>
      <c r="G1810" s="14" t="s">
        <v>37</v>
      </c>
      <c r="H1810" s="14" t="s">
        <v>1745</v>
      </c>
      <c r="I1810" s="14"/>
      <c r="J1810" s="14" t="s">
        <v>135</v>
      </c>
      <c r="K1810" s="14"/>
      <c r="L1810" s="14"/>
      <c r="M1810" s="14" t="s">
        <v>1744</v>
      </c>
      <c r="N1810" s="14"/>
      <c r="O1810" s="14" t="s">
        <v>1741</v>
      </c>
      <c r="P1810" s="14" t="str">
        <f>HYPERLINK("https://ceds.ed.gov/cedselementdetails.aspx?termid=17033")</f>
        <v>https://ceds.ed.gov/cedselementdetails.aspx?termid=17033</v>
      </c>
      <c r="Q1810" s="14" t="str">
        <f>HYPERLINK("https://ceds.ed.gov/elementComment.aspx?elementName=Birthdate &amp;elementID=17033", "Click here to submit comment")</f>
        <v>Click here to submit comment</v>
      </c>
      <c r="R1810" s="14">
        <v>48074</v>
      </c>
    </row>
    <row r="1811" spans="1:18" ht="255" x14ac:dyDescent="0.25">
      <c r="A1811" s="14" t="s">
        <v>8732</v>
      </c>
      <c r="B1811" s="14" t="s">
        <v>8919</v>
      </c>
      <c r="C1811" s="14" t="s">
        <v>8603</v>
      </c>
      <c r="D1811" s="14" t="s">
        <v>8531</v>
      </c>
      <c r="E1811" s="14" t="s">
        <v>7756</v>
      </c>
      <c r="F1811" s="14" t="s">
        <v>7757</v>
      </c>
      <c r="G1811" s="8" t="s">
        <v>8604</v>
      </c>
      <c r="H1811" s="14" t="s">
        <v>7761</v>
      </c>
      <c r="I1811" s="14"/>
      <c r="J1811" s="14"/>
      <c r="K1811" s="14"/>
      <c r="L1811" s="14" t="s">
        <v>7759</v>
      </c>
      <c r="M1811" s="14" t="s">
        <v>7760</v>
      </c>
      <c r="N1811" s="14"/>
      <c r="O1811" s="14" t="s">
        <v>7756</v>
      </c>
      <c r="P1811" s="14" t="str">
        <f>HYPERLINK("https://ceds.ed.gov/cedselementdetails.aspx?termid=17255")</f>
        <v>https://ceds.ed.gov/cedselementdetails.aspx?termid=17255</v>
      </c>
      <c r="Q1811" s="14" t="str">
        <f>HYPERLINK("https://ceds.ed.gov/elementComment.aspx?elementName=Sex &amp;elementID=17255", "Click here to submit comment")</f>
        <v>Click here to submit comment</v>
      </c>
      <c r="R1811" s="14">
        <v>48111</v>
      </c>
    </row>
    <row r="1812" spans="1:18" ht="30" x14ac:dyDescent="0.25">
      <c r="A1812" s="16" t="s">
        <v>8732</v>
      </c>
      <c r="B1812" s="16" t="s">
        <v>8919</v>
      </c>
      <c r="C1812" s="16" t="s">
        <v>8603</v>
      </c>
      <c r="D1812" s="16" t="s">
        <v>8531</v>
      </c>
      <c r="E1812" s="16" t="s">
        <v>418</v>
      </c>
      <c r="F1812" s="16" t="s">
        <v>419</v>
      </c>
      <c r="G1812" s="18" t="s">
        <v>8605</v>
      </c>
      <c r="H1812" s="16" t="s">
        <v>426</v>
      </c>
      <c r="I1812" s="16"/>
      <c r="J1812" s="16"/>
      <c r="K1812" s="16"/>
      <c r="L1812" s="14" t="s">
        <v>422</v>
      </c>
      <c r="M1812" s="16" t="s">
        <v>423</v>
      </c>
      <c r="N1812" s="16" t="s">
        <v>424</v>
      </c>
      <c r="O1812" s="16" t="s">
        <v>425</v>
      </c>
      <c r="P1812" s="16" t="str">
        <f>HYPERLINK("https://ceds.ed.gov/cedselementdetails.aspx?termid=17655")</f>
        <v>https://ceds.ed.gov/cedselementdetails.aspx?termid=17655</v>
      </c>
      <c r="Q1812" s="16" t="str">
        <f>HYPERLINK("https://ceds.ed.gov/elementComment.aspx?elementName=American Indian or Alaska Native &amp;elementID=17655", "Click here to submit comment")</f>
        <v>Click here to submit comment</v>
      </c>
      <c r="R1812" s="16">
        <v>48143</v>
      </c>
    </row>
    <row r="1813" spans="1:18" x14ac:dyDescent="0.25">
      <c r="A1813" s="16"/>
      <c r="B1813" s="16"/>
      <c r="C1813" s="16"/>
      <c r="D1813" s="16"/>
      <c r="E1813" s="16"/>
      <c r="F1813" s="16"/>
      <c r="G1813" s="16"/>
      <c r="H1813" s="16"/>
      <c r="I1813" s="16"/>
      <c r="J1813" s="16"/>
      <c r="K1813" s="16"/>
      <c r="L1813" s="14"/>
      <c r="M1813" s="16"/>
      <c r="N1813" s="16"/>
      <c r="O1813" s="16"/>
      <c r="P1813" s="16"/>
      <c r="Q1813" s="16"/>
      <c r="R1813" s="16"/>
    </row>
    <row r="1814" spans="1:18" x14ac:dyDescent="0.25">
      <c r="A1814" s="16"/>
      <c r="B1814" s="16"/>
      <c r="C1814" s="16"/>
      <c r="D1814" s="16"/>
      <c r="E1814" s="16"/>
      <c r="F1814" s="16"/>
      <c r="G1814" s="16"/>
      <c r="H1814" s="16"/>
      <c r="I1814" s="16"/>
      <c r="J1814" s="16"/>
      <c r="K1814" s="16"/>
      <c r="L1814" s="14" t="s">
        <v>427</v>
      </c>
      <c r="M1814" s="16"/>
      <c r="N1814" s="16"/>
      <c r="O1814" s="16"/>
      <c r="P1814" s="16"/>
      <c r="Q1814" s="16"/>
      <c r="R1814" s="16"/>
    </row>
    <row r="1815" spans="1:18" ht="30" x14ac:dyDescent="0.25">
      <c r="A1815" s="16"/>
      <c r="B1815" s="16"/>
      <c r="C1815" s="16"/>
      <c r="D1815" s="16"/>
      <c r="E1815" s="16"/>
      <c r="F1815" s="16"/>
      <c r="G1815" s="16"/>
      <c r="H1815" s="16"/>
      <c r="I1815" s="16"/>
      <c r="J1815" s="16"/>
      <c r="K1815" s="16"/>
      <c r="L1815" s="14" t="s">
        <v>428</v>
      </c>
      <c r="M1815" s="16"/>
      <c r="N1815" s="16"/>
      <c r="O1815" s="16"/>
      <c r="P1815" s="16"/>
      <c r="Q1815" s="16"/>
      <c r="R1815" s="16"/>
    </row>
    <row r="1816" spans="1:18" x14ac:dyDescent="0.25">
      <c r="A1816" s="16"/>
      <c r="B1816" s="16"/>
      <c r="C1816" s="16"/>
      <c r="D1816" s="16"/>
      <c r="E1816" s="16"/>
      <c r="F1816" s="16"/>
      <c r="G1816" s="16"/>
      <c r="H1816" s="16"/>
      <c r="I1816" s="16"/>
      <c r="J1816" s="16"/>
      <c r="K1816" s="16"/>
      <c r="L1816" s="14" t="s">
        <v>429</v>
      </c>
      <c r="M1816" s="16"/>
      <c r="N1816" s="16"/>
      <c r="O1816" s="16"/>
      <c r="P1816" s="16"/>
      <c r="Q1816" s="16"/>
      <c r="R1816" s="16"/>
    </row>
    <row r="1817" spans="1:18" ht="30" x14ac:dyDescent="0.25">
      <c r="A1817" s="16" t="s">
        <v>8732</v>
      </c>
      <c r="B1817" s="16" t="s">
        <v>8919</v>
      </c>
      <c r="C1817" s="16" t="s">
        <v>8603</v>
      </c>
      <c r="D1817" s="16" t="s">
        <v>8531</v>
      </c>
      <c r="E1817" s="16" t="s">
        <v>468</v>
      </c>
      <c r="F1817" s="16" t="s">
        <v>469</v>
      </c>
      <c r="G1817" s="18" t="s">
        <v>8605</v>
      </c>
      <c r="H1817" s="16" t="s">
        <v>426</v>
      </c>
      <c r="I1817" s="16"/>
      <c r="J1817" s="16"/>
      <c r="K1817" s="16"/>
      <c r="L1817" s="14" t="s">
        <v>422</v>
      </c>
      <c r="M1817" s="16" t="s">
        <v>470</v>
      </c>
      <c r="N1817" s="16" t="s">
        <v>471</v>
      </c>
      <c r="O1817" s="16" t="s">
        <v>468</v>
      </c>
      <c r="P1817" s="16" t="str">
        <f>HYPERLINK("https://ceds.ed.gov/cedselementdetails.aspx?termid=17656")</f>
        <v>https://ceds.ed.gov/cedselementdetails.aspx?termid=17656</v>
      </c>
      <c r="Q1817" s="16" t="str">
        <f>HYPERLINK("https://ceds.ed.gov/elementComment.aspx?elementName=Asian &amp;elementID=17656", "Click here to submit comment")</f>
        <v>Click here to submit comment</v>
      </c>
      <c r="R1817" s="16">
        <v>48144</v>
      </c>
    </row>
    <row r="1818" spans="1:18" x14ac:dyDescent="0.25">
      <c r="A1818" s="16"/>
      <c r="B1818" s="16"/>
      <c r="C1818" s="16"/>
      <c r="D1818" s="16"/>
      <c r="E1818" s="16"/>
      <c r="F1818" s="16"/>
      <c r="G1818" s="16"/>
      <c r="H1818" s="16"/>
      <c r="I1818" s="16"/>
      <c r="J1818" s="16"/>
      <c r="K1818" s="16"/>
      <c r="L1818" s="14"/>
      <c r="M1818" s="16"/>
      <c r="N1818" s="16"/>
      <c r="O1818" s="16"/>
      <c r="P1818" s="16"/>
      <c r="Q1818" s="16"/>
      <c r="R1818" s="16"/>
    </row>
    <row r="1819" spans="1:18" x14ac:dyDescent="0.25">
      <c r="A1819" s="16"/>
      <c r="B1819" s="16"/>
      <c r="C1819" s="16"/>
      <c r="D1819" s="16"/>
      <c r="E1819" s="16"/>
      <c r="F1819" s="16"/>
      <c r="G1819" s="16"/>
      <c r="H1819" s="16"/>
      <c r="I1819" s="16"/>
      <c r="J1819" s="16"/>
      <c r="K1819" s="16"/>
      <c r="L1819" s="14" t="s">
        <v>427</v>
      </c>
      <c r="M1819" s="16"/>
      <c r="N1819" s="16"/>
      <c r="O1819" s="16"/>
      <c r="P1819" s="16"/>
      <c r="Q1819" s="16"/>
      <c r="R1819" s="16"/>
    </row>
    <row r="1820" spans="1:18" ht="30" x14ac:dyDescent="0.25">
      <c r="A1820" s="16"/>
      <c r="B1820" s="16"/>
      <c r="C1820" s="16"/>
      <c r="D1820" s="16"/>
      <c r="E1820" s="16"/>
      <c r="F1820" s="16"/>
      <c r="G1820" s="16"/>
      <c r="H1820" s="16"/>
      <c r="I1820" s="16"/>
      <c r="J1820" s="16"/>
      <c r="K1820" s="16"/>
      <c r="L1820" s="14" t="s">
        <v>428</v>
      </c>
      <c r="M1820" s="16"/>
      <c r="N1820" s="16"/>
      <c r="O1820" s="16"/>
      <c r="P1820" s="16"/>
      <c r="Q1820" s="16"/>
      <c r="R1820" s="16"/>
    </row>
    <row r="1821" spans="1:18" x14ac:dyDescent="0.25">
      <c r="A1821" s="16"/>
      <c r="B1821" s="16"/>
      <c r="C1821" s="16"/>
      <c r="D1821" s="16"/>
      <c r="E1821" s="16"/>
      <c r="F1821" s="16"/>
      <c r="G1821" s="16"/>
      <c r="H1821" s="16"/>
      <c r="I1821" s="16"/>
      <c r="J1821" s="16"/>
      <c r="K1821" s="16"/>
      <c r="L1821" s="14" t="s">
        <v>429</v>
      </c>
      <c r="M1821" s="16"/>
      <c r="N1821" s="16"/>
      <c r="O1821" s="16"/>
      <c r="P1821" s="16"/>
      <c r="Q1821" s="16"/>
      <c r="R1821" s="16"/>
    </row>
    <row r="1822" spans="1:18" ht="30" x14ac:dyDescent="0.25">
      <c r="A1822" s="16" t="s">
        <v>8732</v>
      </c>
      <c r="B1822" s="16" t="s">
        <v>8919</v>
      </c>
      <c r="C1822" s="16" t="s">
        <v>8603</v>
      </c>
      <c r="D1822" s="16" t="s">
        <v>8531</v>
      </c>
      <c r="E1822" s="16" t="s">
        <v>1752</v>
      </c>
      <c r="F1822" s="16" t="s">
        <v>1753</v>
      </c>
      <c r="G1822" s="18" t="s">
        <v>8605</v>
      </c>
      <c r="H1822" s="16" t="s">
        <v>426</v>
      </c>
      <c r="I1822" s="16"/>
      <c r="J1822" s="16"/>
      <c r="K1822" s="16"/>
      <c r="L1822" s="14" t="s">
        <v>422</v>
      </c>
      <c r="M1822" s="16" t="s">
        <v>1754</v>
      </c>
      <c r="N1822" s="16" t="s">
        <v>1755</v>
      </c>
      <c r="O1822" s="16" t="s">
        <v>1756</v>
      </c>
      <c r="P1822" s="16" t="str">
        <f>HYPERLINK("https://ceds.ed.gov/cedselementdetails.aspx?termid=17657")</f>
        <v>https://ceds.ed.gov/cedselementdetails.aspx?termid=17657</v>
      </c>
      <c r="Q1822" s="16" t="str">
        <f>HYPERLINK("https://ceds.ed.gov/elementComment.aspx?elementName=Black or African American &amp;elementID=17657", "Click here to submit comment")</f>
        <v>Click here to submit comment</v>
      </c>
      <c r="R1822" s="16">
        <v>48145</v>
      </c>
    </row>
    <row r="1823" spans="1:18" x14ac:dyDescent="0.25">
      <c r="A1823" s="16"/>
      <c r="B1823" s="16"/>
      <c r="C1823" s="16"/>
      <c r="D1823" s="16"/>
      <c r="E1823" s="16"/>
      <c r="F1823" s="16"/>
      <c r="G1823" s="16"/>
      <c r="H1823" s="16"/>
      <c r="I1823" s="16"/>
      <c r="J1823" s="16"/>
      <c r="K1823" s="16"/>
      <c r="L1823" s="14"/>
      <c r="M1823" s="16"/>
      <c r="N1823" s="16"/>
      <c r="O1823" s="16"/>
      <c r="P1823" s="16"/>
      <c r="Q1823" s="16"/>
      <c r="R1823" s="16"/>
    </row>
    <row r="1824" spans="1:18" x14ac:dyDescent="0.25">
      <c r="A1824" s="16"/>
      <c r="B1824" s="16"/>
      <c r="C1824" s="16"/>
      <c r="D1824" s="16"/>
      <c r="E1824" s="16"/>
      <c r="F1824" s="16"/>
      <c r="G1824" s="16"/>
      <c r="H1824" s="16"/>
      <c r="I1824" s="16"/>
      <c r="J1824" s="16"/>
      <c r="K1824" s="16"/>
      <c r="L1824" s="14" t="s">
        <v>427</v>
      </c>
      <c r="M1824" s="16"/>
      <c r="N1824" s="16"/>
      <c r="O1824" s="16"/>
      <c r="P1824" s="16"/>
      <c r="Q1824" s="16"/>
      <c r="R1824" s="16"/>
    </row>
    <row r="1825" spans="1:18" ht="30" x14ac:dyDescent="0.25">
      <c r="A1825" s="16"/>
      <c r="B1825" s="16"/>
      <c r="C1825" s="16"/>
      <c r="D1825" s="16"/>
      <c r="E1825" s="16"/>
      <c r="F1825" s="16"/>
      <c r="G1825" s="16"/>
      <c r="H1825" s="16"/>
      <c r="I1825" s="16"/>
      <c r="J1825" s="16"/>
      <c r="K1825" s="16"/>
      <c r="L1825" s="14" t="s">
        <v>428</v>
      </c>
      <c r="M1825" s="16"/>
      <c r="N1825" s="16"/>
      <c r="O1825" s="16"/>
      <c r="P1825" s="16"/>
      <c r="Q1825" s="16"/>
      <c r="R1825" s="16"/>
    </row>
    <row r="1826" spans="1:18" x14ac:dyDescent="0.25">
      <c r="A1826" s="16"/>
      <c r="B1826" s="16"/>
      <c r="C1826" s="16"/>
      <c r="D1826" s="16"/>
      <c r="E1826" s="16"/>
      <c r="F1826" s="16"/>
      <c r="G1826" s="16"/>
      <c r="H1826" s="16"/>
      <c r="I1826" s="16"/>
      <c r="J1826" s="16"/>
      <c r="K1826" s="16"/>
      <c r="L1826" s="14" t="s">
        <v>429</v>
      </c>
      <c r="M1826" s="16"/>
      <c r="N1826" s="16"/>
      <c r="O1826" s="16"/>
      <c r="P1826" s="16"/>
      <c r="Q1826" s="16"/>
      <c r="R1826" s="16"/>
    </row>
    <row r="1827" spans="1:18" ht="30" x14ac:dyDescent="0.25">
      <c r="A1827" s="16" t="s">
        <v>8732</v>
      </c>
      <c r="B1827" s="16" t="s">
        <v>8919</v>
      </c>
      <c r="C1827" s="16" t="s">
        <v>8603</v>
      </c>
      <c r="D1827" s="16" t="s">
        <v>8531</v>
      </c>
      <c r="E1827" s="16" t="s">
        <v>6378</v>
      </c>
      <c r="F1827" s="16" t="s">
        <v>6379</v>
      </c>
      <c r="G1827" s="18" t="s">
        <v>8605</v>
      </c>
      <c r="H1827" s="16" t="s">
        <v>426</v>
      </c>
      <c r="I1827" s="16"/>
      <c r="J1827" s="16"/>
      <c r="K1827" s="16"/>
      <c r="L1827" s="14" t="s">
        <v>422</v>
      </c>
      <c r="M1827" s="16" t="s">
        <v>6380</v>
      </c>
      <c r="N1827" s="16" t="s">
        <v>6381</v>
      </c>
      <c r="O1827" s="16" t="s">
        <v>6382</v>
      </c>
      <c r="P1827" s="16" t="str">
        <f>HYPERLINK("https://ceds.ed.gov/cedselementdetails.aspx?termid=17658")</f>
        <v>https://ceds.ed.gov/cedselementdetails.aspx?termid=17658</v>
      </c>
      <c r="Q1827" s="16" t="str">
        <f>HYPERLINK("https://ceds.ed.gov/elementComment.aspx?elementName=Native Hawaiian or Other Pacific Islander &amp;elementID=17658", "Click here to submit comment")</f>
        <v>Click here to submit comment</v>
      </c>
      <c r="R1827" s="16">
        <v>48146</v>
      </c>
    </row>
    <row r="1828" spans="1:18" x14ac:dyDescent="0.25">
      <c r="A1828" s="16"/>
      <c r="B1828" s="16"/>
      <c r="C1828" s="16"/>
      <c r="D1828" s="16"/>
      <c r="E1828" s="16"/>
      <c r="F1828" s="16"/>
      <c r="G1828" s="16"/>
      <c r="H1828" s="16"/>
      <c r="I1828" s="16"/>
      <c r="J1828" s="16"/>
      <c r="K1828" s="16"/>
      <c r="L1828" s="14"/>
      <c r="M1828" s="16"/>
      <c r="N1828" s="16"/>
      <c r="O1828" s="16"/>
      <c r="P1828" s="16"/>
      <c r="Q1828" s="16"/>
      <c r="R1828" s="16"/>
    </row>
    <row r="1829" spans="1:18" x14ac:dyDescent="0.25">
      <c r="A1829" s="16"/>
      <c r="B1829" s="16"/>
      <c r="C1829" s="16"/>
      <c r="D1829" s="16"/>
      <c r="E1829" s="16"/>
      <c r="F1829" s="16"/>
      <c r="G1829" s="16"/>
      <c r="H1829" s="16"/>
      <c r="I1829" s="16"/>
      <c r="J1829" s="16"/>
      <c r="K1829" s="16"/>
      <c r="L1829" s="14" t="s">
        <v>427</v>
      </c>
      <c r="M1829" s="16"/>
      <c r="N1829" s="16"/>
      <c r="O1829" s="16"/>
      <c r="P1829" s="16"/>
      <c r="Q1829" s="16"/>
      <c r="R1829" s="16"/>
    </row>
    <row r="1830" spans="1:18" ht="30" x14ac:dyDescent="0.25">
      <c r="A1830" s="16"/>
      <c r="B1830" s="16"/>
      <c r="C1830" s="16"/>
      <c r="D1830" s="16"/>
      <c r="E1830" s="16"/>
      <c r="F1830" s="16"/>
      <c r="G1830" s="16"/>
      <c r="H1830" s="16"/>
      <c r="I1830" s="16"/>
      <c r="J1830" s="16"/>
      <c r="K1830" s="16"/>
      <c r="L1830" s="14" t="s">
        <v>428</v>
      </c>
      <c r="M1830" s="16"/>
      <c r="N1830" s="16"/>
      <c r="O1830" s="16"/>
      <c r="P1830" s="16"/>
      <c r="Q1830" s="16"/>
      <c r="R1830" s="16"/>
    </row>
    <row r="1831" spans="1:18" x14ac:dyDescent="0.25">
      <c r="A1831" s="16"/>
      <c r="B1831" s="16"/>
      <c r="C1831" s="16"/>
      <c r="D1831" s="16"/>
      <c r="E1831" s="16"/>
      <c r="F1831" s="16"/>
      <c r="G1831" s="16"/>
      <c r="H1831" s="16"/>
      <c r="I1831" s="16"/>
      <c r="J1831" s="16"/>
      <c r="K1831" s="16"/>
      <c r="L1831" s="14" t="s">
        <v>429</v>
      </c>
      <c r="M1831" s="16"/>
      <c r="N1831" s="16"/>
      <c r="O1831" s="16"/>
      <c r="P1831" s="16"/>
      <c r="Q1831" s="16"/>
      <c r="R1831" s="16"/>
    </row>
    <row r="1832" spans="1:18" ht="30" x14ac:dyDescent="0.25">
      <c r="A1832" s="16" t="s">
        <v>8732</v>
      </c>
      <c r="B1832" s="16" t="s">
        <v>8919</v>
      </c>
      <c r="C1832" s="16" t="s">
        <v>8603</v>
      </c>
      <c r="D1832" s="16" t="s">
        <v>8531</v>
      </c>
      <c r="E1832" s="16" t="s">
        <v>8488</v>
      </c>
      <c r="F1832" s="16" t="s">
        <v>8489</v>
      </c>
      <c r="G1832" s="18" t="s">
        <v>8605</v>
      </c>
      <c r="H1832" s="16" t="s">
        <v>426</v>
      </c>
      <c r="I1832" s="16"/>
      <c r="J1832" s="16"/>
      <c r="K1832" s="16"/>
      <c r="L1832" s="14" t="s">
        <v>422</v>
      </c>
      <c r="M1832" s="16" t="s">
        <v>8490</v>
      </c>
      <c r="N1832" s="16" t="s">
        <v>8491</v>
      </c>
      <c r="O1832" s="16" t="s">
        <v>8488</v>
      </c>
      <c r="P1832" s="16" t="str">
        <f>HYPERLINK("https://ceds.ed.gov/cedselementdetails.aspx?termid=17659")</f>
        <v>https://ceds.ed.gov/cedselementdetails.aspx?termid=17659</v>
      </c>
      <c r="Q1832" s="16" t="str">
        <f>HYPERLINK("https://ceds.ed.gov/elementComment.aspx?elementName=White &amp;elementID=17659", "Click here to submit comment")</f>
        <v>Click here to submit comment</v>
      </c>
      <c r="R1832" s="16">
        <v>48147</v>
      </c>
    </row>
    <row r="1833" spans="1:18" x14ac:dyDescent="0.25">
      <c r="A1833" s="16"/>
      <c r="B1833" s="16"/>
      <c r="C1833" s="16"/>
      <c r="D1833" s="16"/>
      <c r="E1833" s="16"/>
      <c r="F1833" s="16"/>
      <c r="G1833" s="16"/>
      <c r="H1833" s="16"/>
      <c r="I1833" s="16"/>
      <c r="J1833" s="16"/>
      <c r="K1833" s="16"/>
      <c r="L1833" s="14"/>
      <c r="M1833" s="16"/>
      <c r="N1833" s="16"/>
      <c r="O1833" s="16"/>
      <c r="P1833" s="16"/>
      <c r="Q1833" s="16"/>
      <c r="R1833" s="16"/>
    </row>
    <row r="1834" spans="1:18" x14ac:dyDescent="0.25">
      <c r="A1834" s="16"/>
      <c r="B1834" s="16"/>
      <c r="C1834" s="16"/>
      <c r="D1834" s="16"/>
      <c r="E1834" s="16"/>
      <c r="F1834" s="16"/>
      <c r="G1834" s="16"/>
      <c r="H1834" s="16"/>
      <c r="I1834" s="16"/>
      <c r="J1834" s="16"/>
      <c r="K1834" s="16"/>
      <c r="L1834" s="14" t="s">
        <v>427</v>
      </c>
      <c r="M1834" s="16"/>
      <c r="N1834" s="16"/>
      <c r="O1834" s="16"/>
      <c r="P1834" s="16"/>
      <c r="Q1834" s="16"/>
      <c r="R1834" s="16"/>
    </row>
    <row r="1835" spans="1:18" ht="30" x14ac:dyDescent="0.25">
      <c r="A1835" s="16"/>
      <c r="B1835" s="16"/>
      <c r="C1835" s="16"/>
      <c r="D1835" s="16"/>
      <c r="E1835" s="16"/>
      <c r="F1835" s="16"/>
      <c r="G1835" s="16"/>
      <c r="H1835" s="16"/>
      <c r="I1835" s="16"/>
      <c r="J1835" s="16"/>
      <c r="K1835" s="16"/>
      <c r="L1835" s="14" t="s">
        <v>428</v>
      </c>
      <c r="M1835" s="16"/>
      <c r="N1835" s="16"/>
      <c r="O1835" s="16"/>
      <c r="P1835" s="16"/>
      <c r="Q1835" s="16"/>
      <c r="R1835" s="16"/>
    </row>
    <row r="1836" spans="1:18" x14ac:dyDescent="0.25">
      <c r="A1836" s="16"/>
      <c r="B1836" s="16"/>
      <c r="C1836" s="16"/>
      <c r="D1836" s="16"/>
      <c r="E1836" s="16"/>
      <c r="F1836" s="16"/>
      <c r="G1836" s="16"/>
      <c r="H1836" s="16"/>
      <c r="I1836" s="16"/>
      <c r="J1836" s="16"/>
      <c r="K1836" s="16"/>
      <c r="L1836" s="14" t="s">
        <v>429</v>
      </c>
      <c r="M1836" s="16"/>
      <c r="N1836" s="16"/>
      <c r="O1836" s="16"/>
      <c r="P1836" s="16"/>
      <c r="Q1836" s="16"/>
      <c r="R1836" s="16"/>
    </row>
    <row r="1837" spans="1:18" ht="30" x14ac:dyDescent="0.25">
      <c r="A1837" s="16" t="s">
        <v>8732</v>
      </c>
      <c r="B1837" s="16" t="s">
        <v>8919</v>
      </c>
      <c r="C1837" s="16" t="s">
        <v>8603</v>
      </c>
      <c r="D1837" s="16" t="s">
        <v>8531</v>
      </c>
      <c r="E1837" s="16" t="s">
        <v>5008</v>
      </c>
      <c r="F1837" s="16" t="s">
        <v>5009</v>
      </c>
      <c r="G1837" s="18" t="s">
        <v>8605</v>
      </c>
      <c r="H1837" s="16" t="s">
        <v>426</v>
      </c>
      <c r="I1837" s="16"/>
      <c r="J1837" s="16"/>
      <c r="K1837" s="16"/>
      <c r="L1837" s="14" t="s">
        <v>422</v>
      </c>
      <c r="M1837" s="16" t="s">
        <v>5010</v>
      </c>
      <c r="N1837" s="16"/>
      <c r="O1837" s="16" t="s">
        <v>5011</v>
      </c>
      <c r="P1837" s="16" t="str">
        <f>HYPERLINK("https://ceds.ed.gov/cedselementdetails.aspx?termid=17144")</f>
        <v>https://ceds.ed.gov/cedselementdetails.aspx?termid=17144</v>
      </c>
      <c r="Q1837" s="16" t="str">
        <f>HYPERLINK("https://ceds.ed.gov/elementComment.aspx?elementName=Hispanic or Latino Ethnicity &amp;elementID=17144", "Click here to submit comment")</f>
        <v>Click here to submit comment</v>
      </c>
      <c r="R1837" s="16">
        <v>48092</v>
      </c>
    </row>
    <row r="1838" spans="1:18" x14ac:dyDescent="0.25">
      <c r="A1838" s="16"/>
      <c r="B1838" s="16"/>
      <c r="C1838" s="16"/>
      <c r="D1838" s="16"/>
      <c r="E1838" s="16"/>
      <c r="F1838" s="16"/>
      <c r="G1838" s="16"/>
      <c r="H1838" s="16"/>
      <c r="I1838" s="16"/>
      <c r="J1838" s="16"/>
      <c r="K1838" s="16"/>
      <c r="L1838" s="14"/>
      <c r="M1838" s="16"/>
      <c r="N1838" s="16"/>
      <c r="O1838" s="16"/>
      <c r="P1838" s="16"/>
      <c r="Q1838" s="16"/>
      <c r="R1838" s="16"/>
    </row>
    <row r="1839" spans="1:18" x14ac:dyDescent="0.25">
      <c r="A1839" s="16"/>
      <c r="B1839" s="16"/>
      <c r="C1839" s="16"/>
      <c r="D1839" s="16"/>
      <c r="E1839" s="16"/>
      <c r="F1839" s="16"/>
      <c r="G1839" s="16"/>
      <c r="H1839" s="16"/>
      <c r="I1839" s="16"/>
      <c r="J1839" s="16"/>
      <c r="K1839" s="16"/>
      <c r="L1839" s="14" t="s">
        <v>427</v>
      </c>
      <c r="M1839" s="16"/>
      <c r="N1839" s="16"/>
      <c r="O1839" s="16"/>
      <c r="P1839" s="16"/>
      <c r="Q1839" s="16"/>
      <c r="R1839" s="16"/>
    </row>
    <row r="1840" spans="1:18" ht="30" x14ac:dyDescent="0.25">
      <c r="A1840" s="16"/>
      <c r="B1840" s="16"/>
      <c r="C1840" s="16"/>
      <c r="D1840" s="16"/>
      <c r="E1840" s="16"/>
      <c r="F1840" s="16"/>
      <c r="G1840" s="16"/>
      <c r="H1840" s="16"/>
      <c r="I1840" s="16"/>
      <c r="J1840" s="16"/>
      <c r="K1840" s="16"/>
      <c r="L1840" s="14" t="s">
        <v>428</v>
      </c>
      <c r="M1840" s="16"/>
      <c r="N1840" s="16"/>
      <c r="O1840" s="16"/>
      <c r="P1840" s="16"/>
      <c r="Q1840" s="16"/>
      <c r="R1840" s="16"/>
    </row>
    <row r="1841" spans="1:18" x14ac:dyDescent="0.25">
      <c r="A1841" s="16"/>
      <c r="B1841" s="16"/>
      <c r="C1841" s="16"/>
      <c r="D1841" s="16"/>
      <c r="E1841" s="16"/>
      <c r="F1841" s="16"/>
      <c r="G1841" s="16"/>
      <c r="H1841" s="16"/>
      <c r="I1841" s="16"/>
      <c r="J1841" s="16"/>
      <c r="K1841" s="16"/>
      <c r="L1841" s="14" t="s">
        <v>429</v>
      </c>
      <c r="M1841" s="16"/>
      <c r="N1841" s="16"/>
      <c r="O1841" s="16"/>
      <c r="P1841" s="16"/>
      <c r="Q1841" s="16"/>
      <c r="R1841" s="16"/>
    </row>
    <row r="1842" spans="1:18" ht="75" x14ac:dyDescent="0.25">
      <c r="A1842" s="14" t="s">
        <v>8732</v>
      </c>
      <c r="B1842" s="14" t="s">
        <v>8919</v>
      </c>
      <c r="C1842" s="14" t="s">
        <v>8603</v>
      </c>
      <c r="D1842" s="14" t="s">
        <v>8531</v>
      </c>
      <c r="E1842" s="14" t="s">
        <v>3488</v>
      </c>
      <c r="F1842" s="14" t="s">
        <v>3489</v>
      </c>
      <c r="G1842" s="14" t="s">
        <v>24</v>
      </c>
      <c r="H1842" s="14"/>
      <c r="I1842" s="14"/>
      <c r="J1842" s="14"/>
      <c r="K1842" s="14"/>
      <c r="L1842" s="14" t="s">
        <v>3490</v>
      </c>
      <c r="M1842" s="14" t="s">
        <v>3491</v>
      </c>
      <c r="N1842" s="14"/>
      <c r="O1842" s="14" t="s">
        <v>3492</v>
      </c>
      <c r="P1842" s="14" t="str">
        <f>HYPERLINK("https://ceds.ed.gov/cedselementdetails.aspx?termid=17974")</f>
        <v>https://ceds.ed.gov/cedselementdetails.aspx?termid=17974</v>
      </c>
      <c r="Q1842" s="14" t="str">
        <f>HYPERLINK("https://ceds.ed.gov/elementComment.aspx?elementName=Demographic Race Two or More Races &amp;elementID=17974", "Click here to submit comment")</f>
        <v>Click here to submit comment</v>
      </c>
      <c r="R1842" s="14">
        <v>52170</v>
      </c>
    </row>
    <row r="1843" spans="1:18" ht="409.5" x14ac:dyDescent="0.25">
      <c r="A1843" s="14" t="s">
        <v>8732</v>
      </c>
      <c r="B1843" s="14" t="s">
        <v>8919</v>
      </c>
      <c r="C1843" s="14" t="s">
        <v>8603</v>
      </c>
      <c r="D1843" s="14" t="s">
        <v>8541</v>
      </c>
      <c r="E1843" s="14" t="s">
        <v>2853</v>
      </c>
      <c r="F1843" s="14" t="s">
        <v>2854</v>
      </c>
      <c r="G1843" s="8" t="s">
        <v>8548</v>
      </c>
      <c r="H1843" s="14" t="s">
        <v>2859</v>
      </c>
      <c r="I1843" s="14" t="s">
        <v>195</v>
      </c>
      <c r="J1843" s="14"/>
      <c r="K1843" s="14" t="s">
        <v>2856</v>
      </c>
      <c r="L1843" s="6" t="s">
        <v>2849</v>
      </c>
      <c r="M1843" s="14" t="s">
        <v>2857</v>
      </c>
      <c r="N1843" s="14"/>
      <c r="O1843" s="14" t="s">
        <v>2858</v>
      </c>
      <c r="P1843" s="14" t="str">
        <f>HYPERLINK("https://ceds.ed.gov/cedselementdetails.aspx?termid=17051")</f>
        <v>https://ceds.ed.gov/cedselementdetails.aspx?termid=17051</v>
      </c>
      <c r="Q1843" s="14" t="str">
        <f>HYPERLINK("https://ceds.ed.gov/elementComment.aspx?elementName=Country of Birth Code &amp;elementID=17051", "Click here to submit comment")</f>
        <v>Click here to submit comment</v>
      </c>
      <c r="R1843" s="14">
        <v>52323</v>
      </c>
    </row>
    <row r="1844" spans="1:18" ht="105" x14ac:dyDescent="0.25">
      <c r="A1844" s="14" t="s">
        <v>8732</v>
      </c>
      <c r="B1844" s="14" t="s">
        <v>8919</v>
      </c>
      <c r="C1844" s="14" t="s">
        <v>8603</v>
      </c>
      <c r="D1844" s="14" t="s">
        <v>8541</v>
      </c>
      <c r="E1844" s="14" t="s">
        <v>6304</v>
      </c>
      <c r="F1844" s="14" t="s">
        <v>6305</v>
      </c>
      <c r="G1844" s="8" t="s">
        <v>8677</v>
      </c>
      <c r="H1844" s="14"/>
      <c r="I1844" s="14" t="s">
        <v>195</v>
      </c>
      <c r="J1844" s="14"/>
      <c r="K1844" s="14" t="s">
        <v>6308</v>
      </c>
      <c r="L1844" s="14"/>
      <c r="M1844" s="14" t="s">
        <v>6309</v>
      </c>
      <c r="N1844" s="14"/>
      <c r="O1844" s="14" t="s">
        <v>6310</v>
      </c>
      <c r="P1844" s="14" t="str">
        <f>HYPERLINK("https://ceds.ed.gov/cedselementdetails.aspx?termid=18621")</f>
        <v>https://ceds.ed.gov/cedselementdetails.aspx?termid=18621</v>
      </c>
      <c r="Q1844" s="14" t="str">
        <f>HYPERLINK("https://ceds.ed.gov/elementComment.aspx?elementName=Military Branch &amp;elementID=18621", "Click here to submit comment")</f>
        <v>Click here to submit comment</v>
      </c>
      <c r="R1844" s="14">
        <v>52324</v>
      </c>
    </row>
    <row r="1845" spans="1:18" ht="105" x14ac:dyDescent="0.25">
      <c r="A1845" s="14" t="s">
        <v>8732</v>
      </c>
      <c r="B1845" s="14" t="s">
        <v>8919</v>
      </c>
      <c r="C1845" s="14" t="s">
        <v>8603</v>
      </c>
      <c r="D1845" s="14" t="s">
        <v>8541</v>
      </c>
      <c r="E1845" s="14" t="s">
        <v>8363</v>
      </c>
      <c r="F1845" s="14" t="s">
        <v>8364</v>
      </c>
      <c r="G1845" s="14" t="s">
        <v>8527</v>
      </c>
      <c r="H1845" s="14"/>
      <c r="I1845" s="14" t="s">
        <v>195</v>
      </c>
      <c r="J1845" s="14"/>
      <c r="K1845" s="14" t="s">
        <v>8366</v>
      </c>
      <c r="L1845" s="14"/>
      <c r="M1845" s="14" t="s">
        <v>8367</v>
      </c>
      <c r="N1845" s="14"/>
      <c r="O1845" s="14" t="s">
        <v>8368</v>
      </c>
      <c r="P1845" s="14" t="str">
        <f>HYPERLINK("https://ceds.ed.gov/cedselementdetails.aspx?termid=18638")</f>
        <v>https://ceds.ed.gov/cedselementdetails.aspx?termid=18638</v>
      </c>
      <c r="Q1845" s="14" t="str">
        <f>HYPERLINK("https://ceds.ed.gov/elementComment.aspx?elementName=Tribal Affiliation &amp;elementID=18638", "Click here to submit comment")</f>
        <v>Click here to submit comment</v>
      </c>
      <c r="R1845" s="14">
        <v>52325</v>
      </c>
    </row>
    <row r="1846" spans="1:18" ht="105" x14ac:dyDescent="0.25">
      <c r="A1846" s="16" t="s">
        <v>8732</v>
      </c>
      <c r="B1846" s="16" t="s">
        <v>8919</v>
      </c>
      <c r="C1846" s="16" t="s">
        <v>8920</v>
      </c>
      <c r="D1846" s="16" t="s">
        <v>8531</v>
      </c>
      <c r="E1846" s="16" t="s">
        <v>6138</v>
      </c>
      <c r="F1846" s="16" t="s">
        <v>6139</v>
      </c>
      <c r="G1846" s="16" t="s">
        <v>37</v>
      </c>
      <c r="H1846" s="16" t="s">
        <v>6137</v>
      </c>
      <c r="I1846" s="16"/>
      <c r="J1846" s="16" t="s">
        <v>149</v>
      </c>
      <c r="K1846" s="16"/>
      <c r="L1846" s="14" t="s">
        <v>150</v>
      </c>
      <c r="M1846" s="16" t="s">
        <v>6140</v>
      </c>
      <c r="N1846" s="16" t="s">
        <v>6141</v>
      </c>
      <c r="O1846" s="16" t="s">
        <v>6142</v>
      </c>
      <c r="P1846" s="16" t="str">
        <f>HYPERLINK("https://ceds.ed.gov/cedselementdetails.aspx?termid=17153")</f>
        <v>https://ceds.ed.gov/cedselementdetails.aspx?termid=17153</v>
      </c>
      <c r="Q1846" s="16" t="str">
        <f>HYPERLINK("https://ceds.ed.gov/elementComment.aspx?elementName=Local Education Agency Identifier &amp;elementID=17153", "Click here to submit comment")</f>
        <v>Click here to submit comment</v>
      </c>
      <c r="R1846" s="16">
        <v>48093</v>
      </c>
    </row>
    <row r="1847" spans="1:18" x14ac:dyDescent="0.25">
      <c r="A1847" s="16"/>
      <c r="B1847" s="16"/>
      <c r="C1847" s="16"/>
      <c r="D1847" s="16"/>
      <c r="E1847" s="16"/>
      <c r="F1847" s="16"/>
      <c r="G1847" s="16"/>
      <c r="H1847" s="16"/>
      <c r="I1847" s="16"/>
      <c r="J1847" s="16"/>
      <c r="K1847" s="16"/>
      <c r="L1847" s="14"/>
      <c r="M1847" s="16"/>
      <c r="N1847" s="16"/>
      <c r="O1847" s="16"/>
      <c r="P1847" s="16"/>
      <c r="Q1847" s="16"/>
      <c r="R1847" s="16"/>
    </row>
    <row r="1848" spans="1:18" ht="90" x14ac:dyDescent="0.25">
      <c r="A1848" s="16"/>
      <c r="B1848" s="16"/>
      <c r="C1848" s="16"/>
      <c r="D1848" s="16"/>
      <c r="E1848" s="16"/>
      <c r="F1848" s="16"/>
      <c r="G1848" s="16"/>
      <c r="H1848" s="16"/>
      <c r="I1848" s="16"/>
      <c r="J1848" s="16"/>
      <c r="K1848" s="16"/>
      <c r="L1848" s="14" t="s">
        <v>153</v>
      </c>
      <c r="M1848" s="16"/>
      <c r="N1848" s="16"/>
      <c r="O1848" s="16"/>
      <c r="P1848" s="16"/>
      <c r="Q1848" s="16"/>
      <c r="R1848" s="16"/>
    </row>
    <row r="1849" spans="1:18" ht="240" x14ac:dyDescent="0.25">
      <c r="A1849" s="14" t="s">
        <v>8732</v>
      </c>
      <c r="B1849" s="14" t="s">
        <v>8919</v>
      </c>
      <c r="C1849" s="14" t="s">
        <v>8920</v>
      </c>
      <c r="D1849" s="14" t="s">
        <v>8531</v>
      </c>
      <c r="E1849" s="14" t="s">
        <v>6130</v>
      </c>
      <c r="F1849" s="14" t="s">
        <v>6131</v>
      </c>
      <c r="G1849" s="8" t="s">
        <v>8790</v>
      </c>
      <c r="H1849" s="14" t="s">
        <v>6137</v>
      </c>
      <c r="I1849" s="14"/>
      <c r="J1849" s="14"/>
      <c r="K1849" s="14"/>
      <c r="L1849" s="14"/>
      <c r="M1849" s="14" t="s">
        <v>6134</v>
      </c>
      <c r="N1849" s="14" t="s">
        <v>6135</v>
      </c>
      <c r="O1849" s="14" t="s">
        <v>6136</v>
      </c>
      <c r="P1849" s="14" t="str">
        <f>HYPERLINK("https://ceds.ed.gov/cedselementdetails.aspx?termid=17159")</f>
        <v>https://ceds.ed.gov/cedselementdetails.aspx?termid=17159</v>
      </c>
      <c r="Q1849" s="14" t="str">
        <f>HYPERLINK("https://ceds.ed.gov/elementComment.aspx?elementName=Local Education Agency Identification System &amp;elementID=17159", "Click here to submit comment")</f>
        <v>Click here to submit comment</v>
      </c>
      <c r="R1849" s="14">
        <v>48096</v>
      </c>
    </row>
    <row r="1850" spans="1:18" ht="105" x14ac:dyDescent="0.25">
      <c r="A1850" s="16" t="s">
        <v>8732</v>
      </c>
      <c r="B1850" s="16" t="s">
        <v>8919</v>
      </c>
      <c r="C1850" s="16" t="s">
        <v>8920</v>
      </c>
      <c r="D1850" s="16" t="s">
        <v>8531</v>
      </c>
      <c r="E1850" s="16" t="s">
        <v>7605</v>
      </c>
      <c r="F1850" s="16" t="s">
        <v>326</v>
      </c>
      <c r="G1850" s="16" t="s">
        <v>37</v>
      </c>
      <c r="H1850" s="16" t="s">
        <v>7604</v>
      </c>
      <c r="I1850" s="16"/>
      <c r="J1850" s="16" t="s">
        <v>149</v>
      </c>
      <c r="K1850" s="16"/>
      <c r="L1850" s="14" t="s">
        <v>150</v>
      </c>
      <c r="M1850" s="16" t="s">
        <v>7606</v>
      </c>
      <c r="N1850" s="16"/>
      <c r="O1850" s="16" t="s">
        <v>7607</v>
      </c>
      <c r="P1850" s="16" t="str">
        <f>HYPERLINK("https://ceds.ed.gov/cedselementdetails.aspx?termid=17155")</f>
        <v>https://ceds.ed.gov/cedselementdetails.aspx?termid=17155</v>
      </c>
      <c r="Q1850" s="16" t="str">
        <f>HYPERLINK("https://ceds.ed.gov/elementComment.aspx?elementName=School Identifier &amp;elementID=17155", "Click here to submit comment")</f>
        <v>Click here to submit comment</v>
      </c>
      <c r="R1850" s="16">
        <v>48094</v>
      </c>
    </row>
    <row r="1851" spans="1:18" x14ac:dyDescent="0.25">
      <c r="A1851" s="16"/>
      <c r="B1851" s="16"/>
      <c r="C1851" s="16"/>
      <c r="D1851" s="16"/>
      <c r="E1851" s="16"/>
      <c r="F1851" s="16"/>
      <c r="G1851" s="16"/>
      <c r="H1851" s="16"/>
      <c r="I1851" s="16"/>
      <c r="J1851" s="16"/>
      <c r="K1851" s="16"/>
      <c r="L1851" s="14"/>
      <c r="M1851" s="16"/>
      <c r="N1851" s="16"/>
      <c r="O1851" s="16"/>
      <c r="P1851" s="16"/>
      <c r="Q1851" s="16"/>
      <c r="R1851" s="16"/>
    </row>
    <row r="1852" spans="1:18" ht="90" x14ac:dyDescent="0.25">
      <c r="A1852" s="16"/>
      <c r="B1852" s="16"/>
      <c r="C1852" s="16"/>
      <c r="D1852" s="16"/>
      <c r="E1852" s="16"/>
      <c r="F1852" s="16"/>
      <c r="G1852" s="16"/>
      <c r="H1852" s="16"/>
      <c r="I1852" s="16"/>
      <c r="J1852" s="16"/>
      <c r="K1852" s="16"/>
      <c r="L1852" s="14" t="s">
        <v>153</v>
      </c>
      <c r="M1852" s="16"/>
      <c r="N1852" s="16"/>
      <c r="O1852" s="16"/>
      <c r="P1852" s="16"/>
      <c r="Q1852" s="16"/>
      <c r="R1852" s="16"/>
    </row>
    <row r="1853" spans="1:18" ht="270" x14ac:dyDescent="0.25">
      <c r="A1853" s="14" t="s">
        <v>8732</v>
      </c>
      <c r="B1853" s="14" t="s">
        <v>8919</v>
      </c>
      <c r="C1853" s="14" t="s">
        <v>8920</v>
      </c>
      <c r="D1853" s="14" t="s">
        <v>8531</v>
      </c>
      <c r="E1853" s="14" t="s">
        <v>7599</v>
      </c>
      <c r="F1853" s="14" t="s">
        <v>320</v>
      </c>
      <c r="G1853" s="8" t="s">
        <v>8736</v>
      </c>
      <c r="H1853" s="14" t="s">
        <v>7604</v>
      </c>
      <c r="I1853" s="14"/>
      <c r="J1853" s="14"/>
      <c r="K1853" s="14"/>
      <c r="L1853" s="14"/>
      <c r="M1853" s="14" t="s">
        <v>7602</v>
      </c>
      <c r="N1853" s="14"/>
      <c r="O1853" s="14" t="s">
        <v>7603</v>
      </c>
      <c r="P1853" s="14" t="str">
        <f>HYPERLINK("https://ceds.ed.gov/cedselementdetails.aspx?termid=17161")</f>
        <v>https://ceds.ed.gov/cedselementdetails.aspx?termid=17161</v>
      </c>
      <c r="Q1853" s="14" t="str">
        <f>HYPERLINK("https://ceds.ed.gov/elementComment.aspx?elementName=School Identification System &amp;elementID=17161", "Click here to submit comment")</f>
        <v>Click here to submit comment</v>
      </c>
      <c r="R1853" s="14">
        <v>48097</v>
      </c>
    </row>
    <row r="1854" spans="1:18" ht="45" x14ac:dyDescent="0.25">
      <c r="A1854" s="14" t="s">
        <v>8732</v>
      </c>
      <c r="B1854" s="14" t="s">
        <v>8919</v>
      </c>
      <c r="C1854" s="14" t="s">
        <v>8920</v>
      </c>
      <c r="D1854" s="14" t="s">
        <v>8531</v>
      </c>
      <c r="E1854" s="14" t="s">
        <v>1626</v>
      </c>
      <c r="F1854" s="14" t="s">
        <v>1627</v>
      </c>
      <c r="G1854" s="14" t="s">
        <v>37</v>
      </c>
      <c r="H1854" s="14"/>
      <c r="I1854" s="14"/>
      <c r="J1854" s="14" t="s">
        <v>135</v>
      </c>
      <c r="K1854" s="14"/>
      <c r="L1854" s="14"/>
      <c r="M1854" s="14" t="s">
        <v>1628</v>
      </c>
      <c r="N1854" s="14"/>
      <c r="O1854" s="14" t="s">
        <v>1629</v>
      </c>
      <c r="P1854" s="14" t="str">
        <f>HYPERLINK("https://ceds.ed.gov/cedselementdetails.aspx?termid=17517")</f>
        <v>https://ceds.ed.gov/cedselementdetails.aspx?termid=17517</v>
      </c>
      <c r="Q1854" s="14" t="str">
        <f>HYPERLINK("https://ceds.ed.gov/elementComment.aspx?elementName=Assignment Start Date &amp;elementID=17517", "Click here to submit comment")</f>
        <v>Click here to submit comment</v>
      </c>
      <c r="R1854" s="14">
        <v>48126</v>
      </c>
    </row>
    <row r="1855" spans="1:18" ht="75" x14ac:dyDescent="0.25">
      <c r="A1855" s="14" t="s">
        <v>8732</v>
      </c>
      <c r="B1855" s="14" t="s">
        <v>8919</v>
      </c>
      <c r="C1855" s="14" t="s">
        <v>8920</v>
      </c>
      <c r="D1855" s="14" t="s">
        <v>8531</v>
      </c>
      <c r="E1855" s="14" t="s">
        <v>1621</v>
      </c>
      <c r="F1855" s="14" t="s">
        <v>1622</v>
      </c>
      <c r="G1855" s="14" t="s">
        <v>37</v>
      </c>
      <c r="H1855" s="14"/>
      <c r="I1855" s="14"/>
      <c r="J1855" s="14" t="s">
        <v>135</v>
      </c>
      <c r="K1855" s="14"/>
      <c r="L1855" s="14" t="s">
        <v>160</v>
      </c>
      <c r="M1855" s="14" t="s">
        <v>1624</v>
      </c>
      <c r="N1855" s="14"/>
      <c r="O1855" s="14" t="s">
        <v>1625</v>
      </c>
      <c r="P1855" s="14" t="str">
        <f>HYPERLINK("https://ceds.ed.gov/cedselementdetails.aspx?termid=17518")</f>
        <v>https://ceds.ed.gov/cedselementdetails.aspx?termid=17518</v>
      </c>
      <c r="Q1855" s="14" t="str">
        <f>HYPERLINK("https://ceds.ed.gov/elementComment.aspx?elementName=Assignment End Date &amp;elementID=17518", "Click here to submit comment")</f>
        <v>Click here to submit comment</v>
      </c>
      <c r="R1855" s="14">
        <v>48127</v>
      </c>
    </row>
    <row r="1856" spans="1:18" ht="45" x14ac:dyDescent="0.25">
      <c r="A1856" s="14" t="s">
        <v>8732</v>
      </c>
      <c r="B1856" s="14" t="s">
        <v>8919</v>
      </c>
      <c r="C1856" s="14" t="s">
        <v>8920</v>
      </c>
      <c r="D1856" s="14" t="s">
        <v>8531</v>
      </c>
      <c r="E1856" s="14" t="s">
        <v>8178</v>
      </c>
      <c r="F1856" s="14" t="s">
        <v>8179</v>
      </c>
      <c r="G1856" s="14" t="s">
        <v>37</v>
      </c>
      <c r="H1856" s="14" t="s">
        <v>8148</v>
      </c>
      <c r="I1856" s="14"/>
      <c r="J1856" s="14" t="s">
        <v>135</v>
      </c>
      <c r="K1856" s="14"/>
      <c r="L1856" s="14"/>
      <c r="M1856" s="14" t="s">
        <v>8180</v>
      </c>
      <c r="N1856" s="14"/>
      <c r="O1856" s="14" t="s">
        <v>8181</v>
      </c>
      <c r="P1856" s="14" t="str">
        <f>HYPERLINK("https://ceds.ed.gov/cedselementdetails.aspx?termid=17647")</f>
        <v>https://ceds.ed.gov/cedselementdetails.aspx?termid=17647</v>
      </c>
      <c r="Q1856" s="14" t="str">
        <f>HYPERLINK("https://ceds.ed.gov/elementComment.aspx?elementName=Teaching Assignment Start Date &amp;elementID=17647", "Click here to submit comment")</f>
        <v>Click here to submit comment</v>
      </c>
      <c r="R1856" s="14">
        <v>48141</v>
      </c>
    </row>
    <row r="1857" spans="1:18" ht="60" x14ac:dyDescent="0.25">
      <c r="A1857" s="14" t="s">
        <v>8732</v>
      </c>
      <c r="B1857" s="14" t="s">
        <v>8919</v>
      </c>
      <c r="C1857" s="14" t="s">
        <v>8920</v>
      </c>
      <c r="D1857" s="14" t="s">
        <v>8531</v>
      </c>
      <c r="E1857" s="14" t="s">
        <v>8168</v>
      </c>
      <c r="F1857" s="14" t="s">
        <v>8169</v>
      </c>
      <c r="G1857" s="14" t="s">
        <v>37</v>
      </c>
      <c r="H1857" s="14" t="s">
        <v>8148</v>
      </c>
      <c r="I1857" s="14"/>
      <c r="J1857" s="14" t="s">
        <v>135</v>
      </c>
      <c r="K1857" s="14"/>
      <c r="L1857" s="14" t="s">
        <v>8170</v>
      </c>
      <c r="M1857" s="14" t="s">
        <v>8171</v>
      </c>
      <c r="N1857" s="14"/>
      <c r="O1857" s="14" t="s">
        <v>8172</v>
      </c>
      <c r="P1857" s="14" t="str">
        <f>HYPERLINK("https://ceds.ed.gov/cedselementdetails.aspx?termid=17648")</f>
        <v>https://ceds.ed.gov/cedselementdetails.aspx?termid=17648</v>
      </c>
      <c r="Q1857" s="14" t="str">
        <f>HYPERLINK("https://ceds.ed.gov/elementComment.aspx?elementName=Teaching Assignment End Date &amp;elementID=17648", "Click here to submit comment")</f>
        <v>Click here to submit comment</v>
      </c>
      <c r="R1857" s="14">
        <v>48142</v>
      </c>
    </row>
    <row r="1858" spans="1:18" ht="60" x14ac:dyDescent="0.25">
      <c r="A1858" s="14" t="s">
        <v>8732</v>
      </c>
      <c r="B1858" s="14" t="s">
        <v>8919</v>
      </c>
      <c r="C1858" s="14" t="s">
        <v>8920</v>
      </c>
      <c r="D1858" s="14" t="s">
        <v>8531</v>
      </c>
      <c r="E1858" s="14" t="s">
        <v>7913</v>
      </c>
      <c r="F1858" s="14" t="s">
        <v>7914</v>
      </c>
      <c r="G1858" s="14" t="s">
        <v>37</v>
      </c>
      <c r="H1858" s="14" t="s">
        <v>7919</v>
      </c>
      <c r="I1858" s="14"/>
      <c r="J1858" s="14" t="s">
        <v>4773</v>
      </c>
      <c r="K1858" s="14"/>
      <c r="L1858" s="14"/>
      <c r="M1858" s="14" t="s">
        <v>7916</v>
      </c>
      <c r="N1858" s="14" t="s">
        <v>7917</v>
      </c>
      <c r="O1858" s="14" t="s">
        <v>7918</v>
      </c>
      <c r="P1858" s="14" t="str">
        <f>HYPERLINK("https://ceds.ed.gov/cedselementdetails.aspx?termid=17118")</f>
        <v>https://ceds.ed.gov/cedselementdetails.aspx?termid=17118</v>
      </c>
      <c r="Q1858" s="14" t="str">
        <f>HYPERLINK("https://ceds.ed.gov/elementComment.aspx?elementName=Staff Full Time Equivalency &amp;elementID=17118", "Click here to submit comment")</f>
        <v>Click here to submit comment</v>
      </c>
      <c r="R1858" s="14">
        <v>48086</v>
      </c>
    </row>
    <row r="1859" spans="1:18" ht="45" x14ac:dyDescent="0.25">
      <c r="A1859" s="14" t="s">
        <v>8732</v>
      </c>
      <c r="B1859" s="14" t="s">
        <v>8919</v>
      </c>
      <c r="C1859" s="14" t="s">
        <v>8920</v>
      </c>
      <c r="D1859" s="14" t="s">
        <v>8531</v>
      </c>
      <c r="E1859" s="14" t="s">
        <v>6849</v>
      </c>
      <c r="F1859" s="14" t="s">
        <v>8524</v>
      </c>
      <c r="G1859" s="14" t="s">
        <v>24</v>
      </c>
      <c r="H1859" s="14"/>
      <c r="I1859" s="14" t="s">
        <v>195</v>
      </c>
      <c r="J1859" s="14"/>
      <c r="K1859" s="14" t="s">
        <v>8525</v>
      </c>
      <c r="L1859" s="14"/>
      <c r="M1859" s="14" t="s">
        <v>6850</v>
      </c>
      <c r="N1859" s="14"/>
      <c r="O1859" s="14" t="s">
        <v>6851</v>
      </c>
      <c r="P1859" s="14" t="str">
        <f>HYPERLINK("https://ceds.ed.gov/cedselementdetails.aspx?termid=17516")</f>
        <v>https://ceds.ed.gov/cedselementdetails.aspx?termid=17516</v>
      </c>
      <c r="Q1859" s="14" t="str">
        <f>HYPERLINK("https://ceds.ed.gov/elementComment.aspx?elementName=Primary Assignment Indicator &amp;elementID=17516", "Click here to submit comment")</f>
        <v>Click here to submit comment</v>
      </c>
      <c r="R1859" s="14">
        <v>48125</v>
      </c>
    </row>
    <row r="1860" spans="1:18" ht="409.5" x14ac:dyDescent="0.25">
      <c r="A1860" s="14" t="s">
        <v>8732</v>
      </c>
      <c r="B1860" s="14" t="s">
        <v>8919</v>
      </c>
      <c r="C1860" s="14" t="s">
        <v>8920</v>
      </c>
      <c r="D1860" s="14" t="s">
        <v>8531</v>
      </c>
      <c r="E1860" s="14" t="s">
        <v>5695</v>
      </c>
      <c r="F1860" s="14" t="s">
        <v>5696</v>
      </c>
      <c r="G1860" s="8" t="s">
        <v>8921</v>
      </c>
      <c r="H1860" s="14" t="s">
        <v>5700</v>
      </c>
      <c r="I1860" s="14" t="s">
        <v>195</v>
      </c>
      <c r="J1860" s="14"/>
      <c r="K1860" s="14" t="s">
        <v>2266</v>
      </c>
      <c r="L1860" s="14"/>
      <c r="M1860" s="14" t="s">
        <v>5698</v>
      </c>
      <c r="N1860" s="14"/>
      <c r="O1860" s="14" t="s">
        <v>5699</v>
      </c>
      <c r="P1860" s="14" t="str">
        <f>HYPERLINK("https://ceds.ed.gov/cedselementdetails.aspx?termid=17087")</f>
        <v>https://ceds.ed.gov/cedselementdetails.aspx?termid=17087</v>
      </c>
      <c r="Q1860" s="14" t="str">
        <f>HYPERLINK("https://ceds.ed.gov/elementComment.aspx?elementName=K12 Staff Classification &amp;elementID=17087", "Click here to submit comment")</f>
        <v>Click here to submit comment</v>
      </c>
      <c r="R1860" s="14">
        <v>48080</v>
      </c>
    </row>
    <row r="1861" spans="1:18" ht="270" x14ac:dyDescent="0.25">
      <c r="A1861" s="14" t="s">
        <v>8732</v>
      </c>
      <c r="B1861" s="14" t="s">
        <v>8919</v>
      </c>
      <c r="C1861" s="14" t="s">
        <v>8920</v>
      </c>
      <c r="D1861" s="14" t="s">
        <v>8531</v>
      </c>
      <c r="E1861" s="14" t="s">
        <v>2389</v>
      </c>
      <c r="F1861" s="14" t="s">
        <v>2390</v>
      </c>
      <c r="G1861" s="8" t="s">
        <v>8922</v>
      </c>
      <c r="H1861" s="14"/>
      <c r="I1861" s="14"/>
      <c r="J1861" s="14"/>
      <c r="K1861" s="14"/>
      <c r="L1861" s="14"/>
      <c r="M1861" s="14" t="s">
        <v>2393</v>
      </c>
      <c r="N1861" s="14"/>
      <c r="O1861" s="14" t="s">
        <v>2394</v>
      </c>
      <c r="P1861" s="14" t="str">
        <f>HYPERLINK("https://ceds.ed.gov/cedselementdetails.aspx?termid=17615")</f>
        <v>https://ceds.ed.gov/cedselementdetails.aspx?termid=17615</v>
      </c>
      <c r="Q1861" s="14" t="str">
        <f>HYPERLINK("https://ceds.ed.gov/elementComment.aspx?elementName=Classroom Position Type &amp;elementID=17615", "Click here to submit comment")</f>
        <v>Click here to submit comment</v>
      </c>
      <c r="R1861" s="14">
        <v>48138</v>
      </c>
    </row>
    <row r="1862" spans="1:18" ht="45" x14ac:dyDescent="0.25">
      <c r="A1862" s="14" t="s">
        <v>8732</v>
      </c>
      <c r="B1862" s="14" t="s">
        <v>8919</v>
      </c>
      <c r="C1862" s="14" t="s">
        <v>8920</v>
      </c>
      <c r="D1862" s="14" t="s">
        <v>8531</v>
      </c>
      <c r="E1862" s="14" t="s">
        <v>5684</v>
      </c>
      <c r="F1862" s="14" t="s">
        <v>5685</v>
      </c>
      <c r="G1862" s="14" t="s">
        <v>24</v>
      </c>
      <c r="H1862" s="14"/>
      <c r="I1862" s="14"/>
      <c r="J1862" s="14"/>
      <c r="K1862" s="14"/>
      <c r="L1862" s="14"/>
      <c r="M1862" s="14" t="s">
        <v>5687</v>
      </c>
      <c r="N1862" s="14"/>
      <c r="O1862" s="14" t="s">
        <v>5688</v>
      </c>
      <c r="P1862" s="14" t="str">
        <f>HYPERLINK("https://ceds.ed.gov/cedselementdetails.aspx?termid=17519")</f>
        <v>https://ceds.ed.gov/cedselementdetails.aspx?termid=17519</v>
      </c>
      <c r="Q1862" s="14" t="str">
        <f>HYPERLINK("https://ceds.ed.gov/elementComment.aspx?elementName=Itinerant Teacher &amp;elementID=17519", "Click here to submit comment")</f>
        <v>Click here to submit comment</v>
      </c>
      <c r="R1862" s="14">
        <v>48128</v>
      </c>
    </row>
    <row r="1863" spans="1:18" ht="120" x14ac:dyDescent="0.25">
      <c r="A1863" s="14" t="s">
        <v>8732</v>
      </c>
      <c r="B1863" s="14" t="s">
        <v>8919</v>
      </c>
      <c r="C1863" s="14" t="s">
        <v>8920</v>
      </c>
      <c r="D1863" s="14" t="s">
        <v>8531</v>
      </c>
      <c r="E1863" s="14" t="s">
        <v>6278</v>
      </c>
      <c r="F1863" s="14" t="s">
        <v>6279</v>
      </c>
      <c r="G1863" s="8" t="s">
        <v>8923</v>
      </c>
      <c r="H1863" s="14" t="s">
        <v>258</v>
      </c>
      <c r="I1863" s="14"/>
      <c r="J1863" s="14"/>
      <c r="K1863" s="14"/>
      <c r="L1863" s="14" t="s">
        <v>6281</v>
      </c>
      <c r="M1863" s="14" t="s">
        <v>6282</v>
      </c>
      <c r="N1863" s="14" t="s">
        <v>6283</v>
      </c>
      <c r="O1863" s="14" t="s">
        <v>6284</v>
      </c>
      <c r="P1863" s="14" t="str">
        <f>HYPERLINK("https://ceds.ed.gov/cedselementdetails.aspx?termid=17188")</f>
        <v>https://ceds.ed.gov/cedselementdetails.aspx?termid=17188</v>
      </c>
      <c r="Q1863" s="14" t="str">
        <f>HYPERLINK("https://ceds.ed.gov/elementComment.aspx?elementName=Migrant Education Program Staff Category &amp;elementID=17188", "Click here to submit comment")</f>
        <v>Click here to submit comment</v>
      </c>
      <c r="R1863" s="14">
        <v>48101</v>
      </c>
    </row>
    <row r="1864" spans="1:18" ht="150" x14ac:dyDescent="0.25">
      <c r="A1864" s="14" t="s">
        <v>8732</v>
      </c>
      <c r="B1864" s="14" t="s">
        <v>8919</v>
      </c>
      <c r="C1864" s="14" t="s">
        <v>8920</v>
      </c>
      <c r="D1864" s="14" t="s">
        <v>8531</v>
      </c>
      <c r="E1864" s="14" t="s">
        <v>8261</v>
      </c>
      <c r="F1864" s="14" t="s">
        <v>8262</v>
      </c>
      <c r="G1864" s="8" t="s">
        <v>8924</v>
      </c>
      <c r="H1864" s="14" t="s">
        <v>258</v>
      </c>
      <c r="I1864" s="14"/>
      <c r="J1864" s="14"/>
      <c r="K1864" s="14"/>
      <c r="L1864" s="14"/>
      <c r="M1864" s="14" t="s">
        <v>8264</v>
      </c>
      <c r="N1864" s="14"/>
      <c r="O1864" s="14" t="s">
        <v>8265</v>
      </c>
      <c r="P1864" s="14" t="str">
        <f>HYPERLINK("https://ceds.ed.gov/cedselementdetails.aspx?termid=17283")</f>
        <v>https://ceds.ed.gov/cedselementdetails.aspx?termid=17283</v>
      </c>
      <c r="Q1864" s="14" t="str">
        <f>HYPERLINK("https://ceds.ed.gov/elementComment.aspx?elementName=Title I Program Staff Category &amp;elementID=17283", "Click here to submit comment")</f>
        <v>Click here to submit comment</v>
      </c>
      <c r="R1864" s="14">
        <v>48120</v>
      </c>
    </row>
    <row r="1865" spans="1:18" ht="60" x14ac:dyDescent="0.25">
      <c r="A1865" s="14" t="s">
        <v>8732</v>
      </c>
      <c r="B1865" s="14" t="s">
        <v>8919</v>
      </c>
      <c r="C1865" s="14" t="s">
        <v>8920</v>
      </c>
      <c r="D1865" s="14" t="s">
        <v>8531</v>
      </c>
      <c r="E1865" s="14" t="s">
        <v>7847</v>
      </c>
      <c r="F1865" s="14" t="s">
        <v>7848</v>
      </c>
      <c r="G1865" s="14" t="s">
        <v>24</v>
      </c>
      <c r="H1865" s="14" t="s">
        <v>258</v>
      </c>
      <c r="I1865" s="14"/>
      <c r="J1865" s="14"/>
      <c r="K1865" s="14"/>
      <c r="L1865" s="14"/>
      <c r="M1865" s="14" t="s">
        <v>7849</v>
      </c>
      <c r="N1865" s="14"/>
      <c r="O1865" s="14" t="s">
        <v>7850</v>
      </c>
      <c r="P1865" s="14" t="str">
        <f>HYPERLINK("https://ceds.ed.gov/cedselementdetails.aspx?termid=17264")</f>
        <v>https://ceds.ed.gov/cedselementdetails.aspx?termid=17264</v>
      </c>
      <c r="Q1865" s="14" t="str">
        <f>HYPERLINK("https://ceds.ed.gov/elementComment.aspx?elementName=Special Education Teacher &amp;elementID=17264", "Click here to submit comment")</f>
        <v>Click here to submit comment</v>
      </c>
      <c r="R1865" s="14">
        <v>48115</v>
      </c>
    </row>
    <row r="1866" spans="1:18" ht="45" x14ac:dyDescent="0.25">
      <c r="A1866" s="14" t="s">
        <v>8732</v>
      </c>
      <c r="B1866" s="14" t="s">
        <v>8919</v>
      </c>
      <c r="C1866" s="14" t="s">
        <v>8920</v>
      </c>
      <c r="D1866" s="14" t="s">
        <v>8531</v>
      </c>
      <c r="E1866" s="14" t="s">
        <v>7812</v>
      </c>
      <c r="F1866" s="14" t="s">
        <v>7813</v>
      </c>
      <c r="G1866" s="8" t="s">
        <v>8925</v>
      </c>
      <c r="H1866" s="14" t="s">
        <v>258</v>
      </c>
      <c r="I1866" s="14"/>
      <c r="J1866" s="14"/>
      <c r="K1866" s="14"/>
      <c r="L1866" s="14"/>
      <c r="M1866" s="14" t="s">
        <v>7815</v>
      </c>
      <c r="N1866" s="14"/>
      <c r="O1866" s="14" t="s">
        <v>7816</v>
      </c>
      <c r="P1866" s="14" t="str">
        <f>HYPERLINK("https://ceds.ed.gov/cedselementdetails.aspx?termid=17556")</f>
        <v>https://ceds.ed.gov/cedselementdetails.aspx?termid=17556</v>
      </c>
      <c r="Q1866" s="14" t="str">
        <f>HYPERLINK("https://ceds.ed.gov/elementComment.aspx?elementName=Special Education Age Group Taught &amp;elementID=17556", "Click here to submit comment")</f>
        <v>Click here to submit comment</v>
      </c>
      <c r="R1866" s="14">
        <v>48133</v>
      </c>
    </row>
    <row r="1867" spans="1:18" ht="60" x14ac:dyDescent="0.25">
      <c r="A1867" s="14" t="s">
        <v>8732</v>
      </c>
      <c r="B1867" s="14" t="s">
        <v>8919</v>
      </c>
      <c r="C1867" s="14" t="s">
        <v>8920</v>
      </c>
      <c r="D1867" s="14" t="s">
        <v>8531</v>
      </c>
      <c r="E1867" s="14" t="s">
        <v>7828</v>
      </c>
      <c r="F1867" s="14" t="s">
        <v>7829</v>
      </c>
      <c r="G1867" s="14" t="s">
        <v>24</v>
      </c>
      <c r="H1867" s="14" t="s">
        <v>258</v>
      </c>
      <c r="I1867" s="14"/>
      <c r="J1867" s="14"/>
      <c r="K1867" s="14"/>
      <c r="L1867" s="14"/>
      <c r="M1867" s="14" t="s">
        <v>7830</v>
      </c>
      <c r="N1867" s="14"/>
      <c r="O1867" s="14" t="s">
        <v>7831</v>
      </c>
      <c r="P1867" s="14" t="str">
        <f>HYPERLINK("https://ceds.ed.gov/cedselementdetails.aspx?termid=17261")</f>
        <v>https://ceds.ed.gov/cedselementdetails.aspx?termid=17261</v>
      </c>
      <c r="Q1867" s="14" t="str">
        <f>HYPERLINK("https://ceds.ed.gov/elementComment.aspx?elementName=Special Education Paraprofessional &amp;elementID=17261", "Click here to submit comment")</f>
        <v>Click here to submit comment</v>
      </c>
      <c r="R1867" s="14">
        <v>48113</v>
      </c>
    </row>
    <row r="1868" spans="1:18" ht="60" x14ac:dyDescent="0.25">
      <c r="A1868" s="14" t="s">
        <v>8732</v>
      </c>
      <c r="B1868" s="14" t="s">
        <v>8919</v>
      </c>
      <c r="C1868" s="14" t="s">
        <v>8920</v>
      </c>
      <c r="D1868" s="14" t="s">
        <v>8531</v>
      </c>
      <c r="E1868" s="14" t="s">
        <v>7832</v>
      </c>
      <c r="F1868" s="14" t="s">
        <v>7833</v>
      </c>
      <c r="G1868" s="14" t="s">
        <v>24</v>
      </c>
      <c r="H1868" s="14" t="s">
        <v>258</v>
      </c>
      <c r="I1868" s="14"/>
      <c r="J1868" s="14"/>
      <c r="K1868" s="14"/>
      <c r="L1868" s="14"/>
      <c r="M1868" s="14" t="s">
        <v>7834</v>
      </c>
      <c r="N1868" s="14"/>
      <c r="O1868" s="14" t="s">
        <v>7835</v>
      </c>
      <c r="P1868" s="14" t="str">
        <f>HYPERLINK("https://ceds.ed.gov/cedselementdetails.aspx?termid=17262")</f>
        <v>https://ceds.ed.gov/cedselementdetails.aspx?termid=17262</v>
      </c>
      <c r="Q1868" s="14" t="str">
        <f>HYPERLINK("https://ceds.ed.gov/elementComment.aspx?elementName=Special Education Related Services Personnel &amp;elementID=17262", "Click here to submit comment")</f>
        <v>Click here to submit comment</v>
      </c>
      <c r="R1868" s="14">
        <v>48114</v>
      </c>
    </row>
    <row r="1869" spans="1:18" ht="270" x14ac:dyDescent="0.25">
      <c r="A1869" s="14" t="s">
        <v>8732</v>
      </c>
      <c r="B1869" s="14" t="s">
        <v>8919</v>
      </c>
      <c r="C1869" s="14" t="s">
        <v>8920</v>
      </c>
      <c r="D1869" s="14" t="s">
        <v>8531</v>
      </c>
      <c r="E1869" s="14" t="s">
        <v>7841</v>
      </c>
      <c r="F1869" s="14" t="s">
        <v>7842</v>
      </c>
      <c r="G1869" s="8" t="s">
        <v>8880</v>
      </c>
      <c r="H1869" s="14" t="s">
        <v>258</v>
      </c>
      <c r="I1869" s="14"/>
      <c r="J1869" s="14"/>
      <c r="K1869" s="14"/>
      <c r="L1869" s="14"/>
      <c r="M1869" s="14" t="s">
        <v>7845</v>
      </c>
      <c r="N1869" s="14"/>
      <c r="O1869" s="14" t="s">
        <v>7846</v>
      </c>
      <c r="P1869" s="14" t="str">
        <f>HYPERLINK("https://ceds.ed.gov/cedselementdetails.aspx?termid=17549")</f>
        <v>https://ceds.ed.gov/cedselementdetails.aspx?termid=17549</v>
      </c>
      <c r="Q1869" s="14" t="str">
        <f>HYPERLINK("https://ceds.ed.gov/elementComment.aspx?elementName=Special Education Support Services Category &amp;elementID=17549", "Click here to submit comment")</f>
        <v>Click here to submit comment</v>
      </c>
      <c r="R1869" s="14">
        <v>48132</v>
      </c>
    </row>
    <row r="1870" spans="1:18" ht="255" x14ac:dyDescent="0.25">
      <c r="A1870" s="14" t="s">
        <v>8732</v>
      </c>
      <c r="B1870" s="14" t="s">
        <v>8919</v>
      </c>
      <c r="C1870" s="14" t="s">
        <v>8920</v>
      </c>
      <c r="D1870" s="14" t="s">
        <v>8531</v>
      </c>
      <c r="E1870" s="14" t="s">
        <v>7046</v>
      </c>
      <c r="F1870" s="14" t="s">
        <v>7047</v>
      </c>
      <c r="G1870" s="8" t="s">
        <v>8926</v>
      </c>
      <c r="H1870" s="14"/>
      <c r="I1870" s="14"/>
      <c r="J1870" s="14"/>
      <c r="K1870" s="14"/>
      <c r="L1870" s="14"/>
      <c r="M1870" s="14" t="s">
        <v>7049</v>
      </c>
      <c r="N1870" s="14"/>
      <c r="O1870" s="14" t="s">
        <v>7050</v>
      </c>
      <c r="P1870" s="14" t="str">
        <f>HYPERLINK("https://ceds.ed.gov/cedselementdetails.aspx?termid=17220")</f>
        <v>https://ceds.ed.gov/cedselementdetails.aspx?termid=17220</v>
      </c>
      <c r="Q1870" s="14" t="str">
        <f>HYPERLINK("https://ceds.ed.gov/elementComment.aspx?elementName=Professional Educational Job Classification &amp;elementID=17220", "Click here to submit comment")</f>
        <v>Click here to submit comment</v>
      </c>
      <c r="R1870" s="14">
        <v>48108</v>
      </c>
    </row>
    <row r="1871" spans="1:18" ht="90" x14ac:dyDescent="0.25">
      <c r="A1871" s="14" t="s">
        <v>8732</v>
      </c>
      <c r="B1871" s="14" t="s">
        <v>8919</v>
      </c>
      <c r="C1871" s="14" t="s">
        <v>8701</v>
      </c>
      <c r="D1871" s="14" t="s">
        <v>8531</v>
      </c>
      <c r="E1871" s="14" t="s">
        <v>3341</v>
      </c>
      <c r="F1871" s="14" t="s">
        <v>3342</v>
      </c>
      <c r="G1871" s="8" t="s">
        <v>8704</v>
      </c>
      <c r="H1871" s="14"/>
      <c r="I1871" s="14"/>
      <c r="J1871" s="14"/>
      <c r="K1871" s="14"/>
      <c r="L1871" s="14"/>
      <c r="M1871" s="14" t="s">
        <v>3345</v>
      </c>
      <c r="N1871" s="14"/>
      <c r="O1871" s="14" t="s">
        <v>3346</v>
      </c>
      <c r="P1871" s="14" t="str">
        <f>HYPERLINK("https://ceds.ed.gov/cedselementdetails.aspx?termid=17071")</f>
        <v>https://ceds.ed.gov/cedselementdetails.aspx?termid=17071</v>
      </c>
      <c r="Q1871" s="14" t="str">
        <f>HYPERLINK("https://ceds.ed.gov/elementComment.aspx?elementName=Credential Type &amp;elementID=17071", "Click here to submit comment")</f>
        <v>Click here to submit comment</v>
      </c>
      <c r="R1871" s="14">
        <v>48079</v>
      </c>
    </row>
    <row r="1872" spans="1:18" ht="225" x14ac:dyDescent="0.25">
      <c r="A1872" s="14" t="s">
        <v>8732</v>
      </c>
      <c r="B1872" s="14" t="s">
        <v>8919</v>
      </c>
      <c r="C1872" s="14" t="s">
        <v>8701</v>
      </c>
      <c r="D1872" s="14" t="s">
        <v>8531</v>
      </c>
      <c r="E1872" s="14" t="s">
        <v>8188</v>
      </c>
      <c r="F1872" s="14" t="s">
        <v>8189</v>
      </c>
      <c r="G1872" s="8" t="s">
        <v>8927</v>
      </c>
      <c r="H1872" s="14" t="s">
        <v>412</v>
      </c>
      <c r="I1872" s="14"/>
      <c r="J1872" s="14"/>
      <c r="K1872" s="14"/>
      <c r="L1872" s="14"/>
      <c r="M1872" s="14" t="s">
        <v>8192</v>
      </c>
      <c r="N1872" s="14"/>
      <c r="O1872" s="14" t="s">
        <v>8193</v>
      </c>
      <c r="P1872" s="14" t="str">
        <f>HYPERLINK("https://ceds.ed.gov/cedselementdetails.aspx?termid=17278")</f>
        <v>https://ceds.ed.gov/cedselementdetails.aspx?termid=17278</v>
      </c>
      <c r="Q1872" s="14" t="str">
        <f>HYPERLINK("https://ceds.ed.gov/elementComment.aspx?elementName=Teaching Credential Type &amp;elementID=17278", "Click here to submit comment")</f>
        <v>Click here to submit comment</v>
      </c>
      <c r="R1872" s="14">
        <v>48119</v>
      </c>
    </row>
    <row r="1873" spans="1:18" ht="240" x14ac:dyDescent="0.25">
      <c r="A1873" s="14" t="s">
        <v>8732</v>
      </c>
      <c r="B1873" s="14" t="s">
        <v>8919</v>
      </c>
      <c r="C1873" s="14" t="s">
        <v>8701</v>
      </c>
      <c r="D1873" s="14" t="s">
        <v>8531</v>
      </c>
      <c r="E1873" s="14" t="s">
        <v>8182</v>
      </c>
      <c r="F1873" s="14" t="s">
        <v>8183</v>
      </c>
      <c r="G1873" s="8" t="s">
        <v>8928</v>
      </c>
      <c r="H1873" s="14" t="s">
        <v>412</v>
      </c>
      <c r="I1873" s="14"/>
      <c r="J1873" s="14"/>
      <c r="K1873" s="14"/>
      <c r="L1873" s="14"/>
      <c r="M1873" s="14" t="s">
        <v>8186</v>
      </c>
      <c r="N1873" s="14"/>
      <c r="O1873" s="14" t="s">
        <v>8187</v>
      </c>
      <c r="P1873" s="14" t="str">
        <f>HYPERLINK("https://ceds.ed.gov/cedselementdetails.aspx?termid=17277")</f>
        <v>https://ceds.ed.gov/cedselementdetails.aspx?termid=17277</v>
      </c>
      <c r="Q1873" s="14" t="str">
        <f>HYPERLINK("https://ceds.ed.gov/elementComment.aspx?elementName=Teaching Credential Basis &amp;elementID=17277", "Click here to submit comment")</f>
        <v>Click here to submit comment</v>
      </c>
      <c r="R1873" s="14">
        <v>48118</v>
      </c>
    </row>
    <row r="1874" spans="1:18" ht="45" x14ac:dyDescent="0.25">
      <c r="A1874" s="14" t="s">
        <v>8732</v>
      </c>
      <c r="B1874" s="14" t="s">
        <v>8919</v>
      </c>
      <c r="C1874" s="14" t="s">
        <v>8701</v>
      </c>
      <c r="D1874" s="14" t="s">
        <v>8531</v>
      </c>
      <c r="E1874" s="14" t="s">
        <v>3306</v>
      </c>
      <c r="F1874" s="14" t="s">
        <v>3307</v>
      </c>
      <c r="G1874" s="14" t="s">
        <v>37</v>
      </c>
      <c r="H1874" s="14" t="s">
        <v>238</v>
      </c>
      <c r="I1874" s="14"/>
      <c r="J1874" s="14" t="s">
        <v>135</v>
      </c>
      <c r="K1874" s="14"/>
      <c r="L1874" s="14"/>
      <c r="M1874" s="14" t="s">
        <v>3308</v>
      </c>
      <c r="N1874" s="14"/>
      <c r="O1874" s="14" t="s">
        <v>3309</v>
      </c>
      <c r="P1874" s="14" t="str">
        <f>HYPERLINK("https://ceds.ed.gov/cedselementdetails.aspx?termid=17070")</f>
        <v>https://ceds.ed.gov/cedselementdetails.aspx?termid=17070</v>
      </c>
      <c r="Q1874" s="14" t="str">
        <f>HYPERLINK("https://ceds.ed.gov/elementComment.aspx?elementName=Credential Issuance Date &amp;elementID=17070", "Click here to submit comment")</f>
        <v>Click here to submit comment</v>
      </c>
      <c r="R1874" s="14">
        <v>48078</v>
      </c>
    </row>
    <row r="1875" spans="1:18" ht="45" x14ac:dyDescent="0.25">
      <c r="A1875" s="14" t="s">
        <v>8732</v>
      </c>
      <c r="B1875" s="14" t="s">
        <v>8919</v>
      </c>
      <c r="C1875" s="14" t="s">
        <v>8701</v>
      </c>
      <c r="D1875" s="14" t="s">
        <v>8531</v>
      </c>
      <c r="E1875" s="14" t="s">
        <v>3296</v>
      </c>
      <c r="F1875" s="14" t="s">
        <v>3297</v>
      </c>
      <c r="G1875" s="14" t="s">
        <v>37</v>
      </c>
      <c r="H1875" s="14" t="s">
        <v>238</v>
      </c>
      <c r="I1875" s="14"/>
      <c r="J1875" s="14" t="s">
        <v>135</v>
      </c>
      <c r="K1875" s="14"/>
      <c r="L1875" s="14"/>
      <c r="M1875" s="14" t="s">
        <v>3299</v>
      </c>
      <c r="N1875" s="14"/>
      <c r="O1875" s="14" t="s">
        <v>3300</v>
      </c>
      <c r="P1875" s="14" t="str">
        <f>HYPERLINK("https://ceds.ed.gov/cedselementdetails.aspx?termid=17069")</f>
        <v>https://ceds.ed.gov/cedselementdetails.aspx?termid=17069</v>
      </c>
      <c r="Q1875" s="14" t="str">
        <f>HYPERLINK("https://ceds.ed.gov/elementComment.aspx?elementName=Credential Expiration Date &amp;elementID=17069", "Click here to submit comment")</f>
        <v>Click here to submit comment</v>
      </c>
      <c r="R1875" s="14">
        <v>48077</v>
      </c>
    </row>
    <row r="1876" spans="1:18" ht="60" x14ac:dyDescent="0.25">
      <c r="A1876" s="14" t="s">
        <v>8732</v>
      </c>
      <c r="B1876" s="14" t="s">
        <v>8919</v>
      </c>
      <c r="C1876" s="14" t="s">
        <v>8701</v>
      </c>
      <c r="D1876" s="14" t="s">
        <v>8531</v>
      </c>
      <c r="E1876" s="14" t="s">
        <v>8519</v>
      </c>
      <c r="F1876" s="14" t="s">
        <v>8520</v>
      </c>
      <c r="G1876" s="14" t="s">
        <v>37</v>
      </c>
      <c r="H1876" s="14" t="s">
        <v>2807</v>
      </c>
      <c r="I1876" s="14"/>
      <c r="J1876" s="14" t="s">
        <v>1710</v>
      </c>
      <c r="K1876" s="14"/>
      <c r="L1876" s="14"/>
      <c r="M1876" s="14" t="s">
        <v>8521</v>
      </c>
      <c r="N1876" s="14"/>
      <c r="O1876" s="14" t="s">
        <v>8522</v>
      </c>
      <c r="P1876" s="14" t="str">
        <f>HYPERLINK("https://ceds.ed.gov/cedselementdetails.aspx?termid=17302")</f>
        <v>https://ceds.ed.gov/cedselementdetails.aspx?termid=17302</v>
      </c>
      <c r="Q1876" s="14" t="str">
        <f>HYPERLINK("https://ceds.ed.gov/elementComment.aspx?elementName=Years of Prior Teaching Experience &amp;elementID=17302", "Click here to submit comment")</f>
        <v>Click here to submit comment</v>
      </c>
      <c r="R1876" s="14">
        <v>48123</v>
      </c>
    </row>
    <row r="1877" spans="1:18" ht="409.5" x14ac:dyDescent="0.25">
      <c r="A1877" s="14" t="s">
        <v>8732</v>
      </c>
      <c r="B1877" s="14" t="s">
        <v>8919</v>
      </c>
      <c r="C1877" s="14" t="s">
        <v>8701</v>
      </c>
      <c r="D1877" s="14" t="s">
        <v>8531</v>
      </c>
      <c r="E1877" s="14" t="s">
        <v>4989</v>
      </c>
      <c r="F1877" s="14" t="s">
        <v>4990</v>
      </c>
      <c r="G1877" s="8" t="s">
        <v>8679</v>
      </c>
      <c r="H1877" s="14" t="s">
        <v>4994</v>
      </c>
      <c r="I1877" s="14"/>
      <c r="J1877" s="14"/>
      <c r="K1877" s="14"/>
      <c r="L1877" s="14"/>
      <c r="M1877" s="14" t="s">
        <v>4992</v>
      </c>
      <c r="N1877" s="14"/>
      <c r="O1877" s="14" t="s">
        <v>4993</v>
      </c>
      <c r="P1877" s="14" t="str">
        <f>HYPERLINK("https://ceds.ed.gov/cedselementdetails.aspx?termid=17141")</f>
        <v>https://ceds.ed.gov/cedselementdetails.aspx?termid=17141</v>
      </c>
      <c r="Q1877" s="14" t="str">
        <f>HYPERLINK("https://ceds.ed.gov/elementComment.aspx?elementName=Highest Level of Education Completed &amp;elementID=17141", "Click here to submit comment")</f>
        <v>Click here to submit comment</v>
      </c>
      <c r="R1877" s="14">
        <v>48089</v>
      </c>
    </row>
    <row r="1878" spans="1:18" ht="60" x14ac:dyDescent="0.25">
      <c r="A1878" s="14" t="s">
        <v>8732</v>
      </c>
      <c r="B1878" s="14" t="s">
        <v>8919</v>
      </c>
      <c r="C1878" s="14" t="s">
        <v>8701</v>
      </c>
      <c r="D1878" s="14" t="s">
        <v>8531</v>
      </c>
      <c r="E1878" s="14" t="s">
        <v>4995</v>
      </c>
      <c r="F1878" s="14" t="s">
        <v>4996</v>
      </c>
      <c r="G1878" s="8" t="s">
        <v>8929</v>
      </c>
      <c r="H1878" s="14" t="s">
        <v>258</v>
      </c>
      <c r="I1878" s="14"/>
      <c r="J1878" s="14"/>
      <c r="K1878" s="14"/>
      <c r="L1878" s="14"/>
      <c r="M1878" s="14" t="s">
        <v>4999</v>
      </c>
      <c r="N1878" s="14"/>
      <c r="O1878" s="14" t="s">
        <v>5000</v>
      </c>
      <c r="P1878" s="14" t="str">
        <f>HYPERLINK("https://ceds.ed.gov/cedselementdetails.aspx?termid=17142")</f>
        <v>https://ceds.ed.gov/cedselementdetails.aspx?termid=17142</v>
      </c>
      <c r="Q1878" s="14" t="str">
        <f>HYPERLINK("https://ceds.ed.gov/elementComment.aspx?elementName=Highly Qualified Teacher Indicator &amp;elementID=17142", "Click here to submit comment")</f>
        <v>Click here to submit comment</v>
      </c>
      <c r="R1878" s="14">
        <v>48090</v>
      </c>
    </row>
    <row r="1879" spans="1:18" ht="60" x14ac:dyDescent="0.25">
      <c r="A1879" s="14" t="s">
        <v>8732</v>
      </c>
      <c r="B1879" s="14" t="s">
        <v>8919</v>
      </c>
      <c r="C1879" s="14" t="s">
        <v>8701</v>
      </c>
      <c r="D1879" s="14" t="s">
        <v>8531</v>
      </c>
      <c r="E1879" s="14" t="s">
        <v>6632</v>
      </c>
      <c r="F1879" s="14" t="s">
        <v>6633</v>
      </c>
      <c r="G1879" s="8" t="s">
        <v>8930</v>
      </c>
      <c r="H1879" s="14" t="s">
        <v>258</v>
      </c>
      <c r="I1879" s="14"/>
      <c r="J1879" s="14"/>
      <c r="K1879" s="14"/>
      <c r="L1879" s="14"/>
      <c r="M1879" s="14" t="s">
        <v>6635</v>
      </c>
      <c r="N1879" s="14"/>
      <c r="O1879" s="14" t="s">
        <v>6636</v>
      </c>
      <c r="P1879" s="14" t="str">
        <f>HYPERLINK("https://ceds.ed.gov/cedselementdetails.aspx?termid=17207")</f>
        <v>https://ceds.ed.gov/cedselementdetails.aspx?termid=17207</v>
      </c>
      <c r="Q1879" s="14" t="str">
        <f>HYPERLINK("https://ceds.ed.gov/elementComment.aspx?elementName=Paraprofessional Qualification Status &amp;elementID=17207", "Click here to submit comment")</f>
        <v>Click here to submit comment</v>
      </c>
      <c r="R1879" s="14">
        <v>48104</v>
      </c>
    </row>
    <row r="1880" spans="1:18" ht="270" x14ac:dyDescent="0.25">
      <c r="A1880" s="14" t="s">
        <v>8732</v>
      </c>
      <c r="B1880" s="14" t="s">
        <v>8919</v>
      </c>
      <c r="C1880" s="14" t="s">
        <v>8701</v>
      </c>
      <c r="D1880" s="14" t="s">
        <v>8531</v>
      </c>
      <c r="E1880" s="14" t="s">
        <v>7153</v>
      </c>
      <c r="F1880" s="14" t="s">
        <v>7154</v>
      </c>
      <c r="G1880" s="8" t="s">
        <v>8931</v>
      </c>
      <c r="H1880" s="14"/>
      <c r="I1880" s="14"/>
      <c r="J1880" s="14"/>
      <c r="K1880" s="14"/>
      <c r="L1880" s="14"/>
      <c r="M1880" s="14" t="s">
        <v>7157</v>
      </c>
      <c r="N1880" s="14"/>
      <c r="O1880" s="14" t="s">
        <v>7158</v>
      </c>
      <c r="P1880" s="14" t="str">
        <f>HYPERLINK("https://ceds.ed.gov/cedselementdetails.aspx?termid=17692")</f>
        <v>https://ceds.ed.gov/cedselementdetails.aspx?termid=17692</v>
      </c>
      <c r="Q1880" s="14" t="str">
        <f>HYPERLINK("https://ceds.ed.gov/elementComment.aspx?elementName=Program Sponsor Type &amp;elementID=17692", "Click here to submit comment")</f>
        <v>Click here to submit comment</v>
      </c>
      <c r="R1880" s="14">
        <v>48148</v>
      </c>
    </row>
    <row r="1881" spans="1:18" ht="75" x14ac:dyDescent="0.25">
      <c r="A1881" s="14" t="s">
        <v>8732</v>
      </c>
      <c r="B1881" s="14" t="s">
        <v>8919</v>
      </c>
      <c r="C1881" s="14" t="s">
        <v>8701</v>
      </c>
      <c r="D1881" s="14" t="s">
        <v>8531</v>
      </c>
      <c r="E1881" s="14" t="s">
        <v>2165</v>
      </c>
      <c r="F1881" s="14" t="s">
        <v>2166</v>
      </c>
      <c r="G1881" s="14" t="s">
        <v>24</v>
      </c>
      <c r="H1881" s="14"/>
      <c r="I1881" s="14"/>
      <c r="J1881" s="14"/>
      <c r="K1881" s="14"/>
      <c r="L1881" s="14"/>
      <c r="M1881" s="14" t="s">
        <v>2168</v>
      </c>
      <c r="N1881" s="14" t="s">
        <v>2169</v>
      </c>
      <c r="O1881" s="14" t="s">
        <v>2170</v>
      </c>
      <c r="P1881" s="14" t="str">
        <f>HYPERLINK("https://ceds.ed.gov/cedselementdetails.aspx?termid=18284")</f>
        <v>https://ceds.ed.gov/cedselementdetails.aspx?termid=18284</v>
      </c>
      <c r="Q1881" s="14" t="str">
        <f>HYPERLINK("https://ceds.ed.gov/elementComment.aspx?elementName=Career and Technical Education Instructor Industry Certification &amp;elementID=18284", "Click here to submit comment")</f>
        <v>Click here to submit comment</v>
      </c>
      <c r="R1881" s="14">
        <v>50122</v>
      </c>
    </row>
    <row r="1882" spans="1:18" ht="45" x14ac:dyDescent="0.25">
      <c r="A1882" s="14" t="s">
        <v>8732</v>
      </c>
      <c r="B1882" s="14" t="s">
        <v>8919</v>
      </c>
      <c r="C1882" s="14" t="s">
        <v>8701</v>
      </c>
      <c r="D1882" s="14" t="s">
        <v>8531</v>
      </c>
      <c r="E1882" s="14" t="s">
        <v>3324</v>
      </c>
      <c r="F1882" s="14" t="s">
        <v>3325</v>
      </c>
      <c r="G1882" s="14" t="s">
        <v>37</v>
      </c>
      <c r="H1882" s="14"/>
      <c r="I1882" s="14"/>
      <c r="J1882" s="14" t="s">
        <v>175</v>
      </c>
      <c r="K1882" s="14"/>
      <c r="L1882" s="14"/>
      <c r="M1882" s="14" t="s">
        <v>3326</v>
      </c>
      <c r="N1882" s="14"/>
      <c r="O1882" s="14" t="s">
        <v>3327</v>
      </c>
      <c r="P1882" s="14" t="str">
        <f>HYPERLINK("https://ceds.ed.gov/cedselementdetails.aspx?termid=18566")</f>
        <v>https://ceds.ed.gov/cedselementdetails.aspx?termid=18566</v>
      </c>
      <c r="Q1882" s="14" t="str">
        <f>HYPERLINK("https://ceds.ed.gov/elementComment.aspx?elementName=Credential or License Award Entity &amp;elementID=18566", "Click here to submit comment")</f>
        <v>Click here to submit comment</v>
      </c>
      <c r="R1882" s="14">
        <v>51757</v>
      </c>
    </row>
    <row r="1883" spans="1:18" ht="45" x14ac:dyDescent="0.25">
      <c r="A1883" s="14" t="s">
        <v>8732</v>
      </c>
      <c r="B1883" s="14" t="s">
        <v>8919</v>
      </c>
      <c r="C1883" s="14" t="s">
        <v>8701</v>
      </c>
      <c r="D1883" s="14" t="s">
        <v>8531</v>
      </c>
      <c r="E1883" s="14" t="s">
        <v>6359</v>
      </c>
      <c r="F1883" s="14" t="s">
        <v>6360</v>
      </c>
      <c r="G1883" s="14" t="s">
        <v>37</v>
      </c>
      <c r="H1883" s="14" t="s">
        <v>238</v>
      </c>
      <c r="I1883" s="14"/>
      <c r="J1883" s="14" t="s">
        <v>175</v>
      </c>
      <c r="K1883" s="14"/>
      <c r="L1883" s="14"/>
      <c r="M1883" s="14" t="s">
        <v>6361</v>
      </c>
      <c r="N1883" s="14"/>
      <c r="O1883" s="14" t="s">
        <v>6362</v>
      </c>
      <c r="P1883" s="14" t="str">
        <f>HYPERLINK("https://ceds.ed.gov/cedselementdetails.aspx?termid=18064")</f>
        <v>https://ceds.ed.gov/cedselementdetails.aspx?termid=18064</v>
      </c>
      <c r="Q1883" s="14" t="str">
        <f>HYPERLINK("https://ceds.ed.gov/elementComment.aspx?elementName=Name of Professional Credential or License &amp;elementID=18064", "Click here to submit comment")</f>
        <v>Click here to submit comment</v>
      </c>
      <c r="R1883" s="14">
        <v>51756</v>
      </c>
    </row>
    <row r="1884" spans="1:18" ht="409.5" x14ac:dyDescent="0.25">
      <c r="A1884" s="14" t="s">
        <v>8732</v>
      </c>
      <c r="B1884" s="14" t="s">
        <v>8919</v>
      </c>
      <c r="C1884" s="14" t="s">
        <v>8701</v>
      </c>
      <c r="D1884" s="14" t="s">
        <v>8531</v>
      </c>
      <c r="E1884" s="14" t="s">
        <v>8004</v>
      </c>
      <c r="F1884" s="14" t="s">
        <v>8005</v>
      </c>
      <c r="G1884" s="8" t="s">
        <v>8703</v>
      </c>
      <c r="H1884" s="14" t="s">
        <v>238</v>
      </c>
      <c r="I1884" s="14"/>
      <c r="J1884" s="14"/>
      <c r="K1884" s="14"/>
      <c r="L1884" s="14"/>
      <c r="M1884" s="14" t="s">
        <v>8007</v>
      </c>
      <c r="N1884" s="14"/>
      <c r="O1884" s="14" t="s">
        <v>8008</v>
      </c>
      <c r="P1884" s="14" t="str">
        <f>HYPERLINK("https://ceds.ed.gov/cedselementdetails.aspx?termid=17804")</f>
        <v>https://ceds.ed.gov/cedselementdetails.aspx?termid=17804</v>
      </c>
      <c r="Q1884" s="14" t="str">
        <f>HYPERLINK("https://ceds.ed.gov/elementComment.aspx?elementName=State Issuing Professional Credential or License &amp;elementID=17804", "Click here to submit comment")</f>
        <v>Click here to submit comment</v>
      </c>
      <c r="R1884" s="14">
        <v>51755</v>
      </c>
    </row>
    <row r="1885" spans="1:18" ht="90" x14ac:dyDescent="0.25">
      <c r="A1885" s="14" t="s">
        <v>8732</v>
      </c>
      <c r="B1885" s="14" t="s">
        <v>8919</v>
      </c>
      <c r="C1885" s="14" t="s">
        <v>8693</v>
      </c>
      <c r="D1885" s="14" t="s">
        <v>8531</v>
      </c>
      <c r="E1885" s="14" t="s">
        <v>6758</v>
      </c>
      <c r="F1885" s="14" t="s">
        <v>6759</v>
      </c>
      <c r="G1885" s="14" t="s">
        <v>37</v>
      </c>
      <c r="H1885" s="14" t="s">
        <v>72</v>
      </c>
      <c r="I1885" s="14"/>
      <c r="J1885" s="14" t="s">
        <v>1510</v>
      </c>
      <c r="K1885" s="14"/>
      <c r="L1885" s="14"/>
      <c r="M1885" s="14" t="s">
        <v>6761</v>
      </c>
      <c r="N1885" s="14"/>
      <c r="O1885" s="14" t="s">
        <v>6762</v>
      </c>
      <c r="P1885" s="14" t="str">
        <f>HYPERLINK("https://ceds.ed.gov/cedselementdetails.aspx?termid=17213")</f>
        <v>https://ceds.ed.gov/cedselementdetails.aspx?termid=17213</v>
      </c>
      <c r="Q1885" s="14" t="str">
        <f>HYPERLINK("https://ceds.ed.gov/elementComment.aspx?elementName=Position Title &amp;elementID=17213", "Click here to submit comment")</f>
        <v>Click here to submit comment</v>
      </c>
      <c r="R1885" s="14">
        <v>48106</v>
      </c>
    </row>
    <row r="1886" spans="1:18" ht="210" x14ac:dyDescent="0.25">
      <c r="A1886" s="14" t="s">
        <v>8732</v>
      </c>
      <c r="B1886" s="14" t="s">
        <v>8919</v>
      </c>
      <c r="C1886" s="14" t="s">
        <v>8693</v>
      </c>
      <c r="D1886" s="14" t="s">
        <v>8531</v>
      </c>
      <c r="E1886" s="14" t="s">
        <v>5001</v>
      </c>
      <c r="F1886" s="14" t="s">
        <v>5002</v>
      </c>
      <c r="G1886" s="14" t="s">
        <v>37</v>
      </c>
      <c r="H1886" s="14" t="s">
        <v>5007</v>
      </c>
      <c r="I1886" s="14"/>
      <c r="J1886" s="14" t="s">
        <v>135</v>
      </c>
      <c r="K1886" s="14"/>
      <c r="L1886" s="14" t="s">
        <v>5004</v>
      </c>
      <c r="M1886" s="14" t="s">
        <v>5005</v>
      </c>
      <c r="N1886" s="14"/>
      <c r="O1886" s="14" t="s">
        <v>5006</v>
      </c>
      <c r="P1886" s="14" t="str">
        <f>HYPERLINK("https://ceds.ed.gov/cedselementdetails.aspx?termid=17143")</f>
        <v>https://ceds.ed.gov/cedselementdetails.aspx?termid=17143</v>
      </c>
      <c r="Q1886" s="14" t="str">
        <f>HYPERLINK("https://ceds.ed.gov/elementComment.aspx?elementName=Hire Date &amp;elementID=17143", "Click here to submit comment")</f>
        <v>Click here to submit comment</v>
      </c>
      <c r="R1886" s="14">
        <v>48091</v>
      </c>
    </row>
    <row r="1887" spans="1:18" ht="60" x14ac:dyDescent="0.25">
      <c r="A1887" s="14" t="s">
        <v>8732</v>
      </c>
      <c r="B1887" s="14" t="s">
        <v>8919</v>
      </c>
      <c r="C1887" s="14" t="s">
        <v>8693</v>
      </c>
      <c r="D1887" s="14" t="s">
        <v>8531</v>
      </c>
      <c r="E1887" s="14" t="s">
        <v>4037</v>
      </c>
      <c r="F1887" s="14" t="s">
        <v>4038</v>
      </c>
      <c r="G1887" s="14" t="s">
        <v>37</v>
      </c>
      <c r="H1887" s="14" t="s">
        <v>4041</v>
      </c>
      <c r="I1887" s="14"/>
      <c r="J1887" s="14" t="s">
        <v>135</v>
      </c>
      <c r="K1887" s="14"/>
      <c r="L1887" s="14"/>
      <c r="M1887" s="14" t="s">
        <v>4039</v>
      </c>
      <c r="N1887" s="14"/>
      <c r="O1887" s="14" t="s">
        <v>4040</v>
      </c>
      <c r="P1887" s="14" t="str">
        <f>HYPERLINK("https://ceds.ed.gov/cedselementdetails.aspx?termid=17345")</f>
        <v>https://ceds.ed.gov/cedselementdetails.aspx?termid=17345</v>
      </c>
      <c r="Q1887" s="14" t="str">
        <f>HYPERLINK("https://ceds.ed.gov/elementComment.aspx?elementName=Employment Start Date &amp;elementID=17345", "Click here to submit comment")</f>
        <v>Click here to submit comment</v>
      </c>
      <c r="R1887" s="14">
        <v>50704</v>
      </c>
    </row>
    <row r="1888" spans="1:18" ht="75" x14ac:dyDescent="0.25">
      <c r="A1888" s="14" t="s">
        <v>8732</v>
      </c>
      <c r="B1888" s="14" t="s">
        <v>8919</v>
      </c>
      <c r="C1888" s="14" t="s">
        <v>8693</v>
      </c>
      <c r="D1888" s="14" t="s">
        <v>8531</v>
      </c>
      <c r="E1888" s="14" t="s">
        <v>3995</v>
      </c>
      <c r="F1888" s="14" t="s">
        <v>3996</v>
      </c>
      <c r="G1888" s="14" t="s">
        <v>37</v>
      </c>
      <c r="H1888" s="14" t="s">
        <v>238</v>
      </c>
      <c r="I1888" s="14"/>
      <c r="J1888" s="14" t="s">
        <v>135</v>
      </c>
      <c r="K1888" s="14"/>
      <c r="L1888" s="14" t="s">
        <v>160</v>
      </c>
      <c r="M1888" s="14" t="s">
        <v>3998</v>
      </c>
      <c r="N1888" s="14"/>
      <c r="O1888" s="14" t="s">
        <v>3999</v>
      </c>
      <c r="P1888" s="14" t="str">
        <f>HYPERLINK("https://ceds.ed.gov/cedselementdetails.aspx?termid=17794")</f>
        <v>https://ceds.ed.gov/cedselementdetails.aspx?termid=17794</v>
      </c>
      <c r="Q1888" s="14" t="str">
        <f>HYPERLINK("https://ceds.ed.gov/elementComment.aspx?elementName=Employment End Date &amp;elementID=17794", "Click here to submit comment")</f>
        <v>Click here to submit comment</v>
      </c>
      <c r="R1888" s="14">
        <v>50699</v>
      </c>
    </row>
    <row r="1889" spans="1:18" ht="210" x14ac:dyDescent="0.25">
      <c r="A1889" s="14" t="s">
        <v>8732</v>
      </c>
      <c r="B1889" s="14" t="s">
        <v>8919</v>
      </c>
      <c r="C1889" s="14" t="s">
        <v>8693</v>
      </c>
      <c r="D1889" s="14" t="s">
        <v>8531</v>
      </c>
      <c r="E1889" s="14" t="s">
        <v>4042</v>
      </c>
      <c r="F1889" s="14" t="s">
        <v>342</v>
      </c>
      <c r="G1889" s="8" t="s">
        <v>8694</v>
      </c>
      <c r="H1889" s="14" t="s">
        <v>3474</v>
      </c>
      <c r="I1889" s="14"/>
      <c r="J1889" s="14"/>
      <c r="K1889" s="14"/>
      <c r="L1889" s="14"/>
      <c r="M1889" s="14" t="s">
        <v>4044</v>
      </c>
      <c r="N1889" s="14"/>
      <c r="O1889" s="14" t="s">
        <v>4045</v>
      </c>
      <c r="P1889" s="14" t="str">
        <f>HYPERLINK("https://ceds.ed.gov/cedselementdetails.aspx?termid=17346")</f>
        <v>https://ceds.ed.gov/cedselementdetails.aspx?termid=17346</v>
      </c>
      <c r="Q1889" s="14" t="str">
        <f>HYPERLINK("https://ceds.ed.gov/elementComment.aspx?elementName=Employment Status &amp;elementID=17346", "Click here to submit comment")</f>
        <v>Click here to submit comment</v>
      </c>
      <c r="R1889" s="14">
        <v>48124</v>
      </c>
    </row>
    <row r="1890" spans="1:18" ht="405" x14ac:dyDescent="0.25">
      <c r="A1890" s="14" t="s">
        <v>8732</v>
      </c>
      <c r="B1890" s="14" t="s">
        <v>8919</v>
      </c>
      <c r="C1890" s="14" t="s">
        <v>8693</v>
      </c>
      <c r="D1890" s="14" t="s">
        <v>8531</v>
      </c>
      <c r="E1890" s="14" t="s">
        <v>4027</v>
      </c>
      <c r="F1890" s="14" t="s">
        <v>3763</v>
      </c>
      <c r="G1890" s="8" t="s">
        <v>8695</v>
      </c>
      <c r="H1890" s="14"/>
      <c r="I1890" s="14" t="s">
        <v>195</v>
      </c>
      <c r="J1890" s="14"/>
      <c r="K1890" s="14" t="s">
        <v>2856</v>
      </c>
      <c r="L1890" s="14"/>
      <c r="M1890" s="14" t="s">
        <v>4029</v>
      </c>
      <c r="N1890" s="14"/>
      <c r="O1890" s="14" t="s">
        <v>4030</v>
      </c>
      <c r="P1890" s="14" t="str">
        <f>HYPERLINK("https://ceds.ed.gov/cedselementdetails.aspx?termid=17613")</f>
        <v>https://ceds.ed.gov/cedselementdetails.aspx?termid=17613</v>
      </c>
      <c r="Q1890" s="14" t="str">
        <f>HYPERLINK("https://ceds.ed.gov/elementComment.aspx?elementName=Employment Separation Reason &amp;elementID=17613", "Click here to submit comment")</f>
        <v>Click here to submit comment</v>
      </c>
      <c r="R1890" s="14">
        <v>48136</v>
      </c>
    </row>
    <row r="1891" spans="1:18" ht="75" x14ac:dyDescent="0.25">
      <c r="A1891" s="14" t="s">
        <v>8732</v>
      </c>
      <c r="B1891" s="14" t="s">
        <v>8919</v>
      </c>
      <c r="C1891" s="14" t="s">
        <v>8693</v>
      </c>
      <c r="D1891" s="14" t="s">
        <v>8531</v>
      </c>
      <c r="E1891" s="14" t="s">
        <v>4031</v>
      </c>
      <c r="F1891" s="14" t="s">
        <v>4032</v>
      </c>
      <c r="G1891" s="8" t="s">
        <v>8696</v>
      </c>
      <c r="H1891" s="14"/>
      <c r="I1891" s="14"/>
      <c r="J1891" s="14"/>
      <c r="K1891" s="14"/>
      <c r="L1891" s="14"/>
      <c r="M1891" s="14" t="s">
        <v>4035</v>
      </c>
      <c r="N1891" s="14"/>
      <c r="O1891" s="14" t="s">
        <v>4036</v>
      </c>
      <c r="P1891" s="14" t="str">
        <f>HYPERLINK("https://ceds.ed.gov/cedselementdetails.aspx?termid=17614")</f>
        <v>https://ceds.ed.gov/cedselementdetails.aspx?termid=17614</v>
      </c>
      <c r="Q1891" s="14" t="str">
        <f>HYPERLINK("https://ceds.ed.gov/elementComment.aspx?elementName=Employment Separation Type &amp;elementID=17614", "Click here to submit comment")</f>
        <v>Click here to submit comment</v>
      </c>
      <c r="R1891" s="14">
        <v>48137</v>
      </c>
    </row>
    <row r="1892" spans="1:18" ht="60" x14ac:dyDescent="0.25">
      <c r="A1892" s="14" t="s">
        <v>8732</v>
      </c>
      <c r="B1892" s="14" t="s">
        <v>8919</v>
      </c>
      <c r="C1892" s="14" t="s">
        <v>8693</v>
      </c>
      <c r="D1892" s="14" t="s">
        <v>8531</v>
      </c>
      <c r="E1892" s="14" t="s">
        <v>2802</v>
      </c>
      <c r="F1892" s="14" t="s">
        <v>2803</v>
      </c>
      <c r="G1892" s="14" t="s">
        <v>37</v>
      </c>
      <c r="H1892" s="14" t="s">
        <v>2807</v>
      </c>
      <c r="I1892" s="14"/>
      <c r="J1892" s="14" t="s">
        <v>1710</v>
      </c>
      <c r="K1892" s="14"/>
      <c r="L1892" s="14"/>
      <c r="M1892" s="14" t="s">
        <v>2805</v>
      </c>
      <c r="N1892" s="14"/>
      <c r="O1892" s="14" t="s">
        <v>2806</v>
      </c>
      <c r="P1892" s="14" t="str">
        <f>HYPERLINK("https://ceds.ed.gov/cedselementdetails.aspx?termid=17047")</f>
        <v>https://ceds.ed.gov/cedselementdetails.aspx?termid=17047</v>
      </c>
      <c r="Q1892" s="14" t="str">
        <f>HYPERLINK("https://ceds.ed.gov/elementComment.aspx?elementName=Contract Days of Service Per Year &amp;elementID=17047", "Click here to submit comment")</f>
        <v>Click here to submit comment</v>
      </c>
      <c r="R1892" s="14">
        <v>48076</v>
      </c>
    </row>
    <row r="1893" spans="1:18" ht="225" x14ac:dyDescent="0.25">
      <c r="A1893" s="14" t="s">
        <v>8732</v>
      </c>
      <c r="B1893" s="14" t="s">
        <v>8919</v>
      </c>
      <c r="C1893" s="14" t="s">
        <v>8693</v>
      </c>
      <c r="D1893" s="14" t="s">
        <v>8531</v>
      </c>
      <c r="E1893" s="14" t="s">
        <v>7864</v>
      </c>
      <c r="F1893" s="14" t="s">
        <v>7865</v>
      </c>
      <c r="G1893" s="14" t="s">
        <v>37</v>
      </c>
      <c r="H1893" s="14" t="s">
        <v>2807</v>
      </c>
      <c r="I1893" s="14"/>
      <c r="J1893" s="14" t="s">
        <v>1710</v>
      </c>
      <c r="K1893" s="14"/>
      <c r="L1893" s="14" t="s">
        <v>7866</v>
      </c>
      <c r="M1893" s="14" t="s">
        <v>7867</v>
      </c>
      <c r="N1893" s="14"/>
      <c r="O1893" s="14" t="s">
        <v>7868</v>
      </c>
      <c r="P1893" s="14" t="str">
        <f>HYPERLINK("https://ceds.ed.gov/cedselementdetails.aspx?termid=17032")</f>
        <v>https://ceds.ed.gov/cedselementdetails.aspx?termid=17032</v>
      </c>
      <c r="Q1893" s="14" t="str">
        <f>HYPERLINK("https://ceds.ed.gov/elementComment.aspx?elementName=Staff Compensation Base Salary &amp;elementID=17032", "Click here to submit comment")</f>
        <v>Click here to submit comment</v>
      </c>
      <c r="R1893" s="14">
        <v>48073</v>
      </c>
    </row>
    <row r="1894" spans="1:18" ht="45" x14ac:dyDescent="0.25">
      <c r="A1894" s="14" t="s">
        <v>8732</v>
      </c>
      <c r="B1894" s="14" t="s">
        <v>8919</v>
      </c>
      <c r="C1894" s="14" t="s">
        <v>8693</v>
      </c>
      <c r="D1894" s="14" t="s">
        <v>8531</v>
      </c>
      <c r="E1894" s="14" t="s">
        <v>7535</v>
      </c>
      <c r="F1894" s="14" t="s">
        <v>7536</v>
      </c>
      <c r="G1894" s="14" t="s">
        <v>24</v>
      </c>
      <c r="H1894" s="14" t="s">
        <v>2807</v>
      </c>
      <c r="I1894" s="14"/>
      <c r="J1894" s="14"/>
      <c r="K1894" s="14"/>
      <c r="L1894" s="14"/>
      <c r="M1894" s="14" t="s">
        <v>7537</v>
      </c>
      <c r="N1894" s="14"/>
      <c r="O1894" s="14" t="s">
        <v>7538</v>
      </c>
      <c r="P1894" s="14" t="str">
        <f>HYPERLINK("https://ceds.ed.gov/cedselementdetails.aspx?termid=17234")</f>
        <v>https://ceds.ed.gov/cedselementdetails.aspx?termid=17234</v>
      </c>
      <c r="Q1894" s="14" t="str">
        <f>HYPERLINK("https://ceds.ed.gov/elementComment.aspx?elementName=Salary for Teaching Assignment Only Indicator &amp;elementID=17234", "Click here to submit comment")</f>
        <v>Click here to submit comment</v>
      </c>
      <c r="R1894" s="14">
        <v>48110</v>
      </c>
    </row>
    <row r="1895" spans="1:18" ht="135" x14ac:dyDescent="0.25">
      <c r="A1895" s="14" t="s">
        <v>8732</v>
      </c>
      <c r="B1895" s="14" t="s">
        <v>8919</v>
      </c>
      <c r="C1895" s="14" t="s">
        <v>8693</v>
      </c>
      <c r="D1895" s="14" t="s">
        <v>8531</v>
      </c>
      <c r="E1895" s="14" t="s">
        <v>7869</v>
      </c>
      <c r="F1895" s="14" t="s">
        <v>7870</v>
      </c>
      <c r="G1895" s="14" t="s">
        <v>37</v>
      </c>
      <c r="H1895" s="14" t="s">
        <v>2807</v>
      </c>
      <c r="I1895" s="14"/>
      <c r="J1895" s="14" t="s">
        <v>1710</v>
      </c>
      <c r="K1895" s="14"/>
      <c r="L1895" s="14"/>
      <c r="M1895" s="14" t="s">
        <v>7871</v>
      </c>
      <c r="N1895" s="14"/>
      <c r="O1895" s="14" t="s">
        <v>7872</v>
      </c>
      <c r="P1895" s="14" t="str">
        <f>HYPERLINK("https://ceds.ed.gov/cedselementdetails.aspx?termid=17136")</f>
        <v>https://ceds.ed.gov/cedselementdetails.aspx?termid=17136</v>
      </c>
      <c r="Q1895" s="14" t="str">
        <f>HYPERLINK("https://ceds.ed.gov/elementComment.aspx?elementName=Staff Compensation Health Benefits &amp;elementID=17136", "Click here to submit comment")</f>
        <v>Click here to submit comment</v>
      </c>
      <c r="R1895" s="14">
        <v>48088</v>
      </c>
    </row>
    <row r="1896" spans="1:18" ht="135" x14ac:dyDescent="0.25">
      <c r="A1896" s="14" t="s">
        <v>8732</v>
      </c>
      <c r="B1896" s="14" t="s">
        <v>8919</v>
      </c>
      <c r="C1896" s="14" t="s">
        <v>8693</v>
      </c>
      <c r="D1896" s="14" t="s">
        <v>8531</v>
      </c>
      <c r="E1896" s="14" t="s">
        <v>7877</v>
      </c>
      <c r="F1896" s="14" t="s">
        <v>7878</v>
      </c>
      <c r="G1896" s="14" t="s">
        <v>37</v>
      </c>
      <c r="H1896" s="14" t="s">
        <v>2807</v>
      </c>
      <c r="I1896" s="14"/>
      <c r="J1896" s="14" t="s">
        <v>1710</v>
      </c>
      <c r="K1896" s="14"/>
      <c r="L1896" s="14"/>
      <c r="M1896" s="14" t="s">
        <v>7879</v>
      </c>
      <c r="N1896" s="14"/>
      <c r="O1896" s="14" t="s">
        <v>7880</v>
      </c>
      <c r="P1896" s="14" t="str">
        <f>HYPERLINK("https://ceds.ed.gov/cedselementdetails.aspx?termid=17233")</f>
        <v>https://ceds.ed.gov/cedselementdetails.aspx?termid=17233</v>
      </c>
      <c r="Q1896" s="14" t="str">
        <f>HYPERLINK("https://ceds.ed.gov/elementComment.aspx?elementName=Staff Compensation Retirement Benefits &amp;elementID=17233", "Click here to submit comment")</f>
        <v>Click here to submit comment</v>
      </c>
      <c r="R1896" s="14">
        <v>48109</v>
      </c>
    </row>
    <row r="1897" spans="1:18" ht="150" x14ac:dyDescent="0.25">
      <c r="A1897" s="14" t="s">
        <v>8732</v>
      </c>
      <c r="B1897" s="14" t="s">
        <v>8919</v>
      </c>
      <c r="C1897" s="14" t="s">
        <v>8693</v>
      </c>
      <c r="D1897" s="14" t="s">
        <v>8531</v>
      </c>
      <c r="E1897" s="14" t="s">
        <v>7873</v>
      </c>
      <c r="F1897" s="14" t="s">
        <v>7874</v>
      </c>
      <c r="G1897" s="14" t="s">
        <v>37</v>
      </c>
      <c r="H1897" s="14" t="s">
        <v>2807</v>
      </c>
      <c r="I1897" s="14"/>
      <c r="J1897" s="14" t="s">
        <v>1710</v>
      </c>
      <c r="K1897" s="14"/>
      <c r="L1897" s="14"/>
      <c r="M1897" s="14" t="s">
        <v>7875</v>
      </c>
      <c r="N1897" s="14"/>
      <c r="O1897" s="14" t="s">
        <v>7876</v>
      </c>
      <c r="P1897" s="14" t="str">
        <f>HYPERLINK("https://ceds.ed.gov/cedselementdetails.aspx?termid=17205")</f>
        <v>https://ceds.ed.gov/cedselementdetails.aspx?termid=17205</v>
      </c>
      <c r="Q1897" s="14" t="str">
        <f>HYPERLINK("https://ceds.ed.gov/elementComment.aspx?elementName=Staff Compensation Other Benefits &amp;elementID=17205", "Click here to submit comment")</f>
        <v>Click here to submit comment</v>
      </c>
      <c r="R1897" s="14">
        <v>48102</v>
      </c>
    </row>
    <row r="1898" spans="1:18" ht="165" x14ac:dyDescent="0.25">
      <c r="A1898" s="14" t="s">
        <v>8732</v>
      </c>
      <c r="B1898" s="14" t="s">
        <v>8919</v>
      </c>
      <c r="C1898" s="14" t="s">
        <v>8693</v>
      </c>
      <c r="D1898" s="14" t="s">
        <v>8531</v>
      </c>
      <c r="E1898" s="14" t="s">
        <v>7881</v>
      </c>
      <c r="F1898" s="14" t="s">
        <v>7882</v>
      </c>
      <c r="G1898" s="14" t="s">
        <v>37</v>
      </c>
      <c r="H1898" s="14" t="s">
        <v>2807</v>
      </c>
      <c r="I1898" s="14"/>
      <c r="J1898" s="14" t="s">
        <v>1710</v>
      </c>
      <c r="K1898" s="14"/>
      <c r="L1898" s="14"/>
      <c r="M1898" s="14" t="s">
        <v>7883</v>
      </c>
      <c r="N1898" s="14"/>
      <c r="O1898" s="14" t="s">
        <v>7884</v>
      </c>
      <c r="P1898" s="14" t="str">
        <f>HYPERLINK("https://ceds.ed.gov/cedselementdetails.aspx?termid=17293")</f>
        <v>https://ceds.ed.gov/cedselementdetails.aspx?termid=17293</v>
      </c>
      <c r="Q1898" s="14" t="str">
        <f>HYPERLINK("https://ceds.ed.gov/elementComment.aspx?elementName=Staff Compensation Total Benefits &amp;elementID=17293", "Click here to submit comment")</f>
        <v>Click here to submit comment</v>
      </c>
      <c r="R1898" s="14">
        <v>48121</v>
      </c>
    </row>
    <row r="1899" spans="1:18" ht="60" x14ac:dyDescent="0.25">
      <c r="A1899" s="14" t="s">
        <v>8732</v>
      </c>
      <c r="B1899" s="14" t="s">
        <v>8919</v>
      </c>
      <c r="C1899" s="14" t="s">
        <v>8693</v>
      </c>
      <c r="D1899" s="14" t="s">
        <v>8531</v>
      </c>
      <c r="E1899" s="14" t="s">
        <v>7885</v>
      </c>
      <c r="F1899" s="14" t="s">
        <v>7886</v>
      </c>
      <c r="G1899" s="14" t="s">
        <v>37</v>
      </c>
      <c r="H1899" s="14" t="s">
        <v>2807</v>
      </c>
      <c r="I1899" s="14"/>
      <c r="J1899" s="14" t="s">
        <v>1710</v>
      </c>
      <c r="K1899" s="14"/>
      <c r="L1899" s="14"/>
      <c r="M1899" s="14" t="s">
        <v>7887</v>
      </c>
      <c r="N1899" s="14"/>
      <c r="O1899" s="14" t="s">
        <v>7888</v>
      </c>
      <c r="P1899" s="14" t="str">
        <f>HYPERLINK("https://ceds.ed.gov/cedselementdetails.aspx?termid=17295")</f>
        <v>https://ceds.ed.gov/cedselementdetails.aspx?termid=17295</v>
      </c>
      <c r="Q1899" s="14" t="str">
        <f>HYPERLINK("https://ceds.ed.gov/elementComment.aspx?elementName=Staff Compensation Total Salary &amp;elementID=17295", "Click here to submit comment")</f>
        <v>Click here to submit comment</v>
      </c>
      <c r="R1899" s="14">
        <v>48122</v>
      </c>
    </row>
    <row r="1900" spans="1:18" ht="60" x14ac:dyDescent="0.25">
      <c r="A1900" s="14" t="s">
        <v>8732</v>
      </c>
      <c r="B1900" s="14" t="s">
        <v>8919</v>
      </c>
      <c r="C1900" s="14" t="s">
        <v>8693</v>
      </c>
      <c r="D1900" s="14" t="s">
        <v>8531</v>
      </c>
      <c r="E1900" s="14" t="s">
        <v>6249</v>
      </c>
      <c r="F1900" s="14" t="s">
        <v>6250</v>
      </c>
      <c r="G1900" s="14" t="s">
        <v>24</v>
      </c>
      <c r="H1900" s="14" t="s">
        <v>258</v>
      </c>
      <c r="I1900" s="14"/>
      <c r="J1900" s="14"/>
      <c r="K1900" s="14"/>
      <c r="L1900" s="14"/>
      <c r="M1900" s="14" t="s">
        <v>6251</v>
      </c>
      <c r="N1900" s="14" t="s">
        <v>6252</v>
      </c>
      <c r="O1900" s="14" t="s">
        <v>6253</v>
      </c>
      <c r="P1900" s="14" t="str">
        <f>HYPERLINK("https://ceds.ed.gov/cedselementdetails.aspx?termid=17534")</f>
        <v>https://ceds.ed.gov/cedselementdetails.aspx?termid=17534</v>
      </c>
      <c r="Q1900" s="14" t="str">
        <f>HYPERLINK("https://ceds.ed.gov/elementComment.aspx?elementName=Migrant Education Program Personnel Indicator &amp;elementID=17534", "Click here to submit comment")</f>
        <v>Click here to submit comment</v>
      </c>
      <c r="R1900" s="14">
        <v>48129</v>
      </c>
    </row>
    <row r="1901" spans="1:18" ht="60" x14ac:dyDescent="0.25">
      <c r="A1901" s="14" t="s">
        <v>8732</v>
      </c>
      <c r="B1901" s="14" t="s">
        <v>8919</v>
      </c>
      <c r="C1901" s="14" t="s">
        <v>8693</v>
      </c>
      <c r="D1901" s="14" t="s">
        <v>8531</v>
      </c>
      <c r="E1901" s="14" t="s">
        <v>8302</v>
      </c>
      <c r="F1901" s="14" t="s">
        <v>8303</v>
      </c>
      <c r="G1901" s="14" t="s">
        <v>24</v>
      </c>
      <c r="H1901" s="14"/>
      <c r="I1901" s="14"/>
      <c r="J1901" s="14"/>
      <c r="K1901" s="14"/>
      <c r="L1901" s="14"/>
      <c r="M1901" s="14" t="s">
        <v>8304</v>
      </c>
      <c r="N1901" s="14"/>
      <c r="O1901" s="14" t="s">
        <v>8305</v>
      </c>
      <c r="P1901" s="14" t="str">
        <f>HYPERLINK("https://ceds.ed.gov/cedselementdetails.aspx?termid=17543")</f>
        <v>https://ceds.ed.gov/cedselementdetails.aspx?termid=17543</v>
      </c>
      <c r="Q1901" s="14" t="str">
        <f>HYPERLINK("https://ceds.ed.gov/elementComment.aspx?elementName=Title I Targeted Assistance Staff Funded &amp;elementID=17543", "Click here to submit comment")</f>
        <v>Click here to submit comment</v>
      </c>
      <c r="R1901" s="14">
        <v>48131</v>
      </c>
    </row>
    <row r="1902" spans="1:18" ht="120" x14ac:dyDescent="0.25">
      <c r="A1902" s="14" t="s">
        <v>8732</v>
      </c>
      <c r="B1902" s="14" t="s">
        <v>8919</v>
      </c>
      <c r="C1902" s="14" t="s">
        <v>8693</v>
      </c>
      <c r="D1902" s="14" t="s">
        <v>8541</v>
      </c>
      <c r="E1902" s="14" t="s">
        <v>7940</v>
      </c>
      <c r="F1902" s="14" t="s">
        <v>7941</v>
      </c>
      <c r="G1902" s="14" t="s">
        <v>37</v>
      </c>
      <c r="H1902" s="14" t="s">
        <v>80</v>
      </c>
      <c r="I1902" s="14" t="s">
        <v>195</v>
      </c>
      <c r="J1902" s="14" t="s">
        <v>7943</v>
      </c>
      <c r="K1902" s="14" t="s">
        <v>2856</v>
      </c>
      <c r="L1902" s="14"/>
      <c r="M1902" s="14" t="s">
        <v>7944</v>
      </c>
      <c r="N1902" s="14"/>
      <c r="O1902" s="14" t="s">
        <v>7945</v>
      </c>
      <c r="P1902" s="14" t="str">
        <f>HYPERLINK("https://ceds.ed.gov/cedselementdetails.aspx?termid=17707")</f>
        <v>https://ceds.ed.gov/cedselementdetails.aspx?termid=17707</v>
      </c>
      <c r="Q1902" s="14" t="str">
        <f>HYPERLINK("https://ceds.ed.gov/elementComment.aspx?elementName=Standard Occupational Classification &amp;elementID=17707", "Click here to submit comment")</f>
        <v>Click here to submit comment</v>
      </c>
      <c r="R1902" s="14">
        <v>52326</v>
      </c>
    </row>
    <row r="1903" spans="1:18" ht="45" x14ac:dyDescent="0.25">
      <c r="A1903" s="14" t="s">
        <v>8732</v>
      </c>
      <c r="B1903" s="14" t="s">
        <v>8919</v>
      </c>
      <c r="C1903" s="14" t="s">
        <v>8586</v>
      </c>
      <c r="D1903" s="14" t="s">
        <v>8531</v>
      </c>
      <c r="E1903" s="14" t="s">
        <v>2189</v>
      </c>
      <c r="F1903" s="14" t="s">
        <v>2190</v>
      </c>
      <c r="G1903" s="14" t="s">
        <v>37</v>
      </c>
      <c r="H1903" s="14"/>
      <c r="I1903" s="14"/>
      <c r="J1903" s="14" t="s">
        <v>135</v>
      </c>
      <c r="K1903" s="14"/>
      <c r="L1903" s="14"/>
      <c r="M1903" s="14" t="s">
        <v>2192</v>
      </c>
      <c r="N1903" s="14"/>
      <c r="O1903" s="14" t="s">
        <v>2193</v>
      </c>
      <c r="P1903" s="14" t="str">
        <f>HYPERLINK("https://ceds.ed.gov/cedselementdetails.aspx?termid=18255")</f>
        <v>https://ceds.ed.gov/cedselementdetails.aspx?termid=18255</v>
      </c>
      <c r="Q1903" s="14" t="str">
        <f>HYPERLINK("https://ceds.ed.gov/elementComment.aspx?elementName=Career Education Plan Date &amp;elementID=18255", "Click here to submit comment")</f>
        <v>Click here to submit comment</v>
      </c>
      <c r="R1903" s="14">
        <v>50080</v>
      </c>
    </row>
    <row r="1904" spans="1:18" ht="75" x14ac:dyDescent="0.25">
      <c r="A1904" s="14" t="s">
        <v>8732</v>
      </c>
      <c r="B1904" s="14" t="s">
        <v>8919</v>
      </c>
      <c r="C1904" s="14" t="s">
        <v>8586</v>
      </c>
      <c r="D1904" s="14" t="s">
        <v>8531</v>
      </c>
      <c r="E1904" s="14" t="s">
        <v>2194</v>
      </c>
      <c r="F1904" s="14" t="s">
        <v>2195</v>
      </c>
      <c r="G1904" s="8" t="s">
        <v>8660</v>
      </c>
      <c r="H1904" s="14"/>
      <c r="I1904" s="14" t="s">
        <v>195</v>
      </c>
      <c r="J1904" s="14"/>
      <c r="K1904" s="14" t="s">
        <v>2197</v>
      </c>
      <c r="L1904" s="14"/>
      <c r="M1904" s="14" t="s">
        <v>2198</v>
      </c>
      <c r="N1904" s="14"/>
      <c r="O1904" s="14" t="s">
        <v>2199</v>
      </c>
      <c r="P1904" s="14" t="str">
        <f>HYPERLINK("https://ceds.ed.gov/cedselementdetails.aspx?termid=18256")</f>
        <v>https://ceds.ed.gov/cedselementdetails.aspx?termid=18256</v>
      </c>
      <c r="Q1904" s="14" t="str">
        <f>HYPERLINK("https://ceds.ed.gov/elementComment.aspx?elementName=Career Education Plan Type &amp;elementID=18256", "Click here to submit comment")</f>
        <v>Click here to submit comment</v>
      </c>
      <c r="R1904" s="14">
        <v>50083</v>
      </c>
    </row>
    <row r="1905" spans="1:18" ht="45" x14ac:dyDescent="0.25">
      <c r="A1905" s="14" t="s">
        <v>8732</v>
      </c>
      <c r="B1905" s="14" t="s">
        <v>8919</v>
      </c>
      <c r="C1905" s="14" t="s">
        <v>8586</v>
      </c>
      <c r="D1905" s="14" t="s">
        <v>8531</v>
      </c>
      <c r="E1905" s="14" t="s">
        <v>7897</v>
      </c>
      <c r="F1905" s="14" t="s">
        <v>7898</v>
      </c>
      <c r="G1905" s="14" t="s">
        <v>37</v>
      </c>
      <c r="H1905" s="14"/>
      <c r="I1905" s="14"/>
      <c r="J1905" s="14" t="s">
        <v>62</v>
      </c>
      <c r="K1905" s="14"/>
      <c r="L1905" s="14"/>
      <c r="M1905" s="14" t="s">
        <v>7899</v>
      </c>
      <c r="N1905" s="14"/>
      <c r="O1905" s="14" t="s">
        <v>7900</v>
      </c>
      <c r="P1905" s="14" t="str">
        <f>HYPERLINK("https://ceds.ed.gov/cedselementdetails.aspx?termid=17102")</f>
        <v>https://ceds.ed.gov/cedselementdetails.aspx?termid=17102</v>
      </c>
      <c r="Q1905" s="14" t="str">
        <f>HYPERLINK("https://ceds.ed.gov/elementComment.aspx?elementName=Staff Evaluation Outcome &amp;elementID=17102", "Click here to submit comment")</f>
        <v>Click here to submit comment</v>
      </c>
      <c r="R1905" s="14">
        <v>48081</v>
      </c>
    </row>
    <row r="1906" spans="1:18" ht="60" x14ac:dyDescent="0.25">
      <c r="A1906" s="14" t="s">
        <v>8732</v>
      </c>
      <c r="B1906" s="14" t="s">
        <v>8919</v>
      </c>
      <c r="C1906" s="14" t="s">
        <v>8586</v>
      </c>
      <c r="D1906" s="14" t="s">
        <v>8531</v>
      </c>
      <c r="E1906" s="14" t="s">
        <v>7901</v>
      </c>
      <c r="F1906" s="14" t="s">
        <v>7902</v>
      </c>
      <c r="G1906" s="14" t="s">
        <v>37</v>
      </c>
      <c r="H1906" s="14"/>
      <c r="I1906" s="14"/>
      <c r="J1906" s="14" t="s">
        <v>62</v>
      </c>
      <c r="K1906" s="14"/>
      <c r="L1906" s="14"/>
      <c r="M1906" s="14" t="s">
        <v>7903</v>
      </c>
      <c r="N1906" s="14"/>
      <c r="O1906" s="14" t="s">
        <v>7904</v>
      </c>
      <c r="P1906" s="14" t="str">
        <f>HYPERLINK("https://ceds.ed.gov/cedselementdetails.aspx?termid=17103")</f>
        <v>https://ceds.ed.gov/cedselementdetails.aspx?termid=17103</v>
      </c>
      <c r="Q1906" s="14" t="str">
        <f>HYPERLINK("https://ceds.ed.gov/elementComment.aspx?elementName=Staff Evaluation Scale &amp;elementID=17103", "Click here to submit comment")</f>
        <v>Click here to submit comment</v>
      </c>
      <c r="R1906" s="14">
        <v>48082</v>
      </c>
    </row>
    <row r="1907" spans="1:18" ht="45" x14ac:dyDescent="0.25">
      <c r="A1907" s="14" t="s">
        <v>8732</v>
      </c>
      <c r="B1907" s="14" t="s">
        <v>8919</v>
      </c>
      <c r="C1907" s="14" t="s">
        <v>8586</v>
      </c>
      <c r="D1907" s="14" t="s">
        <v>8531</v>
      </c>
      <c r="E1907" s="14" t="s">
        <v>7905</v>
      </c>
      <c r="F1907" s="14" t="s">
        <v>7906</v>
      </c>
      <c r="G1907" s="14" t="s">
        <v>37</v>
      </c>
      <c r="H1907" s="14"/>
      <c r="I1907" s="14"/>
      <c r="J1907" s="14" t="s">
        <v>175</v>
      </c>
      <c r="K1907" s="14"/>
      <c r="L1907" s="14"/>
      <c r="M1907" s="14" t="s">
        <v>7907</v>
      </c>
      <c r="N1907" s="14"/>
      <c r="O1907" s="14" t="s">
        <v>7908</v>
      </c>
      <c r="P1907" s="14" t="str">
        <f>HYPERLINK("https://ceds.ed.gov/cedselementdetails.aspx?termid=17104")</f>
        <v>https://ceds.ed.gov/cedselementdetails.aspx?termid=17104</v>
      </c>
      <c r="Q1907" s="14" t="str">
        <f>HYPERLINK("https://ceds.ed.gov/elementComment.aspx?elementName=Staff Evaluation Score or Rating &amp;elementID=17104", "Click here to submit comment")</f>
        <v>Click here to submit comment</v>
      </c>
      <c r="R1907" s="14">
        <v>48083</v>
      </c>
    </row>
    <row r="1908" spans="1:18" ht="45" x14ac:dyDescent="0.25">
      <c r="A1908" s="14" t="s">
        <v>8732</v>
      </c>
      <c r="B1908" s="14" t="s">
        <v>8919</v>
      </c>
      <c r="C1908" s="14" t="s">
        <v>8586</v>
      </c>
      <c r="D1908" s="14" t="s">
        <v>8531</v>
      </c>
      <c r="E1908" s="14" t="s">
        <v>7909</v>
      </c>
      <c r="F1908" s="14" t="s">
        <v>7910</v>
      </c>
      <c r="G1908" s="14" t="s">
        <v>37</v>
      </c>
      <c r="H1908" s="14"/>
      <c r="I1908" s="14"/>
      <c r="J1908" s="14" t="s">
        <v>175</v>
      </c>
      <c r="K1908" s="14"/>
      <c r="L1908" s="14"/>
      <c r="M1908" s="14" t="s">
        <v>7911</v>
      </c>
      <c r="N1908" s="14"/>
      <c r="O1908" s="14" t="s">
        <v>7912</v>
      </c>
      <c r="P1908" s="14" t="str">
        <f>HYPERLINK("https://ceds.ed.gov/cedselementdetails.aspx?termid=17105")</f>
        <v>https://ceds.ed.gov/cedselementdetails.aspx?termid=17105</v>
      </c>
      <c r="Q1908" s="14" t="str">
        <f>HYPERLINK("https://ceds.ed.gov/elementComment.aspx?elementName=Staff Evaluation System &amp;elementID=17105", "Click here to submit comment")</f>
        <v>Click here to submit comment</v>
      </c>
      <c r="R1908" s="14">
        <v>48084</v>
      </c>
    </row>
    <row r="1909" spans="1:18" ht="120" x14ac:dyDescent="0.25">
      <c r="A1909" s="14" t="s">
        <v>8732</v>
      </c>
      <c r="B1909" s="14" t="s">
        <v>8919</v>
      </c>
      <c r="C1909" s="14" t="s">
        <v>8586</v>
      </c>
      <c r="D1909" s="14" t="s">
        <v>8531</v>
      </c>
      <c r="E1909" s="14" t="s">
        <v>4442</v>
      </c>
      <c r="F1909" s="14" t="s">
        <v>4443</v>
      </c>
      <c r="G1909" s="8" t="s">
        <v>8932</v>
      </c>
      <c r="H1909" s="14" t="s">
        <v>583</v>
      </c>
      <c r="I1909" s="14"/>
      <c r="J1909" s="14"/>
      <c r="K1909" s="14"/>
      <c r="L1909" s="14"/>
      <c r="M1909" s="14" t="s">
        <v>4446</v>
      </c>
      <c r="N1909" s="14"/>
      <c r="O1909" s="14" t="s">
        <v>4447</v>
      </c>
      <c r="P1909" s="14" t="str">
        <f>HYPERLINK("https://ceds.ed.gov/cedselementdetails.aspx?termid=17582")</f>
        <v>https://ceds.ed.gov/cedselementdetails.aspx?termid=17582</v>
      </c>
      <c r="Q1909" s="14" t="str">
        <f>HYPERLINK("https://ceds.ed.gov/elementComment.aspx?elementName=Faculty and Administration Performance Level &amp;elementID=17582", "Click here to submit comment")</f>
        <v>Click here to submit comment</v>
      </c>
      <c r="R1909" s="14">
        <v>48134</v>
      </c>
    </row>
    <row r="1910" spans="1:18" ht="60" x14ac:dyDescent="0.25">
      <c r="A1910" s="14" t="s">
        <v>8732</v>
      </c>
      <c r="B1910" s="14" t="s">
        <v>8919</v>
      </c>
      <c r="C1910" s="14" t="s">
        <v>8586</v>
      </c>
      <c r="D1910" s="14" t="s">
        <v>8531</v>
      </c>
      <c r="E1910" s="14" t="s">
        <v>8213</v>
      </c>
      <c r="F1910" s="14" t="s">
        <v>8214</v>
      </c>
      <c r="G1910" s="14" t="s">
        <v>24</v>
      </c>
      <c r="H1910" s="14" t="s">
        <v>258</v>
      </c>
      <c r="I1910" s="14"/>
      <c r="J1910" s="14"/>
      <c r="K1910" s="14"/>
      <c r="L1910" s="14"/>
      <c r="M1910" s="14" t="s">
        <v>8215</v>
      </c>
      <c r="N1910" s="14"/>
      <c r="O1910" s="14" t="s">
        <v>8216</v>
      </c>
      <c r="P1910" s="14" t="str">
        <f>HYPERLINK("https://ceds.ed.gov/cedselementdetails.aspx?termid=17537")</f>
        <v>https://ceds.ed.gov/cedselementdetails.aspx?termid=17537</v>
      </c>
      <c r="Q1910" s="14" t="str">
        <f>HYPERLINK("https://ceds.ed.gov/elementComment.aspx?elementName=Technology Skills Standards Met &amp;elementID=17537", "Click here to submit comment")</f>
        <v>Click here to submit comment</v>
      </c>
      <c r="R1910" s="14">
        <v>48130</v>
      </c>
    </row>
    <row r="1911" spans="1:18" ht="60" x14ac:dyDescent="0.25">
      <c r="A1911" s="14" t="s">
        <v>8732</v>
      </c>
      <c r="B1911" s="14" t="s">
        <v>8919</v>
      </c>
      <c r="C1911" s="14" t="s">
        <v>8586</v>
      </c>
      <c r="D1911" s="14" t="s">
        <v>8531</v>
      </c>
      <c r="E1911" s="14" t="s">
        <v>8385</v>
      </c>
      <c r="F1911" s="14" t="s">
        <v>8386</v>
      </c>
      <c r="G1911" s="14" t="s">
        <v>24</v>
      </c>
      <c r="H1911" s="14"/>
      <c r="I1911" s="14"/>
      <c r="J1911" s="14"/>
      <c r="K1911" s="14"/>
      <c r="L1911" s="14" t="s">
        <v>8388</v>
      </c>
      <c r="M1911" s="14" t="s">
        <v>8389</v>
      </c>
      <c r="N1911" s="14"/>
      <c r="O1911" s="14" t="s">
        <v>8390</v>
      </c>
      <c r="P1911" s="14" t="str">
        <f>HYPERLINK("https://ceds.ed.gov/cedselementdetails.aspx?termid=18554")</f>
        <v>https://ceds.ed.gov/cedselementdetails.aspx?termid=18554</v>
      </c>
      <c r="Q1911" s="14" t="str">
        <f>HYPERLINK("https://ceds.ed.gov/elementComment.aspx?elementName=Tuition Funded &amp;elementID=18554", "Click here to submit comment")</f>
        <v>Click here to submit comment</v>
      </c>
      <c r="R1911" s="14">
        <v>50930</v>
      </c>
    </row>
    <row r="1912" spans="1:18" ht="105" x14ac:dyDescent="0.25">
      <c r="A1912" s="16" t="s">
        <v>8732</v>
      </c>
      <c r="B1912" s="16" t="s">
        <v>8919</v>
      </c>
      <c r="C1912" s="16" t="s">
        <v>8710</v>
      </c>
      <c r="D1912" s="16" t="s">
        <v>8531</v>
      </c>
      <c r="E1912" s="16" t="s">
        <v>7927</v>
      </c>
      <c r="F1912" s="16" t="s">
        <v>7928</v>
      </c>
      <c r="G1912" s="16" t="s">
        <v>37</v>
      </c>
      <c r="H1912" s="16" t="s">
        <v>7931</v>
      </c>
      <c r="I1912" s="16"/>
      <c r="J1912" s="16" t="s">
        <v>149</v>
      </c>
      <c r="K1912" s="16"/>
      <c r="L1912" s="14" t="s">
        <v>150</v>
      </c>
      <c r="M1912" s="16" t="s">
        <v>7929</v>
      </c>
      <c r="N1912" s="16"/>
      <c r="O1912" s="16" t="s">
        <v>7930</v>
      </c>
      <c r="P1912" s="16" t="str">
        <f>HYPERLINK("https://ceds.ed.gov/cedselementdetails.aspx?termid=17156")</f>
        <v>https://ceds.ed.gov/cedselementdetails.aspx?termid=17156</v>
      </c>
      <c r="Q1912" s="16" t="str">
        <f>HYPERLINK("https://ceds.ed.gov/elementComment.aspx?elementName=Staff Member Identifier &amp;elementID=17156", "Click here to submit comment")</f>
        <v>Click here to submit comment</v>
      </c>
      <c r="R1912" s="16">
        <v>51356</v>
      </c>
    </row>
    <row r="1913" spans="1:18" x14ac:dyDescent="0.25">
      <c r="A1913" s="16"/>
      <c r="B1913" s="16"/>
      <c r="C1913" s="16"/>
      <c r="D1913" s="16"/>
      <c r="E1913" s="16"/>
      <c r="F1913" s="16"/>
      <c r="G1913" s="16"/>
      <c r="H1913" s="16"/>
      <c r="I1913" s="16"/>
      <c r="J1913" s="16"/>
      <c r="K1913" s="16"/>
      <c r="L1913" s="14"/>
      <c r="M1913" s="16"/>
      <c r="N1913" s="16"/>
      <c r="O1913" s="16"/>
      <c r="P1913" s="16"/>
      <c r="Q1913" s="16"/>
      <c r="R1913" s="16"/>
    </row>
    <row r="1914" spans="1:18" ht="90" x14ac:dyDescent="0.25">
      <c r="A1914" s="16"/>
      <c r="B1914" s="16"/>
      <c r="C1914" s="16"/>
      <c r="D1914" s="16"/>
      <c r="E1914" s="16"/>
      <c r="F1914" s="16"/>
      <c r="G1914" s="16"/>
      <c r="H1914" s="16"/>
      <c r="I1914" s="16"/>
      <c r="J1914" s="16"/>
      <c r="K1914" s="16"/>
      <c r="L1914" s="14" t="s">
        <v>153</v>
      </c>
      <c r="M1914" s="16"/>
      <c r="N1914" s="16"/>
      <c r="O1914" s="16"/>
      <c r="P1914" s="16"/>
      <c r="Q1914" s="16"/>
      <c r="R1914" s="16"/>
    </row>
    <row r="1915" spans="1:18" ht="345" x14ac:dyDescent="0.25">
      <c r="A1915" s="14" t="s">
        <v>8732</v>
      </c>
      <c r="B1915" s="14" t="s">
        <v>8919</v>
      </c>
      <c r="C1915" s="14" t="s">
        <v>8710</v>
      </c>
      <c r="D1915" s="14" t="s">
        <v>8531</v>
      </c>
      <c r="E1915" s="14" t="s">
        <v>7920</v>
      </c>
      <c r="F1915" s="14" t="s">
        <v>7921</v>
      </c>
      <c r="G1915" s="8" t="s">
        <v>8687</v>
      </c>
      <c r="H1915" s="14" t="s">
        <v>7926</v>
      </c>
      <c r="I1915" s="14"/>
      <c r="J1915" s="14"/>
      <c r="K1915" s="14"/>
      <c r="L1915" s="14"/>
      <c r="M1915" s="14" t="s">
        <v>7924</v>
      </c>
      <c r="N1915" s="14"/>
      <c r="O1915" s="14" t="s">
        <v>7925</v>
      </c>
      <c r="P1915" s="14" t="str">
        <f>HYPERLINK("https://ceds.ed.gov/cedselementdetails.aspx?termid=17162")</f>
        <v>https://ceds.ed.gov/cedselementdetails.aspx?termid=17162</v>
      </c>
      <c r="Q1915" s="14" t="str">
        <f>HYPERLINK("https://ceds.ed.gov/elementComment.aspx?elementName=Staff Member Identification System &amp;elementID=17162", "Click here to submit comment")</f>
        <v>Click here to submit comment</v>
      </c>
      <c r="R1915" s="14">
        <v>51357</v>
      </c>
    </row>
    <row r="1916" spans="1:18" ht="90" x14ac:dyDescent="0.25">
      <c r="A1916" s="14" t="s">
        <v>8732</v>
      </c>
      <c r="B1916" s="14" t="s">
        <v>8919</v>
      </c>
      <c r="C1916" s="14" t="s">
        <v>8710</v>
      </c>
      <c r="D1916" s="14" t="s">
        <v>8531</v>
      </c>
      <c r="E1916" s="14" t="s">
        <v>6758</v>
      </c>
      <c r="F1916" s="14" t="s">
        <v>6759</v>
      </c>
      <c r="G1916" s="14" t="s">
        <v>37</v>
      </c>
      <c r="H1916" s="14" t="s">
        <v>72</v>
      </c>
      <c r="I1916" s="14"/>
      <c r="J1916" s="14" t="s">
        <v>1510</v>
      </c>
      <c r="K1916" s="14"/>
      <c r="L1916" s="14"/>
      <c r="M1916" s="14" t="s">
        <v>6761</v>
      </c>
      <c r="N1916" s="14"/>
      <c r="O1916" s="14" t="s">
        <v>6762</v>
      </c>
      <c r="P1916" s="14" t="str">
        <f>HYPERLINK("https://ceds.ed.gov/cedselementdetails.aspx?termid=17213")</f>
        <v>https://ceds.ed.gov/cedselementdetails.aspx?termid=17213</v>
      </c>
      <c r="Q1916" s="14" t="str">
        <f>HYPERLINK("https://ceds.ed.gov/elementComment.aspx?elementName=Position Title &amp;elementID=17213", "Click here to submit comment")</f>
        <v>Click here to submit comment</v>
      </c>
      <c r="R1916" s="14">
        <v>51365</v>
      </c>
    </row>
    <row r="1917" spans="1:18" ht="195" x14ac:dyDescent="0.25">
      <c r="A1917" s="14" t="s">
        <v>8732</v>
      </c>
      <c r="B1917" s="14" t="s">
        <v>8919</v>
      </c>
      <c r="C1917" s="14" t="s">
        <v>8710</v>
      </c>
      <c r="D1917" s="14" t="s">
        <v>8531</v>
      </c>
      <c r="E1917" s="14" t="s">
        <v>4667</v>
      </c>
      <c r="F1917" s="14" t="s">
        <v>4668</v>
      </c>
      <c r="G1917" s="14" t="s">
        <v>37</v>
      </c>
      <c r="H1917" s="14" t="s">
        <v>4673</v>
      </c>
      <c r="I1917" s="14"/>
      <c r="J1917" s="14" t="s">
        <v>1468</v>
      </c>
      <c r="K1917" s="14"/>
      <c r="L1917" s="14" t="s">
        <v>4670</v>
      </c>
      <c r="M1917" s="14" t="s">
        <v>4671</v>
      </c>
      <c r="N1917" s="14"/>
      <c r="O1917" s="14" t="s">
        <v>4672</v>
      </c>
      <c r="P1917" s="14" t="str">
        <f>HYPERLINK("https://ceds.ed.gov/cedselementdetails.aspx?termid=17115")</f>
        <v>https://ceds.ed.gov/cedselementdetails.aspx?termid=17115</v>
      </c>
      <c r="Q1917" s="14" t="str">
        <f>HYPERLINK("https://ceds.ed.gov/elementComment.aspx?elementName=First Name &amp;elementID=17115", "Click here to submit comment")</f>
        <v>Click here to submit comment</v>
      </c>
      <c r="R1917" s="14">
        <v>51360</v>
      </c>
    </row>
    <row r="1918" spans="1:18" x14ac:dyDescent="0.25">
      <c r="A1918" s="16" t="s">
        <v>8732</v>
      </c>
      <c r="B1918" s="16" t="s">
        <v>8919</v>
      </c>
      <c r="C1918" s="16" t="s">
        <v>8710</v>
      </c>
      <c r="D1918" s="16" t="s">
        <v>8531</v>
      </c>
      <c r="E1918" s="16" t="s">
        <v>6223</v>
      </c>
      <c r="F1918" s="16" t="s">
        <v>6224</v>
      </c>
      <c r="G1918" s="16" t="s">
        <v>37</v>
      </c>
      <c r="H1918" s="16" t="s">
        <v>4673</v>
      </c>
      <c r="I1918" s="16"/>
      <c r="J1918" s="16" t="s">
        <v>1468</v>
      </c>
      <c r="K1918" s="16"/>
      <c r="L1918" s="14" t="s">
        <v>4746</v>
      </c>
      <c r="M1918" s="16" t="s">
        <v>6226</v>
      </c>
      <c r="N1918" s="16"/>
      <c r="O1918" s="16" t="s">
        <v>6227</v>
      </c>
      <c r="P1918" s="16" t="str">
        <f>HYPERLINK("https://ceds.ed.gov/cedselementdetails.aspx?termid=17184")</f>
        <v>https://ceds.ed.gov/cedselementdetails.aspx?termid=17184</v>
      </c>
      <c r="Q1918" s="16" t="str">
        <f>HYPERLINK("https://ceds.ed.gov/elementComment.aspx?elementName=Middle Name &amp;elementID=17184", "Click here to submit comment")</f>
        <v>Click here to submit comment</v>
      </c>
      <c r="R1918" s="16">
        <v>51363</v>
      </c>
    </row>
    <row r="1919" spans="1:18" ht="90" x14ac:dyDescent="0.25">
      <c r="A1919" s="16"/>
      <c r="B1919" s="16"/>
      <c r="C1919" s="16"/>
      <c r="D1919" s="16"/>
      <c r="E1919" s="16"/>
      <c r="F1919" s="16"/>
      <c r="G1919" s="16"/>
      <c r="H1919" s="16"/>
      <c r="I1919" s="16"/>
      <c r="J1919" s="16"/>
      <c r="K1919" s="16"/>
      <c r="L1919" s="14" t="s">
        <v>4750</v>
      </c>
      <c r="M1919" s="16"/>
      <c r="N1919" s="16"/>
      <c r="O1919" s="16"/>
      <c r="P1919" s="16"/>
      <c r="Q1919" s="16"/>
      <c r="R1919" s="16"/>
    </row>
    <row r="1920" spans="1:18" x14ac:dyDescent="0.25">
      <c r="A1920" s="16" t="s">
        <v>8732</v>
      </c>
      <c r="B1920" s="16" t="s">
        <v>8919</v>
      </c>
      <c r="C1920" s="16" t="s">
        <v>8710</v>
      </c>
      <c r="D1920" s="16" t="s">
        <v>8531</v>
      </c>
      <c r="E1920" s="16" t="s">
        <v>5727</v>
      </c>
      <c r="F1920" s="16" t="s">
        <v>5728</v>
      </c>
      <c r="G1920" s="16" t="s">
        <v>37</v>
      </c>
      <c r="H1920" s="16" t="s">
        <v>4673</v>
      </c>
      <c r="I1920" s="16"/>
      <c r="J1920" s="16" t="s">
        <v>1468</v>
      </c>
      <c r="K1920" s="16"/>
      <c r="L1920" s="14" t="s">
        <v>4746</v>
      </c>
      <c r="M1920" s="16" t="s">
        <v>5729</v>
      </c>
      <c r="N1920" s="16" t="s">
        <v>5730</v>
      </c>
      <c r="O1920" s="16" t="s">
        <v>5731</v>
      </c>
      <c r="P1920" s="16" t="str">
        <f>HYPERLINK("https://ceds.ed.gov/cedselementdetails.aspx?termid=17172")</f>
        <v>https://ceds.ed.gov/cedselementdetails.aspx?termid=17172</v>
      </c>
      <c r="Q1920" s="16" t="str">
        <f>HYPERLINK("https://ceds.ed.gov/elementComment.aspx?elementName=Last or Surname &amp;elementID=17172", "Click here to submit comment")</f>
        <v>Click here to submit comment</v>
      </c>
      <c r="R1920" s="16">
        <v>51362</v>
      </c>
    </row>
    <row r="1921" spans="1:18" ht="90" x14ac:dyDescent="0.25">
      <c r="A1921" s="16"/>
      <c r="B1921" s="16"/>
      <c r="C1921" s="16"/>
      <c r="D1921" s="16"/>
      <c r="E1921" s="16"/>
      <c r="F1921" s="16"/>
      <c r="G1921" s="16"/>
      <c r="H1921" s="16"/>
      <c r="I1921" s="16"/>
      <c r="J1921" s="16"/>
      <c r="K1921" s="16"/>
      <c r="L1921" s="14" t="s">
        <v>4750</v>
      </c>
      <c r="M1921" s="16"/>
      <c r="N1921" s="16"/>
      <c r="O1921" s="16"/>
      <c r="P1921" s="16"/>
      <c r="Q1921" s="16"/>
      <c r="R1921" s="16"/>
    </row>
    <row r="1922" spans="1:18" ht="105" x14ac:dyDescent="0.25">
      <c r="A1922" s="14" t="s">
        <v>8732</v>
      </c>
      <c r="B1922" s="14" t="s">
        <v>8919</v>
      </c>
      <c r="C1922" s="14" t="s">
        <v>8710</v>
      </c>
      <c r="D1922" s="14" t="s">
        <v>8531</v>
      </c>
      <c r="E1922" s="14" t="s">
        <v>6741</v>
      </c>
      <c r="F1922" s="14" t="s">
        <v>6742</v>
      </c>
      <c r="G1922" s="14" t="s">
        <v>37</v>
      </c>
      <c r="H1922" s="14" t="s">
        <v>6747</v>
      </c>
      <c r="I1922" s="14"/>
      <c r="J1922" s="14" t="s">
        <v>97</v>
      </c>
      <c r="K1922" s="14"/>
      <c r="L1922" s="14"/>
      <c r="M1922" s="14" t="s">
        <v>6744</v>
      </c>
      <c r="N1922" s="14" t="s">
        <v>6745</v>
      </c>
      <c r="O1922" s="14" t="s">
        <v>6746</v>
      </c>
      <c r="P1922" s="14" t="str">
        <f>HYPERLINK("https://ceds.ed.gov/cedselementdetails.aspx?termid=17212")</f>
        <v>https://ceds.ed.gov/cedselementdetails.aspx?termid=17212</v>
      </c>
      <c r="Q1922" s="14" t="str">
        <f>HYPERLINK("https://ceds.ed.gov/elementComment.aspx?elementName=Personal Title or Prefix &amp;elementID=17212", "Click here to submit comment")</f>
        <v>Click here to submit comment</v>
      </c>
      <c r="R1922" s="14">
        <v>51364</v>
      </c>
    </row>
    <row r="1923" spans="1:18" x14ac:dyDescent="0.25">
      <c r="A1923" s="16" t="s">
        <v>8732</v>
      </c>
      <c r="B1923" s="16" t="s">
        <v>8919</v>
      </c>
      <c r="C1923" s="16" t="s">
        <v>8710</v>
      </c>
      <c r="D1923" s="16" t="s">
        <v>8531</v>
      </c>
      <c r="E1923" s="16" t="s">
        <v>4743</v>
      </c>
      <c r="F1923" s="16" t="s">
        <v>4744</v>
      </c>
      <c r="G1923" s="16" t="s">
        <v>37</v>
      </c>
      <c r="H1923" s="16" t="s">
        <v>4749</v>
      </c>
      <c r="I1923" s="16"/>
      <c r="J1923" s="16" t="s">
        <v>3096</v>
      </c>
      <c r="K1923" s="16"/>
      <c r="L1923" s="14" t="s">
        <v>4746</v>
      </c>
      <c r="M1923" s="16" t="s">
        <v>4747</v>
      </c>
      <c r="N1923" s="16"/>
      <c r="O1923" s="16" t="s">
        <v>4748</v>
      </c>
      <c r="P1923" s="16" t="str">
        <f>HYPERLINK("https://ceds.ed.gov/cedselementdetails.aspx?termid=17121")</f>
        <v>https://ceds.ed.gov/cedselementdetails.aspx?termid=17121</v>
      </c>
      <c r="Q1923" s="16" t="str">
        <f>HYPERLINK("https://ceds.ed.gov/elementComment.aspx?elementName=Generation Code or Suffix &amp;elementID=17121", "Click here to submit comment")</f>
        <v>Click here to submit comment</v>
      </c>
      <c r="R1923" s="16">
        <v>51361</v>
      </c>
    </row>
    <row r="1924" spans="1:18" ht="90" x14ac:dyDescent="0.25">
      <c r="A1924" s="16"/>
      <c r="B1924" s="16"/>
      <c r="C1924" s="16"/>
      <c r="D1924" s="16"/>
      <c r="E1924" s="16"/>
      <c r="F1924" s="16"/>
      <c r="G1924" s="16"/>
      <c r="H1924" s="16"/>
      <c r="I1924" s="16"/>
      <c r="J1924" s="16"/>
      <c r="K1924" s="16"/>
      <c r="L1924" s="14" t="s">
        <v>4750</v>
      </c>
      <c r="M1924" s="16"/>
      <c r="N1924" s="16"/>
      <c r="O1924" s="16"/>
      <c r="P1924" s="16"/>
      <c r="Q1924" s="16"/>
      <c r="R1924" s="16"/>
    </row>
    <row r="1925" spans="1:18" ht="105" x14ac:dyDescent="0.25">
      <c r="A1925" s="14" t="s">
        <v>8732</v>
      </c>
      <c r="B1925" s="14" t="s">
        <v>8919</v>
      </c>
      <c r="C1925" s="14" t="s">
        <v>8710</v>
      </c>
      <c r="D1925" s="14" t="s">
        <v>8531</v>
      </c>
      <c r="E1925" s="14" t="s">
        <v>232</v>
      </c>
      <c r="F1925" s="14" t="s">
        <v>233</v>
      </c>
      <c r="G1925" s="8" t="s">
        <v>8688</v>
      </c>
      <c r="H1925" s="14" t="s">
        <v>238</v>
      </c>
      <c r="I1925" s="14"/>
      <c r="J1925" s="14" t="s">
        <v>97</v>
      </c>
      <c r="K1925" s="14"/>
      <c r="L1925" s="14"/>
      <c r="M1925" s="14" t="s">
        <v>236</v>
      </c>
      <c r="N1925" s="14"/>
      <c r="O1925" s="14" t="s">
        <v>237</v>
      </c>
      <c r="P1925" s="14" t="str">
        <f>HYPERLINK("https://ceds.ed.gov/cedselementdetails.aspx?termid=17698")</f>
        <v>https://ceds.ed.gov/cedselementdetails.aspx?termid=17698</v>
      </c>
      <c r="Q1925" s="14" t="str">
        <f>HYPERLINK("https://ceds.ed.gov/elementComment.aspx?elementName=Address Type for Staff &amp;elementID=17698", "Click here to submit comment")</f>
        <v>Click here to submit comment</v>
      </c>
      <c r="R1925" s="14">
        <v>51372</v>
      </c>
    </row>
    <row r="1926" spans="1:18" ht="225" x14ac:dyDescent="0.25">
      <c r="A1926" s="14" t="s">
        <v>8732</v>
      </c>
      <c r="B1926" s="14" t="s">
        <v>8919</v>
      </c>
      <c r="C1926" s="14" t="s">
        <v>8710</v>
      </c>
      <c r="D1926" s="14" t="s">
        <v>8531</v>
      </c>
      <c r="E1926" s="14" t="s">
        <v>214</v>
      </c>
      <c r="F1926" s="14" t="s">
        <v>215</v>
      </c>
      <c r="G1926" s="14" t="s">
        <v>37</v>
      </c>
      <c r="H1926" s="14" t="s">
        <v>199</v>
      </c>
      <c r="I1926" s="14" t="s">
        <v>195</v>
      </c>
      <c r="J1926" s="14" t="s">
        <v>216</v>
      </c>
      <c r="K1926" s="14" t="s">
        <v>196</v>
      </c>
      <c r="L1926" s="14"/>
      <c r="M1926" s="14" t="s">
        <v>217</v>
      </c>
      <c r="N1926" s="14"/>
      <c r="O1926" s="14" t="s">
        <v>218</v>
      </c>
      <c r="P1926" s="14" t="str">
        <f>HYPERLINK("https://ceds.ed.gov/cedselementdetails.aspx?termid=17269")</f>
        <v>https://ceds.ed.gov/cedselementdetails.aspx?termid=17269</v>
      </c>
      <c r="Q1926" s="14" t="str">
        <f>HYPERLINK("https://ceds.ed.gov/elementComment.aspx?elementName=Address Street Number and Name &amp;elementID=17269", "Click here to submit comment")</f>
        <v>Click here to submit comment</v>
      </c>
      <c r="R1926" s="14">
        <v>51369</v>
      </c>
    </row>
    <row r="1927" spans="1:18" ht="225" x14ac:dyDescent="0.25">
      <c r="A1927" s="14" t="s">
        <v>8732</v>
      </c>
      <c r="B1927" s="14" t="s">
        <v>8919</v>
      </c>
      <c r="C1927" s="14" t="s">
        <v>8710</v>
      </c>
      <c r="D1927" s="14" t="s">
        <v>8531</v>
      </c>
      <c r="E1927" s="14" t="s">
        <v>192</v>
      </c>
      <c r="F1927" s="14" t="s">
        <v>193</v>
      </c>
      <c r="G1927" s="14" t="s">
        <v>37</v>
      </c>
      <c r="H1927" s="14" t="s">
        <v>199</v>
      </c>
      <c r="I1927" s="14" t="s">
        <v>195</v>
      </c>
      <c r="J1927" s="14" t="s">
        <v>175</v>
      </c>
      <c r="K1927" s="14" t="s">
        <v>196</v>
      </c>
      <c r="L1927" s="14"/>
      <c r="M1927" s="14" t="s">
        <v>197</v>
      </c>
      <c r="N1927" s="14"/>
      <c r="O1927" s="14" t="s">
        <v>198</v>
      </c>
      <c r="P1927" s="14" t="str">
        <f>HYPERLINK("https://ceds.ed.gov/cedselementdetails.aspx?termid=17019")</f>
        <v>https://ceds.ed.gov/cedselementdetails.aspx?termid=17019</v>
      </c>
      <c r="Q1927" s="14" t="str">
        <f>HYPERLINK("https://ceds.ed.gov/elementComment.aspx?elementName=Address Apartment Room or Suite Number &amp;elementID=17019", "Click here to submit comment")</f>
        <v>Click here to submit comment</v>
      </c>
      <c r="R1927" s="14">
        <v>51358</v>
      </c>
    </row>
    <row r="1928" spans="1:18" ht="225" x14ac:dyDescent="0.25">
      <c r="A1928" s="14" t="s">
        <v>8732</v>
      </c>
      <c r="B1928" s="14" t="s">
        <v>8919</v>
      </c>
      <c r="C1928" s="14" t="s">
        <v>8710</v>
      </c>
      <c r="D1928" s="14" t="s">
        <v>8531</v>
      </c>
      <c r="E1928" s="14" t="s">
        <v>200</v>
      </c>
      <c r="F1928" s="14" t="s">
        <v>201</v>
      </c>
      <c r="G1928" s="14" t="s">
        <v>37</v>
      </c>
      <c r="H1928" s="14" t="s">
        <v>199</v>
      </c>
      <c r="I1928" s="14"/>
      <c r="J1928" s="14" t="s">
        <v>97</v>
      </c>
      <c r="K1928" s="14"/>
      <c r="L1928" s="14"/>
      <c r="M1928" s="14" t="s">
        <v>202</v>
      </c>
      <c r="N1928" s="14"/>
      <c r="O1928" s="14" t="s">
        <v>203</v>
      </c>
      <c r="P1928" s="14" t="str">
        <f>HYPERLINK("https://ceds.ed.gov/cedselementdetails.aspx?termid=17040")</f>
        <v>https://ceds.ed.gov/cedselementdetails.aspx?termid=17040</v>
      </c>
      <c r="Q1928" s="14" t="str">
        <f>HYPERLINK("https://ceds.ed.gov/elementComment.aspx?elementName=Address City &amp;elementID=17040", "Click here to submit comment")</f>
        <v>Click here to submit comment</v>
      </c>
      <c r="R1928" s="14">
        <v>51359</v>
      </c>
    </row>
    <row r="1929" spans="1:18" ht="409.5" x14ac:dyDescent="0.25">
      <c r="A1929" s="14" t="s">
        <v>8732</v>
      </c>
      <c r="B1929" s="14" t="s">
        <v>8919</v>
      </c>
      <c r="C1929" s="14" t="s">
        <v>8710</v>
      </c>
      <c r="D1929" s="14" t="s">
        <v>8531</v>
      </c>
      <c r="E1929" s="14" t="s">
        <v>7960</v>
      </c>
      <c r="F1929" s="14" t="s">
        <v>7961</v>
      </c>
      <c r="G1929" s="8" t="s">
        <v>8540</v>
      </c>
      <c r="H1929" s="14" t="s">
        <v>7964</v>
      </c>
      <c r="I1929" s="14"/>
      <c r="J1929" s="14"/>
      <c r="K1929" s="14"/>
      <c r="L1929" s="14"/>
      <c r="M1929" s="14" t="s">
        <v>7962</v>
      </c>
      <c r="N1929" s="14"/>
      <c r="O1929" s="14" t="s">
        <v>7963</v>
      </c>
      <c r="P1929" s="14" t="str">
        <f>HYPERLINK("https://ceds.ed.gov/cedselementdetails.aspx?termid=17267")</f>
        <v>https://ceds.ed.gov/cedselementdetails.aspx?termid=17267</v>
      </c>
      <c r="Q1929" s="14" t="str">
        <f>HYPERLINK("https://ceds.ed.gov/elementComment.aspx?elementName=State Abbreviation &amp;elementID=17267", "Click here to submit comment")</f>
        <v>Click here to submit comment</v>
      </c>
      <c r="R1929" s="14">
        <v>51368</v>
      </c>
    </row>
    <row r="1930" spans="1:18" ht="225" x14ac:dyDescent="0.25">
      <c r="A1930" s="14" t="s">
        <v>8732</v>
      </c>
      <c r="B1930" s="14" t="s">
        <v>8919</v>
      </c>
      <c r="C1930" s="14" t="s">
        <v>8710</v>
      </c>
      <c r="D1930" s="14" t="s">
        <v>8531</v>
      </c>
      <c r="E1930" s="14" t="s">
        <v>209</v>
      </c>
      <c r="F1930" s="14" t="s">
        <v>210</v>
      </c>
      <c r="G1930" s="14" t="s">
        <v>37</v>
      </c>
      <c r="H1930" s="14" t="s">
        <v>199</v>
      </c>
      <c r="I1930" s="14"/>
      <c r="J1930" s="14" t="s">
        <v>211</v>
      </c>
      <c r="K1930" s="14"/>
      <c r="L1930" s="14"/>
      <c r="M1930" s="14" t="s">
        <v>212</v>
      </c>
      <c r="N1930" s="14"/>
      <c r="O1930" s="14" t="s">
        <v>213</v>
      </c>
      <c r="P1930" s="14" t="str">
        <f>HYPERLINK("https://ceds.ed.gov/cedselementdetails.aspx?termid=17214")</f>
        <v>https://ceds.ed.gov/cedselementdetails.aspx?termid=17214</v>
      </c>
      <c r="Q1930" s="14" t="str">
        <f>HYPERLINK("https://ceds.ed.gov/elementComment.aspx?elementName=Address Postal Code &amp;elementID=17214", "Click here to submit comment")</f>
        <v>Click here to submit comment</v>
      </c>
      <c r="R1930" s="14">
        <v>51366</v>
      </c>
    </row>
    <row r="1931" spans="1:18" ht="90" x14ac:dyDescent="0.25">
      <c r="A1931" s="14" t="s">
        <v>8732</v>
      </c>
      <c r="B1931" s="14" t="s">
        <v>8919</v>
      </c>
      <c r="C1931" s="14" t="s">
        <v>8710</v>
      </c>
      <c r="D1931" s="14" t="s">
        <v>8531</v>
      </c>
      <c r="E1931" s="14" t="s">
        <v>8229</v>
      </c>
      <c r="F1931" s="14" t="s">
        <v>8230</v>
      </c>
      <c r="G1931" s="8" t="s">
        <v>8550</v>
      </c>
      <c r="H1931" s="14" t="s">
        <v>72</v>
      </c>
      <c r="I1931" s="14"/>
      <c r="J1931" s="14" t="s">
        <v>2870</v>
      </c>
      <c r="K1931" s="14"/>
      <c r="L1931" s="14"/>
      <c r="M1931" s="14" t="s">
        <v>8233</v>
      </c>
      <c r="N1931" s="14"/>
      <c r="O1931" s="14" t="s">
        <v>8234</v>
      </c>
      <c r="P1931" s="14" t="str">
        <f>HYPERLINK("https://ceds.ed.gov/cedselementdetails.aspx?termid=17280")</f>
        <v>https://ceds.ed.gov/cedselementdetails.aspx?termid=17280</v>
      </c>
      <c r="Q1931" s="14" t="str">
        <f>HYPERLINK("https://ceds.ed.gov/elementComment.aspx?elementName=Telephone Number Type &amp;elementID=17280", "Click here to submit comment")</f>
        <v>Click here to submit comment</v>
      </c>
      <c r="R1931" s="14">
        <v>51371</v>
      </c>
    </row>
    <row r="1932" spans="1:18" ht="90" x14ac:dyDescent="0.25">
      <c r="A1932" s="14" t="s">
        <v>8732</v>
      </c>
      <c r="B1932" s="14" t="s">
        <v>8919</v>
      </c>
      <c r="C1932" s="14" t="s">
        <v>8710</v>
      </c>
      <c r="D1932" s="14" t="s">
        <v>8531</v>
      </c>
      <c r="E1932" s="14" t="s">
        <v>6865</v>
      </c>
      <c r="F1932" s="14" t="s">
        <v>6866</v>
      </c>
      <c r="G1932" s="14" t="s">
        <v>24</v>
      </c>
      <c r="H1932" s="14" t="s">
        <v>72</v>
      </c>
      <c r="I1932" s="14"/>
      <c r="J1932" s="14"/>
      <c r="K1932" s="14"/>
      <c r="L1932" s="14"/>
      <c r="M1932" s="14" t="s">
        <v>6868</v>
      </c>
      <c r="N1932" s="14"/>
      <c r="O1932" s="14" t="s">
        <v>6869</v>
      </c>
      <c r="P1932" s="14" t="str">
        <f>HYPERLINK("https://ceds.ed.gov/cedselementdetails.aspx?termid=17219")</f>
        <v>https://ceds.ed.gov/cedselementdetails.aspx?termid=17219</v>
      </c>
      <c r="Q1932" s="14" t="str">
        <f>HYPERLINK("https://ceds.ed.gov/elementComment.aspx?elementName=Primary Telephone Number Indicator &amp;elementID=17219", "Click here to submit comment")</f>
        <v>Click here to submit comment</v>
      </c>
      <c r="R1932" s="14">
        <v>51367</v>
      </c>
    </row>
    <row r="1933" spans="1:18" ht="90" x14ac:dyDescent="0.25">
      <c r="A1933" s="14" t="s">
        <v>8732</v>
      </c>
      <c r="B1933" s="14" t="s">
        <v>8919</v>
      </c>
      <c r="C1933" s="14" t="s">
        <v>8710</v>
      </c>
      <c r="D1933" s="14" t="s">
        <v>8531</v>
      </c>
      <c r="E1933" s="14" t="s">
        <v>8217</v>
      </c>
      <c r="F1933" s="14" t="s">
        <v>8218</v>
      </c>
      <c r="G1933" s="14" t="s">
        <v>37</v>
      </c>
      <c r="H1933" s="14" t="s">
        <v>72</v>
      </c>
      <c r="I1933" s="14"/>
      <c r="J1933" s="14" t="s">
        <v>8220</v>
      </c>
      <c r="K1933" s="14"/>
      <c r="L1933" s="14"/>
      <c r="M1933" s="14" t="s">
        <v>8221</v>
      </c>
      <c r="N1933" s="14"/>
      <c r="O1933" s="14" t="s">
        <v>8222</v>
      </c>
      <c r="P1933" s="14" t="str">
        <f>HYPERLINK("https://ceds.ed.gov/cedselementdetails.aspx?termid=17279")</f>
        <v>https://ceds.ed.gov/cedselementdetails.aspx?termid=17279</v>
      </c>
      <c r="Q1933" s="14" t="str">
        <f>HYPERLINK("https://ceds.ed.gov/elementComment.aspx?elementName=Telephone Number &amp;elementID=17279", "Click here to submit comment")</f>
        <v>Click here to submit comment</v>
      </c>
      <c r="R1933" s="14">
        <v>51370</v>
      </c>
    </row>
    <row r="1934" spans="1:18" ht="180" x14ac:dyDescent="0.25">
      <c r="A1934" s="14" t="s">
        <v>8732</v>
      </c>
      <c r="B1934" s="14" t="s">
        <v>8919</v>
      </c>
      <c r="C1934" s="14" t="s">
        <v>8710</v>
      </c>
      <c r="D1934" s="14" t="s">
        <v>8531</v>
      </c>
      <c r="E1934" s="14" t="s">
        <v>3898</v>
      </c>
      <c r="F1934" s="14" t="s">
        <v>3899</v>
      </c>
      <c r="G1934" s="8" t="s">
        <v>8711</v>
      </c>
      <c r="H1934" s="14"/>
      <c r="I1934" s="14"/>
      <c r="J1934" s="14"/>
      <c r="K1934" s="14"/>
      <c r="L1934" s="14"/>
      <c r="M1934" s="14" t="s">
        <v>3902</v>
      </c>
      <c r="N1934" s="14"/>
      <c r="O1934" s="14" t="s">
        <v>3903</v>
      </c>
      <c r="P1934" s="14" t="str">
        <f>HYPERLINK("https://ceds.ed.gov/cedselementdetails.aspx?termid=18585")</f>
        <v>https://ceds.ed.gov/cedselementdetails.aspx?termid=18585</v>
      </c>
      <c r="Q1934" s="14" t="str">
        <f>HYPERLINK("https://ceds.ed.gov/elementComment.aspx?elementName=Early Learning Trainer Core Knowledge Area &amp;elementID=18585", "Click here to submit comment")</f>
        <v>Click here to submit comment</v>
      </c>
      <c r="R1934" s="14">
        <v>51373</v>
      </c>
    </row>
    <row r="1935" spans="1:18" ht="90" x14ac:dyDescent="0.25">
      <c r="A1935" s="14" t="s">
        <v>8732</v>
      </c>
      <c r="B1935" s="14" t="s">
        <v>8919</v>
      </c>
      <c r="C1935" s="14" t="s">
        <v>8710</v>
      </c>
      <c r="D1935" s="14" t="s">
        <v>8531</v>
      </c>
      <c r="E1935" s="14" t="s">
        <v>8342</v>
      </c>
      <c r="F1935" s="14" t="s">
        <v>8343</v>
      </c>
      <c r="G1935" s="14" t="s">
        <v>37</v>
      </c>
      <c r="H1935" s="14"/>
      <c r="I1935" s="14"/>
      <c r="J1935" s="14" t="s">
        <v>874</v>
      </c>
      <c r="K1935" s="14"/>
      <c r="L1935" s="6" t="s">
        <v>7984</v>
      </c>
      <c r="M1935" s="14" t="s">
        <v>8344</v>
      </c>
      <c r="N1935" s="14"/>
      <c r="O1935" s="14" t="s">
        <v>8345</v>
      </c>
      <c r="P1935" s="14" t="str">
        <f>HYPERLINK("https://ceds.ed.gov/cedselementdetails.aspx?termid=18609")</f>
        <v>https://ceds.ed.gov/cedselementdetails.aspx?termid=18609</v>
      </c>
      <c r="Q1935" s="14" t="str">
        <f>HYPERLINK("https://ceds.ed.gov/elementComment.aspx?elementName=Training and Technical Assistance Level &amp;elementID=18609", "Click here to submit comment")</f>
        <v>Click here to submit comment</v>
      </c>
      <c r="R1935" s="14">
        <v>51374</v>
      </c>
    </row>
    <row r="1936" spans="1:18" ht="195" x14ac:dyDescent="0.25">
      <c r="A1936" s="14" t="s">
        <v>8732</v>
      </c>
      <c r="B1936" s="14" t="s">
        <v>8919</v>
      </c>
      <c r="C1936" s="14" t="s">
        <v>8710</v>
      </c>
      <c r="D1936" s="14" t="s">
        <v>8541</v>
      </c>
      <c r="E1936" s="14" t="s">
        <v>2860</v>
      </c>
      <c r="F1936" s="14" t="s">
        <v>2861</v>
      </c>
      <c r="G1936" s="14" t="s">
        <v>37</v>
      </c>
      <c r="H1936" s="14"/>
      <c r="I1936" s="14" t="s">
        <v>195</v>
      </c>
      <c r="J1936" s="14" t="s">
        <v>2863</v>
      </c>
      <c r="K1936" s="14" t="s">
        <v>2864</v>
      </c>
      <c r="L1936" s="14"/>
      <c r="M1936" s="14" t="s">
        <v>2865</v>
      </c>
      <c r="N1936" s="14"/>
      <c r="O1936" s="14" t="s">
        <v>2866</v>
      </c>
      <c r="P1936" s="14" t="str">
        <f>HYPERLINK("https://ceds.ed.gov/cedselementdetails.aspx?termid=18176")</f>
        <v>https://ceds.ed.gov/cedselementdetails.aspx?termid=18176</v>
      </c>
      <c r="Q1936" s="14" t="str">
        <f>HYPERLINK("https://ceds.ed.gov/elementComment.aspx?elementName=County ANSI Code &amp;elementID=18176", "Click here to submit comment")</f>
        <v>Click here to submit comment</v>
      </c>
      <c r="R1936" s="14">
        <v>52331</v>
      </c>
    </row>
    <row r="1937" spans="1:18" ht="60" x14ac:dyDescent="0.25">
      <c r="A1937" s="14" t="s">
        <v>8732</v>
      </c>
      <c r="B1937" s="14" t="s">
        <v>8919</v>
      </c>
      <c r="C1937" s="14" t="s">
        <v>8710</v>
      </c>
      <c r="D1937" s="14" t="s">
        <v>8541</v>
      </c>
      <c r="E1937" s="14" t="s">
        <v>3651</v>
      </c>
      <c r="F1937" s="14" t="s">
        <v>3652</v>
      </c>
      <c r="G1937" s="14" t="s">
        <v>3430</v>
      </c>
      <c r="H1937" s="14"/>
      <c r="I1937" s="14" t="s">
        <v>188</v>
      </c>
      <c r="J1937" s="14"/>
      <c r="K1937" s="14" t="s">
        <v>1721</v>
      </c>
      <c r="L1937" s="14"/>
      <c r="M1937" s="14" t="s">
        <v>3654</v>
      </c>
      <c r="N1937" s="14"/>
      <c r="O1937" s="14" t="s">
        <v>3655</v>
      </c>
      <c r="P1937" s="14" t="str">
        <f>HYPERLINK("https://ceds.ed.gov/cedselementdetails.aspx?termid=18905")</f>
        <v>https://ceds.ed.gov/cedselementdetails.aspx?termid=18905</v>
      </c>
      <c r="Q1937" s="14" t="str">
        <f>HYPERLINK("https://ceds.ed.gov/elementComment.aspx?elementName=Do Not Publish Indicator &amp;elementID=18905", "Click here to submit comment")</f>
        <v>Click here to submit comment</v>
      </c>
      <c r="R1937" s="14">
        <v>52332</v>
      </c>
    </row>
    <row r="1938" spans="1:18" ht="60" x14ac:dyDescent="0.25">
      <c r="A1938" s="14" t="s">
        <v>8732</v>
      </c>
      <c r="B1938" s="14" t="s">
        <v>8919</v>
      </c>
      <c r="C1938" s="14" t="s">
        <v>8710</v>
      </c>
      <c r="D1938" s="14" t="s">
        <v>8541</v>
      </c>
      <c r="E1938" s="14" t="s">
        <v>8223</v>
      </c>
      <c r="F1938" s="14" t="s">
        <v>8224</v>
      </c>
      <c r="G1938" s="8" t="s">
        <v>8544</v>
      </c>
      <c r="H1938" s="14"/>
      <c r="I1938" s="14" t="s">
        <v>188</v>
      </c>
      <c r="J1938" s="14"/>
      <c r="K1938" s="14" t="s">
        <v>1721</v>
      </c>
      <c r="L1938" s="14"/>
      <c r="M1938" s="14" t="s">
        <v>8227</v>
      </c>
      <c r="N1938" s="14"/>
      <c r="O1938" s="14" t="s">
        <v>8228</v>
      </c>
      <c r="P1938" s="14" t="str">
        <f>HYPERLINK("https://ceds.ed.gov/cedselementdetails.aspx?termid=18911")</f>
        <v>https://ceds.ed.gov/cedselementdetails.aspx?termid=18911</v>
      </c>
      <c r="Q1938" s="14" t="str">
        <f>HYPERLINK("https://ceds.ed.gov/elementComment.aspx?elementName=Telephone Number Listed Status &amp;elementID=18911", "Click here to submit comment")</f>
        <v>Click here to submit comment</v>
      </c>
      <c r="R1938" s="14">
        <v>52333</v>
      </c>
    </row>
    <row r="1939" spans="1:18" ht="105" x14ac:dyDescent="0.25">
      <c r="A1939" s="14" t="s">
        <v>8732</v>
      </c>
      <c r="B1939" s="14" t="s">
        <v>8919</v>
      </c>
      <c r="C1939" s="14" t="s">
        <v>8712</v>
      </c>
      <c r="D1939" s="14" t="s">
        <v>8531</v>
      </c>
      <c r="E1939" s="14" t="s">
        <v>6923</v>
      </c>
      <c r="F1939" s="14" t="s">
        <v>6924</v>
      </c>
      <c r="G1939" s="14" t="s">
        <v>37</v>
      </c>
      <c r="H1939" s="14" t="s">
        <v>238</v>
      </c>
      <c r="I1939" s="14"/>
      <c r="J1939" s="14" t="s">
        <v>149</v>
      </c>
      <c r="K1939" s="14"/>
      <c r="L1939" s="14" t="s">
        <v>150</v>
      </c>
      <c r="M1939" s="14" t="s">
        <v>6925</v>
      </c>
      <c r="N1939" s="14"/>
      <c r="O1939" s="14" t="s">
        <v>6926</v>
      </c>
      <c r="P1939" s="14" t="str">
        <f>HYPERLINK("https://ceds.ed.gov/cedselementdetails.aspx?termid=17808")</f>
        <v>https://ceds.ed.gov/cedselementdetails.aspx?termid=17808</v>
      </c>
      <c r="Q1939" s="14" t="str">
        <f>HYPERLINK("https://ceds.ed.gov/elementComment.aspx?elementName=Professional Development Activity Identifier &amp;elementID=17808", "Click here to submit comment")</f>
        <v>Click here to submit comment</v>
      </c>
      <c r="R1939" s="14">
        <v>50915</v>
      </c>
    </row>
    <row r="1940" spans="1:18" ht="45" x14ac:dyDescent="0.25">
      <c r="A1940" s="14" t="s">
        <v>8732</v>
      </c>
      <c r="B1940" s="14" t="s">
        <v>8919</v>
      </c>
      <c r="C1940" s="14" t="s">
        <v>8712</v>
      </c>
      <c r="D1940" s="14" t="s">
        <v>8531</v>
      </c>
      <c r="E1940" s="14" t="s">
        <v>6946</v>
      </c>
      <c r="F1940" s="14" t="s">
        <v>6947</v>
      </c>
      <c r="G1940" s="14" t="s">
        <v>37</v>
      </c>
      <c r="H1940" s="14" t="s">
        <v>238</v>
      </c>
      <c r="I1940" s="14"/>
      <c r="J1940" s="14" t="s">
        <v>175</v>
      </c>
      <c r="K1940" s="14"/>
      <c r="L1940" s="14"/>
      <c r="M1940" s="14" t="s">
        <v>6948</v>
      </c>
      <c r="N1940" s="14"/>
      <c r="O1940" s="14" t="s">
        <v>6949</v>
      </c>
      <c r="P1940" s="14" t="str">
        <f>HYPERLINK("https://ceds.ed.gov/cedselementdetails.aspx?termid=17809")</f>
        <v>https://ceds.ed.gov/cedselementdetails.aspx?termid=17809</v>
      </c>
      <c r="Q1940" s="14" t="str">
        <f>HYPERLINK("https://ceds.ed.gov/elementComment.aspx?elementName=Professional Development Activity Title &amp;elementID=17809", "Click here to submit comment")</f>
        <v>Click here to submit comment</v>
      </c>
      <c r="R1940" s="14">
        <v>50578</v>
      </c>
    </row>
    <row r="1941" spans="1:18" ht="210" x14ac:dyDescent="0.25">
      <c r="A1941" s="14" t="s">
        <v>8732</v>
      </c>
      <c r="B1941" s="14" t="s">
        <v>8919</v>
      </c>
      <c r="C1941" s="14" t="s">
        <v>8712</v>
      </c>
      <c r="D1941" s="14" t="s">
        <v>8531</v>
      </c>
      <c r="E1941" s="14" t="s">
        <v>6950</v>
      </c>
      <c r="F1941" s="14" t="s">
        <v>6951</v>
      </c>
      <c r="G1941" s="8" t="s">
        <v>8713</v>
      </c>
      <c r="H1941" s="14"/>
      <c r="I1941" s="14"/>
      <c r="J1941" s="14"/>
      <c r="K1941" s="14"/>
      <c r="L1941" s="14" t="s">
        <v>6953</v>
      </c>
      <c r="M1941" s="14" t="s">
        <v>6954</v>
      </c>
      <c r="N1941" s="14"/>
      <c r="O1941" s="14" t="s">
        <v>6955</v>
      </c>
      <c r="P1941" s="14" t="str">
        <f>HYPERLINK("https://ceds.ed.gov/cedselementdetails.aspx?termid=18412")</f>
        <v>https://ceds.ed.gov/cedselementdetails.aspx?termid=18412</v>
      </c>
      <c r="Q1941" s="14" t="str">
        <f>HYPERLINK("https://ceds.ed.gov/elementComment.aspx?elementName=Professional Development Activity Type &amp;elementID=18412", "Click here to submit comment")</f>
        <v>Click here to submit comment</v>
      </c>
      <c r="R1941" s="14">
        <v>50579</v>
      </c>
    </row>
    <row r="1942" spans="1:18" ht="45" x14ac:dyDescent="0.25">
      <c r="A1942" s="14" t="s">
        <v>8732</v>
      </c>
      <c r="B1942" s="14" t="s">
        <v>8919</v>
      </c>
      <c r="C1942" s="14" t="s">
        <v>8712</v>
      </c>
      <c r="D1942" s="14" t="s">
        <v>8531</v>
      </c>
      <c r="E1942" s="14" t="s">
        <v>6909</v>
      </c>
      <c r="F1942" s="14" t="s">
        <v>6910</v>
      </c>
      <c r="G1942" s="14" t="s">
        <v>37</v>
      </c>
      <c r="H1942" s="14"/>
      <c r="I1942" s="14"/>
      <c r="J1942" s="14" t="s">
        <v>382</v>
      </c>
      <c r="K1942" s="14"/>
      <c r="L1942" s="14"/>
      <c r="M1942" s="14" t="s">
        <v>6911</v>
      </c>
      <c r="N1942" s="14"/>
      <c r="O1942" s="14" t="s">
        <v>6912</v>
      </c>
      <c r="P1942" s="14" t="str">
        <f>HYPERLINK("https://ceds.ed.gov/cedselementdetails.aspx?termid=18408")</f>
        <v>https://ceds.ed.gov/cedselementdetails.aspx?termid=18408</v>
      </c>
      <c r="Q1942" s="14" t="str">
        <f>HYPERLINK("https://ceds.ed.gov/elementComment.aspx?elementName=Professional Development Activity Description &amp;elementID=18408", "Click here to submit comment")</f>
        <v>Click here to submit comment</v>
      </c>
      <c r="R1942" s="14">
        <v>50575</v>
      </c>
    </row>
    <row r="1943" spans="1:18" ht="409.5" x14ac:dyDescent="0.25">
      <c r="A1943" s="14" t="s">
        <v>8732</v>
      </c>
      <c r="B1943" s="14" t="s">
        <v>8919</v>
      </c>
      <c r="C1943" s="14" t="s">
        <v>8712</v>
      </c>
      <c r="D1943" s="14" t="s">
        <v>8531</v>
      </c>
      <c r="E1943" s="14" t="s">
        <v>6913</v>
      </c>
      <c r="F1943" s="14" t="s">
        <v>6914</v>
      </c>
      <c r="G1943" s="8" t="s">
        <v>8714</v>
      </c>
      <c r="H1943" s="14"/>
      <c r="I1943" s="14"/>
      <c r="J1943" s="14"/>
      <c r="K1943" s="14"/>
      <c r="L1943" s="14" t="s">
        <v>6916</v>
      </c>
      <c r="M1943" s="14" t="s">
        <v>6917</v>
      </c>
      <c r="N1943" s="14"/>
      <c r="O1943" s="14" t="s">
        <v>6918</v>
      </c>
      <c r="P1943" s="14" t="str">
        <f>HYPERLINK("https://ceds.ed.gov/cedselementdetails.aspx?termid=18245")</f>
        <v>https://ceds.ed.gov/cedselementdetails.aspx?termid=18245</v>
      </c>
      <c r="Q1943" s="14" t="str">
        <f>HYPERLINK("https://ceds.ed.gov/elementComment.aspx?elementName=Professional Development Activity Education Levels Addressed &amp;elementID=18245", "Click here to submit comment")</f>
        <v>Click here to submit comment</v>
      </c>
      <c r="R1943" s="14">
        <v>50913</v>
      </c>
    </row>
    <row r="1944" spans="1:18" ht="45" x14ac:dyDescent="0.25">
      <c r="A1944" s="14" t="s">
        <v>8732</v>
      </c>
      <c r="B1944" s="14" t="s">
        <v>8919</v>
      </c>
      <c r="C1944" s="14" t="s">
        <v>8712</v>
      </c>
      <c r="D1944" s="14" t="s">
        <v>8531</v>
      </c>
      <c r="E1944" s="14" t="s">
        <v>6932</v>
      </c>
      <c r="F1944" s="14" t="s">
        <v>6933</v>
      </c>
      <c r="G1944" s="14" t="s">
        <v>37</v>
      </c>
      <c r="H1944" s="14"/>
      <c r="I1944" s="14"/>
      <c r="J1944" s="14" t="s">
        <v>382</v>
      </c>
      <c r="K1944" s="14"/>
      <c r="L1944" s="14"/>
      <c r="M1944" s="14" t="s">
        <v>6934</v>
      </c>
      <c r="N1944" s="14"/>
      <c r="O1944" s="14" t="s">
        <v>6935</v>
      </c>
      <c r="P1944" s="14" t="str">
        <f>HYPERLINK("https://ceds.ed.gov/cedselementdetails.aspx?termid=18410")</f>
        <v>https://ceds.ed.gov/cedselementdetails.aspx?termid=18410</v>
      </c>
      <c r="Q1944" s="14" t="str">
        <f>HYPERLINK("https://ceds.ed.gov/elementComment.aspx?elementName=Professional Development Activity Objective &amp;elementID=18410", "Click here to submit comment")</f>
        <v>Click here to submit comment</v>
      </c>
      <c r="R1944" s="14">
        <v>50577</v>
      </c>
    </row>
    <row r="1945" spans="1:18" ht="60" x14ac:dyDescent="0.25">
      <c r="A1945" s="14" t="s">
        <v>8732</v>
      </c>
      <c r="B1945" s="14" t="s">
        <v>8919</v>
      </c>
      <c r="C1945" s="14" t="s">
        <v>8712</v>
      </c>
      <c r="D1945" s="14" t="s">
        <v>8531</v>
      </c>
      <c r="E1945" s="14" t="s">
        <v>6927</v>
      </c>
      <c r="F1945" s="14" t="s">
        <v>6928</v>
      </c>
      <c r="G1945" s="8" t="s">
        <v>8715</v>
      </c>
      <c r="H1945" s="14"/>
      <c r="I1945" s="14"/>
      <c r="J1945" s="14"/>
      <c r="K1945" s="14"/>
      <c r="L1945" s="14"/>
      <c r="M1945" s="14" t="s">
        <v>6930</v>
      </c>
      <c r="N1945" s="14"/>
      <c r="O1945" s="14" t="s">
        <v>6931</v>
      </c>
      <c r="P1945" s="14" t="str">
        <f>HYPERLINK("https://ceds.ed.gov/cedselementdetails.aspx?termid=18409")</f>
        <v>https://ceds.ed.gov/cedselementdetails.aspx?termid=18409</v>
      </c>
      <c r="Q1945" s="14" t="str">
        <f>HYPERLINK("https://ceds.ed.gov/elementComment.aspx?elementName=Professional Development Activity Level &amp;elementID=18409", "Click here to submit comment")</f>
        <v>Click here to submit comment</v>
      </c>
      <c r="R1945" s="14">
        <v>50576</v>
      </c>
    </row>
    <row r="1946" spans="1:18" ht="75" x14ac:dyDescent="0.25">
      <c r="A1946" s="14" t="s">
        <v>8732</v>
      </c>
      <c r="B1946" s="14" t="s">
        <v>8919</v>
      </c>
      <c r="C1946" s="14" t="s">
        <v>8712</v>
      </c>
      <c r="D1946" s="14" t="s">
        <v>8531</v>
      </c>
      <c r="E1946" s="14" t="s">
        <v>6900</v>
      </c>
      <c r="F1946" s="14" t="s">
        <v>6901</v>
      </c>
      <c r="G1946" s="8" t="s">
        <v>8716</v>
      </c>
      <c r="H1946" s="14"/>
      <c r="I1946" s="14"/>
      <c r="J1946" s="14"/>
      <c r="K1946" s="14"/>
      <c r="L1946" s="14"/>
      <c r="M1946" s="14" t="s">
        <v>6903</v>
      </c>
      <c r="N1946" s="14"/>
      <c r="O1946" s="14" t="s">
        <v>6904</v>
      </c>
      <c r="P1946" s="14" t="str">
        <f>HYPERLINK("https://ceds.ed.gov/cedselementdetails.aspx?termid=18406")</f>
        <v>https://ceds.ed.gov/cedselementdetails.aspx?termid=18406</v>
      </c>
      <c r="Q1946" s="14" t="str">
        <f>HYPERLINK("https://ceds.ed.gov/elementComment.aspx?elementName=Professional Development Activity Credit Type &amp;elementID=18406", "Click here to submit comment")</f>
        <v>Click here to submit comment</v>
      </c>
      <c r="R1946" s="14">
        <v>50573</v>
      </c>
    </row>
    <row r="1947" spans="1:18" ht="45" x14ac:dyDescent="0.25">
      <c r="A1947" s="14" t="s">
        <v>8732</v>
      </c>
      <c r="B1947" s="14" t="s">
        <v>8919</v>
      </c>
      <c r="C1947" s="14" t="s">
        <v>8712</v>
      </c>
      <c r="D1947" s="14" t="s">
        <v>8531</v>
      </c>
      <c r="E1947" s="14" t="s">
        <v>6905</v>
      </c>
      <c r="F1947" s="14" t="s">
        <v>6906</v>
      </c>
      <c r="G1947" s="14" t="s">
        <v>37</v>
      </c>
      <c r="H1947" s="14"/>
      <c r="I1947" s="14"/>
      <c r="J1947" s="14" t="s">
        <v>1710</v>
      </c>
      <c r="K1947" s="14"/>
      <c r="L1947" s="14"/>
      <c r="M1947" s="14" t="s">
        <v>6907</v>
      </c>
      <c r="N1947" s="14"/>
      <c r="O1947" s="14" t="s">
        <v>6908</v>
      </c>
      <c r="P1947" s="14" t="str">
        <f>HYPERLINK("https://ceds.ed.gov/cedselementdetails.aspx?termid=18407")</f>
        <v>https://ceds.ed.gov/cedselementdetails.aspx?termid=18407</v>
      </c>
      <c r="Q1947" s="14" t="str">
        <f>HYPERLINK("https://ceds.ed.gov/elementComment.aspx?elementName=Professional Development Activity Credits &amp;elementID=18407", "Click here to submit comment")</f>
        <v>Click here to submit comment</v>
      </c>
      <c r="R1947" s="14">
        <v>50574</v>
      </c>
    </row>
    <row r="1948" spans="1:18" ht="409.5" x14ac:dyDescent="0.25">
      <c r="A1948" s="14" t="s">
        <v>8732</v>
      </c>
      <c r="B1948" s="14" t="s">
        <v>8919</v>
      </c>
      <c r="C1948" s="14" t="s">
        <v>8712</v>
      </c>
      <c r="D1948" s="14" t="s">
        <v>8531</v>
      </c>
      <c r="E1948" s="14" t="s">
        <v>6941</v>
      </c>
      <c r="F1948" s="14" t="s">
        <v>6942</v>
      </c>
      <c r="G1948" s="8" t="s">
        <v>8717</v>
      </c>
      <c r="H1948" s="14"/>
      <c r="I1948" s="14"/>
      <c r="J1948" s="14"/>
      <c r="K1948" s="14"/>
      <c r="L1948" s="14"/>
      <c r="M1948" s="14" t="s">
        <v>6944</v>
      </c>
      <c r="N1948" s="14"/>
      <c r="O1948" s="14" t="s">
        <v>6945</v>
      </c>
      <c r="P1948" s="14" t="str">
        <f>HYPERLINK("https://ceds.ed.gov/cedselementdetails.aspx?termid=18464")</f>
        <v>https://ceds.ed.gov/cedselementdetails.aspx?termid=18464</v>
      </c>
      <c r="Q1948" s="14" t="str">
        <f>HYPERLINK("https://ceds.ed.gov/elementComment.aspx?elementName=Professional Development Activity Target Audience &amp;elementID=18464", "Click here to submit comment")</f>
        <v>Click here to submit comment</v>
      </c>
      <c r="R1948" s="14">
        <v>50687</v>
      </c>
    </row>
    <row r="1949" spans="1:18" ht="90" x14ac:dyDescent="0.25">
      <c r="A1949" s="14" t="s">
        <v>8732</v>
      </c>
      <c r="B1949" s="14" t="s">
        <v>8919</v>
      </c>
      <c r="C1949" s="14" t="s">
        <v>8712</v>
      </c>
      <c r="D1949" s="14" t="s">
        <v>8531</v>
      </c>
      <c r="E1949" s="14" t="s">
        <v>7024</v>
      </c>
      <c r="F1949" s="14" t="s">
        <v>7025</v>
      </c>
      <c r="G1949" s="14" t="s">
        <v>8527</v>
      </c>
      <c r="H1949" s="14"/>
      <c r="I1949" s="14" t="s">
        <v>195</v>
      </c>
      <c r="J1949" s="14"/>
      <c r="K1949" s="14" t="s">
        <v>1086</v>
      </c>
      <c r="L1949" s="6" t="s">
        <v>1087</v>
      </c>
      <c r="M1949" s="14" t="s">
        <v>7026</v>
      </c>
      <c r="N1949" s="14"/>
      <c r="O1949" s="14" t="s">
        <v>7027</v>
      </c>
      <c r="P1949" s="14" t="str">
        <f>HYPERLINK("https://ceds.ed.gov/cedselementdetails.aspx?termid=18357")</f>
        <v>https://ceds.ed.gov/cedselementdetails.aspx?termid=18357</v>
      </c>
      <c r="Q1949" s="14" t="str">
        <f>HYPERLINK("https://ceds.ed.gov/elementComment.aspx?elementName=Professional Development Session Language &amp;elementID=18357", "Click here to submit comment")</f>
        <v>Click here to submit comment</v>
      </c>
      <c r="R1949" s="14">
        <v>50862</v>
      </c>
    </row>
    <row r="1950" spans="1:18" ht="60" x14ac:dyDescent="0.25">
      <c r="A1950" s="14" t="s">
        <v>8732</v>
      </c>
      <c r="B1950" s="14" t="s">
        <v>8919</v>
      </c>
      <c r="C1950" s="14" t="s">
        <v>8712</v>
      </c>
      <c r="D1950" s="14" t="s">
        <v>8531</v>
      </c>
      <c r="E1950" s="14" t="s">
        <v>6919</v>
      </c>
      <c r="F1950" s="14" t="s">
        <v>6920</v>
      </c>
      <c r="G1950" s="14" t="s">
        <v>37</v>
      </c>
      <c r="H1950" s="14"/>
      <c r="I1950" s="14"/>
      <c r="J1950" s="14" t="s">
        <v>135</v>
      </c>
      <c r="K1950" s="14"/>
      <c r="L1950" s="14"/>
      <c r="M1950" s="14" t="s">
        <v>6921</v>
      </c>
      <c r="N1950" s="14"/>
      <c r="O1950" s="14" t="s">
        <v>6922</v>
      </c>
      <c r="P1950" s="14" t="str">
        <f>HYPERLINK("https://ceds.ed.gov/cedselementdetails.aspx?termid=18421")</f>
        <v>https://ceds.ed.gov/cedselementdetails.aspx?termid=18421</v>
      </c>
      <c r="Q1950" s="14" t="str">
        <f>HYPERLINK("https://ceds.ed.gov/elementComment.aspx?elementName=Professional Development Activity Expiration Date &amp;elementID=18421", "Click here to submit comment")</f>
        <v>Click here to submit comment</v>
      </c>
      <c r="R1950" s="14">
        <v>50586</v>
      </c>
    </row>
    <row r="1951" spans="1:18" ht="90" x14ac:dyDescent="0.25">
      <c r="A1951" s="14" t="s">
        <v>8732</v>
      </c>
      <c r="B1951" s="14" t="s">
        <v>8919</v>
      </c>
      <c r="C1951" s="14" t="s">
        <v>8712</v>
      </c>
      <c r="D1951" s="14" t="s">
        <v>8531</v>
      </c>
      <c r="E1951" s="14" t="s">
        <v>6887</v>
      </c>
      <c r="F1951" s="14" t="s">
        <v>6888</v>
      </c>
      <c r="G1951" s="8" t="s">
        <v>8718</v>
      </c>
      <c r="H1951" s="14"/>
      <c r="I1951" s="14"/>
      <c r="J1951" s="14"/>
      <c r="K1951" s="14"/>
      <c r="L1951" s="14"/>
      <c r="M1951" s="14" t="s">
        <v>6890</v>
      </c>
      <c r="N1951" s="14"/>
      <c r="O1951" s="14" t="s">
        <v>6891</v>
      </c>
      <c r="P1951" s="14" t="str">
        <f>HYPERLINK("https://ceds.ed.gov/cedselementdetails.aspx?termid=18403")</f>
        <v>https://ceds.ed.gov/cedselementdetails.aspx?termid=18403</v>
      </c>
      <c r="Q1951" s="14" t="str">
        <f>HYPERLINK("https://ceds.ed.gov/elementComment.aspx?elementName=Professional Development Activity Approved Purpose &amp;elementID=18403", "Click here to submit comment")</f>
        <v>Click here to submit comment</v>
      </c>
      <c r="R1951" s="14">
        <v>50570</v>
      </c>
    </row>
    <row r="1952" spans="1:18" ht="45" x14ac:dyDescent="0.25">
      <c r="A1952" s="14" t="s">
        <v>8732</v>
      </c>
      <c r="B1952" s="14" t="s">
        <v>8919</v>
      </c>
      <c r="C1952" s="14" t="s">
        <v>8712</v>
      </c>
      <c r="D1952" s="14" t="s">
        <v>8531</v>
      </c>
      <c r="E1952" s="14" t="s">
        <v>6882</v>
      </c>
      <c r="F1952" s="14" t="s">
        <v>6883</v>
      </c>
      <c r="G1952" s="14" t="s">
        <v>37</v>
      </c>
      <c r="H1952" s="14"/>
      <c r="I1952" s="14"/>
      <c r="J1952" s="14" t="s">
        <v>97</v>
      </c>
      <c r="K1952" s="14"/>
      <c r="L1952" s="14"/>
      <c r="M1952" s="14" t="s">
        <v>6885</v>
      </c>
      <c r="N1952" s="14"/>
      <c r="O1952" s="14" t="s">
        <v>6886</v>
      </c>
      <c r="P1952" s="14" t="str">
        <f>HYPERLINK("https://ceds.ed.gov/cedselementdetails.aspx?termid=18402")</f>
        <v>https://ceds.ed.gov/cedselementdetails.aspx?termid=18402</v>
      </c>
      <c r="Q1952" s="14" t="str">
        <f>HYPERLINK("https://ceds.ed.gov/elementComment.aspx?elementName=Professional Development Activity Approval Code &amp;elementID=18402", "Click here to submit comment")</f>
        <v>Click here to submit comment</v>
      </c>
      <c r="R1952" s="14">
        <v>50569</v>
      </c>
    </row>
    <row r="1953" spans="1:18" ht="75" x14ac:dyDescent="0.25">
      <c r="A1953" s="14" t="s">
        <v>8732</v>
      </c>
      <c r="B1953" s="14" t="s">
        <v>8919</v>
      </c>
      <c r="C1953" s="14" t="s">
        <v>8712</v>
      </c>
      <c r="D1953" s="14" t="s">
        <v>8531</v>
      </c>
      <c r="E1953" s="14" t="s">
        <v>6892</v>
      </c>
      <c r="F1953" s="14" t="s">
        <v>6893</v>
      </c>
      <c r="G1953" s="14" t="s">
        <v>37</v>
      </c>
      <c r="H1953" s="14"/>
      <c r="I1953" s="14"/>
      <c r="J1953" s="14" t="s">
        <v>97</v>
      </c>
      <c r="K1953" s="14"/>
      <c r="L1953" s="14"/>
      <c r="M1953" s="14" t="s">
        <v>6894</v>
      </c>
      <c r="N1953" s="14"/>
      <c r="O1953" s="14" t="s">
        <v>6895</v>
      </c>
      <c r="P1953" s="14" t="str">
        <f>HYPERLINK("https://ceds.ed.gov/cedselementdetails.aspx?termid=18404")</f>
        <v>https://ceds.ed.gov/cedselementdetails.aspx?termid=18404</v>
      </c>
      <c r="Q1953" s="14" t="str">
        <f>HYPERLINK("https://ceds.ed.gov/elementComment.aspx?elementName=Professional Development Activity Code &amp;elementID=18404", "Click here to submit comment")</f>
        <v>Click here to submit comment</v>
      </c>
      <c r="R1953" s="14">
        <v>50571</v>
      </c>
    </row>
    <row r="1954" spans="1:18" ht="45" x14ac:dyDescent="0.25">
      <c r="A1954" s="14" t="s">
        <v>8732</v>
      </c>
      <c r="B1954" s="14" t="s">
        <v>8919</v>
      </c>
      <c r="C1954" s="14" t="s">
        <v>8712</v>
      </c>
      <c r="D1954" s="14" t="s">
        <v>8531</v>
      </c>
      <c r="E1954" s="14" t="s">
        <v>6896</v>
      </c>
      <c r="F1954" s="14" t="s">
        <v>6897</v>
      </c>
      <c r="G1954" s="14" t="s">
        <v>37</v>
      </c>
      <c r="H1954" s="14"/>
      <c r="I1954" s="14"/>
      <c r="J1954" s="14" t="s">
        <v>1710</v>
      </c>
      <c r="K1954" s="14"/>
      <c r="L1954" s="14"/>
      <c r="M1954" s="14" t="s">
        <v>6898</v>
      </c>
      <c r="N1954" s="14"/>
      <c r="O1954" s="14" t="s">
        <v>6899</v>
      </c>
      <c r="P1954" s="14" t="str">
        <f>HYPERLINK("https://ceds.ed.gov/cedselementdetails.aspx?termid=18405")</f>
        <v>https://ceds.ed.gov/cedselementdetails.aspx?termid=18405</v>
      </c>
      <c r="Q1954" s="14" t="str">
        <f>HYPERLINK("https://ceds.ed.gov/elementComment.aspx?elementName=Professional Development Activity Cost &amp;elementID=18405", "Click here to submit comment")</f>
        <v>Click here to submit comment</v>
      </c>
      <c r="R1954" s="14">
        <v>50572</v>
      </c>
    </row>
    <row r="1955" spans="1:18" ht="105" x14ac:dyDescent="0.25">
      <c r="A1955" s="16" t="s">
        <v>8732</v>
      </c>
      <c r="B1955" s="16" t="s">
        <v>8919</v>
      </c>
      <c r="C1955" s="16" t="s">
        <v>8719</v>
      </c>
      <c r="D1955" s="16" t="s">
        <v>8531</v>
      </c>
      <c r="E1955" s="16" t="s">
        <v>7020</v>
      </c>
      <c r="F1955" s="16" t="s">
        <v>7021</v>
      </c>
      <c r="G1955" s="16" t="s">
        <v>37</v>
      </c>
      <c r="H1955" s="16"/>
      <c r="I1955" s="16"/>
      <c r="J1955" s="16" t="s">
        <v>149</v>
      </c>
      <c r="K1955" s="16"/>
      <c r="L1955" s="14" t="s">
        <v>150</v>
      </c>
      <c r="M1955" s="16" t="s">
        <v>7022</v>
      </c>
      <c r="N1955" s="16"/>
      <c r="O1955" s="16" t="s">
        <v>7023</v>
      </c>
      <c r="P1955" s="16" t="str">
        <f>HYPERLINK("https://ceds.ed.gov/cedselementdetails.aspx?termid=18422")</f>
        <v>https://ceds.ed.gov/cedselementdetails.aspx?termid=18422</v>
      </c>
      <c r="Q1955" s="16" t="str">
        <f>HYPERLINK("https://ceds.ed.gov/elementComment.aspx?elementName=Professional Development Session Identifier &amp;elementID=18422", "Click here to submit comment")</f>
        <v>Click here to submit comment</v>
      </c>
      <c r="R1955" s="16">
        <v>50587</v>
      </c>
    </row>
    <row r="1956" spans="1:18" x14ac:dyDescent="0.25">
      <c r="A1956" s="16"/>
      <c r="B1956" s="16"/>
      <c r="C1956" s="16"/>
      <c r="D1956" s="16"/>
      <c r="E1956" s="16"/>
      <c r="F1956" s="16"/>
      <c r="G1956" s="16"/>
      <c r="H1956" s="16"/>
      <c r="I1956" s="16"/>
      <c r="J1956" s="16"/>
      <c r="K1956" s="16"/>
      <c r="L1956" s="14"/>
      <c r="M1956" s="16"/>
      <c r="N1956" s="16"/>
      <c r="O1956" s="16"/>
      <c r="P1956" s="16"/>
      <c r="Q1956" s="16"/>
      <c r="R1956" s="16"/>
    </row>
    <row r="1957" spans="1:18" ht="90" x14ac:dyDescent="0.25">
      <c r="A1957" s="16"/>
      <c r="B1957" s="16"/>
      <c r="C1957" s="16"/>
      <c r="D1957" s="16"/>
      <c r="E1957" s="16"/>
      <c r="F1957" s="16"/>
      <c r="G1957" s="16"/>
      <c r="H1957" s="16"/>
      <c r="I1957" s="16"/>
      <c r="J1957" s="16"/>
      <c r="K1957" s="16"/>
      <c r="L1957" s="14" t="s">
        <v>153</v>
      </c>
      <c r="M1957" s="16"/>
      <c r="N1957" s="16"/>
      <c r="O1957" s="16"/>
      <c r="P1957" s="16"/>
      <c r="Q1957" s="16"/>
      <c r="R1957" s="16"/>
    </row>
    <row r="1958" spans="1:18" ht="45" x14ac:dyDescent="0.25">
      <c r="A1958" s="14" t="s">
        <v>8732</v>
      </c>
      <c r="B1958" s="14" t="s">
        <v>8919</v>
      </c>
      <c r="C1958" s="14" t="s">
        <v>8719</v>
      </c>
      <c r="D1958" s="14" t="s">
        <v>8531</v>
      </c>
      <c r="E1958" s="14" t="s">
        <v>7033</v>
      </c>
      <c r="F1958" s="14" t="s">
        <v>7034</v>
      </c>
      <c r="G1958" s="14" t="s">
        <v>37</v>
      </c>
      <c r="H1958" s="14"/>
      <c r="I1958" s="14"/>
      <c r="J1958" s="14" t="s">
        <v>135</v>
      </c>
      <c r="K1958" s="14"/>
      <c r="L1958" s="14"/>
      <c r="M1958" s="14" t="s">
        <v>7035</v>
      </c>
      <c r="N1958" s="14"/>
      <c r="O1958" s="14" t="s">
        <v>7036</v>
      </c>
      <c r="P1958" s="14" t="str">
        <f>HYPERLINK("https://ceds.ed.gov/cedselementdetails.aspx?termid=18426")</f>
        <v>https://ceds.ed.gov/cedselementdetails.aspx?termid=18426</v>
      </c>
      <c r="Q1958" s="14" t="str">
        <f>HYPERLINK("https://ceds.ed.gov/elementComment.aspx?elementName=Professional Development Session Start Date &amp;elementID=18426", "Click here to submit comment")</f>
        <v>Click here to submit comment</v>
      </c>
      <c r="R1958" s="14">
        <v>50588</v>
      </c>
    </row>
    <row r="1959" spans="1:18" ht="75" x14ac:dyDescent="0.25">
      <c r="A1959" s="14" t="s">
        <v>8732</v>
      </c>
      <c r="B1959" s="14" t="s">
        <v>8919</v>
      </c>
      <c r="C1959" s="14" t="s">
        <v>8719</v>
      </c>
      <c r="D1959" s="14" t="s">
        <v>8531</v>
      </c>
      <c r="E1959" s="14" t="s">
        <v>7004</v>
      </c>
      <c r="F1959" s="14" t="s">
        <v>7005</v>
      </c>
      <c r="G1959" s="14" t="s">
        <v>37</v>
      </c>
      <c r="H1959" s="14"/>
      <c r="I1959" s="14"/>
      <c r="J1959" s="14" t="s">
        <v>135</v>
      </c>
      <c r="K1959" s="14"/>
      <c r="L1959" s="14" t="s">
        <v>160</v>
      </c>
      <c r="M1959" s="14" t="s">
        <v>7006</v>
      </c>
      <c r="N1959" s="14"/>
      <c r="O1959" s="14" t="s">
        <v>7007</v>
      </c>
      <c r="P1959" s="14" t="str">
        <f>HYPERLINK("https://ceds.ed.gov/cedselementdetails.aspx?termid=18417")</f>
        <v>https://ceds.ed.gov/cedselementdetails.aspx?termid=18417</v>
      </c>
      <c r="Q1959" s="14" t="str">
        <f>HYPERLINK("https://ceds.ed.gov/elementComment.aspx?elementName=Professional Development Session End Date &amp;elementID=18417", "Click here to submit comment")</f>
        <v>Click here to submit comment</v>
      </c>
      <c r="R1959" s="14">
        <v>50582</v>
      </c>
    </row>
    <row r="1960" spans="1:18" ht="45" x14ac:dyDescent="0.25">
      <c r="A1960" s="14" t="s">
        <v>8732</v>
      </c>
      <c r="B1960" s="14" t="s">
        <v>8919</v>
      </c>
      <c r="C1960" s="14" t="s">
        <v>8719</v>
      </c>
      <c r="D1960" s="14" t="s">
        <v>8531</v>
      </c>
      <c r="E1960" s="14" t="s">
        <v>7037</v>
      </c>
      <c r="F1960" s="14" t="s">
        <v>7038</v>
      </c>
      <c r="G1960" s="14" t="s">
        <v>37</v>
      </c>
      <c r="H1960" s="14"/>
      <c r="I1960" s="14"/>
      <c r="J1960" s="14" t="s">
        <v>3202</v>
      </c>
      <c r="K1960" s="14"/>
      <c r="L1960" s="14"/>
      <c r="M1960" s="14" t="s">
        <v>7039</v>
      </c>
      <c r="N1960" s="14"/>
      <c r="O1960" s="14" t="s">
        <v>7040</v>
      </c>
      <c r="P1960" s="14" t="str">
        <f>HYPERLINK("https://ceds.ed.gov/cedselementdetails.aspx?termid=18427")</f>
        <v>https://ceds.ed.gov/cedselementdetails.aspx?termid=18427</v>
      </c>
      <c r="Q1960" s="14" t="str">
        <f>HYPERLINK("https://ceds.ed.gov/elementComment.aspx?elementName=Professional Development Session Start Time &amp;elementID=18427", "Click here to submit comment")</f>
        <v>Click here to submit comment</v>
      </c>
      <c r="R1960" s="14">
        <v>50589</v>
      </c>
    </row>
    <row r="1961" spans="1:18" ht="45" x14ac:dyDescent="0.25">
      <c r="A1961" s="14" t="s">
        <v>8732</v>
      </c>
      <c r="B1961" s="14" t="s">
        <v>8919</v>
      </c>
      <c r="C1961" s="14" t="s">
        <v>8719</v>
      </c>
      <c r="D1961" s="14" t="s">
        <v>8531</v>
      </c>
      <c r="E1961" s="14" t="s">
        <v>7008</v>
      </c>
      <c r="F1961" s="14" t="s">
        <v>7009</v>
      </c>
      <c r="G1961" s="14" t="s">
        <v>37</v>
      </c>
      <c r="H1961" s="14"/>
      <c r="I1961" s="14"/>
      <c r="J1961" s="14" t="s">
        <v>3202</v>
      </c>
      <c r="K1961" s="14"/>
      <c r="L1961" s="14"/>
      <c r="M1961" s="14" t="s">
        <v>7010</v>
      </c>
      <c r="N1961" s="14"/>
      <c r="O1961" s="14" t="s">
        <v>7011</v>
      </c>
      <c r="P1961" s="14" t="str">
        <f>HYPERLINK("https://ceds.ed.gov/cedselementdetails.aspx?termid=18418")</f>
        <v>https://ceds.ed.gov/cedselementdetails.aspx?termid=18418</v>
      </c>
      <c r="Q1961" s="14" t="str">
        <f>HYPERLINK("https://ceds.ed.gov/elementComment.aspx?elementName=Professional Development Session End Time &amp;elementID=18418", "Click here to submit comment")</f>
        <v>Click here to submit comment</v>
      </c>
      <c r="R1961" s="14">
        <v>50583</v>
      </c>
    </row>
    <row r="1962" spans="1:18" ht="45" x14ac:dyDescent="0.25">
      <c r="A1962" s="14" t="s">
        <v>8732</v>
      </c>
      <c r="B1962" s="14" t="s">
        <v>8919</v>
      </c>
      <c r="C1962" s="14" t="s">
        <v>8719</v>
      </c>
      <c r="D1962" s="14" t="s">
        <v>8531</v>
      </c>
      <c r="E1962" s="14" t="s">
        <v>7000</v>
      </c>
      <c r="F1962" s="14" t="s">
        <v>7001</v>
      </c>
      <c r="G1962" s="14" t="s">
        <v>37</v>
      </c>
      <c r="H1962" s="14"/>
      <c r="I1962" s="14"/>
      <c r="J1962" s="14" t="s">
        <v>370</v>
      </c>
      <c r="K1962" s="14"/>
      <c r="L1962" s="14"/>
      <c r="M1962" s="14" t="s">
        <v>7002</v>
      </c>
      <c r="N1962" s="14"/>
      <c r="O1962" s="14" t="s">
        <v>7003</v>
      </c>
      <c r="P1962" s="14" t="str">
        <f>HYPERLINK("https://ceds.ed.gov/cedselementdetails.aspx?termid=18416")</f>
        <v>https://ceds.ed.gov/cedselementdetails.aspx?termid=18416</v>
      </c>
      <c r="Q1962" s="14" t="str">
        <f>HYPERLINK("https://ceds.ed.gov/elementComment.aspx?elementName=Professional Development Session Capacity &amp;elementID=18416", "Click here to submit comment")</f>
        <v>Click here to submit comment</v>
      </c>
      <c r="R1962" s="14">
        <v>50581</v>
      </c>
    </row>
    <row r="1963" spans="1:18" ht="75" x14ac:dyDescent="0.25">
      <c r="A1963" s="14" t="s">
        <v>8732</v>
      </c>
      <c r="B1963" s="14" t="s">
        <v>8919</v>
      </c>
      <c r="C1963" s="14" t="s">
        <v>8719</v>
      </c>
      <c r="D1963" s="14" t="s">
        <v>8531</v>
      </c>
      <c r="E1963" s="14" t="s">
        <v>6960</v>
      </c>
      <c r="F1963" s="14" t="s">
        <v>6961</v>
      </c>
      <c r="G1963" s="8" t="s">
        <v>8587</v>
      </c>
      <c r="H1963" s="14"/>
      <c r="I1963" s="14"/>
      <c r="J1963" s="14"/>
      <c r="K1963" s="14"/>
      <c r="L1963" s="14"/>
      <c r="M1963" s="14" t="s">
        <v>6964</v>
      </c>
      <c r="N1963" s="14"/>
      <c r="O1963" s="14" t="s">
        <v>6965</v>
      </c>
      <c r="P1963" s="14" t="str">
        <f>HYPERLINK("https://ceds.ed.gov/cedselementdetails.aspx?termid=18401")</f>
        <v>https://ceds.ed.gov/cedselementdetails.aspx?termid=18401</v>
      </c>
      <c r="Q1963" s="14" t="str">
        <f>HYPERLINK("https://ceds.ed.gov/elementComment.aspx?elementName=Professional Development Delivery Method &amp;elementID=18401", "Click here to submit comment")</f>
        <v>Click here to submit comment</v>
      </c>
      <c r="R1963" s="14">
        <v>50568</v>
      </c>
    </row>
    <row r="1964" spans="1:18" ht="180" x14ac:dyDescent="0.25">
      <c r="A1964" s="14" t="s">
        <v>8732</v>
      </c>
      <c r="B1964" s="14" t="s">
        <v>8919</v>
      </c>
      <c r="C1964" s="14" t="s">
        <v>8719</v>
      </c>
      <c r="D1964" s="14" t="s">
        <v>8531</v>
      </c>
      <c r="E1964" s="14" t="s">
        <v>6975</v>
      </c>
      <c r="F1964" s="14" t="s">
        <v>6976</v>
      </c>
      <c r="G1964" s="8" t="s">
        <v>8720</v>
      </c>
      <c r="H1964" s="14"/>
      <c r="I1964" s="14"/>
      <c r="J1964" s="14"/>
      <c r="K1964" s="14"/>
      <c r="L1964" s="14"/>
      <c r="M1964" s="14" t="s">
        <v>6978</v>
      </c>
      <c r="N1964" s="14"/>
      <c r="O1964" s="14" t="s">
        <v>6979</v>
      </c>
      <c r="P1964" s="14" t="str">
        <f>HYPERLINK("https://ceds.ed.gov/cedselementdetails.aspx?termid=18429")</f>
        <v>https://ceds.ed.gov/cedselementdetails.aspx?termid=18429</v>
      </c>
      <c r="Q1964" s="14" t="str">
        <f>HYPERLINK("https://ceds.ed.gov/elementComment.aspx?elementName=Professional Development Instructional Delivery Mode &amp;elementID=18429", "Click here to submit comment")</f>
        <v>Click here to submit comment</v>
      </c>
      <c r="R1964" s="14">
        <v>50685</v>
      </c>
    </row>
    <row r="1965" spans="1:18" ht="45" x14ac:dyDescent="0.25">
      <c r="A1965" s="14" t="s">
        <v>8732</v>
      </c>
      <c r="B1965" s="14" t="s">
        <v>8919</v>
      </c>
      <c r="C1965" s="14" t="s">
        <v>8719</v>
      </c>
      <c r="D1965" s="14" t="s">
        <v>8531</v>
      </c>
      <c r="E1965" s="14" t="s">
        <v>7856</v>
      </c>
      <c r="F1965" s="14" t="s">
        <v>7857</v>
      </c>
      <c r="G1965" s="14" t="s">
        <v>37</v>
      </c>
      <c r="H1965" s="14"/>
      <c r="I1965" s="14"/>
      <c r="J1965" s="14" t="s">
        <v>175</v>
      </c>
      <c r="K1965" s="14"/>
      <c r="L1965" s="14"/>
      <c r="M1965" s="14" t="s">
        <v>7858</v>
      </c>
      <c r="N1965" s="14"/>
      <c r="O1965" s="14" t="s">
        <v>7859</v>
      </c>
      <c r="P1965" s="14" t="str">
        <f>HYPERLINK("https://ceds.ed.gov/cedselementdetails.aspx?termid=18461")</f>
        <v>https://ceds.ed.gov/cedselementdetails.aspx?termid=18461</v>
      </c>
      <c r="Q1965" s="14" t="str">
        <f>HYPERLINK("https://ceds.ed.gov/elementComment.aspx?elementName=Sponsoring Agency Name &amp;elementID=18461", "Click here to submit comment")</f>
        <v>Click here to submit comment</v>
      </c>
      <c r="R1965" s="14">
        <v>50686</v>
      </c>
    </row>
    <row r="1966" spans="1:18" ht="105" x14ac:dyDescent="0.25">
      <c r="A1966" s="16" t="s">
        <v>8732</v>
      </c>
      <c r="B1966" s="16" t="s">
        <v>8919</v>
      </c>
      <c r="C1966" s="16" t="s">
        <v>8719</v>
      </c>
      <c r="D1966" s="16" t="s">
        <v>8531</v>
      </c>
      <c r="E1966" s="16" t="s">
        <v>6980</v>
      </c>
      <c r="F1966" s="16" t="s">
        <v>6981</v>
      </c>
      <c r="G1966" s="16" t="s">
        <v>37</v>
      </c>
      <c r="H1966" s="16"/>
      <c r="I1966" s="16"/>
      <c r="J1966" s="16" t="s">
        <v>149</v>
      </c>
      <c r="K1966" s="16"/>
      <c r="L1966" s="14" t="s">
        <v>150</v>
      </c>
      <c r="M1966" s="16" t="s">
        <v>6982</v>
      </c>
      <c r="N1966" s="16"/>
      <c r="O1966" s="16" t="s">
        <v>6983</v>
      </c>
      <c r="P1966" s="16" t="str">
        <f>HYPERLINK("https://ceds.ed.gov/cedselementdetails.aspx?termid=18414")</f>
        <v>https://ceds.ed.gov/cedselementdetails.aspx?termid=18414</v>
      </c>
      <c r="Q1966" s="16" t="str">
        <f>HYPERLINK("https://ceds.ed.gov/elementComment.aspx?elementName=Professional Development Instructor Identifier &amp;elementID=18414", "Click here to submit comment")</f>
        <v>Click here to submit comment</v>
      </c>
      <c r="R1966" s="16">
        <v>50678</v>
      </c>
    </row>
    <row r="1967" spans="1:18" x14ac:dyDescent="0.25">
      <c r="A1967" s="16"/>
      <c r="B1967" s="16"/>
      <c r="C1967" s="16"/>
      <c r="D1967" s="16"/>
      <c r="E1967" s="16"/>
      <c r="F1967" s="16"/>
      <c r="G1967" s="16"/>
      <c r="H1967" s="16"/>
      <c r="I1967" s="16"/>
      <c r="J1967" s="16"/>
      <c r="K1967" s="16"/>
      <c r="L1967" s="14"/>
      <c r="M1967" s="16"/>
      <c r="N1967" s="16"/>
      <c r="O1967" s="16"/>
      <c r="P1967" s="16"/>
      <c r="Q1967" s="16"/>
      <c r="R1967" s="16"/>
    </row>
    <row r="1968" spans="1:18" ht="90" x14ac:dyDescent="0.25">
      <c r="A1968" s="16"/>
      <c r="B1968" s="16"/>
      <c r="C1968" s="16"/>
      <c r="D1968" s="16"/>
      <c r="E1968" s="16"/>
      <c r="F1968" s="16"/>
      <c r="G1968" s="16"/>
      <c r="H1968" s="16"/>
      <c r="I1968" s="16"/>
      <c r="J1968" s="16"/>
      <c r="K1968" s="16"/>
      <c r="L1968" s="14" t="s">
        <v>153</v>
      </c>
      <c r="M1968" s="16"/>
      <c r="N1968" s="16"/>
      <c r="O1968" s="16"/>
      <c r="P1968" s="16"/>
      <c r="Q1968" s="16"/>
      <c r="R1968" s="16"/>
    </row>
    <row r="1969" spans="1:18" ht="45" x14ac:dyDescent="0.25">
      <c r="A1969" s="14" t="s">
        <v>8732</v>
      </c>
      <c r="B1969" s="14" t="s">
        <v>8919</v>
      </c>
      <c r="C1969" s="14" t="s">
        <v>8719</v>
      </c>
      <c r="D1969" s="14" t="s">
        <v>8531</v>
      </c>
      <c r="E1969" s="14" t="s">
        <v>6971</v>
      </c>
      <c r="F1969" s="14" t="s">
        <v>6972</v>
      </c>
      <c r="G1969" s="14" t="s">
        <v>37</v>
      </c>
      <c r="H1969" s="14"/>
      <c r="I1969" s="14"/>
      <c r="J1969" s="14" t="s">
        <v>97</v>
      </c>
      <c r="K1969" s="14"/>
      <c r="L1969" s="14"/>
      <c r="M1969" s="14" t="s">
        <v>6973</v>
      </c>
      <c r="N1969" s="14"/>
      <c r="O1969" s="14" t="s">
        <v>6974</v>
      </c>
      <c r="P1969" s="14" t="str">
        <f>HYPERLINK("https://ceds.ed.gov/cedselementdetails.aspx?termid=18413")</f>
        <v>https://ceds.ed.gov/cedselementdetails.aspx?termid=18413</v>
      </c>
      <c r="Q1969" s="14" t="str">
        <f>HYPERLINK("https://ceds.ed.gov/elementComment.aspx?elementName=Professional Development Funding Source &amp;elementID=18413", "Click here to submit comment")</f>
        <v>Click here to submit comment</v>
      </c>
      <c r="R1969" s="14">
        <v>50580</v>
      </c>
    </row>
    <row r="1970" spans="1:18" ht="45" x14ac:dyDescent="0.25">
      <c r="A1970" s="14" t="s">
        <v>8732</v>
      </c>
      <c r="B1970" s="14" t="s">
        <v>8919</v>
      </c>
      <c r="C1970" s="14" t="s">
        <v>8719</v>
      </c>
      <c r="D1970" s="14" t="s">
        <v>8531</v>
      </c>
      <c r="E1970" s="14" t="s">
        <v>7012</v>
      </c>
      <c r="F1970" s="14" t="s">
        <v>7013</v>
      </c>
      <c r="G1970" s="14" t="s">
        <v>37</v>
      </c>
      <c r="H1970" s="14"/>
      <c r="I1970" s="14"/>
      <c r="J1970" s="14" t="s">
        <v>97</v>
      </c>
      <c r="K1970" s="14"/>
      <c r="L1970" s="14"/>
      <c r="M1970" s="14" t="s">
        <v>7014</v>
      </c>
      <c r="N1970" s="14"/>
      <c r="O1970" s="14" t="s">
        <v>7015</v>
      </c>
      <c r="P1970" s="14" t="str">
        <f>HYPERLINK("https://ceds.ed.gov/cedselementdetails.aspx?termid=18419")</f>
        <v>https://ceds.ed.gov/cedselementdetails.aspx?termid=18419</v>
      </c>
      <c r="Q1970" s="14" t="str">
        <f>HYPERLINK("https://ceds.ed.gov/elementComment.aspx?elementName=Professional Development Session Evaluation Method &amp;elementID=18419", "Click here to submit comment")</f>
        <v>Click here to submit comment</v>
      </c>
      <c r="R1970" s="14">
        <v>50584</v>
      </c>
    </row>
    <row r="1971" spans="1:18" ht="45" x14ac:dyDescent="0.25">
      <c r="A1971" s="14" t="s">
        <v>8732</v>
      </c>
      <c r="B1971" s="14" t="s">
        <v>8919</v>
      </c>
      <c r="C1971" s="14" t="s">
        <v>8719</v>
      </c>
      <c r="D1971" s="14" t="s">
        <v>8531</v>
      </c>
      <c r="E1971" s="14" t="s">
        <v>7016</v>
      </c>
      <c r="F1971" s="14" t="s">
        <v>7017</v>
      </c>
      <c r="G1971" s="14" t="s">
        <v>37</v>
      </c>
      <c r="H1971" s="14"/>
      <c r="I1971" s="14"/>
      <c r="J1971" s="14" t="s">
        <v>97</v>
      </c>
      <c r="K1971" s="14"/>
      <c r="L1971" s="14"/>
      <c r="M1971" s="14" t="s">
        <v>7018</v>
      </c>
      <c r="N1971" s="14"/>
      <c r="O1971" s="14" t="s">
        <v>7019</v>
      </c>
      <c r="P1971" s="14" t="str">
        <f>HYPERLINK("https://ceds.ed.gov/cedselementdetails.aspx?termid=18420")</f>
        <v>https://ceds.ed.gov/cedselementdetails.aspx?termid=18420</v>
      </c>
      <c r="Q1971" s="14" t="str">
        <f>HYPERLINK("https://ceds.ed.gov/elementComment.aspx?elementName=Professional Development Session Evaluation Score &amp;elementID=18420", "Click here to submit comment")</f>
        <v>Click here to submit comment</v>
      </c>
      <c r="R1971" s="14">
        <v>50585</v>
      </c>
    </row>
    <row r="1972" spans="1:18" ht="60" x14ac:dyDescent="0.25">
      <c r="A1972" s="14" t="s">
        <v>8732</v>
      </c>
      <c r="B1972" s="14" t="s">
        <v>8919</v>
      </c>
      <c r="C1972" s="14" t="s">
        <v>8719</v>
      </c>
      <c r="D1972" s="14" t="s">
        <v>8531</v>
      </c>
      <c r="E1972" s="14" t="s">
        <v>7041</v>
      </c>
      <c r="F1972" s="14" t="s">
        <v>7042</v>
      </c>
      <c r="G1972" s="8" t="s">
        <v>8721</v>
      </c>
      <c r="H1972" s="14"/>
      <c r="I1972" s="14"/>
      <c r="J1972" s="14"/>
      <c r="K1972" s="14"/>
      <c r="L1972" s="14"/>
      <c r="M1972" s="14" t="s">
        <v>7044</v>
      </c>
      <c r="N1972" s="14"/>
      <c r="O1972" s="14" t="s">
        <v>7045</v>
      </c>
      <c r="P1972" s="14" t="str">
        <f>HYPERLINK("https://ceds.ed.gov/cedselementdetails.aspx?termid=18428")</f>
        <v>https://ceds.ed.gov/cedselementdetails.aspx?termid=18428</v>
      </c>
      <c r="Q1972" s="14" t="str">
        <f>HYPERLINK("https://ceds.ed.gov/elementComment.aspx?elementName=Professional Development Session Status &amp;elementID=18428", "Click here to submit comment")</f>
        <v>Click here to submit comment</v>
      </c>
      <c r="R1972" s="14">
        <v>50590</v>
      </c>
    </row>
    <row r="1973" spans="1:18" ht="45" x14ac:dyDescent="0.25">
      <c r="A1973" s="14" t="s">
        <v>8732</v>
      </c>
      <c r="B1973" s="14" t="s">
        <v>8919</v>
      </c>
      <c r="C1973" s="14" t="s">
        <v>8722</v>
      </c>
      <c r="D1973" s="14" t="s">
        <v>8531</v>
      </c>
      <c r="E1973" s="14" t="s">
        <v>7028</v>
      </c>
      <c r="F1973" s="14" t="s">
        <v>7029</v>
      </c>
      <c r="G1973" s="14" t="s">
        <v>37</v>
      </c>
      <c r="H1973" s="14"/>
      <c r="I1973" s="14"/>
      <c r="J1973" s="14" t="s">
        <v>175</v>
      </c>
      <c r="K1973" s="14"/>
      <c r="L1973" s="14"/>
      <c r="M1973" s="14" t="s">
        <v>7031</v>
      </c>
      <c r="N1973" s="14"/>
      <c r="O1973" s="14" t="s">
        <v>7032</v>
      </c>
      <c r="P1973" s="14" t="str">
        <f>HYPERLINK("https://ceds.ed.gov/cedselementdetails.aspx?termid=18424")</f>
        <v>https://ceds.ed.gov/cedselementdetails.aspx?termid=18424</v>
      </c>
      <c r="Q1973" s="14" t="str">
        <f>HYPERLINK("https://ceds.ed.gov/elementComment.aspx?elementName=Professional Development Session Location Name &amp;elementID=18424", "Click here to submit comment")</f>
        <v>Click here to submit comment</v>
      </c>
      <c r="R1973" s="14">
        <v>50604</v>
      </c>
    </row>
    <row r="1974" spans="1:18" ht="225" x14ac:dyDescent="0.25">
      <c r="A1974" s="14" t="s">
        <v>8732</v>
      </c>
      <c r="B1974" s="14" t="s">
        <v>8919</v>
      </c>
      <c r="C1974" s="14" t="s">
        <v>8722</v>
      </c>
      <c r="D1974" s="14" t="s">
        <v>8531</v>
      </c>
      <c r="E1974" s="14" t="s">
        <v>214</v>
      </c>
      <c r="F1974" s="14" t="s">
        <v>215</v>
      </c>
      <c r="G1974" s="14" t="s">
        <v>37</v>
      </c>
      <c r="H1974" s="14" t="s">
        <v>199</v>
      </c>
      <c r="I1974" s="14" t="s">
        <v>195</v>
      </c>
      <c r="J1974" s="14" t="s">
        <v>216</v>
      </c>
      <c r="K1974" s="14" t="s">
        <v>196</v>
      </c>
      <c r="L1974" s="14"/>
      <c r="M1974" s="14" t="s">
        <v>217</v>
      </c>
      <c r="N1974" s="14"/>
      <c r="O1974" s="14" t="s">
        <v>218</v>
      </c>
      <c r="P1974" s="14" t="str">
        <f>HYPERLINK("https://ceds.ed.gov/cedselementdetails.aspx?termid=17269")</f>
        <v>https://ceds.ed.gov/cedselementdetails.aspx?termid=17269</v>
      </c>
      <c r="Q1974" s="14" t="str">
        <f>HYPERLINK("https://ceds.ed.gov/elementComment.aspx?elementName=Address Street Number and Name &amp;elementID=17269", "Click here to submit comment")</f>
        <v>Click here to submit comment</v>
      </c>
      <c r="R1974" s="14">
        <v>50596</v>
      </c>
    </row>
    <row r="1975" spans="1:18" ht="225" x14ac:dyDescent="0.25">
      <c r="A1975" s="14" t="s">
        <v>8732</v>
      </c>
      <c r="B1975" s="14" t="s">
        <v>8919</v>
      </c>
      <c r="C1975" s="14" t="s">
        <v>8722</v>
      </c>
      <c r="D1975" s="14" t="s">
        <v>8531</v>
      </c>
      <c r="E1975" s="14" t="s">
        <v>192</v>
      </c>
      <c r="F1975" s="14" t="s">
        <v>193</v>
      </c>
      <c r="G1975" s="14" t="s">
        <v>37</v>
      </c>
      <c r="H1975" s="14" t="s">
        <v>199</v>
      </c>
      <c r="I1975" s="14" t="s">
        <v>195</v>
      </c>
      <c r="J1975" s="14" t="s">
        <v>175</v>
      </c>
      <c r="K1975" s="14" t="s">
        <v>196</v>
      </c>
      <c r="L1975" s="14"/>
      <c r="M1975" s="14" t="s">
        <v>197</v>
      </c>
      <c r="N1975" s="14"/>
      <c r="O1975" s="14" t="s">
        <v>198</v>
      </c>
      <c r="P1975" s="14" t="str">
        <f>HYPERLINK("https://ceds.ed.gov/cedselementdetails.aspx?termid=17019")</f>
        <v>https://ceds.ed.gov/cedselementdetails.aspx?termid=17019</v>
      </c>
      <c r="Q1975" s="14" t="str">
        <f>HYPERLINK("https://ceds.ed.gov/elementComment.aspx?elementName=Address Apartment Room or Suite Number &amp;elementID=17019", "Click here to submit comment")</f>
        <v>Click here to submit comment</v>
      </c>
      <c r="R1975" s="14">
        <v>50597</v>
      </c>
    </row>
    <row r="1976" spans="1:18" ht="225" x14ac:dyDescent="0.25">
      <c r="A1976" s="14" t="s">
        <v>8732</v>
      </c>
      <c r="B1976" s="14" t="s">
        <v>8919</v>
      </c>
      <c r="C1976" s="14" t="s">
        <v>8722</v>
      </c>
      <c r="D1976" s="14" t="s">
        <v>8531</v>
      </c>
      <c r="E1976" s="14" t="s">
        <v>200</v>
      </c>
      <c r="F1976" s="14" t="s">
        <v>201</v>
      </c>
      <c r="G1976" s="14" t="s">
        <v>37</v>
      </c>
      <c r="H1976" s="14" t="s">
        <v>199</v>
      </c>
      <c r="I1976" s="14"/>
      <c r="J1976" s="14" t="s">
        <v>97</v>
      </c>
      <c r="K1976" s="14"/>
      <c r="L1976" s="14"/>
      <c r="M1976" s="14" t="s">
        <v>202</v>
      </c>
      <c r="N1976" s="14"/>
      <c r="O1976" s="14" t="s">
        <v>203</v>
      </c>
      <c r="P1976" s="14" t="str">
        <f>HYPERLINK("https://ceds.ed.gov/cedselementdetails.aspx?termid=17040")</f>
        <v>https://ceds.ed.gov/cedselementdetails.aspx?termid=17040</v>
      </c>
      <c r="Q1976" s="14" t="str">
        <f>HYPERLINK("https://ceds.ed.gov/elementComment.aspx?elementName=Address City &amp;elementID=17040", "Click here to submit comment")</f>
        <v>Click here to submit comment</v>
      </c>
      <c r="R1976" s="14">
        <v>50598</v>
      </c>
    </row>
    <row r="1977" spans="1:18" ht="409.5" x14ac:dyDescent="0.25">
      <c r="A1977" s="14" t="s">
        <v>8732</v>
      </c>
      <c r="B1977" s="14" t="s">
        <v>8919</v>
      </c>
      <c r="C1977" s="14" t="s">
        <v>8722</v>
      </c>
      <c r="D1977" s="14" t="s">
        <v>8531</v>
      </c>
      <c r="E1977" s="14" t="s">
        <v>7960</v>
      </c>
      <c r="F1977" s="14" t="s">
        <v>7961</v>
      </c>
      <c r="G1977" s="8" t="s">
        <v>8540</v>
      </c>
      <c r="H1977" s="14" t="s">
        <v>7964</v>
      </c>
      <c r="I1977" s="14"/>
      <c r="J1977" s="14"/>
      <c r="K1977" s="14"/>
      <c r="L1977" s="14"/>
      <c r="M1977" s="14" t="s">
        <v>7962</v>
      </c>
      <c r="N1977" s="14"/>
      <c r="O1977" s="14" t="s">
        <v>7963</v>
      </c>
      <c r="P1977" s="14" t="str">
        <f>HYPERLINK("https://ceds.ed.gov/cedselementdetails.aspx?termid=17267")</f>
        <v>https://ceds.ed.gov/cedselementdetails.aspx?termid=17267</v>
      </c>
      <c r="Q1977" s="14" t="str">
        <f>HYPERLINK("https://ceds.ed.gov/elementComment.aspx?elementName=State Abbreviation &amp;elementID=17267", "Click here to submit comment")</f>
        <v>Click here to submit comment</v>
      </c>
      <c r="R1977" s="14">
        <v>50599</v>
      </c>
    </row>
    <row r="1978" spans="1:18" ht="225" x14ac:dyDescent="0.25">
      <c r="A1978" s="14" t="s">
        <v>8732</v>
      </c>
      <c r="B1978" s="14" t="s">
        <v>8919</v>
      </c>
      <c r="C1978" s="14" t="s">
        <v>8722</v>
      </c>
      <c r="D1978" s="14" t="s">
        <v>8531</v>
      </c>
      <c r="E1978" s="14" t="s">
        <v>209</v>
      </c>
      <c r="F1978" s="14" t="s">
        <v>210</v>
      </c>
      <c r="G1978" s="14" t="s">
        <v>37</v>
      </c>
      <c r="H1978" s="14" t="s">
        <v>199</v>
      </c>
      <c r="I1978" s="14"/>
      <c r="J1978" s="14" t="s">
        <v>211</v>
      </c>
      <c r="K1978" s="14"/>
      <c r="L1978" s="14"/>
      <c r="M1978" s="14" t="s">
        <v>212</v>
      </c>
      <c r="N1978" s="14"/>
      <c r="O1978" s="14" t="s">
        <v>213</v>
      </c>
      <c r="P1978" s="14" t="str">
        <f>HYPERLINK("https://ceds.ed.gov/cedselementdetails.aspx?termid=17214")</f>
        <v>https://ceds.ed.gov/cedselementdetails.aspx?termid=17214</v>
      </c>
      <c r="Q1978" s="14" t="str">
        <f>HYPERLINK("https://ceds.ed.gov/elementComment.aspx?elementName=Address Postal Code &amp;elementID=17214", "Click here to submit comment")</f>
        <v>Click here to submit comment</v>
      </c>
      <c r="R1978" s="14">
        <v>50600</v>
      </c>
    </row>
    <row r="1979" spans="1:18" ht="90" x14ac:dyDescent="0.25">
      <c r="A1979" s="14" t="s">
        <v>8732</v>
      </c>
      <c r="B1979" s="14" t="s">
        <v>8919</v>
      </c>
      <c r="C1979" s="14" t="s">
        <v>8722</v>
      </c>
      <c r="D1979" s="14" t="s">
        <v>8531</v>
      </c>
      <c r="E1979" s="14" t="s">
        <v>8217</v>
      </c>
      <c r="F1979" s="14" t="s">
        <v>8218</v>
      </c>
      <c r="G1979" s="14" t="s">
        <v>37</v>
      </c>
      <c r="H1979" s="14" t="s">
        <v>72</v>
      </c>
      <c r="I1979" s="14"/>
      <c r="J1979" s="14" t="s">
        <v>8220</v>
      </c>
      <c r="K1979" s="14"/>
      <c r="L1979" s="14"/>
      <c r="M1979" s="14" t="s">
        <v>8221</v>
      </c>
      <c r="N1979" s="14"/>
      <c r="O1979" s="14" t="s">
        <v>8222</v>
      </c>
      <c r="P1979" s="14" t="str">
        <f>HYPERLINK("https://ceds.ed.gov/cedselementdetails.aspx?termid=17279")</f>
        <v>https://ceds.ed.gov/cedselementdetails.aspx?termid=17279</v>
      </c>
      <c r="Q1979" s="14" t="str">
        <f>HYPERLINK("https://ceds.ed.gov/elementComment.aspx?elementName=Telephone Number &amp;elementID=17279", "Click here to submit comment")</f>
        <v>Click here to submit comment</v>
      </c>
      <c r="R1979" s="14">
        <v>50602</v>
      </c>
    </row>
    <row r="1980" spans="1:18" ht="195" x14ac:dyDescent="0.25">
      <c r="A1980" s="14" t="s">
        <v>8732</v>
      </c>
      <c r="B1980" s="14" t="s">
        <v>8919</v>
      </c>
      <c r="C1980" s="14" t="s">
        <v>8722</v>
      </c>
      <c r="D1980" s="14" t="s">
        <v>8541</v>
      </c>
      <c r="E1980" s="14" t="s">
        <v>2860</v>
      </c>
      <c r="F1980" s="14" t="s">
        <v>2861</v>
      </c>
      <c r="G1980" s="14" t="s">
        <v>37</v>
      </c>
      <c r="H1980" s="14"/>
      <c r="I1980" s="14" t="s">
        <v>195</v>
      </c>
      <c r="J1980" s="14" t="s">
        <v>2863</v>
      </c>
      <c r="K1980" s="14" t="s">
        <v>2864</v>
      </c>
      <c r="L1980" s="14"/>
      <c r="M1980" s="14" t="s">
        <v>2865</v>
      </c>
      <c r="N1980" s="14"/>
      <c r="O1980" s="14" t="s">
        <v>2866</v>
      </c>
      <c r="P1980" s="14" t="str">
        <f>HYPERLINK("https://ceds.ed.gov/cedselementdetails.aspx?termid=18176")</f>
        <v>https://ceds.ed.gov/cedselementdetails.aspx?termid=18176</v>
      </c>
      <c r="Q1980" s="14" t="str">
        <f>HYPERLINK("https://ceds.ed.gov/elementComment.aspx?elementName=County ANSI Code &amp;elementID=18176", "Click here to submit comment")</f>
        <v>Click here to submit comment</v>
      </c>
      <c r="R1980" s="14">
        <v>52334</v>
      </c>
    </row>
    <row r="1981" spans="1:18" ht="60" x14ac:dyDescent="0.25">
      <c r="A1981" s="14" t="s">
        <v>8732</v>
      </c>
      <c r="B1981" s="14" t="s">
        <v>8919</v>
      </c>
      <c r="C1981" s="14" t="s">
        <v>8722</v>
      </c>
      <c r="D1981" s="14" t="s">
        <v>8541</v>
      </c>
      <c r="E1981" s="14" t="s">
        <v>3651</v>
      </c>
      <c r="F1981" s="14" t="s">
        <v>3652</v>
      </c>
      <c r="G1981" s="14" t="s">
        <v>3430</v>
      </c>
      <c r="H1981" s="14"/>
      <c r="I1981" s="14" t="s">
        <v>188</v>
      </c>
      <c r="J1981" s="14"/>
      <c r="K1981" s="14" t="s">
        <v>1721</v>
      </c>
      <c r="L1981" s="14"/>
      <c r="M1981" s="14" t="s">
        <v>3654</v>
      </c>
      <c r="N1981" s="14"/>
      <c r="O1981" s="14" t="s">
        <v>3655</v>
      </c>
      <c r="P1981" s="14" t="str">
        <f>HYPERLINK("https://ceds.ed.gov/cedselementdetails.aspx?termid=18905")</f>
        <v>https://ceds.ed.gov/cedselementdetails.aspx?termid=18905</v>
      </c>
      <c r="Q1981" s="14" t="str">
        <f>HYPERLINK("https://ceds.ed.gov/elementComment.aspx?elementName=Do Not Publish Indicator &amp;elementID=18905", "Click here to submit comment")</f>
        <v>Click here to submit comment</v>
      </c>
      <c r="R1981" s="14">
        <v>52335</v>
      </c>
    </row>
    <row r="1982" spans="1:18" ht="60" x14ac:dyDescent="0.25">
      <c r="A1982" s="14" t="s">
        <v>8732</v>
      </c>
      <c r="B1982" s="14" t="s">
        <v>8919</v>
      </c>
      <c r="C1982" s="14" t="s">
        <v>8722</v>
      </c>
      <c r="D1982" s="14" t="s">
        <v>8541</v>
      </c>
      <c r="E1982" s="14" t="s">
        <v>8223</v>
      </c>
      <c r="F1982" s="14" t="s">
        <v>8224</v>
      </c>
      <c r="G1982" s="8" t="s">
        <v>8544</v>
      </c>
      <c r="H1982" s="14"/>
      <c r="I1982" s="14" t="s">
        <v>188</v>
      </c>
      <c r="J1982" s="14"/>
      <c r="K1982" s="14" t="s">
        <v>1721</v>
      </c>
      <c r="L1982" s="14"/>
      <c r="M1982" s="14" t="s">
        <v>8227</v>
      </c>
      <c r="N1982" s="14"/>
      <c r="O1982" s="14" t="s">
        <v>8228</v>
      </c>
      <c r="P1982" s="14" t="str">
        <f>HYPERLINK("https://ceds.ed.gov/cedselementdetails.aspx?termid=18911")</f>
        <v>https://ceds.ed.gov/cedselementdetails.aspx?termid=18911</v>
      </c>
      <c r="Q1982" s="14" t="str">
        <f>HYPERLINK("https://ceds.ed.gov/elementComment.aspx?elementName=Telephone Number Listed Status &amp;elementID=18911", "Click here to submit comment")</f>
        <v>Click here to submit comment</v>
      </c>
      <c r="R1982" s="14">
        <v>52336</v>
      </c>
    </row>
    <row r="1983" spans="1:18" ht="45" x14ac:dyDescent="0.25">
      <c r="A1983" s="14" t="s">
        <v>8732</v>
      </c>
      <c r="B1983" s="14" t="s">
        <v>8919</v>
      </c>
      <c r="C1983" s="14" t="s">
        <v>8828</v>
      </c>
      <c r="D1983" s="14" t="s">
        <v>8531</v>
      </c>
      <c r="E1983" s="14" t="s">
        <v>1630</v>
      </c>
      <c r="F1983" s="14" t="s">
        <v>1631</v>
      </c>
      <c r="G1983" s="14" t="s">
        <v>37</v>
      </c>
      <c r="H1983" s="14"/>
      <c r="I1983" s="14"/>
      <c r="J1983" s="14" t="s">
        <v>135</v>
      </c>
      <c r="K1983" s="14"/>
      <c r="L1983" s="14"/>
      <c r="M1983" s="14" t="s">
        <v>1633</v>
      </c>
      <c r="N1983" s="14"/>
      <c r="O1983" s="14" t="s">
        <v>1634</v>
      </c>
      <c r="P1983" s="14" t="str">
        <f>HYPERLINK("https://ceds.ed.gov/cedselementdetails.aspx?termid=18630")</f>
        <v>https://ceds.ed.gov/cedselementdetails.aspx?termid=18630</v>
      </c>
      <c r="Q1983" s="14" t="str">
        <f>HYPERLINK("https://ceds.ed.gov/elementComment.aspx?elementName=Attendance Event Date &amp;elementID=18630", "Click here to submit comment")</f>
        <v>Click here to submit comment</v>
      </c>
      <c r="R1983" s="14">
        <v>51709</v>
      </c>
    </row>
    <row r="1984" spans="1:18" ht="105" x14ac:dyDescent="0.25">
      <c r="A1984" s="14" t="s">
        <v>8732</v>
      </c>
      <c r="B1984" s="14" t="s">
        <v>8919</v>
      </c>
      <c r="C1984" s="14" t="s">
        <v>8828</v>
      </c>
      <c r="D1984" s="14" t="s">
        <v>8531</v>
      </c>
      <c r="E1984" s="14" t="s">
        <v>1641</v>
      </c>
      <c r="F1984" s="14" t="s">
        <v>1642</v>
      </c>
      <c r="G1984" s="8" t="s">
        <v>8832</v>
      </c>
      <c r="H1984" s="14"/>
      <c r="I1984" s="14"/>
      <c r="J1984" s="14"/>
      <c r="K1984" s="14"/>
      <c r="L1984" s="14"/>
      <c r="M1984" s="14" t="s">
        <v>1644</v>
      </c>
      <c r="N1984" s="14"/>
      <c r="O1984" s="14" t="s">
        <v>1645</v>
      </c>
      <c r="P1984" s="14" t="str">
        <f>HYPERLINK("https://ceds.ed.gov/cedselementdetails.aspx?termid=17076")</f>
        <v>https://ceds.ed.gov/cedselementdetails.aspx?termid=17076</v>
      </c>
      <c r="Q1984" s="14" t="str">
        <f>HYPERLINK("https://ceds.ed.gov/elementComment.aspx?elementName=Attendance Status &amp;elementID=17076", "Click here to submit comment")</f>
        <v>Click here to submit comment</v>
      </c>
      <c r="R1984" s="14">
        <v>50465</v>
      </c>
    </row>
    <row r="1985" spans="1:18" ht="345" x14ac:dyDescent="0.25">
      <c r="A1985" s="14" t="s">
        <v>8732</v>
      </c>
      <c r="B1985" s="14" t="s">
        <v>8919</v>
      </c>
      <c r="C1985" s="14" t="s">
        <v>8828</v>
      </c>
      <c r="D1985" s="14" t="s">
        <v>8531</v>
      </c>
      <c r="E1985" s="14" t="s">
        <v>6075</v>
      </c>
      <c r="F1985" s="14" t="s">
        <v>6076</v>
      </c>
      <c r="G1985" s="8" t="s">
        <v>8933</v>
      </c>
      <c r="H1985" s="14"/>
      <c r="I1985" s="14"/>
      <c r="J1985" s="14"/>
      <c r="K1985" s="14"/>
      <c r="L1985" s="14"/>
      <c r="M1985" s="14" t="s">
        <v>6079</v>
      </c>
      <c r="N1985" s="14"/>
      <c r="O1985" s="14" t="s">
        <v>6080</v>
      </c>
      <c r="P1985" s="14" t="str">
        <f>HYPERLINK("https://ceds.ed.gov/cedselementdetails.aspx?termid=17617")</f>
        <v>https://ceds.ed.gov/cedselementdetails.aspx?termid=17617</v>
      </c>
      <c r="Q1985" s="14" t="str">
        <f>HYPERLINK("https://ceds.ed.gov/elementComment.aspx?elementName=Leave Event Type &amp;elementID=17617", "Click here to submit comment")</f>
        <v>Click here to submit comment</v>
      </c>
      <c r="R1985" s="14">
        <v>48139</v>
      </c>
    </row>
    <row r="1986" spans="1:18" ht="409.5" x14ac:dyDescent="0.25">
      <c r="A1986" s="14" t="s">
        <v>8732</v>
      </c>
      <c r="B1986" s="14" t="s">
        <v>8919</v>
      </c>
      <c r="C1986" s="14" t="s">
        <v>8678</v>
      </c>
      <c r="D1986" s="14" t="s">
        <v>8531</v>
      </c>
      <c r="E1986" s="14" t="s">
        <v>4989</v>
      </c>
      <c r="F1986" s="14" t="s">
        <v>4990</v>
      </c>
      <c r="G1986" s="8" t="s">
        <v>8679</v>
      </c>
      <c r="H1986" s="14" t="s">
        <v>4994</v>
      </c>
      <c r="I1986" s="14"/>
      <c r="J1986" s="14"/>
      <c r="K1986" s="14"/>
      <c r="L1986" s="14"/>
      <c r="M1986" s="14" t="s">
        <v>4992</v>
      </c>
      <c r="N1986" s="14"/>
      <c r="O1986" s="14" t="s">
        <v>4993</v>
      </c>
      <c r="P1986" s="14" t="str">
        <f>HYPERLINK("https://ceds.ed.gov/cedselementdetails.aspx?termid=17141")</f>
        <v>https://ceds.ed.gov/cedselementdetails.aspx?termid=17141</v>
      </c>
      <c r="Q1986" s="14" t="str">
        <f>HYPERLINK("https://ceds.ed.gov/elementComment.aspx?elementName=Highest Level of Education Completed &amp;elementID=17141", "Click here to submit comment")</f>
        <v>Click here to submit comment</v>
      </c>
      <c r="R1986" s="14">
        <v>51747</v>
      </c>
    </row>
    <row r="1987" spans="1:18" ht="225" x14ac:dyDescent="0.25">
      <c r="A1987" s="14" t="s">
        <v>8732</v>
      </c>
      <c r="B1987" s="14" t="s">
        <v>8919</v>
      </c>
      <c r="C1987" s="14" t="s">
        <v>8678</v>
      </c>
      <c r="D1987" s="14" t="s">
        <v>8531</v>
      </c>
      <c r="E1987" s="14" t="s">
        <v>6353</v>
      </c>
      <c r="F1987" s="14" t="s">
        <v>6354</v>
      </c>
      <c r="G1987" s="14" t="s">
        <v>37</v>
      </c>
      <c r="H1987" s="14" t="s">
        <v>6358</v>
      </c>
      <c r="I1987" s="14"/>
      <c r="J1987" s="14" t="s">
        <v>175</v>
      </c>
      <c r="K1987" s="14"/>
      <c r="L1987" s="14"/>
      <c r="M1987" s="14" t="s">
        <v>6356</v>
      </c>
      <c r="N1987" s="14"/>
      <c r="O1987" s="14" t="s">
        <v>6357</v>
      </c>
      <c r="P1987" s="14" t="str">
        <f>HYPERLINK("https://ceds.ed.gov/cedselementdetails.aspx?termid=17191")</f>
        <v>https://ceds.ed.gov/cedselementdetails.aspx?termid=17191</v>
      </c>
      <c r="Q1987" s="14" t="str">
        <f>HYPERLINK("https://ceds.ed.gov/elementComment.aspx?elementName=Name of Institution &amp;elementID=17191", "Click here to submit comment")</f>
        <v>Click here to submit comment</v>
      </c>
      <c r="R1987" s="14">
        <v>51733</v>
      </c>
    </row>
    <row r="1988" spans="1:18" ht="90" x14ac:dyDescent="0.25">
      <c r="A1988" s="14" t="s">
        <v>8732</v>
      </c>
      <c r="B1988" s="14" t="s">
        <v>8919</v>
      </c>
      <c r="C1988" s="14" t="s">
        <v>8678</v>
      </c>
      <c r="D1988" s="14" t="s">
        <v>8531</v>
      </c>
      <c r="E1988" s="14" t="s">
        <v>7766</v>
      </c>
      <c r="F1988" s="14" t="s">
        <v>7767</v>
      </c>
      <c r="G1988" s="14" t="s">
        <v>37</v>
      </c>
      <c r="H1988" s="14"/>
      <c r="I1988" s="14"/>
      <c r="J1988" s="14" t="s">
        <v>97</v>
      </c>
      <c r="K1988" s="14"/>
      <c r="L1988" s="14" t="s">
        <v>7769</v>
      </c>
      <c r="M1988" s="14" t="s">
        <v>7770</v>
      </c>
      <c r="N1988" s="14"/>
      <c r="O1988" s="14" t="s">
        <v>7771</v>
      </c>
      <c r="P1988" s="14" t="str">
        <f>HYPERLINK("https://ceds.ed.gov/cedselementdetails.aspx?termid=18459")</f>
        <v>https://ceds.ed.gov/cedselementdetails.aspx?termid=18459</v>
      </c>
      <c r="Q1988" s="14" t="str">
        <f>HYPERLINK("https://ceds.ed.gov/elementComment.aspx?elementName=Short Name of Institution &amp;elementID=18459", "Click here to submit comment")</f>
        <v>Click here to submit comment</v>
      </c>
      <c r="R1988" s="14">
        <v>51751</v>
      </c>
    </row>
    <row r="1989" spans="1:18" ht="120" x14ac:dyDescent="0.25">
      <c r="A1989" s="14" t="s">
        <v>8732</v>
      </c>
      <c r="B1989" s="14" t="s">
        <v>8919</v>
      </c>
      <c r="C1989" s="14" t="s">
        <v>8678</v>
      </c>
      <c r="D1989" s="14" t="s">
        <v>8531</v>
      </c>
      <c r="E1989" s="14" t="s">
        <v>4984</v>
      </c>
      <c r="F1989" s="14" t="s">
        <v>4985</v>
      </c>
      <c r="G1989" s="8" t="s">
        <v>8691</v>
      </c>
      <c r="H1989" s="14" t="s">
        <v>238</v>
      </c>
      <c r="I1989" s="14"/>
      <c r="J1989" s="14"/>
      <c r="K1989" s="14"/>
      <c r="L1989" s="14"/>
      <c r="M1989" s="14" t="s">
        <v>4987</v>
      </c>
      <c r="N1989" s="14"/>
      <c r="O1989" s="14" t="s">
        <v>4988</v>
      </c>
      <c r="P1989" s="14" t="str">
        <f>HYPERLINK("https://ceds.ed.gov/cedselementdetails.aspx?termid=17817")</f>
        <v>https://ceds.ed.gov/cedselementdetails.aspx?termid=17817</v>
      </c>
      <c r="Q1989" s="14" t="str">
        <f>HYPERLINK("https://ceds.ed.gov/elementComment.aspx?elementName=Higher Education Institution Accreditation Status &amp;elementID=17817", "Click here to submit comment")</f>
        <v>Click here to submit comment</v>
      </c>
      <c r="R1989" s="14">
        <v>51749</v>
      </c>
    </row>
    <row r="1990" spans="1:18" ht="60" x14ac:dyDescent="0.25">
      <c r="A1990" s="14" t="s">
        <v>8732</v>
      </c>
      <c r="B1990" s="14" t="s">
        <v>8919</v>
      </c>
      <c r="C1990" s="14" t="s">
        <v>8678</v>
      </c>
      <c r="D1990" s="14" t="s">
        <v>8531</v>
      </c>
      <c r="E1990" s="14" t="s">
        <v>3479</v>
      </c>
      <c r="F1990" s="14" t="s">
        <v>3480</v>
      </c>
      <c r="G1990" s="14" t="s">
        <v>37</v>
      </c>
      <c r="H1990" s="14" t="s">
        <v>3474</v>
      </c>
      <c r="I1990" s="14"/>
      <c r="J1990" s="14" t="s">
        <v>1510</v>
      </c>
      <c r="K1990" s="14"/>
      <c r="L1990" s="14"/>
      <c r="M1990" s="14" t="s">
        <v>3481</v>
      </c>
      <c r="N1990" s="14"/>
      <c r="O1990" s="14" t="s">
        <v>3482</v>
      </c>
      <c r="P1990" s="14" t="str">
        <f>HYPERLINK("https://ceds.ed.gov/cedselementdetails.aspx?termid=17341")</f>
        <v>https://ceds.ed.gov/cedselementdetails.aspx?termid=17341</v>
      </c>
      <c r="Q1990" s="14" t="str">
        <f>HYPERLINK("https://ceds.ed.gov/elementComment.aspx?elementName=Degree or Certificate Title or Subject &amp;elementID=17341", "Click here to submit comment")</f>
        <v>Click here to submit comment</v>
      </c>
      <c r="R1990" s="14">
        <v>51735</v>
      </c>
    </row>
    <row r="1991" spans="1:18" ht="405" x14ac:dyDescent="0.25">
      <c r="A1991" s="14" t="s">
        <v>8732</v>
      </c>
      <c r="B1991" s="14" t="s">
        <v>8919</v>
      </c>
      <c r="C1991" s="14" t="s">
        <v>8678</v>
      </c>
      <c r="D1991" s="14" t="s">
        <v>8531</v>
      </c>
      <c r="E1991" s="14" t="s">
        <v>3483</v>
      </c>
      <c r="F1991" s="14" t="s">
        <v>3484</v>
      </c>
      <c r="G1991" s="8" t="s">
        <v>8690</v>
      </c>
      <c r="H1991" s="14" t="s">
        <v>3474</v>
      </c>
      <c r="I1991" s="14"/>
      <c r="J1991" s="14"/>
      <c r="K1991" s="14"/>
      <c r="L1991" s="14"/>
      <c r="M1991" s="14" t="s">
        <v>3486</v>
      </c>
      <c r="N1991" s="14"/>
      <c r="O1991" s="14" t="s">
        <v>3487</v>
      </c>
      <c r="P1991" s="14" t="str">
        <f>HYPERLINK("https://ceds.ed.gov/cedselementdetails.aspx?termid=17342")</f>
        <v>https://ceds.ed.gov/cedselementdetails.aspx?termid=17342</v>
      </c>
      <c r="Q1991" s="14" t="str">
        <f>HYPERLINK("https://ceds.ed.gov/elementComment.aspx?elementName=Degree or Certificate Type &amp;elementID=17342", "Click here to submit comment")</f>
        <v>Click here to submit comment</v>
      </c>
      <c r="R1991" s="14">
        <v>51737</v>
      </c>
    </row>
    <row r="1992" spans="1:18" ht="60" x14ac:dyDescent="0.25">
      <c r="A1992" s="14" t="s">
        <v>8732</v>
      </c>
      <c r="B1992" s="14" t="s">
        <v>8919</v>
      </c>
      <c r="C1992" s="14" t="s">
        <v>8678</v>
      </c>
      <c r="D1992" s="14" t="s">
        <v>8531</v>
      </c>
      <c r="E1992" s="14" t="s">
        <v>3469</v>
      </c>
      <c r="F1992" s="14" t="s">
        <v>3470</v>
      </c>
      <c r="G1992" s="14" t="s">
        <v>37</v>
      </c>
      <c r="H1992" s="14" t="s">
        <v>3474</v>
      </c>
      <c r="I1992" s="14"/>
      <c r="J1992" s="14" t="s">
        <v>135</v>
      </c>
      <c r="K1992" s="14"/>
      <c r="L1992" s="14"/>
      <c r="M1992" s="14" t="s">
        <v>3472</v>
      </c>
      <c r="N1992" s="14"/>
      <c r="O1992" s="14" t="s">
        <v>3473</v>
      </c>
      <c r="P1992" s="14" t="str">
        <f>HYPERLINK("https://ceds.ed.gov/cedselementdetails.aspx?termid=17343")</f>
        <v>https://ceds.ed.gov/cedselementdetails.aspx?termid=17343</v>
      </c>
      <c r="Q1992" s="14" t="str">
        <f>HYPERLINK("https://ceds.ed.gov/elementComment.aspx?elementName=Degree or Certificate Conferring Date &amp;elementID=17343", "Click here to submit comment")</f>
        <v>Click here to submit comment</v>
      </c>
      <c r="R1992" s="14">
        <v>51739</v>
      </c>
    </row>
    <row r="1993" spans="1:18" ht="75" x14ac:dyDescent="0.25">
      <c r="A1993" s="14" t="s">
        <v>8732</v>
      </c>
      <c r="B1993" s="14" t="s">
        <v>8919</v>
      </c>
      <c r="C1993" s="14" t="s">
        <v>8678</v>
      </c>
      <c r="D1993" s="14" t="s">
        <v>8531</v>
      </c>
      <c r="E1993" s="14" t="s">
        <v>6488</v>
      </c>
      <c r="F1993" s="14" t="s">
        <v>6489</v>
      </c>
      <c r="G1993" s="14" t="s">
        <v>37</v>
      </c>
      <c r="H1993" s="14" t="s">
        <v>238</v>
      </c>
      <c r="I1993" s="14"/>
      <c r="J1993" s="14" t="s">
        <v>1710</v>
      </c>
      <c r="K1993" s="14"/>
      <c r="L1993" s="14"/>
      <c r="M1993" s="14" t="s">
        <v>6490</v>
      </c>
      <c r="N1993" s="14"/>
      <c r="O1993" s="14" t="s">
        <v>6491</v>
      </c>
      <c r="P1993" s="14" t="str">
        <f>HYPERLINK("https://ceds.ed.gov/cedselementdetails.aspx?termid=17815")</f>
        <v>https://ceds.ed.gov/cedselementdetails.aspx?termid=17815</v>
      </c>
      <c r="Q1993" s="14" t="str">
        <f>HYPERLINK("https://ceds.ed.gov/elementComment.aspx?elementName=Number of School-age Education Postsecondary Credit Hours &amp;elementID=17815", "Click here to submit comment")</f>
        <v>Click here to submit comment</v>
      </c>
      <c r="R1993" s="14">
        <v>51741</v>
      </c>
    </row>
    <row r="1994" spans="1:18" ht="75" x14ac:dyDescent="0.25">
      <c r="A1994" s="14" t="s">
        <v>8732</v>
      </c>
      <c r="B1994" s="14" t="s">
        <v>8919</v>
      </c>
      <c r="C1994" s="14" t="s">
        <v>8678</v>
      </c>
      <c r="D1994" s="14" t="s">
        <v>8531</v>
      </c>
      <c r="E1994" s="14" t="s">
        <v>7889</v>
      </c>
      <c r="F1994" s="14" t="s">
        <v>7890</v>
      </c>
      <c r="G1994" s="14" t="s">
        <v>37</v>
      </c>
      <c r="H1994" s="14" t="s">
        <v>238</v>
      </c>
      <c r="I1994" s="14"/>
      <c r="J1994" s="14" t="s">
        <v>135</v>
      </c>
      <c r="K1994" s="14"/>
      <c r="L1994" s="14"/>
      <c r="M1994" s="14" t="s">
        <v>7891</v>
      </c>
      <c r="N1994" s="14"/>
      <c r="O1994" s="14" t="s">
        <v>7892</v>
      </c>
      <c r="P1994" s="14" t="str">
        <f>HYPERLINK("https://ceds.ed.gov/cedselementdetails.aspx?termid=17792")</f>
        <v>https://ceds.ed.gov/cedselementdetails.aspx?termid=17792</v>
      </c>
      <c r="Q1994" s="14" t="str">
        <f>HYPERLINK("https://ceds.ed.gov/elementComment.aspx?elementName=Staff Education Entry Date &amp;elementID=17792", "Click here to submit comment")</f>
        <v>Click here to submit comment</v>
      </c>
      <c r="R1994" s="14">
        <v>51743</v>
      </c>
    </row>
    <row r="1995" spans="1:18" ht="75" x14ac:dyDescent="0.25">
      <c r="A1995" s="14" t="s">
        <v>8732</v>
      </c>
      <c r="B1995" s="14" t="s">
        <v>8919</v>
      </c>
      <c r="C1995" s="14" t="s">
        <v>8678</v>
      </c>
      <c r="D1995" s="14" t="s">
        <v>8531</v>
      </c>
      <c r="E1995" s="14" t="s">
        <v>7893</v>
      </c>
      <c r="F1995" s="14" t="s">
        <v>7894</v>
      </c>
      <c r="G1995" s="14" t="s">
        <v>37</v>
      </c>
      <c r="H1995" s="14" t="s">
        <v>238</v>
      </c>
      <c r="I1995" s="14"/>
      <c r="J1995" s="14" t="s">
        <v>135</v>
      </c>
      <c r="K1995" s="14"/>
      <c r="L1995" s="14"/>
      <c r="M1995" s="14" t="s">
        <v>7895</v>
      </c>
      <c r="N1995" s="14"/>
      <c r="O1995" s="14" t="s">
        <v>7896</v>
      </c>
      <c r="P1995" s="14" t="str">
        <f>HYPERLINK("https://ceds.ed.gov/cedselementdetails.aspx?termid=17793")</f>
        <v>https://ceds.ed.gov/cedselementdetails.aspx?termid=17793</v>
      </c>
      <c r="Q1995" s="14" t="str">
        <f>HYPERLINK("https://ceds.ed.gov/elementComment.aspx?elementName=Staff Education Withdrawal Date &amp;elementID=17793", "Click here to submit comment")</f>
        <v>Click here to submit comment</v>
      </c>
      <c r="R1995" s="14">
        <v>51745</v>
      </c>
    </row>
    <row r="1996" spans="1:18" ht="90" x14ac:dyDescent="0.25">
      <c r="A1996" s="14" t="s">
        <v>8732</v>
      </c>
      <c r="B1996" s="14" t="s">
        <v>8919</v>
      </c>
      <c r="C1996" s="14" t="s">
        <v>8678</v>
      </c>
      <c r="D1996" s="14" t="s">
        <v>8531</v>
      </c>
      <c r="E1996" s="14" t="s">
        <v>3921</v>
      </c>
      <c r="F1996" s="14" t="s">
        <v>3922</v>
      </c>
      <c r="G1996" s="8" t="s">
        <v>8692</v>
      </c>
      <c r="H1996" s="14"/>
      <c r="I1996" s="14"/>
      <c r="J1996" s="14"/>
      <c r="K1996" s="14"/>
      <c r="L1996" s="14"/>
      <c r="M1996" s="14" t="s">
        <v>3925</v>
      </c>
      <c r="N1996" s="14"/>
      <c r="O1996" s="14" t="s">
        <v>3926</v>
      </c>
      <c r="P1996" s="14" t="str">
        <f>HYPERLINK("https://ceds.ed.gov/cedselementdetails.aspx?termid=18586")</f>
        <v>https://ceds.ed.gov/cedselementdetails.aspx?termid=18586</v>
      </c>
      <c r="Q1996" s="14" t="str">
        <f>HYPERLINK("https://ceds.ed.gov/elementComment.aspx?elementName=Education Verification Method &amp;elementID=18586", "Click here to submit comment")</f>
        <v>Click here to submit comment</v>
      </c>
      <c r="R1996" s="14">
        <v>51753</v>
      </c>
    </row>
    <row r="1997" spans="1:18" ht="375" x14ac:dyDescent="0.25">
      <c r="A1997" s="14" t="s">
        <v>8732</v>
      </c>
      <c r="B1997" s="14" t="s">
        <v>8919</v>
      </c>
      <c r="C1997" s="14" t="s">
        <v>8788</v>
      </c>
      <c r="D1997" s="14" t="s">
        <v>8531</v>
      </c>
      <c r="E1997" s="14" t="s">
        <v>8203</v>
      </c>
      <c r="F1997" s="14" t="s">
        <v>8204</v>
      </c>
      <c r="G1997" s="8" t="s">
        <v>8588</v>
      </c>
      <c r="H1997" s="14"/>
      <c r="I1997" s="14"/>
      <c r="J1997" s="14"/>
      <c r="K1997" s="14"/>
      <c r="L1997" s="6" t="s">
        <v>7984</v>
      </c>
      <c r="M1997" s="14" t="s">
        <v>8206</v>
      </c>
      <c r="N1997" s="14"/>
      <c r="O1997" s="14" t="s">
        <v>8207</v>
      </c>
      <c r="P1997" s="14" t="str">
        <f>HYPERLINK("https://ceds.ed.gov/cedselementdetails.aspx?termid=18467")</f>
        <v>https://ceds.ed.gov/cedselementdetails.aspx?termid=18467</v>
      </c>
      <c r="Q1997" s="14" t="str">
        <f>HYPERLINK("https://ceds.ed.gov/elementComment.aspx?elementName=Technical Assistance Type &amp;elementID=18467", "Click here to submit comment")</f>
        <v>Click here to submit comment</v>
      </c>
      <c r="R1997" s="14">
        <v>50444</v>
      </c>
    </row>
    <row r="1998" spans="1:18" ht="90" x14ac:dyDescent="0.25">
      <c r="A1998" s="14" t="s">
        <v>8732</v>
      </c>
      <c r="B1998" s="14" t="s">
        <v>8919</v>
      </c>
      <c r="C1998" s="14" t="s">
        <v>8788</v>
      </c>
      <c r="D1998" s="14" t="s">
        <v>8531</v>
      </c>
      <c r="E1998" s="14" t="s">
        <v>8194</v>
      </c>
      <c r="F1998" s="14" t="s">
        <v>8195</v>
      </c>
      <c r="G1998" s="14" t="s">
        <v>24</v>
      </c>
      <c r="H1998" s="14"/>
      <c r="I1998" s="14"/>
      <c r="J1998" s="14"/>
      <c r="K1998" s="14"/>
      <c r="L1998" s="6" t="s">
        <v>7984</v>
      </c>
      <c r="M1998" s="14" t="s">
        <v>8197</v>
      </c>
      <c r="N1998" s="14"/>
      <c r="O1998" s="14" t="s">
        <v>8198</v>
      </c>
      <c r="P1998" s="14" t="str">
        <f>HYPERLINK("https://ceds.ed.gov/cedselementdetails.aspx?termid=18465")</f>
        <v>https://ceds.ed.gov/cedselementdetails.aspx?termid=18465</v>
      </c>
      <c r="Q1998" s="14" t="str">
        <f>HYPERLINK("https://ceds.ed.gov/elementComment.aspx?elementName=Technical Assistance Approved Indicator &amp;elementID=18465", "Click here to submit comment")</f>
        <v>Click here to submit comment</v>
      </c>
      <c r="R1998" s="14">
        <v>50436</v>
      </c>
    </row>
    <row r="1999" spans="1:18" ht="90" x14ac:dyDescent="0.25">
      <c r="A1999" s="14" t="s">
        <v>8732</v>
      </c>
      <c r="B1999" s="14" t="s">
        <v>8919</v>
      </c>
      <c r="C1999" s="14" t="s">
        <v>8788</v>
      </c>
      <c r="D1999" s="14" t="s">
        <v>8531</v>
      </c>
      <c r="E1999" s="14" t="s">
        <v>8199</v>
      </c>
      <c r="F1999" s="14" t="s">
        <v>8200</v>
      </c>
      <c r="G1999" s="8" t="s">
        <v>8587</v>
      </c>
      <c r="H1999" s="14"/>
      <c r="I1999" s="14"/>
      <c r="J1999" s="14"/>
      <c r="K1999" s="14"/>
      <c r="L1999" s="6" t="s">
        <v>7984</v>
      </c>
      <c r="M1999" s="14" t="s">
        <v>8201</v>
      </c>
      <c r="N1999" s="14"/>
      <c r="O1999" s="14" t="s">
        <v>8202</v>
      </c>
      <c r="P1999" s="14" t="str">
        <f>HYPERLINK("https://ceds.ed.gov/cedselementdetails.aspx?termid=18466")</f>
        <v>https://ceds.ed.gov/cedselementdetails.aspx?termid=18466</v>
      </c>
      <c r="Q1999" s="14" t="str">
        <f>HYPERLINK("https://ceds.ed.gov/elementComment.aspx?elementName=Technical Assistance Delivery Type &amp;elementID=18466", "Click here to submit comment")</f>
        <v>Click here to submit comment</v>
      </c>
      <c r="R1999" s="14">
        <v>50439</v>
      </c>
    </row>
    <row r="2000" spans="1:18" ht="90" x14ac:dyDescent="0.25">
      <c r="A2000" s="14" t="s">
        <v>8732</v>
      </c>
      <c r="B2000" s="14" t="s">
        <v>8919</v>
      </c>
      <c r="C2000" s="14" t="s">
        <v>8632</v>
      </c>
      <c r="D2000" s="14" t="s">
        <v>8541</v>
      </c>
      <c r="E2000" s="14" t="s">
        <v>5662</v>
      </c>
      <c r="F2000" s="14" t="s">
        <v>5663</v>
      </c>
      <c r="G2000" s="14" t="s">
        <v>8527</v>
      </c>
      <c r="H2000" s="14" t="s">
        <v>5668</v>
      </c>
      <c r="I2000" s="14" t="s">
        <v>195</v>
      </c>
      <c r="J2000" s="14"/>
      <c r="K2000" s="14" t="s">
        <v>5665</v>
      </c>
      <c r="L2000" s="6" t="s">
        <v>1087</v>
      </c>
      <c r="M2000" s="14" t="s">
        <v>5666</v>
      </c>
      <c r="N2000" s="14"/>
      <c r="O2000" s="14" t="s">
        <v>5667</v>
      </c>
      <c r="P2000" s="14" t="str">
        <f>HYPERLINK("https://ceds.ed.gov/cedselementdetails.aspx?termid=17317")</f>
        <v>https://ceds.ed.gov/cedselementdetails.aspx?termid=17317</v>
      </c>
      <c r="Q2000" s="14" t="str">
        <f>HYPERLINK("https://ceds.ed.gov/elementComment.aspx?elementName=ISO 639-2 Language Code &amp;elementID=17317", "Click here to submit comment")</f>
        <v>Click here to submit comment</v>
      </c>
      <c r="R2000" s="14">
        <v>52327</v>
      </c>
    </row>
    <row r="2001" spans="1:18" ht="105" x14ac:dyDescent="0.25">
      <c r="A2001" s="14" t="s">
        <v>8732</v>
      </c>
      <c r="B2001" s="14" t="s">
        <v>8919</v>
      </c>
      <c r="C2001" s="14" t="s">
        <v>8632</v>
      </c>
      <c r="D2001" s="14" t="s">
        <v>8541</v>
      </c>
      <c r="E2001" s="14" t="s">
        <v>5669</v>
      </c>
      <c r="F2001" s="14" t="s">
        <v>5663</v>
      </c>
      <c r="G2001" s="14" t="s">
        <v>8527</v>
      </c>
      <c r="H2001" s="14"/>
      <c r="I2001" s="14" t="s">
        <v>195</v>
      </c>
      <c r="J2001" s="14"/>
      <c r="K2001" s="14" t="s">
        <v>5670</v>
      </c>
      <c r="L2001" s="6" t="s">
        <v>5671</v>
      </c>
      <c r="M2001" s="14" t="s">
        <v>5672</v>
      </c>
      <c r="N2001" s="14"/>
      <c r="O2001" s="14" t="s">
        <v>5673</v>
      </c>
      <c r="P2001" s="14" t="str">
        <f>HYPERLINK("https://ceds.ed.gov/cedselementdetails.aspx?termid=18618")</f>
        <v>https://ceds.ed.gov/cedselementdetails.aspx?termid=18618</v>
      </c>
      <c r="Q2001" s="14" t="str">
        <f>HYPERLINK("https://ceds.ed.gov/elementComment.aspx?elementName=ISO 639-3 Language Code &amp;elementID=18618", "Click here to submit comment")</f>
        <v>Click here to submit comment</v>
      </c>
      <c r="R2001" s="14">
        <v>52328</v>
      </c>
    </row>
    <row r="2002" spans="1:18" ht="409.5" x14ac:dyDescent="0.25">
      <c r="A2002" s="14" t="s">
        <v>8732</v>
      </c>
      <c r="B2002" s="14" t="s">
        <v>8919</v>
      </c>
      <c r="C2002" s="14" t="s">
        <v>8632</v>
      </c>
      <c r="D2002" s="14" t="s">
        <v>8541</v>
      </c>
      <c r="E2002" s="14" t="s">
        <v>5674</v>
      </c>
      <c r="F2002" s="14" t="s">
        <v>5675</v>
      </c>
      <c r="G2002" s="8" t="s">
        <v>8634</v>
      </c>
      <c r="H2002" s="14"/>
      <c r="I2002" s="14" t="s">
        <v>195</v>
      </c>
      <c r="J2002" s="14"/>
      <c r="K2002" s="14" t="s">
        <v>2856</v>
      </c>
      <c r="L2002" s="6" t="s">
        <v>5677</v>
      </c>
      <c r="M2002" s="14" t="s">
        <v>5678</v>
      </c>
      <c r="N2002" s="14"/>
      <c r="O2002" s="14" t="s">
        <v>5679</v>
      </c>
      <c r="P2002" s="14" t="str">
        <f>HYPERLINK("https://ceds.ed.gov/cedselementdetails.aspx?termid=18619")</f>
        <v>https://ceds.ed.gov/cedselementdetails.aspx?termid=18619</v>
      </c>
      <c r="Q2002" s="14" t="str">
        <f>HYPERLINK("https://ceds.ed.gov/elementComment.aspx?elementName=ISO 639-5 Language Family &amp;elementID=18619", "Click here to submit comment")</f>
        <v>Click here to submit comment</v>
      </c>
      <c r="R2002" s="14">
        <v>52329</v>
      </c>
    </row>
    <row r="2003" spans="1:18" ht="135" x14ac:dyDescent="0.25">
      <c r="A2003" s="14" t="s">
        <v>8732</v>
      </c>
      <c r="B2003" s="14" t="s">
        <v>8919</v>
      </c>
      <c r="C2003" s="14" t="s">
        <v>8632</v>
      </c>
      <c r="D2003" s="14" t="s">
        <v>8541</v>
      </c>
      <c r="E2003" s="14" t="s">
        <v>5717</v>
      </c>
      <c r="F2003" s="14" t="s">
        <v>5718</v>
      </c>
      <c r="G2003" s="8" t="s">
        <v>8633</v>
      </c>
      <c r="H2003" s="14" t="s">
        <v>5668</v>
      </c>
      <c r="I2003" s="14" t="s">
        <v>195</v>
      </c>
      <c r="J2003" s="14"/>
      <c r="K2003" s="14" t="s">
        <v>2856</v>
      </c>
      <c r="L2003" s="14"/>
      <c r="M2003" s="14" t="s">
        <v>5721</v>
      </c>
      <c r="N2003" s="14"/>
      <c r="O2003" s="14" t="s">
        <v>5722</v>
      </c>
      <c r="P2003" s="14" t="str">
        <f>HYPERLINK("https://ceds.ed.gov/cedselementdetails.aspx?termid=17316")</f>
        <v>https://ceds.ed.gov/cedselementdetails.aspx?termid=17316</v>
      </c>
      <c r="Q2003" s="14" t="str">
        <f>HYPERLINK("https://ceds.ed.gov/elementComment.aspx?elementName=Language Type &amp;elementID=17316", "Click here to submit comment")</f>
        <v>Click here to submit comment</v>
      </c>
      <c r="R2003" s="14">
        <v>52330</v>
      </c>
    </row>
    <row r="2004" spans="1:18" ht="409.5" x14ac:dyDescent="0.25">
      <c r="A2004" s="14" t="s">
        <v>8732</v>
      </c>
      <c r="B2004" s="14" t="s">
        <v>8919</v>
      </c>
      <c r="C2004" s="14" t="s">
        <v>8673</v>
      </c>
      <c r="D2004" s="14" t="s">
        <v>8541</v>
      </c>
      <c r="E2004" s="14" t="s">
        <v>6727</v>
      </c>
      <c r="F2004" s="14" t="s">
        <v>6728</v>
      </c>
      <c r="G2004" s="8" t="s">
        <v>8674</v>
      </c>
      <c r="H2004" s="14" t="s">
        <v>1751</v>
      </c>
      <c r="I2004" s="14" t="s">
        <v>195</v>
      </c>
      <c r="J2004" s="14"/>
      <c r="K2004" s="14" t="s">
        <v>6731</v>
      </c>
      <c r="L2004" s="14" t="s">
        <v>6732</v>
      </c>
      <c r="M2004" s="14" t="s">
        <v>6733</v>
      </c>
      <c r="N2004" s="14"/>
      <c r="O2004" s="14" t="s">
        <v>6734</v>
      </c>
      <c r="P2004" s="14" t="str">
        <f>HYPERLINK("https://ceds.ed.gov/cedselementdetails.aspx?termid=17415")</f>
        <v>https://ceds.ed.gov/cedselementdetails.aspx?termid=17415</v>
      </c>
      <c r="Q2004" s="14" t="str">
        <f>HYPERLINK("https://ceds.ed.gov/elementComment.aspx?elementName=Person Relationship Type &amp;elementID=17415", "Click here to submit comment")</f>
        <v>Click here to submit comment</v>
      </c>
      <c r="R2004" s="14">
        <v>52337</v>
      </c>
    </row>
    <row r="2005" spans="1:18" ht="75" x14ac:dyDescent="0.25">
      <c r="A2005" s="14" t="s">
        <v>8732</v>
      </c>
      <c r="B2005" s="14" t="s">
        <v>8919</v>
      </c>
      <c r="C2005" s="14" t="s">
        <v>4</v>
      </c>
      <c r="D2005" s="14" t="s">
        <v>8541</v>
      </c>
      <c r="E2005" s="14" t="s">
        <v>7201</v>
      </c>
      <c r="F2005" s="14" t="s">
        <v>7202</v>
      </c>
      <c r="G2005" s="14" t="s">
        <v>24</v>
      </c>
      <c r="H2005" s="14"/>
      <c r="I2005" s="14" t="s">
        <v>195</v>
      </c>
      <c r="J2005" s="14"/>
      <c r="K2005" s="14" t="s">
        <v>2856</v>
      </c>
      <c r="L2005" s="14"/>
      <c r="M2005" s="14" t="s">
        <v>7204</v>
      </c>
      <c r="N2005" s="14"/>
      <c r="O2005" s="14" t="s">
        <v>7205</v>
      </c>
      <c r="P2005" s="14" t="str">
        <f>HYPERLINK("https://ceds.ed.gov/cedselementdetails.aspx?termid=17760")</f>
        <v>https://ceds.ed.gov/cedselementdetails.aspx?termid=17760</v>
      </c>
      <c r="Q2005" s="14" t="str">
        <f>HYPERLINK("https://ceds.ed.gov/elementComment.aspx?elementName=Public Assistance Status &amp;elementID=17760", "Click here to submit comment")</f>
        <v>Click here to submit comment</v>
      </c>
      <c r="R2005" s="14">
        <v>52338</v>
      </c>
    </row>
    <row r="2006" spans="1:18" ht="105" x14ac:dyDescent="0.25">
      <c r="A2006" s="16" t="s">
        <v>8732</v>
      </c>
      <c r="B2006" s="16" t="s">
        <v>8934</v>
      </c>
      <c r="C2006" s="16"/>
      <c r="D2006" s="16" t="s">
        <v>8531</v>
      </c>
      <c r="E2006" s="16" t="s">
        <v>2966</v>
      </c>
      <c r="F2006" s="16" t="s">
        <v>2967</v>
      </c>
      <c r="G2006" s="16" t="s">
        <v>37</v>
      </c>
      <c r="H2006" s="16" t="s">
        <v>2970</v>
      </c>
      <c r="I2006" s="16"/>
      <c r="J2006" s="16" t="s">
        <v>149</v>
      </c>
      <c r="K2006" s="16"/>
      <c r="L2006" s="14" t="s">
        <v>150</v>
      </c>
      <c r="M2006" s="16" t="s">
        <v>2968</v>
      </c>
      <c r="N2006" s="16"/>
      <c r="O2006" s="16" t="s">
        <v>2969</v>
      </c>
      <c r="P2006" s="16" t="str">
        <f>HYPERLINK("https://ceds.ed.gov/cedselementdetails.aspx?termid=17055")</f>
        <v>https://ceds.ed.gov/cedselementdetails.aspx?termid=17055</v>
      </c>
      <c r="Q2006" s="16" t="str">
        <f>HYPERLINK("https://ceds.ed.gov/elementComment.aspx?elementName=Course Identifier &amp;elementID=17055", "Click here to submit comment")</f>
        <v>Click here to submit comment</v>
      </c>
      <c r="R2006" s="16">
        <v>48925</v>
      </c>
    </row>
    <row r="2007" spans="1:18" x14ac:dyDescent="0.25">
      <c r="A2007" s="16"/>
      <c r="B2007" s="16"/>
      <c r="C2007" s="16"/>
      <c r="D2007" s="16"/>
      <c r="E2007" s="16"/>
      <c r="F2007" s="16"/>
      <c r="G2007" s="16"/>
      <c r="H2007" s="16"/>
      <c r="I2007" s="16"/>
      <c r="J2007" s="16"/>
      <c r="K2007" s="16"/>
      <c r="L2007" s="14"/>
      <c r="M2007" s="16"/>
      <c r="N2007" s="16"/>
      <c r="O2007" s="16"/>
      <c r="P2007" s="16"/>
      <c r="Q2007" s="16"/>
      <c r="R2007" s="16"/>
    </row>
    <row r="2008" spans="1:18" ht="90" x14ac:dyDescent="0.25">
      <c r="A2008" s="16"/>
      <c r="B2008" s="16"/>
      <c r="C2008" s="16"/>
      <c r="D2008" s="16"/>
      <c r="E2008" s="16"/>
      <c r="F2008" s="16"/>
      <c r="G2008" s="16"/>
      <c r="H2008" s="16"/>
      <c r="I2008" s="16"/>
      <c r="J2008" s="16"/>
      <c r="K2008" s="16"/>
      <c r="L2008" s="14" t="s">
        <v>153</v>
      </c>
      <c r="M2008" s="16"/>
      <c r="N2008" s="16"/>
      <c r="O2008" s="16"/>
      <c r="P2008" s="16"/>
      <c r="Q2008" s="16"/>
      <c r="R2008" s="16"/>
    </row>
    <row r="2009" spans="1:18" ht="195" x14ac:dyDescent="0.25">
      <c r="A2009" s="14" t="s">
        <v>8732</v>
      </c>
      <c r="B2009" s="14" t="s">
        <v>8934</v>
      </c>
      <c r="C2009" s="14"/>
      <c r="D2009" s="14" t="s">
        <v>8531</v>
      </c>
      <c r="E2009" s="14" t="s">
        <v>2909</v>
      </c>
      <c r="F2009" s="14" t="s">
        <v>2910</v>
      </c>
      <c r="G2009" s="8" t="s">
        <v>8834</v>
      </c>
      <c r="H2009" s="14" t="s">
        <v>1713</v>
      </c>
      <c r="I2009" s="14"/>
      <c r="J2009" s="14"/>
      <c r="K2009" s="14"/>
      <c r="L2009" s="14"/>
      <c r="M2009" s="14" t="s">
        <v>2913</v>
      </c>
      <c r="N2009" s="14"/>
      <c r="O2009" s="14" t="s">
        <v>2914</v>
      </c>
      <c r="P2009" s="14" t="str">
        <f>HYPERLINK("https://ceds.ed.gov/cedselementdetails.aspx?termid=17056")</f>
        <v>https://ceds.ed.gov/cedselementdetails.aspx?termid=17056</v>
      </c>
      <c r="Q2009" s="14" t="str">
        <f>HYPERLINK("https://ceds.ed.gov/elementComment.aspx?elementName=Course Code System &amp;elementID=17056", "Click here to submit comment")</f>
        <v>Click here to submit comment</v>
      </c>
      <c r="R2009" s="14">
        <v>48926</v>
      </c>
    </row>
    <row r="2010" spans="1:18" ht="225" x14ac:dyDescent="0.25">
      <c r="A2010" s="14" t="s">
        <v>8732</v>
      </c>
      <c r="B2010" s="14" t="s">
        <v>8934</v>
      </c>
      <c r="C2010" s="14"/>
      <c r="D2010" s="14" t="s">
        <v>8531</v>
      </c>
      <c r="E2010" s="14" t="s">
        <v>3099</v>
      </c>
      <c r="F2010" s="14" t="s">
        <v>3100</v>
      </c>
      <c r="G2010" s="14" t="s">
        <v>37</v>
      </c>
      <c r="H2010" s="14" t="s">
        <v>1713</v>
      </c>
      <c r="I2010" s="14"/>
      <c r="J2010" s="14" t="s">
        <v>175</v>
      </c>
      <c r="K2010" s="14"/>
      <c r="L2010" s="14"/>
      <c r="M2010" s="14" t="s">
        <v>3101</v>
      </c>
      <c r="N2010" s="14"/>
      <c r="O2010" s="14" t="s">
        <v>3102</v>
      </c>
      <c r="P2010" s="14" t="str">
        <f>HYPERLINK("https://ceds.ed.gov/cedselementdetails.aspx?termid=17067")</f>
        <v>https://ceds.ed.gov/cedselementdetails.aspx?termid=17067</v>
      </c>
      <c r="Q2010" s="14" t="str">
        <f>HYPERLINK("https://ceds.ed.gov/elementComment.aspx?elementName=Course Title &amp;elementID=17067", "Click here to submit comment")</f>
        <v>Click here to submit comment</v>
      </c>
      <c r="R2010" s="14">
        <v>48929</v>
      </c>
    </row>
    <row r="2011" spans="1:18" ht="45" x14ac:dyDescent="0.25">
      <c r="A2011" s="14" t="s">
        <v>8732</v>
      </c>
      <c r="B2011" s="14" t="s">
        <v>8934</v>
      </c>
      <c r="C2011" s="14"/>
      <c r="D2011" s="14" t="s">
        <v>8531</v>
      </c>
      <c r="E2011" s="14" t="s">
        <v>2936</v>
      </c>
      <c r="F2011" s="14" t="s">
        <v>2937</v>
      </c>
      <c r="G2011" s="14" t="s">
        <v>37</v>
      </c>
      <c r="H2011" s="14"/>
      <c r="I2011" s="14"/>
      <c r="J2011" s="14" t="s">
        <v>175</v>
      </c>
      <c r="K2011" s="14"/>
      <c r="L2011" s="14"/>
      <c r="M2011" s="14" t="s">
        <v>2938</v>
      </c>
      <c r="N2011" s="14"/>
      <c r="O2011" s="14" t="s">
        <v>2939</v>
      </c>
      <c r="P2011" s="14" t="str">
        <f>HYPERLINK("https://ceds.ed.gov/cedselementdetails.aspx?termid=17508")</f>
        <v>https://ceds.ed.gov/cedselementdetails.aspx?termid=17508</v>
      </c>
      <c r="Q2011" s="14" t="str">
        <f>HYPERLINK("https://ceds.ed.gov/elementComment.aspx?elementName=Course Description &amp;elementID=17508", "Click here to submit comment")</f>
        <v>Click here to submit comment</v>
      </c>
      <c r="R2011" s="14">
        <v>48937</v>
      </c>
    </row>
    <row r="2012" spans="1:18" ht="45" x14ac:dyDescent="0.25">
      <c r="A2012" s="14" t="s">
        <v>8732</v>
      </c>
      <c r="B2012" s="14" t="s">
        <v>8934</v>
      </c>
      <c r="C2012" s="14"/>
      <c r="D2012" s="14" t="s">
        <v>8531</v>
      </c>
      <c r="E2012" s="14" t="s">
        <v>2931</v>
      </c>
      <c r="F2012" s="14" t="s">
        <v>2932</v>
      </c>
      <c r="G2012" s="14" t="s">
        <v>37</v>
      </c>
      <c r="H2012" s="14"/>
      <c r="I2012" s="14"/>
      <c r="J2012" s="14" t="s">
        <v>175</v>
      </c>
      <c r="K2012" s="14"/>
      <c r="L2012" s="14"/>
      <c r="M2012" s="14" t="s">
        <v>2934</v>
      </c>
      <c r="N2012" s="14"/>
      <c r="O2012" s="14" t="s">
        <v>2935</v>
      </c>
      <c r="P2012" s="14" t="str">
        <f>HYPERLINK("https://ceds.ed.gov/cedselementdetails.aspx?termid=18525")</f>
        <v>https://ceds.ed.gov/cedselementdetails.aspx?termid=18525</v>
      </c>
      <c r="Q2012" s="14" t="str">
        <f>HYPERLINK("https://ceds.ed.gov/elementComment.aspx?elementName=Course Department Name &amp;elementID=18525", "Click here to submit comment")</f>
        <v>Click here to submit comment</v>
      </c>
      <c r="R2012" s="14">
        <v>50834</v>
      </c>
    </row>
    <row r="2013" spans="1:18" ht="165" x14ac:dyDescent="0.25">
      <c r="A2013" s="14" t="s">
        <v>8732</v>
      </c>
      <c r="B2013" s="14" t="s">
        <v>8934</v>
      </c>
      <c r="C2013" s="14"/>
      <c r="D2013" s="14" t="s">
        <v>8531</v>
      </c>
      <c r="E2013" s="14" t="s">
        <v>2925</v>
      </c>
      <c r="F2013" s="14" t="s">
        <v>2926</v>
      </c>
      <c r="G2013" s="8" t="s">
        <v>8706</v>
      </c>
      <c r="H2013" s="14" t="s">
        <v>65</v>
      </c>
      <c r="I2013" s="14"/>
      <c r="J2013" s="14"/>
      <c r="K2013" s="14"/>
      <c r="L2013" s="14"/>
      <c r="M2013" s="14" t="s">
        <v>2929</v>
      </c>
      <c r="N2013" s="14"/>
      <c r="O2013" s="14" t="s">
        <v>2930</v>
      </c>
      <c r="P2013" s="14" t="str">
        <f>HYPERLINK("https://ceds.ed.gov/cedselementdetails.aspx?termid=17057")</f>
        <v>https://ceds.ed.gov/cedselementdetails.aspx?termid=17057</v>
      </c>
      <c r="Q2013" s="14" t="str">
        <f>HYPERLINK("https://ceds.ed.gov/elementComment.aspx?elementName=Course Credit Units &amp;elementID=17057", "Click here to submit comment")</f>
        <v>Click here to submit comment</v>
      </c>
      <c r="R2013" s="14">
        <v>48718</v>
      </c>
    </row>
    <row r="2014" spans="1:18" ht="105" x14ac:dyDescent="0.25">
      <c r="A2014" s="14" t="s">
        <v>8732</v>
      </c>
      <c r="B2014" s="14" t="s">
        <v>8934</v>
      </c>
      <c r="C2014" s="14"/>
      <c r="D2014" s="14" t="s">
        <v>8531</v>
      </c>
      <c r="E2014" s="14" t="s">
        <v>3359</v>
      </c>
      <c r="F2014" s="14" t="s">
        <v>3360</v>
      </c>
      <c r="G2014" s="14" t="s">
        <v>37</v>
      </c>
      <c r="H2014" s="14" t="s">
        <v>65</v>
      </c>
      <c r="I2014" s="14"/>
      <c r="J2014" s="14" t="s">
        <v>1710</v>
      </c>
      <c r="K2014" s="14"/>
      <c r="L2014" s="14" t="s">
        <v>3362</v>
      </c>
      <c r="M2014" s="14" t="s">
        <v>3363</v>
      </c>
      <c r="N2014" s="14"/>
      <c r="O2014" s="14" t="s">
        <v>3364</v>
      </c>
      <c r="P2014" s="14" t="str">
        <f>HYPERLINK("https://ceds.ed.gov/cedselementdetails.aspx?termid=17058")</f>
        <v>https://ceds.ed.gov/cedselementdetails.aspx?termid=17058</v>
      </c>
      <c r="Q2014" s="14" t="str">
        <f>HYPERLINK("https://ceds.ed.gov/elementComment.aspx?elementName=Credit Value &amp;elementID=17058", "Click here to submit comment")</f>
        <v>Click here to submit comment</v>
      </c>
      <c r="R2014" s="14">
        <v>48719</v>
      </c>
    </row>
    <row r="2015" spans="1:18" ht="255" x14ac:dyDescent="0.25">
      <c r="A2015" s="14" t="s">
        <v>8732</v>
      </c>
      <c r="B2015" s="14" t="s">
        <v>8934</v>
      </c>
      <c r="C2015" s="14"/>
      <c r="D2015" s="14" t="s">
        <v>8531</v>
      </c>
      <c r="E2015" s="14" t="s">
        <v>178</v>
      </c>
      <c r="F2015" s="14" t="s">
        <v>179</v>
      </c>
      <c r="G2015" s="8" t="s">
        <v>8935</v>
      </c>
      <c r="H2015" s="14"/>
      <c r="I2015" s="14"/>
      <c r="J2015" s="14"/>
      <c r="K2015" s="14"/>
      <c r="L2015" s="14"/>
      <c r="M2015" s="14" t="s">
        <v>182</v>
      </c>
      <c r="N2015" s="14"/>
      <c r="O2015" s="14" t="s">
        <v>183</v>
      </c>
      <c r="P2015" s="14" t="str">
        <f>HYPERLINK("https://ceds.ed.gov/cedselementdetails.aspx?termid=17589")</f>
        <v>https://ceds.ed.gov/cedselementdetails.aspx?termid=17589</v>
      </c>
      <c r="Q2015" s="14" t="str">
        <f>HYPERLINK("https://ceds.ed.gov/elementComment.aspx?elementName=Additional Credit Type &amp;elementID=17589", "Click here to submit comment")</f>
        <v>Click here to submit comment</v>
      </c>
      <c r="R2015" s="14">
        <v>48939</v>
      </c>
    </row>
    <row r="2016" spans="1:18" ht="150" x14ac:dyDescent="0.25">
      <c r="A2016" s="14" t="s">
        <v>8732</v>
      </c>
      <c r="B2016" s="14" t="s">
        <v>8934</v>
      </c>
      <c r="C2016" s="14"/>
      <c r="D2016" s="14" t="s">
        <v>8531</v>
      </c>
      <c r="E2016" s="14" t="s">
        <v>1707</v>
      </c>
      <c r="F2016" s="14" t="s">
        <v>1708</v>
      </c>
      <c r="G2016" s="14" t="s">
        <v>37</v>
      </c>
      <c r="H2016" s="14" t="s">
        <v>1713</v>
      </c>
      <c r="I2016" s="14"/>
      <c r="J2016" s="14" t="s">
        <v>1710</v>
      </c>
      <c r="K2016" s="14"/>
      <c r="L2016" s="14"/>
      <c r="M2016" s="14" t="s">
        <v>1711</v>
      </c>
      <c r="N2016" s="14"/>
      <c r="O2016" s="14" t="s">
        <v>1712</v>
      </c>
      <c r="P2016" s="14" t="str">
        <f>HYPERLINK("https://ceds.ed.gov/cedselementdetails.aspx?termid=17030")</f>
        <v>https://ceds.ed.gov/cedselementdetails.aspx?termid=17030</v>
      </c>
      <c r="Q2016" s="14" t="str">
        <f>HYPERLINK("https://ceds.ed.gov/elementComment.aspx?elementName=Available Carnegie Unit Credit &amp;elementID=17030", "Click here to submit comment")</f>
        <v>Click here to submit comment</v>
      </c>
      <c r="R2016" s="14">
        <v>48924</v>
      </c>
    </row>
    <row r="2017" spans="1:18" ht="120" x14ac:dyDescent="0.25">
      <c r="A2017" s="14" t="s">
        <v>8732</v>
      </c>
      <c r="B2017" s="14" t="s">
        <v>8934</v>
      </c>
      <c r="C2017" s="14"/>
      <c r="D2017" s="14" t="s">
        <v>8531</v>
      </c>
      <c r="E2017" s="14" t="s">
        <v>2954</v>
      </c>
      <c r="F2017" s="14" t="s">
        <v>2955</v>
      </c>
      <c r="G2017" s="8" t="s">
        <v>8936</v>
      </c>
      <c r="H2017" s="14" t="s">
        <v>1713</v>
      </c>
      <c r="I2017" s="14"/>
      <c r="J2017" s="14"/>
      <c r="K2017" s="14"/>
      <c r="L2017" s="14"/>
      <c r="M2017" s="14" t="s">
        <v>2958</v>
      </c>
      <c r="N2017" s="14" t="s">
        <v>2959</v>
      </c>
      <c r="O2017" s="14" t="s">
        <v>2960</v>
      </c>
      <c r="P2017" s="14" t="str">
        <f>HYPERLINK("https://ceds.ed.gov/cedselementdetails.aspx?termid=17060")</f>
        <v>https://ceds.ed.gov/cedselementdetails.aspx?termid=17060</v>
      </c>
      <c r="Q2017" s="14" t="str">
        <f>HYPERLINK("https://ceds.ed.gov/elementComment.aspx?elementName=Course Grade Point Average Applicability &amp;elementID=17060", "Click here to submit comment")</f>
        <v>Click here to submit comment</v>
      </c>
      <c r="R2017" s="14">
        <v>48927</v>
      </c>
    </row>
    <row r="2018" spans="1:18" ht="330" x14ac:dyDescent="0.25">
      <c r="A2018" s="14" t="s">
        <v>8732</v>
      </c>
      <c r="B2018" s="14" t="s">
        <v>8934</v>
      </c>
      <c r="C2018" s="14"/>
      <c r="D2018" s="14" t="s">
        <v>8531</v>
      </c>
      <c r="E2018" s="14" t="s">
        <v>2991</v>
      </c>
      <c r="F2018" s="14" t="s">
        <v>2992</v>
      </c>
      <c r="G2018" s="8" t="s">
        <v>8937</v>
      </c>
      <c r="H2018" s="14" t="s">
        <v>2970</v>
      </c>
      <c r="I2018" s="14"/>
      <c r="J2018" s="14"/>
      <c r="K2018" s="14"/>
      <c r="L2018" s="14"/>
      <c r="M2018" s="14" t="s">
        <v>2994</v>
      </c>
      <c r="N2018" s="14"/>
      <c r="O2018" s="14" t="s">
        <v>2995</v>
      </c>
      <c r="P2018" s="14" t="str">
        <f>HYPERLINK("https://ceds.ed.gov/cedselementdetails.aspx?termid=17061")</f>
        <v>https://ceds.ed.gov/cedselementdetails.aspx?termid=17061</v>
      </c>
      <c r="Q2018" s="14" t="str">
        <f>HYPERLINK("https://ceds.ed.gov/elementComment.aspx?elementName=Course Level Characteristic &amp;elementID=17061", "Click here to submit comment")</f>
        <v>Click here to submit comment</v>
      </c>
      <c r="R2018" s="14">
        <v>48928</v>
      </c>
    </row>
    <row r="2019" spans="1:18" ht="409.5" x14ac:dyDescent="0.25">
      <c r="A2019" s="14" t="s">
        <v>8732</v>
      </c>
      <c r="B2019" s="14" t="s">
        <v>8934</v>
      </c>
      <c r="C2019" s="14"/>
      <c r="D2019" s="14" t="s">
        <v>8531</v>
      </c>
      <c r="E2019" s="14" t="s">
        <v>2894</v>
      </c>
      <c r="F2019" s="14" t="s">
        <v>2895</v>
      </c>
      <c r="G2019" s="8" t="s">
        <v>8938</v>
      </c>
      <c r="H2019" s="14"/>
      <c r="I2019" s="14"/>
      <c r="J2019" s="14"/>
      <c r="K2019" s="14"/>
      <c r="L2019" s="14" t="s">
        <v>2898</v>
      </c>
      <c r="M2019" s="14" t="s">
        <v>2899</v>
      </c>
      <c r="N2019" s="14"/>
      <c r="O2019" s="14" t="s">
        <v>2900</v>
      </c>
      <c r="P2019" s="14" t="str">
        <f>HYPERLINK("https://ceds.ed.gov/cedselementdetails.aspx?termid=18267")</f>
        <v>https://ceds.ed.gov/cedselementdetails.aspx?termid=18267</v>
      </c>
      <c r="Q2019" s="14" t="str">
        <f>HYPERLINK("https://ceds.ed.gov/elementComment.aspx?elementName=Course Applicable Education Level &amp;elementID=18267", "Click here to submit comment")</f>
        <v>Click here to submit comment</v>
      </c>
      <c r="R2019" s="14">
        <v>50096</v>
      </c>
    </row>
    <row r="2020" spans="1:18" ht="120" x14ac:dyDescent="0.25">
      <c r="A2020" s="14" t="s">
        <v>8732</v>
      </c>
      <c r="B2020" s="14" t="s">
        <v>8934</v>
      </c>
      <c r="C2020" s="14"/>
      <c r="D2020" s="14" t="s">
        <v>8531</v>
      </c>
      <c r="E2020" s="14" t="s">
        <v>4948</v>
      </c>
      <c r="F2020" s="14" t="s">
        <v>4949</v>
      </c>
      <c r="G2020" s="14" t="s">
        <v>24</v>
      </c>
      <c r="H2020" s="14" t="s">
        <v>1713</v>
      </c>
      <c r="I2020" s="14"/>
      <c r="J2020" s="14"/>
      <c r="K2020" s="14"/>
      <c r="L2020" s="14"/>
      <c r="M2020" s="14" t="s">
        <v>4951</v>
      </c>
      <c r="N2020" s="14"/>
      <c r="O2020" s="14" t="s">
        <v>4952</v>
      </c>
      <c r="P2020" s="14" t="str">
        <f>HYPERLINK("https://ceds.ed.gov/cedselementdetails.aspx?termid=17137")</f>
        <v>https://ceds.ed.gov/cedselementdetails.aspx?termid=17137</v>
      </c>
      <c r="Q2020" s="14" t="str">
        <f>HYPERLINK("https://ceds.ed.gov/elementComment.aspx?elementName=High School Course Requirement &amp;elementID=17137", "Click here to submit comment")</f>
        <v>Click here to submit comment</v>
      </c>
      <c r="R2020" s="14">
        <v>48931</v>
      </c>
    </row>
    <row r="2021" spans="1:18" ht="45" x14ac:dyDescent="0.25">
      <c r="A2021" s="14" t="s">
        <v>8732</v>
      </c>
      <c r="B2021" s="14" t="s">
        <v>8934</v>
      </c>
      <c r="C2021" s="14"/>
      <c r="D2021" s="14" t="s">
        <v>8531</v>
      </c>
      <c r="E2021" s="14" t="s">
        <v>3025</v>
      </c>
      <c r="F2021" s="14" t="s">
        <v>3026</v>
      </c>
      <c r="G2021" s="14" t="s">
        <v>37</v>
      </c>
      <c r="H2021" s="14"/>
      <c r="I2021" s="14"/>
      <c r="J2021" s="14" t="s">
        <v>1922</v>
      </c>
      <c r="K2021" s="14"/>
      <c r="L2021" s="14"/>
      <c r="M2021" s="14" t="s">
        <v>3027</v>
      </c>
      <c r="N2021" s="14"/>
      <c r="O2021" s="14" t="s">
        <v>3028</v>
      </c>
      <c r="P2021" s="14" t="str">
        <f>HYPERLINK("https://ceds.ed.gov/cedselementdetails.aspx?termid=18648")</f>
        <v>https://ceds.ed.gov/cedselementdetails.aspx?termid=18648</v>
      </c>
      <c r="Q2021" s="14" t="str">
        <f>HYPERLINK("https://ceds.ed.gov/elementComment.aspx?elementName=Course Repeatability Maximum Number &amp;elementID=18648", "Click here to submit comment")</f>
        <v>Click here to submit comment</v>
      </c>
      <c r="R2021" s="14">
        <v>51882</v>
      </c>
    </row>
    <row r="2022" spans="1:18" ht="75" x14ac:dyDescent="0.25">
      <c r="A2022" s="14" t="s">
        <v>8732</v>
      </c>
      <c r="B2022" s="14" t="s">
        <v>8934</v>
      </c>
      <c r="C2022" s="14"/>
      <c r="D2022" s="14" t="s">
        <v>8531</v>
      </c>
      <c r="E2022" s="14" t="s">
        <v>5689</v>
      </c>
      <c r="F2022" s="14" t="s">
        <v>5690</v>
      </c>
      <c r="G2022" s="8" t="s">
        <v>8939</v>
      </c>
      <c r="H2022" s="14"/>
      <c r="I2022" s="14"/>
      <c r="J2022" s="14"/>
      <c r="K2022" s="14"/>
      <c r="L2022" s="14"/>
      <c r="M2022" s="14" t="s">
        <v>5693</v>
      </c>
      <c r="N2022" s="14"/>
      <c r="O2022" s="14" t="s">
        <v>5694</v>
      </c>
      <c r="P2022" s="14" t="str">
        <f>HYPERLINK("https://ceds.ed.gov/cedselementdetails.aspx?termid=18355")</f>
        <v>https://ceds.ed.gov/cedselementdetails.aspx?termid=18355</v>
      </c>
      <c r="Q2022" s="14" t="str">
        <f>HYPERLINK("https://ceds.ed.gov/elementComment.aspx?elementName=K12 End of Course Requirement &amp;elementID=18355", "Click here to submit comment")</f>
        <v>Click here to submit comment</v>
      </c>
      <c r="R2022" s="14">
        <v>50234</v>
      </c>
    </row>
    <row r="2023" spans="1:18" ht="45" x14ac:dyDescent="0.25">
      <c r="A2023" s="14" t="s">
        <v>8732</v>
      </c>
      <c r="B2023" s="14" t="s">
        <v>8934</v>
      </c>
      <c r="C2023" s="14"/>
      <c r="D2023" s="14" t="s">
        <v>8531</v>
      </c>
      <c r="E2023" s="14" t="s">
        <v>2819</v>
      </c>
      <c r="F2023" s="14" t="s">
        <v>2820</v>
      </c>
      <c r="G2023" s="14" t="s">
        <v>24</v>
      </c>
      <c r="H2023" s="14"/>
      <c r="I2023" s="14"/>
      <c r="J2023" s="14"/>
      <c r="K2023" s="14"/>
      <c r="L2023" s="14"/>
      <c r="M2023" s="14" t="s">
        <v>2822</v>
      </c>
      <c r="N2023" s="14"/>
      <c r="O2023" s="14" t="s">
        <v>2823</v>
      </c>
      <c r="P2023" s="14" t="str">
        <f>HYPERLINK("https://ceds.ed.gov/cedselementdetails.aspx?termid=17509")</f>
        <v>https://ceds.ed.gov/cedselementdetails.aspx?termid=17509</v>
      </c>
      <c r="Q2023" s="14" t="str">
        <f>HYPERLINK("https://ceds.ed.gov/elementComment.aspx?elementName=Core Academic Course &amp;elementID=17509", "Click here to submit comment")</f>
        <v>Click here to submit comment</v>
      </c>
      <c r="R2023" s="14">
        <v>48938</v>
      </c>
    </row>
    <row r="2024" spans="1:18" ht="150" x14ac:dyDescent="0.25">
      <c r="A2024" s="14" t="s">
        <v>8732</v>
      </c>
      <c r="B2024" s="14" t="s">
        <v>8934</v>
      </c>
      <c r="C2024" s="14"/>
      <c r="D2024" s="14" t="s">
        <v>8531</v>
      </c>
      <c r="E2024" s="14" t="s">
        <v>3423</v>
      </c>
      <c r="F2024" s="14" t="s">
        <v>3424</v>
      </c>
      <c r="G2024" s="8" t="s">
        <v>8940</v>
      </c>
      <c r="H2024" s="14"/>
      <c r="I2024" s="14"/>
      <c r="J2024" s="14"/>
      <c r="K2024" s="14"/>
      <c r="L2024" s="14"/>
      <c r="M2024" s="14" t="s">
        <v>3426</v>
      </c>
      <c r="N2024" s="14"/>
      <c r="O2024" s="14" t="s">
        <v>3427</v>
      </c>
      <c r="P2024" s="14" t="str">
        <f>HYPERLINK("https://ceds.ed.gov/cedselementdetails.aspx?termid=17688")</f>
        <v>https://ceds.ed.gov/cedselementdetails.aspx?termid=17688</v>
      </c>
      <c r="Q2024" s="14" t="str">
        <f>HYPERLINK("https://ceds.ed.gov/elementComment.aspx?elementName=Curriculum Framework Type &amp;elementID=17688", "Click here to submit comment")</f>
        <v>Click here to submit comment</v>
      </c>
      <c r="R2024" s="14">
        <v>48940</v>
      </c>
    </row>
    <row r="2025" spans="1:18" ht="45" x14ac:dyDescent="0.25">
      <c r="A2025" s="14" t="s">
        <v>8732</v>
      </c>
      <c r="B2025" s="14" t="s">
        <v>8934</v>
      </c>
      <c r="C2025" s="14"/>
      <c r="D2025" s="14" t="s">
        <v>8531</v>
      </c>
      <c r="E2025" s="14" t="s">
        <v>2890</v>
      </c>
      <c r="F2025" s="14" t="s">
        <v>2891</v>
      </c>
      <c r="G2025" s="14" t="s">
        <v>24</v>
      </c>
      <c r="H2025" s="14"/>
      <c r="I2025" s="14"/>
      <c r="J2025" s="14"/>
      <c r="K2025" s="14"/>
      <c r="L2025" s="14"/>
      <c r="M2025" s="14" t="s">
        <v>2892</v>
      </c>
      <c r="N2025" s="14"/>
      <c r="O2025" s="14" t="s">
        <v>2893</v>
      </c>
      <c r="P2025" s="14" t="str">
        <f>HYPERLINK("https://ceds.ed.gov/cedselementdetails.aspx?termid=17013")</f>
        <v>https://ceds.ed.gov/cedselementdetails.aspx?termid=17013</v>
      </c>
      <c r="Q2025" s="14" t="str">
        <f>HYPERLINK("https://ceds.ed.gov/elementComment.aspx?elementName=Course Aligned with Standards &amp;elementID=17013", "Click here to submit comment")</f>
        <v>Click here to submit comment</v>
      </c>
      <c r="R2025" s="14">
        <v>48923</v>
      </c>
    </row>
    <row r="2026" spans="1:18" ht="409.5" x14ac:dyDescent="0.25">
      <c r="A2026" s="14" t="s">
        <v>8732</v>
      </c>
      <c r="B2026" s="14" t="s">
        <v>8934</v>
      </c>
      <c r="C2026" s="14"/>
      <c r="D2026" s="14" t="s">
        <v>8531</v>
      </c>
      <c r="E2026" s="14" t="s">
        <v>355</v>
      </c>
      <c r="F2026" s="14" t="s">
        <v>356</v>
      </c>
      <c r="G2026" s="8" t="s">
        <v>8941</v>
      </c>
      <c r="H2026" s="14"/>
      <c r="I2026" s="14"/>
      <c r="J2026" s="14" t="s">
        <v>175</v>
      </c>
      <c r="K2026" s="14"/>
      <c r="L2026" s="14"/>
      <c r="M2026" s="14" t="s">
        <v>359</v>
      </c>
      <c r="N2026" s="14" t="s">
        <v>360</v>
      </c>
      <c r="O2026" s="14" t="s">
        <v>361</v>
      </c>
      <c r="P2026" s="14" t="str">
        <f>HYPERLINK("https://ceds.ed.gov/cedselementdetails.aspx?termid=18244")</f>
        <v>https://ceds.ed.gov/cedselementdetails.aspx?termid=18244</v>
      </c>
      <c r="Q2026" s="14" t="str">
        <f>HYPERLINK("https://ceds.ed.gov/elementComment.aspx?elementName=Advanced Placement Course Code &amp;elementID=18244", "Click here to submit comment")</f>
        <v>Click here to submit comment</v>
      </c>
      <c r="R2026" s="14">
        <v>50566</v>
      </c>
    </row>
    <row r="2027" spans="1:18" ht="165" x14ac:dyDescent="0.25">
      <c r="A2027" s="14" t="s">
        <v>8732</v>
      </c>
      <c r="B2027" s="14" t="s">
        <v>8934</v>
      </c>
      <c r="C2027" s="14"/>
      <c r="D2027" s="14" t="s">
        <v>8531</v>
      </c>
      <c r="E2027" s="14" t="s">
        <v>1757</v>
      </c>
      <c r="F2027" s="14" t="s">
        <v>1758</v>
      </c>
      <c r="G2027" s="8" t="s">
        <v>8748</v>
      </c>
      <c r="H2027" s="14"/>
      <c r="I2027" s="14" t="s">
        <v>195</v>
      </c>
      <c r="J2027" s="14"/>
      <c r="K2027" s="14" t="s">
        <v>1761</v>
      </c>
      <c r="L2027" s="14" t="s">
        <v>1762</v>
      </c>
      <c r="M2027" s="14" t="s">
        <v>1763</v>
      </c>
      <c r="N2027" s="14"/>
      <c r="O2027" s="14" t="s">
        <v>1764</v>
      </c>
      <c r="P2027" s="14" t="str">
        <f>HYPERLINK("https://ceds.ed.gov/cedselementdetails.aspx?termid=18253")</f>
        <v>https://ceds.ed.gov/cedselementdetails.aspx?termid=18253</v>
      </c>
      <c r="Q2027" s="14" t="str">
        <f>HYPERLINK("https://ceds.ed.gov/elementComment.aspx?elementName=Blended Learning Model Type &amp;elementID=18253", "Click here to submit comment")</f>
        <v>Click here to submit comment</v>
      </c>
      <c r="R2027" s="14">
        <v>50072</v>
      </c>
    </row>
    <row r="2028" spans="1:18" ht="360" x14ac:dyDescent="0.25">
      <c r="A2028" s="14" t="s">
        <v>8732</v>
      </c>
      <c r="B2028" s="14" t="s">
        <v>8934</v>
      </c>
      <c r="C2028" s="14"/>
      <c r="D2028" s="14" t="s">
        <v>8531</v>
      </c>
      <c r="E2028" s="14" t="s">
        <v>2182</v>
      </c>
      <c r="F2028" s="14" t="s">
        <v>2183</v>
      </c>
      <c r="G2028" s="8" t="s">
        <v>8942</v>
      </c>
      <c r="H2028" s="14"/>
      <c r="I2028" s="14"/>
      <c r="J2028" s="14"/>
      <c r="K2028" s="14"/>
      <c r="L2028" s="14" t="s">
        <v>2186</v>
      </c>
      <c r="M2028" s="14" t="s">
        <v>2187</v>
      </c>
      <c r="N2028" s="14"/>
      <c r="O2028" s="14" t="s">
        <v>2188</v>
      </c>
      <c r="P2028" s="14" t="str">
        <f>HYPERLINK("https://ceds.ed.gov/cedselementdetails.aspx?termid=18254")</f>
        <v>https://ceds.ed.gov/cedselementdetails.aspx?termid=18254</v>
      </c>
      <c r="Q2028" s="14" t="str">
        <f>HYPERLINK("https://ceds.ed.gov/elementComment.aspx?elementName=Career Cluster &amp;elementID=18254", "Click here to submit comment")</f>
        <v>Click here to submit comment</v>
      </c>
      <c r="R2028" s="14">
        <v>50074</v>
      </c>
    </row>
    <row r="2029" spans="1:18" ht="240" x14ac:dyDescent="0.25">
      <c r="A2029" s="14" t="s">
        <v>8732</v>
      </c>
      <c r="B2029" s="14" t="s">
        <v>8934</v>
      </c>
      <c r="C2029" s="14"/>
      <c r="D2029" s="14" t="s">
        <v>8531</v>
      </c>
      <c r="E2029" s="14" t="s">
        <v>8492</v>
      </c>
      <c r="F2029" s="14" t="s">
        <v>8493</v>
      </c>
      <c r="G2029" s="8" t="s">
        <v>8916</v>
      </c>
      <c r="H2029" s="14"/>
      <c r="I2029" s="14"/>
      <c r="J2029" s="14"/>
      <c r="K2029" s="14"/>
      <c r="L2029" s="14"/>
      <c r="M2029" s="14" t="s">
        <v>8496</v>
      </c>
      <c r="N2029" s="14"/>
      <c r="O2029" s="14" t="s">
        <v>8497</v>
      </c>
      <c r="P2029" s="14" t="str">
        <f>HYPERLINK("https://ceds.ed.gov/cedselementdetails.aspx?termid=18471")</f>
        <v>https://ceds.ed.gov/cedselementdetails.aspx?termid=18471</v>
      </c>
      <c r="Q2029" s="14" t="str">
        <f>HYPERLINK("https://ceds.ed.gov/elementComment.aspx?elementName=Work-based Learning Opportunity Type &amp;elementID=18471", "Click here to submit comment")</f>
        <v>Click here to submit comment</v>
      </c>
      <c r="R2029" s="14">
        <v>50456</v>
      </c>
    </row>
    <row r="2030" spans="1:18" ht="45" x14ac:dyDescent="0.25">
      <c r="A2030" s="14" t="s">
        <v>8732</v>
      </c>
      <c r="B2030" s="14" t="s">
        <v>8934</v>
      </c>
      <c r="C2030" s="14"/>
      <c r="D2030" s="14" t="s">
        <v>8531</v>
      </c>
      <c r="E2030" s="14" t="s">
        <v>2905</v>
      </c>
      <c r="F2030" s="14" t="s">
        <v>2906</v>
      </c>
      <c r="G2030" s="14" t="s">
        <v>37</v>
      </c>
      <c r="H2030" s="14"/>
      <c r="I2030" s="14"/>
      <c r="J2030" s="14" t="s">
        <v>129</v>
      </c>
      <c r="K2030" s="14"/>
      <c r="L2030" s="14"/>
      <c r="M2030" s="14" t="s">
        <v>2907</v>
      </c>
      <c r="N2030" s="14"/>
      <c r="O2030" s="14" t="s">
        <v>2908</v>
      </c>
      <c r="P2030" s="14" t="str">
        <f>HYPERLINK("https://ceds.ed.gov/cedselementdetails.aspx?termid=18268")</f>
        <v>https://ceds.ed.gov/cedselementdetails.aspx?termid=18268</v>
      </c>
      <c r="Q2030" s="14" t="str">
        <f>HYPERLINK("https://ceds.ed.gov/elementComment.aspx?elementName=Course Certification Description &amp;elementID=18268", "Click here to submit comment")</f>
        <v>Click here to submit comment</v>
      </c>
      <c r="R2030" s="14">
        <v>50098</v>
      </c>
    </row>
    <row r="2031" spans="1:18" ht="75" x14ac:dyDescent="0.25">
      <c r="A2031" s="14" t="s">
        <v>8732</v>
      </c>
      <c r="B2031" s="14" t="s">
        <v>8934</v>
      </c>
      <c r="C2031" s="14"/>
      <c r="D2031" s="14" t="s">
        <v>8531</v>
      </c>
      <c r="E2031" s="14" t="s">
        <v>22</v>
      </c>
      <c r="F2031" s="14" t="s">
        <v>23</v>
      </c>
      <c r="G2031" s="14" t="s">
        <v>24</v>
      </c>
      <c r="H2031" s="14" t="s">
        <v>28</v>
      </c>
      <c r="I2031" s="14"/>
      <c r="J2031" s="14"/>
      <c r="K2031" s="14"/>
      <c r="L2031" s="14"/>
      <c r="M2031" s="14" t="s">
        <v>26</v>
      </c>
      <c r="N2031" s="14"/>
      <c r="O2031" s="14" t="s">
        <v>27</v>
      </c>
      <c r="P2031" s="14" t="str">
        <f>HYPERLINK("https://ceds.ed.gov/cedselementdetails.aspx?termid=17000")</f>
        <v>https://ceds.ed.gov/cedselementdetails.aspx?termid=17000</v>
      </c>
      <c r="Q2031" s="14" t="str">
        <f>HYPERLINK("https://ceds.ed.gov/elementComment.aspx?elementName=Ability Grouping Status &amp;elementID=17000", "Click here to submit comment")</f>
        <v>Click here to submit comment</v>
      </c>
      <c r="R2031" s="14">
        <v>50666</v>
      </c>
    </row>
    <row r="2032" spans="1:18" ht="90" x14ac:dyDescent="0.25">
      <c r="A2032" s="14" t="s">
        <v>8732</v>
      </c>
      <c r="B2032" s="14" t="s">
        <v>8934</v>
      </c>
      <c r="C2032" s="14"/>
      <c r="D2032" s="14" t="s">
        <v>8531</v>
      </c>
      <c r="E2032" s="14" t="s">
        <v>5501</v>
      </c>
      <c r="F2032" s="14" t="s">
        <v>5502</v>
      </c>
      <c r="G2032" s="14" t="s">
        <v>8527</v>
      </c>
      <c r="H2032" s="14" t="s">
        <v>245</v>
      </c>
      <c r="I2032" s="14" t="s">
        <v>195</v>
      </c>
      <c r="J2032" s="14"/>
      <c r="K2032" s="14" t="s">
        <v>1086</v>
      </c>
      <c r="L2032" s="6" t="s">
        <v>1087</v>
      </c>
      <c r="M2032" s="14" t="s">
        <v>5503</v>
      </c>
      <c r="N2032" s="14"/>
      <c r="O2032" s="14" t="s">
        <v>5504</v>
      </c>
      <c r="P2032" s="14" t="str">
        <f>HYPERLINK("https://ceds.ed.gov/cedselementdetails.aspx?termid=17438")</f>
        <v>https://ceds.ed.gov/cedselementdetails.aspx?termid=17438</v>
      </c>
      <c r="Q2032" s="14" t="str">
        <f>HYPERLINK("https://ceds.ed.gov/elementComment.aspx?elementName=Instruction Language &amp;elementID=17438", "Click here to submit comment")</f>
        <v>Click here to submit comment</v>
      </c>
      <c r="R2032" s="14">
        <v>48936</v>
      </c>
    </row>
    <row r="2033" spans="1:18" ht="45" x14ac:dyDescent="0.25">
      <c r="A2033" s="14" t="s">
        <v>8732</v>
      </c>
      <c r="B2033" s="14" t="s">
        <v>8934</v>
      </c>
      <c r="C2033" s="14"/>
      <c r="D2033" s="14" t="s">
        <v>8531</v>
      </c>
      <c r="E2033" s="14" t="s">
        <v>2985</v>
      </c>
      <c r="F2033" s="14" t="s">
        <v>2986</v>
      </c>
      <c r="G2033" s="8" t="s">
        <v>8943</v>
      </c>
      <c r="H2033" s="14"/>
      <c r="I2033" s="14"/>
      <c r="J2033" s="14"/>
      <c r="K2033" s="14"/>
      <c r="L2033" s="14" t="s">
        <v>2988</v>
      </c>
      <c r="M2033" s="14" t="s">
        <v>2989</v>
      </c>
      <c r="N2033" s="14"/>
      <c r="O2033" s="14" t="s">
        <v>2990</v>
      </c>
      <c r="P2033" s="14" t="str">
        <f>HYPERLINK("https://ceds.ed.gov/cedselementdetails.aspx?termid=18277")</f>
        <v>https://ceds.ed.gov/cedselementdetails.aspx?termid=18277</v>
      </c>
      <c r="Q2033" s="14" t="str">
        <f>HYPERLINK("https://ceds.ed.gov/elementComment.aspx?elementName=Course Interaction Mode &amp;elementID=18277", "Click here to submit comment")</f>
        <v>Click here to submit comment</v>
      </c>
      <c r="R2033" s="14">
        <v>50112</v>
      </c>
    </row>
    <row r="2034" spans="1:18" ht="45" x14ac:dyDescent="0.25">
      <c r="A2034" s="14" t="s">
        <v>8732</v>
      </c>
      <c r="B2034" s="14" t="s">
        <v>8934</v>
      </c>
      <c r="C2034" s="14"/>
      <c r="D2034" s="14" t="s">
        <v>8531</v>
      </c>
      <c r="E2034" s="14" t="s">
        <v>4453</v>
      </c>
      <c r="F2034" s="14" t="s">
        <v>4454</v>
      </c>
      <c r="G2034" s="14" t="s">
        <v>24</v>
      </c>
      <c r="H2034" s="14"/>
      <c r="I2034" s="14"/>
      <c r="J2034" s="14"/>
      <c r="K2034" s="14"/>
      <c r="L2034" s="14"/>
      <c r="M2034" s="14" t="s">
        <v>4455</v>
      </c>
      <c r="N2034" s="14"/>
      <c r="O2034" s="14" t="s">
        <v>4456</v>
      </c>
      <c r="P2034" s="14" t="str">
        <f>HYPERLINK("https://ceds.ed.gov/cedselementdetails.aspx?termid=18311")</f>
        <v>https://ceds.ed.gov/cedselementdetails.aspx?termid=18311</v>
      </c>
      <c r="Q2034" s="14" t="str">
        <f>HYPERLINK("https://ceds.ed.gov/elementComment.aspx?elementName=Family and Consumer Sciences Course Indicator &amp;elementID=18311", "Click here to submit comment")</f>
        <v>Click here to submit comment</v>
      </c>
      <c r="R2034" s="14">
        <v>50159</v>
      </c>
    </row>
    <row r="2035" spans="1:18" ht="45" x14ac:dyDescent="0.25">
      <c r="A2035" s="14" t="s">
        <v>8732</v>
      </c>
      <c r="B2035" s="14" t="s">
        <v>8934</v>
      </c>
      <c r="C2035" s="14"/>
      <c r="D2035" s="14" t="s">
        <v>8531</v>
      </c>
      <c r="E2035" s="14" t="s">
        <v>6363</v>
      </c>
      <c r="F2035" s="14" t="s">
        <v>6364</v>
      </c>
      <c r="G2035" s="14" t="s">
        <v>24</v>
      </c>
      <c r="H2035" s="14"/>
      <c r="I2035" s="14"/>
      <c r="J2035" s="14"/>
      <c r="K2035" s="14"/>
      <c r="L2035" s="14"/>
      <c r="M2035" s="14" t="s">
        <v>6365</v>
      </c>
      <c r="N2035" s="14" t="s">
        <v>6366</v>
      </c>
      <c r="O2035" s="14" t="s">
        <v>6367</v>
      </c>
      <c r="P2035" s="14" t="str">
        <f>HYPERLINK("https://ceds.ed.gov/cedselementdetails.aspx?termid=18382")</f>
        <v>https://ceds.ed.gov/cedselementdetails.aspx?termid=18382</v>
      </c>
      <c r="Q2035" s="14" t="str">
        <f>HYPERLINK("https://ceds.ed.gov/elementComment.aspx?elementName=National Collegiate Athletic Association Eligibility &amp;elementID=18382", "Click here to submit comment")</f>
        <v>Click here to submit comment</v>
      </c>
      <c r="R2035" s="14">
        <v>50293</v>
      </c>
    </row>
    <row r="2036" spans="1:18" ht="120" x14ac:dyDescent="0.25">
      <c r="A2036" s="14" t="s">
        <v>8732</v>
      </c>
      <c r="B2036" s="14" t="s">
        <v>8934</v>
      </c>
      <c r="C2036" s="14"/>
      <c r="D2036" s="14" t="s">
        <v>8531</v>
      </c>
      <c r="E2036" s="14" t="s">
        <v>7559</v>
      </c>
      <c r="F2036" s="14" t="s">
        <v>7560</v>
      </c>
      <c r="G2036" s="14" t="s">
        <v>8527</v>
      </c>
      <c r="H2036" s="14"/>
      <c r="I2036" s="14" t="s">
        <v>195</v>
      </c>
      <c r="J2036" s="14"/>
      <c r="K2036" s="14" t="s">
        <v>7562</v>
      </c>
      <c r="L2036" s="6" t="s">
        <v>7563</v>
      </c>
      <c r="M2036" s="14" t="s">
        <v>7564</v>
      </c>
      <c r="N2036" s="14" t="s">
        <v>7565</v>
      </c>
      <c r="O2036" s="14" t="s">
        <v>7566</v>
      </c>
      <c r="P2036" s="14" t="str">
        <f>HYPERLINK("https://ceds.ed.gov/cedselementdetails.aspx?termid=18490")</f>
        <v>https://ceds.ed.gov/cedselementdetails.aspx?termid=18490</v>
      </c>
      <c r="Q2036" s="14" t="str">
        <f>HYPERLINK("https://ceds.ed.gov/elementComment.aspx?elementName=School Courses for the Exchange of Data Course Code &amp;elementID=18490", "Click here to submit comment")</f>
        <v>Click here to submit comment</v>
      </c>
      <c r="R2036" s="14">
        <v>50670</v>
      </c>
    </row>
    <row r="2037" spans="1:18" ht="105" x14ac:dyDescent="0.25">
      <c r="A2037" s="14" t="s">
        <v>8732</v>
      </c>
      <c r="B2037" s="14" t="s">
        <v>8934</v>
      </c>
      <c r="C2037" s="14"/>
      <c r="D2037" s="14" t="s">
        <v>8531</v>
      </c>
      <c r="E2037" s="14" t="s">
        <v>7567</v>
      </c>
      <c r="F2037" s="14" t="s">
        <v>7568</v>
      </c>
      <c r="G2037" s="8" t="s">
        <v>8905</v>
      </c>
      <c r="H2037" s="14"/>
      <c r="I2037" s="14"/>
      <c r="J2037" s="14"/>
      <c r="K2037" s="14"/>
      <c r="L2037" s="14"/>
      <c r="M2037" s="14" t="s">
        <v>7570</v>
      </c>
      <c r="N2037" s="14" t="s">
        <v>7571</v>
      </c>
      <c r="O2037" s="14" t="s">
        <v>7572</v>
      </c>
      <c r="P2037" s="14" t="str">
        <f>HYPERLINK("https://ceds.ed.gov/cedselementdetails.aspx?termid=18488")</f>
        <v>https://ceds.ed.gov/cedselementdetails.aspx?termid=18488</v>
      </c>
      <c r="Q2037" s="14" t="str">
        <f>HYPERLINK("https://ceds.ed.gov/elementComment.aspx?elementName=School Courses for the Exchange of Data Course Level &amp;elementID=18488", "Click here to submit comment")</f>
        <v>Click here to submit comment</v>
      </c>
      <c r="R2037" s="14">
        <v>50668</v>
      </c>
    </row>
    <row r="2038" spans="1:18" ht="409.5" x14ac:dyDescent="0.25">
      <c r="A2038" s="14" t="s">
        <v>8732</v>
      </c>
      <c r="B2038" s="14" t="s">
        <v>8934</v>
      </c>
      <c r="C2038" s="14"/>
      <c r="D2038" s="14" t="s">
        <v>8531</v>
      </c>
      <c r="E2038" s="14" t="s">
        <v>7573</v>
      </c>
      <c r="F2038" s="14" t="s">
        <v>7574</v>
      </c>
      <c r="G2038" s="8" t="s">
        <v>8883</v>
      </c>
      <c r="H2038" s="14"/>
      <c r="I2038" s="14"/>
      <c r="J2038" s="14"/>
      <c r="K2038" s="14"/>
      <c r="L2038" s="14" t="s">
        <v>7577</v>
      </c>
      <c r="M2038" s="14" t="s">
        <v>7578</v>
      </c>
      <c r="N2038" s="14" t="s">
        <v>7579</v>
      </c>
      <c r="O2038" s="14" t="s">
        <v>7580</v>
      </c>
      <c r="P2038" s="14" t="str">
        <f>HYPERLINK("https://ceds.ed.gov/cedselementdetails.aspx?termid=18491")</f>
        <v>https://ceds.ed.gov/cedselementdetails.aspx?termid=18491</v>
      </c>
      <c r="Q2038" s="14" t="str">
        <f>HYPERLINK("https://ceds.ed.gov/elementComment.aspx?elementName=School Courses for the Exchange of Data Course Subject Area &amp;elementID=18491", "Click here to submit comment")</f>
        <v>Click here to submit comment</v>
      </c>
      <c r="R2038" s="14">
        <v>50671</v>
      </c>
    </row>
    <row r="2039" spans="1:18" ht="105" x14ac:dyDescent="0.25">
      <c r="A2039" s="14" t="s">
        <v>8732</v>
      </c>
      <c r="B2039" s="14" t="s">
        <v>8934</v>
      </c>
      <c r="C2039" s="14"/>
      <c r="D2039" s="14" t="s">
        <v>8531</v>
      </c>
      <c r="E2039" s="14" t="s">
        <v>7581</v>
      </c>
      <c r="F2039" s="14" t="s">
        <v>7582</v>
      </c>
      <c r="G2039" s="14" t="s">
        <v>37</v>
      </c>
      <c r="H2039" s="14"/>
      <c r="I2039" s="14"/>
      <c r="J2039" s="14" t="s">
        <v>7584</v>
      </c>
      <c r="K2039" s="14"/>
      <c r="L2039" s="14" t="s">
        <v>7585</v>
      </c>
      <c r="M2039" s="14" t="s">
        <v>7586</v>
      </c>
      <c r="N2039" s="14" t="s">
        <v>7587</v>
      </c>
      <c r="O2039" s="14" t="s">
        <v>7588</v>
      </c>
      <c r="P2039" s="14" t="str">
        <f>HYPERLINK("https://ceds.ed.gov/cedselementdetails.aspx?termid=18452")</f>
        <v>https://ceds.ed.gov/cedselementdetails.aspx?termid=18452</v>
      </c>
      <c r="Q2039" s="14" t="str">
        <f>HYPERLINK("https://ceds.ed.gov/elementComment.aspx?elementName=School Courses for the Exchange of Data Grade Span &amp;elementID=18452", "Click here to submit comment")</f>
        <v>Click here to submit comment</v>
      </c>
      <c r="R2039" s="14">
        <v>50409</v>
      </c>
    </row>
    <row r="2040" spans="1:18" ht="120" x14ac:dyDescent="0.25">
      <c r="A2040" s="14" t="s">
        <v>8732</v>
      </c>
      <c r="B2040" s="14" t="s">
        <v>8934</v>
      </c>
      <c r="C2040" s="14"/>
      <c r="D2040" s="14" t="s">
        <v>8531</v>
      </c>
      <c r="E2040" s="14" t="s">
        <v>7589</v>
      </c>
      <c r="F2040" s="14" t="s">
        <v>7590</v>
      </c>
      <c r="G2040" s="14" t="s">
        <v>37</v>
      </c>
      <c r="H2040" s="14" t="s">
        <v>1713</v>
      </c>
      <c r="I2040" s="14"/>
      <c r="J2040" s="14" t="s">
        <v>3096</v>
      </c>
      <c r="K2040" s="14"/>
      <c r="L2040" s="14" t="s">
        <v>7591</v>
      </c>
      <c r="M2040" s="14" t="s">
        <v>7592</v>
      </c>
      <c r="N2040" s="14" t="s">
        <v>7593</v>
      </c>
      <c r="O2040" s="14" t="s">
        <v>7594</v>
      </c>
      <c r="P2040" s="14" t="str">
        <f>HYPERLINK("https://ceds.ed.gov/cedselementdetails.aspx?termid=17250")</f>
        <v>https://ceds.ed.gov/cedselementdetails.aspx?termid=17250</v>
      </c>
      <c r="Q2040" s="14" t="str">
        <f>HYPERLINK("https://ceds.ed.gov/elementComment.aspx?elementName=School Courses for the Exchange of Data Sequence of Course &amp;elementID=17250", "Click here to submit comment")</f>
        <v>Click here to submit comment</v>
      </c>
      <c r="R2040" s="14">
        <v>48935</v>
      </c>
    </row>
    <row r="2041" spans="1:18" ht="90" x14ac:dyDescent="0.25">
      <c r="A2041" s="14" t="s">
        <v>8732</v>
      </c>
      <c r="B2041" s="14" t="s">
        <v>8934</v>
      </c>
      <c r="C2041" s="14"/>
      <c r="D2041" s="14" t="s">
        <v>8531</v>
      </c>
      <c r="E2041" s="14" t="s">
        <v>2949</v>
      </c>
      <c r="F2041" s="14" t="s">
        <v>2950</v>
      </c>
      <c r="G2041" s="14" t="s">
        <v>37</v>
      </c>
      <c r="H2041" s="14"/>
      <c r="I2041" s="14"/>
      <c r="J2041" s="14" t="s">
        <v>97</v>
      </c>
      <c r="K2041" s="14"/>
      <c r="L2041" s="14" t="s">
        <v>2951</v>
      </c>
      <c r="M2041" s="14" t="s">
        <v>2952</v>
      </c>
      <c r="N2041" s="14"/>
      <c r="O2041" s="14" t="s">
        <v>2953</v>
      </c>
      <c r="P2041" s="14" t="str">
        <f>HYPERLINK("https://ceds.ed.gov/cedselementdetails.aspx?termid=18272")</f>
        <v>https://ceds.ed.gov/cedselementdetails.aspx?termid=18272</v>
      </c>
      <c r="Q2041" s="14" t="str">
        <f>HYPERLINK("https://ceds.ed.gov/elementComment.aspx?elementName=Course Funding Program &amp;elementID=18272", "Click here to submit comment")</f>
        <v>Click here to submit comment</v>
      </c>
      <c r="R2041" s="14">
        <v>50104</v>
      </c>
    </row>
    <row r="2042" spans="1:18" ht="60" x14ac:dyDescent="0.25">
      <c r="A2042" s="14" t="s">
        <v>8732</v>
      </c>
      <c r="B2042" s="14" t="s">
        <v>8934</v>
      </c>
      <c r="C2042" s="14"/>
      <c r="D2042" s="14" t="s">
        <v>8531</v>
      </c>
      <c r="E2042" s="14" t="s">
        <v>8385</v>
      </c>
      <c r="F2042" s="14" t="s">
        <v>8386</v>
      </c>
      <c r="G2042" s="14" t="s">
        <v>24</v>
      </c>
      <c r="H2042" s="14"/>
      <c r="I2042" s="14"/>
      <c r="J2042" s="14"/>
      <c r="K2042" s="14"/>
      <c r="L2042" s="14" t="s">
        <v>8388</v>
      </c>
      <c r="M2042" s="14" t="s">
        <v>8389</v>
      </c>
      <c r="N2042" s="14"/>
      <c r="O2042" s="14" t="s">
        <v>8390</v>
      </c>
      <c r="P2042" s="14" t="str">
        <f>HYPERLINK("https://ceds.ed.gov/cedselementdetails.aspx?termid=18554")</f>
        <v>https://ceds.ed.gov/cedselementdetails.aspx?termid=18554</v>
      </c>
      <c r="Q2042" s="14" t="str">
        <f>HYPERLINK("https://ceds.ed.gov/elementComment.aspx?elementName=Tuition Funded &amp;elementID=18554", "Click here to submit comment")</f>
        <v>Click here to submit comment</v>
      </c>
      <c r="R2042" s="14">
        <v>50932</v>
      </c>
    </row>
    <row r="2043" spans="1:18" ht="105" x14ac:dyDescent="0.25">
      <c r="A2043" s="16" t="s">
        <v>8732</v>
      </c>
      <c r="B2043" s="16" t="s">
        <v>8944</v>
      </c>
      <c r="C2043" s="16"/>
      <c r="D2043" s="16" t="s">
        <v>8531</v>
      </c>
      <c r="E2043" s="16" t="s">
        <v>3066</v>
      </c>
      <c r="F2043" s="16" t="s">
        <v>3067</v>
      </c>
      <c r="G2043" s="16" t="s">
        <v>37</v>
      </c>
      <c r="H2043" s="16"/>
      <c r="I2043" s="16"/>
      <c r="J2043" s="16" t="s">
        <v>149</v>
      </c>
      <c r="K2043" s="16"/>
      <c r="L2043" s="14" t="s">
        <v>150</v>
      </c>
      <c r="M2043" s="16" t="s">
        <v>3068</v>
      </c>
      <c r="N2043" s="16"/>
      <c r="O2043" s="16" t="s">
        <v>3069</v>
      </c>
      <c r="P2043" s="16" t="str">
        <f>HYPERLINK("https://ceds.ed.gov/cedselementdetails.aspx?termid=17979")</f>
        <v>https://ceds.ed.gov/cedselementdetails.aspx?termid=17979</v>
      </c>
      <c r="Q2043" s="16" t="str">
        <f>HYPERLINK("https://ceds.ed.gov/elementComment.aspx?elementName=Course Section Identifier &amp;elementID=17979", "Click here to submit comment")</f>
        <v>Click here to submit comment</v>
      </c>
      <c r="R2043" s="16">
        <v>48430</v>
      </c>
    </row>
    <row r="2044" spans="1:18" x14ac:dyDescent="0.25">
      <c r="A2044" s="16"/>
      <c r="B2044" s="16"/>
      <c r="C2044" s="16"/>
      <c r="D2044" s="16"/>
      <c r="E2044" s="16"/>
      <c r="F2044" s="16"/>
      <c r="G2044" s="16"/>
      <c r="H2044" s="16"/>
      <c r="I2044" s="16"/>
      <c r="J2044" s="16"/>
      <c r="K2044" s="16"/>
      <c r="L2044" s="14"/>
      <c r="M2044" s="16"/>
      <c r="N2044" s="16"/>
      <c r="O2044" s="16"/>
      <c r="P2044" s="16"/>
      <c r="Q2044" s="16"/>
      <c r="R2044" s="16"/>
    </row>
    <row r="2045" spans="1:18" ht="90" x14ac:dyDescent="0.25">
      <c r="A2045" s="16"/>
      <c r="B2045" s="16"/>
      <c r="C2045" s="16"/>
      <c r="D2045" s="16"/>
      <c r="E2045" s="16"/>
      <c r="F2045" s="16"/>
      <c r="G2045" s="16"/>
      <c r="H2045" s="16"/>
      <c r="I2045" s="16"/>
      <c r="J2045" s="16"/>
      <c r="K2045" s="16"/>
      <c r="L2045" s="14" t="s">
        <v>153</v>
      </c>
      <c r="M2045" s="16"/>
      <c r="N2045" s="16"/>
      <c r="O2045" s="16"/>
      <c r="P2045" s="16"/>
      <c r="Q2045" s="16"/>
      <c r="R2045" s="16"/>
    </row>
    <row r="2046" spans="1:18" ht="120" x14ac:dyDescent="0.25">
      <c r="A2046" s="14" t="s">
        <v>8732</v>
      </c>
      <c r="B2046" s="14" t="s">
        <v>8944</v>
      </c>
      <c r="C2046" s="14"/>
      <c r="D2046" s="14" t="s">
        <v>8531</v>
      </c>
      <c r="E2046" s="14" t="s">
        <v>7712</v>
      </c>
      <c r="F2046" s="14" t="s">
        <v>7713</v>
      </c>
      <c r="G2046" s="14" t="s">
        <v>37</v>
      </c>
      <c r="H2046" s="14" t="s">
        <v>1713</v>
      </c>
      <c r="I2046" s="14"/>
      <c r="J2046" s="14" t="s">
        <v>135</v>
      </c>
      <c r="K2046" s="14"/>
      <c r="L2046" s="14"/>
      <c r="M2046" s="14" t="s">
        <v>7714</v>
      </c>
      <c r="N2046" s="14"/>
      <c r="O2046" s="14" t="s">
        <v>7715</v>
      </c>
      <c r="P2046" s="14" t="str">
        <f>HYPERLINK("https://ceds.ed.gov/cedselementdetails.aspx?termid=17251")</f>
        <v>https://ceds.ed.gov/cedselementdetails.aspx?termid=17251</v>
      </c>
      <c r="Q2046" s="14" t="str">
        <f>HYPERLINK("https://ceds.ed.gov/elementComment.aspx?elementName=Session Begin Date &amp;elementID=17251", "Click here to submit comment")</f>
        <v>Click here to submit comment</v>
      </c>
      <c r="R2046" s="14">
        <v>48014</v>
      </c>
    </row>
    <row r="2047" spans="1:18" ht="120" x14ac:dyDescent="0.25">
      <c r="A2047" s="14" t="s">
        <v>8732</v>
      </c>
      <c r="B2047" s="14" t="s">
        <v>8944</v>
      </c>
      <c r="C2047" s="14"/>
      <c r="D2047" s="14" t="s">
        <v>8531</v>
      </c>
      <c r="E2047" s="14" t="s">
        <v>7729</v>
      </c>
      <c r="F2047" s="14" t="s">
        <v>7730</v>
      </c>
      <c r="G2047" s="14" t="s">
        <v>37</v>
      </c>
      <c r="H2047" s="14" t="s">
        <v>1713</v>
      </c>
      <c r="I2047" s="14"/>
      <c r="J2047" s="14" t="s">
        <v>135</v>
      </c>
      <c r="K2047" s="14"/>
      <c r="L2047" s="14" t="s">
        <v>160</v>
      </c>
      <c r="M2047" s="14" t="s">
        <v>7731</v>
      </c>
      <c r="N2047" s="14"/>
      <c r="O2047" s="14" t="s">
        <v>7732</v>
      </c>
      <c r="P2047" s="14" t="str">
        <f>HYPERLINK("https://ceds.ed.gov/cedselementdetails.aspx?termid=17253")</f>
        <v>https://ceds.ed.gov/cedselementdetails.aspx?termid=17253</v>
      </c>
      <c r="Q2047" s="14" t="str">
        <f>HYPERLINK("https://ceds.ed.gov/elementComment.aspx?elementName=Session End Date &amp;elementID=17253", "Click here to submit comment")</f>
        <v>Click here to submit comment</v>
      </c>
      <c r="R2047" s="14">
        <v>48016</v>
      </c>
    </row>
    <row r="2048" spans="1:18" ht="45" x14ac:dyDescent="0.25">
      <c r="A2048" s="14" t="s">
        <v>8732</v>
      </c>
      <c r="B2048" s="14" t="s">
        <v>8944</v>
      </c>
      <c r="C2048" s="14"/>
      <c r="D2048" s="14" t="s">
        <v>8531</v>
      </c>
      <c r="E2048" s="14" t="s">
        <v>7724</v>
      </c>
      <c r="F2048" s="14" t="s">
        <v>7725</v>
      </c>
      <c r="G2048" s="14" t="s">
        <v>37</v>
      </c>
      <c r="H2048" s="14" t="s">
        <v>2232</v>
      </c>
      <c r="I2048" s="14"/>
      <c r="J2048" s="14" t="s">
        <v>3554</v>
      </c>
      <c r="K2048" s="14"/>
      <c r="L2048" s="14"/>
      <c r="M2048" s="14" t="s">
        <v>7727</v>
      </c>
      <c r="N2048" s="14"/>
      <c r="O2048" s="14" t="s">
        <v>7728</v>
      </c>
      <c r="P2048" s="14" t="str">
        <f>HYPERLINK("https://ceds.ed.gov/cedselementdetails.aspx?termid=17252")</f>
        <v>https://ceds.ed.gov/cedselementdetails.aspx?termid=17252</v>
      </c>
      <c r="Q2048" s="14" t="str">
        <f>HYPERLINK("https://ceds.ed.gov/elementComment.aspx?elementName=Session Designator &amp;elementID=17252", "Click here to submit comment")</f>
        <v>Click here to submit comment</v>
      </c>
      <c r="R2048" s="14">
        <v>48015</v>
      </c>
    </row>
    <row r="2049" spans="1:18" ht="180" x14ac:dyDescent="0.25">
      <c r="A2049" s="14" t="s">
        <v>8732</v>
      </c>
      <c r="B2049" s="14" t="s">
        <v>8944</v>
      </c>
      <c r="C2049" s="14"/>
      <c r="D2049" s="14" t="s">
        <v>8531</v>
      </c>
      <c r="E2049" s="14" t="s">
        <v>7750</v>
      </c>
      <c r="F2049" s="14" t="s">
        <v>7751</v>
      </c>
      <c r="G2049" s="8" t="s">
        <v>8787</v>
      </c>
      <c r="H2049" s="14" t="s">
        <v>1713</v>
      </c>
      <c r="I2049" s="14"/>
      <c r="J2049" s="14"/>
      <c r="K2049" s="14"/>
      <c r="L2049" s="14"/>
      <c r="M2049" s="14" t="s">
        <v>7754</v>
      </c>
      <c r="N2049" s="14"/>
      <c r="O2049" s="14" t="s">
        <v>7755</v>
      </c>
      <c r="P2049" s="14" t="str">
        <f>HYPERLINK("https://ceds.ed.gov/cedselementdetails.aspx?termid=17254")</f>
        <v>https://ceds.ed.gov/cedselementdetails.aspx?termid=17254</v>
      </c>
      <c r="Q2049" s="14" t="str">
        <f>HYPERLINK("https://ceds.ed.gov/elementComment.aspx?elementName=Session Type &amp;elementID=17254", "Click here to submit comment")</f>
        <v>Click here to submit comment</v>
      </c>
      <c r="R2049" s="14">
        <v>48017</v>
      </c>
    </row>
    <row r="2050" spans="1:18" ht="60" x14ac:dyDescent="0.25">
      <c r="A2050" s="14" t="s">
        <v>8732</v>
      </c>
      <c r="B2050" s="14" t="s">
        <v>8944</v>
      </c>
      <c r="C2050" s="14"/>
      <c r="D2050" s="14" t="s">
        <v>8531</v>
      </c>
      <c r="E2050" s="14" t="s">
        <v>7716</v>
      </c>
      <c r="F2050" s="14" t="s">
        <v>7717</v>
      </c>
      <c r="G2050" s="14" t="s">
        <v>37</v>
      </c>
      <c r="H2050" s="14"/>
      <c r="I2050" s="14"/>
      <c r="J2050" s="14" t="s">
        <v>97</v>
      </c>
      <c r="K2050" s="14"/>
      <c r="L2050" s="14"/>
      <c r="M2050" s="14" t="s">
        <v>7718</v>
      </c>
      <c r="N2050" s="14"/>
      <c r="O2050" s="14" t="s">
        <v>7719</v>
      </c>
      <c r="P2050" s="14" t="str">
        <f>HYPERLINK("https://ceds.ed.gov/cedselementdetails.aspx?termid=18236")</f>
        <v>https://ceds.ed.gov/cedselementdetails.aspx?termid=18236</v>
      </c>
      <c r="Q2050" s="14" t="str">
        <f>HYPERLINK("https://ceds.ed.gov/elementComment.aspx?elementName=Session Code &amp;elementID=18236", "Click here to submit comment")</f>
        <v>Click here to submit comment</v>
      </c>
      <c r="R2050" s="14">
        <v>51245</v>
      </c>
    </row>
    <row r="2051" spans="1:18" ht="45" x14ac:dyDescent="0.25">
      <c r="A2051" s="14" t="s">
        <v>8732</v>
      </c>
      <c r="B2051" s="14" t="s">
        <v>8944</v>
      </c>
      <c r="C2051" s="14"/>
      <c r="D2051" s="14" t="s">
        <v>8531</v>
      </c>
      <c r="E2051" s="14" t="s">
        <v>7720</v>
      </c>
      <c r="F2051" s="14" t="s">
        <v>7721</v>
      </c>
      <c r="G2051" s="14" t="s">
        <v>37</v>
      </c>
      <c r="H2051" s="14"/>
      <c r="I2051" s="14"/>
      <c r="J2051" s="14" t="s">
        <v>382</v>
      </c>
      <c r="K2051" s="14"/>
      <c r="L2051" s="14"/>
      <c r="M2051" s="14" t="s">
        <v>7722</v>
      </c>
      <c r="N2051" s="14"/>
      <c r="O2051" s="14" t="s">
        <v>7723</v>
      </c>
      <c r="P2051" s="14" t="str">
        <f>HYPERLINK("https://ceds.ed.gov/cedselementdetails.aspx?termid=18237")</f>
        <v>https://ceds.ed.gov/cedselementdetails.aspx?termid=18237</v>
      </c>
      <c r="Q2051" s="14" t="str">
        <f>HYPERLINK("https://ceds.ed.gov/elementComment.aspx?elementName=Session Description &amp;elementID=18237", "Click here to submit comment")</f>
        <v>Click here to submit comment</v>
      </c>
      <c r="R2051" s="14">
        <v>51246</v>
      </c>
    </row>
    <row r="2052" spans="1:18" ht="409.5" x14ac:dyDescent="0.25">
      <c r="A2052" s="14" t="s">
        <v>8732</v>
      </c>
      <c r="B2052" s="14" t="s">
        <v>8944</v>
      </c>
      <c r="C2052" s="14"/>
      <c r="D2052" s="14" t="s">
        <v>8531</v>
      </c>
      <c r="E2052" s="14" t="s">
        <v>355</v>
      </c>
      <c r="F2052" s="14" t="s">
        <v>356</v>
      </c>
      <c r="G2052" s="8" t="s">
        <v>8941</v>
      </c>
      <c r="H2052" s="14"/>
      <c r="I2052" s="14"/>
      <c r="J2052" s="14" t="s">
        <v>175</v>
      </c>
      <c r="K2052" s="14"/>
      <c r="L2052" s="14"/>
      <c r="M2052" s="14" t="s">
        <v>359</v>
      </c>
      <c r="N2052" s="14" t="s">
        <v>360</v>
      </c>
      <c r="O2052" s="14" t="s">
        <v>361</v>
      </c>
      <c r="P2052" s="14" t="str">
        <f>HYPERLINK("https://ceds.ed.gov/cedselementdetails.aspx?termid=18244")</f>
        <v>https://ceds.ed.gov/cedselementdetails.aspx?termid=18244</v>
      </c>
      <c r="Q2052" s="14" t="str">
        <f>HYPERLINK("https://ceds.ed.gov/elementComment.aspx?elementName=Advanced Placement Course Code &amp;elementID=18244", "Click here to submit comment")</f>
        <v>Click here to submit comment</v>
      </c>
      <c r="R2052" s="14">
        <v>50567</v>
      </c>
    </row>
    <row r="2053" spans="1:18" ht="45" x14ac:dyDescent="0.25">
      <c r="A2053" s="14" t="s">
        <v>8732</v>
      </c>
      <c r="B2053" s="14" t="s">
        <v>8944</v>
      </c>
      <c r="C2053" s="14"/>
      <c r="D2053" s="14" t="s">
        <v>8531</v>
      </c>
      <c r="E2053" s="14" t="s">
        <v>2936</v>
      </c>
      <c r="F2053" s="14" t="s">
        <v>2937</v>
      </c>
      <c r="G2053" s="14" t="s">
        <v>37</v>
      </c>
      <c r="H2053" s="14"/>
      <c r="I2053" s="14"/>
      <c r="J2053" s="14" t="s">
        <v>175</v>
      </c>
      <c r="K2053" s="14"/>
      <c r="L2053" s="14"/>
      <c r="M2053" s="14" t="s">
        <v>2938</v>
      </c>
      <c r="N2053" s="14"/>
      <c r="O2053" s="14" t="s">
        <v>2939</v>
      </c>
      <c r="P2053" s="14" t="str">
        <f>HYPERLINK("https://ceds.ed.gov/cedselementdetails.aspx?termid=17508")</f>
        <v>https://ceds.ed.gov/cedselementdetails.aspx?termid=17508</v>
      </c>
      <c r="Q2053" s="14" t="str">
        <f>HYPERLINK("https://ceds.ed.gov/elementComment.aspx?elementName=Course Description &amp;elementID=17508", "Click here to submit comment")</f>
        <v>Click here to submit comment</v>
      </c>
      <c r="R2053" s="14">
        <v>50102</v>
      </c>
    </row>
    <row r="2054" spans="1:18" ht="409.5" x14ac:dyDescent="0.25">
      <c r="A2054" s="14" t="s">
        <v>8732</v>
      </c>
      <c r="B2054" s="14" t="s">
        <v>8944</v>
      </c>
      <c r="C2054" s="14"/>
      <c r="D2054" s="14" t="s">
        <v>8531</v>
      </c>
      <c r="E2054" s="14" t="s">
        <v>2894</v>
      </c>
      <c r="F2054" s="14" t="s">
        <v>2895</v>
      </c>
      <c r="G2054" s="8" t="s">
        <v>8938</v>
      </c>
      <c r="H2054" s="14"/>
      <c r="I2054" s="14"/>
      <c r="J2054" s="14"/>
      <c r="K2054" s="14"/>
      <c r="L2054" s="14" t="s">
        <v>2898</v>
      </c>
      <c r="M2054" s="14" t="s">
        <v>2899</v>
      </c>
      <c r="N2054" s="14"/>
      <c r="O2054" s="14" t="s">
        <v>2900</v>
      </c>
      <c r="P2054" s="14" t="str">
        <f>HYPERLINK("https://ceds.ed.gov/cedselementdetails.aspx?termid=18267")</f>
        <v>https://ceds.ed.gov/cedselementdetails.aspx?termid=18267</v>
      </c>
      <c r="Q2054" s="14" t="str">
        <f>HYPERLINK("https://ceds.ed.gov/elementComment.aspx?elementName=Course Applicable Education Level &amp;elementID=18267", "Click here to submit comment")</f>
        <v>Click here to submit comment</v>
      </c>
      <c r="R2054" s="14">
        <v>50097</v>
      </c>
    </row>
    <row r="2055" spans="1:18" ht="360" x14ac:dyDescent="0.25">
      <c r="A2055" s="14" t="s">
        <v>8732</v>
      </c>
      <c r="B2055" s="14" t="s">
        <v>8944</v>
      </c>
      <c r="C2055" s="14"/>
      <c r="D2055" s="14" t="s">
        <v>8531</v>
      </c>
      <c r="E2055" s="14" t="s">
        <v>2182</v>
      </c>
      <c r="F2055" s="14" t="s">
        <v>2183</v>
      </c>
      <c r="G2055" s="8" t="s">
        <v>8942</v>
      </c>
      <c r="H2055" s="14"/>
      <c r="I2055" s="14"/>
      <c r="J2055" s="14"/>
      <c r="K2055" s="14"/>
      <c r="L2055" s="14" t="s">
        <v>2186</v>
      </c>
      <c r="M2055" s="14" t="s">
        <v>2187</v>
      </c>
      <c r="N2055" s="14"/>
      <c r="O2055" s="14" t="s">
        <v>2188</v>
      </c>
      <c r="P2055" s="14" t="str">
        <f>HYPERLINK("https://ceds.ed.gov/cedselementdetails.aspx?termid=18254")</f>
        <v>https://ceds.ed.gov/cedselementdetails.aspx?termid=18254</v>
      </c>
      <c r="Q2055" s="14" t="str">
        <f>HYPERLINK("https://ceds.ed.gov/elementComment.aspx?elementName=Career Cluster &amp;elementID=18254", "Click here to submit comment")</f>
        <v>Click here to submit comment</v>
      </c>
      <c r="R2055" s="14">
        <v>50075</v>
      </c>
    </row>
    <row r="2056" spans="1:18" ht="45" x14ac:dyDescent="0.25">
      <c r="A2056" s="14" t="s">
        <v>8732</v>
      </c>
      <c r="B2056" s="14" t="s">
        <v>8944</v>
      </c>
      <c r="C2056" s="14"/>
      <c r="D2056" s="14" t="s">
        <v>8531</v>
      </c>
      <c r="E2056" s="14" t="s">
        <v>2890</v>
      </c>
      <c r="F2056" s="14" t="s">
        <v>2891</v>
      </c>
      <c r="G2056" s="14" t="s">
        <v>24</v>
      </c>
      <c r="H2056" s="14"/>
      <c r="I2056" s="14"/>
      <c r="J2056" s="14"/>
      <c r="K2056" s="14"/>
      <c r="L2056" s="14"/>
      <c r="M2056" s="14" t="s">
        <v>2892</v>
      </c>
      <c r="N2056" s="14"/>
      <c r="O2056" s="14" t="s">
        <v>2893</v>
      </c>
      <c r="P2056" s="14" t="str">
        <f>HYPERLINK("https://ceds.ed.gov/cedselementdetails.aspx?termid=17013")</f>
        <v>https://ceds.ed.gov/cedselementdetails.aspx?termid=17013</v>
      </c>
      <c r="Q2056" s="14" t="str">
        <f>HYPERLINK("https://ceds.ed.gov/elementComment.aspx?elementName=Course Aligned with Standards &amp;elementID=17013", "Click here to submit comment")</f>
        <v>Click here to submit comment</v>
      </c>
      <c r="R2056" s="14">
        <v>48941</v>
      </c>
    </row>
    <row r="2057" spans="1:18" ht="45" x14ac:dyDescent="0.25">
      <c r="A2057" s="14" t="s">
        <v>8732</v>
      </c>
      <c r="B2057" s="14" t="s">
        <v>8944</v>
      </c>
      <c r="C2057" s="14"/>
      <c r="D2057" s="14" t="s">
        <v>8531</v>
      </c>
      <c r="E2057" s="14" t="s">
        <v>7738</v>
      </c>
      <c r="F2057" s="14" t="s">
        <v>7739</v>
      </c>
      <c r="G2057" s="14" t="s">
        <v>24</v>
      </c>
      <c r="H2057" s="14"/>
      <c r="I2057" s="14"/>
      <c r="J2057" s="14"/>
      <c r="K2057" s="14"/>
      <c r="L2057" s="14"/>
      <c r="M2057" s="14" t="s">
        <v>7740</v>
      </c>
      <c r="N2057" s="14"/>
      <c r="O2057" s="14" t="s">
        <v>7741</v>
      </c>
      <c r="P2057" s="14" t="str">
        <f>HYPERLINK("https://ceds.ed.gov/cedselementdetails.aspx?termid=18238")</f>
        <v>https://ceds.ed.gov/cedselementdetails.aspx?termid=18238</v>
      </c>
      <c r="Q2057" s="14" t="str">
        <f>HYPERLINK("https://ceds.ed.gov/elementComment.aspx?elementName=Session Marking Term Indicator &amp;elementID=18238", "Click here to submit comment")</f>
        <v>Click here to submit comment</v>
      </c>
      <c r="R2057" s="14">
        <v>51247</v>
      </c>
    </row>
    <row r="2058" spans="1:18" ht="45" x14ac:dyDescent="0.25">
      <c r="A2058" s="14" t="s">
        <v>8732</v>
      </c>
      <c r="B2058" s="14" t="s">
        <v>8944</v>
      </c>
      <c r="C2058" s="14"/>
      <c r="D2058" s="14" t="s">
        <v>8531</v>
      </c>
      <c r="E2058" s="14" t="s">
        <v>7742</v>
      </c>
      <c r="F2058" s="14" t="s">
        <v>7743</v>
      </c>
      <c r="G2058" s="14" t="s">
        <v>24</v>
      </c>
      <c r="H2058" s="14"/>
      <c r="I2058" s="14"/>
      <c r="J2058" s="14"/>
      <c r="K2058" s="14"/>
      <c r="L2058" s="14"/>
      <c r="M2058" s="14" t="s">
        <v>7744</v>
      </c>
      <c r="N2058" s="14"/>
      <c r="O2058" s="14" t="s">
        <v>7745</v>
      </c>
      <c r="P2058" s="14" t="str">
        <f>HYPERLINK("https://ceds.ed.gov/cedselementdetails.aspx?termid=18239")</f>
        <v>https://ceds.ed.gov/cedselementdetails.aspx?termid=18239</v>
      </c>
      <c r="Q2058" s="14" t="str">
        <f>HYPERLINK("https://ceds.ed.gov/elementComment.aspx?elementName=Session Scheduling Term Indicator &amp;elementID=18239", "Click here to submit comment")</f>
        <v>Click here to submit comment</v>
      </c>
      <c r="R2058" s="14">
        <v>51248</v>
      </c>
    </row>
    <row r="2059" spans="1:18" ht="45" x14ac:dyDescent="0.25">
      <c r="A2059" s="14" t="s">
        <v>8732</v>
      </c>
      <c r="B2059" s="14" t="s">
        <v>8944</v>
      </c>
      <c r="C2059" s="14"/>
      <c r="D2059" s="14" t="s">
        <v>8531</v>
      </c>
      <c r="E2059" s="14" t="s">
        <v>7707</v>
      </c>
      <c r="F2059" s="14" t="s">
        <v>7708</v>
      </c>
      <c r="G2059" s="14" t="s">
        <v>24</v>
      </c>
      <c r="H2059" s="14"/>
      <c r="I2059" s="14"/>
      <c r="J2059" s="14"/>
      <c r="K2059" s="14"/>
      <c r="L2059" s="14"/>
      <c r="M2059" s="14" t="s">
        <v>7710</v>
      </c>
      <c r="N2059" s="14"/>
      <c r="O2059" s="14" t="s">
        <v>7711</v>
      </c>
      <c r="P2059" s="14" t="str">
        <f>HYPERLINK("https://ceds.ed.gov/cedselementdetails.aspx?termid=18240")</f>
        <v>https://ceds.ed.gov/cedselementdetails.aspx?termid=18240</v>
      </c>
      <c r="Q2059" s="14" t="str">
        <f>HYPERLINK("https://ceds.ed.gov/elementComment.aspx?elementName=Session Attendance Term Indicator &amp;elementID=18240", "Click here to submit comment")</f>
        <v>Click here to submit comment</v>
      </c>
      <c r="R2059" s="14">
        <v>51249</v>
      </c>
    </row>
    <row r="2060" spans="1:18" ht="165" x14ac:dyDescent="0.25">
      <c r="A2060" s="14" t="s">
        <v>8732</v>
      </c>
      <c r="B2060" s="14" t="s">
        <v>8944</v>
      </c>
      <c r="C2060" s="14"/>
      <c r="D2060" s="14" t="s">
        <v>8531</v>
      </c>
      <c r="E2060" s="14" t="s">
        <v>3089</v>
      </c>
      <c r="F2060" s="14" t="s">
        <v>3090</v>
      </c>
      <c r="G2060" s="14" t="s">
        <v>37</v>
      </c>
      <c r="H2060" s="14" t="s">
        <v>3093</v>
      </c>
      <c r="I2060" s="14"/>
      <c r="J2060" s="14" t="s">
        <v>370</v>
      </c>
      <c r="K2060" s="14"/>
      <c r="L2060" s="14"/>
      <c r="M2060" s="14" t="s">
        <v>3091</v>
      </c>
      <c r="N2060" s="14"/>
      <c r="O2060" s="14" t="s">
        <v>3092</v>
      </c>
      <c r="P2060" s="14" t="str">
        <f>HYPERLINK("https://ceds.ed.gov/cedselementdetails.aspx?termid=17101")</f>
        <v>https://ceds.ed.gov/cedselementdetails.aspx?termid=17101</v>
      </c>
      <c r="Q2060" s="14" t="str">
        <f>HYPERLINK("https://ceds.ed.gov/elementComment.aspx?elementName=Course Section Time Required for Completion &amp;elementID=17101", "Click here to submit comment")</f>
        <v>Click here to submit comment</v>
      </c>
      <c r="R2060" s="14">
        <v>48951</v>
      </c>
    </row>
    <row r="2061" spans="1:18" ht="45" x14ac:dyDescent="0.25">
      <c r="A2061" s="14" t="s">
        <v>8732</v>
      </c>
      <c r="B2061" s="14" t="s">
        <v>8944</v>
      </c>
      <c r="C2061" s="14"/>
      <c r="D2061" s="14" t="s">
        <v>8531</v>
      </c>
      <c r="E2061" s="14" t="s">
        <v>2341</v>
      </c>
      <c r="F2061" s="14" t="s">
        <v>2342</v>
      </c>
      <c r="G2061" s="14" t="s">
        <v>37</v>
      </c>
      <c r="H2061" s="14" t="s">
        <v>2346</v>
      </c>
      <c r="I2061" s="14"/>
      <c r="J2061" s="14" t="s">
        <v>501</v>
      </c>
      <c r="K2061" s="14"/>
      <c r="L2061" s="14"/>
      <c r="M2061" s="14" t="s">
        <v>2344</v>
      </c>
      <c r="N2061" s="14"/>
      <c r="O2061" s="14" t="s">
        <v>2345</v>
      </c>
      <c r="P2061" s="14" t="str">
        <f>HYPERLINK("https://ceds.ed.gov/cedselementdetails.aspx?termid=17510")</f>
        <v>https://ceds.ed.gov/cedselementdetails.aspx?termid=17510</v>
      </c>
      <c r="Q2061" s="14" t="str">
        <f>HYPERLINK("https://ceds.ed.gov/elementComment.aspx?elementName=Class Beginning Time &amp;elementID=17510", "Click here to submit comment")</f>
        <v>Click here to submit comment</v>
      </c>
      <c r="R2061" s="14">
        <v>48021</v>
      </c>
    </row>
    <row r="2062" spans="1:18" ht="45" x14ac:dyDescent="0.25">
      <c r="A2062" s="14" t="s">
        <v>8732</v>
      </c>
      <c r="B2062" s="14" t="s">
        <v>8944</v>
      </c>
      <c r="C2062" s="14"/>
      <c r="D2062" s="14" t="s">
        <v>8531</v>
      </c>
      <c r="E2062" s="14" t="s">
        <v>2347</v>
      </c>
      <c r="F2062" s="14" t="s">
        <v>2348</v>
      </c>
      <c r="G2062" s="14" t="s">
        <v>37</v>
      </c>
      <c r="H2062" s="14" t="s">
        <v>2346</v>
      </c>
      <c r="I2062" s="14"/>
      <c r="J2062" s="14" t="s">
        <v>501</v>
      </c>
      <c r="K2062" s="14"/>
      <c r="L2062" s="14"/>
      <c r="M2062" s="14" t="s">
        <v>2349</v>
      </c>
      <c r="N2062" s="14"/>
      <c r="O2062" s="14" t="s">
        <v>2350</v>
      </c>
      <c r="P2062" s="14" t="str">
        <f>HYPERLINK("https://ceds.ed.gov/cedselementdetails.aspx?termid=17511")</f>
        <v>https://ceds.ed.gov/cedselementdetails.aspx?termid=17511</v>
      </c>
      <c r="Q2062" s="14" t="str">
        <f>HYPERLINK("https://ceds.ed.gov/elementComment.aspx?elementName=Class Ending Time &amp;elementID=17511", "Click here to submit comment")</f>
        <v>Click here to submit comment</v>
      </c>
      <c r="R2062" s="14">
        <v>48022</v>
      </c>
    </row>
    <row r="2063" spans="1:18" ht="60" x14ac:dyDescent="0.25">
      <c r="A2063" s="14" t="s">
        <v>8732</v>
      </c>
      <c r="B2063" s="14" t="s">
        <v>8944</v>
      </c>
      <c r="C2063" s="14"/>
      <c r="D2063" s="14" t="s">
        <v>8531</v>
      </c>
      <c r="E2063" s="14" t="s">
        <v>2351</v>
      </c>
      <c r="F2063" s="14" t="s">
        <v>2352</v>
      </c>
      <c r="G2063" s="14" t="s">
        <v>37</v>
      </c>
      <c r="H2063" s="14"/>
      <c r="I2063" s="14"/>
      <c r="J2063" s="14" t="s">
        <v>175</v>
      </c>
      <c r="K2063" s="14"/>
      <c r="L2063" s="14"/>
      <c r="M2063" s="14" t="s">
        <v>2354</v>
      </c>
      <c r="N2063" s="14"/>
      <c r="O2063" s="14" t="s">
        <v>2355</v>
      </c>
      <c r="P2063" s="14" t="str">
        <f>HYPERLINK("https://ceds.ed.gov/cedselementdetails.aspx?termid=17512")</f>
        <v>https://ceds.ed.gov/cedselementdetails.aspx?termid=17512</v>
      </c>
      <c r="Q2063" s="14" t="str">
        <f>HYPERLINK("https://ceds.ed.gov/elementComment.aspx?elementName=Class Meeting Days &amp;elementID=17512", "Click here to submit comment")</f>
        <v>Click here to submit comment</v>
      </c>
      <c r="R2063" s="14">
        <v>48023</v>
      </c>
    </row>
    <row r="2064" spans="1:18" ht="75" x14ac:dyDescent="0.25">
      <c r="A2064" s="14" t="s">
        <v>8732</v>
      </c>
      <c r="B2064" s="14" t="s">
        <v>8944</v>
      </c>
      <c r="C2064" s="14"/>
      <c r="D2064" s="14" t="s">
        <v>8531</v>
      </c>
      <c r="E2064" s="14" t="s">
        <v>2356</v>
      </c>
      <c r="F2064" s="14" t="s">
        <v>2357</v>
      </c>
      <c r="G2064" s="14" t="s">
        <v>37</v>
      </c>
      <c r="H2064" s="14"/>
      <c r="I2064" s="14"/>
      <c r="J2064" s="14" t="s">
        <v>97</v>
      </c>
      <c r="K2064" s="14"/>
      <c r="L2064" s="14"/>
      <c r="M2064" s="14" t="s">
        <v>2358</v>
      </c>
      <c r="N2064" s="14"/>
      <c r="O2064" s="14" t="s">
        <v>2359</v>
      </c>
      <c r="P2064" s="14" t="str">
        <f>HYPERLINK("https://ceds.ed.gov/cedselementdetails.aspx?termid=17513")</f>
        <v>https://ceds.ed.gov/cedselementdetails.aspx?termid=17513</v>
      </c>
      <c r="Q2064" s="14" t="str">
        <f>HYPERLINK("https://ceds.ed.gov/elementComment.aspx?elementName=Class Period &amp;elementID=17513", "Click here to submit comment")</f>
        <v>Click here to submit comment</v>
      </c>
      <c r="R2064" s="14">
        <v>48024</v>
      </c>
    </row>
    <row r="2065" spans="1:18" ht="105" x14ac:dyDescent="0.25">
      <c r="A2065" s="16" t="s">
        <v>8732</v>
      </c>
      <c r="B2065" s="16" t="s">
        <v>8944</v>
      </c>
      <c r="C2065" s="16"/>
      <c r="D2065" s="16" t="s">
        <v>8531</v>
      </c>
      <c r="E2065" s="16" t="s">
        <v>8247</v>
      </c>
      <c r="F2065" s="16" t="s">
        <v>8248</v>
      </c>
      <c r="G2065" s="16" t="s">
        <v>37</v>
      </c>
      <c r="H2065" s="16"/>
      <c r="I2065" s="16"/>
      <c r="J2065" s="16" t="s">
        <v>149</v>
      </c>
      <c r="K2065" s="16"/>
      <c r="L2065" s="14" t="s">
        <v>150</v>
      </c>
      <c r="M2065" s="16" t="s">
        <v>8249</v>
      </c>
      <c r="N2065" s="16"/>
      <c r="O2065" s="16" t="s">
        <v>8250</v>
      </c>
      <c r="P2065" s="16" t="str">
        <f>HYPERLINK("https://ceds.ed.gov/cedselementdetails.aspx?termid=17514")</f>
        <v>https://ceds.ed.gov/cedselementdetails.aspx?termid=17514</v>
      </c>
      <c r="Q2065" s="16" t="str">
        <f>HYPERLINK("https://ceds.ed.gov/elementComment.aspx?elementName=Timetable Day Identifier &amp;elementID=17514", "Click here to submit comment")</f>
        <v>Click here to submit comment</v>
      </c>
      <c r="R2065" s="16">
        <v>48025</v>
      </c>
    </row>
    <row r="2066" spans="1:18" x14ac:dyDescent="0.25">
      <c r="A2066" s="16"/>
      <c r="B2066" s="16"/>
      <c r="C2066" s="16"/>
      <c r="D2066" s="16"/>
      <c r="E2066" s="16"/>
      <c r="F2066" s="16"/>
      <c r="G2066" s="16"/>
      <c r="H2066" s="16"/>
      <c r="I2066" s="16"/>
      <c r="J2066" s="16"/>
      <c r="K2066" s="16"/>
      <c r="L2066" s="14"/>
      <c r="M2066" s="16"/>
      <c r="N2066" s="16"/>
      <c r="O2066" s="16"/>
      <c r="P2066" s="16"/>
      <c r="Q2066" s="16"/>
      <c r="R2066" s="16"/>
    </row>
    <row r="2067" spans="1:18" ht="90" x14ac:dyDescent="0.25">
      <c r="A2067" s="16"/>
      <c r="B2067" s="16"/>
      <c r="C2067" s="16"/>
      <c r="D2067" s="16"/>
      <c r="E2067" s="16"/>
      <c r="F2067" s="16"/>
      <c r="G2067" s="16"/>
      <c r="H2067" s="16"/>
      <c r="I2067" s="16"/>
      <c r="J2067" s="16"/>
      <c r="K2067" s="16"/>
      <c r="L2067" s="14" t="s">
        <v>153</v>
      </c>
      <c r="M2067" s="16"/>
      <c r="N2067" s="16"/>
      <c r="O2067" s="16"/>
      <c r="P2067" s="16"/>
      <c r="Q2067" s="16"/>
      <c r="R2067" s="16"/>
    </row>
    <row r="2068" spans="1:18" ht="45" x14ac:dyDescent="0.25">
      <c r="A2068" s="14" t="s">
        <v>8732</v>
      </c>
      <c r="B2068" s="14" t="s">
        <v>8944</v>
      </c>
      <c r="C2068" s="14"/>
      <c r="D2068" s="14" t="s">
        <v>8531</v>
      </c>
      <c r="E2068" s="14" t="s">
        <v>3075</v>
      </c>
      <c r="F2068" s="14" t="s">
        <v>3076</v>
      </c>
      <c r="G2068" s="14" t="s">
        <v>37</v>
      </c>
      <c r="H2068" s="14"/>
      <c r="I2068" s="14"/>
      <c r="J2068" s="14" t="s">
        <v>370</v>
      </c>
      <c r="K2068" s="14"/>
      <c r="L2068" s="14"/>
      <c r="M2068" s="14" t="s">
        <v>3077</v>
      </c>
      <c r="N2068" s="14"/>
      <c r="O2068" s="14" t="s">
        <v>3078</v>
      </c>
      <c r="P2068" s="14" t="str">
        <f>HYPERLINK("https://ceds.ed.gov/cedselementdetails.aspx?termid=18636")</f>
        <v>https://ceds.ed.gov/cedselementdetails.aspx?termid=18636</v>
      </c>
      <c r="Q2068" s="14" t="str">
        <f>HYPERLINK("https://ceds.ed.gov/elementComment.aspx?elementName=Course Section Maximum Capacity &amp;elementID=18636", "Click here to submit comment")</f>
        <v>Click here to submit comment</v>
      </c>
      <c r="R2068" s="14">
        <v>51350</v>
      </c>
    </row>
    <row r="2069" spans="1:18" ht="90" x14ac:dyDescent="0.25">
      <c r="A2069" s="14" t="s">
        <v>8732</v>
      </c>
      <c r="B2069" s="14" t="s">
        <v>8944</v>
      </c>
      <c r="C2069" s="14"/>
      <c r="D2069" s="14" t="s">
        <v>8531</v>
      </c>
      <c r="E2069" s="14" t="s">
        <v>5501</v>
      </c>
      <c r="F2069" s="14" t="s">
        <v>5502</v>
      </c>
      <c r="G2069" s="14" t="s">
        <v>8527</v>
      </c>
      <c r="H2069" s="14" t="s">
        <v>245</v>
      </c>
      <c r="I2069" s="14" t="s">
        <v>195</v>
      </c>
      <c r="J2069" s="14"/>
      <c r="K2069" s="14" t="s">
        <v>1086</v>
      </c>
      <c r="L2069" s="6" t="s">
        <v>1087</v>
      </c>
      <c r="M2069" s="14" t="s">
        <v>5503</v>
      </c>
      <c r="N2069" s="14"/>
      <c r="O2069" s="14" t="s">
        <v>5504</v>
      </c>
      <c r="P2069" s="14" t="str">
        <f>HYPERLINK("https://ceds.ed.gov/cedselementdetails.aspx?termid=17438")</f>
        <v>https://ceds.ed.gov/cedselementdetails.aspx?termid=17438</v>
      </c>
      <c r="Q2069" s="14" t="str">
        <f>HYPERLINK("https://ceds.ed.gov/elementComment.aspx?elementName=Instruction Language &amp;elementID=17438", "Click here to submit comment")</f>
        <v>Click here to submit comment</v>
      </c>
      <c r="R2069" s="14">
        <v>48019</v>
      </c>
    </row>
    <row r="2070" spans="1:18" ht="105" x14ac:dyDescent="0.25">
      <c r="A2070" s="16" t="s">
        <v>8732</v>
      </c>
      <c r="B2070" s="16" t="s">
        <v>8944</v>
      </c>
      <c r="C2070" s="16"/>
      <c r="D2070" s="16" t="s">
        <v>8531</v>
      </c>
      <c r="E2070" s="16" t="s">
        <v>2385</v>
      </c>
      <c r="F2070" s="16" t="s">
        <v>2386</v>
      </c>
      <c r="G2070" s="16" t="s">
        <v>37</v>
      </c>
      <c r="H2070" s="16"/>
      <c r="I2070" s="16"/>
      <c r="J2070" s="16" t="s">
        <v>149</v>
      </c>
      <c r="K2070" s="16"/>
      <c r="L2070" s="14" t="s">
        <v>150</v>
      </c>
      <c r="M2070" s="16" t="s">
        <v>2387</v>
      </c>
      <c r="N2070" s="16"/>
      <c r="O2070" s="16" t="s">
        <v>2388</v>
      </c>
      <c r="P2070" s="16" t="str">
        <f>HYPERLINK("https://ceds.ed.gov/cedselementdetails.aspx?termid=17507")</f>
        <v>https://ceds.ed.gov/cedselementdetails.aspx?termid=17507</v>
      </c>
      <c r="Q2070" s="16" t="str">
        <f>HYPERLINK("https://ceds.ed.gov/elementComment.aspx?elementName=Classroom Identifier &amp;elementID=17507", "Click here to submit comment")</f>
        <v>Click here to submit comment</v>
      </c>
      <c r="R2070" s="16">
        <v>48020</v>
      </c>
    </row>
    <row r="2071" spans="1:18" x14ac:dyDescent="0.25">
      <c r="A2071" s="16"/>
      <c r="B2071" s="16"/>
      <c r="C2071" s="16"/>
      <c r="D2071" s="16"/>
      <c r="E2071" s="16"/>
      <c r="F2071" s="16"/>
      <c r="G2071" s="16"/>
      <c r="H2071" s="16"/>
      <c r="I2071" s="16"/>
      <c r="J2071" s="16"/>
      <c r="K2071" s="16"/>
      <c r="L2071" s="14"/>
      <c r="M2071" s="16"/>
      <c r="N2071" s="16"/>
      <c r="O2071" s="16"/>
      <c r="P2071" s="16"/>
      <c r="Q2071" s="16"/>
      <c r="R2071" s="16"/>
    </row>
    <row r="2072" spans="1:18" ht="90" x14ac:dyDescent="0.25">
      <c r="A2072" s="16"/>
      <c r="B2072" s="16"/>
      <c r="C2072" s="16"/>
      <c r="D2072" s="16"/>
      <c r="E2072" s="16"/>
      <c r="F2072" s="16"/>
      <c r="G2072" s="16"/>
      <c r="H2072" s="16"/>
      <c r="I2072" s="16"/>
      <c r="J2072" s="16"/>
      <c r="K2072" s="16"/>
      <c r="L2072" s="14" t="s">
        <v>153</v>
      </c>
      <c r="M2072" s="16"/>
      <c r="N2072" s="16"/>
      <c r="O2072" s="16"/>
      <c r="P2072" s="16"/>
      <c r="Q2072" s="16"/>
      <c r="R2072" s="16"/>
    </row>
    <row r="2073" spans="1:18" ht="180" x14ac:dyDescent="0.25">
      <c r="A2073" s="14" t="s">
        <v>8732</v>
      </c>
      <c r="B2073" s="14" t="s">
        <v>8944</v>
      </c>
      <c r="C2073" s="14"/>
      <c r="D2073" s="14" t="s">
        <v>8531</v>
      </c>
      <c r="E2073" s="14" t="s">
        <v>7309</v>
      </c>
      <c r="F2073" s="14" t="s">
        <v>7310</v>
      </c>
      <c r="G2073" s="8" t="s">
        <v>8945</v>
      </c>
      <c r="H2073" s="14"/>
      <c r="I2073" s="14"/>
      <c r="J2073" s="14"/>
      <c r="K2073" s="14"/>
      <c r="L2073" s="14"/>
      <c r="M2073" s="14" t="s">
        <v>7313</v>
      </c>
      <c r="N2073" s="14"/>
      <c r="O2073" s="14" t="s">
        <v>7314</v>
      </c>
      <c r="P2073" s="14" t="str">
        <f>HYPERLINK("https://ceds.ed.gov/cedselementdetails.aspx?termid=17515")</f>
        <v>https://ceds.ed.gov/cedselementdetails.aspx?termid=17515</v>
      </c>
      <c r="Q2073" s="14" t="str">
        <f>HYPERLINK("https://ceds.ed.gov/elementComment.aspx?elementName=Receiving Location of Instruction &amp;elementID=17515", "Click here to submit comment")</f>
        <v>Click here to submit comment</v>
      </c>
      <c r="R2073" s="14">
        <v>48026</v>
      </c>
    </row>
    <row r="2074" spans="1:18" ht="270" x14ac:dyDescent="0.25">
      <c r="A2074" s="14" t="s">
        <v>8732</v>
      </c>
      <c r="B2074" s="14" t="s">
        <v>8944</v>
      </c>
      <c r="C2074" s="14"/>
      <c r="D2074" s="14" t="s">
        <v>8531</v>
      </c>
      <c r="E2074" s="14" t="s">
        <v>2389</v>
      </c>
      <c r="F2074" s="14" t="s">
        <v>2390</v>
      </c>
      <c r="G2074" s="8" t="s">
        <v>8922</v>
      </c>
      <c r="H2074" s="14"/>
      <c r="I2074" s="14"/>
      <c r="J2074" s="14"/>
      <c r="K2074" s="14"/>
      <c r="L2074" s="14"/>
      <c r="M2074" s="14" t="s">
        <v>2393</v>
      </c>
      <c r="N2074" s="14"/>
      <c r="O2074" s="14" t="s">
        <v>2394</v>
      </c>
      <c r="P2074" s="14" t="str">
        <f>HYPERLINK("https://ceds.ed.gov/cedselementdetails.aspx?termid=17615")</f>
        <v>https://ceds.ed.gov/cedselementdetails.aspx?termid=17615</v>
      </c>
      <c r="Q2074" s="14" t="str">
        <f>HYPERLINK("https://ceds.ed.gov/elementComment.aspx?elementName=Classroom Position Type &amp;elementID=17615", "Click here to submit comment")</f>
        <v>Click here to submit comment</v>
      </c>
      <c r="R2074" s="14">
        <v>51127</v>
      </c>
    </row>
    <row r="2075" spans="1:18" ht="105" x14ac:dyDescent="0.25">
      <c r="A2075" s="14" t="s">
        <v>8732</v>
      </c>
      <c r="B2075" s="14" t="s">
        <v>8944</v>
      </c>
      <c r="C2075" s="14"/>
      <c r="D2075" s="14" t="s">
        <v>8531</v>
      </c>
      <c r="E2075" s="14" t="s">
        <v>8423</v>
      </c>
      <c r="F2075" s="14" t="s">
        <v>8424</v>
      </c>
      <c r="G2075" s="14" t="s">
        <v>24</v>
      </c>
      <c r="H2075" s="14"/>
      <c r="I2075" s="14"/>
      <c r="J2075" s="14"/>
      <c r="K2075" s="14"/>
      <c r="L2075" s="14"/>
      <c r="M2075" s="14" t="s">
        <v>8426</v>
      </c>
      <c r="N2075" s="14"/>
      <c r="O2075" s="14" t="s">
        <v>8427</v>
      </c>
      <c r="P2075" s="14" t="str">
        <f>HYPERLINK("https://ceds.ed.gov/cedselementdetails.aspx?termid=18167")</f>
        <v>https://ceds.ed.gov/cedselementdetails.aspx?termid=18167</v>
      </c>
      <c r="Q2075" s="14" t="str">
        <f>HYPERLINK("https://ceds.ed.gov/elementComment.aspx?elementName=Virtual Indicator &amp;elementID=18167", "Click here to submit comment")</f>
        <v>Click here to submit comment</v>
      </c>
      <c r="R2075" s="14">
        <v>48576</v>
      </c>
    </row>
    <row r="2076" spans="1:18" ht="150" x14ac:dyDescent="0.25">
      <c r="A2076" s="14" t="s">
        <v>8732</v>
      </c>
      <c r="B2076" s="14" t="s">
        <v>8944</v>
      </c>
      <c r="C2076" s="14"/>
      <c r="D2076" s="14" t="s">
        <v>8531</v>
      </c>
      <c r="E2076" s="14" t="s">
        <v>3070</v>
      </c>
      <c r="F2076" s="14" t="s">
        <v>3071</v>
      </c>
      <c r="G2076" s="8" t="s">
        <v>8946</v>
      </c>
      <c r="H2076" s="14"/>
      <c r="I2076" s="14"/>
      <c r="J2076" s="14"/>
      <c r="K2076" s="14"/>
      <c r="L2076" s="14"/>
      <c r="M2076" s="14" t="s">
        <v>3073</v>
      </c>
      <c r="N2076" s="14"/>
      <c r="O2076" s="14" t="s">
        <v>3074</v>
      </c>
      <c r="P2076" s="14" t="str">
        <f>HYPERLINK("https://ceds.ed.gov/cedselementdetails.aspx?termid=18168")</f>
        <v>https://ceds.ed.gov/cedselementdetails.aspx?termid=18168</v>
      </c>
      <c r="Q2076" s="14" t="str">
        <f>HYPERLINK("https://ceds.ed.gov/elementComment.aspx?elementName=Course Section Instructional Delivery Mode &amp;elementID=18168", "Click here to submit comment")</f>
        <v>Click here to submit comment</v>
      </c>
      <c r="R2076" s="14">
        <v>48578</v>
      </c>
    </row>
    <row r="2077" spans="1:18" ht="165" x14ac:dyDescent="0.25">
      <c r="A2077" s="14" t="s">
        <v>8732</v>
      </c>
      <c r="B2077" s="14" t="s">
        <v>8944</v>
      </c>
      <c r="C2077" s="14"/>
      <c r="D2077" s="14" t="s">
        <v>8531</v>
      </c>
      <c r="E2077" s="14" t="s">
        <v>1757</v>
      </c>
      <c r="F2077" s="14" t="s">
        <v>1758</v>
      </c>
      <c r="G2077" s="8" t="s">
        <v>8748</v>
      </c>
      <c r="H2077" s="14"/>
      <c r="I2077" s="14" t="s">
        <v>195</v>
      </c>
      <c r="J2077" s="14"/>
      <c r="K2077" s="14" t="s">
        <v>1761</v>
      </c>
      <c r="L2077" s="14" t="s">
        <v>1762</v>
      </c>
      <c r="M2077" s="14" t="s">
        <v>1763</v>
      </c>
      <c r="N2077" s="14"/>
      <c r="O2077" s="14" t="s">
        <v>1764</v>
      </c>
      <c r="P2077" s="14" t="str">
        <f>HYPERLINK("https://ceds.ed.gov/cedselementdetails.aspx?termid=18253")</f>
        <v>https://ceds.ed.gov/cedselementdetails.aspx?termid=18253</v>
      </c>
      <c r="Q2077" s="14" t="str">
        <f>HYPERLINK("https://ceds.ed.gov/elementComment.aspx?elementName=Blended Learning Model Type &amp;elementID=18253", "Click here to submit comment")</f>
        <v>Click here to submit comment</v>
      </c>
      <c r="R2077" s="14">
        <v>50073</v>
      </c>
    </row>
    <row r="2078" spans="1:18" ht="45" x14ac:dyDescent="0.25">
      <c r="A2078" s="14" t="s">
        <v>8732</v>
      </c>
      <c r="B2078" s="14" t="s">
        <v>8944</v>
      </c>
      <c r="C2078" s="14"/>
      <c r="D2078" s="14" t="s">
        <v>8531</v>
      </c>
      <c r="E2078" s="14" t="s">
        <v>2985</v>
      </c>
      <c r="F2078" s="14" t="s">
        <v>2986</v>
      </c>
      <c r="G2078" s="8" t="s">
        <v>8943</v>
      </c>
      <c r="H2078" s="14"/>
      <c r="I2078" s="14"/>
      <c r="J2078" s="14"/>
      <c r="K2078" s="14"/>
      <c r="L2078" s="14" t="s">
        <v>2988</v>
      </c>
      <c r="M2078" s="14" t="s">
        <v>2989</v>
      </c>
      <c r="N2078" s="14"/>
      <c r="O2078" s="14" t="s">
        <v>2990</v>
      </c>
      <c r="P2078" s="14" t="str">
        <f>HYPERLINK("https://ceds.ed.gov/cedselementdetails.aspx?termid=18277")</f>
        <v>https://ceds.ed.gov/cedselementdetails.aspx?termid=18277</v>
      </c>
      <c r="Q2078" s="14" t="str">
        <f>HYPERLINK("https://ceds.ed.gov/elementComment.aspx?elementName=Course Interaction Mode &amp;elementID=18277", "Click here to submit comment")</f>
        <v>Click here to submit comment</v>
      </c>
      <c r="R2078" s="14">
        <v>50113</v>
      </c>
    </row>
    <row r="2079" spans="1:18" ht="60" x14ac:dyDescent="0.25">
      <c r="A2079" s="14" t="s">
        <v>8732</v>
      </c>
      <c r="B2079" s="14" t="s">
        <v>8944</v>
      </c>
      <c r="C2079" s="14"/>
      <c r="D2079" s="14" t="s">
        <v>8531</v>
      </c>
      <c r="E2079" s="14" t="s">
        <v>3083</v>
      </c>
      <c r="F2079" s="14" t="s">
        <v>3084</v>
      </c>
      <c r="G2079" s="8" t="s">
        <v>8947</v>
      </c>
      <c r="H2079" s="14" t="s">
        <v>3088</v>
      </c>
      <c r="I2079" s="14"/>
      <c r="J2079" s="14"/>
      <c r="K2079" s="14"/>
      <c r="L2079" s="14"/>
      <c r="M2079" s="14" t="s">
        <v>3086</v>
      </c>
      <c r="N2079" s="14"/>
      <c r="O2079" s="14" t="s">
        <v>3087</v>
      </c>
      <c r="P2079" s="14" t="str">
        <f>HYPERLINK("https://ceds.ed.gov/cedselementdetails.aspx?termid=17258")</f>
        <v>https://ceds.ed.gov/cedselementdetails.aspx?termid=17258</v>
      </c>
      <c r="Q2079" s="14" t="str">
        <f>HYPERLINK("https://ceds.ed.gov/elementComment.aspx?elementName=Course Section Single Sex Class Status &amp;elementID=17258", "Click here to submit comment")</f>
        <v>Click here to submit comment</v>
      </c>
      <c r="R2079" s="14">
        <v>48018</v>
      </c>
    </row>
    <row r="2080" spans="1:18" ht="75" x14ac:dyDescent="0.25">
      <c r="A2080" s="14" t="s">
        <v>8732</v>
      </c>
      <c r="B2080" s="14" t="s">
        <v>8944</v>
      </c>
      <c r="C2080" s="14"/>
      <c r="D2080" s="14" t="s">
        <v>8531</v>
      </c>
      <c r="E2080" s="14" t="s">
        <v>22</v>
      </c>
      <c r="F2080" s="14" t="s">
        <v>23</v>
      </c>
      <c r="G2080" s="14" t="s">
        <v>24</v>
      </c>
      <c r="H2080" s="14" t="s">
        <v>28</v>
      </c>
      <c r="I2080" s="14"/>
      <c r="J2080" s="14"/>
      <c r="K2080" s="14"/>
      <c r="L2080" s="14"/>
      <c r="M2080" s="14" t="s">
        <v>26</v>
      </c>
      <c r="N2080" s="14"/>
      <c r="O2080" s="14" t="s">
        <v>27</v>
      </c>
      <c r="P2080" s="14" t="str">
        <f>HYPERLINK("https://ceds.ed.gov/cedselementdetails.aspx?termid=17000")</f>
        <v>https://ceds.ed.gov/cedselementdetails.aspx?termid=17000</v>
      </c>
      <c r="Q2080" s="14" t="str">
        <f>HYPERLINK("https://ceds.ed.gov/elementComment.aspx?elementName=Ability Grouping Status &amp;elementID=17000", "Click here to submit comment")</f>
        <v>Click here to submit comment</v>
      </c>
      <c r="R2080" s="14">
        <v>50667</v>
      </c>
    </row>
    <row r="2081" spans="1:18" ht="120" x14ac:dyDescent="0.25">
      <c r="A2081" s="14" t="s">
        <v>8732</v>
      </c>
      <c r="B2081" s="14" t="s">
        <v>8944</v>
      </c>
      <c r="C2081" s="14"/>
      <c r="D2081" s="14" t="s">
        <v>8531</v>
      </c>
      <c r="E2081" s="14" t="s">
        <v>2954</v>
      </c>
      <c r="F2081" s="14" t="s">
        <v>2955</v>
      </c>
      <c r="G2081" s="8" t="s">
        <v>8936</v>
      </c>
      <c r="H2081" s="14" t="s">
        <v>1713</v>
      </c>
      <c r="I2081" s="14"/>
      <c r="J2081" s="14"/>
      <c r="K2081" s="14"/>
      <c r="L2081" s="14"/>
      <c r="M2081" s="14" t="s">
        <v>2958</v>
      </c>
      <c r="N2081" s="14" t="s">
        <v>2959</v>
      </c>
      <c r="O2081" s="14" t="s">
        <v>2960</v>
      </c>
      <c r="P2081" s="14" t="str">
        <f>HYPERLINK("https://ceds.ed.gov/cedselementdetails.aspx?termid=17060")</f>
        <v>https://ceds.ed.gov/cedselementdetails.aspx?termid=17060</v>
      </c>
      <c r="Q2081" s="14" t="str">
        <f>HYPERLINK("https://ceds.ed.gov/elementComment.aspx?elementName=Course Grade Point Average Applicability &amp;elementID=17060", "Click here to submit comment")</f>
        <v>Click here to submit comment</v>
      </c>
      <c r="R2081" s="14">
        <v>48945</v>
      </c>
    </row>
    <row r="2082" spans="1:18" ht="255" x14ac:dyDescent="0.25">
      <c r="A2082" s="14" t="s">
        <v>8732</v>
      </c>
      <c r="B2082" s="14" t="s">
        <v>8944</v>
      </c>
      <c r="C2082" s="14"/>
      <c r="D2082" s="14" t="s">
        <v>8531</v>
      </c>
      <c r="E2082" s="14" t="s">
        <v>178</v>
      </c>
      <c r="F2082" s="14" t="s">
        <v>179</v>
      </c>
      <c r="G2082" s="8" t="s">
        <v>8935</v>
      </c>
      <c r="H2082" s="14"/>
      <c r="I2082" s="14"/>
      <c r="J2082" s="14"/>
      <c r="K2082" s="14"/>
      <c r="L2082" s="14"/>
      <c r="M2082" s="14" t="s">
        <v>182</v>
      </c>
      <c r="N2082" s="14"/>
      <c r="O2082" s="14" t="s">
        <v>183</v>
      </c>
      <c r="P2082" s="14" t="str">
        <f>HYPERLINK("https://ceds.ed.gov/cedselementdetails.aspx?termid=17589")</f>
        <v>https://ceds.ed.gov/cedselementdetails.aspx?termid=17589</v>
      </c>
      <c r="Q2082" s="14" t="str">
        <f>HYPERLINK("https://ceds.ed.gov/elementComment.aspx?elementName=Additional Credit Type &amp;elementID=17589", "Click here to submit comment")</f>
        <v>Click here to submit comment</v>
      </c>
      <c r="R2082" s="14">
        <v>50045</v>
      </c>
    </row>
    <row r="2083" spans="1:18" ht="45" x14ac:dyDescent="0.25">
      <c r="A2083" s="14" t="s">
        <v>8732</v>
      </c>
      <c r="B2083" s="14" t="s">
        <v>8944</v>
      </c>
      <c r="C2083" s="14"/>
      <c r="D2083" s="14" t="s">
        <v>8531</v>
      </c>
      <c r="E2083" s="14" t="s">
        <v>2905</v>
      </c>
      <c r="F2083" s="14" t="s">
        <v>2906</v>
      </c>
      <c r="G2083" s="14" t="s">
        <v>37</v>
      </c>
      <c r="H2083" s="14"/>
      <c r="I2083" s="14"/>
      <c r="J2083" s="14" t="s">
        <v>129</v>
      </c>
      <c r="K2083" s="14"/>
      <c r="L2083" s="14"/>
      <c r="M2083" s="14" t="s">
        <v>2907</v>
      </c>
      <c r="N2083" s="14"/>
      <c r="O2083" s="14" t="s">
        <v>2908</v>
      </c>
      <c r="P2083" s="14" t="str">
        <f>HYPERLINK("https://ceds.ed.gov/cedselementdetails.aspx?termid=18268")</f>
        <v>https://ceds.ed.gov/cedselementdetails.aspx?termid=18268</v>
      </c>
      <c r="Q2083" s="14" t="str">
        <f>HYPERLINK("https://ceds.ed.gov/elementComment.aspx?elementName=Course Certification Description &amp;elementID=18268", "Click here to submit comment")</f>
        <v>Click here to submit comment</v>
      </c>
      <c r="R2083" s="14">
        <v>50099</v>
      </c>
    </row>
    <row r="2084" spans="1:18" ht="45" x14ac:dyDescent="0.25">
      <c r="A2084" s="14" t="s">
        <v>8732</v>
      </c>
      <c r="B2084" s="14" t="s">
        <v>8944</v>
      </c>
      <c r="C2084" s="14"/>
      <c r="D2084" s="14" t="s">
        <v>8531</v>
      </c>
      <c r="E2084" s="14" t="s">
        <v>4453</v>
      </c>
      <c r="F2084" s="14" t="s">
        <v>4454</v>
      </c>
      <c r="G2084" s="14" t="s">
        <v>24</v>
      </c>
      <c r="H2084" s="14"/>
      <c r="I2084" s="14"/>
      <c r="J2084" s="14"/>
      <c r="K2084" s="14"/>
      <c r="L2084" s="14"/>
      <c r="M2084" s="14" t="s">
        <v>4455</v>
      </c>
      <c r="N2084" s="14"/>
      <c r="O2084" s="14" t="s">
        <v>4456</v>
      </c>
      <c r="P2084" s="14" t="str">
        <f>HYPERLINK("https://ceds.ed.gov/cedselementdetails.aspx?termid=18311")</f>
        <v>https://ceds.ed.gov/cedselementdetails.aspx?termid=18311</v>
      </c>
      <c r="Q2084" s="14" t="str">
        <f>HYPERLINK("https://ceds.ed.gov/elementComment.aspx?elementName=Family and Consumer Sciences Course Indicator &amp;elementID=18311", "Click here to submit comment")</f>
        <v>Click here to submit comment</v>
      </c>
      <c r="R2084" s="14">
        <v>50160</v>
      </c>
    </row>
    <row r="2085" spans="1:18" ht="45" x14ac:dyDescent="0.25">
      <c r="A2085" s="14" t="s">
        <v>8732</v>
      </c>
      <c r="B2085" s="14" t="s">
        <v>8944</v>
      </c>
      <c r="C2085" s="14"/>
      <c r="D2085" s="14" t="s">
        <v>8531</v>
      </c>
      <c r="E2085" s="14" t="s">
        <v>6363</v>
      </c>
      <c r="F2085" s="14" t="s">
        <v>6364</v>
      </c>
      <c r="G2085" s="14" t="s">
        <v>24</v>
      </c>
      <c r="H2085" s="14"/>
      <c r="I2085" s="14"/>
      <c r="J2085" s="14"/>
      <c r="K2085" s="14"/>
      <c r="L2085" s="14"/>
      <c r="M2085" s="14" t="s">
        <v>6365</v>
      </c>
      <c r="N2085" s="14" t="s">
        <v>6366</v>
      </c>
      <c r="O2085" s="14" t="s">
        <v>6367</v>
      </c>
      <c r="P2085" s="14" t="str">
        <f>HYPERLINK("https://ceds.ed.gov/cedselementdetails.aspx?termid=18382")</f>
        <v>https://ceds.ed.gov/cedselementdetails.aspx?termid=18382</v>
      </c>
      <c r="Q2085" s="14" t="str">
        <f>HYPERLINK("https://ceds.ed.gov/elementComment.aspx?elementName=National Collegiate Athletic Association Eligibility &amp;elementID=18382", "Click here to submit comment")</f>
        <v>Click here to submit comment</v>
      </c>
      <c r="R2085" s="14">
        <v>50294</v>
      </c>
    </row>
    <row r="2086" spans="1:18" ht="90" x14ac:dyDescent="0.25">
      <c r="A2086" s="14" t="s">
        <v>8732</v>
      </c>
      <c r="B2086" s="14" t="s">
        <v>8944</v>
      </c>
      <c r="C2086" s="14"/>
      <c r="D2086" s="14" t="s">
        <v>8531</v>
      </c>
      <c r="E2086" s="14" t="s">
        <v>2949</v>
      </c>
      <c r="F2086" s="14" t="s">
        <v>2950</v>
      </c>
      <c r="G2086" s="14" t="s">
        <v>37</v>
      </c>
      <c r="H2086" s="14"/>
      <c r="I2086" s="14"/>
      <c r="J2086" s="14" t="s">
        <v>97</v>
      </c>
      <c r="K2086" s="14"/>
      <c r="L2086" s="14" t="s">
        <v>2951</v>
      </c>
      <c r="M2086" s="14" t="s">
        <v>2952</v>
      </c>
      <c r="N2086" s="14"/>
      <c r="O2086" s="14" t="s">
        <v>2953</v>
      </c>
      <c r="P2086" s="14" t="str">
        <f>HYPERLINK("https://ceds.ed.gov/cedselementdetails.aspx?termid=18272")</f>
        <v>https://ceds.ed.gov/cedselementdetails.aspx?termid=18272</v>
      </c>
      <c r="Q2086" s="14" t="str">
        <f>HYPERLINK("https://ceds.ed.gov/elementComment.aspx?elementName=Course Funding Program &amp;elementID=18272", "Click here to submit comment")</f>
        <v>Click here to submit comment</v>
      </c>
      <c r="R2086" s="14">
        <v>50105</v>
      </c>
    </row>
    <row r="2087" spans="1:18" ht="60" x14ac:dyDescent="0.25">
      <c r="A2087" s="14" t="s">
        <v>8732</v>
      </c>
      <c r="B2087" s="14" t="s">
        <v>8944</v>
      </c>
      <c r="C2087" s="14"/>
      <c r="D2087" s="14" t="s">
        <v>8531</v>
      </c>
      <c r="E2087" s="14" t="s">
        <v>8385</v>
      </c>
      <c r="F2087" s="14" t="s">
        <v>8386</v>
      </c>
      <c r="G2087" s="14" t="s">
        <v>24</v>
      </c>
      <c r="H2087" s="14"/>
      <c r="I2087" s="14"/>
      <c r="J2087" s="14"/>
      <c r="K2087" s="14"/>
      <c r="L2087" s="14" t="s">
        <v>8388</v>
      </c>
      <c r="M2087" s="14" t="s">
        <v>8389</v>
      </c>
      <c r="N2087" s="14"/>
      <c r="O2087" s="14" t="s">
        <v>8390</v>
      </c>
      <c r="P2087" s="14" t="str">
        <f>HYPERLINK("https://ceds.ed.gov/cedselementdetails.aspx?termid=18554")</f>
        <v>https://ceds.ed.gov/cedselementdetails.aspx?termid=18554</v>
      </c>
      <c r="Q2087" s="14" t="str">
        <f>HYPERLINK("https://ceds.ed.gov/elementComment.aspx?elementName=Tuition Funded &amp;elementID=18554", "Click here to submit comment")</f>
        <v>Click here to submit comment</v>
      </c>
      <c r="R2087" s="14">
        <v>50931</v>
      </c>
    </row>
    <row r="2088" spans="1:18" ht="390" x14ac:dyDescent="0.25">
      <c r="A2088" s="14" t="s">
        <v>8732</v>
      </c>
      <c r="B2088" s="14" t="s">
        <v>8944</v>
      </c>
      <c r="C2088" s="14"/>
      <c r="D2088" s="14" t="s">
        <v>8531</v>
      </c>
      <c r="E2088" s="14" t="s">
        <v>2996</v>
      </c>
      <c r="F2088" s="14" t="s">
        <v>2997</v>
      </c>
      <c r="G2088" s="8" t="s">
        <v>8948</v>
      </c>
      <c r="H2088" s="14"/>
      <c r="I2088" s="14"/>
      <c r="J2088" s="14"/>
      <c r="K2088" s="14"/>
      <c r="L2088" s="14"/>
      <c r="M2088" s="14" t="s">
        <v>3000</v>
      </c>
      <c r="N2088" s="14"/>
      <c r="O2088" s="14" t="s">
        <v>3001</v>
      </c>
      <c r="P2088" s="14" t="str">
        <f>HYPERLINK("https://ceds.ed.gov/cedselementdetails.aspx?termid=18278")</f>
        <v>https://ceds.ed.gov/cedselementdetails.aspx?termid=18278</v>
      </c>
      <c r="Q2088" s="14" t="str">
        <f>HYPERLINK("https://ceds.ed.gov/elementComment.aspx?elementName=Course Level Type &amp;elementID=18278", "Click here to submit comment")</f>
        <v>Click here to submit comment</v>
      </c>
      <c r="R2088" s="14">
        <v>52002</v>
      </c>
    </row>
    <row r="2089" spans="1:18" ht="105" x14ac:dyDescent="0.25">
      <c r="A2089" s="16" t="s">
        <v>8732</v>
      </c>
      <c r="B2089" s="16" t="s">
        <v>8944</v>
      </c>
      <c r="C2089" s="16" t="s">
        <v>8949</v>
      </c>
      <c r="D2089" s="16" t="s">
        <v>8531</v>
      </c>
      <c r="E2089" s="16" t="s">
        <v>2966</v>
      </c>
      <c r="F2089" s="16" t="s">
        <v>2967</v>
      </c>
      <c r="G2089" s="16" t="s">
        <v>37</v>
      </c>
      <c r="H2089" s="16" t="s">
        <v>2970</v>
      </c>
      <c r="I2089" s="16"/>
      <c r="J2089" s="16" t="s">
        <v>149</v>
      </c>
      <c r="K2089" s="16"/>
      <c r="L2089" s="14" t="s">
        <v>150</v>
      </c>
      <c r="M2089" s="16" t="s">
        <v>2968</v>
      </c>
      <c r="N2089" s="16"/>
      <c r="O2089" s="16" t="s">
        <v>2969</v>
      </c>
      <c r="P2089" s="16" t="str">
        <f>HYPERLINK("https://ceds.ed.gov/cedselementdetails.aspx?termid=17055")</f>
        <v>https://ceds.ed.gov/cedselementdetails.aspx?termid=17055</v>
      </c>
      <c r="Q2089" s="16" t="str">
        <f>HYPERLINK("https://ceds.ed.gov/elementComment.aspx?elementName=Course Identifier &amp;elementID=17055", "Click here to submit comment")</f>
        <v>Click here to submit comment</v>
      </c>
      <c r="R2089" s="16">
        <v>48943</v>
      </c>
    </row>
    <row r="2090" spans="1:18" x14ac:dyDescent="0.25">
      <c r="A2090" s="16"/>
      <c r="B2090" s="16"/>
      <c r="C2090" s="16"/>
      <c r="D2090" s="16"/>
      <c r="E2090" s="16"/>
      <c r="F2090" s="16"/>
      <c r="G2090" s="16"/>
      <c r="H2090" s="16"/>
      <c r="I2090" s="16"/>
      <c r="J2090" s="16"/>
      <c r="K2090" s="16"/>
      <c r="L2090" s="14"/>
      <c r="M2090" s="16"/>
      <c r="N2090" s="16"/>
      <c r="O2090" s="16"/>
      <c r="P2090" s="16"/>
      <c r="Q2090" s="16"/>
      <c r="R2090" s="16"/>
    </row>
    <row r="2091" spans="1:18" ht="90" x14ac:dyDescent="0.25">
      <c r="A2091" s="16"/>
      <c r="B2091" s="16"/>
      <c r="C2091" s="16"/>
      <c r="D2091" s="16"/>
      <c r="E2091" s="16"/>
      <c r="F2091" s="16"/>
      <c r="G2091" s="16"/>
      <c r="H2091" s="16"/>
      <c r="I2091" s="16"/>
      <c r="J2091" s="16"/>
      <c r="K2091" s="16"/>
      <c r="L2091" s="14" t="s">
        <v>153</v>
      </c>
      <c r="M2091" s="16"/>
      <c r="N2091" s="16"/>
      <c r="O2091" s="16"/>
      <c r="P2091" s="16"/>
      <c r="Q2091" s="16"/>
      <c r="R2091" s="16"/>
    </row>
    <row r="2092" spans="1:18" ht="195" x14ac:dyDescent="0.25">
      <c r="A2092" s="14" t="s">
        <v>8732</v>
      </c>
      <c r="B2092" s="14" t="s">
        <v>8944</v>
      </c>
      <c r="C2092" s="14" t="s">
        <v>8949</v>
      </c>
      <c r="D2092" s="14" t="s">
        <v>8531</v>
      </c>
      <c r="E2092" s="14" t="s">
        <v>2909</v>
      </c>
      <c r="F2092" s="14" t="s">
        <v>2910</v>
      </c>
      <c r="G2092" s="8" t="s">
        <v>8834</v>
      </c>
      <c r="H2092" s="14" t="s">
        <v>1713</v>
      </c>
      <c r="I2092" s="14"/>
      <c r="J2092" s="14"/>
      <c r="K2092" s="14"/>
      <c r="L2092" s="14"/>
      <c r="M2092" s="14" t="s">
        <v>2913</v>
      </c>
      <c r="N2092" s="14"/>
      <c r="O2092" s="14" t="s">
        <v>2914</v>
      </c>
      <c r="P2092" s="14" t="str">
        <f>HYPERLINK("https://ceds.ed.gov/cedselementdetails.aspx?termid=17056")</f>
        <v>https://ceds.ed.gov/cedselementdetails.aspx?termid=17056</v>
      </c>
      <c r="Q2092" s="14" t="str">
        <f>HYPERLINK("https://ceds.ed.gov/elementComment.aspx?elementName=Course Code System &amp;elementID=17056", "Click here to submit comment")</f>
        <v>Click here to submit comment</v>
      </c>
      <c r="R2092" s="14">
        <v>48944</v>
      </c>
    </row>
    <row r="2093" spans="1:18" ht="225" x14ac:dyDescent="0.25">
      <c r="A2093" s="14" t="s">
        <v>8732</v>
      </c>
      <c r="B2093" s="14" t="s">
        <v>8944</v>
      </c>
      <c r="C2093" s="14" t="s">
        <v>8949</v>
      </c>
      <c r="D2093" s="14" t="s">
        <v>8531</v>
      </c>
      <c r="E2093" s="14" t="s">
        <v>3099</v>
      </c>
      <c r="F2093" s="14" t="s">
        <v>3100</v>
      </c>
      <c r="G2093" s="14" t="s">
        <v>37</v>
      </c>
      <c r="H2093" s="14" t="s">
        <v>1713</v>
      </c>
      <c r="I2093" s="14"/>
      <c r="J2093" s="14" t="s">
        <v>175</v>
      </c>
      <c r="K2093" s="14"/>
      <c r="L2093" s="14"/>
      <c r="M2093" s="14" t="s">
        <v>3101</v>
      </c>
      <c r="N2093" s="14"/>
      <c r="O2093" s="14" t="s">
        <v>3102</v>
      </c>
      <c r="P2093" s="14" t="str">
        <f>HYPERLINK("https://ceds.ed.gov/cedselementdetails.aspx?termid=17067")</f>
        <v>https://ceds.ed.gov/cedselementdetails.aspx?termid=17067</v>
      </c>
      <c r="Q2093" s="14" t="str">
        <f>HYPERLINK("https://ceds.ed.gov/elementComment.aspx?elementName=Course Title &amp;elementID=17067", "Click here to submit comment")</f>
        <v>Click here to submit comment</v>
      </c>
      <c r="R2093" s="14">
        <v>48947</v>
      </c>
    </row>
    <row r="2094" spans="1:18" ht="120" x14ac:dyDescent="0.25">
      <c r="A2094" s="14" t="s">
        <v>8732</v>
      </c>
      <c r="B2094" s="14" t="s">
        <v>8944</v>
      </c>
      <c r="C2094" s="14" t="s">
        <v>8949</v>
      </c>
      <c r="D2094" s="14" t="s">
        <v>8531</v>
      </c>
      <c r="E2094" s="14" t="s">
        <v>7589</v>
      </c>
      <c r="F2094" s="14" t="s">
        <v>7590</v>
      </c>
      <c r="G2094" s="14" t="s">
        <v>37</v>
      </c>
      <c r="H2094" s="14" t="s">
        <v>1713</v>
      </c>
      <c r="I2094" s="14"/>
      <c r="J2094" s="14" t="s">
        <v>3096</v>
      </c>
      <c r="K2094" s="14"/>
      <c r="L2094" s="14" t="s">
        <v>7591</v>
      </c>
      <c r="M2094" s="14" t="s">
        <v>7592</v>
      </c>
      <c r="N2094" s="14" t="s">
        <v>7593</v>
      </c>
      <c r="O2094" s="14" t="s">
        <v>7594</v>
      </c>
      <c r="P2094" s="14" t="str">
        <f>HYPERLINK("https://ceds.ed.gov/cedselementdetails.aspx?termid=17250")</f>
        <v>https://ceds.ed.gov/cedselementdetails.aspx?termid=17250</v>
      </c>
      <c r="Q2094" s="14" t="str">
        <f>HYPERLINK("https://ceds.ed.gov/elementComment.aspx?elementName=School Courses for the Exchange of Data Sequence of Course &amp;elementID=17250", "Click here to submit comment")</f>
        <v>Click here to submit comment</v>
      </c>
      <c r="R2094" s="14">
        <v>48013</v>
      </c>
    </row>
    <row r="2095" spans="1:18" ht="45" x14ac:dyDescent="0.25">
      <c r="A2095" s="14" t="s">
        <v>8732</v>
      </c>
      <c r="B2095" s="14" t="s">
        <v>8944</v>
      </c>
      <c r="C2095" s="14" t="s">
        <v>8949</v>
      </c>
      <c r="D2095" s="14" t="s">
        <v>8531</v>
      </c>
      <c r="E2095" s="14" t="s">
        <v>3025</v>
      </c>
      <c r="F2095" s="14" t="s">
        <v>3026</v>
      </c>
      <c r="G2095" s="14" t="s">
        <v>37</v>
      </c>
      <c r="H2095" s="14"/>
      <c r="I2095" s="14"/>
      <c r="J2095" s="14" t="s">
        <v>1922</v>
      </c>
      <c r="K2095" s="14"/>
      <c r="L2095" s="14"/>
      <c r="M2095" s="14" t="s">
        <v>3027</v>
      </c>
      <c r="N2095" s="14"/>
      <c r="O2095" s="14" t="s">
        <v>3028</v>
      </c>
      <c r="P2095" s="14" t="str">
        <f>HYPERLINK("https://ceds.ed.gov/cedselementdetails.aspx?termid=18648")</f>
        <v>https://ceds.ed.gov/cedselementdetails.aspx?termid=18648</v>
      </c>
      <c r="Q2095" s="14" t="str">
        <f>HYPERLINK("https://ceds.ed.gov/elementComment.aspx?elementName=Course Repeatability Maximum Number &amp;elementID=18648", "Click here to submit comment")</f>
        <v>Click here to submit comment</v>
      </c>
      <c r="R2095" s="14">
        <v>51881</v>
      </c>
    </row>
    <row r="2096" spans="1:18" ht="330" x14ac:dyDescent="0.25">
      <c r="A2096" s="14" t="s">
        <v>8732</v>
      </c>
      <c r="B2096" s="14" t="s">
        <v>8944</v>
      </c>
      <c r="C2096" s="14" t="s">
        <v>8949</v>
      </c>
      <c r="D2096" s="14" t="s">
        <v>8531</v>
      </c>
      <c r="E2096" s="14" t="s">
        <v>2991</v>
      </c>
      <c r="F2096" s="14" t="s">
        <v>2992</v>
      </c>
      <c r="G2096" s="8" t="s">
        <v>8937</v>
      </c>
      <c r="H2096" s="14" t="s">
        <v>2970</v>
      </c>
      <c r="I2096" s="14"/>
      <c r="J2096" s="14"/>
      <c r="K2096" s="14"/>
      <c r="L2096" s="14"/>
      <c r="M2096" s="14" t="s">
        <v>2994</v>
      </c>
      <c r="N2096" s="14"/>
      <c r="O2096" s="14" t="s">
        <v>2995</v>
      </c>
      <c r="P2096" s="14" t="str">
        <f>HYPERLINK("https://ceds.ed.gov/cedselementdetails.aspx?termid=17061")</f>
        <v>https://ceds.ed.gov/cedselementdetails.aspx?termid=17061</v>
      </c>
      <c r="Q2096" s="14" t="str">
        <f>HYPERLINK("https://ceds.ed.gov/elementComment.aspx?elementName=Course Level Characteristic &amp;elementID=17061", "Click here to submit comment")</f>
        <v>Click here to submit comment</v>
      </c>
      <c r="R2096" s="14">
        <v>48946</v>
      </c>
    </row>
    <row r="2097" spans="1:18" ht="360" x14ac:dyDescent="0.25">
      <c r="A2097" s="14" t="s">
        <v>8732</v>
      </c>
      <c r="B2097" s="14" t="s">
        <v>8944</v>
      </c>
      <c r="C2097" s="14" t="s">
        <v>8949</v>
      </c>
      <c r="D2097" s="14" t="s">
        <v>8531</v>
      </c>
      <c r="E2097" s="14" t="s">
        <v>3353</v>
      </c>
      <c r="F2097" s="14" t="s">
        <v>3354</v>
      </c>
      <c r="G2097" s="8" t="s">
        <v>8836</v>
      </c>
      <c r="H2097" s="14" t="s">
        <v>72</v>
      </c>
      <c r="I2097" s="14"/>
      <c r="J2097" s="14"/>
      <c r="K2097" s="14"/>
      <c r="L2097" s="14"/>
      <c r="M2097" s="14" t="s">
        <v>3357</v>
      </c>
      <c r="N2097" s="14"/>
      <c r="O2097" s="14" t="s">
        <v>3358</v>
      </c>
      <c r="P2097" s="14" t="str">
        <f>HYPERLINK("https://ceds.ed.gov/cedselementdetails.aspx?termid=17072")</f>
        <v>https://ceds.ed.gov/cedselementdetails.aspx?termid=17072</v>
      </c>
      <c r="Q2097" s="14" t="str">
        <f>HYPERLINK("https://ceds.ed.gov/elementComment.aspx?elementName=Credit Unit Type &amp;elementID=17072", "Click here to submit comment")</f>
        <v>Click here to submit comment</v>
      </c>
      <c r="R2097" s="14">
        <v>48948</v>
      </c>
    </row>
    <row r="2098" spans="1:18" ht="150" x14ac:dyDescent="0.25">
      <c r="A2098" s="14" t="s">
        <v>8732</v>
      </c>
      <c r="B2098" s="14" t="s">
        <v>8944</v>
      </c>
      <c r="C2098" s="14" t="s">
        <v>8949</v>
      </c>
      <c r="D2098" s="14" t="s">
        <v>8531</v>
      </c>
      <c r="E2098" s="14" t="s">
        <v>1707</v>
      </c>
      <c r="F2098" s="14" t="s">
        <v>1708</v>
      </c>
      <c r="G2098" s="14" t="s">
        <v>37</v>
      </c>
      <c r="H2098" s="14" t="s">
        <v>1713</v>
      </c>
      <c r="I2098" s="14"/>
      <c r="J2098" s="14" t="s">
        <v>1710</v>
      </c>
      <c r="K2098" s="14"/>
      <c r="L2098" s="14"/>
      <c r="M2098" s="14" t="s">
        <v>1711</v>
      </c>
      <c r="N2098" s="14"/>
      <c r="O2098" s="14" t="s">
        <v>1712</v>
      </c>
      <c r="P2098" s="14" t="str">
        <f>HYPERLINK("https://ceds.ed.gov/cedselementdetails.aspx?termid=17030")</f>
        <v>https://ceds.ed.gov/cedselementdetails.aspx?termid=17030</v>
      </c>
      <c r="Q2098" s="14" t="str">
        <f>HYPERLINK("https://ceds.ed.gov/elementComment.aspx?elementName=Available Carnegie Unit Credit &amp;elementID=17030", "Click here to submit comment")</f>
        <v>Click here to submit comment</v>
      </c>
      <c r="R2098" s="14">
        <v>48942</v>
      </c>
    </row>
    <row r="2099" spans="1:18" ht="120" x14ac:dyDescent="0.25">
      <c r="A2099" s="14" t="s">
        <v>8732</v>
      </c>
      <c r="B2099" s="14" t="s">
        <v>8944</v>
      </c>
      <c r="C2099" s="14" t="s">
        <v>8949</v>
      </c>
      <c r="D2099" s="14" t="s">
        <v>8531</v>
      </c>
      <c r="E2099" s="14" t="s">
        <v>4948</v>
      </c>
      <c r="F2099" s="14" t="s">
        <v>4949</v>
      </c>
      <c r="G2099" s="14" t="s">
        <v>24</v>
      </c>
      <c r="H2099" s="14" t="s">
        <v>1713</v>
      </c>
      <c r="I2099" s="14"/>
      <c r="J2099" s="14"/>
      <c r="K2099" s="14"/>
      <c r="L2099" s="14"/>
      <c r="M2099" s="14" t="s">
        <v>4951</v>
      </c>
      <c r="N2099" s="14"/>
      <c r="O2099" s="14" t="s">
        <v>4952</v>
      </c>
      <c r="P2099" s="14" t="str">
        <f>HYPERLINK("https://ceds.ed.gov/cedselementdetails.aspx?termid=17137")</f>
        <v>https://ceds.ed.gov/cedselementdetails.aspx?termid=17137</v>
      </c>
      <c r="Q2099" s="14" t="str">
        <f>HYPERLINK("https://ceds.ed.gov/elementComment.aspx?elementName=High School Course Requirement &amp;elementID=17137", "Click here to submit comment")</f>
        <v>Click here to submit comment</v>
      </c>
      <c r="R2099" s="14">
        <v>48955</v>
      </c>
    </row>
    <row r="2100" spans="1:18" ht="45" x14ac:dyDescent="0.25">
      <c r="A2100" s="14" t="s">
        <v>8732</v>
      </c>
      <c r="B2100" s="14" t="s">
        <v>8944</v>
      </c>
      <c r="C2100" s="14" t="s">
        <v>8949</v>
      </c>
      <c r="D2100" s="14" t="s">
        <v>8531</v>
      </c>
      <c r="E2100" s="14" t="s">
        <v>7371</v>
      </c>
      <c r="F2100" s="14" t="s">
        <v>7372</v>
      </c>
      <c r="G2100" s="14" t="s">
        <v>37</v>
      </c>
      <c r="H2100" s="14"/>
      <c r="I2100" s="14"/>
      <c r="J2100" s="14" t="s">
        <v>175</v>
      </c>
      <c r="K2100" s="14"/>
      <c r="L2100" s="14"/>
      <c r="M2100" s="14" t="s">
        <v>7373</v>
      </c>
      <c r="N2100" s="14" t="s">
        <v>7374</v>
      </c>
      <c r="O2100" s="14" t="s">
        <v>7375</v>
      </c>
      <c r="P2100" s="14" t="str">
        <f>HYPERLINK("https://ceds.ed.gov/cedselementdetails.aspx?termid=17231")</f>
        <v>https://ceds.ed.gov/cedselementdetails.aspx?termid=17231</v>
      </c>
      <c r="Q2100" s="14" t="str">
        <f>HYPERLINK("https://ceds.ed.gov/elementComment.aspx?elementName=Related Competency Definitions &amp;elementID=17231", "Click here to submit comment")</f>
        <v>Click here to submit comment</v>
      </c>
      <c r="R2100" s="14">
        <v>48009</v>
      </c>
    </row>
    <row r="2101" spans="1:18" ht="409.5" x14ac:dyDescent="0.25">
      <c r="A2101" s="14" t="s">
        <v>8732</v>
      </c>
      <c r="B2101" s="14" t="s">
        <v>8944</v>
      </c>
      <c r="C2101" s="14" t="s">
        <v>8949</v>
      </c>
      <c r="D2101" s="14" t="s">
        <v>8531</v>
      </c>
      <c r="E2101" s="14" t="s">
        <v>3029</v>
      </c>
      <c r="F2101" s="14" t="s">
        <v>3030</v>
      </c>
      <c r="G2101" s="8" t="s">
        <v>8950</v>
      </c>
      <c r="H2101" s="14" t="s">
        <v>3034</v>
      </c>
      <c r="I2101" s="14"/>
      <c r="J2101" s="14"/>
      <c r="K2101" s="14"/>
      <c r="L2101" s="14"/>
      <c r="M2101" s="14" t="s">
        <v>3032</v>
      </c>
      <c r="N2101" s="14"/>
      <c r="O2101" s="14" t="s">
        <v>3033</v>
      </c>
      <c r="P2101" s="14" t="str">
        <f>HYPERLINK("https://ceds.ed.gov/cedselementdetails.aspx?termid=17027")</f>
        <v>https://ceds.ed.gov/cedselementdetails.aspx?termid=17027</v>
      </c>
      <c r="Q2101" s="14" t="str">
        <f>HYPERLINK("https://ceds.ed.gov/elementComment.aspx?elementName=Course Section Assessment Reporting Method &amp;elementID=17027", "Click here to submit comment")</f>
        <v>Click here to submit comment</v>
      </c>
      <c r="R2101" s="14">
        <v>48186</v>
      </c>
    </row>
    <row r="2102" spans="1:18" ht="45" x14ac:dyDescent="0.25">
      <c r="A2102" s="14" t="s">
        <v>8732</v>
      </c>
      <c r="B2102" s="14" t="s">
        <v>8944</v>
      </c>
      <c r="C2102" s="14" t="s">
        <v>8949</v>
      </c>
      <c r="D2102" s="14" t="s">
        <v>8531</v>
      </c>
      <c r="E2102" s="14" t="s">
        <v>2931</v>
      </c>
      <c r="F2102" s="14" t="s">
        <v>2932</v>
      </c>
      <c r="G2102" s="14" t="s">
        <v>37</v>
      </c>
      <c r="H2102" s="14"/>
      <c r="I2102" s="14"/>
      <c r="J2102" s="14" t="s">
        <v>175</v>
      </c>
      <c r="K2102" s="14"/>
      <c r="L2102" s="14"/>
      <c r="M2102" s="14" t="s">
        <v>2934</v>
      </c>
      <c r="N2102" s="14"/>
      <c r="O2102" s="14" t="s">
        <v>2935</v>
      </c>
      <c r="P2102" s="14" t="str">
        <f>HYPERLINK("https://ceds.ed.gov/cedselementdetails.aspx?termid=18525")</f>
        <v>https://ceds.ed.gov/cedselementdetails.aspx?termid=18525</v>
      </c>
      <c r="Q2102" s="14" t="str">
        <f>HYPERLINK("https://ceds.ed.gov/elementComment.aspx?elementName=Course Department Name &amp;elementID=18525", "Click here to submit comment")</f>
        <v>Click here to submit comment</v>
      </c>
      <c r="R2102" s="14">
        <v>50833</v>
      </c>
    </row>
    <row r="2103" spans="1:18" ht="105" x14ac:dyDescent="0.25">
      <c r="A2103" s="16" t="s">
        <v>8732</v>
      </c>
      <c r="B2103" s="16" t="s">
        <v>8944</v>
      </c>
      <c r="C2103" s="16" t="s">
        <v>8635</v>
      </c>
      <c r="D2103" s="16" t="s">
        <v>8531</v>
      </c>
      <c r="E2103" s="16" t="s">
        <v>8072</v>
      </c>
      <c r="F2103" s="16" t="s">
        <v>8073</v>
      </c>
      <c r="G2103" s="16" t="s">
        <v>37</v>
      </c>
      <c r="H2103" s="16" t="s">
        <v>8071</v>
      </c>
      <c r="I2103" s="16"/>
      <c r="J2103" s="16" t="s">
        <v>149</v>
      </c>
      <c r="K2103" s="16"/>
      <c r="L2103" s="14" t="s">
        <v>150</v>
      </c>
      <c r="M2103" s="16" t="s">
        <v>8074</v>
      </c>
      <c r="N2103" s="16"/>
      <c r="O2103" s="16" t="s">
        <v>8075</v>
      </c>
      <c r="P2103" s="16" t="str">
        <f>HYPERLINK("https://ceds.ed.gov/cedselementdetails.aspx?termid=17157")</f>
        <v>https://ceds.ed.gov/cedselementdetails.aspx?termid=17157</v>
      </c>
      <c r="Q2103" s="16" t="str">
        <f>HYPERLINK("https://ceds.ed.gov/elementComment.aspx?elementName=Student Identifier &amp;elementID=17157", "Click here to submit comment")</f>
        <v>Click here to submit comment</v>
      </c>
      <c r="R2103" s="16">
        <v>48957</v>
      </c>
    </row>
    <row r="2104" spans="1:18" x14ac:dyDescent="0.25">
      <c r="A2104" s="16"/>
      <c r="B2104" s="16"/>
      <c r="C2104" s="16"/>
      <c r="D2104" s="16"/>
      <c r="E2104" s="16"/>
      <c r="F2104" s="16"/>
      <c r="G2104" s="16"/>
      <c r="H2104" s="16"/>
      <c r="I2104" s="16"/>
      <c r="J2104" s="16"/>
      <c r="K2104" s="16"/>
      <c r="L2104" s="14"/>
      <c r="M2104" s="16"/>
      <c r="N2104" s="16"/>
      <c r="O2104" s="16"/>
      <c r="P2104" s="16"/>
      <c r="Q2104" s="16"/>
      <c r="R2104" s="16"/>
    </row>
    <row r="2105" spans="1:18" ht="90" x14ac:dyDescent="0.25">
      <c r="A2105" s="16"/>
      <c r="B2105" s="16"/>
      <c r="C2105" s="16"/>
      <c r="D2105" s="16"/>
      <c r="E2105" s="16"/>
      <c r="F2105" s="16"/>
      <c r="G2105" s="16"/>
      <c r="H2105" s="16"/>
      <c r="I2105" s="16"/>
      <c r="J2105" s="16"/>
      <c r="K2105" s="16"/>
      <c r="L2105" s="14" t="s">
        <v>153</v>
      </c>
      <c r="M2105" s="16"/>
      <c r="N2105" s="16"/>
      <c r="O2105" s="16"/>
      <c r="P2105" s="16"/>
      <c r="Q2105" s="16"/>
      <c r="R2105" s="16"/>
    </row>
    <row r="2106" spans="1:18" ht="210" x14ac:dyDescent="0.25">
      <c r="A2106" s="14" t="s">
        <v>8732</v>
      </c>
      <c r="B2106" s="14" t="s">
        <v>8944</v>
      </c>
      <c r="C2106" s="14" t="s">
        <v>8635</v>
      </c>
      <c r="D2106" s="14" t="s">
        <v>8531</v>
      </c>
      <c r="E2106" s="14" t="s">
        <v>8065</v>
      </c>
      <c r="F2106" s="14" t="s">
        <v>8066</v>
      </c>
      <c r="G2106" s="8" t="s">
        <v>8814</v>
      </c>
      <c r="H2106" s="14" t="s">
        <v>8071</v>
      </c>
      <c r="I2106" s="14"/>
      <c r="J2106" s="14"/>
      <c r="K2106" s="14"/>
      <c r="L2106" s="14"/>
      <c r="M2106" s="14" t="s">
        <v>8069</v>
      </c>
      <c r="N2106" s="14"/>
      <c r="O2106" s="14" t="s">
        <v>8070</v>
      </c>
      <c r="P2106" s="14" t="str">
        <f>HYPERLINK("https://ceds.ed.gov/cedselementdetails.aspx?termid=17163")</f>
        <v>https://ceds.ed.gov/cedselementdetails.aspx?termid=17163</v>
      </c>
      <c r="Q2106" s="14" t="str">
        <f>HYPERLINK("https://ceds.ed.gov/elementComment.aspx?elementName=Student Identification System &amp;elementID=17163", "Click here to submit comment")</f>
        <v>Click here to submit comment</v>
      </c>
      <c r="R2106" s="14">
        <v>48959</v>
      </c>
    </row>
    <row r="2107" spans="1:18" ht="195" x14ac:dyDescent="0.25">
      <c r="A2107" s="14" t="s">
        <v>8732</v>
      </c>
      <c r="B2107" s="14" t="s">
        <v>8944</v>
      </c>
      <c r="C2107" s="14" t="s">
        <v>8635</v>
      </c>
      <c r="D2107" s="14" t="s">
        <v>8531</v>
      </c>
      <c r="E2107" s="14" t="s">
        <v>4081</v>
      </c>
      <c r="F2107" s="14" t="s">
        <v>4082</v>
      </c>
      <c r="G2107" s="14" t="s">
        <v>37</v>
      </c>
      <c r="H2107" s="14" t="s">
        <v>4086</v>
      </c>
      <c r="I2107" s="14"/>
      <c r="J2107" s="14" t="s">
        <v>135</v>
      </c>
      <c r="K2107" s="14"/>
      <c r="L2107" s="14"/>
      <c r="M2107" s="14" t="s">
        <v>4084</v>
      </c>
      <c r="N2107" s="14"/>
      <c r="O2107" s="14" t="s">
        <v>4085</v>
      </c>
      <c r="P2107" s="14" t="str">
        <f>HYPERLINK("https://ceds.ed.gov/cedselementdetails.aspx?termid=17097")</f>
        <v>https://ceds.ed.gov/cedselementdetails.aspx?termid=17097</v>
      </c>
      <c r="Q2107" s="14" t="str">
        <f>HYPERLINK("https://ceds.ed.gov/elementComment.aspx?elementName=Enrollment Entry Date &amp;elementID=17097", "Click here to submit comment")</f>
        <v>Click here to submit comment</v>
      </c>
      <c r="R2107" s="14">
        <v>48950</v>
      </c>
    </row>
    <row r="2108" spans="1:18" ht="45" x14ac:dyDescent="0.25">
      <c r="A2108" s="14" t="s">
        <v>8732</v>
      </c>
      <c r="B2108" s="14" t="s">
        <v>8944</v>
      </c>
      <c r="C2108" s="14" t="s">
        <v>8635</v>
      </c>
      <c r="D2108" s="14" t="s">
        <v>8531</v>
      </c>
      <c r="E2108" s="14" t="s">
        <v>3051</v>
      </c>
      <c r="F2108" s="14" t="s">
        <v>3052</v>
      </c>
      <c r="G2108" s="8" t="s">
        <v>8951</v>
      </c>
      <c r="H2108" s="14" t="s">
        <v>3056</v>
      </c>
      <c r="I2108" s="14"/>
      <c r="J2108" s="14"/>
      <c r="K2108" s="14"/>
      <c r="L2108" s="14"/>
      <c r="M2108" s="14" t="s">
        <v>3054</v>
      </c>
      <c r="N2108" s="14"/>
      <c r="O2108" s="14" t="s">
        <v>3055</v>
      </c>
      <c r="P2108" s="14" t="str">
        <f>HYPERLINK("https://ceds.ed.gov/cedselementdetails.aspx?termid=17652")</f>
        <v>https://ceds.ed.gov/cedselementdetails.aspx?termid=17652</v>
      </c>
      <c r="Q2108" s="14" t="str">
        <f>HYPERLINK("https://ceds.ed.gov/elementComment.aspx?elementName=Course Section Entry Type &amp;elementID=17652", "Click here to submit comment")</f>
        <v>Click here to submit comment</v>
      </c>
      <c r="R2108" s="14">
        <v>48033</v>
      </c>
    </row>
    <row r="2109" spans="1:18" ht="210" x14ac:dyDescent="0.25">
      <c r="A2109" s="14" t="s">
        <v>8732</v>
      </c>
      <c r="B2109" s="14" t="s">
        <v>8944</v>
      </c>
      <c r="C2109" s="14" t="s">
        <v>8635</v>
      </c>
      <c r="D2109" s="14" t="s">
        <v>8531</v>
      </c>
      <c r="E2109" s="14" t="s">
        <v>3057</v>
      </c>
      <c r="F2109" s="14" t="s">
        <v>3058</v>
      </c>
      <c r="G2109" s="8" t="s">
        <v>8952</v>
      </c>
      <c r="H2109" s="14" t="s">
        <v>3056</v>
      </c>
      <c r="I2109" s="14"/>
      <c r="J2109" s="14"/>
      <c r="K2109" s="14"/>
      <c r="L2109" s="14"/>
      <c r="M2109" s="14" t="s">
        <v>3060</v>
      </c>
      <c r="N2109" s="14"/>
      <c r="O2109" s="14" t="s">
        <v>3061</v>
      </c>
      <c r="P2109" s="14" t="str">
        <f>HYPERLINK("https://ceds.ed.gov/cedselementdetails.aspx?termid=17654")</f>
        <v>https://ceds.ed.gov/cedselementdetails.aspx?termid=17654</v>
      </c>
      <c r="Q2109" s="14" t="str">
        <f>HYPERLINK("https://ceds.ed.gov/elementComment.aspx?elementName=Course Section Exit Type &amp;elementID=17654", "Click here to submit comment")</f>
        <v>Click here to submit comment</v>
      </c>
      <c r="R2109" s="14">
        <v>48035</v>
      </c>
    </row>
    <row r="2110" spans="1:18" ht="75" x14ac:dyDescent="0.25">
      <c r="A2110" s="14" t="s">
        <v>8732</v>
      </c>
      <c r="B2110" s="14" t="s">
        <v>8944</v>
      </c>
      <c r="C2110" s="14" t="s">
        <v>8635</v>
      </c>
      <c r="D2110" s="14" t="s">
        <v>8531</v>
      </c>
      <c r="E2110" s="14" t="s">
        <v>3062</v>
      </c>
      <c r="F2110" s="14" t="s">
        <v>3063</v>
      </c>
      <c r="G2110" s="14" t="s">
        <v>37</v>
      </c>
      <c r="H2110" s="14" t="s">
        <v>3056</v>
      </c>
      <c r="I2110" s="14"/>
      <c r="J2110" s="14" t="s">
        <v>135</v>
      </c>
      <c r="K2110" s="14"/>
      <c r="L2110" s="14" t="s">
        <v>160</v>
      </c>
      <c r="M2110" s="14" t="s">
        <v>3064</v>
      </c>
      <c r="N2110" s="14"/>
      <c r="O2110" s="14" t="s">
        <v>3065</v>
      </c>
      <c r="P2110" s="14" t="str">
        <f>HYPERLINK("https://ceds.ed.gov/cedselementdetails.aspx?termid=17653")</f>
        <v>https://ceds.ed.gov/cedselementdetails.aspx?termid=17653</v>
      </c>
      <c r="Q2110" s="14" t="str">
        <f>HYPERLINK("https://ceds.ed.gov/elementComment.aspx?elementName=Course Section Exit Withdrawal Date &amp;elementID=17653", "Click here to submit comment")</f>
        <v>Click here to submit comment</v>
      </c>
      <c r="R2110" s="14">
        <v>48034</v>
      </c>
    </row>
    <row r="2111" spans="1:18" ht="60" x14ac:dyDescent="0.25">
      <c r="A2111" s="14" t="s">
        <v>8732</v>
      </c>
      <c r="B2111" s="14" t="s">
        <v>8944</v>
      </c>
      <c r="C2111" s="14" t="s">
        <v>8635</v>
      </c>
      <c r="D2111" s="14" t="s">
        <v>8531</v>
      </c>
      <c r="E2111" s="14" t="s">
        <v>4123</v>
      </c>
      <c r="F2111" s="14" t="s">
        <v>4124</v>
      </c>
      <c r="G2111" s="8" t="s">
        <v>8823</v>
      </c>
      <c r="H2111" s="14" t="s">
        <v>3056</v>
      </c>
      <c r="I2111" s="14"/>
      <c r="J2111" s="14"/>
      <c r="K2111" s="14"/>
      <c r="L2111" s="14"/>
      <c r="M2111" s="14" t="s">
        <v>4127</v>
      </c>
      <c r="N2111" s="14"/>
      <c r="O2111" s="14" t="s">
        <v>4128</v>
      </c>
      <c r="P2111" s="14" t="str">
        <f>HYPERLINK("https://ceds.ed.gov/cedselementdetails.aspx?termid=17108")</f>
        <v>https://ceds.ed.gov/cedselementdetails.aspx?termid=17108</v>
      </c>
      <c r="Q2111" s="14" t="str">
        <f>HYPERLINK("https://ceds.ed.gov/elementComment.aspx?elementName=Exit or Withdrawal Status &amp;elementID=17108", "Click here to submit comment")</f>
        <v>Click here to submit comment</v>
      </c>
      <c r="R2111" s="14">
        <v>48952</v>
      </c>
    </row>
    <row r="2112" spans="1:18" ht="330" x14ac:dyDescent="0.25">
      <c r="A2112" s="14" t="s">
        <v>8732</v>
      </c>
      <c r="B2112" s="14" t="s">
        <v>8944</v>
      </c>
      <c r="C2112" s="14" t="s">
        <v>8635</v>
      </c>
      <c r="D2112" s="14" t="s">
        <v>8531</v>
      </c>
      <c r="E2112" s="14" t="s">
        <v>4830</v>
      </c>
      <c r="F2112" s="14" t="s">
        <v>4831</v>
      </c>
      <c r="G2112" s="8" t="s">
        <v>8821</v>
      </c>
      <c r="H2112" s="14" t="s">
        <v>72</v>
      </c>
      <c r="I2112" s="14"/>
      <c r="J2112" s="14"/>
      <c r="K2112" s="14"/>
      <c r="L2112" s="14"/>
      <c r="M2112" s="14" t="s">
        <v>4833</v>
      </c>
      <c r="N2112" s="14"/>
      <c r="O2112" s="14" t="s">
        <v>4834</v>
      </c>
      <c r="P2112" s="14" t="str">
        <f>HYPERLINK("https://ceds.ed.gov/cedselementdetails.aspx?termid=17125")</f>
        <v>https://ceds.ed.gov/cedselementdetails.aspx?termid=17125</v>
      </c>
      <c r="Q2112" s="14" t="str">
        <f>HYPERLINK("https://ceds.ed.gov/elementComment.aspx?elementName=Grade Level When Course Taken &amp;elementID=17125", "Click here to submit comment")</f>
        <v>Click here to submit comment</v>
      </c>
      <c r="R2112" s="14">
        <v>48954</v>
      </c>
    </row>
    <row r="2113" spans="1:18" ht="120" x14ac:dyDescent="0.25">
      <c r="A2113" s="14" t="s">
        <v>8732</v>
      </c>
      <c r="B2113" s="14" t="s">
        <v>8944</v>
      </c>
      <c r="C2113" s="14" t="s">
        <v>8635</v>
      </c>
      <c r="D2113" s="14" t="s">
        <v>8531</v>
      </c>
      <c r="E2113" s="14" t="s">
        <v>3041</v>
      </c>
      <c r="F2113" s="14" t="s">
        <v>3042</v>
      </c>
      <c r="G2113" s="14" t="s">
        <v>37</v>
      </c>
      <c r="H2113" s="14"/>
      <c r="I2113" s="14"/>
      <c r="J2113" s="14" t="s">
        <v>135</v>
      </c>
      <c r="K2113" s="14"/>
      <c r="L2113" s="14" t="s">
        <v>3043</v>
      </c>
      <c r="M2113" s="14" t="s">
        <v>3044</v>
      </c>
      <c r="N2113" s="14"/>
      <c r="O2113" s="14" t="s">
        <v>3045</v>
      </c>
      <c r="P2113" s="14" t="str">
        <f>HYPERLINK("https://ceds.ed.gov/cedselementdetails.aspx?termid=17975")</f>
        <v>https://ceds.ed.gov/cedselementdetails.aspx?termid=17975</v>
      </c>
      <c r="Q2113" s="14" t="str">
        <f>HYPERLINK("https://ceds.ed.gov/elementComment.aspx?elementName=Course Section Enrollment Status Start Date &amp;elementID=17975", "Click here to submit comment")</f>
        <v>Click here to submit comment</v>
      </c>
      <c r="R2113" s="14">
        <v>48426</v>
      </c>
    </row>
    <row r="2114" spans="1:18" ht="195" x14ac:dyDescent="0.25">
      <c r="A2114" s="14" t="s">
        <v>8732</v>
      </c>
      <c r="B2114" s="14" t="s">
        <v>8944</v>
      </c>
      <c r="C2114" s="14" t="s">
        <v>8635</v>
      </c>
      <c r="D2114" s="14" t="s">
        <v>8531</v>
      </c>
      <c r="E2114" s="14" t="s">
        <v>3035</v>
      </c>
      <c r="F2114" s="14" t="s">
        <v>3036</v>
      </c>
      <c r="G2114" s="14" t="s">
        <v>37</v>
      </c>
      <c r="H2114" s="14"/>
      <c r="I2114" s="14"/>
      <c r="J2114" s="14" t="s">
        <v>135</v>
      </c>
      <c r="K2114" s="14"/>
      <c r="L2114" s="14" t="s">
        <v>3038</v>
      </c>
      <c r="M2114" s="14" t="s">
        <v>3039</v>
      </c>
      <c r="N2114" s="14"/>
      <c r="O2114" s="14" t="s">
        <v>3040</v>
      </c>
      <c r="P2114" s="14" t="str">
        <f>HYPERLINK("https://ceds.ed.gov/cedselementdetails.aspx?termid=17976")</f>
        <v>https://ceds.ed.gov/cedselementdetails.aspx?termid=17976</v>
      </c>
      <c r="Q2114" s="14" t="str">
        <f>HYPERLINK("https://ceds.ed.gov/elementComment.aspx?elementName=Course Section Enrollment Status End Date &amp;elementID=17976", "Click here to submit comment")</f>
        <v>Click here to submit comment</v>
      </c>
      <c r="R2114" s="14">
        <v>48427</v>
      </c>
    </row>
    <row r="2115" spans="1:18" ht="120" x14ac:dyDescent="0.25">
      <c r="A2115" s="14" t="s">
        <v>8732</v>
      </c>
      <c r="B2115" s="14" t="s">
        <v>8944</v>
      </c>
      <c r="C2115" s="14" t="s">
        <v>8635</v>
      </c>
      <c r="D2115" s="14" t="s">
        <v>8531</v>
      </c>
      <c r="E2115" s="14" t="s">
        <v>3046</v>
      </c>
      <c r="F2115" s="14" t="s">
        <v>3047</v>
      </c>
      <c r="G2115" s="8" t="s">
        <v>8953</v>
      </c>
      <c r="H2115" s="14"/>
      <c r="I2115" s="14"/>
      <c r="J2115" s="14"/>
      <c r="K2115" s="14"/>
      <c r="L2115" s="14" t="s">
        <v>3043</v>
      </c>
      <c r="M2115" s="14" t="s">
        <v>3049</v>
      </c>
      <c r="N2115" s="14"/>
      <c r="O2115" s="14" t="s">
        <v>3050</v>
      </c>
      <c r="P2115" s="14" t="str">
        <f>HYPERLINK("https://ceds.ed.gov/cedselementdetails.aspx?termid=17977")</f>
        <v>https://ceds.ed.gov/cedselementdetails.aspx?termid=17977</v>
      </c>
      <c r="Q2115" s="14" t="str">
        <f>HYPERLINK("https://ceds.ed.gov/elementComment.aspx?elementName=Course Section Enrollment Status Type &amp;elementID=17977", "Click here to submit comment")</f>
        <v>Click here to submit comment</v>
      </c>
      <c r="R2115" s="14">
        <v>48428</v>
      </c>
    </row>
    <row r="2116" spans="1:18" ht="255" x14ac:dyDescent="0.25">
      <c r="A2116" s="14" t="s">
        <v>8732</v>
      </c>
      <c r="B2116" s="14" t="s">
        <v>8944</v>
      </c>
      <c r="C2116" s="14" t="s">
        <v>8635</v>
      </c>
      <c r="D2116" s="14" t="s">
        <v>8531</v>
      </c>
      <c r="E2116" s="14" t="s">
        <v>6451</v>
      </c>
      <c r="F2116" s="14" t="s">
        <v>6452</v>
      </c>
      <c r="G2116" s="14" t="s">
        <v>37</v>
      </c>
      <c r="H2116" s="14" t="s">
        <v>6457</v>
      </c>
      <c r="I2116" s="14"/>
      <c r="J2116" s="14" t="s">
        <v>1710</v>
      </c>
      <c r="K2116" s="14"/>
      <c r="L2116" s="14" t="s">
        <v>6454</v>
      </c>
      <c r="M2116" s="14" t="s">
        <v>6455</v>
      </c>
      <c r="N2116" s="14"/>
      <c r="O2116" s="14" t="s">
        <v>6456</v>
      </c>
      <c r="P2116" s="14" t="str">
        <f>HYPERLINK("https://ceds.ed.gov/cedselementdetails.aspx?termid=17202")</f>
        <v>https://ceds.ed.gov/cedselementdetails.aspx?termid=17202</v>
      </c>
      <c r="Q2116" s="14" t="str">
        <f>HYPERLINK("https://ceds.ed.gov/elementComment.aspx?elementName=Number of Days in Attendance &amp;elementID=17202", "Click here to submit comment")</f>
        <v>Click here to submit comment</v>
      </c>
      <c r="R2116" s="14">
        <v>48008</v>
      </c>
    </row>
    <row r="2117" spans="1:18" ht="120" x14ac:dyDescent="0.25">
      <c r="A2117" s="14" t="s">
        <v>8732</v>
      </c>
      <c r="B2117" s="14" t="s">
        <v>8944</v>
      </c>
      <c r="C2117" s="14" t="s">
        <v>8635</v>
      </c>
      <c r="D2117" s="14" t="s">
        <v>8531</v>
      </c>
      <c r="E2117" s="14" t="s">
        <v>6441</v>
      </c>
      <c r="F2117" s="14" t="s">
        <v>6442</v>
      </c>
      <c r="G2117" s="14" t="s">
        <v>37</v>
      </c>
      <c r="H2117" s="14" t="s">
        <v>6446</v>
      </c>
      <c r="I2117" s="14"/>
      <c r="J2117" s="14" t="s">
        <v>1710</v>
      </c>
      <c r="K2117" s="14"/>
      <c r="L2117" s="14"/>
      <c r="M2117" s="14" t="s">
        <v>6444</v>
      </c>
      <c r="N2117" s="14"/>
      <c r="O2117" s="14" t="s">
        <v>6445</v>
      </c>
      <c r="P2117" s="14" t="str">
        <f>HYPERLINK("https://ceds.ed.gov/cedselementdetails.aspx?termid=17201")</f>
        <v>https://ceds.ed.gov/cedselementdetails.aspx?termid=17201</v>
      </c>
      <c r="Q2117" s="14" t="str">
        <f>HYPERLINK("https://ceds.ed.gov/elementComment.aspx?elementName=Number of Days Absent &amp;elementID=17201", "Click here to submit comment")</f>
        <v>Click here to submit comment</v>
      </c>
      <c r="R2117" s="14">
        <v>48007</v>
      </c>
    </row>
    <row r="2118" spans="1:18" ht="90" x14ac:dyDescent="0.25">
      <c r="A2118" s="14" t="s">
        <v>8732</v>
      </c>
      <c r="B2118" s="14" t="s">
        <v>8944</v>
      </c>
      <c r="C2118" s="14" t="s">
        <v>8635</v>
      </c>
      <c r="D2118" s="14" t="s">
        <v>8531</v>
      </c>
      <c r="E2118" s="14" t="s">
        <v>6431</v>
      </c>
      <c r="F2118" s="14" t="s">
        <v>6432</v>
      </c>
      <c r="G2118" s="14" t="s">
        <v>37</v>
      </c>
      <c r="H2118" s="14" t="s">
        <v>72</v>
      </c>
      <c r="I2118" s="14"/>
      <c r="J2118" s="14" t="s">
        <v>1710</v>
      </c>
      <c r="K2118" s="14"/>
      <c r="L2118" s="14"/>
      <c r="M2118" s="14" t="s">
        <v>6434</v>
      </c>
      <c r="N2118" s="14"/>
      <c r="O2118" s="14" t="s">
        <v>6435</v>
      </c>
      <c r="P2118" s="14" t="str">
        <f>HYPERLINK("https://ceds.ed.gov/cedselementdetails.aspx?termid=17199")</f>
        <v>https://ceds.ed.gov/cedselementdetails.aspx?termid=17199</v>
      </c>
      <c r="Q2118" s="14" t="str">
        <f>HYPERLINK("https://ceds.ed.gov/elementComment.aspx?elementName=Number of Credits Attempted &amp;elementID=17199", "Click here to submit comment")</f>
        <v>Click here to submit comment</v>
      </c>
      <c r="R2118" s="14">
        <v>48005</v>
      </c>
    </row>
    <row r="2119" spans="1:18" ht="120" x14ac:dyDescent="0.25">
      <c r="A2119" s="14" t="s">
        <v>8732</v>
      </c>
      <c r="B2119" s="14" t="s">
        <v>8944</v>
      </c>
      <c r="C2119" s="14" t="s">
        <v>8635</v>
      </c>
      <c r="D2119" s="14" t="s">
        <v>8531</v>
      </c>
      <c r="E2119" s="14" t="s">
        <v>6436</v>
      </c>
      <c r="F2119" s="14" t="s">
        <v>6437</v>
      </c>
      <c r="G2119" s="14" t="s">
        <v>37</v>
      </c>
      <c r="H2119" s="14" t="s">
        <v>6137</v>
      </c>
      <c r="I2119" s="14"/>
      <c r="J2119" s="14" t="s">
        <v>1710</v>
      </c>
      <c r="K2119" s="14"/>
      <c r="L2119" s="14"/>
      <c r="M2119" s="14" t="s">
        <v>6439</v>
      </c>
      <c r="N2119" s="14"/>
      <c r="O2119" s="14" t="s">
        <v>6440</v>
      </c>
      <c r="P2119" s="14" t="str">
        <f>HYPERLINK("https://ceds.ed.gov/cedselementdetails.aspx?termid=17200")</f>
        <v>https://ceds.ed.gov/cedselementdetails.aspx?termid=17200</v>
      </c>
      <c r="Q2119" s="14" t="str">
        <f>HYPERLINK("https://ceds.ed.gov/elementComment.aspx?elementName=Number of Credits Earned &amp;elementID=17200", "Click here to submit comment")</f>
        <v>Click here to submit comment</v>
      </c>
      <c r="R2119" s="14">
        <v>48006</v>
      </c>
    </row>
    <row r="2120" spans="1:18" ht="120" x14ac:dyDescent="0.25">
      <c r="A2120" s="14" t="s">
        <v>8732</v>
      </c>
      <c r="B2120" s="14" t="s">
        <v>8944</v>
      </c>
      <c r="C2120" s="14" t="s">
        <v>8635</v>
      </c>
      <c r="D2120" s="14" t="s">
        <v>8531</v>
      </c>
      <c r="E2120" s="14" t="s">
        <v>7404</v>
      </c>
      <c r="F2120" s="14" t="s">
        <v>7405</v>
      </c>
      <c r="G2120" s="8" t="s">
        <v>8639</v>
      </c>
      <c r="H2120" s="14" t="s">
        <v>258</v>
      </c>
      <c r="I2120" s="14"/>
      <c r="J2120" s="14"/>
      <c r="K2120" s="14"/>
      <c r="L2120" s="14"/>
      <c r="M2120" s="14" t="s">
        <v>7407</v>
      </c>
      <c r="N2120" s="14"/>
      <c r="O2120" s="14" t="s">
        <v>7408</v>
      </c>
      <c r="P2120" s="14" t="str">
        <f>HYPERLINK("https://ceds.ed.gov/cedselementdetails.aspx?termid=17587")</f>
        <v>https://ceds.ed.gov/cedselementdetails.aspx?termid=17587</v>
      </c>
      <c r="Q2120" s="14" t="str">
        <f>HYPERLINK("https://ceds.ed.gov/elementComment.aspx?elementName=Responsible District Type &amp;elementID=17587", "Click here to submit comment")</f>
        <v>Click here to submit comment</v>
      </c>
      <c r="R2120" s="14">
        <v>50373</v>
      </c>
    </row>
    <row r="2121" spans="1:18" ht="120" x14ac:dyDescent="0.25">
      <c r="A2121" s="14" t="s">
        <v>8732</v>
      </c>
      <c r="B2121" s="14" t="s">
        <v>8944</v>
      </c>
      <c r="C2121" s="14" t="s">
        <v>8635</v>
      </c>
      <c r="D2121" s="14" t="s">
        <v>8531</v>
      </c>
      <c r="E2121" s="14" t="s">
        <v>7423</v>
      </c>
      <c r="F2121" s="14" t="s">
        <v>7424</v>
      </c>
      <c r="G2121" s="8" t="s">
        <v>8639</v>
      </c>
      <c r="H2121" s="14" t="s">
        <v>258</v>
      </c>
      <c r="I2121" s="14"/>
      <c r="J2121" s="14"/>
      <c r="K2121" s="14"/>
      <c r="L2121" s="14"/>
      <c r="M2121" s="14" t="s">
        <v>7425</v>
      </c>
      <c r="N2121" s="14"/>
      <c r="O2121" s="14" t="s">
        <v>7426</v>
      </c>
      <c r="P2121" s="14" t="str">
        <f>HYPERLINK("https://ceds.ed.gov/cedselementdetails.aspx?termid=17588")</f>
        <v>https://ceds.ed.gov/cedselementdetails.aspx?termid=17588</v>
      </c>
      <c r="Q2121" s="14" t="str">
        <f>HYPERLINK("https://ceds.ed.gov/elementComment.aspx?elementName=Responsible School Type &amp;elementID=17588", "Click here to submit comment")</f>
        <v>Click here to submit comment</v>
      </c>
      <c r="R2121" s="14">
        <v>50374</v>
      </c>
    </row>
    <row r="2122" spans="1:18" ht="90" x14ac:dyDescent="0.25">
      <c r="A2122" s="14" t="s">
        <v>8732</v>
      </c>
      <c r="B2122" s="14" t="s">
        <v>8944</v>
      </c>
      <c r="C2122" s="14" t="s">
        <v>8635</v>
      </c>
      <c r="D2122" s="14" t="s">
        <v>8531</v>
      </c>
      <c r="E2122" s="14" t="s">
        <v>8046</v>
      </c>
      <c r="F2122" s="14" t="s">
        <v>8047</v>
      </c>
      <c r="G2122" s="14" t="s">
        <v>37</v>
      </c>
      <c r="H2122" s="14" t="s">
        <v>72</v>
      </c>
      <c r="I2122" s="14"/>
      <c r="J2122" s="14" t="s">
        <v>2870</v>
      </c>
      <c r="K2122" s="14"/>
      <c r="L2122" s="14"/>
      <c r="M2122" s="14" t="s">
        <v>8049</v>
      </c>
      <c r="N2122" s="14"/>
      <c r="O2122" s="14" t="s">
        <v>8050</v>
      </c>
      <c r="P2122" s="14" t="str">
        <f>HYPERLINK("https://ceds.ed.gov/cedselementdetails.aspx?termid=17124")</f>
        <v>https://ceds.ed.gov/cedselementdetails.aspx?termid=17124</v>
      </c>
      <c r="Q2122" s="14" t="str">
        <f>HYPERLINK("https://ceds.ed.gov/elementComment.aspx?elementName=Student Course Section Grade Earned &amp;elementID=17124", "Click here to submit comment")</f>
        <v>Click here to submit comment</v>
      </c>
      <c r="R2122" s="14">
        <v>50922</v>
      </c>
    </row>
    <row r="2123" spans="1:18" ht="45" x14ac:dyDescent="0.25">
      <c r="A2123" s="14" t="s">
        <v>8732</v>
      </c>
      <c r="B2123" s="14" t="s">
        <v>8944</v>
      </c>
      <c r="C2123" s="14" t="s">
        <v>8635</v>
      </c>
      <c r="D2123" s="14" t="s">
        <v>8531</v>
      </c>
      <c r="E2123" s="14" t="s">
        <v>8051</v>
      </c>
      <c r="F2123" s="14" t="s">
        <v>8052</v>
      </c>
      <c r="G2123" s="14" t="s">
        <v>37</v>
      </c>
      <c r="H2123" s="14"/>
      <c r="I2123" s="14"/>
      <c r="J2123" s="14" t="s">
        <v>129</v>
      </c>
      <c r="K2123" s="14"/>
      <c r="L2123" s="14"/>
      <c r="M2123" s="14" t="s">
        <v>8054</v>
      </c>
      <c r="N2123" s="14"/>
      <c r="O2123" s="14" t="s">
        <v>8055</v>
      </c>
      <c r="P2123" s="14" t="str">
        <f>HYPERLINK("https://ceds.ed.gov/cedselementdetails.aspx?termid=18552")</f>
        <v>https://ceds.ed.gov/cedselementdetails.aspx?termid=18552</v>
      </c>
      <c r="Q2123" s="14" t="str">
        <f>HYPERLINK("https://ceds.ed.gov/elementComment.aspx?elementName=Student Course Section Grade Narrative &amp;elementID=18552", "Click here to submit comment")</f>
        <v>Click here to submit comment</v>
      </c>
      <c r="R2123" s="14">
        <v>50925</v>
      </c>
    </row>
    <row r="2124" spans="1:18" ht="90" x14ac:dyDescent="0.25">
      <c r="A2124" s="14" t="s">
        <v>8732</v>
      </c>
      <c r="B2124" s="14" t="s">
        <v>8944</v>
      </c>
      <c r="C2124" s="14" t="s">
        <v>8954</v>
      </c>
      <c r="D2124" s="14" t="s">
        <v>8531</v>
      </c>
      <c r="E2124" s="14" t="s">
        <v>6186</v>
      </c>
      <c r="F2124" s="14" t="s">
        <v>6187</v>
      </c>
      <c r="G2124" s="14" t="s">
        <v>37</v>
      </c>
      <c r="H2124" s="14" t="s">
        <v>72</v>
      </c>
      <c r="I2124" s="14"/>
      <c r="J2124" s="14" t="s">
        <v>97</v>
      </c>
      <c r="K2124" s="14"/>
      <c r="L2124" s="14"/>
      <c r="M2124" s="14" t="s">
        <v>6189</v>
      </c>
      <c r="N2124" s="14"/>
      <c r="O2124" s="14" t="s">
        <v>6190</v>
      </c>
      <c r="P2124" s="14" t="str">
        <f>HYPERLINK("https://ceds.ed.gov/cedselementdetails.aspx?termid=17182")</f>
        <v>https://ceds.ed.gov/cedselementdetails.aspx?termid=17182</v>
      </c>
      <c r="Q2124" s="14" t="str">
        <f>HYPERLINK("https://ceds.ed.gov/elementComment.aspx?elementName=Marking Period Name &amp;elementID=17182", "Click here to submit comment")</f>
        <v>Click here to submit comment</v>
      </c>
      <c r="R2124" s="14">
        <v>49344</v>
      </c>
    </row>
    <row r="2125" spans="1:18" ht="45" x14ac:dyDescent="0.25">
      <c r="A2125" s="14" t="s">
        <v>8732</v>
      </c>
      <c r="B2125" s="14" t="s">
        <v>8944</v>
      </c>
      <c r="C2125" s="14" t="s">
        <v>8954</v>
      </c>
      <c r="D2125" s="14" t="s">
        <v>8531</v>
      </c>
      <c r="E2125" s="14" t="s">
        <v>8056</v>
      </c>
      <c r="F2125" s="14" t="s">
        <v>8057</v>
      </c>
      <c r="G2125" s="14" t="s">
        <v>24</v>
      </c>
      <c r="H2125" s="14"/>
      <c r="I2125" s="14"/>
      <c r="J2125" s="14"/>
      <c r="K2125" s="14"/>
      <c r="L2125" s="14"/>
      <c r="M2125" s="14" t="s">
        <v>8058</v>
      </c>
      <c r="N2125" s="14"/>
      <c r="O2125" s="14" t="s">
        <v>8059</v>
      </c>
      <c r="P2125" s="14" t="str">
        <f>HYPERLINK("https://ceds.ed.gov/cedselementdetails.aspx?termid=18191")</f>
        <v>https://ceds.ed.gov/cedselementdetails.aspx?termid=18191</v>
      </c>
      <c r="Q2125" s="14" t="str">
        <f>HYPERLINK("https://ceds.ed.gov/elementComment.aspx?elementName=Student Course Section Mark Final Indicator &amp;elementID=18191", "Click here to submit comment")</f>
        <v>Click here to submit comment</v>
      </c>
      <c r="R2125" s="14">
        <v>48784</v>
      </c>
    </row>
    <row r="2126" spans="1:18" ht="90" x14ac:dyDescent="0.25">
      <c r="A2126" s="14" t="s">
        <v>8732</v>
      </c>
      <c r="B2126" s="14" t="s">
        <v>8944</v>
      </c>
      <c r="C2126" s="14" t="s">
        <v>8954</v>
      </c>
      <c r="D2126" s="14" t="s">
        <v>8531</v>
      </c>
      <c r="E2126" s="14" t="s">
        <v>6219</v>
      </c>
      <c r="F2126" s="14" t="s">
        <v>6220</v>
      </c>
      <c r="G2126" s="14" t="s">
        <v>37</v>
      </c>
      <c r="H2126" s="14" t="s">
        <v>72</v>
      </c>
      <c r="I2126" s="14"/>
      <c r="J2126" s="14" t="s">
        <v>2870</v>
      </c>
      <c r="K2126" s="14"/>
      <c r="L2126" s="14"/>
      <c r="M2126" s="14" t="s">
        <v>6221</v>
      </c>
      <c r="N2126" s="14"/>
      <c r="O2126" s="14" t="s">
        <v>6222</v>
      </c>
      <c r="P2126" s="14" t="str">
        <f>HYPERLINK("https://ceds.ed.gov/cedselementdetails.aspx?termid=17183")</f>
        <v>https://ceds.ed.gov/cedselementdetails.aspx?termid=17183</v>
      </c>
      <c r="Q2126" s="14" t="str">
        <f>HYPERLINK("https://ceds.ed.gov/elementComment.aspx?elementName=Mid Term Mark &amp;elementID=17183", "Click here to submit comment")</f>
        <v>Click here to submit comment</v>
      </c>
      <c r="R2126" s="14">
        <v>49345</v>
      </c>
    </row>
    <row r="2127" spans="1:18" ht="90" x14ac:dyDescent="0.25">
      <c r="A2127" s="14" t="s">
        <v>8732</v>
      </c>
      <c r="B2127" s="14" t="s">
        <v>8944</v>
      </c>
      <c r="C2127" s="14" t="s">
        <v>8954</v>
      </c>
      <c r="D2127" s="14" t="s">
        <v>8531</v>
      </c>
      <c r="E2127" s="14" t="s">
        <v>8046</v>
      </c>
      <c r="F2127" s="14" t="s">
        <v>8047</v>
      </c>
      <c r="G2127" s="14" t="s">
        <v>37</v>
      </c>
      <c r="H2127" s="14" t="s">
        <v>72</v>
      </c>
      <c r="I2127" s="14"/>
      <c r="J2127" s="14" t="s">
        <v>2870</v>
      </c>
      <c r="K2127" s="14"/>
      <c r="L2127" s="14"/>
      <c r="M2127" s="14" t="s">
        <v>8049</v>
      </c>
      <c r="N2127" s="14"/>
      <c r="O2127" s="14" t="s">
        <v>8050</v>
      </c>
      <c r="P2127" s="14" t="str">
        <f>HYPERLINK("https://ceds.ed.gov/cedselementdetails.aspx?termid=17124")</f>
        <v>https://ceds.ed.gov/cedselementdetails.aspx?termid=17124</v>
      </c>
      <c r="Q2127" s="14" t="str">
        <f>HYPERLINK("https://ceds.ed.gov/elementComment.aspx?elementName=Student Course Section Grade Earned &amp;elementID=17124", "Click here to submit comment")</f>
        <v>Click here to submit comment</v>
      </c>
      <c r="R2127" s="14">
        <v>48953</v>
      </c>
    </row>
    <row r="2128" spans="1:18" ht="135" x14ac:dyDescent="0.25">
      <c r="A2128" s="14" t="s">
        <v>8732</v>
      </c>
      <c r="B2128" s="14" t="s">
        <v>8944</v>
      </c>
      <c r="C2128" s="14" t="s">
        <v>8954</v>
      </c>
      <c r="D2128" s="14" t="s">
        <v>8531</v>
      </c>
      <c r="E2128" s="14" t="s">
        <v>4878</v>
      </c>
      <c r="F2128" s="14" t="s">
        <v>4879</v>
      </c>
      <c r="G2128" s="14" t="s">
        <v>37</v>
      </c>
      <c r="H2128" s="14"/>
      <c r="I2128" s="14"/>
      <c r="J2128" s="14" t="s">
        <v>874</v>
      </c>
      <c r="K2128" s="14"/>
      <c r="L2128" s="14" t="s">
        <v>4881</v>
      </c>
      <c r="M2128" s="14" t="s">
        <v>4882</v>
      </c>
      <c r="N2128" s="14"/>
      <c r="O2128" s="14" t="s">
        <v>4883</v>
      </c>
      <c r="P2128" s="14" t="str">
        <f>HYPERLINK("https://ceds.ed.gov/cedselementdetails.aspx?termid=17609")</f>
        <v>https://ceds.ed.gov/cedselementdetails.aspx?termid=17609</v>
      </c>
      <c r="Q2128" s="14" t="str">
        <f>HYPERLINK("https://ceds.ed.gov/elementComment.aspx?elementName=Grade Value Qualifier &amp;elementID=17609", "Click here to submit comment")</f>
        <v>Click here to submit comment</v>
      </c>
      <c r="R2128" s="14">
        <v>48029</v>
      </c>
    </row>
    <row r="2129" spans="1:18" ht="105" x14ac:dyDescent="0.25">
      <c r="A2129" s="16" t="s">
        <v>8732</v>
      </c>
      <c r="B2129" s="16" t="s">
        <v>8944</v>
      </c>
      <c r="C2129" s="16" t="s">
        <v>8955</v>
      </c>
      <c r="D2129" s="16" t="s">
        <v>8531</v>
      </c>
      <c r="E2129" s="16" t="s">
        <v>7927</v>
      </c>
      <c r="F2129" s="16" t="s">
        <v>7928</v>
      </c>
      <c r="G2129" s="16" t="s">
        <v>37</v>
      </c>
      <c r="H2129" s="16" t="s">
        <v>7931</v>
      </c>
      <c r="I2129" s="16"/>
      <c r="J2129" s="16" t="s">
        <v>149</v>
      </c>
      <c r="K2129" s="16"/>
      <c r="L2129" s="14" t="s">
        <v>150</v>
      </c>
      <c r="M2129" s="16" t="s">
        <v>7929</v>
      </c>
      <c r="N2129" s="16"/>
      <c r="O2129" s="16" t="s">
        <v>7930</v>
      </c>
      <c r="P2129" s="16" t="str">
        <f>HYPERLINK("https://ceds.ed.gov/cedselementdetails.aspx?termid=17156")</f>
        <v>https://ceds.ed.gov/cedselementdetails.aspx?termid=17156</v>
      </c>
      <c r="Q2129" s="16" t="str">
        <f>HYPERLINK("https://ceds.ed.gov/elementComment.aspx?elementName=Staff Member Identifier &amp;elementID=17156", "Click here to submit comment")</f>
        <v>Click here to submit comment</v>
      </c>
      <c r="R2129" s="16">
        <v>48956</v>
      </c>
    </row>
    <row r="2130" spans="1:18" x14ac:dyDescent="0.25">
      <c r="A2130" s="16"/>
      <c r="B2130" s="16"/>
      <c r="C2130" s="16"/>
      <c r="D2130" s="16"/>
      <c r="E2130" s="16"/>
      <c r="F2130" s="16"/>
      <c r="G2130" s="16"/>
      <c r="H2130" s="16"/>
      <c r="I2130" s="16"/>
      <c r="J2130" s="16"/>
      <c r="K2130" s="16"/>
      <c r="L2130" s="14"/>
      <c r="M2130" s="16"/>
      <c r="N2130" s="16"/>
      <c r="O2130" s="16"/>
      <c r="P2130" s="16"/>
      <c r="Q2130" s="16"/>
      <c r="R2130" s="16"/>
    </row>
    <row r="2131" spans="1:18" ht="90" x14ac:dyDescent="0.25">
      <c r="A2131" s="16"/>
      <c r="B2131" s="16"/>
      <c r="C2131" s="16"/>
      <c r="D2131" s="16"/>
      <c r="E2131" s="16"/>
      <c r="F2131" s="16"/>
      <c r="G2131" s="16"/>
      <c r="H2131" s="16"/>
      <c r="I2131" s="16"/>
      <c r="J2131" s="16"/>
      <c r="K2131" s="16"/>
      <c r="L2131" s="14" t="s">
        <v>153</v>
      </c>
      <c r="M2131" s="16"/>
      <c r="N2131" s="16"/>
      <c r="O2131" s="16"/>
      <c r="P2131" s="16"/>
      <c r="Q2131" s="16"/>
      <c r="R2131" s="16"/>
    </row>
    <row r="2132" spans="1:18" ht="345" x14ac:dyDescent="0.25">
      <c r="A2132" s="14" t="s">
        <v>8732</v>
      </c>
      <c r="B2132" s="14" t="s">
        <v>8944</v>
      </c>
      <c r="C2132" s="14" t="s">
        <v>8955</v>
      </c>
      <c r="D2132" s="14" t="s">
        <v>8531</v>
      </c>
      <c r="E2132" s="14" t="s">
        <v>7920</v>
      </c>
      <c r="F2132" s="14" t="s">
        <v>7921</v>
      </c>
      <c r="G2132" s="8" t="s">
        <v>8687</v>
      </c>
      <c r="H2132" s="14" t="s">
        <v>7926</v>
      </c>
      <c r="I2132" s="14"/>
      <c r="J2132" s="14"/>
      <c r="K2132" s="14"/>
      <c r="L2132" s="14"/>
      <c r="M2132" s="14" t="s">
        <v>7924</v>
      </c>
      <c r="N2132" s="14"/>
      <c r="O2132" s="14" t="s">
        <v>7925</v>
      </c>
      <c r="P2132" s="14" t="str">
        <f>HYPERLINK("https://ceds.ed.gov/cedselementdetails.aspx?termid=17162")</f>
        <v>https://ceds.ed.gov/cedselementdetails.aspx?termid=17162</v>
      </c>
      <c r="Q2132" s="14" t="str">
        <f>HYPERLINK("https://ceds.ed.gov/elementComment.aspx?elementName=Staff Member Identification System &amp;elementID=17162", "Click here to submit comment")</f>
        <v>Click here to submit comment</v>
      </c>
      <c r="R2132" s="14">
        <v>48958</v>
      </c>
    </row>
    <row r="2133" spans="1:18" ht="45" x14ac:dyDescent="0.25">
      <c r="A2133" s="14" t="s">
        <v>8732</v>
      </c>
      <c r="B2133" s="14" t="s">
        <v>8944</v>
      </c>
      <c r="C2133" s="14" t="s">
        <v>8955</v>
      </c>
      <c r="D2133" s="14" t="s">
        <v>8531</v>
      </c>
      <c r="E2133" s="14" t="s">
        <v>1626</v>
      </c>
      <c r="F2133" s="14" t="s">
        <v>1627</v>
      </c>
      <c r="G2133" s="14" t="s">
        <v>37</v>
      </c>
      <c r="H2133" s="14"/>
      <c r="I2133" s="14"/>
      <c r="J2133" s="14" t="s">
        <v>135</v>
      </c>
      <c r="K2133" s="14"/>
      <c r="L2133" s="14"/>
      <c r="M2133" s="14" t="s">
        <v>1628</v>
      </c>
      <c r="N2133" s="14"/>
      <c r="O2133" s="14" t="s">
        <v>1629</v>
      </c>
      <c r="P2133" s="14" t="str">
        <f>HYPERLINK("https://ceds.ed.gov/cedselementdetails.aspx?termid=17517")</f>
        <v>https://ceds.ed.gov/cedselementdetails.aspx?termid=17517</v>
      </c>
      <c r="Q2133" s="14" t="str">
        <f>HYPERLINK("https://ceds.ed.gov/elementComment.aspx?elementName=Assignment Start Date &amp;elementID=17517", "Click here to submit comment")</f>
        <v>Click here to submit comment</v>
      </c>
      <c r="R2133" s="14">
        <v>48027</v>
      </c>
    </row>
    <row r="2134" spans="1:18" ht="75" x14ac:dyDescent="0.25">
      <c r="A2134" s="14" t="s">
        <v>8732</v>
      </c>
      <c r="B2134" s="14" t="s">
        <v>8944</v>
      </c>
      <c r="C2134" s="14" t="s">
        <v>8955</v>
      </c>
      <c r="D2134" s="14" t="s">
        <v>8531</v>
      </c>
      <c r="E2134" s="14" t="s">
        <v>1621</v>
      </c>
      <c r="F2134" s="14" t="s">
        <v>1622</v>
      </c>
      <c r="G2134" s="14" t="s">
        <v>37</v>
      </c>
      <c r="H2134" s="14"/>
      <c r="I2134" s="14"/>
      <c r="J2134" s="14" t="s">
        <v>135</v>
      </c>
      <c r="K2134" s="14"/>
      <c r="L2134" s="14" t="s">
        <v>160</v>
      </c>
      <c r="M2134" s="14" t="s">
        <v>1624</v>
      </c>
      <c r="N2134" s="14"/>
      <c r="O2134" s="14" t="s">
        <v>1625</v>
      </c>
      <c r="P2134" s="14" t="str">
        <f>HYPERLINK("https://ceds.ed.gov/cedselementdetails.aspx?termid=17518")</f>
        <v>https://ceds.ed.gov/cedselementdetails.aspx?termid=17518</v>
      </c>
      <c r="Q2134" s="14" t="str">
        <f>HYPERLINK("https://ceds.ed.gov/elementComment.aspx?elementName=Assignment End Date &amp;elementID=17518", "Click here to submit comment")</f>
        <v>Click here to submit comment</v>
      </c>
      <c r="R2134" s="14">
        <v>48028</v>
      </c>
    </row>
    <row r="2135" spans="1:18" ht="60" x14ac:dyDescent="0.25">
      <c r="A2135" s="14" t="s">
        <v>8732</v>
      </c>
      <c r="B2135" s="14" t="s">
        <v>8944</v>
      </c>
      <c r="C2135" s="14" t="s">
        <v>8955</v>
      </c>
      <c r="D2135" s="14" t="s">
        <v>8531</v>
      </c>
      <c r="E2135" s="14" t="s">
        <v>8142</v>
      </c>
      <c r="F2135" s="14" t="s">
        <v>8143</v>
      </c>
      <c r="G2135" s="14" t="s">
        <v>24</v>
      </c>
      <c r="H2135" s="14" t="s">
        <v>8148</v>
      </c>
      <c r="I2135" s="14"/>
      <c r="J2135" s="14"/>
      <c r="K2135" s="14"/>
      <c r="L2135" s="14" t="s">
        <v>8145</v>
      </c>
      <c r="M2135" s="14" t="s">
        <v>8146</v>
      </c>
      <c r="N2135" s="14"/>
      <c r="O2135" s="14" t="s">
        <v>8147</v>
      </c>
      <c r="P2135" s="14" t="str">
        <f>HYPERLINK("https://ceds.ed.gov/cedselementdetails.aspx?termid=17649")</f>
        <v>https://ceds.ed.gov/cedselementdetails.aspx?termid=17649</v>
      </c>
      <c r="Q2135" s="14" t="str">
        <f>HYPERLINK("https://ceds.ed.gov/elementComment.aspx?elementName=Teacher of Record &amp;elementID=17649", "Click here to submit comment")</f>
        <v>Click here to submit comment</v>
      </c>
      <c r="R2135" s="14">
        <v>48030</v>
      </c>
    </row>
    <row r="2136" spans="1:18" ht="90" x14ac:dyDescent="0.25">
      <c r="A2136" s="14" t="s">
        <v>8732</v>
      </c>
      <c r="B2136" s="14" t="s">
        <v>8944</v>
      </c>
      <c r="C2136" s="14" t="s">
        <v>8955</v>
      </c>
      <c r="D2136" s="14" t="s">
        <v>8531</v>
      </c>
      <c r="E2136" s="14" t="s">
        <v>8173</v>
      </c>
      <c r="F2136" s="14" t="s">
        <v>8174</v>
      </c>
      <c r="G2136" s="8" t="s">
        <v>8956</v>
      </c>
      <c r="H2136" s="14" t="s">
        <v>8148</v>
      </c>
      <c r="I2136" s="14"/>
      <c r="J2136" s="14"/>
      <c r="K2136" s="14"/>
      <c r="L2136" s="14"/>
      <c r="M2136" s="14" t="s">
        <v>8176</v>
      </c>
      <c r="N2136" s="14"/>
      <c r="O2136" s="14" t="s">
        <v>8177</v>
      </c>
      <c r="P2136" s="14" t="str">
        <f>HYPERLINK("https://ceds.ed.gov/cedselementdetails.aspx?termid=17650")</f>
        <v>https://ceds.ed.gov/cedselementdetails.aspx?termid=17650</v>
      </c>
      <c r="Q2136" s="14" t="str">
        <f>HYPERLINK("https://ceds.ed.gov/elementComment.aspx?elementName=Teaching Assignment Role &amp;elementID=17650", "Click here to submit comment")</f>
        <v>Click here to submit comment</v>
      </c>
      <c r="R2136" s="14">
        <v>48031</v>
      </c>
    </row>
    <row r="2137" spans="1:18" ht="90" x14ac:dyDescent="0.25">
      <c r="A2137" s="14" t="s">
        <v>8732</v>
      </c>
      <c r="B2137" s="14" t="s">
        <v>8944</v>
      </c>
      <c r="C2137" s="14" t="s">
        <v>8955</v>
      </c>
      <c r="D2137" s="14" t="s">
        <v>8531</v>
      </c>
      <c r="E2137" s="14" t="s">
        <v>8164</v>
      </c>
      <c r="F2137" s="14" t="s">
        <v>8165</v>
      </c>
      <c r="G2137" s="14" t="s">
        <v>37</v>
      </c>
      <c r="H2137" s="14" t="s">
        <v>8148</v>
      </c>
      <c r="I2137" s="14"/>
      <c r="J2137" s="14" t="s">
        <v>869</v>
      </c>
      <c r="K2137" s="14"/>
      <c r="L2137" s="14"/>
      <c r="M2137" s="14" t="s">
        <v>8166</v>
      </c>
      <c r="N2137" s="14"/>
      <c r="O2137" s="14" t="s">
        <v>8167</v>
      </c>
      <c r="P2137" s="14" t="str">
        <f>HYPERLINK("https://ceds.ed.gov/cedselementdetails.aspx?termid=17651")</f>
        <v>https://ceds.ed.gov/cedselementdetails.aspx?termid=17651</v>
      </c>
      <c r="Q2137" s="14" t="str">
        <f>HYPERLINK("https://ceds.ed.gov/elementComment.aspx?elementName=Teaching Assignment Contribution Percentage &amp;elementID=17651", "Click here to submit comment")</f>
        <v>Click here to submit comment</v>
      </c>
      <c r="R2137" s="14">
        <v>48032</v>
      </c>
    </row>
    <row r="2138" spans="1:18" ht="270" x14ac:dyDescent="0.25">
      <c r="A2138" s="14" t="s">
        <v>8732</v>
      </c>
      <c r="B2138" s="14" t="s">
        <v>8944</v>
      </c>
      <c r="C2138" s="14" t="s">
        <v>8955</v>
      </c>
      <c r="D2138" s="14" t="s">
        <v>8531</v>
      </c>
      <c r="E2138" s="14" t="s">
        <v>2389</v>
      </c>
      <c r="F2138" s="14" t="s">
        <v>2390</v>
      </c>
      <c r="G2138" s="8" t="s">
        <v>8922</v>
      </c>
      <c r="H2138" s="14"/>
      <c r="I2138" s="14"/>
      <c r="J2138" s="14"/>
      <c r="K2138" s="14"/>
      <c r="L2138" s="14"/>
      <c r="M2138" s="14" t="s">
        <v>2393</v>
      </c>
      <c r="N2138" s="14"/>
      <c r="O2138" s="14" t="s">
        <v>2394</v>
      </c>
      <c r="P2138" s="14" t="str">
        <f>HYPERLINK("https://ceds.ed.gov/cedselementdetails.aspx?termid=17615")</f>
        <v>https://ceds.ed.gov/cedselementdetails.aspx?termid=17615</v>
      </c>
      <c r="Q2138" s="14" t="str">
        <f>HYPERLINK("https://ceds.ed.gov/elementComment.aspx?elementName=Classroom Position Type &amp;elementID=17615", "Click here to submit comment")</f>
        <v>Click here to submit comment</v>
      </c>
      <c r="R2138" s="14">
        <v>51128</v>
      </c>
    </row>
    <row r="2139" spans="1:18" ht="45" x14ac:dyDescent="0.25">
      <c r="A2139" s="14" t="s">
        <v>8732</v>
      </c>
      <c r="B2139" s="14" t="s">
        <v>8944</v>
      </c>
      <c r="C2139" s="14" t="s">
        <v>8828</v>
      </c>
      <c r="D2139" s="14" t="s">
        <v>8531</v>
      </c>
      <c r="E2139" s="14" t="s">
        <v>1630</v>
      </c>
      <c r="F2139" s="14" t="s">
        <v>1631</v>
      </c>
      <c r="G2139" s="14" t="s">
        <v>37</v>
      </c>
      <c r="H2139" s="14"/>
      <c r="I2139" s="14"/>
      <c r="J2139" s="14" t="s">
        <v>135</v>
      </c>
      <c r="K2139" s="14"/>
      <c r="L2139" s="14"/>
      <c r="M2139" s="14" t="s">
        <v>1633</v>
      </c>
      <c r="N2139" s="14"/>
      <c r="O2139" s="14" t="s">
        <v>1634</v>
      </c>
      <c r="P2139" s="14" t="str">
        <f>HYPERLINK("https://ceds.ed.gov/cedselementdetails.aspx?termid=18630")</f>
        <v>https://ceds.ed.gov/cedselementdetails.aspx?termid=18630</v>
      </c>
      <c r="Q2139" s="14" t="str">
        <f>HYPERLINK("https://ceds.ed.gov/elementComment.aspx?elementName=Attendance Event Date &amp;elementID=18630", "Click here to submit comment")</f>
        <v>Click here to submit comment</v>
      </c>
      <c r="R2139" s="14">
        <v>51490</v>
      </c>
    </row>
    <row r="2140" spans="1:18" ht="120" x14ac:dyDescent="0.25">
      <c r="A2140" s="14" t="s">
        <v>8732</v>
      </c>
      <c r="B2140" s="14" t="s">
        <v>8944</v>
      </c>
      <c r="C2140" s="14" t="s">
        <v>8828</v>
      </c>
      <c r="D2140" s="14" t="s">
        <v>8531</v>
      </c>
      <c r="E2140" s="14" t="s">
        <v>1635</v>
      </c>
      <c r="F2140" s="14" t="s">
        <v>1636</v>
      </c>
      <c r="G2140" s="8" t="s">
        <v>8831</v>
      </c>
      <c r="H2140" s="14"/>
      <c r="I2140" s="14"/>
      <c r="J2140" s="14"/>
      <c r="K2140" s="14"/>
      <c r="L2140" s="14"/>
      <c r="M2140" s="14" t="s">
        <v>1639</v>
      </c>
      <c r="N2140" s="14"/>
      <c r="O2140" s="14" t="s">
        <v>1640</v>
      </c>
      <c r="P2140" s="14" t="str">
        <f>HYPERLINK("https://ceds.ed.gov/cedselementdetails.aspx?termid=17594")</f>
        <v>https://ceds.ed.gov/cedselementdetails.aspx?termid=17594</v>
      </c>
      <c r="Q2140" s="14" t="str">
        <f>HYPERLINK("https://ceds.ed.gov/elementComment.aspx?elementName=Attendance Event Type &amp;elementID=17594", "Click here to submit comment")</f>
        <v>Click here to submit comment</v>
      </c>
      <c r="R2140" s="14">
        <v>51489</v>
      </c>
    </row>
    <row r="2141" spans="1:18" ht="105" x14ac:dyDescent="0.25">
      <c r="A2141" s="14" t="s">
        <v>8732</v>
      </c>
      <c r="B2141" s="14" t="s">
        <v>8944</v>
      </c>
      <c r="C2141" s="14" t="s">
        <v>8828</v>
      </c>
      <c r="D2141" s="14" t="s">
        <v>8531</v>
      </c>
      <c r="E2141" s="14" t="s">
        <v>1641</v>
      </c>
      <c r="F2141" s="14" t="s">
        <v>1642</v>
      </c>
      <c r="G2141" s="8" t="s">
        <v>8832</v>
      </c>
      <c r="H2141" s="14"/>
      <c r="I2141" s="14"/>
      <c r="J2141" s="14"/>
      <c r="K2141" s="14"/>
      <c r="L2141" s="14"/>
      <c r="M2141" s="14" t="s">
        <v>1644</v>
      </c>
      <c r="N2141" s="14"/>
      <c r="O2141" s="14" t="s">
        <v>1645</v>
      </c>
      <c r="P2141" s="14" t="str">
        <f>HYPERLINK("https://ceds.ed.gov/cedselementdetails.aspx?termid=17076")</f>
        <v>https://ceds.ed.gov/cedselementdetails.aspx?termid=17076</v>
      </c>
      <c r="Q2141" s="14" t="str">
        <f>HYPERLINK("https://ceds.ed.gov/elementComment.aspx?elementName=Attendance Status &amp;elementID=17076", "Click here to submit comment")</f>
        <v>Click here to submit comment</v>
      </c>
      <c r="R2141" s="14">
        <v>50466</v>
      </c>
    </row>
    <row r="2142" spans="1:18" ht="105" x14ac:dyDescent="0.25">
      <c r="A2142" s="14" t="s">
        <v>8732</v>
      </c>
      <c r="B2142" s="14" t="s">
        <v>8944</v>
      </c>
      <c r="C2142" s="14" t="s">
        <v>8957</v>
      </c>
      <c r="D2142" s="14" t="s">
        <v>8531</v>
      </c>
      <c r="E2142" s="14" t="s">
        <v>8158</v>
      </c>
      <c r="F2142" s="14" t="s">
        <v>8159</v>
      </c>
      <c r="G2142" s="14" t="s">
        <v>24</v>
      </c>
      <c r="H2142" s="14"/>
      <c r="I2142" s="14"/>
      <c r="J2142" s="14"/>
      <c r="K2142" s="14"/>
      <c r="L2142" s="14" t="s">
        <v>8161</v>
      </c>
      <c r="M2142" s="14" t="s">
        <v>8162</v>
      </c>
      <c r="N2142" s="14"/>
      <c r="O2142" s="14" t="s">
        <v>8163</v>
      </c>
      <c r="P2142" s="14" t="str">
        <f>HYPERLINK("https://ceds.ed.gov/cedselementdetails.aspx?termid=17973")</f>
        <v>https://ceds.ed.gov/cedselementdetails.aspx?termid=17973</v>
      </c>
      <c r="Q2142" s="14" t="str">
        <f>HYPERLINK("https://ceds.ed.gov/elementComment.aspx?elementName=Teacher Student Data Link Exclusion Flag &amp;elementID=17973", "Click here to submit comment")</f>
        <v>Click here to submit comment</v>
      </c>
      <c r="R2142" s="14">
        <v>48424</v>
      </c>
    </row>
    <row r="2143" spans="1:18" ht="105" x14ac:dyDescent="0.25">
      <c r="A2143" s="16" t="s">
        <v>8732</v>
      </c>
      <c r="B2143" s="16" t="s">
        <v>8668</v>
      </c>
      <c r="C2143" s="16"/>
      <c r="D2143" s="16" t="s">
        <v>8531</v>
      </c>
      <c r="E2143" s="16" t="s">
        <v>7098</v>
      </c>
      <c r="F2143" s="16" t="s">
        <v>7099</v>
      </c>
      <c r="G2143" s="16" t="s">
        <v>37</v>
      </c>
      <c r="H2143" s="16" t="s">
        <v>2944</v>
      </c>
      <c r="I2143" s="16"/>
      <c r="J2143" s="16" t="s">
        <v>149</v>
      </c>
      <c r="K2143" s="16"/>
      <c r="L2143" s="14" t="s">
        <v>150</v>
      </c>
      <c r="M2143" s="16" t="s">
        <v>7101</v>
      </c>
      <c r="N2143" s="16"/>
      <c r="O2143" s="16" t="s">
        <v>7102</v>
      </c>
      <c r="P2143" s="16" t="str">
        <f>HYPERLINK("https://ceds.ed.gov/cedselementdetails.aspx?termid=17618")</f>
        <v>https://ceds.ed.gov/cedselementdetails.aspx?termid=17618</v>
      </c>
      <c r="Q2143" s="16" t="str">
        <f>HYPERLINK("https://ceds.ed.gov/elementComment.aspx?elementName=Program Identifier &amp;elementID=17618", "Click here to submit comment")</f>
        <v>Click here to submit comment</v>
      </c>
      <c r="R2143" s="16">
        <v>48036</v>
      </c>
    </row>
    <row r="2144" spans="1:18" x14ac:dyDescent="0.25">
      <c r="A2144" s="16"/>
      <c r="B2144" s="16"/>
      <c r="C2144" s="16"/>
      <c r="D2144" s="16"/>
      <c r="E2144" s="16"/>
      <c r="F2144" s="16"/>
      <c r="G2144" s="16"/>
      <c r="H2144" s="16"/>
      <c r="I2144" s="16"/>
      <c r="J2144" s="16"/>
      <c r="K2144" s="16"/>
      <c r="L2144" s="14"/>
      <c r="M2144" s="16"/>
      <c r="N2144" s="16"/>
      <c r="O2144" s="16"/>
      <c r="P2144" s="16"/>
      <c r="Q2144" s="16"/>
      <c r="R2144" s="16"/>
    </row>
    <row r="2145" spans="1:18" ht="90" x14ac:dyDescent="0.25">
      <c r="A2145" s="16"/>
      <c r="B2145" s="16"/>
      <c r="C2145" s="16"/>
      <c r="D2145" s="16"/>
      <c r="E2145" s="16"/>
      <c r="F2145" s="16"/>
      <c r="G2145" s="16"/>
      <c r="H2145" s="16"/>
      <c r="I2145" s="16"/>
      <c r="J2145" s="16"/>
      <c r="K2145" s="16"/>
      <c r="L2145" s="14" t="s">
        <v>153</v>
      </c>
      <c r="M2145" s="16"/>
      <c r="N2145" s="16"/>
      <c r="O2145" s="16"/>
      <c r="P2145" s="16"/>
      <c r="Q2145" s="16"/>
      <c r="R2145" s="16"/>
    </row>
    <row r="2146" spans="1:18" ht="60" x14ac:dyDescent="0.25">
      <c r="A2146" s="14" t="s">
        <v>8732</v>
      </c>
      <c r="B2146" s="14" t="s">
        <v>8668</v>
      </c>
      <c r="C2146" s="14"/>
      <c r="D2146" s="14" t="s">
        <v>8531</v>
      </c>
      <c r="E2146" s="14" t="s">
        <v>7115</v>
      </c>
      <c r="F2146" s="14" t="s">
        <v>7116</v>
      </c>
      <c r="G2146" s="14" t="s">
        <v>37</v>
      </c>
      <c r="H2146" s="14" t="s">
        <v>2944</v>
      </c>
      <c r="I2146" s="14"/>
      <c r="J2146" s="14" t="s">
        <v>175</v>
      </c>
      <c r="K2146" s="14"/>
      <c r="L2146" s="14"/>
      <c r="M2146" s="14" t="s">
        <v>7118</v>
      </c>
      <c r="N2146" s="14"/>
      <c r="O2146" s="14" t="s">
        <v>7119</v>
      </c>
      <c r="P2146" s="14" t="str">
        <f>HYPERLINK("https://ceds.ed.gov/cedselementdetails.aspx?termid=17619")</f>
        <v>https://ceds.ed.gov/cedselementdetails.aspx?termid=17619</v>
      </c>
      <c r="Q2146" s="14" t="str">
        <f>HYPERLINK("https://ceds.ed.gov/elementComment.aspx?elementName=Program Name &amp;elementID=17619", "Click here to submit comment")</f>
        <v>Click here to submit comment</v>
      </c>
      <c r="R2146" s="14">
        <v>48037</v>
      </c>
    </row>
    <row r="2147" spans="1:18" ht="90" x14ac:dyDescent="0.25">
      <c r="A2147" s="14" t="s">
        <v>8732</v>
      </c>
      <c r="B2147" s="14" t="s">
        <v>8668</v>
      </c>
      <c r="C2147" s="14"/>
      <c r="D2147" s="14" t="s">
        <v>8531</v>
      </c>
      <c r="E2147" s="14" t="s">
        <v>3373</v>
      </c>
      <c r="F2147" s="14" t="s">
        <v>3374</v>
      </c>
      <c r="G2147" s="14" t="s">
        <v>37</v>
      </c>
      <c r="H2147" s="14"/>
      <c r="I2147" s="14"/>
      <c r="J2147" s="14" t="s">
        <v>1710</v>
      </c>
      <c r="K2147" s="14"/>
      <c r="L2147" s="14" t="s">
        <v>3376</v>
      </c>
      <c r="M2147" s="14" t="s">
        <v>3377</v>
      </c>
      <c r="N2147" s="14"/>
      <c r="O2147" s="14" t="s">
        <v>3378</v>
      </c>
      <c r="P2147" s="14" t="str">
        <f>HYPERLINK("https://ceds.ed.gov/cedselementdetails.aspx?termid=18553")</f>
        <v>https://ceds.ed.gov/cedselementdetails.aspx?termid=18553</v>
      </c>
      <c r="Q2147" s="14" t="str">
        <f>HYPERLINK("https://ceds.ed.gov/elementComment.aspx?elementName=Credits Required &amp;elementID=18553", "Click here to submit comment")</f>
        <v>Click here to submit comment</v>
      </c>
      <c r="R2147" s="14">
        <v>51144</v>
      </c>
    </row>
    <row r="2148" spans="1:18" ht="255" x14ac:dyDescent="0.25">
      <c r="A2148" s="14" t="s">
        <v>8732</v>
      </c>
      <c r="B2148" s="14" t="s">
        <v>8668</v>
      </c>
      <c r="C2148" s="14"/>
      <c r="D2148" s="14" t="s">
        <v>8531</v>
      </c>
      <c r="E2148" s="14" t="s">
        <v>6524</v>
      </c>
      <c r="F2148" s="14" t="s">
        <v>6525</v>
      </c>
      <c r="G2148" s="8" t="s">
        <v>8534</v>
      </c>
      <c r="H2148" s="14" t="s">
        <v>125</v>
      </c>
      <c r="I2148" s="14"/>
      <c r="J2148" s="14"/>
      <c r="K2148" s="14"/>
      <c r="L2148" s="14"/>
      <c r="M2148" s="14" t="s">
        <v>6528</v>
      </c>
      <c r="N2148" s="14"/>
      <c r="O2148" s="14" t="s">
        <v>6529</v>
      </c>
      <c r="P2148" s="14" t="str">
        <f>HYPERLINK("https://ceds.ed.gov/cedselementdetails.aspx?termid=17827")</f>
        <v>https://ceds.ed.gov/cedselementdetails.aspx?termid=17827</v>
      </c>
      <c r="Q2148" s="14" t="str">
        <f>HYPERLINK("https://ceds.ed.gov/elementComment.aspx?elementName=Organization Identification System &amp;elementID=17827", "Click here to submit comment")</f>
        <v>Click here to submit comment</v>
      </c>
      <c r="R2148" s="14">
        <v>50718</v>
      </c>
    </row>
    <row r="2149" spans="1:18" ht="105" x14ac:dyDescent="0.25">
      <c r="A2149" s="16" t="s">
        <v>8732</v>
      </c>
      <c r="B2149" s="16" t="s">
        <v>8668</v>
      </c>
      <c r="C2149" s="16"/>
      <c r="D2149" s="16" t="s">
        <v>8531</v>
      </c>
      <c r="E2149" s="16" t="s">
        <v>6530</v>
      </c>
      <c r="F2149" s="16" t="s">
        <v>6531</v>
      </c>
      <c r="G2149" s="16" t="s">
        <v>37</v>
      </c>
      <c r="H2149" s="16" t="s">
        <v>125</v>
      </c>
      <c r="I2149" s="16"/>
      <c r="J2149" s="16" t="s">
        <v>149</v>
      </c>
      <c r="K2149" s="16"/>
      <c r="L2149" s="14" t="s">
        <v>150</v>
      </c>
      <c r="M2149" s="16" t="s">
        <v>6533</v>
      </c>
      <c r="N2149" s="16"/>
      <c r="O2149" s="16" t="s">
        <v>6534</v>
      </c>
      <c r="P2149" s="16" t="str">
        <f>HYPERLINK("https://ceds.ed.gov/cedselementdetails.aspx?termid=17825")</f>
        <v>https://ceds.ed.gov/cedselementdetails.aspx?termid=17825</v>
      </c>
      <c r="Q2149" s="16" t="str">
        <f>HYPERLINK("https://ceds.ed.gov/elementComment.aspx?elementName=Organization Identifier &amp;elementID=17825", "Click here to submit comment")</f>
        <v>Click here to submit comment</v>
      </c>
      <c r="R2149" s="16">
        <v>50716</v>
      </c>
    </row>
    <row r="2150" spans="1:18" x14ac:dyDescent="0.25">
      <c r="A2150" s="16"/>
      <c r="B2150" s="16"/>
      <c r="C2150" s="16"/>
      <c r="D2150" s="16"/>
      <c r="E2150" s="16"/>
      <c r="F2150" s="16"/>
      <c r="G2150" s="16"/>
      <c r="H2150" s="16"/>
      <c r="I2150" s="16"/>
      <c r="J2150" s="16"/>
      <c r="K2150" s="16"/>
      <c r="L2150" s="14"/>
      <c r="M2150" s="16"/>
      <c r="N2150" s="16"/>
      <c r="O2150" s="16"/>
      <c r="P2150" s="16"/>
      <c r="Q2150" s="16"/>
      <c r="R2150" s="16"/>
    </row>
    <row r="2151" spans="1:18" ht="90" x14ac:dyDescent="0.25">
      <c r="A2151" s="16"/>
      <c r="B2151" s="16"/>
      <c r="C2151" s="16"/>
      <c r="D2151" s="16"/>
      <c r="E2151" s="16"/>
      <c r="F2151" s="16"/>
      <c r="G2151" s="16"/>
      <c r="H2151" s="16"/>
      <c r="I2151" s="16"/>
      <c r="J2151" s="16"/>
      <c r="K2151" s="16"/>
      <c r="L2151" s="14" t="s">
        <v>153</v>
      </c>
      <c r="M2151" s="16"/>
      <c r="N2151" s="16"/>
      <c r="O2151" s="16"/>
      <c r="P2151" s="16"/>
      <c r="Q2151" s="16"/>
      <c r="R2151" s="16"/>
    </row>
    <row r="2152" spans="1:18" ht="45" x14ac:dyDescent="0.25">
      <c r="A2152" s="14" t="s">
        <v>8732</v>
      </c>
      <c r="B2152" s="14" t="s">
        <v>8668</v>
      </c>
      <c r="C2152" s="14"/>
      <c r="D2152" s="14" t="s">
        <v>8531</v>
      </c>
      <c r="E2152" s="14" t="s">
        <v>6545</v>
      </c>
      <c r="F2152" s="14" t="s">
        <v>6546</v>
      </c>
      <c r="G2152" s="14" t="s">
        <v>37</v>
      </c>
      <c r="H2152" s="14" t="s">
        <v>238</v>
      </c>
      <c r="I2152" s="14"/>
      <c r="J2152" s="14" t="s">
        <v>175</v>
      </c>
      <c r="K2152" s="14"/>
      <c r="L2152" s="14"/>
      <c r="M2152" s="14" t="s">
        <v>6548</v>
      </c>
      <c r="N2152" s="14"/>
      <c r="O2152" s="14" t="s">
        <v>6549</v>
      </c>
      <c r="P2152" s="14" t="str">
        <f>HYPERLINK("https://ceds.ed.gov/cedselementdetails.aspx?termid=17204")</f>
        <v>https://ceds.ed.gov/cedselementdetails.aspx?termid=17204</v>
      </c>
      <c r="Q2152" s="14" t="str">
        <f>HYPERLINK("https://ceds.ed.gov/elementComment.aspx?elementName=Organization Name &amp;elementID=17204", "Click here to submit comment")</f>
        <v>Click here to submit comment</v>
      </c>
      <c r="R2152" s="14">
        <v>50714</v>
      </c>
    </row>
    <row r="2153" spans="1:18" ht="60" x14ac:dyDescent="0.25">
      <c r="A2153" s="14" t="s">
        <v>8732</v>
      </c>
      <c r="B2153" s="14" t="s">
        <v>8668</v>
      </c>
      <c r="C2153" s="14"/>
      <c r="D2153" s="14" t="s">
        <v>8531</v>
      </c>
      <c r="E2153" s="14" t="s">
        <v>6550</v>
      </c>
      <c r="F2153" s="14" t="s">
        <v>6551</v>
      </c>
      <c r="G2153" s="8" t="s">
        <v>8532</v>
      </c>
      <c r="H2153" s="14"/>
      <c r="I2153" s="14"/>
      <c r="J2153" s="14"/>
      <c r="K2153" s="14"/>
      <c r="L2153" s="14"/>
      <c r="M2153" s="14" t="s">
        <v>6554</v>
      </c>
      <c r="N2153" s="14"/>
      <c r="O2153" s="14" t="s">
        <v>6555</v>
      </c>
      <c r="P2153" s="14" t="str">
        <f>HYPERLINK("https://ceds.ed.gov/cedselementdetails.aspx?termid=18387")</f>
        <v>https://ceds.ed.gov/cedselementdetails.aspx?termid=18387</v>
      </c>
      <c r="Q2153" s="14" t="str">
        <f>HYPERLINK("https://ceds.ed.gov/elementComment.aspx?elementName=Organization Operational Status &amp;elementID=18387", "Click here to submit comment")</f>
        <v>Click here to submit comment</v>
      </c>
      <c r="R2153" s="14">
        <v>50300</v>
      </c>
    </row>
    <row r="2154" spans="1:18" ht="270" x14ac:dyDescent="0.25">
      <c r="A2154" s="14" t="s">
        <v>8732</v>
      </c>
      <c r="B2154" s="14" t="s">
        <v>8668</v>
      </c>
      <c r="C2154" s="14"/>
      <c r="D2154" s="14" t="s">
        <v>8531</v>
      </c>
      <c r="E2154" s="14" t="s">
        <v>7153</v>
      </c>
      <c r="F2154" s="14" t="s">
        <v>7154</v>
      </c>
      <c r="G2154" s="8" t="s">
        <v>8931</v>
      </c>
      <c r="H2154" s="14"/>
      <c r="I2154" s="14"/>
      <c r="J2154" s="14"/>
      <c r="K2154" s="14"/>
      <c r="L2154" s="14"/>
      <c r="M2154" s="14" t="s">
        <v>7157</v>
      </c>
      <c r="N2154" s="14"/>
      <c r="O2154" s="14" t="s">
        <v>7158</v>
      </c>
      <c r="P2154" s="14" t="str">
        <f>HYPERLINK("https://ceds.ed.gov/cedselementdetails.aspx?termid=17692")</f>
        <v>https://ceds.ed.gov/cedselementdetails.aspx?termid=17692</v>
      </c>
      <c r="Q2154" s="14" t="str">
        <f>HYPERLINK("https://ceds.ed.gov/elementComment.aspx?elementName=Program Sponsor Type &amp;elementID=17692", "Click here to submit comment")</f>
        <v>Click here to submit comment</v>
      </c>
      <c r="R2154" s="14">
        <v>50523</v>
      </c>
    </row>
    <row r="2155" spans="1:18" ht="90" x14ac:dyDescent="0.25">
      <c r="A2155" s="14" t="s">
        <v>8732</v>
      </c>
      <c r="B2155" s="14" t="s">
        <v>8668</v>
      </c>
      <c r="C2155" s="14" t="s">
        <v>8538</v>
      </c>
      <c r="D2155" s="14" t="s">
        <v>8531</v>
      </c>
      <c r="E2155" s="14" t="s">
        <v>226</v>
      </c>
      <c r="F2155" s="14" t="s">
        <v>227</v>
      </c>
      <c r="G2155" s="8" t="s">
        <v>8539</v>
      </c>
      <c r="H2155" s="14" t="s">
        <v>72</v>
      </c>
      <c r="I2155" s="14"/>
      <c r="J2155" s="14" t="s">
        <v>97</v>
      </c>
      <c r="K2155" s="14"/>
      <c r="L2155" s="14"/>
      <c r="M2155" s="14" t="s">
        <v>230</v>
      </c>
      <c r="N2155" s="14"/>
      <c r="O2155" s="14" t="s">
        <v>231</v>
      </c>
      <c r="P2155" s="14" t="str">
        <f>HYPERLINK("https://ceds.ed.gov/cedselementdetails.aspx?termid=17644")</f>
        <v>https://ceds.ed.gov/cedselementdetails.aspx?termid=17644</v>
      </c>
      <c r="Q2155" s="14" t="str">
        <f>HYPERLINK("https://ceds.ed.gov/elementComment.aspx?elementName=Address Type for Organization &amp;elementID=17644", "Click here to submit comment")</f>
        <v>Click here to submit comment</v>
      </c>
      <c r="R2155" s="14">
        <v>50720</v>
      </c>
    </row>
    <row r="2156" spans="1:18" ht="225" x14ac:dyDescent="0.25">
      <c r="A2156" s="14" t="s">
        <v>8732</v>
      </c>
      <c r="B2156" s="14" t="s">
        <v>8668</v>
      </c>
      <c r="C2156" s="14" t="s">
        <v>8538</v>
      </c>
      <c r="D2156" s="14" t="s">
        <v>8531</v>
      </c>
      <c r="E2156" s="14" t="s">
        <v>214</v>
      </c>
      <c r="F2156" s="14" t="s">
        <v>215</v>
      </c>
      <c r="G2156" s="14" t="s">
        <v>37</v>
      </c>
      <c r="H2156" s="14" t="s">
        <v>199</v>
      </c>
      <c r="I2156" s="14" t="s">
        <v>195</v>
      </c>
      <c r="J2156" s="14" t="s">
        <v>216</v>
      </c>
      <c r="K2156" s="14" t="s">
        <v>196</v>
      </c>
      <c r="L2156" s="14"/>
      <c r="M2156" s="14" t="s">
        <v>217</v>
      </c>
      <c r="N2156" s="14"/>
      <c r="O2156" s="14" t="s">
        <v>218</v>
      </c>
      <c r="P2156" s="14" t="str">
        <f>HYPERLINK("https://ceds.ed.gov/cedselementdetails.aspx?termid=17269")</f>
        <v>https://ceds.ed.gov/cedselementdetails.aspx?termid=17269</v>
      </c>
      <c r="Q2156" s="14" t="str">
        <f>HYPERLINK("https://ceds.ed.gov/elementComment.aspx?elementName=Address Street Number and Name &amp;elementID=17269", "Click here to submit comment")</f>
        <v>Click here to submit comment</v>
      </c>
      <c r="R2156" s="14">
        <v>50722</v>
      </c>
    </row>
    <row r="2157" spans="1:18" ht="225" x14ac:dyDescent="0.25">
      <c r="A2157" s="14" t="s">
        <v>8732</v>
      </c>
      <c r="B2157" s="14" t="s">
        <v>8668</v>
      </c>
      <c r="C2157" s="14" t="s">
        <v>8538</v>
      </c>
      <c r="D2157" s="14" t="s">
        <v>8531</v>
      </c>
      <c r="E2157" s="14" t="s">
        <v>192</v>
      </c>
      <c r="F2157" s="14" t="s">
        <v>193</v>
      </c>
      <c r="G2157" s="14" t="s">
        <v>37</v>
      </c>
      <c r="H2157" s="14" t="s">
        <v>199</v>
      </c>
      <c r="I2157" s="14" t="s">
        <v>195</v>
      </c>
      <c r="J2157" s="14" t="s">
        <v>175</v>
      </c>
      <c r="K2157" s="14" t="s">
        <v>196</v>
      </c>
      <c r="L2157" s="14"/>
      <c r="M2157" s="14" t="s">
        <v>197</v>
      </c>
      <c r="N2157" s="14"/>
      <c r="O2157" s="14" t="s">
        <v>198</v>
      </c>
      <c r="P2157" s="14" t="str">
        <f>HYPERLINK("https://ceds.ed.gov/cedselementdetails.aspx?termid=17019")</f>
        <v>https://ceds.ed.gov/cedselementdetails.aspx?termid=17019</v>
      </c>
      <c r="Q2157" s="14" t="str">
        <f>HYPERLINK("https://ceds.ed.gov/elementComment.aspx?elementName=Address Apartment Room or Suite Number &amp;elementID=17019", "Click here to submit comment")</f>
        <v>Click here to submit comment</v>
      </c>
      <c r="R2157" s="14">
        <v>50724</v>
      </c>
    </row>
    <row r="2158" spans="1:18" ht="225" x14ac:dyDescent="0.25">
      <c r="A2158" s="14" t="s">
        <v>8732</v>
      </c>
      <c r="B2158" s="14" t="s">
        <v>8668</v>
      </c>
      <c r="C2158" s="14" t="s">
        <v>8538</v>
      </c>
      <c r="D2158" s="14" t="s">
        <v>8531</v>
      </c>
      <c r="E2158" s="14" t="s">
        <v>200</v>
      </c>
      <c r="F2158" s="14" t="s">
        <v>201</v>
      </c>
      <c r="G2158" s="14" t="s">
        <v>37</v>
      </c>
      <c r="H2158" s="14" t="s">
        <v>199</v>
      </c>
      <c r="I2158" s="14"/>
      <c r="J2158" s="14" t="s">
        <v>97</v>
      </c>
      <c r="K2158" s="14"/>
      <c r="L2158" s="14"/>
      <c r="M2158" s="14" t="s">
        <v>202</v>
      </c>
      <c r="N2158" s="14"/>
      <c r="O2158" s="14" t="s">
        <v>203</v>
      </c>
      <c r="P2158" s="14" t="str">
        <f>HYPERLINK("https://ceds.ed.gov/cedselementdetails.aspx?termid=17040")</f>
        <v>https://ceds.ed.gov/cedselementdetails.aspx?termid=17040</v>
      </c>
      <c r="Q2158" s="14" t="str">
        <f>HYPERLINK("https://ceds.ed.gov/elementComment.aspx?elementName=Address City &amp;elementID=17040", "Click here to submit comment")</f>
        <v>Click here to submit comment</v>
      </c>
      <c r="R2158" s="14">
        <v>50726</v>
      </c>
    </row>
    <row r="2159" spans="1:18" ht="409.5" x14ac:dyDescent="0.25">
      <c r="A2159" s="14" t="s">
        <v>8732</v>
      </c>
      <c r="B2159" s="14" t="s">
        <v>8668</v>
      </c>
      <c r="C2159" s="14" t="s">
        <v>8538</v>
      </c>
      <c r="D2159" s="14" t="s">
        <v>8531</v>
      </c>
      <c r="E2159" s="14" t="s">
        <v>7960</v>
      </c>
      <c r="F2159" s="14" t="s">
        <v>7961</v>
      </c>
      <c r="G2159" s="8" t="s">
        <v>8540</v>
      </c>
      <c r="H2159" s="14" t="s">
        <v>7964</v>
      </c>
      <c r="I2159" s="14"/>
      <c r="J2159" s="14"/>
      <c r="K2159" s="14"/>
      <c r="L2159" s="14"/>
      <c r="M2159" s="14" t="s">
        <v>7962</v>
      </c>
      <c r="N2159" s="14"/>
      <c r="O2159" s="14" t="s">
        <v>7963</v>
      </c>
      <c r="P2159" s="14" t="str">
        <f>HYPERLINK("https://ceds.ed.gov/cedselementdetails.aspx?termid=17267")</f>
        <v>https://ceds.ed.gov/cedselementdetails.aspx?termid=17267</v>
      </c>
      <c r="Q2159" s="14" t="str">
        <f>HYPERLINK("https://ceds.ed.gov/elementComment.aspx?elementName=State Abbreviation &amp;elementID=17267", "Click here to submit comment")</f>
        <v>Click here to submit comment</v>
      </c>
      <c r="R2159" s="14">
        <v>50728</v>
      </c>
    </row>
    <row r="2160" spans="1:18" ht="225" x14ac:dyDescent="0.25">
      <c r="A2160" s="14" t="s">
        <v>8732</v>
      </c>
      <c r="B2160" s="14" t="s">
        <v>8668</v>
      </c>
      <c r="C2160" s="14" t="s">
        <v>8538</v>
      </c>
      <c r="D2160" s="14" t="s">
        <v>8531</v>
      </c>
      <c r="E2160" s="14" t="s">
        <v>209</v>
      </c>
      <c r="F2160" s="14" t="s">
        <v>210</v>
      </c>
      <c r="G2160" s="14" t="s">
        <v>37</v>
      </c>
      <c r="H2160" s="14" t="s">
        <v>199</v>
      </c>
      <c r="I2160" s="14"/>
      <c r="J2160" s="14" t="s">
        <v>211</v>
      </c>
      <c r="K2160" s="14"/>
      <c r="L2160" s="14"/>
      <c r="M2160" s="14" t="s">
        <v>212</v>
      </c>
      <c r="N2160" s="14"/>
      <c r="O2160" s="14" t="s">
        <v>213</v>
      </c>
      <c r="P2160" s="14" t="str">
        <f>HYPERLINK("https://ceds.ed.gov/cedselementdetails.aspx?termid=17214")</f>
        <v>https://ceds.ed.gov/cedselementdetails.aspx?termid=17214</v>
      </c>
      <c r="Q2160" s="14" t="str">
        <f>HYPERLINK("https://ceds.ed.gov/elementComment.aspx?elementName=Address Postal Code &amp;elementID=17214", "Click here to submit comment")</f>
        <v>Click here to submit comment</v>
      </c>
      <c r="R2160" s="14">
        <v>50730</v>
      </c>
    </row>
    <row r="2161" spans="1:18" ht="225" x14ac:dyDescent="0.25">
      <c r="A2161" s="14" t="s">
        <v>8732</v>
      </c>
      <c r="B2161" s="14" t="s">
        <v>8668</v>
      </c>
      <c r="C2161" s="14" t="s">
        <v>8538</v>
      </c>
      <c r="D2161" s="14" t="s">
        <v>8531</v>
      </c>
      <c r="E2161" s="14" t="s">
        <v>204</v>
      </c>
      <c r="F2161" s="14" t="s">
        <v>205</v>
      </c>
      <c r="G2161" s="14" t="s">
        <v>37</v>
      </c>
      <c r="H2161" s="14" t="s">
        <v>199</v>
      </c>
      <c r="I2161" s="14"/>
      <c r="J2161" s="14" t="s">
        <v>97</v>
      </c>
      <c r="K2161" s="14"/>
      <c r="L2161" s="14"/>
      <c r="M2161" s="14" t="s">
        <v>207</v>
      </c>
      <c r="N2161" s="14"/>
      <c r="O2161" s="14" t="s">
        <v>208</v>
      </c>
      <c r="P2161" s="14" t="str">
        <f>HYPERLINK("https://ceds.ed.gov/cedselementdetails.aspx?termid=17190")</f>
        <v>https://ceds.ed.gov/cedselementdetails.aspx?termid=17190</v>
      </c>
      <c r="Q2161" s="14" t="str">
        <f>HYPERLINK("https://ceds.ed.gov/elementComment.aspx?elementName=Address County Name &amp;elementID=17190", "Click here to submit comment")</f>
        <v>Click here to submit comment</v>
      </c>
      <c r="R2161" s="14">
        <v>50732</v>
      </c>
    </row>
    <row r="2162" spans="1:18" ht="75" x14ac:dyDescent="0.25">
      <c r="A2162" s="14" t="s">
        <v>8732</v>
      </c>
      <c r="B2162" s="14" t="s">
        <v>8668</v>
      </c>
      <c r="C2162" s="14" t="s">
        <v>8538</v>
      </c>
      <c r="D2162" s="14" t="s">
        <v>8531</v>
      </c>
      <c r="E2162" s="14" t="s">
        <v>5736</v>
      </c>
      <c r="F2162" s="14" t="s">
        <v>5737</v>
      </c>
      <c r="G2162" s="14" t="s">
        <v>37</v>
      </c>
      <c r="H2162" s="14"/>
      <c r="I2162" s="14"/>
      <c r="J2162" s="14" t="s">
        <v>1307</v>
      </c>
      <c r="K2162" s="14"/>
      <c r="L2162" s="14"/>
      <c r="M2162" s="14" t="s">
        <v>5739</v>
      </c>
      <c r="N2162" s="14"/>
      <c r="O2162" s="14" t="s">
        <v>5736</v>
      </c>
      <c r="P2162" s="14" t="str">
        <f>HYPERLINK("https://ceds.ed.gov/cedselementdetails.aspx?termid=17599")</f>
        <v>https://ceds.ed.gov/cedselementdetails.aspx?termid=17599</v>
      </c>
      <c r="Q2162" s="14" t="str">
        <f>HYPERLINK("https://ceds.ed.gov/elementComment.aspx?elementName=Latitude &amp;elementID=17599", "Click here to submit comment")</f>
        <v>Click here to submit comment</v>
      </c>
      <c r="R2162" s="14">
        <v>51272</v>
      </c>
    </row>
    <row r="2163" spans="1:18" ht="75" x14ac:dyDescent="0.25">
      <c r="A2163" s="14" t="s">
        <v>8732</v>
      </c>
      <c r="B2163" s="14" t="s">
        <v>8668</v>
      </c>
      <c r="C2163" s="14" t="s">
        <v>8538</v>
      </c>
      <c r="D2163" s="14" t="s">
        <v>8531</v>
      </c>
      <c r="E2163" s="14" t="s">
        <v>6174</v>
      </c>
      <c r="F2163" s="14" t="s">
        <v>6175</v>
      </c>
      <c r="G2163" s="14" t="s">
        <v>37</v>
      </c>
      <c r="H2163" s="14"/>
      <c r="I2163" s="14"/>
      <c r="J2163" s="14" t="s">
        <v>1307</v>
      </c>
      <c r="K2163" s="14"/>
      <c r="L2163" s="14"/>
      <c r="M2163" s="14" t="s">
        <v>6176</v>
      </c>
      <c r="N2163" s="14"/>
      <c r="O2163" s="14" t="s">
        <v>6174</v>
      </c>
      <c r="P2163" s="14" t="str">
        <f>HYPERLINK("https://ceds.ed.gov/cedselementdetails.aspx?termid=17600")</f>
        <v>https://ceds.ed.gov/cedselementdetails.aspx?termid=17600</v>
      </c>
      <c r="Q2163" s="14" t="str">
        <f>HYPERLINK("https://ceds.ed.gov/elementComment.aspx?elementName=Longitude &amp;elementID=17600", "Click here to submit comment")</f>
        <v>Click here to submit comment</v>
      </c>
      <c r="R2163" s="14">
        <v>51295</v>
      </c>
    </row>
    <row r="2164" spans="1:18" ht="195" x14ac:dyDescent="0.25">
      <c r="A2164" s="14" t="s">
        <v>8732</v>
      </c>
      <c r="B2164" s="14" t="s">
        <v>8668</v>
      </c>
      <c r="C2164" s="14" t="s">
        <v>8538</v>
      </c>
      <c r="D2164" s="14" t="s">
        <v>8541</v>
      </c>
      <c r="E2164" s="14" t="s">
        <v>2860</v>
      </c>
      <c r="F2164" s="14" t="s">
        <v>2861</v>
      </c>
      <c r="G2164" s="14" t="s">
        <v>37</v>
      </c>
      <c r="H2164" s="14"/>
      <c r="I2164" s="14" t="s">
        <v>195</v>
      </c>
      <c r="J2164" s="14" t="s">
        <v>2863</v>
      </c>
      <c r="K2164" s="14" t="s">
        <v>2864</v>
      </c>
      <c r="L2164" s="14"/>
      <c r="M2164" s="14" t="s">
        <v>2865</v>
      </c>
      <c r="N2164" s="14"/>
      <c r="O2164" s="14" t="s">
        <v>2866</v>
      </c>
      <c r="P2164" s="14" t="str">
        <f>HYPERLINK("https://ceds.ed.gov/cedselementdetails.aspx?termid=18176")</f>
        <v>https://ceds.ed.gov/cedselementdetails.aspx?termid=18176</v>
      </c>
      <c r="Q2164" s="14" t="str">
        <f>HYPERLINK("https://ceds.ed.gov/elementComment.aspx?elementName=County ANSI Code &amp;elementID=18176", "Click here to submit comment")</f>
        <v>Click here to submit comment</v>
      </c>
      <c r="R2164" s="14">
        <v>52379</v>
      </c>
    </row>
    <row r="2165" spans="1:18" ht="60" x14ac:dyDescent="0.25">
      <c r="A2165" s="14" t="s">
        <v>8732</v>
      </c>
      <c r="B2165" s="14" t="s">
        <v>8668</v>
      </c>
      <c r="C2165" s="14" t="s">
        <v>8538</v>
      </c>
      <c r="D2165" s="14" t="s">
        <v>8541</v>
      </c>
      <c r="E2165" s="14" t="s">
        <v>3651</v>
      </c>
      <c r="F2165" s="14" t="s">
        <v>3652</v>
      </c>
      <c r="G2165" s="14" t="s">
        <v>3430</v>
      </c>
      <c r="H2165" s="14"/>
      <c r="I2165" s="14" t="s">
        <v>188</v>
      </c>
      <c r="J2165" s="14"/>
      <c r="K2165" s="14" t="s">
        <v>1721</v>
      </c>
      <c r="L2165" s="14"/>
      <c r="M2165" s="14" t="s">
        <v>3654</v>
      </c>
      <c r="N2165" s="14"/>
      <c r="O2165" s="14" t="s">
        <v>3655</v>
      </c>
      <c r="P2165" s="14" t="str">
        <f>HYPERLINK("https://ceds.ed.gov/cedselementdetails.aspx?termid=18905")</f>
        <v>https://ceds.ed.gov/cedselementdetails.aspx?termid=18905</v>
      </c>
      <c r="Q2165" s="14" t="str">
        <f>HYPERLINK("https://ceds.ed.gov/elementComment.aspx?elementName=Do Not Publish Indicator &amp;elementID=18905", "Click here to submit comment")</f>
        <v>Click here to submit comment</v>
      </c>
      <c r="R2165" s="14">
        <v>52380</v>
      </c>
    </row>
    <row r="2166" spans="1:18" ht="105" x14ac:dyDescent="0.25">
      <c r="A2166" s="14" t="s">
        <v>8732</v>
      </c>
      <c r="B2166" s="14" t="s">
        <v>8668</v>
      </c>
      <c r="C2166" s="14" t="s">
        <v>8582</v>
      </c>
      <c r="D2166" s="14" t="s">
        <v>8531</v>
      </c>
      <c r="E2166" s="14" t="s">
        <v>4528</v>
      </c>
      <c r="F2166" s="14" t="s">
        <v>4529</v>
      </c>
      <c r="G2166" s="14" t="s">
        <v>37</v>
      </c>
      <c r="H2166" s="14"/>
      <c r="I2166" s="14"/>
      <c r="J2166" s="14" t="s">
        <v>97</v>
      </c>
      <c r="K2166" s="14"/>
      <c r="L2166" s="14"/>
      <c r="M2166" s="14" t="s">
        <v>4530</v>
      </c>
      <c r="N2166" s="14"/>
      <c r="O2166" s="14" t="s">
        <v>4531</v>
      </c>
      <c r="P2166" s="14" t="str">
        <f>HYPERLINK("https://ceds.ed.gov/cedselementdetails.aspx?termid=18530")</f>
        <v>https://ceds.ed.gov/cedselementdetails.aspx?termid=18530</v>
      </c>
      <c r="Q2166" s="14" t="str">
        <f>HYPERLINK("https://ceds.ed.gov/elementComment.aspx?elementName=Financial Account Number &amp;elementID=18530", "Click here to submit comment")</f>
        <v>Click here to submit comment</v>
      </c>
      <c r="R2166" s="14">
        <v>50844</v>
      </c>
    </row>
    <row r="2167" spans="1:18" ht="45" x14ac:dyDescent="0.25">
      <c r="A2167" s="14" t="s">
        <v>8732</v>
      </c>
      <c r="B2167" s="14" t="s">
        <v>8668</v>
      </c>
      <c r="C2167" s="14" t="s">
        <v>8582</v>
      </c>
      <c r="D2167" s="14" t="s">
        <v>8531</v>
      </c>
      <c r="E2167" s="14" t="s">
        <v>4524</v>
      </c>
      <c r="F2167" s="14" t="s">
        <v>4525</v>
      </c>
      <c r="G2167" s="14" t="s">
        <v>37</v>
      </c>
      <c r="H2167" s="14"/>
      <c r="I2167" s="14"/>
      <c r="J2167" s="14" t="s">
        <v>874</v>
      </c>
      <c r="K2167" s="14"/>
      <c r="L2167" s="14"/>
      <c r="M2167" s="14" t="s">
        <v>4526</v>
      </c>
      <c r="N2167" s="14"/>
      <c r="O2167" s="14" t="s">
        <v>4527</v>
      </c>
      <c r="P2167" s="14" t="str">
        <f>HYPERLINK("https://ceds.ed.gov/cedselementdetails.aspx?termid=18315")</f>
        <v>https://ceds.ed.gov/cedselementdetails.aspx?termid=18315</v>
      </c>
      <c r="Q2167" s="14" t="str">
        <f>HYPERLINK("https://ceds.ed.gov/elementComment.aspx?elementName=Financial Account Name &amp;elementID=18315", "Click here to submit comment")</f>
        <v>Click here to submit comment</v>
      </c>
      <c r="R2167" s="14">
        <v>50181</v>
      </c>
    </row>
    <row r="2168" spans="1:18" ht="45" x14ac:dyDescent="0.25">
      <c r="A2168" s="14" t="s">
        <v>8732</v>
      </c>
      <c r="B2168" s="14" t="s">
        <v>8668</v>
      </c>
      <c r="C2168" s="14" t="s">
        <v>8582</v>
      </c>
      <c r="D2168" s="14" t="s">
        <v>8531</v>
      </c>
      <c r="E2168" s="14" t="s">
        <v>4496</v>
      </c>
      <c r="F2168" s="14" t="s">
        <v>4497</v>
      </c>
      <c r="G2168" s="14" t="s">
        <v>37</v>
      </c>
      <c r="H2168" s="14"/>
      <c r="I2168" s="14"/>
      <c r="J2168" s="14" t="s">
        <v>129</v>
      </c>
      <c r="K2168" s="14"/>
      <c r="L2168" s="14"/>
      <c r="M2168" s="14" t="s">
        <v>4498</v>
      </c>
      <c r="N2168" s="14"/>
      <c r="O2168" s="14" t="s">
        <v>4499</v>
      </c>
      <c r="P2168" s="14" t="str">
        <f>HYPERLINK("https://ceds.ed.gov/cedselementdetails.aspx?termid=18313")</f>
        <v>https://ceds.ed.gov/cedselementdetails.aspx?termid=18313</v>
      </c>
      <c r="Q2168" s="14" t="str">
        <f>HYPERLINK("https://ceds.ed.gov/elementComment.aspx?elementName=Financial Account Description &amp;elementID=18313", "Click here to submit comment")</f>
        <v>Click here to submit comment</v>
      </c>
      <c r="R2168" s="14">
        <v>50170</v>
      </c>
    </row>
    <row r="2169" spans="1:18" ht="105" x14ac:dyDescent="0.25">
      <c r="A2169" s="14" t="s">
        <v>8732</v>
      </c>
      <c r="B2169" s="14" t="s">
        <v>8668</v>
      </c>
      <c r="C2169" s="14" t="s">
        <v>8582</v>
      </c>
      <c r="D2169" s="14" t="s">
        <v>8531</v>
      </c>
      <c r="E2169" s="14" t="s">
        <v>4490</v>
      </c>
      <c r="F2169" s="14" t="s">
        <v>4491</v>
      </c>
      <c r="G2169" s="8" t="s">
        <v>8776</v>
      </c>
      <c r="H2169" s="14"/>
      <c r="I2169" s="14"/>
      <c r="J2169" s="14"/>
      <c r="K2169" s="14"/>
      <c r="L2169" s="14"/>
      <c r="M2169" s="14" t="s">
        <v>4494</v>
      </c>
      <c r="N2169" s="14"/>
      <c r="O2169" s="14" t="s">
        <v>4495</v>
      </c>
      <c r="P2169" s="14" t="str">
        <f>HYPERLINK("https://ceds.ed.gov/cedselementdetails.aspx?termid=18312")</f>
        <v>https://ceds.ed.gov/cedselementdetails.aspx?termid=18312</v>
      </c>
      <c r="Q2169" s="14" t="str">
        <f>HYPERLINK("https://ceds.ed.gov/elementComment.aspx?elementName=Financial Account Category &amp;elementID=18312", "Click here to submit comment")</f>
        <v>Click here to submit comment</v>
      </c>
      <c r="R2169" s="14">
        <v>50166</v>
      </c>
    </row>
    <row r="2170" spans="1:18" ht="409.5" x14ac:dyDescent="0.25">
      <c r="A2170" s="14" t="s">
        <v>8732</v>
      </c>
      <c r="B2170" s="14" t="s">
        <v>8668</v>
      </c>
      <c r="C2170" s="14" t="s">
        <v>8582</v>
      </c>
      <c r="D2170" s="14" t="s">
        <v>8531</v>
      </c>
      <c r="E2170" s="14" t="s">
        <v>4500</v>
      </c>
      <c r="F2170" s="14" t="s">
        <v>4501</v>
      </c>
      <c r="G2170" s="8" t="s">
        <v>8780</v>
      </c>
      <c r="H2170" s="14"/>
      <c r="I2170" s="14"/>
      <c r="J2170" s="14"/>
      <c r="K2170" s="14"/>
      <c r="L2170" s="6" t="s">
        <v>4504</v>
      </c>
      <c r="M2170" s="14" t="s">
        <v>4505</v>
      </c>
      <c r="N2170" s="14"/>
      <c r="O2170" s="14" t="s">
        <v>4506</v>
      </c>
      <c r="P2170" s="14" t="str">
        <f>HYPERLINK("https://ceds.ed.gov/cedselementdetails.aspx?termid=18320")</f>
        <v>https://ceds.ed.gov/cedselementdetails.aspx?termid=18320</v>
      </c>
      <c r="Q2170" s="14" t="str">
        <f>HYPERLINK("https://ceds.ed.gov/elementComment.aspx?elementName=Financial Account K12 Balance Sheet Code &amp;elementID=18320", "Click here to submit comment")</f>
        <v>Click here to submit comment</v>
      </c>
      <c r="R2170" s="14">
        <v>50199</v>
      </c>
    </row>
    <row r="2171" spans="1:18" ht="45" x14ac:dyDescent="0.25">
      <c r="A2171" s="14" t="s">
        <v>8732</v>
      </c>
      <c r="B2171" s="14" t="s">
        <v>8668</v>
      </c>
      <c r="C2171" s="14" t="s">
        <v>8582</v>
      </c>
      <c r="D2171" s="14" t="s">
        <v>8531</v>
      </c>
      <c r="E2171" s="14" t="s">
        <v>4548</v>
      </c>
      <c r="F2171" s="14" t="s">
        <v>4549</v>
      </c>
      <c r="G2171" s="14" t="s">
        <v>37</v>
      </c>
      <c r="H2171" s="14"/>
      <c r="I2171" s="14"/>
      <c r="J2171" s="14" t="s">
        <v>1710</v>
      </c>
      <c r="K2171" s="14"/>
      <c r="L2171" s="14"/>
      <c r="M2171" s="14" t="s">
        <v>4550</v>
      </c>
      <c r="N2171" s="14"/>
      <c r="O2171" s="14" t="s">
        <v>4551</v>
      </c>
      <c r="P2171" s="14" t="str">
        <f>HYPERLINK("https://ceds.ed.gov/cedselementdetails.aspx?termid=18318")</f>
        <v>https://ceds.ed.gov/cedselementdetails.aspx?termid=18318</v>
      </c>
      <c r="Q2171" s="14" t="str">
        <f>HYPERLINK("https://ceds.ed.gov/elementComment.aspx?elementName=Financial Accounting Period Budgeted Value &amp;elementID=18318", "Click here to submit comment")</f>
        <v>Click here to submit comment</v>
      </c>
      <c r="R2171" s="14">
        <v>50194</v>
      </c>
    </row>
    <row r="2172" spans="1:18" ht="60" x14ac:dyDescent="0.25">
      <c r="A2172" s="14" t="s">
        <v>8732</v>
      </c>
      <c r="B2172" s="14" t="s">
        <v>8668</v>
      </c>
      <c r="C2172" s="14" t="s">
        <v>8582</v>
      </c>
      <c r="D2172" s="14" t="s">
        <v>8531</v>
      </c>
      <c r="E2172" s="14" t="s">
        <v>4552</v>
      </c>
      <c r="F2172" s="14" t="s">
        <v>4553</v>
      </c>
      <c r="G2172" s="14" t="s">
        <v>37</v>
      </c>
      <c r="H2172" s="14"/>
      <c r="I2172" s="14"/>
      <c r="J2172" s="14" t="s">
        <v>1710</v>
      </c>
      <c r="K2172" s="14"/>
      <c r="L2172" s="14" t="s">
        <v>4554</v>
      </c>
      <c r="M2172" s="14" t="s">
        <v>4555</v>
      </c>
      <c r="N2172" s="14"/>
      <c r="O2172" s="14" t="s">
        <v>4556</v>
      </c>
      <c r="P2172" s="14" t="str">
        <f>HYPERLINK("https://ceds.ed.gov/cedselementdetails.aspx?termid=18625")</f>
        <v>https://ceds.ed.gov/cedselementdetails.aspx?termid=18625</v>
      </c>
      <c r="Q2172" s="14" t="str">
        <f>HYPERLINK("https://ceds.ed.gov/elementComment.aspx?elementName=Financial Accounting Period Encumbered Value &amp;elementID=18625", "Click here to submit comment")</f>
        <v>Click here to submit comment</v>
      </c>
      <c r="R2172" s="14">
        <v>51326</v>
      </c>
    </row>
    <row r="2173" spans="1:18" ht="45" x14ac:dyDescent="0.25">
      <c r="A2173" s="14" t="s">
        <v>8732</v>
      </c>
      <c r="B2173" s="14" t="s">
        <v>8668</v>
      </c>
      <c r="C2173" s="14" t="s">
        <v>8582</v>
      </c>
      <c r="D2173" s="14" t="s">
        <v>8531</v>
      </c>
      <c r="E2173" s="14" t="s">
        <v>4544</v>
      </c>
      <c r="F2173" s="14" t="s">
        <v>4545</v>
      </c>
      <c r="G2173" s="14" t="s">
        <v>37</v>
      </c>
      <c r="H2173" s="14"/>
      <c r="I2173" s="14"/>
      <c r="J2173" s="14" t="s">
        <v>1710</v>
      </c>
      <c r="K2173" s="14"/>
      <c r="L2173" s="14"/>
      <c r="M2173" s="14" t="s">
        <v>4546</v>
      </c>
      <c r="N2173" s="14"/>
      <c r="O2173" s="14" t="s">
        <v>4547</v>
      </c>
      <c r="P2173" s="14" t="str">
        <f>HYPERLINK("https://ceds.ed.gov/cedselementdetails.aspx?termid=18317")</f>
        <v>https://ceds.ed.gov/cedselementdetails.aspx?termid=18317</v>
      </c>
      <c r="Q2173" s="14" t="str">
        <f>HYPERLINK("https://ceds.ed.gov/elementComment.aspx?elementName=Financial Accounting Period Actual Value &amp;elementID=18317", "Click here to submit comment")</f>
        <v>Click here to submit comment</v>
      </c>
      <c r="R2173" s="14">
        <v>50190</v>
      </c>
    </row>
    <row r="2174" spans="1:18" ht="45" x14ac:dyDescent="0.25">
      <c r="A2174" s="14" t="s">
        <v>8732</v>
      </c>
      <c r="B2174" s="14" t="s">
        <v>8668</v>
      </c>
      <c r="C2174" s="14" t="s">
        <v>8582</v>
      </c>
      <c r="D2174" s="14" t="s">
        <v>8531</v>
      </c>
      <c r="E2174" s="14" t="s">
        <v>4686</v>
      </c>
      <c r="F2174" s="14" t="s">
        <v>4687</v>
      </c>
      <c r="G2174" s="14" t="s">
        <v>37</v>
      </c>
      <c r="H2174" s="14"/>
      <c r="I2174" s="14"/>
      <c r="J2174" s="14" t="s">
        <v>2094</v>
      </c>
      <c r="K2174" s="14"/>
      <c r="L2174" s="14"/>
      <c r="M2174" s="14" t="s">
        <v>4688</v>
      </c>
      <c r="N2174" s="14"/>
      <c r="O2174" s="14" t="s">
        <v>4689</v>
      </c>
      <c r="P2174" s="14" t="str">
        <f>HYPERLINK("https://ceds.ed.gov/cedselementdetails.aspx?termid=18620")</f>
        <v>https://ceds.ed.gov/cedselementdetails.aspx?termid=18620</v>
      </c>
      <c r="Q2174" s="14" t="str">
        <f>HYPERLINK("https://ceds.ed.gov/elementComment.aspx?elementName=Fiscal Year &amp;elementID=18620", "Click here to submit comment")</f>
        <v>Click here to submit comment</v>
      </c>
      <c r="R2174" s="14">
        <v>51308</v>
      </c>
    </row>
    <row r="2175" spans="1:18" ht="45" x14ac:dyDescent="0.25">
      <c r="A2175" s="14" t="s">
        <v>8732</v>
      </c>
      <c r="B2175" s="14" t="s">
        <v>8668</v>
      </c>
      <c r="C2175" s="14" t="s">
        <v>8582</v>
      </c>
      <c r="D2175" s="14" t="s">
        <v>8531</v>
      </c>
      <c r="E2175" s="14" t="s">
        <v>4678</v>
      </c>
      <c r="F2175" s="14" t="s">
        <v>4679</v>
      </c>
      <c r="G2175" s="14" t="s">
        <v>37</v>
      </c>
      <c r="H2175" s="14"/>
      <c r="I2175" s="14"/>
      <c r="J2175" s="14" t="s">
        <v>135</v>
      </c>
      <c r="K2175" s="14"/>
      <c r="L2175" s="14"/>
      <c r="M2175" s="14" t="s">
        <v>4680</v>
      </c>
      <c r="N2175" s="14"/>
      <c r="O2175" s="14" t="s">
        <v>4681</v>
      </c>
      <c r="P2175" s="14" t="str">
        <f>HYPERLINK("https://ceds.ed.gov/cedselementdetails.aspx?termid=18623")</f>
        <v>https://ceds.ed.gov/cedselementdetails.aspx?termid=18623</v>
      </c>
      <c r="Q2175" s="14" t="str">
        <f>HYPERLINK("https://ceds.ed.gov/elementComment.aspx?elementName=Fiscal Period Begin Date &amp;elementID=18623", "Click here to submit comment")</f>
        <v>Click here to submit comment</v>
      </c>
      <c r="R2175" s="14">
        <v>51318</v>
      </c>
    </row>
    <row r="2176" spans="1:18" ht="75" x14ac:dyDescent="0.25">
      <c r="A2176" s="14" t="s">
        <v>8732</v>
      </c>
      <c r="B2176" s="14" t="s">
        <v>8668</v>
      </c>
      <c r="C2176" s="14" t="s">
        <v>8582</v>
      </c>
      <c r="D2176" s="14" t="s">
        <v>8531</v>
      </c>
      <c r="E2176" s="14" t="s">
        <v>4682</v>
      </c>
      <c r="F2176" s="14" t="s">
        <v>4683</v>
      </c>
      <c r="G2176" s="14" t="s">
        <v>37</v>
      </c>
      <c r="H2176" s="14"/>
      <c r="I2176" s="14"/>
      <c r="J2176" s="14" t="s">
        <v>135</v>
      </c>
      <c r="K2176" s="14"/>
      <c r="L2176" s="14" t="s">
        <v>160</v>
      </c>
      <c r="M2176" s="14" t="s">
        <v>4684</v>
      </c>
      <c r="N2176" s="14"/>
      <c r="O2176" s="14" t="s">
        <v>4685</v>
      </c>
      <c r="P2176" s="14" t="str">
        <f>HYPERLINK("https://ceds.ed.gov/cedselementdetails.aspx?termid=18624")</f>
        <v>https://ceds.ed.gov/cedselementdetails.aspx?termid=18624</v>
      </c>
      <c r="Q2176" s="14" t="str">
        <f>HYPERLINK("https://ceds.ed.gov/elementComment.aspx?elementName=Fiscal Period End Date &amp;elementID=18624", "Click here to submit comment")</f>
        <v>Click here to submit comment</v>
      </c>
      <c r="R2176" s="14">
        <v>51322</v>
      </c>
    </row>
    <row r="2177" spans="1:18" ht="135" x14ac:dyDescent="0.25">
      <c r="A2177" s="14" t="s">
        <v>8732</v>
      </c>
      <c r="B2177" s="14" t="s">
        <v>8668</v>
      </c>
      <c r="C2177" s="14" t="s">
        <v>8582</v>
      </c>
      <c r="D2177" s="14" t="s">
        <v>8531</v>
      </c>
      <c r="E2177" s="14" t="s">
        <v>4557</v>
      </c>
      <c r="F2177" s="14" t="s">
        <v>4558</v>
      </c>
      <c r="G2177" s="14" t="s">
        <v>37</v>
      </c>
      <c r="H2177" s="14"/>
      <c r="I2177" s="14"/>
      <c r="J2177" s="14" t="s">
        <v>1710</v>
      </c>
      <c r="K2177" s="14"/>
      <c r="L2177" s="14" t="s">
        <v>4559</v>
      </c>
      <c r="M2177" s="14" t="s">
        <v>4560</v>
      </c>
      <c r="N2177" s="14"/>
      <c r="O2177" s="14" t="s">
        <v>4561</v>
      </c>
      <c r="P2177" s="14" t="str">
        <f>HYPERLINK("https://ceds.ed.gov/cedselementdetails.aspx?termid=18628")</f>
        <v>https://ceds.ed.gov/cedselementdetails.aspx?termid=18628</v>
      </c>
      <c r="Q2177" s="14" t="str">
        <f>HYPERLINK("https://ceds.ed.gov/elementComment.aspx?elementName=Financial Accounting Value &amp;elementID=18628", "Click here to submit comment")</f>
        <v>Click here to submit comment</v>
      </c>
      <c r="R2177" s="14">
        <v>51338</v>
      </c>
    </row>
    <row r="2178" spans="1:18" ht="45" x14ac:dyDescent="0.25">
      <c r="A2178" s="14" t="s">
        <v>8732</v>
      </c>
      <c r="B2178" s="14" t="s">
        <v>8668</v>
      </c>
      <c r="C2178" s="14" t="s">
        <v>8582</v>
      </c>
      <c r="D2178" s="14" t="s">
        <v>8531</v>
      </c>
      <c r="E2178" s="14" t="s">
        <v>4540</v>
      </c>
      <c r="F2178" s="14" t="s">
        <v>4541</v>
      </c>
      <c r="G2178" s="14" t="s">
        <v>37</v>
      </c>
      <c r="H2178" s="14"/>
      <c r="I2178" s="14"/>
      <c r="J2178" s="14" t="s">
        <v>135</v>
      </c>
      <c r="K2178" s="14"/>
      <c r="L2178" s="14"/>
      <c r="M2178" s="14" t="s">
        <v>4542</v>
      </c>
      <c r="N2178" s="14"/>
      <c r="O2178" s="14" t="s">
        <v>4543</v>
      </c>
      <c r="P2178" s="14" t="str">
        <f>HYPERLINK("https://ceds.ed.gov/cedselementdetails.aspx?termid=18629")</f>
        <v>https://ceds.ed.gov/cedselementdetails.aspx?termid=18629</v>
      </c>
      <c r="Q2178" s="14" t="str">
        <f>HYPERLINK("https://ceds.ed.gov/elementComment.aspx?elementName=Financial Accounting Date &amp;elementID=18629", "Click here to submit comment")</f>
        <v>Click here to submit comment</v>
      </c>
      <c r="R2178" s="14">
        <v>51342</v>
      </c>
    </row>
    <row r="2179" spans="1:18" ht="150" x14ac:dyDescent="0.25">
      <c r="A2179" s="14" t="s">
        <v>8732</v>
      </c>
      <c r="B2179" s="14" t="s">
        <v>8668</v>
      </c>
      <c r="C2179" s="14" t="s">
        <v>8582</v>
      </c>
      <c r="D2179" s="14" t="s">
        <v>8531</v>
      </c>
      <c r="E2179" s="14" t="s">
        <v>4507</v>
      </c>
      <c r="F2179" s="14" t="s">
        <v>4508</v>
      </c>
      <c r="G2179" s="8" t="s">
        <v>8781</v>
      </c>
      <c r="H2179" s="14"/>
      <c r="I2179" s="14"/>
      <c r="J2179" s="14"/>
      <c r="K2179" s="14"/>
      <c r="L2179" s="6" t="s">
        <v>4504</v>
      </c>
      <c r="M2179" s="14" t="s">
        <v>4510</v>
      </c>
      <c r="N2179" s="14"/>
      <c r="O2179" s="14" t="s">
        <v>4511</v>
      </c>
      <c r="P2179" s="14" t="str">
        <f>HYPERLINK("https://ceds.ed.gov/cedselementdetails.aspx?termid=18314")</f>
        <v>https://ceds.ed.gov/cedselementdetails.aspx?termid=18314</v>
      </c>
      <c r="Q2179" s="14" t="str">
        <f>HYPERLINK("https://ceds.ed.gov/elementComment.aspx?elementName=Financial Account K12 Fund Classification &amp;elementID=18314", "Click here to submit comment")</f>
        <v>Click here to submit comment</v>
      </c>
      <c r="R2179" s="14">
        <v>50177</v>
      </c>
    </row>
    <row r="2180" spans="1:18" ht="240" x14ac:dyDescent="0.25">
      <c r="A2180" s="14" t="s">
        <v>8732</v>
      </c>
      <c r="B2180" s="14" t="s">
        <v>8668</v>
      </c>
      <c r="C2180" s="14" t="s">
        <v>8582</v>
      </c>
      <c r="D2180" s="14" t="s">
        <v>8531</v>
      </c>
      <c r="E2180" s="14" t="s">
        <v>4512</v>
      </c>
      <c r="F2180" s="14" t="s">
        <v>4513</v>
      </c>
      <c r="G2180" s="8" t="s">
        <v>8782</v>
      </c>
      <c r="H2180" s="14"/>
      <c r="I2180" s="14"/>
      <c r="J2180" s="14"/>
      <c r="K2180" s="14"/>
      <c r="L2180" s="6" t="s">
        <v>4504</v>
      </c>
      <c r="M2180" s="14" t="s">
        <v>4515</v>
      </c>
      <c r="N2180" s="14"/>
      <c r="O2180" s="14" t="s">
        <v>4516</v>
      </c>
      <c r="P2180" s="14" t="str">
        <f>HYPERLINK("https://ceds.ed.gov/cedselementdetails.aspx?termid=18316")</f>
        <v>https://ceds.ed.gov/cedselementdetails.aspx?termid=18316</v>
      </c>
      <c r="Q2180" s="14" t="str">
        <f>HYPERLINK("https://ceds.ed.gov/elementComment.aspx?elementName=Financial Account K12 Program Code &amp;elementID=18316", "Click here to submit comment")</f>
        <v>Click here to submit comment</v>
      </c>
      <c r="R2180" s="14">
        <v>50186</v>
      </c>
    </row>
    <row r="2181" spans="1:18" ht="45" x14ac:dyDescent="0.25">
      <c r="A2181" s="14" t="s">
        <v>8732</v>
      </c>
      <c r="B2181" s="14" t="s">
        <v>8668</v>
      </c>
      <c r="C2181" s="14" t="s">
        <v>8582</v>
      </c>
      <c r="D2181" s="14" t="s">
        <v>8531</v>
      </c>
      <c r="E2181" s="14" t="s">
        <v>4536</v>
      </c>
      <c r="F2181" s="14" t="s">
        <v>4537</v>
      </c>
      <c r="G2181" s="14" t="s">
        <v>37</v>
      </c>
      <c r="H2181" s="14"/>
      <c r="I2181" s="14"/>
      <c r="J2181" s="14" t="s">
        <v>97</v>
      </c>
      <c r="K2181" s="14"/>
      <c r="L2181" s="14"/>
      <c r="M2181" s="14" t="s">
        <v>4538</v>
      </c>
      <c r="N2181" s="14"/>
      <c r="O2181" s="14" t="s">
        <v>4539</v>
      </c>
      <c r="P2181" s="14" t="str">
        <f>HYPERLINK("https://ceds.ed.gov/cedselementdetails.aspx?termid=18627")</f>
        <v>https://ceds.ed.gov/cedselementdetails.aspx?termid=18627</v>
      </c>
      <c r="Q2181" s="14" t="str">
        <f>HYPERLINK("https://ceds.ed.gov/elementComment.aspx?elementName=Financial Account Program Number &amp;elementID=18627", "Click here to submit comment")</f>
        <v>Click here to submit comment</v>
      </c>
      <c r="R2181" s="14">
        <v>51334</v>
      </c>
    </row>
    <row r="2182" spans="1:18" ht="45" x14ac:dyDescent="0.25">
      <c r="A2182" s="14" t="s">
        <v>8732</v>
      </c>
      <c r="B2182" s="14" t="s">
        <v>8668</v>
      </c>
      <c r="C2182" s="14" t="s">
        <v>8582</v>
      </c>
      <c r="D2182" s="14" t="s">
        <v>8531</v>
      </c>
      <c r="E2182" s="14" t="s">
        <v>4532</v>
      </c>
      <c r="F2182" s="14" t="s">
        <v>4533</v>
      </c>
      <c r="G2182" s="14" t="s">
        <v>37</v>
      </c>
      <c r="H2182" s="14"/>
      <c r="I2182" s="14"/>
      <c r="J2182" s="14" t="s">
        <v>874</v>
      </c>
      <c r="K2182" s="14"/>
      <c r="L2182" s="14"/>
      <c r="M2182" s="14" t="s">
        <v>4534</v>
      </c>
      <c r="N2182" s="14"/>
      <c r="O2182" s="14" t="s">
        <v>4535</v>
      </c>
      <c r="P2182" s="14" t="str">
        <f>HYPERLINK("https://ceds.ed.gov/cedselementdetails.aspx?termid=18626")</f>
        <v>https://ceds.ed.gov/cedselementdetails.aspx?termid=18626</v>
      </c>
      <c r="Q2182" s="14" t="str">
        <f>HYPERLINK("https://ceds.ed.gov/elementComment.aspx?elementName=Financial Account Program Name &amp;elementID=18626", "Click here to submit comment")</f>
        <v>Click here to submit comment</v>
      </c>
      <c r="R2182" s="14">
        <v>51330</v>
      </c>
    </row>
    <row r="2183" spans="1:18" ht="60" x14ac:dyDescent="0.25">
      <c r="A2183" s="16" t="s">
        <v>8732</v>
      </c>
      <c r="B2183" s="16" t="s">
        <v>8668</v>
      </c>
      <c r="C2183" s="16" t="s">
        <v>8582</v>
      </c>
      <c r="D2183" s="16" t="s">
        <v>8531</v>
      </c>
      <c r="E2183" s="16" t="s">
        <v>4517</v>
      </c>
      <c r="F2183" s="16" t="s">
        <v>4518</v>
      </c>
      <c r="G2183" s="18" t="s">
        <v>8730</v>
      </c>
      <c r="H2183" s="16"/>
      <c r="I2183" s="16"/>
      <c r="J2183" s="16"/>
      <c r="K2183" s="16"/>
      <c r="L2183" s="6" t="s">
        <v>4504</v>
      </c>
      <c r="M2183" s="16" t="s">
        <v>4521</v>
      </c>
      <c r="N2183" s="16"/>
      <c r="O2183" s="16" t="s">
        <v>4522</v>
      </c>
      <c r="P2183" s="16" t="str">
        <f>HYPERLINK("https://ceds.ed.gov/cedselementdetails.aspx?termid=18440")</f>
        <v>https://ceds.ed.gov/cedselementdetails.aspx?termid=18440</v>
      </c>
      <c r="Q2183" s="16" t="str">
        <f>HYPERLINK("https://ceds.ed.gov/elementComment.aspx?elementName=Financial Account K12 Revenue Code &amp;elementID=18440", "Click here to submit comment")</f>
        <v>Click here to submit comment</v>
      </c>
      <c r="R2183" s="16">
        <v>50857</v>
      </c>
    </row>
    <row r="2184" spans="1:18" x14ac:dyDescent="0.25">
      <c r="A2184" s="16"/>
      <c r="B2184" s="16"/>
      <c r="C2184" s="16"/>
      <c r="D2184" s="16"/>
      <c r="E2184" s="16"/>
      <c r="F2184" s="16"/>
      <c r="G2184" s="16"/>
      <c r="H2184" s="16"/>
      <c r="I2184" s="16"/>
      <c r="J2184" s="16"/>
      <c r="K2184" s="16"/>
      <c r="L2184" s="14"/>
      <c r="M2184" s="16"/>
      <c r="N2184" s="16"/>
      <c r="O2184" s="16"/>
      <c r="P2184" s="16"/>
      <c r="Q2184" s="16"/>
      <c r="R2184" s="16"/>
    </row>
    <row r="2185" spans="1:18" ht="30" x14ac:dyDescent="0.25">
      <c r="A2185" s="16"/>
      <c r="B2185" s="16"/>
      <c r="C2185" s="16"/>
      <c r="D2185" s="16"/>
      <c r="E2185" s="16"/>
      <c r="F2185" s="16"/>
      <c r="G2185" s="16"/>
      <c r="H2185" s="16"/>
      <c r="I2185" s="16"/>
      <c r="J2185" s="16"/>
      <c r="K2185" s="16"/>
      <c r="L2185" s="14" t="s">
        <v>4523</v>
      </c>
      <c r="M2185" s="16"/>
      <c r="N2185" s="16"/>
      <c r="O2185" s="16"/>
      <c r="P2185" s="16"/>
      <c r="Q2185" s="16"/>
      <c r="R2185" s="16"/>
    </row>
    <row r="2186" spans="1:18" ht="409.5" x14ac:dyDescent="0.25">
      <c r="A2186" s="14" t="s">
        <v>8732</v>
      </c>
      <c r="B2186" s="14" t="s">
        <v>8668</v>
      </c>
      <c r="C2186" s="14" t="s">
        <v>8582</v>
      </c>
      <c r="D2186" s="14" t="s">
        <v>8531</v>
      </c>
      <c r="E2186" s="14" t="s">
        <v>4613</v>
      </c>
      <c r="F2186" s="14" t="s">
        <v>4614</v>
      </c>
      <c r="G2186" s="8" t="s">
        <v>8777</v>
      </c>
      <c r="H2186" s="14"/>
      <c r="I2186" s="14"/>
      <c r="J2186" s="14"/>
      <c r="K2186" s="14"/>
      <c r="L2186" s="6" t="s">
        <v>4504</v>
      </c>
      <c r="M2186" s="14" t="s">
        <v>4616</v>
      </c>
      <c r="N2186" s="14"/>
      <c r="O2186" s="14" t="s">
        <v>4617</v>
      </c>
      <c r="P2186" s="14" t="str">
        <f>HYPERLINK("https://ceds.ed.gov/cedselementdetails.aspx?termid=18321")</f>
        <v>https://ceds.ed.gov/cedselementdetails.aspx?termid=18321</v>
      </c>
      <c r="Q2186" s="14" t="str">
        <f>HYPERLINK("https://ceds.ed.gov/elementComment.aspx?elementName=Financial Expenditure K12 Function Code &amp;elementID=18321", "Click here to submit comment")</f>
        <v>Click here to submit comment</v>
      </c>
      <c r="R2186" s="14">
        <v>50203</v>
      </c>
    </row>
    <row r="2187" spans="1:18" ht="409.5" x14ac:dyDescent="0.25">
      <c r="A2187" s="14" t="s">
        <v>8732</v>
      </c>
      <c r="B2187" s="14" t="s">
        <v>8668</v>
      </c>
      <c r="C2187" s="14" t="s">
        <v>8582</v>
      </c>
      <c r="D2187" s="14" t="s">
        <v>8531</v>
      </c>
      <c r="E2187" s="14" t="s">
        <v>4623</v>
      </c>
      <c r="F2187" s="14" t="s">
        <v>4624</v>
      </c>
      <c r="G2187" s="8" t="s">
        <v>8778</v>
      </c>
      <c r="H2187" s="14"/>
      <c r="I2187" s="14"/>
      <c r="J2187" s="14"/>
      <c r="K2187" s="14"/>
      <c r="L2187" s="6" t="s">
        <v>4504</v>
      </c>
      <c r="M2187" s="14" t="s">
        <v>4626</v>
      </c>
      <c r="N2187" s="14"/>
      <c r="O2187" s="14" t="s">
        <v>4627</v>
      </c>
      <c r="P2187" s="14" t="str">
        <f>HYPERLINK("https://ceds.ed.gov/cedselementdetails.aspx?termid=18322")</f>
        <v>https://ceds.ed.gov/cedselementdetails.aspx?termid=18322</v>
      </c>
      <c r="Q2187" s="14" t="str">
        <f>HYPERLINK("https://ceds.ed.gov/elementComment.aspx?elementName=Financial Expenditure K12 Object Code &amp;elementID=18322", "Click here to submit comment")</f>
        <v>Click here to submit comment</v>
      </c>
      <c r="R2187" s="14">
        <v>50207</v>
      </c>
    </row>
    <row r="2188" spans="1:18" ht="195" x14ac:dyDescent="0.25">
      <c r="A2188" s="14" t="s">
        <v>8732</v>
      </c>
      <c r="B2188" s="14" t="s">
        <v>8668</v>
      </c>
      <c r="C2188" s="14" t="s">
        <v>8582</v>
      </c>
      <c r="D2188" s="14" t="s">
        <v>8531</v>
      </c>
      <c r="E2188" s="14" t="s">
        <v>4618</v>
      </c>
      <c r="F2188" s="14" t="s">
        <v>4619</v>
      </c>
      <c r="G2188" s="8" t="s">
        <v>8779</v>
      </c>
      <c r="H2188" s="14"/>
      <c r="I2188" s="14"/>
      <c r="J2188" s="14"/>
      <c r="K2188" s="14"/>
      <c r="L2188" s="6" t="s">
        <v>4504</v>
      </c>
      <c r="M2188" s="14" t="s">
        <v>4621</v>
      </c>
      <c r="N2188" s="14"/>
      <c r="O2188" s="14" t="s">
        <v>4622</v>
      </c>
      <c r="P2188" s="14" t="str">
        <f>HYPERLINK("https://ceds.ed.gov/cedselementdetails.aspx?termid=18531")</f>
        <v>https://ceds.ed.gov/cedselementdetails.aspx?termid=18531</v>
      </c>
      <c r="Q2188" s="14" t="str">
        <f>HYPERLINK("https://ceds.ed.gov/elementComment.aspx?elementName=Financial Expenditure K12 Level of Instruction Code &amp;elementID=18531", "Click here to submit comment")</f>
        <v>Click here to submit comment</v>
      </c>
      <c r="R2188" s="14">
        <v>50849</v>
      </c>
    </row>
    <row r="2189" spans="1:18" ht="75" x14ac:dyDescent="0.25">
      <c r="A2189" s="16" t="s">
        <v>8732</v>
      </c>
      <c r="B2189" s="16" t="s">
        <v>8668</v>
      </c>
      <c r="C2189" s="16" t="s">
        <v>8582</v>
      </c>
      <c r="D2189" s="16" t="s">
        <v>8531</v>
      </c>
      <c r="E2189" s="16" t="s">
        <v>4628</v>
      </c>
      <c r="F2189" s="16" t="s">
        <v>4629</v>
      </c>
      <c r="G2189" s="16" t="s">
        <v>37</v>
      </c>
      <c r="H2189" s="16"/>
      <c r="I2189" s="16"/>
      <c r="J2189" s="16" t="s">
        <v>165</v>
      </c>
      <c r="K2189" s="16"/>
      <c r="L2189" s="6" t="s">
        <v>4630</v>
      </c>
      <c r="M2189" s="16" t="s">
        <v>4631</v>
      </c>
      <c r="N2189" s="16"/>
      <c r="O2189" s="16" t="s">
        <v>4632</v>
      </c>
      <c r="P2189" s="16" t="str">
        <f>HYPERLINK("https://ceds.ed.gov/cedselementdetails.aspx?termid=18532")</f>
        <v>https://ceds.ed.gov/cedselementdetails.aspx?termid=18532</v>
      </c>
      <c r="Q2189" s="16" t="str">
        <f>HYPERLINK("https://ceds.ed.gov/elementComment.aspx?elementName=Financial Expenditure K12 Project Reporting Code &amp;elementID=18532", "Click here to submit comment")</f>
        <v>Click here to submit comment</v>
      </c>
      <c r="R2189" s="16">
        <v>50853</v>
      </c>
    </row>
    <row r="2190" spans="1:18" x14ac:dyDescent="0.25">
      <c r="A2190" s="16"/>
      <c r="B2190" s="16"/>
      <c r="C2190" s="16"/>
      <c r="D2190" s="16"/>
      <c r="E2190" s="16"/>
      <c r="F2190" s="16"/>
      <c r="G2190" s="16"/>
      <c r="H2190" s="16"/>
      <c r="I2190" s="16"/>
      <c r="J2190" s="16"/>
      <c r="K2190" s="16"/>
      <c r="L2190" s="14"/>
      <c r="M2190" s="16"/>
      <c r="N2190" s="16"/>
      <c r="O2190" s="16"/>
      <c r="P2190" s="16"/>
      <c r="Q2190" s="16"/>
      <c r="R2190" s="16"/>
    </row>
    <row r="2191" spans="1:18" ht="45" x14ac:dyDescent="0.25">
      <c r="A2191" s="16"/>
      <c r="B2191" s="16"/>
      <c r="C2191" s="16"/>
      <c r="D2191" s="16"/>
      <c r="E2191" s="16"/>
      <c r="F2191" s="16"/>
      <c r="G2191" s="16"/>
      <c r="H2191" s="16"/>
      <c r="I2191" s="16"/>
      <c r="J2191" s="16"/>
      <c r="K2191" s="16"/>
      <c r="L2191" s="14" t="s">
        <v>4633</v>
      </c>
      <c r="M2191" s="16"/>
      <c r="N2191" s="16"/>
      <c r="O2191" s="16"/>
      <c r="P2191" s="16"/>
      <c r="Q2191" s="16"/>
      <c r="R2191" s="16"/>
    </row>
    <row r="2192" spans="1:18" x14ac:dyDescent="0.25">
      <c r="A2192" s="16"/>
      <c r="B2192" s="16"/>
      <c r="C2192" s="16"/>
      <c r="D2192" s="16"/>
      <c r="E2192" s="16"/>
      <c r="F2192" s="16"/>
      <c r="G2192" s="16"/>
      <c r="H2192" s="16"/>
      <c r="I2192" s="16"/>
      <c r="J2192" s="16"/>
      <c r="K2192" s="16"/>
      <c r="L2192" s="14"/>
      <c r="M2192" s="16"/>
      <c r="N2192" s="16"/>
      <c r="O2192" s="16"/>
      <c r="P2192" s="16"/>
      <c r="Q2192" s="16"/>
      <c r="R2192" s="16"/>
    </row>
    <row r="2193" spans="1:18" ht="45" x14ac:dyDescent="0.25">
      <c r="A2193" s="16"/>
      <c r="B2193" s="16"/>
      <c r="C2193" s="16"/>
      <c r="D2193" s="16"/>
      <c r="E2193" s="16"/>
      <c r="F2193" s="16"/>
      <c r="G2193" s="16"/>
      <c r="H2193" s="16"/>
      <c r="I2193" s="16"/>
      <c r="J2193" s="16"/>
      <c r="K2193" s="16"/>
      <c r="L2193" s="14" t="s">
        <v>4634</v>
      </c>
      <c r="M2193" s="16"/>
      <c r="N2193" s="16"/>
      <c r="O2193" s="16"/>
      <c r="P2193" s="16"/>
      <c r="Q2193" s="16"/>
      <c r="R2193" s="16"/>
    </row>
    <row r="2194" spans="1:18" x14ac:dyDescent="0.25">
      <c r="A2194" s="16"/>
      <c r="B2194" s="16"/>
      <c r="C2194" s="16"/>
      <c r="D2194" s="16"/>
      <c r="E2194" s="16"/>
      <c r="F2194" s="16"/>
      <c r="G2194" s="16"/>
      <c r="H2194" s="16"/>
      <c r="I2194" s="16"/>
      <c r="J2194" s="16"/>
      <c r="K2194" s="16"/>
      <c r="L2194" s="14"/>
      <c r="M2194" s="16"/>
      <c r="N2194" s="16"/>
      <c r="O2194" s="16"/>
      <c r="P2194" s="16"/>
      <c r="Q2194" s="16"/>
      <c r="R2194" s="16"/>
    </row>
    <row r="2195" spans="1:18" ht="60" x14ac:dyDescent="0.25">
      <c r="A2195" s="16"/>
      <c r="B2195" s="16"/>
      <c r="C2195" s="16"/>
      <c r="D2195" s="16"/>
      <c r="E2195" s="16"/>
      <c r="F2195" s="16"/>
      <c r="G2195" s="16"/>
      <c r="H2195" s="16"/>
      <c r="I2195" s="16"/>
      <c r="J2195" s="16"/>
      <c r="K2195" s="16"/>
      <c r="L2195" s="14" t="s">
        <v>4635</v>
      </c>
      <c r="M2195" s="16"/>
      <c r="N2195" s="16"/>
      <c r="O2195" s="16"/>
      <c r="P2195" s="16"/>
      <c r="Q2195" s="16"/>
      <c r="R2195" s="16"/>
    </row>
    <row r="2196" spans="1:18" x14ac:dyDescent="0.25">
      <c r="A2196" s="16"/>
      <c r="B2196" s="16"/>
      <c r="C2196" s="16"/>
      <c r="D2196" s="16"/>
      <c r="E2196" s="16"/>
      <c r="F2196" s="16"/>
      <c r="G2196" s="16"/>
      <c r="H2196" s="16"/>
      <c r="I2196" s="16"/>
      <c r="J2196" s="16"/>
      <c r="K2196" s="16"/>
      <c r="L2196" s="14"/>
      <c r="M2196" s="16"/>
      <c r="N2196" s="16"/>
      <c r="O2196" s="16"/>
      <c r="P2196" s="16"/>
      <c r="Q2196" s="16"/>
      <c r="R2196" s="16"/>
    </row>
    <row r="2197" spans="1:18" ht="30" x14ac:dyDescent="0.25">
      <c r="A2197" s="16"/>
      <c r="B2197" s="16"/>
      <c r="C2197" s="16"/>
      <c r="D2197" s="16"/>
      <c r="E2197" s="16"/>
      <c r="F2197" s="16"/>
      <c r="G2197" s="16"/>
      <c r="H2197" s="16"/>
      <c r="I2197" s="16"/>
      <c r="J2197" s="16"/>
      <c r="K2197" s="16"/>
      <c r="L2197" s="14" t="s">
        <v>4636</v>
      </c>
      <c r="M2197" s="16"/>
      <c r="N2197" s="16"/>
      <c r="O2197" s="16"/>
      <c r="P2197" s="16"/>
      <c r="Q2197" s="16"/>
      <c r="R2197" s="16"/>
    </row>
    <row r="2198" spans="1:18" ht="105" x14ac:dyDescent="0.25">
      <c r="A2198" s="16" t="s">
        <v>8732</v>
      </c>
      <c r="B2198" s="16" t="s">
        <v>8958</v>
      </c>
      <c r="C2198" s="16"/>
      <c r="D2198" s="16" t="s">
        <v>8531</v>
      </c>
      <c r="E2198" s="16" t="s">
        <v>5230</v>
      </c>
      <c r="F2198" s="16" t="s">
        <v>5231</v>
      </c>
      <c r="G2198" s="16" t="s">
        <v>37</v>
      </c>
      <c r="H2198" s="16"/>
      <c r="I2198" s="16"/>
      <c r="J2198" s="16" t="s">
        <v>149</v>
      </c>
      <c r="K2198" s="16"/>
      <c r="L2198" s="14" t="s">
        <v>150</v>
      </c>
      <c r="M2198" s="16" t="s">
        <v>5232</v>
      </c>
      <c r="N2198" s="16"/>
      <c r="O2198" s="16" t="s">
        <v>5233</v>
      </c>
      <c r="P2198" s="16" t="str">
        <f>HYPERLINK("https://ceds.ed.gov/cedselementdetails.aspx?termid=17492")</f>
        <v>https://ceds.ed.gov/cedselementdetails.aspx?termid=17492</v>
      </c>
      <c r="Q2198" s="16" t="str">
        <f>HYPERLINK("https://ceds.ed.gov/elementComment.aspx?elementName=Incident Identifier &amp;elementID=17492", "Click here to submit comment")</f>
        <v>Click here to submit comment</v>
      </c>
      <c r="R2198" s="16">
        <v>48041</v>
      </c>
    </row>
    <row r="2199" spans="1:18" x14ac:dyDescent="0.25">
      <c r="A2199" s="16"/>
      <c r="B2199" s="16"/>
      <c r="C2199" s="16"/>
      <c r="D2199" s="16"/>
      <c r="E2199" s="16"/>
      <c r="F2199" s="16"/>
      <c r="G2199" s="16"/>
      <c r="H2199" s="16"/>
      <c r="I2199" s="16"/>
      <c r="J2199" s="16"/>
      <c r="K2199" s="16"/>
      <c r="L2199" s="14"/>
      <c r="M2199" s="16"/>
      <c r="N2199" s="16"/>
      <c r="O2199" s="16"/>
      <c r="P2199" s="16"/>
      <c r="Q2199" s="16"/>
      <c r="R2199" s="16"/>
    </row>
    <row r="2200" spans="1:18" ht="90" x14ac:dyDescent="0.25">
      <c r="A2200" s="16"/>
      <c r="B2200" s="16"/>
      <c r="C2200" s="16"/>
      <c r="D2200" s="16"/>
      <c r="E2200" s="16"/>
      <c r="F2200" s="16"/>
      <c r="G2200" s="16"/>
      <c r="H2200" s="16"/>
      <c r="I2200" s="16"/>
      <c r="J2200" s="16"/>
      <c r="K2200" s="16"/>
      <c r="L2200" s="14" t="s">
        <v>153</v>
      </c>
      <c r="M2200" s="16"/>
      <c r="N2200" s="16"/>
      <c r="O2200" s="16"/>
      <c r="P2200" s="16"/>
      <c r="Q2200" s="16"/>
      <c r="R2200" s="16"/>
    </row>
    <row r="2201" spans="1:18" ht="45" x14ac:dyDescent="0.25">
      <c r="A2201" s="14" t="s">
        <v>8732</v>
      </c>
      <c r="B2201" s="14" t="s">
        <v>8958</v>
      </c>
      <c r="C2201" s="14"/>
      <c r="D2201" s="14" t="s">
        <v>8531</v>
      </c>
      <c r="E2201" s="14" t="s">
        <v>5222</v>
      </c>
      <c r="F2201" s="14" t="s">
        <v>5223</v>
      </c>
      <c r="G2201" s="14" t="s">
        <v>37</v>
      </c>
      <c r="H2201" s="14"/>
      <c r="I2201" s="14"/>
      <c r="J2201" s="14" t="s">
        <v>135</v>
      </c>
      <c r="K2201" s="14"/>
      <c r="L2201" s="14"/>
      <c r="M2201" s="14" t="s">
        <v>5224</v>
      </c>
      <c r="N2201" s="14"/>
      <c r="O2201" s="14" t="s">
        <v>5225</v>
      </c>
      <c r="P2201" s="14" t="str">
        <f>HYPERLINK("https://ceds.ed.gov/cedselementdetails.aspx?termid=17493")</f>
        <v>https://ceds.ed.gov/cedselementdetails.aspx?termid=17493</v>
      </c>
      <c r="Q2201" s="14" t="str">
        <f>HYPERLINK("https://ceds.ed.gov/elementComment.aspx?elementName=Incident Date &amp;elementID=17493", "Click here to submit comment")</f>
        <v>Click here to submit comment</v>
      </c>
      <c r="R2201" s="14">
        <v>48042</v>
      </c>
    </row>
    <row r="2202" spans="1:18" ht="45" x14ac:dyDescent="0.25">
      <c r="A2202" s="14" t="s">
        <v>8732</v>
      </c>
      <c r="B2202" s="14" t="s">
        <v>8958</v>
      </c>
      <c r="C2202" s="14"/>
      <c r="D2202" s="14" t="s">
        <v>8531</v>
      </c>
      <c r="E2202" s="14" t="s">
        <v>5286</v>
      </c>
      <c r="F2202" s="14" t="s">
        <v>5287</v>
      </c>
      <c r="G2202" s="14" t="s">
        <v>37</v>
      </c>
      <c r="H2202" s="14"/>
      <c r="I2202" s="14"/>
      <c r="J2202" s="14" t="s">
        <v>501</v>
      </c>
      <c r="K2202" s="14"/>
      <c r="L2202" s="14"/>
      <c r="M2202" s="14" t="s">
        <v>5288</v>
      </c>
      <c r="N2202" s="14"/>
      <c r="O2202" s="14" t="s">
        <v>5289</v>
      </c>
      <c r="P2202" s="14" t="str">
        <f>HYPERLINK("https://ceds.ed.gov/cedselementdetails.aspx?termid=17494")</f>
        <v>https://ceds.ed.gov/cedselementdetails.aspx?termid=17494</v>
      </c>
      <c r="Q2202" s="14" t="str">
        <f>HYPERLINK("https://ceds.ed.gov/elementComment.aspx?elementName=Incident Time &amp;elementID=17494", "Click here to submit comment")</f>
        <v>Click here to submit comment</v>
      </c>
      <c r="R2202" s="14">
        <v>48043</v>
      </c>
    </row>
    <row r="2203" spans="1:18" ht="210" x14ac:dyDescent="0.25">
      <c r="A2203" s="14" t="s">
        <v>8732</v>
      </c>
      <c r="B2203" s="14" t="s">
        <v>8958</v>
      </c>
      <c r="C2203" s="14"/>
      <c r="D2203" s="14" t="s">
        <v>8531</v>
      </c>
      <c r="E2203" s="14" t="s">
        <v>5290</v>
      </c>
      <c r="F2203" s="14" t="s">
        <v>5291</v>
      </c>
      <c r="G2203" s="8" t="s">
        <v>8959</v>
      </c>
      <c r="H2203" s="14"/>
      <c r="I2203" s="14"/>
      <c r="J2203" s="14"/>
      <c r="K2203" s="14"/>
      <c r="L2203" s="14"/>
      <c r="M2203" s="14" t="s">
        <v>5293</v>
      </c>
      <c r="N2203" s="14"/>
      <c r="O2203" s="14" t="s">
        <v>5294</v>
      </c>
      <c r="P2203" s="14" t="str">
        <f>HYPERLINK("https://ceds.ed.gov/cedselementdetails.aspx?termid=17506")</f>
        <v>https://ceds.ed.gov/cedselementdetails.aspx?termid=17506</v>
      </c>
      <c r="Q2203" s="14" t="str">
        <f>HYPERLINK("https://ceds.ed.gov/elementComment.aspx?elementName=Incident Time Description Code &amp;elementID=17506", "Click here to submit comment")</f>
        <v>Click here to submit comment</v>
      </c>
      <c r="R2203" s="14">
        <v>48054</v>
      </c>
    </row>
    <row r="2204" spans="1:18" ht="45" x14ac:dyDescent="0.25">
      <c r="A2204" s="14" t="s">
        <v>8732</v>
      </c>
      <c r="B2204" s="14" t="s">
        <v>8958</v>
      </c>
      <c r="C2204" s="14"/>
      <c r="D2204" s="14" t="s">
        <v>8531</v>
      </c>
      <c r="E2204" s="14" t="s">
        <v>5226</v>
      </c>
      <c r="F2204" s="14" t="s">
        <v>5227</v>
      </c>
      <c r="G2204" s="14" t="s">
        <v>37</v>
      </c>
      <c r="H2204" s="14"/>
      <c r="I2204" s="14"/>
      <c r="J2204" s="14" t="s">
        <v>382</v>
      </c>
      <c r="K2204" s="14"/>
      <c r="L2204" s="14"/>
      <c r="M2204" s="14" t="s">
        <v>5228</v>
      </c>
      <c r="N2204" s="14"/>
      <c r="O2204" s="14" t="s">
        <v>5229</v>
      </c>
      <c r="P2204" s="14" t="str">
        <f>HYPERLINK("https://ceds.ed.gov/cedselementdetails.aspx?termid=17499")</f>
        <v>https://ceds.ed.gov/cedselementdetails.aspx?termid=17499</v>
      </c>
      <c r="Q2204" s="14" t="str">
        <f>HYPERLINK("https://ceds.ed.gov/elementComment.aspx?elementName=Incident Description &amp;elementID=17499", "Click here to submit comment")</f>
        <v>Click here to submit comment</v>
      </c>
      <c r="R2204" s="14">
        <v>48047</v>
      </c>
    </row>
    <row r="2205" spans="1:18" ht="409.5" x14ac:dyDescent="0.25">
      <c r="A2205" s="14" t="s">
        <v>8732</v>
      </c>
      <c r="B2205" s="14" t="s">
        <v>8958</v>
      </c>
      <c r="C2205" s="14"/>
      <c r="D2205" s="14" t="s">
        <v>8531</v>
      </c>
      <c r="E2205" s="14" t="s">
        <v>5213</v>
      </c>
      <c r="F2205" s="14" t="s">
        <v>5214</v>
      </c>
      <c r="G2205" s="8" t="s">
        <v>8960</v>
      </c>
      <c r="H2205" s="14"/>
      <c r="I2205" s="14"/>
      <c r="J2205" s="14"/>
      <c r="K2205" s="14"/>
      <c r="L2205" s="14"/>
      <c r="M2205" s="14" t="s">
        <v>5216</v>
      </c>
      <c r="N2205" s="14"/>
      <c r="O2205" s="14" t="s">
        <v>5217</v>
      </c>
      <c r="P2205" s="14" t="str">
        <f>HYPERLINK("https://ceds.ed.gov/cedselementdetails.aspx?termid=17500")</f>
        <v>https://ceds.ed.gov/cedselementdetails.aspx?termid=17500</v>
      </c>
      <c r="Q2205" s="14" t="str">
        <f>HYPERLINK("https://ceds.ed.gov/elementComment.aspx?elementName=Incident Behavior &amp;elementID=17500", "Click here to submit comment")</f>
        <v>Click here to submit comment</v>
      </c>
      <c r="R2205" s="14">
        <v>48048</v>
      </c>
    </row>
    <row r="2206" spans="1:18" ht="150" x14ac:dyDescent="0.25">
      <c r="A2206" s="14" t="s">
        <v>8732</v>
      </c>
      <c r="B2206" s="14" t="s">
        <v>8958</v>
      </c>
      <c r="C2206" s="14"/>
      <c r="D2206" s="14" t="s">
        <v>8531</v>
      </c>
      <c r="E2206" s="14" t="s">
        <v>7659</v>
      </c>
      <c r="F2206" s="14" t="s">
        <v>7660</v>
      </c>
      <c r="G2206" s="8" t="s">
        <v>8961</v>
      </c>
      <c r="H2206" s="14"/>
      <c r="I2206" s="14"/>
      <c r="J2206" s="14"/>
      <c r="K2206" s="14"/>
      <c r="L2206" s="14"/>
      <c r="M2206" s="14" t="s">
        <v>7662</v>
      </c>
      <c r="N2206" s="14"/>
      <c r="O2206" s="14" t="s">
        <v>7663</v>
      </c>
      <c r="P2206" s="14" t="str">
        <f>HYPERLINK("https://ceds.ed.gov/cedselementdetails.aspx?termid=17620")</f>
        <v>https://ceds.ed.gov/cedselementdetails.aspx?termid=17620</v>
      </c>
      <c r="Q2206" s="14" t="str">
        <f>HYPERLINK("https://ceds.ed.gov/elementComment.aspx?elementName=Secondary Incident Behavior &amp;elementID=17620", "Click here to submit comment")</f>
        <v>Click here to submit comment</v>
      </c>
      <c r="R2206" s="14">
        <v>48062</v>
      </c>
    </row>
    <row r="2207" spans="1:18" ht="409.5" x14ac:dyDescent="0.25">
      <c r="A2207" s="14" t="s">
        <v>8732</v>
      </c>
      <c r="B2207" s="14" t="s">
        <v>8958</v>
      </c>
      <c r="C2207" s="14"/>
      <c r="D2207" s="14" t="s">
        <v>8531</v>
      </c>
      <c r="E2207" s="14" t="s">
        <v>5240</v>
      </c>
      <c r="F2207" s="14" t="s">
        <v>5241</v>
      </c>
      <c r="G2207" s="8" t="s">
        <v>8962</v>
      </c>
      <c r="H2207" s="14"/>
      <c r="I2207" s="14"/>
      <c r="J2207" s="14"/>
      <c r="K2207" s="14"/>
      <c r="L2207" s="14"/>
      <c r="M2207" s="14" t="s">
        <v>5243</v>
      </c>
      <c r="N2207" s="14"/>
      <c r="O2207" s="14" t="s">
        <v>5244</v>
      </c>
      <c r="P2207" s="14" t="str">
        <f>HYPERLINK("https://ceds.ed.gov/cedselementdetails.aspx?termid=17610")</f>
        <v>https://ceds.ed.gov/cedselementdetails.aspx?termid=17610</v>
      </c>
      <c r="Q2207" s="14" t="str">
        <f>HYPERLINK("https://ceds.ed.gov/elementComment.aspx?elementName=Incident Location &amp;elementID=17610", "Click here to submit comment")</f>
        <v>Click here to submit comment</v>
      </c>
      <c r="R2207" s="14">
        <v>48061</v>
      </c>
    </row>
    <row r="2208" spans="1:18" ht="105" x14ac:dyDescent="0.25">
      <c r="A2208" s="14" t="s">
        <v>8732</v>
      </c>
      <c r="B2208" s="14" t="s">
        <v>8958</v>
      </c>
      <c r="C2208" s="14"/>
      <c r="D2208" s="14" t="s">
        <v>8531</v>
      </c>
      <c r="E2208" s="14" t="s">
        <v>5234</v>
      </c>
      <c r="F2208" s="14" t="s">
        <v>5235</v>
      </c>
      <c r="G2208" s="8" t="s">
        <v>8963</v>
      </c>
      <c r="H2208" s="14"/>
      <c r="I2208" s="14"/>
      <c r="J2208" s="14"/>
      <c r="K2208" s="14"/>
      <c r="L2208" s="14" t="s">
        <v>5237</v>
      </c>
      <c r="M2208" s="14" t="s">
        <v>5238</v>
      </c>
      <c r="N2208" s="14"/>
      <c r="O2208" s="14" t="s">
        <v>5239</v>
      </c>
      <c r="P2208" s="14" t="str">
        <f>HYPERLINK("https://ceds.ed.gov/cedselementdetails.aspx?termid=17501")</f>
        <v>https://ceds.ed.gov/cedselementdetails.aspx?termid=17501</v>
      </c>
      <c r="Q2208" s="14" t="str">
        <f>HYPERLINK("https://ceds.ed.gov/elementComment.aspx?elementName=Incident Injury Type &amp;elementID=17501", "Click here to submit comment")</f>
        <v>Click here to submit comment</v>
      </c>
      <c r="R2208" s="14">
        <v>48049</v>
      </c>
    </row>
    <row r="2209" spans="1:18" ht="105" x14ac:dyDescent="0.25">
      <c r="A2209" s="16" t="s">
        <v>8732</v>
      </c>
      <c r="B2209" s="16" t="s">
        <v>8958</v>
      </c>
      <c r="C2209" s="16"/>
      <c r="D2209" s="16" t="s">
        <v>8531</v>
      </c>
      <c r="E2209" s="16" t="s">
        <v>7384</v>
      </c>
      <c r="F2209" s="16" t="s">
        <v>7385</v>
      </c>
      <c r="G2209" s="16" t="s">
        <v>37</v>
      </c>
      <c r="H2209" s="16"/>
      <c r="I2209" s="16"/>
      <c r="J2209" s="16" t="s">
        <v>149</v>
      </c>
      <c r="K2209" s="16"/>
      <c r="L2209" s="14" t="s">
        <v>150</v>
      </c>
      <c r="M2209" s="16" t="s">
        <v>7386</v>
      </c>
      <c r="N2209" s="16"/>
      <c r="O2209" s="16" t="s">
        <v>7387</v>
      </c>
      <c r="P2209" s="16" t="str">
        <f>HYPERLINK("https://ceds.ed.gov/cedselementdetails.aspx?termid=17498")</f>
        <v>https://ceds.ed.gov/cedselementdetails.aspx?termid=17498</v>
      </c>
      <c r="Q2209" s="16" t="str">
        <f>HYPERLINK("https://ceds.ed.gov/elementComment.aspx?elementName=Reporter Identifier &amp;elementID=17498", "Click here to submit comment")</f>
        <v>Click here to submit comment</v>
      </c>
      <c r="R2209" s="16">
        <v>48046</v>
      </c>
    </row>
    <row r="2210" spans="1:18" x14ac:dyDescent="0.25">
      <c r="A2210" s="16"/>
      <c r="B2210" s="16"/>
      <c r="C2210" s="16"/>
      <c r="D2210" s="16"/>
      <c r="E2210" s="16"/>
      <c r="F2210" s="16"/>
      <c r="G2210" s="16"/>
      <c r="H2210" s="16"/>
      <c r="I2210" s="16"/>
      <c r="J2210" s="16"/>
      <c r="K2210" s="16"/>
      <c r="L2210" s="14"/>
      <c r="M2210" s="16"/>
      <c r="N2210" s="16"/>
      <c r="O2210" s="16"/>
      <c r="P2210" s="16"/>
      <c r="Q2210" s="16"/>
      <c r="R2210" s="16"/>
    </row>
    <row r="2211" spans="1:18" ht="90" x14ac:dyDescent="0.25">
      <c r="A2211" s="16"/>
      <c r="B2211" s="16"/>
      <c r="C2211" s="16"/>
      <c r="D2211" s="16"/>
      <c r="E2211" s="16"/>
      <c r="F2211" s="16"/>
      <c r="G2211" s="16"/>
      <c r="H2211" s="16"/>
      <c r="I2211" s="16"/>
      <c r="J2211" s="16"/>
      <c r="K2211" s="16"/>
      <c r="L2211" s="14" t="s">
        <v>153</v>
      </c>
      <c r="M2211" s="16"/>
      <c r="N2211" s="16"/>
      <c r="O2211" s="16"/>
      <c r="P2211" s="16"/>
      <c r="Q2211" s="16"/>
      <c r="R2211" s="16"/>
    </row>
    <row r="2212" spans="1:18" ht="409.5" x14ac:dyDescent="0.25">
      <c r="A2212" s="14" t="s">
        <v>8732</v>
      </c>
      <c r="B2212" s="14" t="s">
        <v>8958</v>
      </c>
      <c r="C2212" s="14"/>
      <c r="D2212" s="14" t="s">
        <v>8531</v>
      </c>
      <c r="E2212" s="14" t="s">
        <v>5281</v>
      </c>
      <c r="F2212" s="14" t="s">
        <v>5282</v>
      </c>
      <c r="G2212" s="8" t="s">
        <v>8964</v>
      </c>
      <c r="H2212" s="14"/>
      <c r="I2212" s="14"/>
      <c r="J2212" s="14"/>
      <c r="K2212" s="14"/>
      <c r="L2212" s="14"/>
      <c r="M2212" s="14" t="s">
        <v>5284</v>
      </c>
      <c r="N2212" s="14"/>
      <c r="O2212" s="14" t="s">
        <v>5285</v>
      </c>
      <c r="P2212" s="14" t="str">
        <f>HYPERLINK("https://ceds.ed.gov/cedselementdetails.aspx?termid=17497")</f>
        <v>https://ceds.ed.gov/cedselementdetails.aspx?termid=17497</v>
      </c>
      <c r="Q2212" s="14" t="str">
        <f>HYPERLINK("https://ceds.ed.gov/elementComment.aspx?elementName=Incident Reporter Type &amp;elementID=17497", "Click here to submit comment")</f>
        <v>Click here to submit comment</v>
      </c>
      <c r="R2212" s="14">
        <v>48045</v>
      </c>
    </row>
    <row r="2213" spans="1:18" ht="60" x14ac:dyDescent="0.25">
      <c r="A2213" s="14" t="s">
        <v>8732</v>
      </c>
      <c r="B2213" s="14" t="s">
        <v>8958</v>
      </c>
      <c r="C2213" s="14"/>
      <c r="D2213" s="14" t="s">
        <v>8531</v>
      </c>
      <c r="E2213" s="14" t="s">
        <v>5245</v>
      </c>
      <c r="F2213" s="14" t="s">
        <v>5246</v>
      </c>
      <c r="G2213" s="8" t="s">
        <v>8965</v>
      </c>
      <c r="H2213" s="14"/>
      <c r="I2213" s="14"/>
      <c r="J2213" s="14"/>
      <c r="K2213" s="14"/>
      <c r="L2213" s="14"/>
      <c r="M2213" s="14" t="s">
        <v>5248</v>
      </c>
      <c r="N2213" s="14"/>
      <c r="O2213" s="14" t="s">
        <v>5249</v>
      </c>
      <c r="P2213" s="14" t="str">
        <f>HYPERLINK("https://ceds.ed.gov/cedselementdetails.aspx?termid=18337")</f>
        <v>https://ceds.ed.gov/cedselementdetails.aspx?termid=18337</v>
      </c>
      <c r="Q2213" s="14" t="str">
        <f>HYPERLINK("https://ceds.ed.gov/elementComment.aspx?elementName=Incident Multiple Offense Type &amp;elementID=18337", "Click here to submit comment")</f>
        <v>Click here to submit comment</v>
      </c>
      <c r="R2213" s="14">
        <v>50491</v>
      </c>
    </row>
    <row r="2214" spans="1:18" ht="105" x14ac:dyDescent="0.25">
      <c r="A2214" s="16" t="s">
        <v>8732</v>
      </c>
      <c r="B2214" s="16" t="s">
        <v>8958</v>
      </c>
      <c r="C2214" s="16"/>
      <c r="D2214" s="16" t="s">
        <v>8531</v>
      </c>
      <c r="E2214" s="16" t="s">
        <v>5250</v>
      </c>
      <c r="F2214" s="16" t="s">
        <v>5251</v>
      </c>
      <c r="G2214" s="16" t="s">
        <v>37</v>
      </c>
      <c r="H2214" s="16"/>
      <c r="I2214" s="16"/>
      <c r="J2214" s="16" t="s">
        <v>149</v>
      </c>
      <c r="K2214" s="16"/>
      <c r="L2214" s="14" t="s">
        <v>150</v>
      </c>
      <c r="M2214" s="16" t="s">
        <v>5252</v>
      </c>
      <c r="N2214" s="16"/>
      <c r="O2214" s="16" t="s">
        <v>5253</v>
      </c>
      <c r="P2214" s="16" t="str">
        <f>HYPERLINK("https://ceds.ed.gov/cedselementdetails.aspx?termid=18338")</f>
        <v>https://ceds.ed.gov/cedselementdetails.aspx?termid=18338</v>
      </c>
      <c r="Q2214" s="16" t="str">
        <f>HYPERLINK("https://ceds.ed.gov/elementComment.aspx?elementName=Incident Perpetrator Identifier &amp;elementID=18338", "Click here to submit comment")</f>
        <v>Click here to submit comment</v>
      </c>
      <c r="R2214" s="16">
        <v>50492</v>
      </c>
    </row>
    <row r="2215" spans="1:18" x14ac:dyDescent="0.25">
      <c r="A2215" s="16"/>
      <c r="B2215" s="16"/>
      <c r="C2215" s="16"/>
      <c r="D2215" s="16"/>
      <c r="E2215" s="16"/>
      <c r="F2215" s="16"/>
      <c r="G2215" s="16"/>
      <c r="H2215" s="16"/>
      <c r="I2215" s="16"/>
      <c r="J2215" s="16"/>
      <c r="K2215" s="16"/>
      <c r="L2215" s="14"/>
      <c r="M2215" s="16"/>
      <c r="N2215" s="16"/>
      <c r="O2215" s="16"/>
      <c r="P2215" s="16"/>
      <c r="Q2215" s="16"/>
      <c r="R2215" s="16"/>
    </row>
    <row r="2216" spans="1:18" ht="90" x14ac:dyDescent="0.25">
      <c r="A2216" s="16"/>
      <c r="B2216" s="16"/>
      <c r="C2216" s="16"/>
      <c r="D2216" s="16"/>
      <c r="E2216" s="16"/>
      <c r="F2216" s="16"/>
      <c r="G2216" s="16"/>
      <c r="H2216" s="16"/>
      <c r="I2216" s="16"/>
      <c r="J2216" s="16"/>
      <c r="K2216" s="16"/>
      <c r="L2216" s="14" t="s">
        <v>153</v>
      </c>
      <c r="M2216" s="16"/>
      <c r="N2216" s="16"/>
      <c r="O2216" s="16"/>
      <c r="P2216" s="16"/>
      <c r="Q2216" s="16"/>
      <c r="R2216" s="16"/>
    </row>
    <row r="2217" spans="1:18" ht="105" x14ac:dyDescent="0.25">
      <c r="A2217" s="14" t="s">
        <v>8732</v>
      </c>
      <c r="B2217" s="14" t="s">
        <v>8958</v>
      </c>
      <c r="C2217" s="14"/>
      <c r="D2217" s="14" t="s">
        <v>8531</v>
      </c>
      <c r="E2217" s="14" t="s">
        <v>5254</v>
      </c>
      <c r="F2217" s="14" t="s">
        <v>5255</v>
      </c>
      <c r="G2217" s="8" t="s">
        <v>8963</v>
      </c>
      <c r="H2217" s="14"/>
      <c r="I2217" s="14"/>
      <c r="J2217" s="14"/>
      <c r="K2217" s="14"/>
      <c r="L2217" s="14"/>
      <c r="M2217" s="14" t="s">
        <v>5256</v>
      </c>
      <c r="N2217" s="14"/>
      <c r="O2217" s="14" t="s">
        <v>5257</v>
      </c>
      <c r="P2217" s="14" t="str">
        <f>HYPERLINK("https://ceds.ed.gov/cedselementdetails.aspx?termid=18339")</f>
        <v>https://ceds.ed.gov/cedselementdetails.aspx?termid=18339</v>
      </c>
      <c r="Q2217" s="14" t="str">
        <f>HYPERLINK("https://ceds.ed.gov/elementComment.aspx?elementName=Incident Perpetrator Injury Type &amp;elementID=18339", "Click here to submit comment")</f>
        <v>Click here to submit comment</v>
      </c>
      <c r="R2217" s="14">
        <v>50493</v>
      </c>
    </row>
    <row r="2218" spans="1:18" ht="409.5" x14ac:dyDescent="0.25">
      <c r="A2218" s="14" t="s">
        <v>8732</v>
      </c>
      <c r="B2218" s="14" t="s">
        <v>8958</v>
      </c>
      <c r="C2218" s="14"/>
      <c r="D2218" s="14" t="s">
        <v>8531</v>
      </c>
      <c r="E2218" s="14" t="s">
        <v>5258</v>
      </c>
      <c r="F2218" s="14" t="s">
        <v>5259</v>
      </c>
      <c r="G2218" s="8" t="s">
        <v>8966</v>
      </c>
      <c r="H2218" s="14"/>
      <c r="I2218" s="14"/>
      <c r="J2218" s="14"/>
      <c r="K2218" s="14"/>
      <c r="L2218" s="14"/>
      <c r="M2218" s="14" t="s">
        <v>5261</v>
      </c>
      <c r="N2218" s="14"/>
      <c r="O2218" s="14" t="s">
        <v>5262</v>
      </c>
      <c r="P2218" s="14" t="str">
        <f>HYPERLINK("https://ceds.ed.gov/cedselementdetails.aspx?termid=18340")</f>
        <v>https://ceds.ed.gov/cedselementdetails.aspx?termid=18340</v>
      </c>
      <c r="Q2218" s="14" t="str">
        <f>HYPERLINK("https://ceds.ed.gov/elementComment.aspx?elementName=Incident Perpetrator Type &amp;elementID=18340", "Click here to submit comment")</f>
        <v>Click here to submit comment</v>
      </c>
      <c r="R2218" s="14">
        <v>50494</v>
      </c>
    </row>
    <row r="2219" spans="1:18" ht="75" x14ac:dyDescent="0.25">
      <c r="A2219" s="14" t="s">
        <v>8732</v>
      </c>
      <c r="B2219" s="14" t="s">
        <v>8958</v>
      </c>
      <c r="C2219" s="14"/>
      <c r="D2219" s="14" t="s">
        <v>8531</v>
      </c>
      <c r="E2219" s="14" t="s">
        <v>5263</v>
      </c>
      <c r="F2219" s="14" t="s">
        <v>5264</v>
      </c>
      <c r="G2219" s="8" t="s">
        <v>8967</v>
      </c>
      <c r="H2219" s="14"/>
      <c r="I2219" s="14"/>
      <c r="J2219" s="14"/>
      <c r="K2219" s="14"/>
      <c r="L2219" s="14"/>
      <c r="M2219" s="14" t="s">
        <v>5266</v>
      </c>
      <c r="N2219" s="14"/>
      <c r="O2219" s="14" t="s">
        <v>5267</v>
      </c>
      <c r="P2219" s="14" t="str">
        <f>HYPERLINK("https://ceds.ed.gov/cedselementdetails.aspx?termid=18341")</f>
        <v>https://ceds.ed.gov/cedselementdetails.aspx?termid=18341</v>
      </c>
      <c r="Q2219" s="14" t="str">
        <f>HYPERLINK("https://ceds.ed.gov/elementComment.aspx?elementName=Incident Person Role Type &amp;elementID=18341", "Click here to submit comment")</f>
        <v>Click here to submit comment</v>
      </c>
      <c r="R2219" s="14">
        <v>50224</v>
      </c>
    </row>
    <row r="2220" spans="1:18" ht="105" x14ac:dyDescent="0.25">
      <c r="A2220" s="16" t="s">
        <v>8732</v>
      </c>
      <c r="B2220" s="16" t="s">
        <v>8958</v>
      </c>
      <c r="C2220" s="16"/>
      <c r="D2220" s="16" t="s">
        <v>8531</v>
      </c>
      <c r="E2220" s="16" t="s">
        <v>5295</v>
      </c>
      <c r="F2220" s="16" t="s">
        <v>5296</v>
      </c>
      <c r="G2220" s="16" t="s">
        <v>37</v>
      </c>
      <c r="H2220" s="16"/>
      <c r="I2220" s="16"/>
      <c r="J2220" s="16" t="s">
        <v>149</v>
      </c>
      <c r="K2220" s="16"/>
      <c r="L2220" s="14" t="s">
        <v>150</v>
      </c>
      <c r="M2220" s="16" t="s">
        <v>5297</v>
      </c>
      <c r="N2220" s="16"/>
      <c r="O2220" s="16" t="s">
        <v>5298</v>
      </c>
      <c r="P2220" s="16" t="str">
        <f>HYPERLINK("https://ceds.ed.gov/cedselementdetails.aspx?termid=18346")</f>
        <v>https://ceds.ed.gov/cedselementdetails.aspx?termid=18346</v>
      </c>
      <c r="Q2220" s="16" t="str">
        <f>HYPERLINK("https://ceds.ed.gov/elementComment.aspx?elementName=Incident Victim Identifier &amp;elementID=18346", "Click here to submit comment")</f>
        <v>Click here to submit comment</v>
      </c>
      <c r="R2220" s="16">
        <v>50499</v>
      </c>
    </row>
    <row r="2221" spans="1:18" x14ac:dyDescent="0.25">
      <c r="A2221" s="16"/>
      <c r="B2221" s="16"/>
      <c r="C2221" s="16"/>
      <c r="D2221" s="16"/>
      <c r="E2221" s="16"/>
      <c r="F2221" s="16"/>
      <c r="G2221" s="16"/>
      <c r="H2221" s="16"/>
      <c r="I2221" s="16"/>
      <c r="J2221" s="16"/>
      <c r="K2221" s="16"/>
      <c r="L2221" s="14"/>
      <c r="M2221" s="16"/>
      <c r="N2221" s="16"/>
      <c r="O2221" s="16"/>
      <c r="P2221" s="16"/>
      <c r="Q2221" s="16"/>
      <c r="R2221" s="16"/>
    </row>
    <row r="2222" spans="1:18" ht="90" x14ac:dyDescent="0.25">
      <c r="A2222" s="16"/>
      <c r="B2222" s="16"/>
      <c r="C2222" s="16"/>
      <c r="D2222" s="16"/>
      <c r="E2222" s="16"/>
      <c r="F2222" s="16"/>
      <c r="G2222" s="16"/>
      <c r="H2222" s="16"/>
      <c r="I2222" s="16"/>
      <c r="J2222" s="16"/>
      <c r="K2222" s="16"/>
      <c r="L2222" s="14" t="s">
        <v>153</v>
      </c>
      <c r="M2222" s="16"/>
      <c r="N2222" s="16"/>
      <c r="O2222" s="16"/>
      <c r="P2222" s="16"/>
      <c r="Q2222" s="16"/>
      <c r="R2222" s="16"/>
    </row>
    <row r="2223" spans="1:18" ht="409.5" x14ac:dyDescent="0.25">
      <c r="A2223" s="14" t="s">
        <v>8732</v>
      </c>
      <c r="B2223" s="14" t="s">
        <v>8958</v>
      </c>
      <c r="C2223" s="14"/>
      <c r="D2223" s="14" t="s">
        <v>8531</v>
      </c>
      <c r="E2223" s="14" t="s">
        <v>5299</v>
      </c>
      <c r="F2223" s="14" t="s">
        <v>5300</v>
      </c>
      <c r="G2223" s="8" t="s">
        <v>8966</v>
      </c>
      <c r="H2223" s="14"/>
      <c r="I2223" s="14"/>
      <c r="J2223" s="14"/>
      <c r="K2223" s="14"/>
      <c r="L2223" s="14"/>
      <c r="M2223" s="14" t="s">
        <v>5301</v>
      </c>
      <c r="N2223" s="14"/>
      <c r="O2223" s="14" t="s">
        <v>5302</v>
      </c>
      <c r="P2223" s="14" t="str">
        <f>HYPERLINK("https://ceds.ed.gov/cedselementdetails.aspx?termid=18347")</f>
        <v>https://ceds.ed.gov/cedselementdetails.aspx?termid=18347</v>
      </c>
      <c r="Q2223" s="14" t="str">
        <f>HYPERLINK("https://ceds.ed.gov/elementComment.aspx?elementName=Incident Victim Type &amp;elementID=18347", "Click here to submit comment")</f>
        <v>Click here to submit comment</v>
      </c>
      <c r="R2223" s="14">
        <v>50500</v>
      </c>
    </row>
    <row r="2224" spans="1:18" ht="105" x14ac:dyDescent="0.25">
      <c r="A2224" s="16" t="s">
        <v>8732</v>
      </c>
      <c r="B2224" s="16" t="s">
        <v>8958</v>
      </c>
      <c r="C2224" s="16"/>
      <c r="D2224" s="16" t="s">
        <v>8531</v>
      </c>
      <c r="E2224" s="16" t="s">
        <v>5303</v>
      </c>
      <c r="F2224" s="16" t="s">
        <v>5304</v>
      </c>
      <c r="G2224" s="16" t="s">
        <v>37</v>
      </c>
      <c r="H2224" s="16"/>
      <c r="I2224" s="16"/>
      <c r="J2224" s="16" t="s">
        <v>149</v>
      </c>
      <c r="K2224" s="16"/>
      <c r="L2224" s="14" t="s">
        <v>150</v>
      </c>
      <c r="M2224" s="16" t="s">
        <v>5305</v>
      </c>
      <c r="N2224" s="16"/>
      <c r="O2224" s="16" t="s">
        <v>5306</v>
      </c>
      <c r="P2224" s="16" t="str">
        <f>HYPERLINK("https://ceds.ed.gov/cedselementdetails.aspx?termid=18348")</f>
        <v>https://ceds.ed.gov/cedselementdetails.aspx?termid=18348</v>
      </c>
      <c r="Q2224" s="16" t="str">
        <f>HYPERLINK("https://ceds.ed.gov/elementComment.aspx?elementName=Incident Witness Identifier &amp;elementID=18348", "Click here to submit comment")</f>
        <v>Click here to submit comment</v>
      </c>
      <c r="R2224" s="16">
        <v>50501</v>
      </c>
    </row>
    <row r="2225" spans="1:18" x14ac:dyDescent="0.25">
      <c r="A2225" s="16"/>
      <c r="B2225" s="16"/>
      <c r="C2225" s="16"/>
      <c r="D2225" s="16"/>
      <c r="E2225" s="16"/>
      <c r="F2225" s="16"/>
      <c r="G2225" s="16"/>
      <c r="H2225" s="16"/>
      <c r="I2225" s="16"/>
      <c r="J2225" s="16"/>
      <c r="K2225" s="16"/>
      <c r="L2225" s="14"/>
      <c r="M2225" s="16"/>
      <c r="N2225" s="16"/>
      <c r="O2225" s="16"/>
      <c r="P2225" s="16"/>
      <c r="Q2225" s="16"/>
      <c r="R2225" s="16"/>
    </row>
    <row r="2226" spans="1:18" ht="90" x14ac:dyDescent="0.25">
      <c r="A2226" s="16"/>
      <c r="B2226" s="16"/>
      <c r="C2226" s="16"/>
      <c r="D2226" s="16"/>
      <c r="E2226" s="16"/>
      <c r="F2226" s="16"/>
      <c r="G2226" s="16"/>
      <c r="H2226" s="16"/>
      <c r="I2226" s="16"/>
      <c r="J2226" s="16"/>
      <c r="K2226" s="16"/>
      <c r="L2226" s="14" t="s">
        <v>153</v>
      </c>
      <c r="M2226" s="16"/>
      <c r="N2226" s="16"/>
      <c r="O2226" s="16"/>
      <c r="P2226" s="16"/>
      <c r="Q2226" s="16"/>
      <c r="R2226" s="16"/>
    </row>
    <row r="2227" spans="1:18" ht="409.5" x14ac:dyDescent="0.25">
      <c r="A2227" s="14" t="s">
        <v>8732</v>
      </c>
      <c r="B2227" s="14" t="s">
        <v>8958</v>
      </c>
      <c r="C2227" s="14"/>
      <c r="D2227" s="14" t="s">
        <v>8531</v>
      </c>
      <c r="E2227" s="14" t="s">
        <v>5307</v>
      </c>
      <c r="F2227" s="14" t="s">
        <v>5308</v>
      </c>
      <c r="G2227" s="8" t="s">
        <v>8966</v>
      </c>
      <c r="H2227" s="14"/>
      <c r="I2227" s="14"/>
      <c r="J2227" s="14"/>
      <c r="K2227" s="14"/>
      <c r="L2227" s="14"/>
      <c r="M2227" s="14" t="s">
        <v>5309</v>
      </c>
      <c r="N2227" s="14"/>
      <c r="O2227" s="14" t="s">
        <v>5310</v>
      </c>
      <c r="P2227" s="14" t="str">
        <f>HYPERLINK("https://ceds.ed.gov/cedselementdetails.aspx?termid=18349")</f>
        <v>https://ceds.ed.gov/cedselementdetails.aspx?termid=18349</v>
      </c>
      <c r="Q2227" s="14" t="str">
        <f>HYPERLINK("https://ceds.ed.gov/elementComment.aspx?elementName=Incident Witness Type &amp;elementID=18349", "Click here to submit comment")</f>
        <v>Click here to submit comment</v>
      </c>
      <c r="R2227" s="14">
        <v>50502</v>
      </c>
    </row>
    <row r="2228" spans="1:18" ht="75" x14ac:dyDescent="0.25">
      <c r="A2228" s="14" t="s">
        <v>8732</v>
      </c>
      <c r="B2228" s="14" t="s">
        <v>8958</v>
      </c>
      <c r="C2228" s="14"/>
      <c r="D2228" s="14" t="s">
        <v>8531</v>
      </c>
      <c r="E2228" s="14" t="s">
        <v>7376</v>
      </c>
      <c r="F2228" s="14" t="s">
        <v>7377</v>
      </c>
      <c r="G2228" s="14" t="s">
        <v>24</v>
      </c>
      <c r="H2228" s="14"/>
      <c r="I2228" s="14"/>
      <c r="J2228" s="14"/>
      <c r="K2228" s="14"/>
      <c r="L2228" s="14"/>
      <c r="M2228" s="14" t="s">
        <v>7378</v>
      </c>
      <c r="N2228" s="14"/>
      <c r="O2228" s="14" t="s">
        <v>7379</v>
      </c>
      <c r="P2228" s="14" t="str">
        <f>HYPERLINK("https://ceds.ed.gov/cedselementdetails.aspx?termid=17503")</f>
        <v>https://ceds.ed.gov/cedselementdetails.aspx?termid=17503</v>
      </c>
      <c r="Q2228" s="14" t="str">
        <f>HYPERLINK("https://ceds.ed.gov/elementComment.aspx?elementName=Related to Zero Tolerance Policy &amp;elementID=17503", "Click here to submit comment")</f>
        <v>Click here to submit comment</v>
      </c>
      <c r="R2228" s="14">
        <v>48051</v>
      </c>
    </row>
    <row r="2229" spans="1:18" ht="90" x14ac:dyDescent="0.25">
      <c r="A2229" s="14" t="s">
        <v>8732</v>
      </c>
      <c r="B2229" s="14" t="s">
        <v>8958</v>
      </c>
      <c r="C2229" s="14"/>
      <c r="D2229" s="14" t="s">
        <v>8531</v>
      </c>
      <c r="E2229" s="14" t="s">
        <v>5268</v>
      </c>
      <c r="F2229" s="14" t="s">
        <v>5269</v>
      </c>
      <c r="G2229" s="14" t="s">
        <v>37</v>
      </c>
      <c r="H2229" s="14"/>
      <c r="I2229" s="14"/>
      <c r="J2229" s="14" t="s">
        <v>874</v>
      </c>
      <c r="K2229" s="14"/>
      <c r="L2229" s="14"/>
      <c r="M2229" s="14" t="s">
        <v>5270</v>
      </c>
      <c r="N2229" s="14"/>
      <c r="O2229" s="14" t="s">
        <v>5271</v>
      </c>
      <c r="P2229" s="14" t="str">
        <f>HYPERLINK("https://ceds.ed.gov/cedselementdetails.aspx?termid=18342")</f>
        <v>https://ceds.ed.gov/cedselementdetails.aspx?termid=18342</v>
      </c>
      <c r="Q2229" s="14" t="str">
        <f>HYPERLINK("https://ceds.ed.gov/elementComment.aspx?elementName=Incident Regulation Violated Description &amp;elementID=18342", "Click here to submit comment")</f>
        <v>Click here to submit comment</v>
      </c>
      <c r="R2229" s="14">
        <v>50495</v>
      </c>
    </row>
    <row r="2230" spans="1:18" ht="90" x14ac:dyDescent="0.25">
      <c r="A2230" s="14" t="s">
        <v>8732</v>
      </c>
      <c r="B2230" s="14" t="s">
        <v>8958</v>
      </c>
      <c r="C2230" s="14"/>
      <c r="D2230" s="14" t="s">
        <v>8531</v>
      </c>
      <c r="E2230" s="14" t="s">
        <v>5272</v>
      </c>
      <c r="F2230" s="14" t="s">
        <v>5273</v>
      </c>
      <c r="G2230" s="14" t="s">
        <v>24</v>
      </c>
      <c r="H2230" s="14"/>
      <c r="I2230" s="14"/>
      <c r="J2230" s="14"/>
      <c r="K2230" s="14"/>
      <c r="L2230" s="14" t="s">
        <v>5274</v>
      </c>
      <c r="M2230" s="14" t="s">
        <v>5275</v>
      </c>
      <c r="N2230" s="14"/>
      <c r="O2230" s="14" t="s">
        <v>5276</v>
      </c>
      <c r="P2230" s="14" t="str">
        <f>HYPERLINK("https://ceds.ed.gov/cedselementdetails.aspx?termid=18343")</f>
        <v>https://ceds.ed.gov/cedselementdetails.aspx?termid=18343</v>
      </c>
      <c r="Q2230" s="14" t="str">
        <f>HYPERLINK("https://ceds.ed.gov/elementComment.aspx?elementName=Incident Related to Disability Manifestation &amp;elementID=18343", "Click here to submit comment")</f>
        <v>Click here to submit comment</v>
      </c>
      <c r="R2230" s="14">
        <v>50496</v>
      </c>
    </row>
    <row r="2231" spans="1:18" ht="75" x14ac:dyDescent="0.25">
      <c r="A2231" s="14" t="s">
        <v>8732</v>
      </c>
      <c r="B2231" s="14" t="s">
        <v>8958</v>
      </c>
      <c r="C2231" s="14"/>
      <c r="D2231" s="14" t="s">
        <v>8531</v>
      </c>
      <c r="E2231" s="14" t="s">
        <v>5277</v>
      </c>
      <c r="F2231" s="14" t="s">
        <v>5278</v>
      </c>
      <c r="G2231" s="14" t="s">
        <v>24</v>
      </c>
      <c r="H2231" s="14"/>
      <c r="I2231" s="14"/>
      <c r="J2231" s="14"/>
      <c r="K2231" s="14"/>
      <c r="L2231" s="14"/>
      <c r="M2231" s="14" t="s">
        <v>5279</v>
      </c>
      <c r="N2231" s="14"/>
      <c r="O2231" s="14" t="s">
        <v>5280</v>
      </c>
      <c r="P2231" s="14" t="str">
        <f>HYPERLINK("https://ceds.ed.gov/cedselementdetails.aspx?termid=18345")</f>
        <v>https://ceds.ed.gov/cedselementdetails.aspx?termid=18345</v>
      </c>
      <c r="Q2231" s="14" t="str">
        <f>HYPERLINK("https://ceds.ed.gov/elementComment.aspx?elementName=Incident Reported to Law Enforcement Indicator &amp;elementID=18345", "Click here to submit comment")</f>
        <v>Click here to submit comment</v>
      </c>
      <c r="R2231" s="14">
        <v>50498</v>
      </c>
    </row>
    <row r="2232" spans="1:18" ht="285" x14ac:dyDescent="0.25">
      <c r="A2232" s="14" t="s">
        <v>8732</v>
      </c>
      <c r="B2232" s="14" t="s">
        <v>8958</v>
      </c>
      <c r="C2232" s="14"/>
      <c r="D2232" s="14" t="s">
        <v>8531</v>
      </c>
      <c r="E2232" s="14" t="s">
        <v>8461</v>
      </c>
      <c r="F2232" s="14" t="s">
        <v>8462</v>
      </c>
      <c r="G2232" s="8" t="s">
        <v>8968</v>
      </c>
      <c r="H2232" s="14"/>
      <c r="I2232" s="14"/>
      <c r="J2232" s="14"/>
      <c r="K2232" s="14"/>
      <c r="L2232" s="14" t="s">
        <v>8464</v>
      </c>
      <c r="M2232" s="14" t="s">
        <v>8465</v>
      </c>
      <c r="N2232" s="14"/>
      <c r="O2232" s="14" t="s">
        <v>8466</v>
      </c>
      <c r="P2232" s="14" t="str">
        <f>HYPERLINK("https://ceds.ed.gov/cedselementdetails.aspx?termid=18178")</f>
        <v>https://ceds.ed.gov/cedselementdetails.aspx?termid=18178</v>
      </c>
      <c r="Q2232" s="14" t="str">
        <f>HYPERLINK("https://ceds.ed.gov/elementComment.aspx?elementName=Weapon Type &amp;elementID=18178", "Click here to submit comment")</f>
        <v>Click here to submit comment</v>
      </c>
      <c r="R2232" s="14">
        <v>48624</v>
      </c>
    </row>
    <row r="2233" spans="1:18" ht="90" x14ac:dyDescent="0.25">
      <c r="A2233" s="14" t="s">
        <v>8732</v>
      </c>
      <c r="B2233" s="14" t="s">
        <v>8958</v>
      </c>
      <c r="C2233" s="14"/>
      <c r="D2233" s="14" t="s">
        <v>8531</v>
      </c>
      <c r="E2233" s="14" t="s">
        <v>4648</v>
      </c>
      <c r="F2233" s="14" t="s">
        <v>4649</v>
      </c>
      <c r="G2233" s="8" t="s">
        <v>8969</v>
      </c>
      <c r="H2233" s="14" t="s">
        <v>258</v>
      </c>
      <c r="I2233" s="14"/>
      <c r="J2233" s="14"/>
      <c r="K2233" s="14"/>
      <c r="L2233" s="14"/>
      <c r="M2233" s="14" t="s">
        <v>4652</v>
      </c>
      <c r="N2233" s="14"/>
      <c r="O2233" s="14" t="s">
        <v>4653</v>
      </c>
      <c r="P2233" s="14" t="str">
        <f>HYPERLINK("https://ceds.ed.gov/cedselementdetails.aspx?termid=17548")</f>
        <v>https://ceds.ed.gov/cedselementdetails.aspx?termid=17548</v>
      </c>
      <c r="Q2233" s="14" t="str">
        <f>HYPERLINK("https://ceds.ed.gov/elementComment.aspx?elementName=Firearm Type &amp;elementID=17548", "Click here to submit comment")</f>
        <v>Click here to submit comment</v>
      </c>
      <c r="R2233" s="14">
        <v>48058</v>
      </c>
    </row>
    <row r="2234" spans="1:18" ht="180" x14ac:dyDescent="0.25">
      <c r="A2234" s="14" t="s">
        <v>8732</v>
      </c>
      <c r="B2234" s="14" t="s">
        <v>8958</v>
      </c>
      <c r="C2234" s="14"/>
      <c r="D2234" s="14" t="s">
        <v>8531</v>
      </c>
      <c r="E2234" s="14" t="s">
        <v>3623</v>
      </c>
      <c r="F2234" s="14" t="s">
        <v>3624</v>
      </c>
      <c r="G2234" s="8" t="s">
        <v>8893</v>
      </c>
      <c r="H2234" s="14" t="s">
        <v>258</v>
      </c>
      <c r="I2234" s="14"/>
      <c r="J2234" s="14"/>
      <c r="K2234" s="14"/>
      <c r="L2234" s="14"/>
      <c r="M2234" s="14" t="s">
        <v>3626</v>
      </c>
      <c r="N2234" s="14"/>
      <c r="O2234" s="14" t="s">
        <v>3627</v>
      </c>
      <c r="P2234" s="14" t="str">
        <f>HYPERLINK("https://ceds.ed.gov/cedselementdetails.aspx?termid=17536")</f>
        <v>https://ceds.ed.gov/cedselementdetails.aspx?termid=17536</v>
      </c>
      <c r="Q2234" s="14" t="str">
        <f>HYPERLINK("https://ceds.ed.gov/elementComment.aspx?elementName=Discipline Reason &amp;elementID=17536", "Click here to submit comment")</f>
        <v>Click here to submit comment</v>
      </c>
      <c r="R2234" s="14">
        <v>48057</v>
      </c>
    </row>
    <row r="2235" spans="1:18" ht="45" x14ac:dyDescent="0.25">
      <c r="A2235" s="14" t="s">
        <v>8732</v>
      </c>
      <c r="B2235" s="14" t="s">
        <v>8958</v>
      </c>
      <c r="C2235" s="14"/>
      <c r="D2235" s="14" t="s">
        <v>8531</v>
      </c>
      <c r="E2235" s="14" t="s">
        <v>3599</v>
      </c>
      <c r="F2235" s="14" t="s">
        <v>3600</v>
      </c>
      <c r="G2235" s="14" t="s">
        <v>37</v>
      </c>
      <c r="H2235" s="14" t="s">
        <v>28</v>
      </c>
      <c r="I2235" s="14"/>
      <c r="J2235" s="14" t="s">
        <v>135</v>
      </c>
      <c r="K2235" s="14"/>
      <c r="L2235" s="14"/>
      <c r="M2235" s="14" t="s">
        <v>3601</v>
      </c>
      <c r="N2235" s="14"/>
      <c r="O2235" s="14" t="s">
        <v>3602</v>
      </c>
      <c r="P2235" s="14" t="str">
        <f>HYPERLINK("https://ceds.ed.gov/cedselementdetails.aspx?termid=17083")</f>
        <v>https://ceds.ed.gov/cedselementdetails.aspx?termid=17083</v>
      </c>
      <c r="Q2235" s="14" t="str">
        <f>HYPERLINK("https://ceds.ed.gov/elementComment.aspx?elementName=Disciplinary Action Start Date &amp;elementID=17083", "Click here to submit comment")</f>
        <v>Click here to submit comment</v>
      </c>
      <c r="R2235" s="14">
        <v>48039</v>
      </c>
    </row>
    <row r="2236" spans="1:18" ht="75" x14ac:dyDescent="0.25">
      <c r="A2236" s="14" t="s">
        <v>8732</v>
      </c>
      <c r="B2236" s="14" t="s">
        <v>8958</v>
      </c>
      <c r="C2236" s="14"/>
      <c r="D2236" s="14" t="s">
        <v>8531</v>
      </c>
      <c r="E2236" s="14" t="s">
        <v>3589</v>
      </c>
      <c r="F2236" s="14" t="s">
        <v>3590</v>
      </c>
      <c r="G2236" s="14" t="s">
        <v>37</v>
      </c>
      <c r="H2236" s="14" t="s">
        <v>28</v>
      </c>
      <c r="I2236" s="14"/>
      <c r="J2236" s="14" t="s">
        <v>135</v>
      </c>
      <c r="K2236" s="14"/>
      <c r="L2236" s="14" t="s">
        <v>160</v>
      </c>
      <c r="M2236" s="14" t="s">
        <v>3592</v>
      </c>
      <c r="N2236" s="14"/>
      <c r="O2236" s="14" t="s">
        <v>3593</v>
      </c>
      <c r="P2236" s="14" t="str">
        <f>HYPERLINK("https://ceds.ed.gov/cedselementdetails.aspx?termid=17082")</f>
        <v>https://ceds.ed.gov/cedselementdetails.aspx?termid=17082</v>
      </c>
      <c r="Q2236" s="14" t="str">
        <f>HYPERLINK("https://ceds.ed.gov/elementComment.aspx?elementName=Disciplinary Action End Date &amp;elementID=17082", "Click here to submit comment")</f>
        <v>Click here to submit comment</v>
      </c>
      <c r="R2236" s="14">
        <v>48038</v>
      </c>
    </row>
    <row r="2237" spans="1:18" ht="409.5" x14ac:dyDescent="0.25">
      <c r="A2237" s="14" t="s">
        <v>8732</v>
      </c>
      <c r="B2237" s="14" t="s">
        <v>8958</v>
      </c>
      <c r="C2237" s="14"/>
      <c r="D2237" s="14" t="s">
        <v>8531</v>
      </c>
      <c r="E2237" s="14" t="s">
        <v>3603</v>
      </c>
      <c r="F2237" s="14" t="s">
        <v>3604</v>
      </c>
      <c r="G2237" s="8" t="s">
        <v>8892</v>
      </c>
      <c r="H2237" s="14" t="s">
        <v>28</v>
      </c>
      <c r="I2237" s="14"/>
      <c r="J2237" s="14"/>
      <c r="K2237" s="14"/>
      <c r="L2237" s="14"/>
      <c r="M2237" s="14" t="s">
        <v>3606</v>
      </c>
      <c r="N2237" s="14"/>
      <c r="O2237" s="14" t="s">
        <v>3607</v>
      </c>
      <c r="P2237" s="14" t="str">
        <f>HYPERLINK("https://ceds.ed.gov/cedselementdetails.aspx?termid=17479")</f>
        <v>https://ceds.ed.gov/cedselementdetails.aspx?termid=17479</v>
      </c>
      <c r="Q2237" s="14" t="str">
        <f>HYPERLINK("https://ceds.ed.gov/elementComment.aspx?elementName=Disciplinary Action Taken &amp;elementID=17479", "Click here to submit comment")</f>
        <v>Click here to submit comment</v>
      </c>
      <c r="R2237" s="14">
        <v>48040</v>
      </c>
    </row>
    <row r="2238" spans="1:18" ht="45" x14ac:dyDescent="0.25">
      <c r="A2238" s="14" t="s">
        <v>8732</v>
      </c>
      <c r="B2238" s="14" t="s">
        <v>8958</v>
      </c>
      <c r="C2238" s="14"/>
      <c r="D2238" s="14" t="s">
        <v>8531</v>
      </c>
      <c r="E2238" s="14" t="s">
        <v>3690</v>
      </c>
      <c r="F2238" s="14" t="s">
        <v>3691</v>
      </c>
      <c r="G2238" s="14" t="s">
        <v>37</v>
      </c>
      <c r="H2238" s="14"/>
      <c r="I2238" s="14"/>
      <c r="J2238" s="14" t="s">
        <v>1710</v>
      </c>
      <c r="K2238" s="14"/>
      <c r="L2238" s="14"/>
      <c r="M2238" s="14" t="s">
        <v>3692</v>
      </c>
      <c r="N2238" s="14"/>
      <c r="O2238" s="14" t="s">
        <v>3693</v>
      </c>
      <c r="P2238" s="14" t="str">
        <f>HYPERLINK("https://ceds.ed.gov/cedselementdetails.aspx?termid=17502")</f>
        <v>https://ceds.ed.gov/cedselementdetails.aspx?termid=17502</v>
      </c>
      <c r="Q2238" s="14" t="str">
        <f>HYPERLINK("https://ceds.ed.gov/elementComment.aspx?elementName=Duration of Disciplinary Action &amp;elementID=17502", "Click here to submit comment")</f>
        <v>Click here to submit comment</v>
      </c>
      <c r="R2238" s="14">
        <v>48050</v>
      </c>
    </row>
    <row r="2239" spans="1:18" ht="300" x14ac:dyDescent="0.25">
      <c r="A2239" s="14" t="s">
        <v>8732</v>
      </c>
      <c r="B2239" s="14" t="s">
        <v>8958</v>
      </c>
      <c r="C2239" s="14"/>
      <c r="D2239" s="14" t="s">
        <v>8531</v>
      </c>
      <c r="E2239" s="14" t="s">
        <v>3608</v>
      </c>
      <c r="F2239" s="14" t="s">
        <v>3609</v>
      </c>
      <c r="G2239" s="8" t="s">
        <v>8894</v>
      </c>
      <c r="H2239" s="14"/>
      <c r="I2239" s="14"/>
      <c r="J2239" s="14"/>
      <c r="K2239" s="14"/>
      <c r="L2239" s="14"/>
      <c r="M2239" s="14" t="s">
        <v>3611</v>
      </c>
      <c r="N2239" s="14"/>
      <c r="O2239" s="14" t="s">
        <v>3612</v>
      </c>
      <c r="P2239" s="14" t="str">
        <f>HYPERLINK("https://ceds.ed.gov/cedselementdetails.aspx?termid=17602")</f>
        <v>https://ceds.ed.gov/cedselementdetails.aspx?termid=17602</v>
      </c>
      <c r="Q2239" s="14" t="str">
        <f>HYPERLINK("https://ceds.ed.gov/elementComment.aspx?elementName=Discipline Action Length Difference Reason &amp;elementID=17602", "Click here to submit comment")</f>
        <v>Click here to submit comment</v>
      </c>
      <c r="R2239" s="14">
        <v>48060</v>
      </c>
    </row>
    <row r="2240" spans="1:18" ht="45" x14ac:dyDescent="0.25">
      <c r="A2240" s="14" t="s">
        <v>8732</v>
      </c>
      <c r="B2240" s="14" t="s">
        <v>8958</v>
      </c>
      <c r="C2240" s="14"/>
      <c r="D2240" s="14" t="s">
        <v>8531</v>
      </c>
      <c r="E2240" s="14" t="s">
        <v>4718</v>
      </c>
      <c r="F2240" s="14" t="s">
        <v>4719</v>
      </c>
      <c r="G2240" s="14" t="s">
        <v>24</v>
      </c>
      <c r="H2240" s="14"/>
      <c r="I2240" s="14"/>
      <c r="J2240" s="14"/>
      <c r="K2240" s="14"/>
      <c r="L2240" s="14"/>
      <c r="M2240" s="14" t="s">
        <v>4720</v>
      </c>
      <c r="N2240" s="14"/>
      <c r="O2240" s="14" t="s">
        <v>4721</v>
      </c>
      <c r="P2240" s="14" t="str">
        <f>HYPERLINK("https://ceds.ed.gov/cedselementdetails.aspx?termid=17504")</f>
        <v>https://ceds.ed.gov/cedselementdetails.aspx?termid=17504</v>
      </c>
      <c r="Q2240" s="14" t="str">
        <f>HYPERLINK("https://ceds.ed.gov/elementComment.aspx?elementName=Full Year Expulsion &amp;elementID=17504", "Click here to submit comment")</f>
        <v>Click here to submit comment</v>
      </c>
      <c r="R2240" s="14">
        <v>48052</v>
      </c>
    </row>
    <row r="2241" spans="1:18" ht="60" x14ac:dyDescent="0.25">
      <c r="A2241" s="14" t="s">
        <v>8732</v>
      </c>
      <c r="B2241" s="14" t="s">
        <v>8958</v>
      </c>
      <c r="C2241" s="14"/>
      <c r="D2241" s="14" t="s">
        <v>8531</v>
      </c>
      <c r="E2241" s="14" t="s">
        <v>7772</v>
      </c>
      <c r="F2241" s="14" t="s">
        <v>7773</v>
      </c>
      <c r="G2241" s="14" t="s">
        <v>24</v>
      </c>
      <c r="H2241" s="14"/>
      <c r="I2241" s="14"/>
      <c r="J2241" s="14"/>
      <c r="K2241" s="14"/>
      <c r="L2241" s="14"/>
      <c r="M2241" s="14" t="s">
        <v>7774</v>
      </c>
      <c r="N2241" s="14"/>
      <c r="O2241" s="14" t="s">
        <v>7775</v>
      </c>
      <c r="P2241" s="14" t="str">
        <f>HYPERLINK("https://ceds.ed.gov/cedselementdetails.aspx?termid=17505")</f>
        <v>https://ceds.ed.gov/cedselementdetails.aspx?termid=17505</v>
      </c>
      <c r="Q2241" s="14" t="str">
        <f>HYPERLINK("https://ceds.ed.gov/elementComment.aspx?elementName=Shortened Expulsion &amp;elementID=17505", "Click here to submit comment")</f>
        <v>Click here to submit comment</v>
      </c>
      <c r="R2241" s="14">
        <v>48053</v>
      </c>
    </row>
    <row r="2242" spans="1:18" ht="75" x14ac:dyDescent="0.25">
      <c r="A2242" s="14" t="s">
        <v>8732</v>
      </c>
      <c r="B2242" s="14" t="s">
        <v>8958</v>
      </c>
      <c r="C2242" s="14"/>
      <c r="D2242" s="14" t="s">
        <v>8531</v>
      </c>
      <c r="E2242" s="14" t="s">
        <v>5096</v>
      </c>
      <c r="F2242" s="14" t="s">
        <v>5097</v>
      </c>
      <c r="G2242" s="8" t="s">
        <v>8896</v>
      </c>
      <c r="H2242" s="14" t="s">
        <v>258</v>
      </c>
      <c r="I2242" s="14"/>
      <c r="J2242" s="14"/>
      <c r="K2242" s="14"/>
      <c r="L2242" s="14"/>
      <c r="M2242" s="14" t="s">
        <v>5099</v>
      </c>
      <c r="N2242" s="14"/>
      <c r="O2242" s="14" t="s">
        <v>5100</v>
      </c>
      <c r="P2242" s="14" t="str">
        <f>HYPERLINK("https://ceds.ed.gov/cedselementdetails.aspx?termid=17530")</f>
        <v>https://ceds.ed.gov/cedselementdetails.aspx?termid=17530</v>
      </c>
      <c r="Q2242" s="14" t="str">
        <f>HYPERLINK("https://ceds.ed.gov/elementComment.aspx?elementName=IDEA Interim Removal Reason &amp;elementID=17530", "Click here to submit comment")</f>
        <v>Click here to submit comment</v>
      </c>
      <c r="R2242" s="14">
        <v>48055</v>
      </c>
    </row>
    <row r="2243" spans="1:18" ht="75" x14ac:dyDescent="0.25">
      <c r="A2243" s="14" t="s">
        <v>8732</v>
      </c>
      <c r="B2243" s="14" t="s">
        <v>8958</v>
      </c>
      <c r="C2243" s="14"/>
      <c r="D2243" s="14" t="s">
        <v>8531</v>
      </c>
      <c r="E2243" s="14" t="s">
        <v>5091</v>
      </c>
      <c r="F2243" s="14" t="s">
        <v>5092</v>
      </c>
      <c r="G2243" s="8" t="s">
        <v>8895</v>
      </c>
      <c r="H2243" s="14" t="s">
        <v>258</v>
      </c>
      <c r="I2243" s="14"/>
      <c r="J2243" s="14"/>
      <c r="K2243" s="14"/>
      <c r="L2243" s="14"/>
      <c r="M2243" s="14" t="s">
        <v>5094</v>
      </c>
      <c r="N2243" s="14"/>
      <c r="O2243" s="14" t="s">
        <v>5095</v>
      </c>
      <c r="P2243" s="14" t="str">
        <f>HYPERLINK("https://ceds.ed.gov/cedselementdetails.aspx?termid=17532")</f>
        <v>https://ceds.ed.gov/cedselementdetails.aspx?termid=17532</v>
      </c>
      <c r="Q2243" s="14" t="str">
        <f>HYPERLINK("https://ceds.ed.gov/elementComment.aspx?elementName=IDEA Interim Removal &amp;elementID=17532", "Click here to submit comment")</f>
        <v>Click here to submit comment</v>
      </c>
      <c r="R2243" s="14">
        <v>48056</v>
      </c>
    </row>
    <row r="2244" spans="1:18" ht="75" x14ac:dyDescent="0.25">
      <c r="A2244" s="14" t="s">
        <v>8732</v>
      </c>
      <c r="B2244" s="14" t="s">
        <v>8958</v>
      </c>
      <c r="C2244" s="14"/>
      <c r="D2244" s="14" t="s">
        <v>8531</v>
      </c>
      <c r="E2244" s="14" t="s">
        <v>3927</v>
      </c>
      <c r="F2244" s="14" t="s">
        <v>3928</v>
      </c>
      <c r="G2244" s="14" t="s">
        <v>24</v>
      </c>
      <c r="H2244" s="14"/>
      <c r="I2244" s="14"/>
      <c r="J2244" s="14"/>
      <c r="K2244" s="14"/>
      <c r="L2244" s="14"/>
      <c r="M2244" s="14" t="s">
        <v>3929</v>
      </c>
      <c r="N2244" s="14"/>
      <c r="O2244" s="14" t="s">
        <v>3930</v>
      </c>
      <c r="P2244" s="14" t="str">
        <f>HYPERLINK("https://ceds.ed.gov/cedselementdetails.aspx?termid=17570")</f>
        <v>https://ceds.ed.gov/cedselementdetails.aspx?termid=17570</v>
      </c>
      <c r="Q2244" s="14" t="str">
        <f>HYPERLINK("https://ceds.ed.gov/elementComment.aspx?elementName=Educational Services After Removal &amp;elementID=17570", "Click here to submit comment")</f>
        <v>Click here to submit comment</v>
      </c>
      <c r="R2244" s="14">
        <v>48059</v>
      </c>
    </row>
    <row r="2245" spans="1:18" ht="195" x14ac:dyDescent="0.25">
      <c r="A2245" s="14" t="s">
        <v>8732</v>
      </c>
      <c r="B2245" s="14" t="s">
        <v>8958</v>
      </c>
      <c r="C2245" s="14"/>
      <c r="D2245" s="14" t="s">
        <v>8531</v>
      </c>
      <c r="E2245" s="14" t="s">
        <v>5218</v>
      </c>
      <c r="F2245" s="14" t="s">
        <v>5219</v>
      </c>
      <c r="G2245" s="14" t="s">
        <v>37</v>
      </c>
      <c r="H2245" s="14"/>
      <c r="I2245" s="14"/>
      <c r="J2245" s="14" t="s">
        <v>97</v>
      </c>
      <c r="K2245" s="14"/>
      <c r="L2245" s="14"/>
      <c r="M2245" s="14" t="s">
        <v>5220</v>
      </c>
      <c r="N2245" s="14"/>
      <c r="O2245" s="14" t="s">
        <v>5221</v>
      </c>
      <c r="P2245" s="14" t="str">
        <f>HYPERLINK("https://ceds.ed.gov/cedselementdetails.aspx?termid=17496")</f>
        <v>https://ceds.ed.gov/cedselementdetails.aspx?termid=17496</v>
      </c>
      <c r="Q2245" s="14" t="str">
        <f>HYPERLINK("https://ceds.ed.gov/elementComment.aspx?elementName=Incident Cost &amp;elementID=17496", "Click here to submit comment")</f>
        <v>Click here to submit comment</v>
      </c>
      <c r="R2245" s="14">
        <v>48044</v>
      </c>
    </row>
    <row r="2246" spans="1:18" ht="45" x14ac:dyDescent="0.25">
      <c r="A2246" s="14" t="s">
        <v>8732</v>
      </c>
      <c r="B2246" s="14" t="s">
        <v>8970</v>
      </c>
      <c r="C2246" s="14" t="s">
        <v>8786</v>
      </c>
      <c r="D2246" s="14" t="s">
        <v>8531</v>
      </c>
      <c r="E2246" s="14" t="s">
        <v>7649</v>
      </c>
      <c r="F2246" s="14" t="s">
        <v>7650</v>
      </c>
      <c r="G2246" s="14" t="s">
        <v>37</v>
      </c>
      <c r="H2246" s="14" t="s">
        <v>2807</v>
      </c>
      <c r="I2246" s="14"/>
      <c r="J2246" s="14" t="s">
        <v>2094</v>
      </c>
      <c r="K2246" s="14"/>
      <c r="L2246" s="14" t="s">
        <v>7652</v>
      </c>
      <c r="M2246" s="14" t="s">
        <v>7653</v>
      </c>
      <c r="N2246" s="14"/>
      <c r="O2246" s="14" t="s">
        <v>7654</v>
      </c>
      <c r="P2246" s="14" t="str">
        <f>HYPERLINK("https://ceds.ed.gov/cedselementdetails.aspx?termid=17243")</f>
        <v>https://ceds.ed.gov/cedselementdetails.aspx?termid=17243</v>
      </c>
      <c r="Q2246" s="14" t="str">
        <f>HYPERLINK("https://ceds.ed.gov/elementComment.aspx?elementName=School Year &amp;elementID=17243", "Click here to submit comment")</f>
        <v>Click here to submit comment</v>
      </c>
      <c r="R2246" s="14">
        <v>48063</v>
      </c>
    </row>
    <row r="2247" spans="1:18" ht="45" x14ac:dyDescent="0.25">
      <c r="A2247" s="14" t="s">
        <v>8732</v>
      </c>
      <c r="B2247" s="14" t="s">
        <v>8970</v>
      </c>
      <c r="C2247" s="14" t="s">
        <v>8786</v>
      </c>
      <c r="D2247" s="14" t="s">
        <v>8531</v>
      </c>
      <c r="E2247" s="14" t="s">
        <v>2101</v>
      </c>
      <c r="F2247" s="14" t="s">
        <v>2102</v>
      </c>
      <c r="G2247" s="14" t="s">
        <v>37</v>
      </c>
      <c r="H2247" s="14"/>
      <c r="I2247" s="14"/>
      <c r="J2247" s="14" t="s">
        <v>97</v>
      </c>
      <c r="K2247" s="14"/>
      <c r="L2247" s="14"/>
      <c r="M2247" s="14" t="s">
        <v>2103</v>
      </c>
      <c r="N2247" s="14"/>
      <c r="O2247" s="14" t="s">
        <v>2104</v>
      </c>
      <c r="P2247" s="14" t="str">
        <f>HYPERLINK("https://ceds.ed.gov/cedselementdetails.aspx?termid=17485")</f>
        <v>https://ceds.ed.gov/cedselementdetails.aspx?termid=17485</v>
      </c>
      <c r="Q2247" s="14" t="str">
        <f>HYPERLINK("https://ceds.ed.gov/elementComment.aspx?elementName=Calendar Code &amp;elementID=17485", "Click here to submit comment")</f>
        <v>Click here to submit comment</v>
      </c>
      <c r="R2247" s="14">
        <v>48064</v>
      </c>
    </row>
    <row r="2248" spans="1:18" ht="45" x14ac:dyDescent="0.25">
      <c r="A2248" s="14" t="s">
        <v>8732</v>
      </c>
      <c r="B2248" s="14" t="s">
        <v>8970</v>
      </c>
      <c r="C2248" s="14" t="s">
        <v>8786</v>
      </c>
      <c r="D2248" s="14" t="s">
        <v>8531</v>
      </c>
      <c r="E2248" s="14" t="s">
        <v>2105</v>
      </c>
      <c r="F2248" s="14" t="s">
        <v>2106</v>
      </c>
      <c r="G2248" s="14" t="s">
        <v>37</v>
      </c>
      <c r="H2248" s="14"/>
      <c r="I2248" s="14"/>
      <c r="J2248" s="14" t="s">
        <v>175</v>
      </c>
      <c r="K2248" s="14"/>
      <c r="L2248" s="14"/>
      <c r="M2248" s="14" t="s">
        <v>2107</v>
      </c>
      <c r="N2248" s="14"/>
      <c r="O2248" s="14" t="s">
        <v>2108</v>
      </c>
      <c r="P2248" s="14" t="str">
        <f>HYPERLINK("https://ceds.ed.gov/cedselementdetails.aspx?termid=17486")</f>
        <v>https://ceds.ed.gov/cedselementdetails.aspx?termid=17486</v>
      </c>
      <c r="Q2248" s="14" t="str">
        <f>HYPERLINK("https://ceds.ed.gov/elementComment.aspx?elementName=Calendar Description &amp;elementID=17486", "Click here to submit comment")</f>
        <v>Click here to submit comment</v>
      </c>
      <c r="R2248" s="14">
        <v>48065</v>
      </c>
    </row>
    <row r="2249" spans="1:18" ht="45" x14ac:dyDescent="0.25">
      <c r="A2249" s="14" t="s">
        <v>8732</v>
      </c>
      <c r="B2249" s="14" t="s">
        <v>8970</v>
      </c>
      <c r="C2249" s="14" t="s">
        <v>8786</v>
      </c>
      <c r="D2249" s="14" t="s">
        <v>8531</v>
      </c>
      <c r="E2249" s="14" t="s">
        <v>401</v>
      </c>
      <c r="F2249" s="14" t="s">
        <v>402</v>
      </c>
      <c r="G2249" s="14" t="s">
        <v>37</v>
      </c>
      <c r="H2249" s="14"/>
      <c r="I2249" s="14"/>
      <c r="J2249" s="14" t="s">
        <v>97</v>
      </c>
      <c r="K2249" s="14"/>
      <c r="L2249" s="14"/>
      <c r="M2249" s="14" t="s">
        <v>404</v>
      </c>
      <c r="N2249" s="14"/>
      <c r="O2249" s="14" t="s">
        <v>405</v>
      </c>
      <c r="P2249" s="14" t="str">
        <f>HYPERLINK("https://ceds.ed.gov/cedselementdetails.aspx?termid=17591")</f>
        <v>https://ceds.ed.gov/cedselementdetails.aspx?termid=17591</v>
      </c>
      <c r="Q2249" s="14" t="str">
        <f>HYPERLINK("https://ceds.ed.gov/elementComment.aspx?elementName=Alternate Day Name &amp;elementID=17591", "Click here to submit comment")</f>
        <v>Click here to submit comment</v>
      </c>
      <c r="R2249" s="14">
        <v>48066</v>
      </c>
    </row>
    <row r="2250" spans="1:18" ht="60" x14ac:dyDescent="0.25">
      <c r="A2250" s="14" t="s">
        <v>8732</v>
      </c>
      <c r="B2250" s="14" t="s">
        <v>8970</v>
      </c>
      <c r="C2250" s="14" t="s">
        <v>8786</v>
      </c>
      <c r="D2250" s="14" t="s">
        <v>8531</v>
      </c>
      <c r="E2250" s="14" t="s">
        <v>7716</v>
      </c>
      <c r="F2250" s="14" t="s">
        <v>7717</v>
      </c>
      <c r="G2250" s="14" t="s">
        <v>37</v>
      </c>
      <c r="H2250" s="14"/>
      <c r="I2250" s="14"/>
      <c r="J2250" s="14" t="s">
        <v>97</v>
      </c>
      <c r="K2250" s="14"/>
      <c r="L2250" s="14"/>
      <c r="M2250" s="14" t="s">
        <v>7718</v>
      </c>
      <c r="N2250" s="14"/>
      <c r="O2250" s="14" t="s">
        <v>7719</v>
      </c>
      <c r="P2250" s="14" t="str">
        <f>HYPERLINK("https://ceds.ed.gov/cedselementdetails.aspx?termid=18236")</f>
        <v>https://ceds.ed.gov/cedselementdetails.aspx?termid=18236</v>
      </c>
      <c r="Q2250" s="14" t="str">
        <f>HYPERLINK("https://ceds.ed.gov/elementComment.aspx?elementName=Session Code &amp;elementID=18236", "Click here to submit comment")</f>
        <v>Click here to submit comment</v>
      </c>
      <c r="R2250" s="14">
        <v>49900</v>
      </c>
    </row>
    <row r="2251" spans="1:18" ht="45" x14ac:dyDescent="0.25">
      <c r="A2251" s="14" t="s">
        <v>8732</v>
      </c>
      <c r="B2251" s="14" t="s">
        <v>8970</v>
      </c>
      <c r="C2251" s="14" t="s">
        <v>8786</v>
      </c>
      <c r="D2251" s="14" t="s">
        <v>8531</v>
      </c>
      <c r="E2251" s="14" t="s">
        <v>7720</v>
      </c>
      <c r="F2251" s="14" t="s">
        <v>7721</v>
      </c>
      <c r="G2251" s="14" t="s">
        <v>37</v>
      </c>
      <c r="H2251" s="14"/>
      <c r="I2251" s="14"/>
      <c r="J2251" s="14" t="s">
        <v>382</v>
      </c>
      <c r="K2251" s="14"/>
      <c r="L2251" s="14"/>
      <c r="M2251" s="14" t="s">
        <v>7722</v>
      </c>
      <c r="N2251" s="14"/>
      <c r="O2251" s="14" t="s">
        <v>7723</v>
      </c>
      <c r="P2251" s="14" t="str">
        <f>HYPERLINK("https://ceds.ed.gov/cedselementdetails.aspx?termid=18237")</f>
        <v>https://ceds.ed.gov/cedselementdetails.aspx?termid=18237</v>
      </c>
      <c r="Q2251" s="14" t="str">
        <f>HYPERLINK("https://ceds.ed.gov/elementComment.aspx?elementName=Session Description &amp;elementID=18237", "Click here to submit comment")</f>
        <v>Click here to submit comment</v>
      </c>
      <c r="R2251" s="14">
        <v>50029</v>
      </c>
    </row>
    <row r="2252" spans="1:18" ht="45" x14ac:dyDescent="0.25">
      <c r="A2252" s="14" t="s">
        <v>8732</v>
      </c>
      <c r="B2252" s="14" t="s">
        <v>8970</v>
      </c>
      <c r="C2252" s="14" t="s">
        <v>8786</v>
      </c>
      <c r="D2252" s="14" t="s">
        <v>8531</v>
      </c>
      <c r="E2252" s="14" t="s">
        <v>7738</v>
      </c>
      <c r="F2252" s="14" t="s">
        <v>7739</v>
      </c>
      <c r="G2252" s="14" t="s">
        <v>24</v>
      </c>
      <c r="H2252" s="14"/>
      <c r="I2252" s="14"/>
      <c r="J2252" s="14"/>
      <c r="K2252" s="14"/>
      <c r="L2252" s="14"/>
      <c r="M2252" s="14" t="s">
        <v>7740</v>
      </c>
      <c r="N2252" s="14"/>
      <c r="O2252" s="14" t="s">
        <v>7741</v>
      </c>
      <c r="P2252" s="14" t="str">
        <f>HYPERLINK("https://ceds.ed.gov/cedselementdetails.aspx?termid=18238")</f>
        <v>https://ceds.ed.gov/cedselementdetails.aspx?termid=18238</v>
      </c>
      <c r="Q2252" s="14" t="str">
        <f>HYPERLINK("https://ceds.ed.gov/elementComment.aspx?elementName=Session Marking Term Indicator &amp;elementID=18238", "Click here to submit comment")</f>
        <v>Click here to submit comment</v>
      </c>
      <c r="R2252" s="14">
        <v>49901</v>
      </c>
    </row>
    <row r="2253" spans="1:18" ht="45" x14ac:dyDescent="0.25">
      <c r="A2253" s="14" t="s">
        <v>8732</v>
      </c>
      <c r="B2253" s="14" t="s">
        <v>8970</v>
      </c>
      <c r="C2253" s="14" t="s">
        <v>8786</v>
      </c>
      <c r="D2253" s="14" t="s">
        <v>8531</v>
      </c>
      <c r="E2253" s="14" t="s">
        <v>7742</v>
      </c>
      <c r="F2253" s="14" t="s">
        <v>7743</v>
      </c>
      <c r="G2253" s="14" t="s">
        <v>24</v>
      </c>
      <c r="H2253" s="14"/>
      <c r="I2253" s="14"/>
      <c r="J2253" s="14"/>
      <c r="K2253" s="14"/>
      <c r="L2253" s="14"/>
      <c r="M2253" s="14" t="s">
        <v>7744</v>
      </c>
      <c r="N2253" s="14"/>
      <c r="O2253" s="14" t="s">
        <v>7745</v>
      </c>
      <c r="P2253" s="14" t="str">
        <f>HYPERLINK("https://ceds.ed.gov/cedselementdetails.aspx?termid=18239")</f>
        <v>https://ceds.ed.gov/cedselementdetails.aspx?termid=18239</v>
      </c>
      <c r="Q2253" s="14" t="str">
        <f>HYPERLINK("https://ceds.ed.gov/elementComment.aspx?elementName=Session Scheduling Term Indicator &amp;elementID=18239", "Click here to submit comment")</f>
        <v>Click here to submit comment</v>
      </c>
      <c r="R2253" s="14">
        <v>49902</v>
      </c>
    </row>
    <row r="2254" spans="1:18" ht="45" x14ac:dyDescent="0.25">
      <c r="A2254" s="14" t="s">
        <v>8732</v>
      </c>
      <c r="B2254" s="14" t="s">
        <v>8970</v>
      </c>
      <c r="C2254" s="14" t="s">
        <v>8786</v>
      </c>
      <c r="D2254" s="14" t="s">
        <v>8531</v>
      </c>
      <c r="E2254" s="14" t="s">
        <v>7707</v>
      </c>
      <c r="F2254" s="14" t="s">
        <v>7708</v>
      </c>
      <c r="G2254" s="14" t="s">
        <v>24</v>
      </c>
      <c r="H2254" s="14"/>
      <c r="I2254" s="14"/>
      <c r="J2254" s="14"/>
      <c r="K2254" s="14"/>
      <c r="L2254" s="14"/>
      <c r="M2254" s="14" t="s">
        <v>7710</v>
      </c>
      <c r="N2254" s="14"/>
      <c r="O2254" s="14" t="s">
        <v>7711</v>
      </c>
      <c r="P2254" s="14" t="str">
        <f>HYPERLINK("https://ceds.ed.gov/cedselementdetails.aspx?termid=18240")</f>
        <v>https://ceds.ed.gov/cedselementdetails.aspx?termid=18240</v>
      </c>
      <c r="Q2254" s="14" t="str">
        <f>HYPERLINK("https://ceds.ed.gov/elementComment.aspx?elementName=Session Attendance Term Indicator &amp;elementID=18240", "Click here to submit comment")</f>
        <v>Click here to submit comment</v>
      </c>
      <c r="R2254" s="14">
        <v>49903</v>
      </c>
    </row>
    <row r="2255" spans="1:18" ht="120" x14ac:dyDescent="0.25">
      <c r="A2255" s="14" t="s">
        <v>8732</v>
      </c>
      <c r="B2255" s="14" t="s">
        <v>8970</v>
      </c>
      <c r="C2255" s="14" t="s">
        <v>8786</v>
      </c>
      <c r="D2255" s="14" t="s">
        <v>8531</v>
      </c>
      <c r="E2255" s="14" t="s">
        <v>7712</v>
      </c>
      <c r="F2255" s="14" t="s">
        <v>7713</v>
      </c>
      <c r="G2255" s="14" t="s">
        <v>37</v>
      </c>
      <c r="H2255" s="14" t="s">
        <v>1713</v>
      </c>
      <c r="I2255" s="14"/>
      <c r="J2255" s="14" t="s">
        <v>135</v>
      </c>
      <c r="K2255" s="14"/>
      <c r="L2255" s="14"/>
      <c r="M2255" s="14" t="s">
        <v>7714</v>
      </c>
      <c r="N2255" s="14"/>
      <c r="O2255" s="14" t="s">
        <v>7715</v>
      </c>
      <c r="P2255" s="14" t="str">
        <f>HYPERLINK("https://ceds.ed.gov/cedselementdetails.aspx?termid=17251")</f>
        <v>https://ceds.ed.gov/cedselementdetails.aspx?termid=17251</v>
      </c>
      <c r="Q2255" s="14" t="str">
        <f>HYPERLINK("https://ceds.ed.gov/elementComment.aspx?elementName=Session Begin Date &amp;elementID=17251", "Click here to submit comment")</f>
        <v>Click here to submit comment</v>
      </c>
      <c r="R2255" s="14">
        <v>50916</v>
      </c>
    </row>
    <row r="2256" spans="1:18" ht="120" x14ac:dyDescent="0.25">
      <c r="A2256" s="14" t="s">
        <v>8732</v>
      </c>
      <c r="B2256" s="14" t="s">
        <v>8970</v>
      </c>
      <c r="C2256" s="14" t="s">
        <v>8786</v>
      </c>
      <c r="D2256" s="14" t="s">
        <v>8531</v>
      </c>
      <c r="E2256" s="14" t="s">
        <v>7729</v>
      </c>
      <c r="F2256" s="14" t="s">
        <v>7730</v>
      </c>
      <c r="G2256" s="14" t="s">
        <v>37</v>
      </c>
      <c r="H2256" s="14" t="s">
        <v>1713</v>
      </c>
      <c r="I2256" s="14"/>
      <c r="J2256" s="14" t="s">
        <v>135</v>
      </c>
      <c r="K2256" s="14"/>
      <c r="L2256" s="14" t="s">
        <v>160</v>
      </c>
      <c r="M2256" s="14" t="s">
        <v>7731</v>
      </c>
      <c r="N2256" s="14"/>
      <c r="O2256" s="14" t="s">
        <v>7732</v>
      </c>
      <c r="P2256" s="14" t="str">
        <f>HYPERLINK("https://ceds.ed.gov/cedselementdetails.aspx?termid=17253")</f>
        <v>https://ceds.ed.gov/cedselementdetails.aspx?termid=17253</v>
      </c>
      <c r="Q2256" s="14" t="str">
        <f>HYPERLINK("https://ceds.ed.gov/elementComment.aspx?elementName=Session End Date &amp;elementID=17253", "Click here to submit comment")</f>
        <v>Click here to submit comment</v>
      </c>
      <c r="R2256" s="14">
        <v>50917</v>
      </c>
    </row>
    <row r="2257" spans="1:18" ht="45" x14ac:dyDescent="0.25">
      <c r="A2257" s="14" t="s">
        <v>8732</v>
      </c>
      <c r="B2257" s="14" t="s">
        <v>8970</v>
      </c>
      <c r="C2257" s="14" t="s">
        <v>8786</v>
      </c>
      <c r="D2257" s="14" t="s">
        <v>8531</v>
      </c>
      <c r="E2257" s="14" t="s">
        <v>7746</v>
      </c>
      <c r="F2257" s="14" t="s">
        <v>7747</v>
      </c>
      <c r="G2257" s="14" t="s">
        <v>37</v>
      </c>
      <c r="H2257" s="14" t="s">
        <v>2346</v>
      </c>
      <c r="I2257" s="14"/>
      <c r="J2257" s="14" t="s">
        <v>501</v>
      </c>
      <c r="K2257" s="14"/>
      <c r="L2257" s="14"/>
      <c r="M2257" s="14" t="s">
        <v>7748</v>
      </c>
      <c r="N2257" s="14"/>
      <c r="O2257" s="14" t="s">
        <v>7749</v>
      </c>
      <c r="P2257" s="14" t="str">
        <f>HYPERLINK("https://ceds.ed.gov/cedselementdetails.aspx?termid=17986")</f>
        <v>https://ceds.ed.gov/cedselementdetails.aspx?termid=17986</v>
      </c>
      <c r="Q2257" s="14" t="str">
        <f>HYPERLINK("https://ceds.ed.gov/elementComment.aspx?elementName=Session Start Time &amp;elementID=17986", "Click here to submit comment")</f>
        <v>Click here to submit comment</v>
      </c>
      <c r="R2257" s="14">
        <v>50919</v>
      </c>
    </row>
    <row r="2258" spans="1:18" ht="45" x14ac:dyDescent="0.25">
      <c r="A2258" s="14" t="s">
        <v>8732</v>
      </c>
      <c r="B2258" s="14" t="s">
        <v>8970</v>
      </c>
      <c r="C2258" s="14" t="s">
        <v>8786</v>
      </c>
      <c r="D2258" s="14" t="s">
        <v>8531</v>
      </c>
      <c r="E2258" s="14" t="s">
        <v>7733</v>
      </c>
      <c r="F2258" s="14" t="s">
        <v>7734</v>
      </c>
      <c r="G2258" s="14" t="s">
        <v>37</v>
      </c>
      <c r="H2258" s="14" t="s">
        <v>2346</v>
      </c>
      <c r="I2258" s="14"/>
      <c r="J2258" s="14" t="s">
        <v>501</v>
      </c>
      <c r="K2258" s="14"/>
      <c r="L2258" s="14"/>
      <c r="M2258" s="14" t="s">
        <v>7736</v>
      </c>
      <c r="N2258" s="14"/>
      <c r="O2258" s="14" t="s">
        <v>7737</v>
      </c>
      <c r="P2258" s="14" t="str">
        <f>HYPERLINK("https://ceds.ed.gov/cedselementdetails.aspx?termid=17988")</f>
        <v>https://ceds.ed.gov/cedselementdetails.aspx?termid=17988</v>
      </c>
      <c r="Q2258" s="14" t="str">
        <f>HYPERLINK("https://ceds.ed.gov/elementComment.aspx?elementName=Session End Time &amp;elementID=17988", "Click here to submit comment")</f>
        <v>Click here to submit comment</v>
      </c>
      <c r="R2258" s="14">
        <v>50918</v>
      </c>
    </row>
    <row r="2259" spans="1:18" ht="195" x14ac:dyDescent="0.25">
      <c r="A2259" s="14" t="s">
        <v>8732</v>
      </c>
      <c r="B2259" s="14" t="s">
        <v>8970</v>
      </c>
      <c r="C2259" s="14" t="s">
        <v>8971</v>
      </c>
      <c r="D2259" s="14" t="s">
        <v>8531</v>
      </c>
      <c r="E2259" s="14" t="s">
        <v>3379</v>
      </c>
      <c r="F2259" s="14" t="s">
        <v>3380</v>
      </c>
      <c r="G2259" s="14" t="s">
        <v>37</v>
      </c>
      <c r="H2259" s="14"/>
      <c r="I2259" s="14"/>
      <c r="J2259" s="14" t="s">
        <v>97</v>
      </c>
      <c r="K2259" s="14"/>
      <c r="L2259" s="14"/>
      <c r="M2259" s="14" t="s">
        <v>3382</v>
      </c>
      <c r="N2259" s="14"/>
      <c r="O2259" s="14" t="s">
        <v>3383</v>
      </c>
      <c r="P2259" s="14" t="str">
        <f>HYPERLINK("https://ceds.ed.gov/cedselementdetails.aspx?termid=17604")</f>
        <v>https://ceds.ed.gov/cedselementdetails.aspx?termid=17604</v>
      </c>
      <c r="Q2259" s="14" t="str">
        <f>HYPERLINK("https://ceds.ed.gov/elementComment.aspx?elementName=Crisis Code &amp;elementID=17604", "Click here to submit comment")</f>
        <v>Click here to submit comment</v>
      </c>
      <c r="R2259" s="14">
        <v>48068</v>
      </c>
    </row>
    <row r="2260" spans="1:18" ht="45" x14ac:dyDescent="0.25">
      <c r="A2260" s="14" t="s">
        <v>8732</v>
      </c>
      <c r="B2260" s="14" t="s">
        <v>8970</v>
      </c>
      <c r="C2260" s="14" t="s">
        <v>8971</v>
      </c>
      <c r="D2260" s="14" t="s">
        <v>8531</v>
      </c>
      <c r="E2260" s="14" t="s">
        <v>3392</v>
      </c>
      <c r="F2260" s="14" t="s">
        <v>3393</v>
      </c>
      <c r="G2260" s="14" t="s">
        <v>37</v>
      </c>
      <c r="H2260" s="14"/>
      <c r="I2260" s="14"/>
      <c r="J2260" s="14" t="s">
        <v>1510</v>
      </c>
      <c r="K2260" s="14"/>
      <c r="L2260" s="14"/>
      <c r="M2260" s="14" t="s">
        <v>3394</v>
      </c>
      <c r="N2260" s="14"/>
      <c r="O2260" s="14" t="s">
        <v>3395</v>
      </c>
      <c r="P2260" s="14" t="str">
        <f>HYPERLINK("https://ceds.ed.gov/cedselementdetails.aspx?termid=17605")</f>
        <v>https://ceds.ed.gov/cedselementdetails.aspx?termid=17605</v>
      </c>
      <c r="Q2260" s="14" t="str">
        <f>HYPERLINK("https://ceds.ed.gov/elementComment.aspx?elementName=Crisis Name &amp;elementID=17605", "Click here to submit comment")</f>
        <v>Click here to submit comment</v>
      </c>
      <c r="R2260" s="14">
        <v>48069</v>
      </c>
    </row>
    <row r="2261" spans="1:18" ht="45" x14ac:dyDescent="0.25">
      <c r="A2261" s="14" t="s">
        <v>8732</v>
      </c>
      <c r="B2261" s="14" t="s">
        <v>8970</v>
      </c>
      <c r="C2261" s="14" t="s">
        <v>8971</v>
      </c>
      <c r="D2261" s="14" t="s">
        <v>8531</v>
      </c>
      <c r="E2261" s="14" t="s">
        <v>3400</v>
      </c>
      <c r="F2261" s="14" t="s">
        <v>3401</v>
      </c>
      <c r="G2261" s="14" t="s">
        <v>37</v>
      </c>
      <c r="H2261" s="14"/>
      <c r="I2261" s="14"/>
      <c r="J2261" s="14" t="s">
        <v>1510</v>
      </c>
      <c r="K2261" s="14"/>
      <c r="L2261" s="14"/>
      <c r="M2261" s="14" t="s">
        <v>3402</v>
      </c>
      <c r="N2261" s="14"/>
      <c r="O2261" s="14" t="s">
        <v>3403</v>
      </c>
      <c r="P2261" s="14" t="str">
        <f>HYPERLINK("https://ceds.ed.gov/cedselementdetails.aspx?termid=17606")</f>
        <v>https://ceds.ed.gov/cedselementdetails.aspx?termid=17606</v>
      </c>
      <c r="Q2261" s="14" t="str">
        <f>HYPERLINK("https://ceds.ed.gov/elementComment.aspx?elementName=Crisis Type &amp;elementID=17606", "Click here to submit comment")</f>
        <v>Click here to submit comment</v>
      </c>
      <c r="R2261" s="14">
        <v>48070</v>
      </c>
    </row>
    <row r="2262" spans="1:18" ht="45" x14ac:dyDescent="0.25">
      <c r="A2262" s="14" t="s">
        <v>8732</v>
      </c>
      <c r="B2262" s="14" t="s">
        <v>8970</v>
      </c>
      <c r="C2262" s="14" t="s">
        <v>8971</v>
      </c>
      <c r="D2262" s="14" t="s">
        <v>8531</v>
      </c>
      <c r="E2262" s="14" t="s">
        <v>3384</v>
      </c>
      <c r="F2262" s="14" t="s">
        <v>3385</v>
      </c>
      <c r="G2262" s="14" t="s">
        <v>37</v>
      </c>
      <c r="H2262" s="14"/>
      <c r="I2262" s="14"/>
      <c r="J2262" s="14" t="s">
        <v>129</v>
      </c>
      <c r="K2262" s="14"/>
      <c r="L2262" s="14"/>
      <c r="M2262" s="14" t="s">
        <v>3386</v>
      </c>
      <c r="N2262" s="14"/>
      <c r="O2262" s="14" t="s">
        <v>3387</v>
      </c>
      <c r="P2262" s="14" t="str">
        <f>HYPERLINK("https://ceds.ed.gov/cedselementdetails.aspx?termid=18526")</f>
        <v>https://ceds.ed.gov/cedselementdetails.aspx?termid=18526</v>
      </c>
      <c r="Q2262" s="14" t="str">
        <f>HYPERLINK("https://ceds.ed.gov/elementComment.aspx?elementName=Crisis Description &amp;elementID=18526", "Click here to submit comment")</f>
        <v>Click here to submit comment</v>
      </c>
      <c r="R2262" s="14">
        <v>50837</v>
      </c>
    </row>
    <row r="2263" spans="1:18" ht="75" x14ac:dyDescent="0.25">
      <c r="A2263" s="14" t="s">
        <v>8732</v>
      </c>
      <c r="B2263" s="14" t="s">
        <v>8970</v>
      </c>
      <c r="C2263" s="14" t="s">
        <v>8971</v>
      </c>
      <c r="D2263" s="14" t="s">
        <v>8531</v>
      </c>
      <c r="E2263" s="14" t="s">
        <v>3396</v>
      </c>
      <c r="F2263" s="14" t="s">
        <v>3397</v>
      </c>
      <c r="G2263" s="14" t="s">
        <v>37</v>
      </c>
      <c r="H2263" s="14"/>
      <c r="I2263" s="14"/>
      <c r="J2263" s="14" t="s">
        <v>135</v>
      </c>
      <c r="K2263" s="14"/>
      <c r="L2263" s="14"/>
      <c r="M2263" s="14" t="s">
        <v>3398</v>
      </c>
      <c r="N2263" s="14"/>
      <c r="O2263" s="14" t="s">
        <v>3399</v>
      </c>
      <c r="P2263" s="14" t="str">
        <f>HYPERLINK("https://ceds.ed.gov/cedselementdetails.aspx?termid=17607")</f>
        <v>https://ceds.ed.gov/cedselementdetails.aspx?termid=17607</v>
      </c>
      <c r="Q2263" s="14" t="str">
        <f>HYPERLINK("https://ceds.ed.gov/elementComment.aspx?elementName=Crisis Start Date &amp;elementID=17607", "Click here to submit comment")</f>
        <v>Click here to submit comment</v>
      </c>
      <c r="R2263" s="14">
        <v>48071</v>
      </c>
    </row>
    <row r="2264" spans="1:18" ht="75" x14ac:dyDescent="0.25">
      <c r="A2264" s="14" t="s">
        <v>8732</v>
      </c>
      <c r="B2264" s="14" t="s">
        <v>8970</v>
      </c>
      <c r="C2264" s="14" t="s">
        <v>8971</v>
      </c>
      <c r="D2264" s="14" t="s">
        <v>8531</v>
      </c>
      <c r="E2264" s="14" t="s">
        <v>3388</v>
      </c>
      <c r="F2264" s="14" t="s">
        <v>3389</v>
      </c>
      <c r="G2264" s="14" t="s">
        <v>37</v>
      </c>
      <c r="H2264" s="14"/>
      <c r="I2264" s="14"/>
      <c r="J2264" s="14" t="s">
        <v>135</v>
      </c>
      <c r="K2264" s="14"/>
      <c r="L2264" s="14" t="s">
        <v>160</v>
      </c>
      <c r="M2264" s="14" t="s">
        <v>3390</v>
      </c>
      <c r="N2264" s="14"/>
      <c r="O2264" s="14" t="s">
        <v>3391</v>
      </c>
      <c r="P2264" s="14" t="str">
        <f>HYPERLINK("https://ceds.ed.gov/cedselementdetails.aspx?termid=18528")</f>
        <v>https://ceds.ed.gov/cedselementdetails.aspx?termid=18528</v>
      </c>
      <c r="Q2264" s="14" t="str">
        <f>HYPERLINK("https://ceds.ed.gov/elementComment.aspx?elementName=Crisis End Date &amp;elementID=18528", "Click here to submit comment")</f>
        <v>Click here to submit comment</v>
      </c>
      <c r="R2264" s="14">
        <v>50839</v>
      </c>
    </row>
    <row r="2265" spans="1:18" ht="135" x14ac:dyDescent="0.25">
      <c r="A2265" s="14" t="s">
        <v>8732</v>
      </c>
      <c r="B2265" s="14" t="s">
        <v>8970</v>
      </c>
      <c r="C2265" s="14" t="s">
        <v>8972</v>
      </c>
      <c r="D2265" s="14" t="s">
        <v>8531</v>
      </c>
      <c r="E2265" s="14" t="s">
        <v>2118</v>
      </c>
      <c r="F2265" s="14" t="s">
        <v>2119</v>
      </c>
      <c r="G2265" s="8" t="s">
        <v>8973</v>
      </c>
      <c r="H2265" s="14"/>
      <c r="I2265" s="14"/>
      <c r="J2265" s="14"/>
      <c r="K2265" s="14"/>
      <c r="L2265" s="14"/>
      <c r="M2265" s="14" t="s">
        <v>2121</v>
      </c>
      <c r="N2265" s="14"/>
      <c r="O2265" s="14" t="s">
        <v>2122</v>
      </c>
      <c r="P2265" s="14" t="str">
        <f>HYPERLINK("https://ceds.ed.gov/cedselementdetails.aspx?termid=17596")</f>
        <v>https://ceds.ed.gov/cedselementdetails.aspx?termid=17596</v>
      </c>
      <c r="Q2265" s="14" t="str">
        <f>HYPERLINK("https://ceds.ed.gov/elementComment.aspx?elementName=Calendar Event Type &amp;elementID=17596", "Click here to submit comment")</f>
        <v>Click here to submit comment</v>
      </c>
      <c r="R2265" s="14">
        <v>48067</v>
      </c>
    </row>
    <row r="2266" spans="1:18" ht="45" x14ac:dyDescent="0.25">
      <c r="A2266" s="14" t="s">
        <v>8732</v>
      </c>
      <c r="B2266" s="14" t="s">
        <v>8970</v>
      </c>
      <c r="C2266" s="14" t="s">
        <v>8972</v>
      </c>
      <c r="D2266" s="14" t="s">
        <v>8531</v>
      </c>
      <c r="E2266" s="14" t="s">
        <v>2109</v>
      </c>
      <c r="F2266" s="14" t="s">
        <v>2110</v>
      </c>
      <c r="G2266" s="14" t="s">
        <v>37</v>
      </c>
      <c r="H2266" s="14"/>
      <c r="I2266" s="14"/>
      <c r="J2266" s="14" t="s">
        <v>135</v>
      </c>
      <c r="K2266" s="14"/>
      <c r="L2266" s="14"/>
      <c r="M2266" s="14" t="s">
        <v>2112</v>
      </c>
      <c r="N2266" s="14"/>
      <c r="O2266" s="14" t="s">
        <v>2113</v>
      </c>
      <c r="P2266" s="14" t="str">
        <f>HYPERLINK("https://ceds.ed.gov/cedselementdetails.aspx?termid=18241")</f>
        <v>https://ceds.ed.gov/cedselementdetails.aspx?termid=18241</v>
      </c>
      <c r="Q2266" s="14" t="str">
        <f>HYPERLINK("https://ceds.ed.gov/elementComment.aspx?elementName=Calendar Event Date &amp;elementID=18241", "Click here to submit comment")</f>
        <v>Click here to submit comment</v>
      </c>
      <c r="R2266" s="14">
        <v>49915</v>
      </c>
    </row>
    <row r="2267" spans="1:18" ht="45" x14ac:dyDescent="0.25">
      <c r="A2267" s="14" t="s">
        <v>8732</v>
      </c>
      <c r="B2267" s="14" t="s">
        <v>8970</v>
      </c>
      <c r="C2267" s="14" t="s">
        <v>8972</v>
      </c>
      <c r="D2267" s="14" t="s">
        <v>8531</v>
      </c>
      <c r="E2267" s="14" t="s">
        <v>2114</v>
      </c>
      <c r="F2267" s="14" t="s">
        <v>2115</v>
      </c>
      <c r="G2267" s="14" t="s">
        <v>37</v>
      </c>
      <c r="H2267" s="14"/>
      <c r="I2267" s="14"/>
      <c r="J2267" s="14" t="s">
        <v>97</v>
      </c>
      <c r="K2267" s="14"/>
      <c r="L2267" s="14"/>
      <c r="M2267" s="14" t="s">
        <v>2116</v>
      </c>
      <c r="N2267" s="14"/>
      <c r="O2267" s="14" t="s">
        <v>2117</v>
      </c>
      <c r="P2267" s="14" t="str">
        <f>HYPERLINK("https://ceds.ed.gov/cedselementdetails.aspx?termid=18242")</f>
        <v>https://ceds.ed.gov/cedselementdetails.aspx?termid=18242</v>
      </c>
      <c r="Q2267" s="14" t="str">
        <f>HYPERLINK("https://ceds.ed.gov/elementComment.aspx?elementName=Calendar Event Day Name &amp;elementID=18242", "Click here to submit comment")</f>
        <v>Click here to submit comment</v>
      </c>
      <c r="R2267" s="14">
        <v>49916</v>
      </c>
    </row>
    <row r="2268" spans="1:18" ht="45" x14ac:dyDescent="0.25">
      <c r="A2268" s="14" t="s">
        <v>8732</v>
      </c>
      <c r="B2268" s="14" t="s">
        <v>8970</v>
      </c>
      <c r="C2268" s="14" t="s">
        <v>8972</v>
      </c>
      <c r="D2268" s="14" t="s">
        <v>8531</v>
      </c>
      <c r="E2268" s="14" t="s">
        <v>4057</v>
      </c>
      <c r="F2268" s="14" t="s">
        <v>4058</v>
      </c>
      <c r="G2268" s="14" t="s">
        <v>37</v>
      </c>
      <c r="H2268" s="14"/>
      <c r="I2268" s="14"/>
      <c r="J2268" s="14"/>
      <c r="K2268" s="14"/>
      <c r="L2268" s="14"/>
      <c r="M2268" s="14" t="s">
        <v>4060</v>
      </c>
      <c r="N2268" s="14"/>
      <c r="O2268" s="14" t="s">
        <v>4061</v>
      </c>
      <c r="P2268" s="14" t="str">
        <f>HYPERLINK("https://ceds.ed.gov/cedselementdetails.aspx?termid=18901")</f>
        <v>https://ceds.ed.gov/cedselementdetails.aspx?termid=18901</v>
      </c>
      <c r="Q2268" s="14" t="str">
        <f>HYPERLINK("https://ceds.ed.gov/elementComment.aspx?elementName=End Time &amp;elementID=18901", "Click here to submit comment")</f>
        <v>Click here to submit comment</v>
      </c>
      <c r="R2268" s="14">
        <v>52193</v>
      </c>
    </row>
    <row r="2269" spans="1:18" ht="45" x14ac:dyDescent="0.25">
      <c r="A2269" s="14" t="s">
        <v>8732</v>
      </c>
      <c r="B2269" s="14" t="s">
        <v>8970</v>
      </c>
      <c r="C2269" s="14" t="s">
        <v>8972</v>
      </c>
      <c r="D2269" s="14" t="s">
        <v>8531</v>
      </c>
      <c r="E2269" s="14" t="s">
        <v>7956</v>
      </c>
      <c r="F2269" s="14" t="s">
        <v>7957</v>
      </c>
      <c r="G2269" s="14" t="s">
        <v>37</v>
      </c>
      <c r="H2269" s="14"/>
      <c r="I2269" s="14"/>
      <c r="J2269" s="14"/>
      <c r="K2269" s="14"/>
      <c r="L2269" s="14"/>
      <c r="M2269" s="14" t="s">
        <v>7958</v>
      </c>
      <c r="N2269" s="14"/>
      <c r="O2269" s="14" t="s">
        <v>7959</v>
      </c>
      <c r="P2269" s="14" t="str">
        <f>HYPERLINK("https://ceds.ed.gov/cedselementdetails.aspx?termid=18900")</f>
        <v>https://ceds.ed.gov/cedselementdetails.aspx?termid=18900</v>
      </c>
      <c r="Q2269" s="14" t="str">
        <f>HYPERLINK("https://ceds.ed.gov/elementComment.aspx?elementName=Start Time &amp;elementID=18900", "Click here to submit comment")</f>
        <v>Click here to submit comment</v>
      </c>
      <c r="R2269" s="14">
        <v>52194</v>
      </c>
    </row>
    <row r="2270" spans="1:18" ht="60" x14ac:dyDescent="0.25">
      <c r="A2270" s="14" t="s">
        <v>8974</v>
      </c>
      <c r="B2270" s="14" t="s">
        <v>8733</v>
      </c>
      <c r="C2270" s="14"/>
      <c r="D2270" s="14" t="s">
        <v>8531</v>
      </c>
      <c r="E2270" s="14" t="s">
        <v>6550</v>
      </c>
      <c r="F2270" s="14" t="s">
        <v>6551</v>
      </c>
      <c r="G2270" s="8" t="s">
        <v>8532</v>
      </c>
      <c r="H2270" s="14"/>
      <c r="I2270" s="14"/>
      <c r="J2270" s="14"/>
      <c r="K2270" s="14"/>
      <c r="L2270" s="14"/>
      <c r="M2270" s="14" t="s">
        <v>6554</v>
      </c>
      <c r="N2270" s="14"/>
      <c r="O2270" s="14" t="s">
        <v>6555</v>
      </c>
      <c r="P2270" s="14" t="str">
        <f>HYPERLINK("https://ceds.ed.gov/cedselementdetails.aspx?termid=18387")</f>
        <v>https://ceds.ed.gov/cedselementdetails.aspx?termid=18387</v>
      </c>
      <c r="Q2270" s="14" t="str">
        <f>HYPERLINK("https://ceds.ed.gov/elementComment.aspx?elementName=Organization Operational Status &amp;elementID=18387", "Click here to submit comment")</f>
        <v>Click here to submit comment</v>
      </c>
      <c r="R2270" s="14">
        <v>51397</v>
      </c>
    </row>
    <row r="2271" spans="1:18" ht="45" x14ac:dyDescent="0.25">
      <c r="A2271" s="14" t="s">
        <v>8974</v>
      </c>
      <c r="B2271" s="14" t="s">
        <v>8733</v>
      </c>
      <c r="C2271" s="14"/>
      <c r="D2271" s="14" t="s">
        <v>8531</v>
      </c>
      <c r="E2271" s="14" t="s">
        <v>6535</v>
      </c>
      <c r="F2271" s="14" t="s">
        <v>6536</v>
      </c>
      <c r="G2271" s="14" t="s">
        <v>37</v>
      </c>
      <c r="H2271" s="14"/>
      <c r="I2271" s="14"/>
      <c r="J2271" s="14" t="s">
        <v>57</v>
      </c>
      <c r="K2271" s="14"/>
      <c r="L2271" s="14"/>
      <c r="M2271" s="14" t="s">
        <v>6538</v>
      </c>
      <c r="N2271" s="14"/>
      <c r="O2271" s="14" t="s">
        <v>6539</v>
      </c>
      <c r="P2271" s="14" t="str">
        <f>HYPERLINK("https://ceds.ed.gov/cedselementdetails.aspx?termid=18644")</f>
        <v>https://ceds.ed.gov/cedselementdetails.aspx?termid=18644</v>
      </c>
      <c r="Q2271" s="14" t="str">
        <f>HYPERLINK("https://ceds.ed.gov/elementComment.aspx?elementName=Organization Image URL &amp;elementID=18644", "Click here to submit comment")</f>
        <v>Click here to submit comment</v>
      </c>
      <c r="R2271" s="14">
        <v>51980</v>
      </c>
    </row>
    <row r="2272" spans="1:18" ht="45" x14ac:dyDescent="0.25">
      <c r="A2272" s="14" t="s">
        <v>8974</v>
      </c>
      <c r="B2272" s="14" t="s">
        <v>8733</v>
      </c>
      <c r="C2272" s="14"/>
      <c r="D2272" s="14" t="s">
        <v>8531</v>
      </c>
      <c r="E2272" s="14" t="s">
        <v>6556</v>
      </c>
      <c r="F2272" s="14" t="s">
        <v>6557</v>
      </c>
      <c r="G2272" s="14" t="s">
        <v>37</v>
      </c>
      <c r="H2272" s="14"/>
      <c r="I2272" s="14"/>
      <c r="J2272" s="14" t="s">
        <v>3227</v>
      </c>
      <c r="K2272" s="14"/>
      <c r="L2272" s="14"/>
      <c r="M2272" s="14" t="s">
        <v>6559</v>
      </c>
      <c r="N2272" s="14"/>
      <c r="O2272" s="14" t="s">
        <v>6560</v>
      </c>
      <c r="P2272" s="14" t="str">
        <f>HYPERLINK("https://ceds.ed.gov/cedselementdetails.aspx?termid=18731")</f>
        <v>https://ceds.ed.gov/cedselementdetails.aspx?termid=18731</v>
      </c>
      <c r="Q2272" s="14" t="str">
        <f>HYPERLINK("https://ceds.ed.gov/elementComment.aspx?elementName=Organization Region GeoJSON &amp;elementID=18731", "Click here to submit comment")</f>
        <v>Click here to submit comment</v>
      </c>
      <c r="R2272" s="14">
        <v>51987</v>
      </c>
    </row>
    <row r="2273" spans="1:18" ht="105" x14ac:dyDescent="0.25">
      <c r="A2273" s="16" t="s">
        <v>8974</v>
      </c>
      <c r="B2273" s="16" t="s">
        <v>8733</v>
      </c>
      <c r="C2273" s="16" t="s">
        <v>8533</v>
      </c>
      <c r="D2273" s="16" t="s">
        <v>8531</v>
      </c>
      <c r="E2273" s="16" t="s">
        <v>6530</v>
      </c>
      <c r="F2273" s="16" t="s">
        <v>6531</v>
      </c>
      <c r="G2273" s="16" t="s">
        <v>37</v>
      </c>
      <c r="H2273" s="16" t="s">
        <v>125</v>
      </c>
      <c r="I2273" s="16"/>
      <c r="J2273" s="16" t="s">
        <v>149</v>
      </c>
      <c r="K2273" s="16"/>
      <c r="L2273" s="14" t="s">
        <v>150</v>
      </c>
      <c r="M2273" s="16" t="s">
        <v>6533</v>
      </c>
      <c r="N2273" s="16"/>
      <c r="O2273" s="16" t="s">
        <v>6534</v>
      </c>
      <c r="P2273" s="16" t="str">
        <f>HYPERLINK("https://ceds.ed.gov/cedselementdetails.aspx?termid=17825")</f>
        <v>https://ceds.ed.gov/cedselementdetails.aspx?termid=17825</v>
      </c>
      <c r="Q2273" s="16" t="str">
        <f>HYPERLINK("https://ceds.ed.gov/elementComment.aspx?elementName=Organization Identifier &amp;elementID=17825", "Click here to submit comment")</f>
        <v>Click here to submit comment</v>
      </c>
      <c r="R2273" s="16">
        <v>51400</v>
      </c>
    </row>
    <row r="2274" spans="1:18" x14ac:dyDescent="0.25">
      <c r="A2274" s="16"/>
      <c r="B2274" s="16"/>
      <c r="C2274" s="16"/>
      <c r="D2274" s="16"/>
      <c r="E2274" s="16"/>
      <c r="F2274" s="16"/>
      <c r="G2274" s="16"/>
      <c r="H2274" s="16"/>
      <c r="I2274" s="16"/>
      <c r="J2274" s="16"/>
      <c r="K2274" s="16"/>
      <c r="L2274" s="14"/>
      <c r="M2274" s="16"/>
      <c r="N2274" s="16"/>
      <c r="O2274" s="16"/>
      <c r="P2274" s="16"/>
      <c r="Q2274" s="16"/>
      <c r="R2274" s="16"/>
    </row>
    <row r="2275" spans="1:18" ht="90" x14ac:dyDescent="0.25">
      <c r="A2275" s="16"/>
      <c r="B2275" s="16"/>
      <c r="C2275" s="16"/>
      <c r="D2275" s="16"/>
      <c r="E2275" s="16"/>
      <c r="F2275" s="16"/>
      <c r="G2275" s="16"/>
      <c r="H2275" s="16"/>
      <c r="I2275" s="16"/>
      <c r="J2275" s="16"/>
      <c r="K2275" s="16"/>
      <c r="L2275" s="14" t="s">
        <v>153</v>
      </c>
      <c r="M2275" s="16"/>
      <c r="N2275" s="16"/>
      <c r="O2275" s="16"/>
      <c r="P2275" s="16"/>
      <c r="Q2275" s="16"/>
      <c r="R2275" s="16"/>
    </row>
    <row r="2276" spans="1:18" ht="255" x14ac:dyDescent="0.25">
      <c r="A2276" s="14" t="s">
        <v>8974</v>
      </c>
      <c r="B2276" s="14" t="s">
        <v>8733</v>
      </c>
      <c r="C2276" s="14" t="s">
        <v>8533</v>
      </c>
      <c r="D2276" s="14" t="s">
        <v>8531</v>
      </c>
      <c r="E2276" s="14" t="s">
        <v>6524</v>
      </c>
      <c r="F2276" s="14" t="s">
        <v>6525</v>
      </c>
      <c r="G2276" s="8" t="s">
        <v>8534</v>
      </c>
      <c r="H2276" s="14" t="s">
        <v>125</v>
      </c>
      <c r="I2276" s="14"/>
      <c r="J2276" s="14"/>
      <c r="K2276" s="14"/>
      <c r="L2276" s="14"/>
      <c r="M2276" s="14" t="s">
        <v>6528</v>
      </c>
      <c r="N2276" s="14"/>
      <c r="O2276" s="14" t="s">
        <v>6529</v>
      </c>
      <c r="P2276" s="14" t="str">
        <f>HYPERLINK("https://ceds.ed.gov/cedselementdetails.aspx?termid=17827")</f>
        <v>https://ceds.ed.gov/cedselementdetails.aspx?termid=17827</v>
      </c>
      <c r="Q2276" s="14" t="str">
        <f>HYPERLINK("https://ceds.ed.gov/elementComment.aspx?elementName=Organization Identification System &amp;elementID=17827", "Click here to submit comment")</f>
        <v>Click here to submit comment</v>
      </c>
      <c r="R2276" s="14">
        <v>51401</v>
      </c>
    </row>
    <row r="2277" spans="1:18" ht="45" x14ac:dyDescent="0.25">
      <c r="A2277" s="14" t="s">
        <v>8974</v>
      </c>
      <c r="B2277" s="14" t="s">
        <v>8733</v>
      </c>
      <c r="C2277" s="14" t="s">
        <v>8533</v>
      </c>
      <c r="D2277" s="14" t="s">
        <v>8531</v>
      </c>
      <c r="E2277" s="14" t="s">
        <v>6545</v>
      </c>
      <c r="F2277" s="14" t="s">
        <v>6546</v>
      </c>
      <c r="G2277" s="14" t="s">
        <v>37</v>
      </c>
      <c r="H2277" s="14" t="s">
        <v>238</v>
      </c>
      <c r="I2277" s="14"/>
      <c r="J2277" s="14" t="s">
        <v>175</v>
      </c>
      <c r="K2277" s="14"/>
      <c r="L2277" s="14"/>
      <c r="M2277" s="14" t="s">
        <v>6548</v>
      </c>
      <c r="N2277" s="14"/>
      <c r="O2277" s="14" t="s">
        <v>6549</v>
      </c>
      <c r="P2277" s="14" t="str">
        <f>HYPERLINK("https://ceds.ed.gov/cedselementdetails.aspx?termid=17204")</f>
        <v>https://ceds.ed.gov/cedselementdetails.aspx?termid=17204</v>
      </c>
      <c r="Q2277" s="14" t="str">
        <f>HYPERLINK("https://ceds.ed.gov/elementComment.aspx?elementName=Organization Name &amp;elementID=17204", "Click here to submit comment")</f>
        <v>Click here to submit comment</v>
      </c>
      <c r="R2277" s="14">
        <v>51399</v>
      </c>
    </row>
    <row r="2278" spans="1:18" ht="409.5" x14ac:dyDescent="0.25">
      <c r="A2278" s="14" t="s">
        <v>8974</v>
      </c>
      <c r="B2278" s="14" t="s">
        <v>8733</v>
      </c>
      <c r="C2278" s="14" t="s">
        <v>8533</v>
      </c>
      <c r="D2278" s="14" t="s">
        <v>8531</v>
      </c>
      <c r="E2278" s="14" t="s">
        <v>6571</v>
      </c>
      <c r="F2278" s="14" t="s">
        <v>6572</v>
      </c>
      <c r="G2278" s="8" t="s">
        <v>8535</v>
      </c>
      <c r="H2278" s="14"/>
      <c r="I2278" s="14" t="s">
        <v>195</v>
      </c>
      <c r="J2278" s="14"/>
      <c r="K2278" s="14" t="s">
        <v>6574</v>
      </c>
      <c r="L2278" s="14" t="s">
        <v>6575</v>
      </c>
      <c r="M2278" s="14" t="s">
        <v>6576</v>
      </c>
      <c r="N2278" s="14"/>
      <c r="O2278" s="14" t="s">
        <v>6577</v>
      </c>
      <c r="P2278" s="14" t="str">
        <f>HYPERLINK("https://ceds.ed.gov/cedselementdetails.aspx?termid=18165")</f>
        <v>https://ceds.ed.gov/cedselementdetails.aspx?termid=18165</v>
      </c>
      <c r="Q2278" s="14" t="str">
        <f>HYPERLINK("https://ceds.ed.gov/elementComment.aspx?elementName=Organization Type &amp;elementID=18165", "Click here to submit comment")</f>
        <v>Click here to submit comment</v>
      </c>
      <c r="R2278" s="14">
        <v>51402</v>
      </c>
    </row>
    <row r="2279" spans="1:18" ht="75" x14ac:dyDescent="0.25">
      <c r="A2279" s="14" t="s">
        <v>8974</v>
      </c>
      <c r="B2279" s="14" t="s">
        <v>8733</v>
      </c>
      <c r="C2279" s="14" t="s">
        <v>8533</v>
      </c>
      <c r="D2279" s="14" t="s">
        <v>8531</v>
      </c>
      <c r="E2279" s="14" t="s">
        <v>6561</v>
      </c>
      <c r="F2279" s="14" t="s">
        <v>6562</v>
      </c>
      <c r="G2279" s="8" t="s">
        <v>8537</v>
      </c>
      <c r="H2279" s="14"/>
      <c r="I2279" s="14" t="s">
        <v>195</v>
      </c>
      <c r="J2279" s="14"/>
      <c r="K2279" s="14" t="s">
        <v>2266</v>
      </c>
      <c r="L2279" s="14"/>
      <c r="M2279" s="14" t="s">
        <v>6565</v>
      </c>
      <c r="N2279" s="14"/>
      <c r="O2279" s="14" t="s">
        <v>6566</v>
      </c>
      <c r="P2279" s="14" t="str">
        <f>HYPERLINK("https://ceds.ed.gov/cedselementdetails.aspx?termid=18886")</f>
        <v>https://ceds.ed.gov/cedselementdetails.aspx?termid=18886</v>
      </c>
      <c r="Q2279" s="14" t="str">
        <f>HYPERLINK("https://ceds.ed.gov/elementComment.aspx?elementName=Organization Relationship Type &amp;elementID=18886", "Click here to submit comment")</f>
        <v>Click here to submit comment</v>
      </c>
      <c r="R2279" s="14">
        <v>52156</v>
      </c>
    </row>
    <row r="2280" spans="1:18" ht="90" x14ac:dyDescent="0.25">
      <c r="A2280" s="14" t="s">
        <v>8974</v>
      </c>
      <c r="B2280" s="14" t="s">
        <v>8733</v>
      </c>
      <c r="C2280" s="14" t="s">
        <v>8538</v>
      </c>
      <c r="D2280" s="14" t="s">
        <v>8531</v>
      </c>
      <c r="E2280" s="14" t="s">
        <v>226</v>
      </c>
      <c r="F2280" s="14" t="s">
        <v>227</v>
      </c>
      <c r="G2280" s="8" t="s">
        <v>8539</v>
      </c>
      <c r="H2280" s="14" t="s">
        <v>72</v>
      </c>
      <c r="I2280" s="14"/>
      <c r="J2280" s="14" t="s">
        <v>97</v>
      </c>
      <c r="K2280" s="14"/>
      <c r="L2280" s="14"/>
      <c r="M2280" s="14" t="s">
        <v>230</v>
      </c>
      <c r="N2280" s="14"/>
      <c r="O2280" s="14" t="s">
        <v>231</v>
      </c>
      <c r="P2280" s="14" t="str">
        <f>HYPERLINK("https://ceds.ed.gov/cedselementdetails.aspx?termid=17644")</f>
        <v>https://ceds.ed.gov/cedselementdetails.aspx?termid=17644</v>
      </c>
      <c r="Q2280" s="14" t="str">
        <f>HYPERLINK("https://ceds.ed.gov/elementComment.aspx?elementName=Address Type for Organization &amp;elementID=17644", "Click here to submit comment")</f>
        <v>Click here to submit comment</v>
      </c>
      <c r="R2280" s="14">
        <v>51403</v>
      </c>
    </row>
    <row r="2281" spans="1:18" ht="225" x14ac:dyDescent="0.25">
      <c r="A2281" s="14" t="s">
        <v>8974</v>
      </c>
      <c r="B2281" s="14" t="s">
        <v>8733</v>
      </c>
      <c r="C2281" s="14" t="s">
        <v>8538</v>
      </c>
      <c r="D2281" s="14" t="s">
        <v>8531</v>
      </c>
      <c r="E2281" s="14" t="s">
        <v>214</v>
      </c>
      <c r="F2281" s="14" t="s">
        <v>215</v>
      </c>
      <c r="G2281" s="14" t="s">
        <v>37</v>
      </c>
      <c r="H2281" s="14" t="s">
        <v>199</v>
      </c>
      <c r="I2281" s="14" t="s">
        <v>195</v>
      </c>
      <c r="J2281" s="14" t="s">
        <v>216</v>
      </c>
      <c r="K2281" s="14" t="s">
        <v>196</v>
      </c>
      <c r="L2281" s="14"/>
      <c r="M2281" s="14" t="s">
        <v>217</v>
      </c>
      <c r="N2281" s="14"/>
      <c r="O2281" s="14" t="s">
        <v>218</v>
      </c>
      <c r="P2281" s="14" t="str">
        <f>HYPERLINK("https://ceds.ed.gov/cedselementdetails.aspx?termid=17269")</f>
        <v>https://ceds.ed.gov/cedselementdetails.aspx?termid=17269</v>
      </c>
      <c r="Q2281" s="14" t="str">
        <f>HYPERLINK("https://ceds.ed.gov/elementComment.aspx?elementName=Address Street Number and Name &amp;elementID=17269", "Click here to submit comment")</f>
        <v>Click here to submit comment</v>
      </c>
      <c r="R2281" s="14">
        <v>51404</v>
      </c>
    </row>
    <row r="2282" spans="1:18" ht="225" x14ac:dyDescent="0.25">
      <c r="A2282" s="14" t="s">
        <v>8974</v>
      </c>
      <c r="B2282" s="14" t="s">
        <v>8733</v>
      </c>
      <c r="C2282" s="14" t="s">
        <v>8538</v>
      </c>
      <c r="D2282" s="14" t="s">
        <v>8531</v>
      </c>
      <c r="E2282" s="14" t="s">
        <v>192</v>
      </c>
      <c r="F2282" s="14" t="s">
        <v>193</v>
      </c>
      <c r="G2282" s="14" t="s">
        <v>37</v>
      </c>
      <c r="H2282" s="14" t="s">
        <v>199</v>
      </c>
      <c r="I2282" s="14" t="s">
        <v>195</v>
      </c>
      <c r="J2282" s="14" t="s">
        <v>175</v>
      </c>
      <c r="K2282" s="14" t="s">
        <v>196</v>
      </c>
      <c r="L2282" s="14"/>
      <c r="M2282" s="14" t="s">
        <v>197</v>
      </c>
      <c r="N2282" s="14"/>
      <c r="O2282" s="14" t="s">
        <v>198</v>
      </c>
      <c r="P2282" s="14" t="str">
        <f>HYPERLINK("https://ceds.ed.gov/cedselementdetails.aspx?termid=17019")</f>
        <v>https://ceds.ed.gov/cedselementdetails.aspx?termid=17019</v>
      </c>
      <c r="Q2282" s="14" t="str">
        <f>HYPERLINK("https://ceds.ed.gov/elementComment.aspx?elementName=Address Apartment Room or Suite Number &amp;elementID=17019", "Click here to submit comment")</f>
        <v>Click here to submit comment</v>
      </c>
      <c r="R2282" s="14">
        <v>51405</v>
      </c>
    </row>
    <row r="2283" spans="1:18" ht="225" x14ac:dyDescent="0.25">
      <c r="A2283" s="14" t="s">
        <v>8974</v>
      </c>
      <c r="B2283" s="14" t="s">
        <v>8733</v>
      </c>
      <c r="C2283" s="14" t="s">
        <v>8538</v>
      </c>
      <c r="D2283" s="14" t="s">
        <v>8531</v>
      </c>
      <c r="E2283" s="14" t="s">
        <v>200</v>
      </c>
      <c r="F2283" s="14" t="s">
        <v>201</v>
      </c>
      <c r="G2283" s="14" t="s">
        <v>37</v>
      </c>
      <c r="H2283" s="14" t="s">
        <v>199</v>
      </c>
      <c r="I2283" s="14"/>
      <c r="J2283" s="14" t="s">
        <v>97</v>
      </c>
      <c r="K2283" s="14"/>
      <c r="L2283" s="14"/>
      <c r="M2283" s="14" t="s">
        <v>202</v>
      </c>
      <c r="N2283" s="14"/>
      <c r="O2283" s="14" t="s">
        <v>203</v>
      </c>
      <c r="P2283" s="14" t="str">
        <f>HYPERLINK("https://ceds.ed.gov/cedselementdetails.aspx?termid=17040")</f>
        <v>https://ceds.ed.gov/cedselementdetails.aspx?termid=17040</v>
      </c>
      <c r="Q2283" s="14" t="str">
        <f>HYPERLINK("https://ceds.ed.gov/elementComment.aspx?elementName=Address City &amp;elementID=17040", "Click here to submit comment")</f>
        <v>Click here to submit comment</v>
      </c>
      <c r="R2283" s="14">
        <v>51406</v>
      </c>
    </row>
    <row r="2284" spans="1:18" ht="409.5" x14ac:dyDescent="0.25">
      <c r="A2284" s="14" t="s">
        <v>8974</v>
      </c>
      <c r="B2284" s="14" t="s">
        <v>8733</v>
      </c>
      <c r="C2284" s="14" t="s">
        <v>8538</v>
      </c>
      <c r="D2284" s="14" t="s">
        <v>8531</v>
      </c>
      <c r="E2284" s="14" t="s">
        <v>7960</v>
      </c>
      <c r="F2284" s="14" t="s">
        <v>7961</v>
      </c>
      <c r="G2284" s="8" t="s">
        <v>8540</v>
      </c>
      <c r="H2284" s="14" t="s">
        <v>7964</v>
      </c>
      <c r="I2284" s="14"/>
      <c r="J2284" s="14"/>
      <c r="K2284" s="14"/>
      <c r="L2284" s="14"/>
      <c r="M2284" s="14" t="s">
        <v>7962</v>
      </c>
      <c r="N2284" s="14"/>
      <c r="O2284" s="14" t="s">
        <v>7963</v>
      </c>
      <c r="P2284" s="14" t="str">
        <f>HYPERLINK("https://ceds.ed.gov/cedselementdetails.aspx?termid=17267")</f>
        <v>https://ceds.ed.gov/cedselementdetails.aspx?termid=17267</v>
      </c>
      <c r="Q2284" s="14" t="str">
        <f>HYPERLINK("https://ceds.ed.gov/elementComment.aspx?elementName=State Abbreviation &amp;elementID=17267", "Click here to submit comment")</f>
        <v>Click here to submit comment</v>
      </c>
      <c r="R2284" s="14">
        <v>51407</v>
      </c>
    </row>
    <row r="2285" spans="1:18" ht="225" x14ac:dyDescent="0.25">
      <c r="A2285" s="14" t="s">
        <v>8974</v>
      </c>
      <c r="B2285" s="14" t="s">
        <v>8733</v>
      </c>
      <c r="C2285" s="14" t="s">
        <v>8538</v>
      </c>
      <c r="D2285" s="14" t="s">
        <v>8531</v>
      </c>
      <c r="E2285" s="14" t="s">
        <v>209</v>
      </c>
      <c r="F2285" s="14" t="s">
        <v>210</v>
      </c>
      <c r="G2285" s="14" t="s">
        <v>37</v>
      </c>
      <c r="H2285" s="14" t="s">
        <v>199</v>
      </c>
      <c r="I2285" s="14"/>
      <c r="J2285" s="14" t="s">
        <v>211</v>
      </c>
      <c r="K2285" s="14"/>
      <c r="L2285" s="14"/>
      <c r="M2285" s="14" t="s">
        <v>212</v>
      </c>
      <c r="N2285" s="14"/>
      <c r="O2285" s="14" t="s">
        <v>213</v>
      </c>
      <c r="P2285" s="14" t="str">
        <f>HYPERLINK("https://ceds.ed.gov/cedselementdetails.aspx?termid=17214")</f>
        <v>https://ceds.ed.gov/cedselementdetails.aspx?termid=17214</v>
      </c>
      <c r="Q2285" s="14" t="str">
        <f>HYPERLINK("https://ceds.ed.gov/elementComment.aspx?elementName=Address Postal Code &amp;elementID=17214", "Click here to submit comment")</f>
        <v>Click here to submit comment</v>
      </c>
      <c r="R2285" s="14">
        <v>51408</v>
      </c>
    </row>
    <row r="2286" spans="1:18" ht="225" x14ac:dyDescent="0.25">
      <c r="A2286" s="14" t="s">
        <v>8974</v>
      </c>
      <c r="B2286" s="14" t="s">
        <v>8733</v>
      </c>
      <c r="C2286" s="14" t="s">
        <v>8538</v>
      </c>
      <c r="D2286" s="14" t="s">
        <v>8531</v>
      </c>
      <c r="E2286" s="14" t="s">
        <v>204</v>
      </c>
      <c r="F2286" s="14" t="s">
        <v>205</v>
      </c>
      <c r="G2286" s="14" t="s">
        <v>37</v>
      </c>
      <c r="H2286" s="14" t="s">
        <v>199</v>
      </c>
      <c r="I2286" s="14"/>
      <c r="J2286" s="14" t="s">
        <v>97</v>
      </c>
      <c r="K2286" s="14"/>
      <c r="L2286" s="14"/>
      <c r="M2286" s="14" t="s">
        <v>207</v>
      </c>
      <c r="N2286" s="14"/>
      <c r="O2286" s="14" t="s">
        <v>208</v>
      </c>
      <c r="P2286" s="14" t="str">
        <f>HYPERLINK("https://ceds.ed.gov/cedselementdetails.aspx?termid=17190")</f>
        <v>https://ceds.ed.gov/cedselementdetails.aspx?termid=17190</v>
      </c>
      <c r="Q2286" s="14" t="str">
        <f>HYPERLINK("https://ceds.ed.gov/elementComment.aspx?elementName=Address County Name &amp;elementID=17190", "Click here to submit comment")</f>
        <v>Click here to submit comment</v>
      </c>
      <c r="R2286" s="14">
        <v>51409</v>
      </c>
    </row>
    <row r="2287" spans="1:18" ht="195" x14ac:dyDescent="0.25">
      <c r="A2287" s="14" t="s">
        <v>8974</v>
      </c>
      <c r="B2287" s="14" t="s">
        <v>8733</v>
      </c>
      <c r="C2287" s="14" t="s">
        <v>8538</v>
      </c>
      <c r="D2287" s="14" t="s">
        <v>8531</v>
      </c>
      <c r="E2287" s="14" t="s">
        <v>2860</v>
      </c>
      <c r="F2287" s="14" t="s">
        <v>2861</v>
      </c>
      <c r="G2287" s="14" t="s">
        <v>37</v>
      </c>
      <c r="H2287" s="14"/>
      <c r="I2287" s="14" t="s">
        <v>195</v>
      </c>
      <c r="J2287" s="14" t="s">
        <v>2863</v>
      </c>
      <c r="K2287" s="14" t="s">
        <v>2864</v>
      </c>
      <c r="L2287" s="14"/>
      <c r="M2287" s="14" t="s">
        <v>2865</v>
      </c>
      <c r="N2287" s="14"/>
      <c r="O2287" s="14" t="s">
        <v>2866</v>
      </c>
      <c r="P2287" s="14" t="str">
        <f>HYPERLINK("https://ceds.ed.gov/cedselementdetails.aspx?termid=18176")</f>
        <v>https://ceds.ed.gov/cedselementdetails.aspx?termid=18176</v>
      </c>
      <c r="Q2287" s="14" t="str">
        <f>HYPERLINK("https://ceds.ed.gov/elementComment.aspx?elementName=County ANSI Code &amp;elementID=18176", "Click here to submit comment")</f>
        <v>Click here to submit comment</v>
      </c>
      <c r="R2287" s="14">
        <v>51413</v>
      </c>
    </row>
    <row r="2288" spans="1:18" ht="45" x14ac:dyDescent="0.25">
      <c r="A2288" s="14" t="s">
        <v>8974</v>
      </c>
      <c r="B2288" s="14" t="s">
        <v>8733</v>
      </c>
      <c r="C2288" s="14" t="s">
        <v>8538</v>
      </c>
      <c r="D2288" s="14" t="s">
        <v>8531</v>
      </c>
      <c r="E2288" s="14" t="s">
        <v>2039</v>
      </c>
      <c r="F2288" s="14" t="s">
        <v>2040</v>
      </c>
      <c r="G2288" s="14" t="s">
        <v>37</v>
      </c>
      <c r="H2288" s="14"/>
      <c r="I2288" s="14" t="s">
        <v>195</v>
      </c>
      <c r="J2288" s="14" t="s">
        <v>175</v>
      </c>
      <c r="K2288" s="14" t="s">
        <v>196</v>
      </c>
      <c r="L2288" s="14"/>
      <c r="M2288" s="14" t="s">
        <v>2042</v>
      </c>
      <c r="N2288" s="14"/>
      <c r="O2288" s="14" t="s">
        <v>2043</v>
      </c>
      <c r="P2288" s="14" t="str">
        <f>HYPERLINK("https://ceds.ed.gov/cedselementdetails.aspx?termid=17595")</f>
        <v>https://ceds.ed.gov/cedselementdetails.aspx?termid=17595</v>
      </c>
      <c r="Q2288" s="14" t="str">
        <f>HYPERLINK("https://ceds.ed.gov/elementComment.aspx?elementName=Building Site Number &amp;elementID=17595", "Click here to submit comment")</f>
        <v>Click here to submit comment</v>
      </c>
      <c r="R2288" s="14">
        <v>51410</v>
      </c>
    </row>
    <row r="2289" spans="1:18" ht="75" x14ac:dyDescent="0.25">
      <c r="A2289" s="14" t="s">
        <v>8974</v>
      </c>
      <c r="B2289" s="14" t="s">
        <v>8733</v>
      </c>
      <c r="C2289" s="14" t="s">
        <v>8538</v>
      </c>
      <c r="D2289" s="14" t="s">
        <v>8531</v>
      </c>
      <c r="E2289" s="14" t="s">
        <v>5736</v>
      </c>
      <c r="F2289" s="14" t="s">
        <v>5737</v>
      </c>
      <c r="G2289" s="14" t="s">
        <v>37</v>
      </c>
      <c r="H2289" s="14"/>
      <c r="I2289" s="14"/>
      <c r="J2289" s="14" t="s">
        <v>1307</v>
      </c>
      <c r="K2289" s="14"/>
      <c r="L2289" s="14"/>
      <c r="M2289" s="14" t="s">
        <v>5739</v>
      </c>
      <c r="N2289" s="14"/>
      <c r="O2289" s="14" t="s">
        <v>5736</v>
      </c>
      <c r="P2289" s="14" t="str">
        <f>HYPERLINK("https://ceds.ed.gov/cedselementdetails.aspx?termid=17599")</f>
        <v>https://ceds.ed.gov/cedselementdetails.aspx?termid=17599</v>
      </c>
      <c r="Q2289" s="14" t="str">
        <f>HYPERLINK("https://ceds.ed.gov/elementComment.aspx?elementName=Latitude &amp;elementID=17599", "Click here to submit comment")</f>
        <v>Click here to submit comment</v>
      </c>
      <c r="R2289" s="14">
        <v>51411</v>
      </c>
    </row>
    <row r="2290" spans="1:18" ht="75" x14ac:dyDescent="0.25">
      <c r="A2290" s="14" t="s">
        <v>8974</v>
      </c>
      <c r="B2290" s="14" t="s">
        <v>8733</v>
      </c>
      <c r="C2290" s="14" t="s">
        <v>8538</v>
      </c>
      <c r="D2290" s="14" t="s">
        <v>8531</v>
      </c>
      <c r="E2290" s="14" t="s">
        <v>6174</v>
      </c>
      <c r="F2290" s="14" t="s">
        <v>6175</v>
      </c>
      <c r="G2290" s="14" t="s">
        <v>37</v>
      </c>
      <c r="H2290" s="14"/>
      <c r="I2290" s="14"/>
      <c r="J2290" s="14" t="s">
        <v>1307</v>
      </c>
      <c r="K2290" s="14"/>
      <c r="L2290" s="14"/>
      <c r="M2290" s="14" t="s">
        <v>6176</v>
      </c>
      <c r="N2290" s="14"/>
      <c r="O2290" s="14" t="s">
        <v>6174</v>
      </c>
      <c r="P2290" s="14" t="str">
        <f>HYPERLINK("https://ceds.ed.gov/cedselementdetails.aspx?termid=17600")</f>
        <v>https://ceds.ed.gov/cedselementdetails.aspx?termid=17600</v>
      </c>
      <c r="Q2290" s="14" t="str">
        <f>HYPERLINK("https://ceds.ed.gov/elementComment.aspx?elementName=Longitude &amp;elementID=17600", "Click here to submit comment")</f>
        <v>Click here to submit comment</v>
      </c>
      <c r="R2290" s="14">
        <v>51412</v>
      </c>
    </row>
    <row r="2291" spans="1:18" ht="60" x14ac:dyDescent="0.25">
      <c r="A2291" s="14" t="s">
        <v>8974</v>
      </c>
      <c r="B2291" s="14" t="s">
        <v>8733</v>
      </c>
      <c r="C2291" s="14" t="s">
        <v>8538</v>
      </c>
      <c r="D2291" s="14" t="s">
        <v>8541</v>
      </c>
      <c r="E2291" s="14" t="s">
        <v>3651</v>
      </c>
      <c r="F2291" s="14" t="s">
        <v>3652</v>
      </c>
      <c r="G2291" s="14" t="s">
        <v>3430</v>
      </c>
      <c r="H2291" s="14"/>
      <c r="I2291" s="14" t="s">
        <v>188</v>
      </c>
      <c r="J2291" s="14"/>
      <c r="K2291" s="14" t="s">
        <v>1721</v>
      </c>
      <c r="L2291" s="14"/>
      <c r="M2291" s="14" t="s">
        <v>3654</v>
      </c>
      <c r="N2291" s="14"/>
      <c r="O2291" s="14" t="s">
        <v>3655</v>
      </c>
      <c r="P2291" s="14" t="str">
        <f>HYPERLINK("https://ceds.ed.gov/cedselementdetails.aspx?termid=18905")</f>
        <v>https://ceds.ed.gov/cedselementdetails.aspx?termid=18905</v>
      </c>
      <c r="Q2291" s="14" t="str">
        <f>HYPERLINK("https://ceds.ed.gov/elementComment.aspx?elementName=Do Not Publish Indicator &amp;elementID=18905", "Click here to submit comment")</f>
        <v>Click here to submit comment</v>
      </c>
      <c r="R2291" s="14">
        <v>52388</v>
      </c>
    </row>
    <row r="2292" spans="1:18" ht="90" x14ac:dyDescent="0.25">
      <c r="A2292" s="14" t="s">
        <v>8974</v>
      </c>
      <c r="B2292" s="14" t="s">
        <v>8733</v>
      </c>
      <c r="C2292" s="14" t="s">
        <v>8542</v>
      </c>
      <c r="D2292" s="14" t="s">
        <v>8531</v>
      </c>
      <c r="E2292" s="14" t="s">
        <v>8217</v>
      </c>
      <c r="F2292" s="14" t="s">
        <v>8218</v>
      </c>
      <c r="G2292" s="14" t="s">
        <v>37</v>
      </c>
      <c r="H2292" s="14" t="s">
        <v>72</v>
      </c>
      <c r="I2292" s="14"/>
      <c r="J2292" s="14" t="s">
        <v>8220</v>
      </c>
      <c r="K2292" s="14"/>
      <c r="L2292" s="14"/>
      <c r="M2292" s="14" t="s">
        <v>8221</v>
      </c>
      <c r="N2292" s="14"/>
      <c r="O2292" s="14" t="s">
        <v>8222</v>
      </c>
      <c r="P2292" s="14" t="str">
        <f>HYPERLINK("https://ceds.ed.gov/cedselementdetails.aspx?termid=17279")</f>
        <v>https://ceds.ed.gov/cedselementdetails.aspx?termid=17279</v>
      </c>
      <c r="Q2292" s="14" t="str">
        <f>HYPERLINK("https://ceds.ed.gov/elementComment.aspx?elementName=Telephone Number &amp;elementID=17279", "Click here to submit comment")</f>
        <v>Click here to submit comment</v>
      </c>
      <c r="R2292" s="14">
        <v>51416</v>
      </c>
    </row>
    <row r="2293" spans="1:18" ht="150" x14ac:dyDescent="0.25">
      <c r="A2293" s="14" t="s">
        <v>8974</v>
      </c>
      <c r="B2293" s="14" t="s">
        <v>8733</v>
      </c>
      <c r="C2293" s="14" t="s">
        <v>8542</v>
      </c>
      <c r="D2293" s="14" t="s">
        <v>8531</v>
      </c>
      <c r="E2293" s="14" t="s">
        <v>5485</v>
      </c>
      <c r="F2293" s="14" t="s">
        <v>5486</v>
      </c>
      <c r="G2293" s="8" t="s">
        <v>8543</v>
      </c>
      <c r="H2293" s="14"/>
      <c r="I2293" s="14"/>
      <c r="J2293" s="14"/>
      <c r="K2293" s="14"/>
      <c r="L2293" s="14"/>
      <c r="M2293" s="14" t="s">
        <v>5489</v>
      </c>
      <c r="N2293" s="14"/>
      <c r="O2293" s="14" t="s">
        <v>5490</v>
      </c>
      <c r="P2293" s="14" t="str">
        <f>HYPERLINK("https://ceds.ed.gov/cedselementdetails.aspx?termid=17167")</f>
        <v>https://ceds.ed.gov/cedselementdetails.aspx?termid=17167</v>
      </c>
      <c r="Q2293" s="14" t="str">
        <f>HYPERLINK("https://ceds.ed.gov/elementComment.aspx?elementName=Institution Telephone Number Type &amp;elementID=17167", "Click here to submit comment")</f>
        <v>Click here to submit comment</v>
      </c>
      <c r="R2293" s="14">
        <v>51414</v>
      </c>
    </row>
    <row r="2294" spans="1:18" ht="90" x14ac:dyDescent="0.25">
      <c r="A2294" s="14" t="s">
        <v>8974</v>
      </c>
      <c r="B2294" s="14" t="s">
        <v>8733</v>
      </c>
      <c r="C2294" s="14" t="s">
        <v>8542</v>
      </c>
      <c r="D2294" s="14" t="s">
        <v>8531</v>
      </c>
      <c r="E2294" s="14" t="s">
        <v>6865</v>
      </c>
      <c r="F2294" s="14" t="s">
        <v>6866</v>
      </c>
      <c r="G2294" s="14" t="s">
        <v>24</v>
      </c>
      <c r="H2294" s="14" t="s">
        <v>72</v>
      </c>
      <c r="I2294" s="14"/>
      <c r="J2294" s="14"/>
      <c r="K2294" s="14"/>
      <c r="L2294" s="14"/>
      <c r="M2294" s="14" t="s">
        <v>6868</v>
      </c>
      <c r="N2294" s="14"/>
      <c r="O2294" s="14" t="s">
        <v>6869</v>
      </c>
      <c r="P2294" s="14" t="str">
        <f>HYPERLINK("https://ceds.ed.gov/cedselementdetails.aspx?termid=17219")</f>
        <v>https://ceds.ed.gov/cedselementdetails.aspx?termid=17219</v>
      </c>
      <c r="Q2294" s="14" t="str">
        <f>HYPERLINK("https://ceds.ed.gov/elementComment.aspx?elementName=Primary Telephone Number Indicator &amp;elementID=17219", "Click here to submit comment")</f>
        <v>Click here to submit comment</v>
      </c>
      <c r="R2294" s="14">
        <v>51415</v>
      </c>
    </row>
    <row r="2295" spans="1:18" ht="60" x14ac:dyDescent="0.25">
      <c r="A2295" s="14" t="s">
        <v>8974</v>
      </c>
      <c r="B2295" s="14" t="s">
        <v>8733</v>
      </c>
      <c r="C2295" s="14" t="s">
        <v>8542</v>
      </c>
      <c r="D2295" s="14" t="s">
        <v>8541</v>
      </c>
      <c r="E2295" s="14" t="s">
        <v>3651</v>
      </c>
      <c r="F2295" s="14" t="s">
        <v>3652</v>
      </c>
      <c r="G2295" s="14" t="s">
        <v>3430</v>
      </c>
      <c r="H2295" s="14"/>
      <c r="I2295" s="14" t="s">
        <v>188</v>
      </c>
      <c r="J2295" s="14"/>
      <c r="K2295" s="14" t="s">
        <v>1721</v>
      </c>
      <c r="L2295" s="14"/>
      <c r="M2295" s="14" t="s">
        <v>3654</v>
      </c>
      <c r="N2295" s="14"/>
      <c r="O2295" s="14" t="s">
        <v>3655</v>
      </c>
      <c r="P2295" s="14" t="str">
        <f>HYPERLINK("https://ceds.ed.gov/cedselementdetails.aspx?termid=18905")</f>
        <v>https://ceds.ed.gov/cedselementdetails.aspx?termid=18905</v>
      </c>
      <c r="Q2295" s="14" t="str">
        <f>HYPERLINK("https://ceds.ed.gov/elementComment.aspx?elementName=Do Not Publish Indicator &amp;elementID=18905", "Click here to submit comment")</f>
        <v>Click here to submit comment</v>
      </c>
      <c r="R2295" s="14">
        <v>52395</v>
      </c>
    </row>
    <row r="2296" spans="1:18" ht="60" x14ac:dyDescent="0.25">
      <c r="A2296" s="14" t="s">
        <v>8974</v>
      </c>
      <c r="B2296" s="14" t="s">
        <v>8733</v>
      </c>
      <c r="C2296" s="14" t="s">
        <v>8542</v>
      </c>
      <c r="D2296" s="14" t="s">
        <v>8541</v>
      </c>
      <c r="E2296" s="14" t="s">
        <v>8223</v>
      </c>
      <c r="F2296" s="14" t="s">
        <v>8224</v>
      </c>
      <c r="G2296" s="8" t="s">
        <v>8544</v>
      </c>
      <c r="H2296" s="14"/>
      <c r="I2296" s="14" t="s">
        <v>188</v>
      </c>
      <c r="J2296" s="14"/>
      <c r="K2296" s="14" t="s">
        <v>1721</v>
      </c>
      <c r="L2296" s="14"/>
      <c r="M2296" s="14" t="s">
        <v>8227</v>
      </c>
      <c r="N2296" s="14"/>
      <c r="O2296" s="14" t="s">
        <v>8228</v>
      </c>
      <c r="P2296" s="14" t="str">
        <f>HYPERLINK("https://ceds.ed.gov/cedselementdetails.aspx?termid=18911")</f>
        <v>https://ceds.ed.gov/cedselementdetails.aspx?termid=18911</v>
      </c>
      <c r="Q2296" s="14" t="str">
        <f>HYPERLINK("https://ceds.ed.gov/elementComment.aspx?elementName=Telephone Number Listed Status &amp;elementID=18911", "Click here to submit comment")</f>
        <v>Click here to submit comment</v>
      </c>
      <c r="R2296" s="14">
        <v>52396</v>
      </c>
    </row>
    <row r="2297" spans="1:18" ht="90" x14ac:dyDescent="0.25">
      <c r="A2297" s="14" t="s">
        <v>8974</v>
      </c>
      <c r="B2297" s="14" t="s">
        <v>8733</v>
      </c>
      <c r="C2297" s="14" t="s">
        <v>8545</v>
      </c>
      <c r="D2297" s="14" t="s">
        <v>8531</v>
      </c>
      <c r="E2297" s="14" t="s">
        <v>6758</v>
      </c>
      <c r="F2297" s="14" t="s">
        <v>6759</v>
      </c>
      <c r="G2297" s="14" t="s">
        <v>37</v>
      </c>
      <c r="H2297" s="14" t="s">
        <v>72</v>
      </c>
      <c r="I2297" s="14"/>
      <c r="J2297" s="14" t="s">
        <v>1510</v>
      </c>
      <c r="K2297" s="14"/>
      <c r="L2297" s="14"/>
      <c r="M2297" s="14" t="s">
        <v>6761</v>
      </c>
      <c r="N2297" s="14"/>
      <c r="O2297" s="14" t="s">
        <v>6762</v>
      </c>
      <c r="P2297" s="14" t="str">
        <f>HYPERLINK("https://ceds.ed.gov/cedselementdetails.aspx?termid=17213")</f>
        <v>https://ceds.ed.gov/cedselementdetails.aspx?termid=17213</v>
      </c>
      <c r="Q2297" s="14" t="str">
        <f>HYPERLINK("https://ceds.ed.gov/elementComment.aspx?elementName=Position Title &amp;elementID=17213", "Click here to submit comment")</f>
        <v>Click here to submit comment</v>
      </c>
      <c r="R2297" s="14">
        <v>51417</v>
      </c>
    </row>
    <row r="2298" spans="1:18" ht="90" x14ac:dyDescent="0.25">
      <c r="A2298" s="14" t="s">
        <v>8974</v>
      </c>
      <c r="B2298" s="14" t="s">
        <v>8733</v>
      </c>
      <c r="C2298" s="14" t="s">
        <v>8545</v>
      </c>
      <c r="D2298" s="14" t="s">
        <v>8531</v>
      </c>
      <c r="E2298" s="14" t="s">
        <v>6852</v>
      </c>
      <c r="F2298" s="14" t="s">
        <v>6853</v>
      </c>
      <c r="G2298" s="14" t="s">
        <v>24</v>
      </c>
      <c r="H2298" s="14"/>
      <c r="I2298" s="14"/>
      <c r="J2298" s="14"/>
      <c r="K2298" s="14"/>
      <c r="L2298" s="14"/>
      <c r="M2298" s="14" t="s">
        <v>6855</v>
      </c>
      <c r="N2298" s="14"/>
      <c r="O2298" s="14" t="s">
        <v>6856</v>
      </c>
      <c r="P2298" s="14" t="str">
        <f>HYPERLINK("https://ceds.ed.gov/cedselementdetails.aspx?termid=18397")</f>
        <v>https://ceds.ed.gov/cedselementdetails.aspx?termid=18397</v>
      </c>
      <c r="Q2298" s="14" t="str">
        <f>HYPERLINK("https://ceds.ed.gov/elementComment.aspx?elementName=Primary Contact Indicator &amp;elementID=18397", "Click here to submit comment")</f>
        <v>Click here to submit comment</v>
      </c>
      <c r="R2298" s="14">
        <v>51419</v>
      </c>
    </row>
    <row r="2299" spans="1:18" ht="45" x14ac:dyDescent="0.25">
      <c r="A2299" s="14" t="s">
        <v>8974</v>
      </c>
      <c r="B2299" s="14" t="s">
        <v>8733</v>
      </c>
      <c r="C2299" s="14" t="s">
        <v>8545</v>
      </c>
      <c r="D2299" s="14" t="s">
        <v>8531</v>
      </c>
      <c r="E2299" s="14" t="s">
        <v>8467</v>
      </c>
      <c r="F2299" s="14" t="s">
        <v>8468</v>
      </c>
      <c r="G2299" s="14" t="s">
        <v>37</v>
      </c>
      <c r="H2299" s="14" t="s">
        <v>258</v>
      </c>
      <c r="I2299" s="14"/>
      <c r="J2299" s="14" t="s">
        <v>129</v>
      </c>
      <c r="K2299" s="14"/>
      <c r="L2299" s="14"/>
      <c r="M2299" s="14" t="s">
        <v>8470</v>
      </c>
      <c r="N2299" s="14"/>
      <c r="O2299" s="14" t="s">
        <v>8471</v>
      </c>
      <c r="P2299" s="14" t="str">
        <f>HYPERLINK("https://ceds.ed.gov/cedselementdetails.aspx?termid=17300")</f>
        <v>https://ceds.ed.gov/cedselementdetails.aspx?termid=17300</v>
      </c>
      <c r="Q2299" s="14" t="str">
        <f>HYPERLINK("https://ceds.ed.gov/elementComment.aspx?elementName=Web Site Address &amp;elementID=17300", "Click here to submit comment")</f>
        <v>Click here to submit comment</v>
      </c>
      <c r="R2299" s="14">
        <v>51418</v>
      </c>
    </row>
    <row r="2300" spans="1:18" ht="195" x14ac:dyDescent="0.25">
      <c r="A2300" s="14" t="s">
        <v>8974</v>
      </c>
      <c r="B2300" s="14" t="s">
        <v>8733</v>
      </c>
      <c r="C2300" s="14" t="s">
        <v>8546</v>
      </c>
      <c r="D2300" s="14" t="s">
        <v>8531</v>
      </c>
      <c r="E2300" s="14" t="s">
        <v>4667</v>
      </c>
      <c r="F2300" s="14" t="s">
        <v>4668</v>
      </c>
      <c r="G2300" s="14" t="s">
        <v>37</v>
      </c>
      <c r="H2300" s="14" t="s">
        <v>4673</v>
      </c>
      <c r="I2300" s="14"/>
      <c r="J2300" s="14" t="s">
        <v>1468</v>
      </c>
      <c r="K2300" s="14"/>
      <c r="L2300" s="14" t="s">
        <v>4670</v>
      </c>
      <c r="M2300" s="14" t="s">
        <v>4671</v>
      </c>
      <c r="N2300" s="14"/>
      <c r="O2300" s="14" t="s">
        <v>4672</v>
      </c>
      <c r="P2300" s="14" t="str">
        <f>HYPERLINK("https://ceds.ed.gov/cedselementdetails.aspx?termid=17115")</f>
        <v>https://ceds.ed.gov/cedselementdetails.aspx?termid=17115</v>
      </c>
      <c r="Q2300" s="14" t="str">
        <f>HYPERLINK("https://ceds.ed.gov/elementComment.aspx?elementName=First Name &amp;elementID=17115", "Click here to submit comment")</f>
        <v>Click here to submit comment</v>
      </c>
      <c r="R2300" s="14">
        <v>51420</v>
      </c>
    </row>
    <row r="2301" spans="1:18" x14ac:dyDescent="0.25">
      <c r="A2301" s="16" t="s">
        <v>8974</v>
      </c>
      <c r="B2301" s="16" t="s">
        <v>8733</v>
      </c>
      <c r="C2301" s="16" t="s">
        <v>8546</v>
      </c>
      <c r="D2301" s="16" t="s">
        <v>8531</v>
      </c>
      <c r="E2301" s="16" t="s">
        <v>6223</v>
      </c>
      <c r="F2301" s="16" t="s">
        <v>6224</v>
      </c>
      <c r="G2301" s="16" t="s">
        <v>37</v>
      </c>
      <c r="H2301" s="16" t="s">
        <v>4673</v>
      </c>
      <c r="I2301" s="16"/>
      <c r="J2301" s="16" t="s">
        <v>1468</v>
      </c>
      <c r="K2301" s="16"/>
      <c r="L2301" s="14" t="s">
        <v>4746</v>
      </c>
      <c r="M2301" s="16" t="s">
        <v>6226</v>
      </c>
      <c r="N2301" s="16"/>
      <c r="O2301" s="16" t="s">
        <v>6227</v>
      </c>
      <c r="P2301" s="16" t="str">
        <f>HYPERLINK("https://ceds.ed.gov/cedselementdetails.aspx?termid=17184")</f>
        <v>https://ceds.ed.gov/cedselementdetails.aspx?termid=17184</v>
      </c>
      <c r="Q2301" s="16" t="str">
        <f>HYPERLINK("https://ceds.ed.gov/elementComment.aspx?elementName=Middle Name &amp;elementID=17184", "Click here to submit comment")</f>
        <v>Click here to submit comment</v>
      </c>
      <c r="R2301" s="16">
        <v>51421</v>
      </c>
    </row>
    <row r="2302" spans="1:18" ht="90" x14ac:dyDescent="0.25">
      <c r="A2302" s="16"/>
      <c r="B2302" s="16"/>
      <c r="C2302" s="16"/>
      <c r="D2302" s="16"/>
      <c r="E2302" s="16"/>
      <c r="F2302" s="16"/>
      <c r="G2302" s="16"/>
      <c r="H2302" s="16"/>
      <c r="I2302" s="16"/>
      <c r="J2302" s="16"/>
      <c r="K2302" s="16"/>
      <c r="L2302" s="14" t="s">
        <v>4750</v>
      </c>
      <c r="M2302" s="16"/>
      <c r="N2302" s="16"/>
      <c r="O2302" s="16"/>
      <c r="P2302" s="16"/>
      <c r="Q2302" s="16"/>
      <c r="R2302" s="16"/>
    </row>
    <row r="2303" spans="1:18" x14ac:dyDescent="0.25">
      <c r="A2303" s="16" t="s">
        <v>8974</v>
      </c>
      <c r="B2303" s="16" t="s">
        <v>8733</v>
      </c>
      <c r="C2303" s="16" t="s">
        <v>8546</v>
      </c>
      <c r="D2303" s="16" t="s">
        <v>8531</v>
      </c>
      <c r="E2303" s="16" t="s">
        <v>5727</v>
      </c>
      <c r="F2303" s="16" t="s">
        <v>5728</v>
      </c>
      <c r="G2303" s="16" t="s">
        <v>37</v>
      </c>
      <c r="H2303" s="16" t="s">
        <v>4673</v>
      </c>
      <c r="I2303" s="16"/>
      <c r="J2303" s="16" t="s">
        <v>1468</v>
      </c>
      <c r="K2303" s="16"/>
      <c r="L2303" s="14" t="s">
        <v>4746</v>
      </c>
      <c r="M2303" s="16" t="s">
        <v>5729</v>
      </c>
      <c r="N2303" s="16" t="s">
        <v>5730</v>
      </c>
      <c r="O2303" s="16" t="s">
        <v>5731</v>
      </c>
      <c r="P2303" s="16" t="str">
        <f>HYPERLINK("https://ceds.ed.gov/cedselementdetails.aspx?termid=17172")</f>
        <v>https://ceds.ed.gov/cedselementdetails.aspx?termid=17172</v>
      </c>
      <c r="Q2303" s="16" t="str">
        <f>HYPERLINK("https://ceds.ed.gov/elementComment.aspx?elementName=Last or Surname &amp;elementID=17172", "Click here to submit comment")</f>
        <v>Click here to submit comment</v>
      </c>
      <c r="R2303" s="16">
        <v>51422</v>
      </c>
    </row>
    <row r="2304" spans="1:18" ht="90" x14ac:dyDescent="0.25">
      <c r="A2304" s="16"/>
      <c r="B2304" s="16"/>
      <c r="C2304" s="16"/>
      <c r="D2304" s="16"/>
      <c r="E2304" s="16"/>
      <c r="F2304" s="16"/>
      <c r="G2304" s="16"/>
      <c r="H2304" s="16"/>
      <c r="I2304" s="16"/>
      <c r="J2304" s="16"/>
      <c r="K2304" s="16"/>
      <c r="L2304" s="14" t="s">
        <v>4750</v>
      </c>
      <c r="M2304" s="16"/>
      <c r="N2304" s="16"/>
      <c r="O2304" s="16"/>
      <c r="P2304" s="16"/>
      <c r="Q2304" s="16"/>
      <c r="R2304" s="16"/>
    </row>
    <row r="2305" spans="1:18" x14ac:dyDescent="0.25">
      <c r="A2305" s="16" t="s">
        <v>8974</v>
      </c>
      <c r="B2305" s="16" t="s">
        <v>8733</v>
      </c>
      <c r="C2305" s="16" t="s">
        <v>8546</v>
      </c>
      <c r="D2305" s="16" t="s">
        <v>8531</v>
      </c>
      <c r="E2305" s="16" t="s">
        <v>4743</v>
      </c>
      <c r="F2305" s="16" t="s">
        <v>4744</v>
      </c>
      <c r="G2305" s="16" t="s">
        <v>37</v>
      </c>
      <c r="H2305" s="16" t="s">
        <v>4749</v>
      </c>
      <c r="I2305" s="16"/>
      <c r="J2305" s="16" t="s">
        <v>3096</v>
      </c>
      <c r="K2305" s="16"/>
      <c r="L2305" s="14" t="s">
        <v>4746</v>
      </c>
      <c r="M2305" s="16" t="s">
        <v>4747</v>
      </c>
      <c r="N2305" s="16"/>
      <c r="O2305" s="16" t="s">
        <v>4748</v>
      </c>
      <c r="P2305" s="16" t="str">
        <f>HYPERLINK("https://ceds.ed.gov/cedselementdetails.aspx?termid=17121")</f>
        <v>https://ceds.ed.gov/cedselementdetails.aspx?termid=17121</v>
      </c>
      <c r="Q2305" s="16" t="str">
        <f>HYPERLINK("https://ceds.ed.gov/elementComment.aspx?elementName=Generation Code or Suffix &amp;elementID=17121", "Click here to submit comment")</f>
        <v>Click here to submit comment</v>
      </c>
      <c r="R2305" s="16">
        <v>51423</v>
      </c>
    </row>
    <row r="2306" spans="1:18" ht="90" x14ac:dyDescent="0.25">
      <c r="A2306" s="16"/>
      <c r="B2306" s="16"/>
      <c r="C2306" s="16"/>
      <c r="D2306" s="16"/>
      <c r="E2306" s="16"/>
      <c r="F2306" s="16"/>
      <c r="G2306" s="16"/>
      <c r="H2306" s="16"/>
      <c r="I2306" s="16"/>
      <c r="J2306" s="16"/>
      <c r="K2306" s="16"/>
      <c r="L2306" s="14" t="s">
        <v>4750</v>
      </c>
      <c r="M2306" s="16"/>
      <c r="N2306" s="16"/>
      <c r="O2306" s="16"/>
      <c r="P2306" s="16"/>
      <c r="Q2306" s="16"/>
      <c r="R2306" s="16"/>
    </row>
    <row r="2307" spans="1:18" ht="105" x14ac:dyDescent="0.25">
      <c r="A2307" s="14" t="s">
        <v>8974</v>
      </c>
      <c r="B2307" s="14" t="s">
        <v>8733</v>
      </c>
      <c r="C2307" s="14" t="s">
        <v>8546</v>
      </c>
      <c r="D2307" s="14" t="s">
        <v>8531</v>
      </c>
      <c r="E2307" s="14" t="s">
        <v>6741</v>
      </c>
      <c r="F2307" s="14" t="s">
        <v>6742</v>
      </c>
      <c r="G2307" s="14" t="s">
        <v>37</v>
      </c>
      <c r="H2307" s="14" t="s">
        <v>6747</v>
      </c>
      <c r="I2307" s="14"/>
      <c r="J2307" s="14" t="s">
        <v>97</v>
      </c>
      <c r="K2307" s="14"/>
      <c r="L2307" s="14"/>
      <c r="M2307" s="14" t="s">
        <v>6744</v>
      </c>
      <c r="N2307" s="14" t="s">
        <v>6745</v>
      </c>
      <c r="O2307" s="14" t="s">
        <v>6746</v>
      </c>
      <c r="P2307" s="14" t="str">
        <f>HYPERLINK("https://ceds.ed.gov/cedselementdetails.aspx?termid=17212")</f>
        <v>https://ceds.ed.gov/cedselementdetails.aspx?termid=17212</v>
      </c>
      <c r="Q2307" s="14" t="str">
        <f>HYPERLINK("https://ceds.ed.gov/elementComment.aspx?elementName=Personal Title or Prefix &amp;elementID=17212", "Click here to submit comment")</f>
        <v>Click here to submit comment</v>
      </c>
      <c r="R2307" s="14">
        <v>51424</v>
      </c>
    </row>
    <row r="2308" spans="1:18" ht="90" x14ac:dyDescent="0.25">
      <c r="A2308" s="14" t="s">
        <v>8974</v>
      </c>
      <c r="B2308" s="14" t="s">
        <v>8733</v>
      </c>
      <c r="C2308" s="14" t="s">
        <v>8547</v>
      </c>
      <c r="D2308" s="14" t="s">
        <v>8531</v>
      </c>
      <c r="E2308" s="14" t="s">
        <v>226</v>
      </c>
      <c r="F2308" s="14" t="s">
        <v>227</v>
      </c>
      <c r="G2308" s="8" t="s">
        <v>8539</v>
      </c>
      <c r="H2308" s="14" t="s">
        <v>72</v>
      </c>
      <c r="I2308" s="14"/>
      <c r="J2308" s="14" t="s">
        <v>97</v>
      </c>
      <c r="K2308" s="14"/>
      <c r="L2308" s="14"/>
      <c r="M2308" s="14" t="s">
        <v>230</v>
      </c>
      <c r="N2308" s="14"/>
      <c r="O2308" s="14" t="s">
        <v>231</v>
      </c>
      <c r="P2308" s="14" t="str">
        <f>HYPERLINK("https://ceds.ed.gov/cedselementdetails.aspx?termid=17644")</f>
        <v>https://ceds.ed.gov/cedselementdetails.aspx?termid=17644</v>
      </c>
      <c r="Q2308" s="14" t="str">
        <f>HYPERLINK("https://ceds.ed.gov/elementComment.aspx?elementName=Address Type for Organization &amp;elementID=17644", "Click here to submit comment")</f>
        <v>Click here to submit comment</v>
      </c>
      <c r="R2308" s="14">
        <v>51425</v>
      </c>
    </row>
    <row r="2309" spans="1:18" ht="225" x14ac:dyDescent="0.25">
      <c r="A2309" s="14" t="s">
        <v>8974</v>
      </c>
      <c r="B2309" s="14" t="s">
        <v>8733</v>
      </c>
      <c r="C2309" s="14" t="s">
        <v>8547</v>
      </c>
      <c r="D2309" s="14" t="s">
        <v>8531</v>
      </c>
      <c r="E2309" s="14" t="s">
        <v>214</v>
      </c>
      <c r="F2309" s="14" t="s">
        <v>215</v>
      </c>
      <c r="G2309" s="14" t="s">
        <v>37</v>
      </c>
      <c r="H2309" s="14" t="s">
        <v>199</v>
      </c>
      <c r="I2309" s="14" t="s">
        <v>195</v>
      </c>
      <c r="J2309" s="14" t="s">
        <v>216</v>
      </c>
      <c r="K2309" s="14" t="s">
        <v>196</v>
      </c>
      <c r="L2309" s="14"/>
      <c r="M2309" s="14" t="s">
        <v>217</v>
      </c>
      <c r="N2309" s="14"/>
      <c r="O2309" s="14" t="s">
        <v>218</v>
      </c>
      <c r="P2309" s="14" t="str">
        <f>HYPERLINK("https://ceds.ed.gov/cedselementdetails.aspx?termid=17269")</f>
        <v>https://ceds.ed.gov/cedselementdetails.aspx?termid=17269</v>
      </c>
      <c r="Q2309" s="14" t="str">
        <f>HYPERLINK("https://ceds.ed.gov/elementComment.aspx?elementName=Address Street Number and Name &amp;elementID=17269", "Click here to submit comment")</f>
        <v>Click here to submit comment</v>
      </c>
      <c r="R2309" s="14">
        <v>51426</v>
      </c>
    </row>
    <row r="2310" spans="1:18" ht="225" x14ac:dyDescent="0.25">
      <c r="A2310" s="14" t="s">
        <v>8974</v>
      </c>
      <c r="B2310" s="14" t="s">
        <v>8733</v>
      </c>
      <c r="C2310" s="14" t="s">
        <v>8547</v>
      </c>
      <c r="D2310" s="14" t="s">
        <v>8531</v>
      </c>
      <c r="E2310" s="14" t="s">
        <v>192</v>
      </c>
      <c r="F2310" s="14" t="s">
        <v>193</v>
      </c>
      <c r="G2310" s="14" t="s">
        <v>37</v>
      </c>
      <c r="H2310" s="14" t="s">
        <v>199</v>
      </c>
      <c r="I2310" s="14" t="s">
        <v>195</v>
      </c>
      <c r="J2310" s="14" t="s">
        <v>175</v>
      </c>
      <c r="K2310" s="14" t="s">
        <v>196</v>
      </c>
      <c r="L2310" s="14"/>
      <c r="M2310" s="14" t="s">
        <v>197</v>
      </c>
      <c r="N2310" s="14"/>
      <c r="O2310" s="14" t="s">
        <v>198</v>
      </c>
      <c r="P2310" s="14" t="str">
        <f>HYPERLINK("https://ceds.ed.gov/cedselementdetails.aspx?termid=17019")</f>
        <v>https://ceds.ed.gov/cedselementdetails.aspx?termid=17019</v>
      </c>
      <c r="Q2310" s="14" t="str">
        <f>HYPERLINK("https://ceds.ed.gov/elementComment.aspx?elementName=Address Apartment Room or Suite Number &amp;elementID=17019", "Click here to submit comment")</f>
        <v>Click here to submit comment</v>
      </c>
      <c r="R2310" s="14">
        <v>51427</v>
      </c>
    </row>
    <row r="2311" spans="1:18" ht="225" x14ac:dyDescent="0.25">
      <c r="A2311" s="14" t="s">
        <v>8974</v>
      </c>
      <c r="B2311" s="14" t="s">
        <v>8733</v>
      </c>
      <c r="C2311" s="14" t="s">
        <v>8547</v>
      </c>
      <c r="D2311" s="14" t="s">
        <v>8531</v>
      </c>
      <c r="E2311" s="14" t="s">
        <v>200</v>
      </c>
      <c r="F2311" s="14" t="s">
        <v>201</v>
      </c>
      <c r="G2311" s="14" t="s">
        <v>37</v>
      </c>
      <c r="H2311" s="14" t="s">
        <v>199</v>
      </c>
      <c r="I2311" s="14"/>
      <c r="J2311" s="14" t="s">
        <v>97</v>
      </c>
      <c r="K2311" s="14"/>
      <c r="L2311" s="14"/>
      <c r="M2311" s="14" t="s">
        <v>202</v>
      </c>
      <c r="N2311" s="14"/>
      <c r="O2311" s="14" t="s">
        <v>203</v>
      </c>
      <c r="P2311" s="14" t="str">
        <f>HYPERLINK("https://ceds.ed.gov/cedselementdetails.aspx?termid=17040")</f>
        <v>https://ceds.ed.gov/cedselementdetails.aspx?termid=17040</v>
      </c>
      <c r="Q2311" s="14" t="str">
        <f>HYPERLINK("https://ceds.ed.gov/elementComment.aspx?elementName=Address City &amp;elementID=17040", "Click here to submit comment")</f>
        <v>Click here to submit comment</v>
      </c>
      <c r="R2311" s="14">
        <v>51428</v>
      </c>
    </row>
    <row r="2312" spans="1:18" ht="409.5" x14ac:dyDescent="0.25">
      <c r="A2312" s="14" t="s">
        <v>8974</v>
      </c>
      <c r="B2312" s="14" t="s">
        <v>8733</v>
      </c>
      <c r="C2312" s="14" t="s">
        <v>8547</v>
      </c>
      <c r="D2312" s="14" t="s">
        <v>8531</v>
      </c>
      <c r="E2312" s="14" t="s">
        <v>7960</v>
      </c>
      <c r="F2312" s="14" t="s">
        <v>7961</v>
      </c>
      <c r="G2312" s="8" t="s">
        <v>8540</v>
      </c>
      <c r="H2312" s="14" t="s">
        <v>7964</v>
      </c>
      <c r="I2312" s="14"/>
      <c r="J2312" s="14"/>
      <c r="K2312" s="14"/>
      <c r="L2312" s="14"/>
      <c r="M2312" s="14" t="s">
        <v>7962</v>
      </c>
      <c r="N2312" s="14"/>
      <c r="O2312" s="14" t="s">
        <v>7963</v>
      </c>
      <c r="P2312" s="14" t="str">
        <f>HYPERLINK("https://ceds.ed.gov/cedselementdetails.aspx?termid=17267")</f>
        <v>https://ceds.ed.gov/cedselementdetails.aspx?termid=17267</v>
      </c>
      <c r="Q2312" s="14" t="str">
        <f>HYPERLINK("https://ceds.ed.gov/elementComment.aspx?elementName=State Abbreviation &amp;elementID=17267", "Click here to submit comment")</f>
        <v>Click here to submit comment</v>
      </c>
      <c r="R2312" s="14">
        <v>51429</v>
      </c>
    </row>
    <row r="2313" spans="1:18" ht="225" x14ac:dyDescent="0.25">
      <c r="A2313" s="14" t="s">
        <v>8974</v>
      </c>
      <c r="B2313" s="14" t="s">
        <v>8733</v>
      </c>
      <c r="C2313" s="14" t="s">
        <v>8547</v>
      </c>
      <c r="D2313" s="14" t="s">
        <v>8531</v>
      </c>
      <c r="E2313" s="14" t="s">
        <v>209</v>
      </c>
      <c r="F2313" s="14" t="s">
        <v>210</v>
      </c>
      <c r="G2313" s="14" t="s">
        <v>37</v>
      </c>
      <c r="H2313" s="14" t="s">
        <v>199</v>
      </c>
      <c r="I2313" s="14"/>
      <c r="J2313" s="14" t="s">
        <v>211</v>
      </c>
      <c r="K2313" s="14"/>
      <c r="L2313" s="14"/>
      <c r="M2313" s="14" t="s">
        <v>212</v>
      </c>
      <c r="N2313" s="14"/>
      <c r="O2313" s="14" t="s">
        <v>213</v>
      </c>
      <c r="P2313" s="14" t="str">
        <f>HYPERLINK("https://ceds.ed.gov/cedselementdetails.aspx?termid=17214")</f>
        <v>https://ceds.ed.gov/cedselementdetails.aspx?termid=17214</v>
      </c>
      <c r="Q2313" s="14" t="str">
        <f>HYPERLINK("https://ceds.ed.gov/elementComment.aspx?elementName=Address Postal Code &amp;elementID=17214", "Click here to submit comment")</f>
        <v>Click here to submit comment</v>
      </c>
      <c r="R2313" s="14">
        <v>51430</v>
      </c>
    </row>
    <row r="2314" spans="1:18" ht="225" x14ac:dyDescent="0.25">
      <c r="A2314" s="14" t="s">
        <v>8974</v>
      </c>
      <c r="B2314" s="14" t="s">
        <v>8733</v>
      </c>
      <c r="C2314" s="14" t="s">
        <v>8547</v>
      </c>
      <c r="D2314" s="14" t="s">
        <v>8531</v>
      </c>
      <c r="E2314" s="14" t="s">
        <v>204</v>
      </c>
      <c r="F2314" s="14" t="s">
        <v>205</v>
      </c>
      <c r="G2314" s="14" t="s">
        <v>37</v>
      </c>
      <c r="H2314" s="14" t="s">
        <v>199</v>
      </c>
      <c r="I2314" s="14"/>
      <c r="J2314" s="14" t="s">
        <v>97</v>
      </c>
      <c r="K2314" s="14"/>
      <c r="L2314" s="14"/>
      <c r="M2314" s="14" t="s">
        <v>207</v>
      </c>
      <c r="N2314" s="14"/>
      <c r="O2314" s="14" t="s">
        <v>208</v>
      </c>
      <c r="P2314" s="14" t="str">
        <f>HYPERLINK("https://ceds.ed.gov/cedselementdetails.aspx?termid=17190")</f>
        <v>https://ceds.ed.gov/cedselementdetails.aspx?termid=17190</v>
      </c>
      <c r="Q2314" s="14" t="str">
        <f>HYPERLINK("https://ceds.ed.gov/elementComment.aspx?elementName=Address County Name &amp;elementID=17190", "Click here to submit comment")</f>
        <v>Click here to submit comment</v>
      </c>
      <c r="R2314" s="14">
        <v>51431</v>
      </c>
    </row>
    <row r="2315" spans="1:18" ht="409.5" x14ac:dyDescent="0.25">
      <c r="A2315" s="14" t="s">
        <v>8974</v>
      </c>
      <c r="B2315" s="14" t="s">
        <v>8733</v>
      </c>
      <c r="C2315" s="14" t="s">
        <v>8547</v>
      </c>
      <c r="D2315" s="14" t="s">
        <v>8531</v>
      </c>
      <c r="E2315" s="14" t="s">
        <v>2845</v>
      </c>
      <c r="F2315" s="14" t="s">
        <v>2846</v>
      </c>
      <c r="G2315" s="8" t="s">
        <v>8548</v>
      </c>
      <c r="H2315" s="14" t="s">
        <v>2852</v>
      </c>
      <c r="I2315" s="14"/>
      <c r="J2315" s="14"/>
      <c r="K2315" s="14"/>
      <c r="L2315" s="6" t="s">
        <v>2849</v>
      </c>
      <c r="M2315" s="14" t="s">
        <v>2850</v>
      </c>
      <c r="N2315" s="14"/>
      <c r="O2315" s="14" t="s">
        <v>2851</v>
      </c>
      <c r="P2315" s="14" t="str">
        <f>HYPERLINK("https://ceds.ed.gov/cedselementdetails.aspx?termid=17050")</f>
        <v>https://ceds.ed.gov/cedselementdetails.aspx?termid=17050</v>
      </c>
      <c r="Q2315" s="14" t="str">
        <f>HYPERLINK("https://ceds.ed.gov/elementComment.aspx?elementName=Country Code &amp;elementID=17050", "Click here to submit comment")</f>
        <v>Click here to submit comment</v>
      </c>
      <c r="R2315" s="14">
        <v>51432</v>
      </c>
    </row>
    <row r="2316" spans="1:18" ht="195" x14ac:dyDescent="0.25">
      <c r="A2316" s="14" t="s">
        <v>8974</v>
      </c>
      <c r="B2316" s="14" t="s">
        <v>8733</v>
      </c>
      <c r="C2316" s="14" t="s">
        <v>8547</v>
      </c>
      <c r="D2316" s="14" t="s">
        <v>8531</v>
      </c>
      <c r="E2316" s="14" t="s">
        <v>2860</v>
      </c>
      <c r="F2316" s="14" t="s">
        <v>2861</v>
      </c>
      <c r="G2316" s="14" t="s">
        <v>37</v>
      </c>
      <c r="H2316" s="14"/>
      <c r="I2316" s="14" t="s">
        <v>195</v>
      </c>
      <c r="J2316" s="14" t="s">
        <v>2863</v>
      </c>
      <c r="K2316" s="14" t="s">
        <v>2864</v>
      </c>
      <c r="L2316" s="14"/>
      <c r="M2316" s="14" t="s">
        <v>2865</v>
      </c>
      <c r="N2316" s="14"/>
      <c r="O2316" s="14" t="s">
        <v>2866</v>
      </c>
      <c r="P2316" s="14" t="str">
        <f>HYPERLINK("https://ceds.ed.gov/cedselementdetails.aspx?termid=18176")</f>
        <v>https://ceds.ed.gov/cedselementdetails.aspx?termid=18176</v>
      </c>
      <c r="Q2316" s="14" t="str">
        <f>HYPERLINK("https://ceds.ed.gov/elementComment.aspx?elementName=County ANSI Code &amp;elementID=18176", "Click here to submit comment")</f>
        <v>Click here to submit comment</v>
      </c>
      <c r="R2316" s="14">
        <v>51435</v>
      </c>
    </row>
    <row r="2317" spans="1:18" ht="75" x14ac:dyDescent="0.25">
      <c r="A2317" s="14" t="s">
        <v>8974</v>
      </c>
      <c r="B2317" s="14" t="s">
        <v>8733</v>
      </c>
      <c r="C2317" s="14" t="s">
        <v>8547</v>
      </c>
      <c r="D2317" s="14" t="s">
        <v>8531</v>
      </c>
      <c r="E2317" s="14" t="s">
        <v>5736</v>
      </c>
      <c r="F2317" s="14" t="s">
        <v>5737</v>
      </c>
      <c r="G2317" s="14" t="s">
        <v>37</v>
      </c>
      <c r="H2317" s="14"/>
      <c r="I2317" s="14"/>
      <c r="J2317" s="14" t="s">
        <v>1307</v>
      </c>
      <c r="K2317" s="14"/>
      <c r="L2317" s="14"/>
      <c r="M2317" s="14" t="s">
        <v>5739</v>
      </c>
      <c r="N2317" s="14"/>
      <c r="O2317" s="14" t="s">
        <v>5736</v>
      </c>
      <c r="P2317" s="14" t="str">
        <f>HYPERLINK("https://ceds.ed.gov/cedselementdetails.aspx?termid=17599")</f>
        <v>https://ceds.ed.gov/cedselementdetails.aspx?termid=17599</v>
      </c>
      <c r="Q2317" s="14" t="str">
        <f>HYPERLINK("https://ceds.ed.gov/elementComment.aspx?elementName=Latitude &amp;elementID=17599", "Click here to submit comment")</f>
        <v>Click here to submit comment</v>
      </c>
      <c r="R2317" s="14">
        <v>51433</v>
      </c>
    </row>
    <row r="2318" spans="1:18" ht="75" x14ac:dyDescent="0.25">
      <c r="A2318" s="14" t="s">
        <v>8974</v>
      </c>
      <c r="B2318" s="14" t="s">
        <v>8733</v>
      </c>
      <c r="C2318" s="14" t="s">
        <v>8547</v>
      </c>
      <c r="D2318" s="14" t="s">
        <v>8531</v>
      </c>
      <c r="E2318" s="14" t="s">
        <v>6174</v>
      </c>
      <c r="F2318" s="14" t="s">
        <v>6175</v>
      </c>
      <c r="G2318" s="14" t="s">
        <v>37</v>
      </c>
      <c r="H2318" s="14"/>
      <c r="I2318" s="14"/>
      <c r="J2318" s="14" t="s">
        <v>1307</v>
      </c>
      <c r="K2318" s="14"/>
      <c r="L2318" s="14"/>
      <c r="M2318" s="14" t="s">
        <v>6176</v>
      </c>
      <c r="N2318" s="14"/>
      <c r="O2318" s="14" t="s">
        <v>6174</v>
      </c>
      <c r="P2318" s="14" t="str">
        <f>HYPERLINK("https://ceds.ed.gov/cedselementdetails.aspx?termid=17600")</f>
        <v>https://ceds.ed.gov/cedselementdetails.aspx?termid=17600</v>
      </c>
      <c r="Q2318" s="14" t="str">
        <f>HYPERLINK("https://ceds.ed.gov/elementComment.aspx?elementName=Longitude &amp;elementID=17600", "Click here to submit comment")</f>
        <v>Click here to submit comment</v>
      </c>
      <c r="R2318" s="14">
        <v>51434</v>
      </c>
    </row>
    <row r="2319" spans="1:18" ht="60" x14ac:dyDescent="0.25">
      <c r="A2319" s="14" t="s">
        <v>8974</v>
      </c>
      <c r="B2319" s="14" t="s">
        <v>8733</v>
      </c>
      <c r="C2319" s="14" t="s">
        <v>8547</v>
      </c>
      <c r="D2319" s="14" t="s">
        <v>8541</v>
      </c>
      <c r="E2319" s="14" t="s">
        <v>3651</v>
      </c>
      <c r="F2319" s="14" t="s">
        <v>3652</v>
      </c>
      <c r="G2319" s="14" t="s">
        <v>3430</v>
      </c>
      <c r="H2319" s="14"/>
      <c r="I2319" s="14" t="s">
        <v>188</v>
      </c>
      <c r="J2319" s="14"/>
      <c r="K2319" s="14" t="s">
        <v>1721</v>
      </c>
      <c r="L2319" s="14"/>
      <c r="M2319" s="14" t="s">
        <v>3654</v>
      </c>
      <c r="N2319" s="14"/>
      <c r="O2319" s="14" t="s">
        <v>3655</v>
      </c>
      <c r="P2319" s="14" t="str">
        <f>HYPERLINK("https://ceds.ed.gov/cedselementdetails.aspx?termid=18905")</f>
        <v>https://ceds.ed.gov/cedselementdetails.aspx?termid=18905</v>
      </c>
      <c r="Q2319" s="14" t="str">
        <f>HYPERLINK("https://ceds.ed.gov/elementComment.aspx?elementName=Do Not Publish Indicator &amp;elementID=18905", "Click here to submit comment")</f>
        <v>Click here to submit comment</v>
      </c>
      <c r="R2319" s="14">
        <v>52389</v>
      </c>
    </row>
    <row r="2320" spans="1:18" ht="90" x14ac:dyDescent="0.25">
      <c r="A2320" s="14" t="s">
        <v>8974</v>
      </c>
      <c r="B2320" s="14" t="s">
        <v>8733</v>
      </c>
      <c r="C2320" s="14" t="s">
        <v>8551</v>
      </c>
      <c r="D2320" s="14" t="s">
        <v>8531</v>
      </c>
      <c r="E2320" s="14" t="s">
        <v>3931</v>
      </c>
      <c r="F2320" s="14" t="s">
        <v>3932</v>
      </c>
      <c r="G2320" s="14" t="s">
        <v>37</v>
      </c>
      <c r="H2320" s="14" t="s">
        <v>72</v>
      </c>
      <c r="I2320" s="14"/>
      <c r="J2320" s="14" t="s">
        <v>3934</v>
      </c>
      <c r="K2320" s="14"/>
      <c r="L2320" s="14"/>
      <c r="M2320" s="14" t="s">
        <v>3935</v>
      </c>
      <c r="N2320" s="14" t="s">
        <v>3936</v>
      </c>
      <c r="O2320" s="14" t="s">
        <v>3937</v>
      </c>
      <c r="P2320" s="14" t="str">
        <f>HYPERLINK("https://ceds.ed.gov/cedselementdetails.aspx?termid=17088")</f>
        <v>https://ceds.ed.gov/cedselementdetails.aspx?termid=17088</v>
      </c>
      <c r="Q2320" s="14" t="str">
        <f>HYPERLINK("https://ceds.ed.gov/elementComment.aspx?elementName=Electronic Mail Address &amp;elementID=17088", "Click here to submit comment")</f>
        <v>Click here to submit comment</v>
      </c>
      <c r="R2320" s="14">
        <v>51436</v>
      </c>
    </row>
    <row r="2321" spans="1:18" ht="90" x14ac:dyDescent="0.25">
      <c r="A2321" s="14" t="s">
        <v>8974</v>
      </c>
      <c r="B2321" s="14" t="s">
        <v>8733</v>
      </c>
      <c r="C2321" s="14" t="s">
        <v>8551</v>
      </c>
      <c r="D2321" s="14" t="s">
        <v>8531</v>
      </c>
      <c r="E2321" s="14" t="s">
        <v>3938</v>
      </c>
      <c r="F2321" s="14" t="s">
        <v>3939</v>
      </c>
      <c r="G2321" s="8" t="s">
        <v>8552</v>
      </c>
      <c r="H2321" s="14" t="s">
        <v>72</v>
      </c>
      <c r="I2321" s="14"/>
      <c r="J2321" s="14"/>
      <c r="K2321" s="14"/>
      <c r="L2321" s="14"/>
      <c r="M2321" s="14" t="s">
        <v>3941</v>
      </c>
      <c r="N2321" s="14" t="s">
        <v>3942</v>
      </c>
      <c r="O2321" s="14" t="s">
        <v>3943</v>
      </c>
      <c r="P2321" s="14" t="str">
        <f>HYPERLINK("https://ceds.ed.gov/cedselementdetails.aspx?termid=17089")</f>
        <v>https://ceds.ed.gov/cedselementdetails.aspx?termid=17089</v>
      </c>
      <c r="Q2321" s="14" t="str">
        <f>HYPERLINK("https://ceds.ed.gov/elementComment.aspx?elementName=Electronic Mail Address Type &amp;elementID=17089", "Click here to submit comment")</f>
        <v>Click here to submit comment</v>
      </c>
      <c r="R2321" s="14">
        <v>51437</v>
      </c>
    </row>
    <row r="2322" spans="1:18" ht="60" x14ac:dyDescent="0.25">
      <c r="A2322" s="14" t="s">
        <v>8974</v>
      </c>
      <c r="B2322" s="14" t="s">
        <v>8733</v>
      </c>
      <c r="C2322" s="14" t="s">
        <v>8551</v>
      </c>
      <c r="D2322" s="14" t="s">
        <v>8541</v>
      </c>
      <c r="E2322" s="14" t="s">
        <v>3651</v>
      </c>
      <c r="F2322" s="14" t="s">
        <v>3652</v>
      </c>
      <c r="G2322" s="14" t="s">
        <v>3430</v>
      </c>
      <c r="H2322" s="14"/>
      <c r="I2322" s="14" t="s">
        <v>188</v>
      </c>
      <c r="J2322" s="14"/>
      <c r="K2322" s="14" t="s">
        <v>1721</v>
      </c>
      <c r="L2322" s="14"/>
      <c r="M2322" s="14" t="s">
        <v>3654</v>
      </c>
      <c r="N2322" s="14"/>
      <c r="O2322" s="14" t="s">
        <v>3655</v>
      </c>
      <c r="P2322" s="14" t="str">
        <f>HYPERLINK("https://ceds.ed.gov/cedselementdetails.aspx?termid=18905")</f>
        <v>https://ceds.ed.gov/cedselementdetails.aspx?termid=18905</v>
      </c>
      <c r="Q2322" s="14" t="str">
        <f>HYPERLINK("https://ceds.ed.gov/elementComment.aspx?elementName=Do Not Publish Indicator &amp;elementID=18905", "Click here to submit comment")</f>
        <v>Click here to submit comment</v>
      </c>
      <c r="R2322" s="14">
        <v>52390</v>
      </c>
    </row>
    <row r="2323" spans="1:18" ht="90" x14ac:dyDescent="0.25">
      <c r="A2323" s="14" t="s">
        <v>8974</v>
      </c>
      <c r="B2323" s="14" t="s">
        <v>8733</v>
      </c>
      <c r="C2323" s="14" t="s">
        <v>8549</v>
      </c>
      <c r="D2323" s="14" t="s">
        <v>8531</v>
      </c>
      <c r="E2323" s="14" t="s">
        <v>8217</v>
      </c>
      <c r="F2323" s="14" t="s">
        <v>8218</v>
      </c>
      <c r="G2323" s="14" t="s">
        <v>37</v>
      </c>
      <c r="H2323" s="14" t="s">
        <v>72</v>
      </c>
      <c r="I2323" s="14"/>
      <c r="J2323" s="14" t="s">
        <v>8220</v>
      </c>
      <c r="K2323" s="14"/>
      <c r="L2323" s="14"/>
      <c r="M2323" s="14" t="s">
        <v>8221</v>
      </c>
      <c r="N2323" s="14"/>
      <c r="O2323" s="14" t="s">
        <v>8222</v>
      </c>
      <c r="P2323" s="14" t="str">
        <f>HYPERLINK("https://ceds.ed.gov/cedselementdetails.aspx?termid=17279")</f>
        <v>https://ceds.ed.gov/cedselementdetails.aspx?termid=17279</v>
      </c>
      <c r="Q2323" s="14" t="str">
        <f>HYPERLINK("https://ceds.ed.gov/elementComment.aspx?elementName=Telephone Number &amp;elementID=17279", "Click here to submit comment")</f>
        <v>Click here to submit comment</v>
      </c>
      <c r="R2323" s="14">
        <v>51438</v>
      </c>
    </row>
    <row r="2324" spans="1:18" ht="90" x14ac:dyDescent="0.25">
      <c r="A2324" s="14" t="s">
        <v>8974</v>
      </c>
      <c r="B2324" s="14" t="s">
        <v>8733</v>
      </c>
      <c r="C2324" s="14" t="s">
        <v>8549</v>
      </c>
      <c r="D2324" s="14" t="s">
        <v>8531</v>
      </c>
      <c r="E2324" s="14" t="s">
        <v>8229</v>
      </c>
      <c r="F2324" s="14" t="s">
        <v>8230</v>
      </c>
      <c r="G2324" s="8" t="s">
        <v>8550</v>
      </c>
      <c r="H2324" s="14" t="s">
        <v>72</v>
      </c>
      <c r="I2324" s="14"/>
      <c r="J2324" s="14" t="s">
        <v>2870</v>
      </c>
      <c r="K2324" s="14"/>
      <c r="L2324" s="14"/>
      <c r="M2324" s="14" t="s">
        <v>8233</v>
      </c>
      <c r="N2324" s="14"/>
      <c r="O2324" s="14" t="s">
        <v>8234</v>
      </c>
      <c r="P2324" s="14" t="str">
        <f>HYPERLINK("https://ceds.ed.gov/cedselementdetails.aspx?termid=17280")</f>
        <v>https://ceds.ed.gov/cedselementdetails.aspx?termid=17280</v>
      </c>
      <c r="Q2324" s="14" t="str">
        <f>HYPERLINK("https://ceds.ed.gov/elementComment.aspx?elementName=Telephone Number Type &amp;elementID=17280", "Click here to submit comment")</f>
        <v>Click here to submit comment</v>
      </c>
      <c r="R2324" s="14">
        <v>51439</v>
      </c>
    </row>
    <row r="2325" spans="1:18" ht="90" x14ac:dyDescent="0.25">
      <c r="A2325" s="14" t="s">
        <v>8974</v>
      </c>
      <c r="B2325" s="14" t="s">
        <v>8733</v>
      </c>
      <c r="C2325" s="14" t="s">
        <v>8549</v>
      </c>
      <c r="D2325" s="14" t="s">
        <v>8531</v>
      </c>
      <c r="E2325" s="14" t="s">
        <v>6865</v>
      </c>
      <c r="F2325" s="14" t="s">
        <v>6866</v>
      </c>
      <c r="G2325" s="14" t="s">
        <v>24</v>
      </c>
      <c r="H2325" s="14" t="s">
        <v>72</v>
      </c>
      <c r="I2325" s="14"/>
      <c r="J2325" s="14"/>
      <c r="K2325" s="14"/>
      <c r="L2325" s="14"/>
      <c r="M2325" s="14" t="s">
        <v>6868</v>
      </c>
      <c r="N2325" s="14"/>
      <c r="O2325" s="14" t="s">
        <v>6869</v>
      </c>
      <c r="P2325" s="14" t="str">
        <f>HYPERLINK("https://ceds.ed.gov/cedselementdetails.aspx?termid=17219")</f>
        <v>https://ceds.ed.gov/cedselementdetails.aspx?termid=17219</v>
      </c>
      <c r="Q2325" s="14" t="str">
        <f>HYPERLINK("https://ceds.ed.gov/elementComment.aspx?elementName=Primary Telephone Number Indicator &amp;elementID=17219", "Click here to submit comment")</f>
        <v>Click here to submit comment</v>
      </c>
      <c r="R2325" s="14">
        <v>51440</v>
      </c>
    </row>
    <row r="2326" spans="1:18" ht="60" x14ac:dyDescent="0.25">
      <c r="A2326" s="14" t="s">
        <v>8974</v>
      </c>
      <c r="B2326" s="14" t="s">
        <v>8733</v>
      </c>
      <c r="C2326" s="14" t="s">
        <v>8549</v>
      </c>
      <c r="D2326" s="14" t="s">
        <v>8541</v>
      </c>
      <c r="E2326" s="14" t="s">
        <v>3651</v>
      </c>
      <c r="F2326" s="14" t="s">
        <v>3652</v>
      </c>
      <c r="G2326" s="14" t="s">
        <v>3430</v>
      </c>
      <c r="H2326" s="14"/>
      <c r="I2326" s="14" t="s">
        <v>188</v>
      </c>
      <c r="J2326" s="14"/>
      <c r="K2326" s="14" t="s">
        <v>1721</v>
      </c>
      <c r="L2326" s="14"/>
      <c r="M2326" s="14" t="s">
        <v>3654</v>
      </c>
      <c r="N2326" s="14"/>
      <c r="O2326" s="14" t="s">
        <v>3655</v>
      </c>
      <c r="P2326" s="14" t="str">
        <f>HYPERLINK("https://ceds.ed.gov/cedselementdetails.aspx?termid=18905")</f>
        <v>https://ceds.ed.gov/cedselementdetails.aspx?termid=18905</v>
      </c>
      <c r="Q2326" s="14" t="str">
        <f>HYPERLINK("https://ceds.ed.gov/elementComment.aspx?elementName=Do Not Publish Indicator &amp;elementID=18905", "Click here to submit comment")</f>
        <v>Click here to submit comment</v>
      </c>
      <c r="R2326" s="14">
        <v>52391</v>
      </c>
    </row>
    <row r="2327" spans="1:18" ht="60" x14ac:dyDescent="0.25">
      <c r="A2327" s="14" t="s">
        <v>8974</v>
      </c>
      <c r="B2327" s="14" t="s">
        <v>8733</v>
      </c>
      <c r="C2327" s="14" t="s">
        <v>8549</v>
      </c>
      <c r="D2327" s="14" t="s">
        <v>8541</v>
      </c>
      <c r="E2327" s="14" t="s">
        <v>8223</v>
      </c>
      <c r="F2327" s="14" t="s">
        <v>8224</v>
      </c>
      <c r="G2327" s="8" t="s">
        <v>8544</v>
      </c>
      <c r="H2327" s="14"/>
      <c r="I2327" s="14" t="s">
        <v>188</v>
      </c>
      <c r="J2327" s="14"/>
      <c r="K2327" s="14" t="s">
        <v>1721</v>
      </c>
      <c r="L2327" s="14"/>
      <c r="M2327" s="14" t="s">
        <v>8227</v>
      </c>
      <c r="N2327" s="14"/>
      <c r="O2327" s="14" t="s">
        <v>8228</v>
      </c>
      <c r="P2327" s="14" t="str">
        <f>HYPERLINK("https://ceds.ed.gov/cedselementdetails.aspx?termid=18911")</f>
        <v>https://ceds.ed.gov/cedselementdetails.aspx?termid=18911</v>
      </c>
      <c r="Q2327" s="14" t="str">
        <f>HYPERLINK("https://ceds.ed.gov/elementComment.aspx?elementName=Telephone Number Listed Status &amp;elementID=18911", "Click here to submit comment")</f>
        <v>Click here to submit comment</v>
      </c>
      <c r="R2327" s="14">
        <v>52392</v>
      </c>
    </row>
    <row r="2328" spans="1:18" ht="45" x14ac:dyDescent="0.25">
      <c r="A2328" s="14" t="s">
        <v>8974</v>
      </c>
      <c r="B2328" s="14" t="s">
        <v>8733</v>
      </c>
      <c r="C2328" s="14" t="s">
        <v>8553</v>
      </c>
      <c r="D2328" s="14" t="s">
        <v>8531</v>
      </c>
      <c r="E2328" s="14" t="s">
        <v>6586</v>
      </c>
      <c r="F2328" s="14" t="s">
        <v>6587</v>
      </c>
      <c r="G2328" s="14" t="s">
        <v>37</v>
      </c>
      <c r="H2328" s="14"/>
      <c r="I2328" s="14"/>
      <c r="J2328" s="14" t="s">
        <v>1468</v>
      </c>
      <c r="K2328" s="14"/>
      <c r="L2328" s="14" t="s">
        <v>6589</v>
      </c>
      <c r="M2328" s="14" t="s">
        <v>6590</v>
      </c>
      <c r="N2328" s="14"/>
      <c r="O2328" s="14" t="s">
        <v>6591</v>
      </c>
      <c r="P2328" s="14" t="str">
        <f>HYPERLINK("https://ceds.ed.gov/cedselementdetails.aspx?termid=18486")</f>
        <v>https://ceds.ed.gov/cedselementdetails.aspx?termid=18486</v>
      </c>
      <c r="Q2328" s="14" t="str">
        <f>HYPERLINK("https://ceds.ed.gov/elementComment.aspx?elementName=Other First Name &amp;elementID=18486", "Click here to submit comment")</f>
        <v>Click here to submit comment</v>
      </c>
      <c r="R2328" s="14">
        <v>51444</v>
      </c>
    </row>
    <row r="2329" spans="1:18" ht="45" x14ac:dyDescent="0.25">
      <c r="A2329" s="14" t="s">
        <v>8974</v>
      </c>
      <c r="B2329" s="14" t="s">
        <v>8733</v>
      </c>
      <c r="C2329" s="14" t="s">
        <v>8553</v>
      </c>
      <c r="D2329" s="14" t="s">
        <v>8531</v>
      </c>
      <c r="E2329" s="14" t="s">
        <v>6592</v>
      </c>
      <c r="F2329" s="14" t="s">
        <v>6593</v>
      </c>
      <c r="G2329" s="14" t="s">
        <v>37</v>
      </c>
      <c r="H2329" s="14"/>
      <c r="I2329" s="14"/>
      <c r="J2329" s="14" t="s">
        <v>1468</v>
      </c>
      <c r="K2329" s="14"/>
      <c r="L2329" s="14" t="s">
        <v>6594</v>
      </c>
      <c r="M2329" s="14" t="s">
        <v>6595</v>
      </c>
      <c r="N2329" s="14"/>
      <c r="O2329" s="14" t="s">
        <v>6596</v>
      </c>
      <c r="P2329" s="14" t="str">
        <f>HYPERLINK("https://ceds.ed.gov/cedselementdetails.aspx?termid=18485")</f>
        <v>https://ceds.ed.gov/cedselementdetails.aspx?termid=18485</v>
      </c>
      <c r="Q2329" s="14" t="str">
        <f>HYPERLINK("https://ceds.ed.gov/elementComment.aspx?elementName=Other Last Name &amp;elementID=18485", "Click here to submit comment")</f>
        <v>Click here to submit comment</v>
      </c>
      <c r="R2329" s="14">
        <v>51443</v>
      </c>
    </row>
    <row r="2330" spans="1:18" ht="45" x14ac:dyDescent="0.25">
      <c r="A2330" s="14" t="s">
        <v>8974</v>
      </c>
      <c r="B2330" s="14" t="s">
        <v>8733</v>
      </c>
      <c r="C2330" s="14" t="s">
        <v>8553</v>
      </c>
      <c r="D2330" s="14" t="s">
        <v>8531</v>
      </c>
      <c r="E2330" s="14" t="s">
        <v>6597</v>
      </c>
      <c r="F2330" s="14" t="s">
        <v>6598</v>
      </c>
      <c r="G2330" s="14" t="s">
        <v>37</v>
      </c>
      <c r="H2330" s="14"/>
      <c r="I2330" s="14"/>
      <c r="J2330" s="14" t="s">
        <v>1468</v>
      </c>
      <c r="K2330" s="14"/>
      <c r="L2330" s="14" t="s">
        <v>6599</v>
      </c>
      <c r="M2330" s="14" t="s">
        <v>6600</v>
      </c>
      <c r="N2330" s="14"/>
      <c r="O2330" s="14" t="s">
        <v>6601</v>
      </c>
      <c r="P2330" s="14" t="str">
        <f>HYPERLINK("https://ceds.ed.gov/cedselementdetails.aspx?termid=18487")</f>
        <v>https://ceds.ed.gov/cedselementdetails.aspx?termid=18487</v>
      </c>
      <c r="Q2330" s="14" t="str">
        <f>HYPERLINK("https://ceds.ed.gov/elementComment.aspx?elementName=Other Middle Name &amp;elementID=18487", "Click here to submit comment")</f>
        <v>Click here to submit comment</v>
      </c>
      <c r="R2330" s="14">
        <v>51445</v>
      </c>
    </row>
    <row r="2331" spans="1:18" ht="150" x14ac:dyDescent="0.25">
      <c r="A2331" s="14" t="s">
        <v>8974</v>
      </c>
      <c r="B2331" s="14" t="s">
        <v>8733</v>
      </c>
      <c r="C2331" s="14" t="s">
        <v>8553</v>
      </c>
      <c r="D2331" s="14" t="s">
        <v>8531</v>
      </c>
      <c r="E2331" s="14" t="s">
        <v>6602</v>
      </c>
      <c r="F2331" s="14" t="s">
        <v>6603</v>
      </c>
      <c r="G2331" s="14" t="s">
        <v>37</v>
      </c>
      <c r="H2331" s="14" t="s">
        <v>4749</v>
      </c>
      <c r="I2331" s="14"/>
      <c r="J2331" s="14" t="s">
        <v>149</v>
      </c>
      <c r="K2331" s="14"/>
      <c r="L2331" s="14"/>
      <c r="M2331" s="14" t="s">
        <v>6604</v>
      </c>
      <c r="N2331" s="14"/>
      <c r="O2331" s="14" t="s">
        <v>6605</v>
      </c>
      <c r="P2331" s="14" t="str">
        <f>HYPERLINK("https://ceds.ed.gov/cedselementdetails.aspx?termid=17206")</f>
        <v>https://ceds.ed.gov/cedselementdetails.aspx?termid=17206</v>
      </c>
      <c r="Q2331" s="14" t="str">
        <f>HYPERLINK("https://ceds.ed.gov/elementComment.aspx?elementName=Other Name &amp;elementID=17206", "Click here to submit comment")</f>
        <v>Click here to submit comment</v>
      </c>
      <c r="R2331" s="14">
        <v>51441</v>
      </c>
    </row>
    <row r="2332" spans="1:18" ht="165" x14ac:dyDescent="0.25">
      <c r="A2332" s="14" t="s">
        <v>8974</v>
      </c>
      <c r="B2332" s="14" t="s">
        <v>8733</v>
      </c>
      <c r="C2332" s="14" t="s">
        <v>8553</v>
      </c>
      <c r="D2332" s="14" t="s">
        <v>8531</v>
      </c>
      <c r="E2332" s="14" t="s">
        <v>6606</v>
      </c>
      <c r="F2332" s="14" t="s">
        <v>6607</v>
      </c>
      <c r="G2332" s="8" t="s">
        <v>8554</v>
      </c>
      <c r="H2332" s="14" t="s">
        <v>6612</v>
      </c>
      <c r="I2332" s="14"/>
      <c r="J2332" s="14" t="s">
        <v>97</v>
      </c>
      <c r="K2332" s="14"/>
      <c r="L2332" s="14"/>
      <c r="M2332" s="14" t="s">
        <v>6610</v>
      </c>
      <c r="N2332" s="14"/>
      <c r="O2332" s="14" t="s">
        <v>6611</v>
      </c>
      <c r="P2332" s="14" t="str">
        <f>HYPERLINK("https://ceds.ed.gov/cedselementdetails.aspx?termid=17627")</f>
        <v>https://ceds.ed.gov/cedselementdetails.aspx?termid=17627</v>
      </c>
      <c r="Q2332" s="14" t="str">
        <f>HYPERLINK("https://ceds.ed.gov/elementComment.aspx?elementName=Other Name Type &amp;elementID=17627", "Click here to submit comment")</f>
        <v>Click here to submit comment</v>
      </c>
      <c r="R2332" s="14">
        <v>51442</v>
      </c>
    </row>
    <row r="2333" spans="1:18" ht="409.5" x14ac:dyDescent="0.25">
      <c r="A2333" s="14" t="s">
        <v>8974</v>
      </c>
      <c r="B2333" s="14" t="s">
        <v>8733</v>
      </c>
      <c r="C2333" s="14" t="s">
        <v>8555</v>
      </c>
      <c r="D2333" s="14" t="s">
        <v>8541</v>
      </c>
      <c r="E2333" s="14" t="s">
        <v>4722</v>
      </c>
      <c r="F2333" s="14" t="s">
        <v>4723</v>
      </c>
      <c r="G2333" s="8" t="s">
        <v>8557</v>
      </c>
      <c r="H2333" s="14" t="s">
        <v>3920</v>
      </c>
      <c r="I2333" s="14" t="s">
        <v>195</v>
      </c>
      <c r="J2333" s="14"/>
      <c r="K2333" s="14" t="s">
        <v>2856</v>
      </c>
      <c r="L2333" s="14"/>
      <c r="M2333" s="14" t="s">
        <v>4726</v>
      </c>
      <c r="N2333" s="14"/>
      <c r="O2333" s="14" t="s">
        <v>4727</v>
      </c>
      <c r="P2333" s="14" t="str">
        <f>HYPERLINK("https://ceds.ed.gov/cedselementdetails.aspx?termid=17866")</f>
        <v>https://ceds.ed.gov/cedselementdetails.aspx?termid=17866</v>
      </c>
      <c r="Q2333" s="14" t="str">
        <f>HYPERLINK("https://ceds.ed.gov/elementComment.aspx?elementName=Full-Time Employee Benefits &amp;elementID=17866", "Click here to submit comment")</f>
        <v>Click here to submit comment</v>
      </c>
      <c r="R2333" s="14">
        <v>52393</v>
      </c>
    </row>
    <row r="2334" spans="1:18" ht="409.5" x14ac:dyDescent="0.25">
      <c r="A2334" s="14" t="s">
        <v>8974</v>
      </c>
      <c r="B2334" s="14" t="s">
        <v>8733</v>
      </c>
      <c r="C2334" s="14" t="s">
        <v>8555</v>
      </c>
      <c r="D2334" s="14" t="s">
        <v>8541</v>
      </c>
      <c r="E2334" s="14" t="s">
        <v>6642</v>
      </c>
      <c r="F2334" s="14" t="s">
        <v>6643</v>
      </c>
      <c r="G2334" s="8" t="s">
        <v>8557</v>
      </c>
      <c r="H2334" s="14" t="s">
        <v>3920</v>
      </c>
      <c r="I2334" s="14" t="s">
        <v>195</v>
      </c>
      <c r="J2334" s="14"/>
      <c r="K2334" s="14" t="s">
        <v>2856</v>
      </c>
      <c r="L2334" s="14"/>
      <c r="M2334" s="14" t="s">
        <v>6644</v>
      </c>
      <c r="N2334" s="14"/>
      <c r="O2334" s="14" t="s">
        <v>6645</v>
      </c>
      <c r="P2334" s="14" t="str">
        <f>HYPERLINK("https://ceds.ed.gov/cedselementdetails.aspx?termid=17867")</f>
        <v>https://ceds.ed.gov/cedselementdetails.aspx?termid=17867</v>
      </c>
      <c r="Q2334" s="14" t="str">
        <f>HYPERLINK("https://ceds.ed.gov/elementComment.aspx?elementName=Part-Time Employee Benefits &amp;elementID=17867", "Click here to submit comment")</f>
        <v>Click here to submit comment</v>
      </c>
      <c r="R2334" s="14">
        <v>52394</v>
      </c>
    </row>
    <row r="2335" spans="1:18" ht="45" x14ac:dyDescent="0.25">
      <c r="A2335" s="14" t="s">
        <v>8974</v>
      </c>
      <c r="B2335" s="14" t="s">
        <v>8975</v>
      </c>
      <c r="C2335" s="14"/>
      <c r="D2335" s="14" t="s">
        <v>8531</v>
      </c>
      <c r="E2335" s="14" t="s">
        <v>6535</v>
      </c>
      <c r="F2335" s="14" t="s">
        <v>6536</v>
      </c>
      <c r="G2335" s="14" t="s">
        <v>37</v>
      </c>
      <c r="H2335" s="14"/>
      <c r="I2335" s="14"/>
      <c r="J2335" s="14" t="s">
        <v>57</v>
      </c>
      <c r="K2335" s="14"/>
      <c r="L2335" s="14"/>
      <c r="M2335" s="14" t="s">
        <v>6538</v>
      </c>
      <c r="N2335" s="14"/>
      <c r="O2335" s="14" t="s">
        <v>6539</v>
      </c>
      <c r="P2335" s="14" t="str">
        <f>HYPERLINK("https://ceds.ed.gov/cedselementdetails.aspx?termid=18644")</f>
        <v>https://ceds.ed.gov/cedselementdetails.aspx?termid=18644</v>
      </c>
      <c r="Q2335" s="14" t="str">
        <f>HYPERLINK("https://ceds.ed.gov/elementComment.aspx?elementName=Organization Image URL &amp;elementID=18644", "Click here to submit comment")</f>
        <v>Click here to submit comment</v>
      </c>
      <c r="R2335" s="14">
        <v>51979</v>
      </c>
    </row>
    <row r="2336" spans="1:18" ht="45" x14ac:dyDescent="0.25">
      <c r="A2336" s="14" t="s">
        <v>8974</v>
      </c>
      <c r="B2336" s="14" t="s">
        <v>8975</v>
      </c>
      <c r="C2336" s="14"/>
      <c r="D2336" s="14" t="s">
        <v>8531</v>
      </c>
      <c r="E2336" s="14" t="s">
        <v>6556</v>
      </c>
      <c r="F2336" s="14" t="s">
        <v>6557</v>
      </c>
      <c r="G2336" s="14" t="s">
        <v>37</v>
      </c>
      <c r="H2336" s="14"/>
      <c r="I2336" s="14"/>
      <c r="J2336" s="14" t="s">
        <v>3227</v>
      </c>
      <c r="K2336" s="14"/>
      <c r="L2336" s="14"/>
      <c r="M2336" s="14" t="s">
        <v>6559</v>
      </c>
      <c r="N2336" s="14"/>
      <c r="O2336" s="14" t="s">
        <v>6560</v>
      </c>
      <c r="P2336" s="14" t="str">
        <f>HYPERLINK("https://ceds.ed.gov/cedselementdetails.aspx?termid=18731")</f>
        <v>https://ceds.ed.gov/cedselementdetails.aspx?termid=18731</v>
      </c>
      <c r="Q2336" s="14" t="str">
        <f>HYPERLINK("https://ceds.ed.gov/elementComment.aspx?elementName=Organization Region GeoJSON &amp;elementID=18731", "Click here to submit comment")</f>
        <v>Click here to submit comment</v>
      </c>
      <c r="R2336" s="14">
        <v>51986</v>
      </c>
    </row>
    <row r="2337" spans="1:18" ht="90" x14ac:dyDescent="0.25">
      <c r="A2337" s="14" t="s">
        <v>8974</v>
      </c>
      <c r="B2337" s="14" t="s">
        <v>8975</v>
      </c>
      <c r="C2337" s="14" t="s">
        <v>8538</v>
      </c>
      <c r="D2337" s="14" t="s">
        <v>8531</v>
      </c>
      <c r="E2337" s="14" t="s">
        <v>226</v>
      </c>
      <c r="F2337" s="14" t="s">
        <v>227</v>
      </c>
      <c r="G2337" s="8" t="s">
        <v>8539</v>
      </c>
      <c r="H2337" s="14" t="s">
        <v>72</v>
      </c>
      <c r="I2337" s="14"/>
      <c r="J2337" s="14" t="s">
        <v>97</v>
      </c>
      <c r="K2337" s="14"/>
      <c r="L2337" s="14"/>
      <c r="M2337" s="14" t="s">
        <v>230</v>
      </c>
      <c r="N2337" s="14"/>
      <c r="O2337" s="14" t="s">
        <v>231</v>
      </c>
      <c r="P2337" s="14" t="str">
        <f>HYPERLINK("https://ceds.ed.gov/cedselementdetails.aspx?termid=17644")</f>
        <v>https://ceds.ed.gov/cedselementdetails.aspx?termid=17644</v>
      </c>
      <c r="Q2337" s="14" t="str">
        <f>HYPERLINK("https://ceds.ed.gov/elementComment.aspx?elementName=Address Type for Organization &amp;elementID=17644", "Click here to submit comment")</f>
        <v>Click here to submit comment</v>
      </c>
      <c r="R2337" s="14">
        <v>49190</v>
      </c>
    </row>
    <row r="2338" spans="1:18" ht="225" x14ac:dyDescent="0.25">
      <c r="A2338" s="14" t="s">
        <v>8974</v>
      </c>
      <c r="B2338" s="14" t="s">
        <v>8975</v>
      </c>
      <c r="C2338" s="14" t="s">
        <v>8538</v>
      </c>
      <c r="D2338" s="14" t="s">
        <v>8531</v>
      </c>
      <c r="E2338" s="14" t="s">
        <v>214</v>
      </c>
      <c r="F2338" s="14" t="s">
        <v>215</v>
      </c>
      <c r="G2338" s="14" t="s">
        <v>37</v>
      </c>
      <c r="H2338" s="14" t="s">
        <v>199</v>
      </c>
      <c r="I2338" s="14" t="s">
        <v>195</v>
      </c>
      <c r="J2338" s="14" t="s">
        <v>216</v>
      </c>
      <c r="K2338" s="14" t="s">
        <v>196</v>
      </c>
      <c r="L2338" s="14"/>
      <c r="M2338" s="14" t="s">
        <v>217</v>
      </c>
      <c r="N2338" s="14"/>
      <c r="O2338" s="14" t="s">
        <v>218</v>
      </c>
      <c r="P2338" s="14" t="str">
        <f>HYPERLINK("https://ceds.ed.gov/cedselementdetails.aspx?termid=17269")</f>
        <v>https://ceds.ed.gov/cedselementdetails.aspx?termid=17269</v>
      </c>
      <c r="Q2338" s="14" t="str">
        <f>HYPERLINK("https://ceds.ed.gov/elementComment.aspx?elementName=Address Street Number and Name &amp;elementID=17269", "Click here to submit comment")</f>
        <v>Click here to submit comment</v>
      </c>
      <c r="R2338" s="14">
        <v>49191</v>
      </c>
    </row>
    <row r="2339" spans="1:18" ht="225" x14ac:dyDescent="0.25">
      <c r="A2339" s="14" t="s">
        <v>8974</v>
      </c>
      <c r="B2339" s="14" t="s">
        <v>8975</v>
      </c>
      <c r="C2339" s="14" t="s">
        <v>8538</v>
      </c>
      <c r="D2339" s="14" t="s">
        <v>8531</v>
      </c>
      <c r="E2339" s="14" t="s">
        <v>192</v>
      </c>
      <c r="F2339" s="14" t="s">
        <v>193</v>
      </c>
      <c r="G2339" s="14" t="s">
        <v>37</v>
      </c>
      <c r="H2339" s="14" t="s">
        <v>199</v>
      </c>
      <c r="I2339" s="14" t="s">
        <v>195</v>
      </c>
      <c r="J2339" s="14" t="s">
        <v>175</v>
      </c>
      <c r="K2339" s="14" t="s">
        <v>196</v>
      </c>
      <c r="L2339" s="14"/>
      <c r="M2339" s="14" t="s">
        <v>197</v>
      </c>
      <c r="N2339" s="14"/>
      <c r="O2339" s="14" t="s">
        <v>198</v>
      </c>
      <c r="P2339" s="14" t="str">
        <f>HYPERLINK("https://ceds.ed.gov/cedselementdetails.aspx?termid=17019")</f>
        <v>https://ceds.ed.gov/cedselementdetails.aspx?termid=17019</v>
      </c>
      <c r="Q2339" s="14" t="str">
        <f>HYPERLINK("https://ceds.ed.gov/elementComment.aspx?elementName=Address Apartment Room or Suite Number &amp;elementID=17019", "Click here to submit comment")</f>
        <v>Click here to submit comment</v>
      </c>
      <c r="R2339" s="14">
        <v>49205</v>
      </c>
    </row>
    <row r="2340" spans="1:18" ht="225" x14ac:dyDescent="0.25">
      <c r="A2340" s="14" t="s">
        <v>8974</v>
      </c>
      <c r="B2340" s="14" t="s">
        <v>8975</v>
      </c>
      <c r="C2340" s="14" t="s">
        <v>8538</v>
      </c>
      <c r="D2340" s="14" t="s">
        <v>8531</v>
      </c>
      <c r="E2340" s="14" t="s">
        <v>200</v>
      </c>
      <c r="F2340" s="14" t="s">
        <v>201</v>
      </c>
      <c r="G2340" s="14" t="s">
        <v>37</v>
      </c>
      <c r="H2340" s="14" t="s">
        <v>199</v>
      </c>
      <c r="I2340" s="14"/>
      <c r="J2340" s="14" t="s">
        <v>97</v>
      </c>
      <c r="K2340" s="14"/>
      <c r="L2340" s="14"/>
      <c r="M2340" s="14" t="s">
        <v>202</v>
      </c>
      <c r="N2340" s="14"/>
      <c r="O2340" s="14" t="s">
        <v>203</v>
      </c>
      <c r="P2340" s="14" t="str">
        <f>HYPERLINK("https://ceds.ed.gov/cedselementdetails.aspx?termid=17040")</f>
        <v>https://ceds.ed.gov/cedselementdetails.aspx?termid=17040</v>
      </c>
      <c r="Q2340" s="14" t="str">
        <f>HYPERLINK("https://ceds.ed.gov/elementComment.aspx?elementName=Address City &amp;elementID=17040", "Click here to submit comment")</f>
        <v>Click here to submit comment</v>
      </c>
      <c r="R2340" s="14">
        <v>49206</v>
      </c>
    </row>
    <row r="2341" spans="1:18" ht="409.5" x14ac:dyDescent="0.25">
      <c r="A2341" s="14" t="s">
        <v>8974</v>
      </c>
      <c r="B2341" s="14" t="s">
        <v>8975</v>
      </c>
      <c r="C2341" s="14" t="s">
        <v>8538</v>
      </c>
      <c r="D2341" s="14" t="s">
        <v>8531</v>
      </c>
      <c r="E2341" s="14" t="s">
        <v>7960</v>
      </c>
      <c r="F2341" s="14" t="s">
        <v>7961</v>
      </c>
      <c r="G2341" s="8" t="s">
        <v>8540</v>
      </c>
      <c r="H2341" s="14" t="s">
        <v>7964</v>
      </c>
      <c r="I2341" s="14"/>
      <c r="J2341" s="14"/>
      <c r="K2341" s="14"/>
      <c r="L2341" s="14"/>
      <c r="M2341" s="14" t="s">
        <v>7962</v>
      </c>
      <c r="N2341" s="14"/>
      <c r="O2341" s="14" t="s">
        <v>7963</v>
      </c>
      <c r="P2341" s="14" t="str">
        <f>HYPERLINK("https://ceds.ed.gov/cedselementdetails.aspx?termid=17267")</f>
        <v>https://ceds.ed.gov/cedselementdetails.aspx?termid=17267</v>
      </c>
      <c r="Q2341" s="14" t="str">
        <f>HYPERLINK("https://ceds.ed.gov/elementComment.aspx?elementName=State Abbreviation &amp;elementID=17267", "Click here to submit comment")</f>
        <v>Click here to submit comment</v>
      </c>
      <c r="R2341" s="14">
        <v>49207</v>
      </c>
    </row>
    <row r="2342" spans="1:18" ht="225" x14ac:dyDescent="0.25">
      <c r="A2342" s="14" t="s">
        <v>8974</v>
      </c>
      <c r="B2342" s="14" t="s">
        <v>8975</v>
      </c>
      <c r="C2342" s="14" t="s">
        <v>8538</v>
      </c>
      <c r="D2342" s="14" t="s">
        <v>8531</v>
      </c>
      <c r="E2342" s="14" t="s">
        <v>209</v>
      </c>
      <c r="F2342" s="14" t="s">
        <v>210</v>
      </c>
      <c r="G2342" s="14" t="s">
        <v>37</v>
      </c>
      <c r="H2342" s="14" t="s">
        <v>199</v>
      </c>
      <c r="I2342" s="14"/>
      <c r="J2342" s="14" t="s">
        <v>211</v>
      </c>
      <c r="K2342" s="14"/>
      <c r="L2342" s="14"/>
      <c r="M2342" s="14" t="s">
        <v>212</v>
      </c>
      <c r="N2342" s="14"/>
      <c r="O2342" s="14" t="s">
        <v>213</v>
      </c>
      <c r="P2342" s="14" t="str">
        <f>HYPERLINK("https://ceds.ed.gov/cedselementdetails.aspx?termid=17214")</f>
        <v>https://ceds.ed.gov/cedselementdetails.aspx?termid=17214</v>
      </c>
      <c r="Q2342" s="14" t="str">
        <f>HYPERLINK("https://ceds.ed.gov/elementComment.aspx?elementName=Address Postal Code &amp;elementID=17214", "Click here to submit comment")</f>
        <v>Click here to submit comment</v>
      </c>
      <c r="R2342" s="14">
        <v>49208</v>
      </c>
    </row>
    <row r="2343" spans="1:18" ht="225" x14ac:dyDescent="0.25">
      <c r="A2343" s="14" t="s">
        <v>8974</v>
      </c>
      <c r="B2343" s="14" t="s">
        <v>8975</v>
      </c>
      <c r="C2343" s="14" t="s">
        <v>8538</v>
      </c>
      <c r="D2343" s="14" t="s">
        <v>8531</v>
      </c>
      <c r="E2343" s="14" t="s">
        <v>204</v>
      </c>
      <c r="F2343" s="14" t="s">
        <v>205</v>
      </c>
      <c r="G2343" s="14" t="s">
        <v>37</v>
      </c>
      <c r="H2343" s="14" t="s">
        <v>199</v>
      </c>
      <c r="I2343" s="14"/>
      <c r="J2343" s="14" t="s">
        <v>97</v>
      </c>
      <c r="K2343" s="14"/>
      <c r="L2343" s="14"/>
      <c r="M2343" s="14" t="s">
        <v>207</v>
      </c>
      <c r="N2343" s="14"/>
      <c r="O2343" s="14" t="s">
        <v>208</v>
      </c>
      <c r="P2343" s="14" t="str">
        <f>HYPERLINK("https://ceds.ed.gov/cedselementdetails.aspx?termid=17190")</f>
        <v>https://ceds.ed.gov/cedselementdetails.aspx?termid=17190</v>
      </c>
      <c r="Q2343" s="14" t="str">
        <f>HYPERLINK("https://ceds.ed.gov/elementComment.aspx?elementName=Address County Name &amp;elementID=17190", "Click here to submit comment")</f>
        <v>Click here to submit comment</v>
      </c>
      <c r="R2343" s="14">
        <v>49209</v>
      </c>
    </row>
    <row r="2344" spans="1:18" ht="195" x14ac:dyDescent="0.25">
      <c r="A2344" s="14" t="s">
        <v>8974</v>
      </c>
      <c r="B2344" s="14" t="s">
        <v>8975</v>
      </c>
      <c r="C2344" s="14" t="s">
        <v>8538</v>
      </c>
      <c r="D2344" s="14" t="s">
        <v>8531</v>
      </c>
      <c r="E2344" s="14" t="s">
        <v>2860</v>
      </c>
      <c r="F2344" s="14" t="s">
        <v>2861</v>
      </c>
      <c r="G2344" s="14" t="s">
        <v>37</v>
      </c>
      <c r="H2344" s="14"/>
      <c r="I2344" s="14" t="s">
        <v>195</v>
      </c>
      <c r="J2344" s="14" t="s">
        <v>2863</v>
      </c>
      <c r="K2344" s="14" t="s">
        <v>2864</v>
      </c>
      <c r="L2344" s="14"/>
      <c r="M2344" s="14" t="s">
        <v>2865</v>
      </c>
      <c r="N2344" s="14"/>
      <c r="O2344" s="14" t="s">
        <v>2866</v>
      </c>
      <c r="P2344" s="14" t="str">
        <f>HYPERLINK("https://ceds.ed.gov/cedselementdetails.aspx?termid=18176")</f>
        <v>https://ceds.ed.gov/cedselementdetails.aspx?termid=18176</v>
      </c>
      <c r="Q2344" s="14" t="str">
        <f>HYPERLINK("https://ceds.ed.gov/elementComment.aspx?elementName=County ANSI Code &amp;elementID=18176", "Click here to submit comment")</f>
        <v>Click here to submit comment</v>
      </c>
      <c r="R2344" s="14">
        <v>49141</v>
      </c>
    </row>
    <row r="2345" spans="1:18" ht="75" x14ac:dyDescent="0.25">
      <c r="A2345" s="14" t="s">
        <v>8974</v>
      </c>
      <c r="B2345" s="14" t="s">
        <v>8975</v>
      </c>
      <c r="C2345" s="14" t="s">
        <v>8538</v>
      </c>
      <c r="D2345" s="14" t="s">
        <v>8531</v>
      </c>
      <c r="E2345" s="14" t="s">
        <v>5736</v>
      </c>
      <c r="F2345" s="14" t="s">
        <v>5737</v>
      </c>
      <c r="G2345" s="14" t="s">
        <v>37</v>
      </c>
      <c r="H2345" s="14"/>
      <c r="I2345" s="14"/>
      <c r="J2345" s="14" t="s">
        <v>1307</v>
      </c>
      <c r="K2345" s="14"/>
      <c r="L2345" s="14"/>
      <c r="M2345" s="14" t="s">
        <v>5739</v>
      </c>
      <c r="N2345" s="14"/>
      <c r="O2345" s="14" t="s">
        <v>5736</v>
      </c>
      <c r="P2345" s="14" t="str">
        <f>HYPERLINK("https://ceds.ed.gov/cedselementdetails.aspx?termid=17599")</f>
        <v>https://ceds.ed.gov/cedselementdetails.aspx?termid=17599</v>
      </c>
      <c r="Q2345" s="14" t="str">
        <f>HYPERLINK("https://ceds.ed.gov/elementComment.aspx?elementName=Latitude &amp;elementID=17599", "Click here to submit comment")</f>
        <v>Click here to submit comment</v>
      </c>
      <c r="R2345" s="14">
        <v>49143</v>
      </c>
    </row>
    <row r="2346" spans="1:18" ht="75" x14ac:dyDescent="0.25">
      <c r="A2346" s="14" t="s">
        <v>8974</v>
      </c>
      <c r="B2346" s="14" t="s">
        <v>8975</v>
      </c>
      <c r="C2346" s="14" t="s">
        <v>8538</v>
      </c>
      <c r="D2346" s="14" t="s">
        <v>8531</v>
      </c>
      <c r="E2346" s="14" t="s">
        <v>6174</v>
      </c>
      <c r="F2346" s="14" t="s">
        <v>6175</v>
      </c>
      <c r="G2346" s="14" t="s">
        <v>37</v>
      </c>
      <c r="H2346" s="14"/>
      <c r="I2346" s="14"/>
      <c r="J2346" s="14" t="s">
        <v>1307</v>
      </c>
      <c r="K2346" s="14"/>
      <c r="L2346" s="14"/>
      <c r="M2346" s="14" t="s">
        <v>6176</v>
      </c>
      <c r="N2346" s="14"/>
      <c r="O2346" s="14" t="s">
        <v>6174</v>
      </c>
      <c r="P2346" s="14" t="str">
        <f>HYPERLINK("https://ceds.ed.gov/cedselementdetails.aspx?termid=17600")</f>
        <v>https://ceds.ed.gov/cedselementdetails.aspx?termid=17600</v>
      </c>
      <c r="Q2346" s="14" t="str">
        <f>HYPERLINK("https://ceds.ed.gov/elementComment.aspx?elementName=Longitude &amp;elementID=17600", "Click here to submit comment")</f>
        <v>Click here to submit comment</v>
      </c>
      <c r="R2346" s="14">
        <v>49144</v>
      </c>
    </row>
    <row r="2347" spans="1:18" ht="60" x14ac:dyDescent="0.25">
      <c r="A2347" s="14" t="s">
        <v>8974</v>
      </c>
      <c r="B2347" s="14" t="s">
        <v>8975</v>
      </c>
      <c r="C2347" s="14" t="s">
        <v>8538</v>
      </c>
      <c r="D2347" s="14" t="s">
        <v>8541</v>
      </c>
      <c r="E2347" s="14" t="s">
        <v>3651</v>
      </c>
      <c r="F2347" s="14" t="s">
        <v>3652</v>
      </c>
      <c r="G2347" s="14" t="s">
        <v>3430</v>
      </c>
      <c r="H2347" s="14"/>
      <c r="I2347" s="14" t="s">
        <v>188</v>
      </c>
      <c r="J2347" s="14"/>
      <c r="K2347" s="14" t="s">
        <v>1721</v>
      </c>
      <c r="L2347" s="14"/>
      <c r="M2347" s="14" t="s">
        <v>3654</v>
      </c>
      <c r="N2347" s="14"/>
      <c r="O2347" s="14" t="s">
        <v>3655</v>
      </c>
      <c r="P2347" s="14" t="str">
        <f>HYPERLINK("https://ceds.ed.gov/cedselementdetails.aspx?termid=18905")</f>
        <v>https://ceds.ed.gov/cedselementdetails.aspx?termid=18905</v>
      </c>
      <c r="Q2347" s="14" t="str">
        <f>HYPERLINK("https://ceds.ed.gov/elementComment.aspx?elementName=Do Not Publish Indicator &amp;elementID=18905", "Click here to submit comment")</f>
        <v>Click here to submit comment</v>
      </c>
      <c r="R2347" s="14">
        <v>52412</v>
      </c>
    </row>
    <row r="2348" spans="1:18" ht="225" x14ac:dyDescent="0.25">
      <c r="A2348" s="14" t="s">
        <v>8974</v>
      </c>
      <c r="B2348" s="14" t="s">
        <v>8975</v>
      </c>
      <c r="C2348" s="14" t="s">
        <v>8560</v>
      </c>
      <c r="D2348" s="14" t="s">
        <v>8531</v>
      </c>
      <c r="E2348" s="14" t="s">
        <v>6353</v>
      </c>
      <c r="F2348" s="14" t="s">
        <v>6354</v>
      </c>
      <c r="G2348" s="14" t="s">
        <v>37</v>
      </c>
      <c r="H2348" s="14" t="s">
        <v>6358</v>
      </c>
      <c r="I2348" s="14"/>
      <c r="J2348" s="14" t="s">
        <v>175</v>
      </c>
      <c r="K2348" s="14"/>
      <c r="L2348" s="14"/>
      <c r="M2348" s="14" t="s">
        <v>6356</v>
      </c>
      <c r="N2348" s="14"/>
      <c r="O2348" s="14" t="s">
        <v>6357</v>
      </c>
      <c r="P2348" s="14" t="str">
        <f>HYPERLINK("https://ceds.ed.gov/cedselementdetails.aspx?termid=17191")</f>
        <v>https://ceds.ed.gov/cedselementdetails.aspx?termid=17191</v>
      </c>
      <c r="Q2348" s="14" t="str">
        <f>HYPERLINK("https://ceds.ed.gov/elementComment.aspx?elementName=Name of Institution &amp;elementID=17191", "Click here to submit comment")</f>
        <v>Click here to submit comment</v>
      </c>
      <c r="R2348" s="14">
        <v>47808</v>
      </c>
    </row>
    <row r="2349" spans="1:18" ht="90" x14ac:dyDescent="0.25">
      <c r="A2349" s="14" t="s">
        <v>8974</v>
      </c>
      <c r="B2349" s="14" t="s">
        <v>8975</v>
      </c>
      <c r="C2349" s="14" t="s">
        <v>8560</v>
      </c>
      <c r="D2349" s="14" t="s">
        <v>8531</v>
      </c>
      <c r="E2349" s="14" t="s">
        <v>7766</v>
      </c>
      <c r="F2349" s="14" t="s">
        <v>7767</v>
      </c>
      <c r="G2349" s="14" t="s">
        <v>37</v>
      </c>
      <c r="H2349" s="14"/>
      <c r="I2349" s="14"/>
      <c r="J2349" s="14" t="s">
        <v>97</v>
      </c>
      <c r="K2349" s="14"/>
      <c r="L2349" s="14" t="s">
        <v>7769</v>
      </c>
      <c r="M2349" s="14" t="s">
        <v>7770</v>
      </c>
      <c r="N2349" s="14"/>
      <c r="O2349" s="14" t="s">
        <v>7771</v>
      </c>
      <c r="P2349" s="14" t="str">
        <f>HYPERLINK("https://ceds.ed.gov/cedselementdetails.aspx?termid=18459")</f>
        <v>https://ceds.ed.gov/cedselementdetails.aspx?termid=18459</v>
      </c>
      <c r="Q2349" s="14" t="str">
        <f>HYPERLINK("https://ceds.ed.gov/elementComment.aspx?elementName=Short Name of Institution &amp;elementID=18459", "Click here to submit comment")</f>
        <v>Click here to submit comment</v>
      </c>
      <c r="R2349" s="14">
        <v>50422</v>
      </c>
    </row>
    <row r="2350" spans="1:18" ht="180" x14ac:dyDescent="0.25">
      <c r="A2350" s="14" t="s">
        <v>8974</v>
      </c>
      <c r="B2350" s="14" t="s">
        <v>8975</v>
      </c>
      <c r="C2350" s="14" t="s">
        <v>8560</v>
      </c>
      <c r="D2350" s="14" t="s">
        <v>8531</v>
      </c>
      <c r="E2350" s="14" t="s">
        <v>6498</v>
      </c>
      <c r="F2350" s="14" t="s">
        <v>6499</v>
      </c>
      <c r="G2350" s="14" t="s">
        <v>37</v>
      </c>
      <c r="H2350" s="14"/>
      <c r="I2350" s="14"/>
      <c r="J2350" s="14" t="s">
        <v>6501</v>
      </c>
      <c r="K2350" s="14"/>
      <c r="L2350" s="14"/>
      <c r="M2350" s="14" t="s">
        <v>6502</v>
      </c>
      <c r="N2350" s="14" t="s">
        <v>6503</v>
      </c>
      <c r="O2350" s="14" t="s">
        <v>6503</v>
      </c>
      <c r="P2350" s="14" t="str">
        <f>HYPERLINK("https://ceds.ed.gov/cedselementdetails.aspx?termid=17203")</f>
        <v>https://ceds.ed.gov/cedselementdetails.aspx?termid=17203</v>
      </c>
      <c r="Q2350" s="14" t="str">
        <f>HYPERLINK("https://ceds.ed.gov/elementComment.aspx?elementName=Office of Postsecondary Education Identifier &amp;elementID=17203", "Click here to submit comment")</f>
        <v>Click here to submit comment</v>
      </c>
      <c r="R2350" s="14">
        <v>47809</v>
      </c>
    </row>
    <row r="2351" spans="1:18" ht="135" x14ac:dyDescent="0.25">
      <c r="A2351" s="14" t="s">
        <v>8974</v>
      </c>
      <c r="B2351" s="14" t="s">
        <v>8975</v>
      </c>
      <c r="C2351" s="14" t="s">
        <v>8560</v>
      </c>
      <c r="D2351" s="14" t="s">
        <v>8531</v>
      </c>
      <c r="E2351" s="14" t="s">
        <v>4484</v>
      </c>
      <c r="F2351" s="14" t="s">
        <v>4485</v>
      </c>
      <c r="G2351" s="14" t="s">
        <v>4486</v>
      </c>
      <c r="H2351" s="14" t="s">
        <v>278</v>
      </c>
      <c r="I2351" s="14"/>
      <c r="J2351" s="14" t="s">
        <v>4487</v>
      </c>
      <c r="K2351" s="14"/>
      <c r="L2351" s="14"/>
      <c r="M2351" s="14" t="s">
        <v>4488</v>
      </c>
      <c r="N2351" s="14"/>
      <c r="O2351" s="14" t="s">
        <v>4489</v>
      </c>
      <c r="P2351" s="14" t="str">
        <f>HYPERLINK("https://ceds.ed.gov/cedselementdetails.aspx?termid=17111")</f>
        <v>https://ceds.ed.gov/cedselementdetails.aspx?termid=17111</v>
      </c>
      <c r="Q2351" s="14" t="str">
        <f>HYPERLINK("https://ceds.ed.gov/elementComment.aspx?elementName=Federal School Code &amp;elementID=17111", "Click here to submit comment")</f>
        <v>Click here to submit comment</v>
      </c>
      <c r="R2351" s="14">
        <v>47805</v>
      </c>
    </row>
    <row r="2352" spans="1:18" ht="45" x14ac:dyDescent="0.25">
      <c r="A2352" s="14" t="s">
        <v>8974</v>
      </c>
      <c r="B2352" s="14" t="s">
        <v>8975</v>
      </c>
      <c r="C2352" s="14" t="s">
        <v>8560</v>
      </c>
      <c r="D2352" s="14" t="s">
        <v>8531</v>
      </c>
      <c r="E2352" s="14" t="s">
        <v>8467</v>
      </c>
      <c r="F2352" s="14" t="s">
        <v>8468</v>
      </c>
      <c r="G2352" s="14" t="s">
        <v>37</v>
      </c>
      <c r="H2352" s="14" t="s">
        <v>258</v>
      </c>
      <c r="I2352" s="14"/>
      <c r="J2352" s="14" t="s">
        <v>129</v>
      </c>
      <c r="K2352" s="14"/>
      <c r="L2352" s="14"/>
      <c r="M2352" s="14" t="s">
        <v>8470</v>
      </c>
      <c r="N2352" s="14"/>
      <c r="O2352" s="14" t="s">
        <v>8471</v>
      </c>
      <c r="P2352" s="14" t="str">
        <f>HYPERLINK("https://ceds.ed.gov/cedselementdetails.aspx?termid=17300")</f>
        <v>https://ceds.ed.gov/cedselementdetails.aspx?termid=17300</v>
      </c>
      <c r="Q2352" s="14" t="str">
        <f>HYPERLINK("https://ceds.ed.gov/elementComment.aspx?elementName=Web Site Address &amp;elementID=17300", "Click here to submit comment")</f>
        <v>Click here to submit comment</v>
      </c>
      <c r="R2352" s="14">
        <v>51175</v>
      </c>
    </row>
    <row r="2353" spans="1:18" ht="90" x14ac:dyDescent="0.25">
      <c r="A2353" s="14" t="s">
        <v>8974</v>
      </c>
      <c r="B2353" s="14" t="s">
        <v>8975</v>
      </c>
      <c r="C2353" s="14" t="s">
        <v>8560</v>
      </c>
      <c r="D2353" s="14" t="s">
        <v>8531</v>
      </c>
      <c r="E2353" s="14" t="s">
        <v>6081</v>
      </c>
      <c r="F2353" s="14" t="s">
        <v>6082</v>
      </c>
      <c r="G2353" s="8" t="s">
        <v>8976</v>
      </c>
      <c r="H2353" s="14" t="s">
        <v>2232</v>
      </c>
      <c r="I2353" s="14"/>
      <c r="J2353" s="14"/>
      <c r="K2353" s="14"/>
      <c r="L2353" s="14"/>
      <c r="M2353" s="14" t="s">
        <v>6085</v>
      </c>
      <c r="N2353" s="14"/>
      <c r="O2353" s="14" t="s">
        <v>6086</v>
      </c>
      <c r="P2353" s="14" t="str">
        <f>HYPERLINK("https://ceds.ed.gov/cedselementdetails.aspx?termid=17178")</f>
        <v>https://ceds.ed.gov/cedselementdetails.aspx?termid=17178</v>
      </c>
      <c r="Q2353" s="14" t="str">
        <f>HYPERLINK("https://ceds.ed.gov/elementComment.aspx?elementName=Level of Institution &amp;elementID=17178", "Click here to submit comment")</f>
        <v>Click here to submit comment</v>
      </c>
      <c r="R2353" s="14">
        <v>47807</v>
      </c>
    </row>
    <row r="2354" spans="1:18" ht="105" x14ac:dyDescent="0.25">
      <c r="A2354" s="14" t="s">
        <v>8974</v>
      </c>
      <c r="B2354" s="14" t="s">
        <v>8975</v>
      </c>
      <c r="C2354" s="14" t="s">
        <v>8560</v>
      </c>
      <c r="D2354" s="14" t="s">
        <v>8531</v>
      </c>
      <c r="E2354" s="14" t="s">
        <v>2814</v>
      </c>
      <c r="F2354" s="14" t="s">
        <v>2815</v>
      </c>
      <c r="G2354" s="8" t="s">
        <v>8977</v>
      </c>
      <c r="H2354" s="14" t="s">
        <v>2232</v>
      </c>
      <c r="I2354" s="14"/>
      <c r="J2354" s="14"/>
      <c r="K2354" s="14"/>
      <c r="L2354" s="14"/>
      <c r="M2354" s="14" t="s">
        <v>2817</v>
      </c>
      <c r="N2354" s="14"/>
      <c r="O2354" s="14" t="s">
        <v>2818</v>
      </c>
      <c r="P2354" s="14" t="str">
        <f>HYPERLINK("https://ceds.ed.gov/cedselementdetails.aspx?termid=17048")</f>
        <v>https://ceds.ed.gov/cedselementdetails.aspx?termid=17048</v>
      </c>
      <c r="Q2354" s="14" t="str">
        <f>HYPERLINK("https://ceds.ed.gov/elementComment.aspx?elementName=Control of Institution &amp;elementID=17048", "Click here to submit comment")</f>
        <v>Click here to submit comment</v>
      </c>
      <c r="R2354" s="14">
        <v>47804</v>
      </c>
    </row>
    <row r="2355" spans="1:18" ht="105" x14ac:dyDescent="0.25">
      <c r="A2355" s="14" t="s">
        <v>8974</v>
      </c>
      <c r="B2355" s="14" t="s">
        <v>8975</v>
      </c>
      <c r="C2355" s="14" t="s">
        <v>8560</v>
      </c>
      <c r="D2355" s="14" t="s">
        <v>8531</v>
      </c>
      <c r="E2355" s="14" t="s">
        <v>8423</v>
      </c>
      <c r="F2355" s="14" t="s">
        <v>8424</v>
      </c>
      <c r="G2355" s="14" t="s">
        <v>24</v>
      </c>
      <c r="H2355" s="14"/>
      <c r="I2355" s="14"/>
      <c r="J2355" s="14"/>
      <c r="K2355" s="14"/>
      <c r="L2355" s="14"/>
      <c r="M2355" s="14" t="s">
        <v>8426</v>
      </c>
      <c r="N2355" s="14"/>
      <c r="O2355" s="14" t="s">
        <v>8427</v>
      </c>
      <c r="P2355" s="14" t="str">
        <f>HYPERLINK("https://ceds.ed.gov/cedselementdetails.aspx?termid=18167")</f>
        <v>https://ceds.ed.gov/cedselementdetails.aspx?termid=18167</v>
      </c>
      <c r="Q2355" s="14" t="str">
        <f>HYPERLINK("https://ceds.ed.gov/elementComment.aspx?elementName=Virtual Indicator &amp;elementID=18167", "Click here to submit comment")</f>
        <v>Click here to submit comment</v>
      </c>
      <c r="R2355" s="14">
        <v>48577</v>
      </c>
    </row>
    <row r="2356" spans="1:18" ht="409.5" x14ac:dyDescent="0.25">
      <c r="A2356" s="14" t="s">
        <v>8974</v>
      </c>
      <c r="B2356" s="14" t="s">
        <v>8975</v>
      </c>
      <c r="C2356" s="14" t="s">
        <v>8560</v>
      </c>
      <c r="D2356" s="14" t="s">
        <v>8531</v>
      </c>
      <c r="E2356" s="14" t="s">
        <v>2226</v>
      </c>
      <c r="F2356" s="14" t="s">
        <v>2227</v>
      </c>
      <c r="G2356" s="8" t="s">
        <v>8978</v>
      </c>
      <c r="H2356" s="14" t="s">
        <v>2232</v>
      </c>
      <c r="I2356" s="14"/>
      <c r="J2356" s="14"/>
      <c r="K2356" s="14"/>
      <c r="L2356" s="14"/>
      <c r="M2356" s="14" t="s">
        <v>2230</v>
      </c>
      <c r="N2356" s="14"/>
      <c r="O2356" s="14" t="s">
        <v>2231</v>
      </c>
      <c r="P2356" s="14" t="str">
        <f>HYPERLINK("https://ceds.ed.gov/cedselementdetails.aspx?termid=17038")</f>
        <v>https://ceds.ed.gov/cedselementdetails.aspx?termid=17038</v>
      </c>
      <c r="Q2356" s="14" t="str">
        <f>HYPERLINK("https://ceds.ed.gov/elementComment.aspx?elementName=Carnegie Basic Classification &amp;elementID=17038", "Click here to submit comment")</f>
        <v>Click here to submit comment</v>
      </c>
      <c r="R2356" s="14">
        <v>47803</v>
      </c>
    </row>
    <row r="2357" spans="1:18" ht="45" x14ac:dyDescent="0.25">
      <c r="A2357" s="14" t="s">
        <v>8974</v>
      </c>
      <c r="B2357" s="14" t="s">
        <v>8975</v>
      </c>
      <c r="C2357" s="14" t="s">
        <v>8560</v>
      </c>
      <c r="D2357" s="14" t="s">
        <v>8531</v>
      </c>
      <c r="E2357" s="14" t="s">
        <v>7724</v>
      </c>
      <c r="F2357" s="14" t="s">
        <v>7725</v>
      </c>
      <c r="G2357" s="14" t="s">
        <v>37</v>
      </c>
      <c r="H2357" s="14" t="s">
        <v>2232</v>
      </c>
      <c r="I2357" s="14"/>
      <c r="J2357" s="14" t="s">
        <v>3554</v>
      </c>
      <c r="K2357" s="14"/>
      <c r="L2357" s="14"/>
      <c r="M2357" s="14" t="s">
        <v>7727</v>
      </c>
      <c r="N2357" s="14"/>
      <c r="O2357" s="14" t="s">
        <v>7728</v>
      </c>
      <c r="P2357" s="14" t="str">
        <f>HYPERLINK("https://ceds.ed.gov/cedselementdetails.aspx?termid=17252")</f>
        <v>https://ceds.ed.gov/cedselementdetails.aspx?termid=17252</v>
      </c>
      <c r="Q2357" s="14" t="str">
        <f>HYPERLINK("https://ceds.ed.gov/elementComment.aspx?elementName=Session Designator &amp;elementID=17252", "Click here to submit comment")</f>
        <v>Click here to submit comment</v>
      </c>
      <c r="R2357" s="14">
        <v>47810</v>
      </c>
    </row>
    <row r="2358" spans="1:18" ht="120" x14ac:dyDescent="0.25">
      <c r="A2358" s="14" t="s">
        <v>8974</v>
      </c>
      <c r="B2358" s="14" t="s">
        <v>8975</v>
      </c>
      <c r="C2358" s="14" t="s">
        <v>8560</v>
      </c>
      <c r="D2358" s="14" t="s">
        <v>8531</v>
      </c>
      <c r="E2358" s="14" t="s">
        <v>6819</v>
      </c>
      <c r="F2358" s="14" t="s">
        <v>6820</v>
      </c>
      <c r="G2358" s="8" t="s">
        <v>8979</v>
      </c>
      <c r="H2358" s="14" t="s">
        <v>6825</v>
      </c>
      <c r="I2358" s="14"/>
      <c r="J2358" s="14"/>
      <c r="K2358" s="14"/>
      <c r="L2358" s="14" t="s">
        <v>6822</v>
      </c>
      <c r="M2358" s="14" t="s">
        <v>6823</v>
      </c>
      <c r="N2358" s="14"/>
      <c r="O2358" s="14" t="s">
        <v>6824</v>
      </c>
      <c r="P2358" s="14" t="str">
        <f>HYPERLINK("https://ceds.ed.gov/cedselementdetails.aspx?termid=17705")</f>
        <v>https://ceds.ed.gov/cedselementdetails.aspx?termid=17705</v>
      </c>
      <c r="Q2358" s="14" t="str">
        <f>HYPERLINK("https://ceds.ed.gov/elementComment.aspx?elementName=Predominant Calendar System &amp;elementID=17705", "Click here to submit comment")</f>
        <v>Click here to submit comment</v>
      </c>
      <c r="R2358" s="14">
        <v>49151</v>
      </c>
    </row>
    <row r="2359" spans="1:18" ht="45" x14ac:dyDescent="0.25">
      <c r="A2359" s="14" t="s">
        <v>8974</v>
      </c>
      <c r="B2359" s="14" t="s">
        <v>8975</v>
      </c>
      <c r="C2359" s="14" t="s">
        <v>8560</v>
      </c>
      <c r="D2359" s="14" t="s">
        <v>8531</v>
      </c>
      <c r="E2359" s="14" t="s">
        <v>8235</v>
      </c>
      <c r="F2359" s="14" t="s">
        <v>8236</v>
      </c>
      <c r="G2359" s="14" t="s">
        <v>24</v>
      </c>
      <c r="H2359" s="14" t="s">
        <v>80</v>
      </c>
      <c r="I2359" s="14"/>
      <c r="J2359" s="14"/>
      <c r="K2359" s="14"/>
      <c r="L2359" s="14"/>
      <c r="M2359" s="14" t="s">
        <v>8237</v>
      </c>
      <c r="N2359" s="14"/>
      <c r="O2359" s="14" t="s">
        <v>8238</v>
      </c>
      <c r="P2359" s="14" t="str">
        <f>HYPERLINK("https://ceds.ed.gov/cedselementdetails.aspx?termid=17715")</f>
        <v>https://ceds.ed.gov/cedselementdetails.aspx?termid=17715</v>
      </c>
      <c r="Q2359" s="14" t="str">
        <f>HYPERLINK("https://ceds.ed.gov/elementComment.aspx?elementName=Tenure System &amp;elementID=17715", "Click here to submit comment")</f>
        <v>Click here to submit comment</v>
      </c>
      <c r="R2359" s="14">
        <v>49163</v>
      </c>
    </row>
    <row r="2360" spans="1:18" ht="45" x14ac:dyDescent="0.25">
      <c r="A2360" s="14" t="s">
        <v>8974</v>
      </c>
      <c r="B2360" s="14" t="s">
        <v>8975</v>
      </c>
      <c r="C2360" s="14" t="s">
        <v>8582</v>
      </c>
      <c r="D2360" s="14" t="s">
        <v>8531</v>
      </c>
      <c r="E2360" s="14" t="s">
        <v>4524</v>
      </c>
      <c r="F2360" s="14" t="s">
        <v>4525</v>
      </c>
      <c r="G2360" s="14" t="s">
        <v>37</v>
      </c>
      <c r="H2360" s="14"/>
      <c r="I2360" s="14"/>
      <c r="J2360" s="14" t="s">
        <v>874</v>
      </c>
      <c r="K2360" s="14"/>
      <c r="L2360" s="14"/>
      <c r="M2360" s="14" t="s">
        <v>4526</v>
      </c>
      <c r="N2360" s="14"/>
      <c r="O2360" s="14" t="s">
        <v>4527</v>
      </c>
      <c r="P2360" s="14" t="str">
        <f>HYPERLINK("https://ceds.ed.gov/cedselementdetails.aspx?termid=18315")</f>
        <v>https://ceds.ed.gov/cedselementdetails.aspx?termid=18315</v>
      </c>
      <c r="Q2360" s="14" t="str">
        <f>HYPERLINK("https://ceds.ed.gov/elementComment.aspx?elementName=Financial Account Name &amp;elementID=18315", "Click here to submit comment")</f>
        <v>Click here to submit comment</v>
      </c>
      <c r="R2360" s="14">
        <v>51825</v>
      </c>
    </row>
    <row r="2361" spans="1:18" ht="105" x14ac:dyDescent="0.25">
      <c r="A2361" s="14" t="s">
        <v>8974</v>
      </c>
      <c r="B2361" s="14" t="s">
        <v>8975</v>
      </c>
      <c r="C2361" s="14" t="s">
        <v>8582</v>
      </c>
      <c r="D2361" s="14" t="s">
        <v>8531</v>
      </c>
      <c r="E2361" s="14" t="s">
        <v>4528</v>
      </c>
      <c r="F2361" s="14" t="s">
        <v>4529</v>
      </c>
      <c r="G2361" s="14" t="s">
        <v>37</v>
      </c>
      <c r="H2361" s="14"/>
      <c r="I2361" s="14"/>
      <c r="J2361" s="14" t="s">
        <v>97</v>
      </c>
      <c r="K2361" s="14"/>
      <c r="L2361" s="14"/>
      <c r="M2361" s="14" t="s">
        <v>4530</v>
      </c>
      <c r="N2361" s="14"/>
      <c r="O2361" s="14" t="s">
        <v>4531</v>
      </c>
      <c r="P2361" s="14" t="str">
        <f>HYPERLINK("https://ceds.ed.gov/cedselementdetails.aspx?termid=18530")</f>
        <v>https://ceds.ed.gov/cedselementdetails.aspx?termid=18530</v>
      </c>
      <c r="Q2361" s="14" t="str">
        <f>HYPERLINK("https://ceds.ed.gov/elementComment.aspx?elementName=Financial Account Number &amp;elementID=18530", "Click here to submit comment")</f>
        <v>Click here to submit comment</v>
      </c>
      <c r="R2361" s="14">
        <v>51836</v>
      </c>
    </row>
    <row r="2362" spans="1:18" ht="105" x14ac:dyDescent="0.25">
      <c r="A2362" s="14" t="s">
        <v>8974</v>
      </c>
      <c r="B2362" s="14" t="s">
        <v>8975</v>
      </c>
      <c r="C2362" s="14" t="s">
        <v>8582</v>
      </c>
      <c r="D2362" s="14" t="s">
        <v>8531</v>
      </c>
      <c r="E2362" s="14" t="s">
        <v>4490</v>
      </c>
      <c r="F2362" s="14" t="s">
        <v>4491</v>
      </c>
      <c r="G2362" s="8" t="s">
        <v>8776</v>
      </c>
      <c r="H2362" s="14"/>
      <c r="I2362" s="14"/>
      <c r="J2362" s="14"/>
      <c r="K2362" s="14"/>
      <c r="L2362" s="14"/>
      <c r="M2362" s="14" t="s">
        <v>4494</v>
      </c>
      <c r="N2362" s="14"/>
      <c r="O2362" s="14" t="s">
        <v>4495</v>
      </c>
      <c r="P2362" s="14" t="str">
        <f>HYPERLINK("https://ceds.ed.gov/cedselementdetails.aspx?termid=18312")</f>
        <v>https://ceds.ed.gov/cedselementdetails.aspx?termid=18312</v>
      </c>
      <c r="Q2362" s="14" t="str">
        <f>HYPERLINK("https://ceds.ed.gov/elementComment.aspx?elementName=Financial Account Category &amp;elementID=18312", "Click here to submit comment")</f>
        <v>Click here to submit comment</v>
      </c>
      <c r="R2362" s="14">
        <v>51823</v>
      </c>
    </row>
    <row r="2363" spans="1:18" ht="45" x14ac:dyDescent="0.25">
      <c r="A2363" s="14" t="s">
        <v>8974</v>
      </c>
      <c r="B2363" s="14" t="s">
        <v>8975</v>
      </c>
      <c r="C2363" s="14" t="s">
        <v>8582</v>
      </c>
      <c r="D2363" s="14" t="s">
        <v>8531</v>
      </c>
      <c r="E2363" s="14" t="s">
        <v>4496</v>
      </c>
      <c r="F2363" s="14" t="s">
        <v>4497</v>
      </c>
      <c r="G2363" s="14" t="s">
        <v>37</v>
      </c>
      <c r="H2363" s="14"/>
      <c r="I2363" s="14"/>
      <c r="J2363" s="14" t="s">
        <v>129</v>
      </c>
      <c r="K2363" s="14"/>
      <c r="L2363" s="14"/>
      <c r="M2363" s="14" t="s">
        <v>4498</v>
      </c>
      <c r="N2363" s="14"/>
      <c r="O2363" s="14" t="s">
        <v>4499</v>
      </c>
      <c r="P2363" s="14" t="str">
        <f>HYPERLINK("https://ceds.ed.gov/cedselementdetails.aspx?termid=18313")</f>
        <v>https://ceds.ed.gov/cedselementdetails.aspx?termid=18313</v>
      </c>
      <c r="Q2363" s="14" t="str">
        <f>HYPERLINK("https://ceds.ed.gov/elementComment.aspx?elementName=Financial Account Description &amp;elementID=18313", "Click here to submit comment")</f>
        <v>Click here to submit comment</v>
      </c>
      <c r="R2363" s="14">
        <v>51824</v>
      </c>
    </row>
    <row r="2364" spans="1:18" ht="45" x14ac:dyDescent="0.25">
      <c r="A2364" s="14" t="s">
        <v>8974</v>
      </c>
      <c r="B2364" s="14" t="s">
        <v>8975</v>
      </c>
      <c r="C2364" s="14" t="s">
        <v>8582</v>
      </c>
      <c r="D2364" s="14" t="s">
        <v>8531</v>
      </c>
      <c r="E2364" s="14" t="s">
        <v>4532</v>
      </c>
      <c r="F2364" s="14" t="s">
        <v>4533</v>
      </c>
      <c r="G2364" s="14" t="s">
        <v>37</v>
      </c>
      <c r="H2364" s="14"/>
      <c r="I2364" s="14"/>
      <c r="J2364" s="14" t="s">
        <v>874</v>
      </c>
      <c r="K2364" s="14"/>
      <c r="L2364" s="14"/>
      <c r="M2364" s="14" t="s">
        <v>4534</v>
      </c>
      <c r="N2364" s="14"/>
      <c r="O2364" s="14" t="s">
        <v>4535</v>
      </c>
      <c r="P2364" s="14" t="str">
        <f>HYPERLINK("https://ceds.ed.gov/cedselementdetails.aspx?termid=18626")</f>
        <v>https://ceds.ed.gov/cedselementdetails.aspx?termid=18626</v>
      </c>
      <c r="Q2364" s="14" t="str">
        <f>HYPERLINK("https://ceds.ed.gov/elementComment.aspx?elementName=Financial Account Program Name &amp;elementID=18626", "Click here to submit comment")</f>
        <v>Click here to submit comment</v>
      </c>
      <c r="R2364" s="14">
        <v>51861</v>
      </c>
    </row>
    <row r="2365" spans="1:18" ht="45" x14ac:dyDescent="0.25">
      <c r="A2365" s="14" t="s">
        <v>8974</v>
      </c>
      <c r="B2365" s="14" t="s">
        <v>8975</v>
      </c>
      <c r="C2365" s="14" t="s">
        <v>8582</v>
      </c>
      <c r="D2365" s="14" t="s">
        <v>8531</v>
      </c>
      <c r="E2365" s="14" t="s">
        <v>4536</v>
      </c>
      <c r="F2365" s="14" t="s">
        <v>4537</v>
      </c>
      <c r="G2365" s="14" t="s">
        <v>37</v>
      </c>
      <c r="H2365" s="14"/>
      <c r="I2365" s="14"/>
      <c r="J2365" s="14" t="s">
        <v>97</v>
      </c>
      <c r="K2365" s="14"/>
      <c r="L2365" s="14"/>
      <c r="M2365" s="14" t="s">
        <v>4538</v>
      </c>
      <c r="N2365" s="14"/>
      <c r="O2365" s="14" t="s">
        <v>4539</v>
      </c>
      <c r="P2365" s="14" t="str">
        <f>HYPERLINK("https://ceds.ed.gov/cedselementdetails.aspx?termid=18627")</f>
        <v>https://ceds.ed.gov/cedselementdetails.aspx?termid=18627</v>
      </c>
      <c r="Q2365" s="14" t="str">
        <f>HYPERLINK("https://ceds.ed.gov/elementComment.aspx?elementName=Financial Account Program Number &amp;elementID=18627", "Click here to submit comment")</f>
        <v>Click here to submit comment</v>
      </c>
      <c r="R2365" s="14">
        <v>51862</v>
      </c>
    </row>
    <row r="2366" spans="1:18" ht="45" x14ac:dyDescent="0.25">
      <c r="A2366" s="14" t="s">
        <v>8974</v>
      </c>
      <c r="B2366" s="14" t="s">
        <v>8975</v>
      </c>
      <c r="C2366" s="14" t="s">
        <v>8582</v>
      </c>
      <c r="D2366" s="14" t="s">
        <v>8531</v>
      </c>
      <c r="E2366" s="14" t="s">
        <v>4540</v>
      </c>
      <c r="F2366" s="14" t="s">
        <v>4541</v>
      </c>
      <c r="G2366" s="14" t="s">
        <v>37</v>
      </c>
      <c r="H2366" s="14"/>
      <c r="I2366" s="14"/>
      <c r="J2366" s="14" t="s">
        <v>135</v>
      </c>
      <c r="K2366" s="14"/>
      <c r="L2366" s="14"/>
      <c r="M2366" s="14" t="s">
        <v>4542</v>
      </c>
      <c r="N2366" s="14"/>
      <c r="O2366" s="14" t="s">
        <v>4543</v>
      </c>
      <c r="P2366" s="14" t="str">
        <f>HYPERLINK("https://ceds.ed.gov/cedselementdetails.aspx?termid=18629")</f>
        <v>https://ceds.ed.gov/cedselementdetails.aspx?termid=18629</v>
      </c>
      <c r="Q2366" s="14" t="str">
        <f>HYPERLINK("https://ceds.ed.gov/elementComment.aspx?elementName=Financial Accounting Date &amp;elementID=18629", "Click here to submit comment")</f>
        <v>Click here to submit comment</v>
      </c>
      <c r="R2366" s="14">
        <v>51864</v>
      </c>
    </row>
    <row r="2367" spans="1:18" ht="45" x14ac:dyDescent="0.25">
      <c r="A2367" s="14" t="s">
        <v>8974</v>
      </c>
      <c r="B2367" s="14" t="s">
        <v>8975</v>
      </c>
      <c r="C2367" s="14" t="s">
        <v>8582</v>
      </c>
      <c r="D2367" s="14" t="s">
        <v>8531</v>
      </c>
      <c r="E2367" s="14" t="s">
        <v>4548</v>
      </c>
      <c r="F2367" s="14" t="s">
        <v>4549</v>
      </c>
      <c r="G2367" s="14" t="s">
        <v>37</v>
      </c>
      <c r="H2367" s="14"/>
      <c r="I2367" s="14"/>
      <c r="J2367" s="14" t="s">
        <v>1710</v>
      </c>
      <c r="K2367" s="14"/>
      <c r="L2367" s="14"/>
      <c r="M2367" s="14" t="s">
        <v>4550</v>
      </c>
      <c r="N2367" s="14"/>
      <c r="O2367" s="14" t="s">
        <v>4551</v>
      </c>
      <c r="P2367" s="14" t="str">
        <f>HYPERLINK("https://ceds.ed.gov/cedselementdetails.aspx?termid=18318")</f>
        <v>https://ceds.ed.gov/cedselementdetails.aspx?termid=18318</v>
      </c>
      <c r="Q2367" s="14" t="str">
        <f>HYPERLINK("https://ceds.ed.gov/elementComment.aspx?elementName=Financial Accounting Period Budgeted Value &amp;elementID=18318", "Click here to submit comment")</f>
        <v>Click here to submit comment</v>
      </c>
      <c r="R2367" s="14">
        <v>51827</v>
      </c>
    </row>
    <row r="2368" spans="1:18" ht="60" x14ac:dyDescent="0.25">
      <c r="A2368" s="14" t="s">
        <v>8974</v>
      </c>
      <c r="B2368" s="14" t="s">
        <v>8975</v>
      </c>
      <c r="C2368" s="14" t="s">
        <v>8582</v>
      </c>
      <c r="D2368" s="14" t="s">
        <v>8531</v>
      </c>
      <c r="E2368" s="14" t="s">
        <v>4552</v>
      </c>
      <c r="F2368" s="14" t="s">
        <v>4553</v>
      </c>
      <c r="G2368" s="14" t="s">
        <v>37</v>
      </c>
      <c r="H2368" s="14"/>
      <c r="I2368" s="14"/>
      <c r="J2368" s="14" t="s">
        <v>1710</v>
      </c>
      <c r="K2368" s="14"/>
      <c r="L2368" s="14" t="s">
        <v>4554</v>
      </c>
      <c r="M2368" s="14" t="s">
        <v>4555</v>
      </c>
      <c r="N2368" s="14"/>
      <c r="O2368" s="14" t="s">
        <v>4556</v>
      </c>
      <c r="P2368" s="14" t="str">
        <f>HYPERLINK("https://ceds.ed.gov/cedselementdetails.aspx?termid=18625")</f>
        <v>https://ceds.ed.gov/cedselementdetails.aspx?termid=18625</v>
      </c>
      <c r="Q2368" s="14" t="str">
        <f>HYPERLINK("https://ceds.ed.gov/elementComment.aspx?elementName=Financial Accounting Period Encumbered Value &amp;elementID=18625", "Click here to submit comment")</f>
        <v>Click here to submit comment</v>
      </c>
      <c r="R2368" s="14">
        <v>51860</v>
      </c>
    </row>
    <row r="2369" spans="1:18" ht="45" x14ac:dyDescent="0.25">
      <c r="A2369" s="14" t="s">
        <v>8974</v>
      </c>
      <c r="B2369" s="14" t="s">
        <v>8975</v>
      </c>
      <c r="C2369" s="14" t="s">
        <v>8582</v>
      </c>
      <c r="D2369" s="14" t="s">
        <v>8531</v>
      </c>
      <c r="E2369" s="14" t="s">
        <v>4544</v>
      </c>
      <c r="F2369" s="14" t="s">
        <v>4545</v>
      </c>
      <c r="G2369" s="14" t="s">
        <v>37</v>
      </c>
      <c r="H2369" s="14"/>
      <c r="I2369" s="14"/>
      <c r="J2369" s="14" t="s">
        <v>1710</v>
      </c>
      <c r="K2369" s="14"/>
      <c r="L2369" s="14"/>
      <c r="M2369" s="14" t="s">
        <v>4546</v>
      </c>
      <c r="N2369" s="14"/>
      <c r="O2369" s="14" t="s">
        <v>4547</v>
      </c>
      <c r="P2369" s="14" t="str">
        <f>HYPERLINK("https://ceds.ed.gov/cedselementdetails.aspx?termid=18317")</f>
        <v>https://ceds.ed.gov/cedselementdetails.aspx?termid=18317</v>
      </c>
      <c r="Q2369" s="14" t="str">
        <f>HYPERLINK("https://ceds.ed.gov/elementComment.aspx?elementName=Financial Accounting Period Actual Value &amp;elementID=18317", "Click here to submit comment")</f>
        <v>Click here to submit comment</v>
      </c>
      <c r="R2369" s="14">
        <v>51826</v>
      </c>
    </row>
    <row r="2370" spans="1:18" ht="135" x14ac:dyDescent="0.25">
      <c r="A2370" s="14" t="s">
        <v>8974</v>
      </c>
      <c r="B2370" s="14" t="s">
        <v>8975</v>
      </c>
      <c r="C2370" s="14" t="s">
        <v>8582</v>
      </c>
      <c r="D2370" s="14" t="s">
        <v>8531</v>
      </c>
      <c r="E2370" s="14" t="s">
        <v>4557</v>
      </c>
      <c r="F2370" s="14" t="s">
        <v>4558</v>
      </c>
      <c r="G2370" s="14" t="s">
        <v>37</v>
      </c>
      <c r="H2370" s="14"/>
      <c r="I2370" s="14"/>
      <c r="J2370" s="14" t="s">
        <v>1710</v>
      </c>
      <c r="K2370" s="14"/>
      <c r="L2370" s="14" t="s">
        <v>4559</v>
      </c>
      <c r="M2370" s="14" t="s">
        <v>4560</v>
      </c>
      <c r="N2370" s="14"/>
      <c r="O2370" s="14" t="s">
        <v>4561</v>
      </c>
      <c r="P2370" s="14" t="str">
        <f>HYPERLINK("https://ceds.ed.gov/cedselementdetails.aspx?termid=18628")</f>
        <v>https://ceds.ed.gov/cedselementdetails.aspx?termid=18628</v>
      </c>
      <c r="Q2370" s="14" t="str">
        <f>HYPERLINK("https://ceds.ed.gov/elementComment.aspx?elementName=Financial Accounting Value &amp;elementID=18628", "Click here to submit comment")</f>
        <v>Click here to submit comment</v>
      </c>
      <c r="R2370" s="14">
        <v>51863</v>
      </c>
    </row>
    <row r="2371" spans="1:18" ht="45" x14ac:dyDescent="0.25">
      <c r="A2371" s="14" t="s">
        <v>8974</v>
      </c>
      <c r="B2371" s="14" t="s">
        <v>8975</v>
      </c>
      <c r="C2371" s="14" t="s">
        <v>8582</v>
      </c>
      <c r="D2371" s="14" t="s">
        <v>8531</v>
      </c>
      <c r="E2371" s="14" t="s">
        <v>4678</v>
      </c>
      <c r="F2371" s="14" t="s">
        <v>4679</v>
      </c>
      <c r="G2371" s="14" t="s">
        <v>37</v>
      </c>
      <c r="H2371" s="14"/>
      <c r="I2371" s="14"/>
      <c r="J2371" s="14" t="s">
        <v>135</v>
      </c>
      <c r="K2371" s="14"/>
      <c r="L2371" s="14"/>
      <c r="M2371" s="14" t="s">
        <v>4680</v>
      </c>
      <c r="N2371" s="14"/>
      <c r="O2371" s="14" t="s">
        <v>4681</v>
      </c>
      <c r="P2371" s="14" t="str">
        <f>HYPERLINK("https://ceds.ed.gov/cedselementdetails.aspx?termid=18623")</f>
        <v>https://ceds.ed.gov/cedselementdetails.aspx?termid=18623</v>
      </c>
      <c r="Q2371" s="14" t="str">
        <f>HYPERLINK("https://ceds.ed.gov/elementComment.aspx?elementName=Fiscal Period Begin Date &amp;elementID=18623", "Click here to submit comment")</f>
        <v>Click here to submit comment</v>
      </c>
      <c r="R2371" s="14">
        <v>51858</v>
      </c>
    </row>
    <row r="2372" spans="1:18" ht="75" x14ac:dyDescent="0.25">
      <c r="A2372" s="14" t="s">
        <v>8974</v>
      </c>
      <c r="B2372" s="14" t="s">
        <v>8975</v>
      </c>
      <c r="C2372" s="14" t="s">
        <v>8582</v>
      </c>
      <c r="D2372" s="14" t="s">
        <v>8531</v>
      </c>
      <c r="E2372" s="14" t="s">
        <v>4682</v>
      </c>
      <c r="F2372" s="14" t="s">
        <v>4683</v>
      </c>
      <c r="G2372" s="14" t="s">
        <v>37</v>
      </c>
      <c r="H2372" s="14"/>
      <c r="I2372" s="14"/>
      <c r="J2372" s="14" t="s">
        <v>135</v>
      </c>
      <c r="K2372" s="14"/>
      <c r="L2372" s="14" t="s">
        <v>160</v>
      </c>
      <c r="M2372" s="14" t="s">
        <v>4684</v>
      </c>
      <c r="N2372" s="14"/>
      <c r="O2372" s="14" t="s">
        <v>4685</v>
      </c>
      <c r="P2372" s="14" t="str">
        <f>HYPERLINK("https://ceds.ed.gov/cedselementdetails.aspx?termid=18624")</f>
        <v>https://ceds.ed.gov/cedselementdetails.aspx?termid=18624</v>
      </c>
      <c r="Q2372" s="14" t="str">
        <f>HYPERLINK("https://ceds.ed.gov/elementComment.aspx?elementName=Fiscal Period End Date &amp;elementID=18624", "Click here to submit comment")</f>
        <v>Click here to submit comment</v>
      </c>
      <c r="R2372" s="14">
        <v>51859</v>
      </c>
    </row>
    <row r="2373" spans="1:18" ht="45" x14ac:dyDescent="0.25">
      <c r="A2373" s="14" t="s">
        <v>8974</v>
      </c>
      <c r="B2373" s="14" t="s">
        <v>8975</v>
      </c>
      <c r="C2373" s="14" t="s">
        <v>8582</v>
      </c>
      <c r="D2373" s="14" t="s">
        <v>8531</v>
      </c>
      <c r="E2373" s="14" t="s">
        <v>4686</v>
      </c>
      <c r="F2373" s="14" t="s">
        <v>4687</v>
      </c>
      <c r="G2373" s="14" t="s">
        <v>37</v>
      </c>
      <c r="H2373" s="14"/>
      <c r="I2373" s="14"/>
      <c r="J2373" s="14" t="s">
        <v>2094</v>
      </c>
      <c r="K2373" s="14"/>
      <c r="L2373" s="14"/>
      <c r="M2373" s="14" t="s">
        <v>4688</v>
      </c>
      <c r="N2373" s="14"/>
      <c r="O2373" s="14" t="s">
        <v>4689</v>
      </c>
      <c r="P2373" s="14" t="str">
        <f>HYPERLINK("https://ceds.ed.gov/cedselementdetails.aspx?termid=18620")</f>
        <v>https://ceds.ed.gov/cedselementdetails.aspx?termid=18620</v>
      </c>
      <c r="Q2373" s="14" t="str">
        <f>HYPERLINK("https://ceds.ed.gov/elementComment.aspx?elementName=Fiscal Year &amp;elementID=18620", "Click here to submit comment")</f>
        <v>Click here to submit comment</v>
      </c>
      <c r="R2373" s="14">
        <v>51857</v>
      </c>
    </row>
    <row r="2374" spans="1:18" ht="409.5" x14ac:dyDescent="0.25">
      <c r="A2374" s="14" t="s">
        <v>8974</v>
      </c>
      <c r="B2374" s="14" t="s">
        <v>8975</v>
      </c>
      <c r="C2374" s="14" t="s">
        <v>8582</v>
      </c>
      <c r="D2374" s="14" t="s">
        <v>8531</v>
      </c>
      <c r="E2374" s="14" t="s">
        <v>5593</v>
      </c>
      <c r="F2374" s="14" t="s">
        <v>5594</v>
      </c>
      <c r="G2374" s="8" t="s">
        <v>8980</v>
      </c>
      <c r="H2374" s="14"/>
      <c r="I2374" s="14"/>
      <c r="J2374" s="14"/>
      <c r="K2374" s="14"/>
      <c r="L2374" s="14"/>
      <c r="M2374" s="14" t="s">
        <v>5597</v>
      </c>
      <c r="N2374" s="14"/>
      <c r="O2374" s="14" t="s">
        <v>5598</v>
      </c>
      <c r="P2374" s="14" t="str">
        <f>HYPERLINK("https://ceds.ed.gov/cedselementdetails.aspx?termid=18652")</f>
        <v>https://ceds.ed.gov/cedselementdetails.aspx?termid=18652</v>
      </c>
      <c r="Q2374" s="14" t="str">
        <f>HYPERLINK("https://ceds.ed.gov/elementComment.aspx?elementName=IPEDS Finance FASB Financial Position Category &amp;elementID=18652", "Click here to submit comment")</f>
        <v>Click here to submit comment</v>
      </c>
      <c r="R2374" s="14">
        <v>51960</v>
      </c>
    </row>
    <row r="2375" spans="1:18" ht="240" x14ac:dyDescent="0.25">
      <c r="A2375" s="14" t="s">
        <v>8974</v>
      </c>
      <c r="B2375" s="14" t="s">
        <v>8975</v>
      </c>
      <c r="C2375" s="14" t="s">
        <v>8582</v>
      </c>
      <c r="D2375" s="14" t="s">
        <v>8531</v>
      </c>
      <c r="E2375" s="14" t="s">
        <v>5599</v>
      </c>
      <c r="F2375" s="14" t="s">
        <v>5600</v>
      </c>
      <c r="G2375" s="8" t="s">
        <v>8981</v>
      </c>
      <c r="H2375" s="14"/>
      <c r="I2375" s="14"/>
      <c r="J2375" s="14"/>
      <c r="K2375" s="14"/>
      <c r="L2375" s="14" t="s">
        <v>5602</v>
      </c>
      <c r="M2375" s="14" t="s">
        <v>5603</v>
      </c>
      <c r="N2375" s="14"/>
      <c r="O2375" s="14" t="s">
        <v>5604</v>
      </c>
      <c r="P2375" s="14" t="str">
        <f>HYPERLINK("https://ceds.ed.gov/cedselementdetails.aspx?termid=18640")</f>
        <v>https://ceds.ed.gov/cedselementdetails.aspx?termid=18640</v>
      </c>
      <c r="Q2375" s="14" t="str">
        <f>HYPERLINK("https://ceds.ed.gov/elementComment.aspx?elementName=IPEDS Finance FASB Functional Expense Category &amp;elementID=18640", "Click here to submit comment")</f>
        <v>Click here to submit comment</v>
      </c>
      <c r="R2375" s="14">
        <v>51961</v>
      </c>
    </row>
    <row r="2376" spans="1:18" ht="90" x14ac:dyDescent="0.25">
      <c r="A2376" s="14" t="s">
        <v>8974</v>
      </c>
      <c r="B2376" s="14" t="s">
        <v>8975</v>
      </c>
      <c r="C2376" s="14" t="s">
        <v>8582</v>
      </c>
      <c r="D2376" s="14" t="s">
        <v>8531</v>
      </c>
      <c r="E2376" s="14" t="s">
        <v>5605</v>
      </c>
      <c r="F2376" s="14" t="s">
        <v>5606</v>
      </c>
      <c r="G2376" s="8" t="s">
        <v>8982</v>
      </c>
      <c r="H2376" s="14"/>
      <c r="I2376" s="14"/>
      <c r="J2376" s="14"/>
      <c r="K2376" s="14"/>
      <c r="L2376" s="14"/>
      <c r="M2376" s="14" t="s">
        <v>5608</v>
      </c>
      <c r="N2376" s="14"/>
      <c r="O2376" s="14" t="s">
        <v>5609</v>
      </c>
      <c r="P2376" s="14" t="str">
        <f>HYPERLINK("https://ceds.ed.gov/cedselementdetails.aspx?termid=18661")</f>
        <v>https://ceds.ed.gov/cedselementdetails.aspx?termid=18661</v>
      </c>
      <c r="Q2376" s="14" t="str">
        <f>HYPERLINK("https://ceds.ed.gov/elementComment.aspx?elementName=IPEDS Finance FASB Pell Grant Transactions &amp;elementID=18661", "Click here to submit comment")</f>
        <v>Click here to submit comment</v>
      </c>
      <c r="R2376" s="14">
        <v>51962</v>
      </c>
    </row>
    <row r="2377" spans="1:18" ht="409.5" x14ac:dyDescent="0.25">
      <c r="A2377" s="14" t="s">
        <v>8974</v>
      </c>
      <c r="B2377" s="14" t="s">
        <v>8975</v>
      </c>
      <c r="C2377" s="14" t="s">
        <v>8582</v>
      </c>
      <c r="D2377" s="14" t="s">
        <v>8531</v>
      </c>
      <c r="E2377" s="14" t="s">
        <v>5610</v>
      </c>
      <c r="F2377" s="14" t="s">
        <v>5611</v>
      </c>
      <c r="G2377" s="8" t="s">
        <v>8983</v>
      </c>
      <c r="H2377" s="14"/>
      <c r="I2377" s="14"/>
      <c r="J2377" s="14"/>
      <c r="K2377" s="14"/>
      <c r="L2377" s="14"/>
      <c r="M2377" s="14" t="s">
        <v>5613</v>
      </c>
      <c r="N2377" s="14"/>
      <c r="O2377" s="14" t="s">
        <v>5614</v>
      </c>
      <c r="P2377" s="14" t="str">
        <f>HYPERLINK("https://ceds.ed.gov/cedselementdetails.aspx?termid=18654")</f>
        <v>https://ceds.ed.gov/cedselementdetails.aspx?termid=18654</v>
      </c>
      <c r="Q2377" s="14" t="str">
        <f>HYPERLINK("https://ceds.ed.gov/elementComment.aspx?elementName=IPEDS Finance FASB Revenue Category &amp;elementID=18654", "Click here to submit comment")</f>
        <v>Click here to submit comment</v>
      </c>
      <c r="R2377" s="14">
        <v>51963</v>
      </c>
    </row>
    <row r="2378" spans="1:18" ht="90" x14ac:dyDescent="0.25">
      <c r="A2378" s="14" t="s">
        <v>8974</v>
      </c>
      <c r="B2378" s="14" t="s">
        <v>8975</v>
      </c>
      <c r="C2378" s="14" t="s">
        <v>8582</v>
      </c>
      <c r="D2378" s="14" t="s">
        <v>8531</v>
      </c>
      <c r="E2378" s="14" t="s">
        <v>5615</v>
      </c>
      <c r="F2378" s="14" t="s">
        <v>5616</v>
      </c>
      <c r="G2378" s="8" t="s">
        <v>8984</v>
      </c>
      <c r="H2378" s="14"/>
      <c r="I2378" s="14"/>
      <c r="J2378" s="14"/>
      <c r="K2378" s="14"/>
      <c r="L2378" s="14"/>
      <c r="M2378" s="14" t="s">
        <v>5618</v>
      </c>
      <c r="N2378" s="14"/>
      <c r="O2378" s="14" t="s">
        <v>5619</v>
      </c>
      <c r="P2378" s="14" t="str">
        <f>HYPERLINK("https://ceds.ed.gov/cedselementdetails.aspx?termid=18655")</f>
        <v>https://ceds.ed.gov/cedselementdetails.aspx?termid=18655</v>
      </c>
      <c r="Q2378" s="14" t="str">
        <f>HYPERLINK("https://ceds.ed.gov/elementComment.aspx?elementName=IPEDS Finance FASB Revenue Restriction Category &amp;elementID=18655", "Click here to submit comment")</f>
        <v>Click here to submit comment</v>
      </c>
      <c r="R2378" s="14">
        <v>51964</v>
      </c>
    </row>
    <row r="2379" spans="1:18" ht="270" x14ac:dyDescent="0.25">
      <c r="A2379" s="14" t="s">
        <v>8974</v>
      </c>
      <c r="B2379" s="14" t="s">
        <v>8975</v>
      </c>
      <c r="C2379" s="14" t="s">
        <v>8582</v>
      </c>
      <c r="D2379" s="14" t="s">
        <v>8531</v>
      </c>
      <c r="E2379" s="14" t="s">
        <v>5620</v>
      </c>
      <c r="F2379" s="14" t="s">
        <v>5621</v>
      </c>
      <c r="G2379" s="8" t="s">
        <v>8985</v>
      </c>
      <c r="H2379" s="14"/>
      <c r="I2379" s="14"/>
      <c r="J2379" s="14"/>
      <c r="K2379" s="14"/>
      <c r="L2379" s="14"/>
      <c r="M2379" s="14" t="s">
        <v>5623</v>
      </c>
      <c r="N2379" s="14"/>
      <c r="O2379" s="14" t="s">
        <v>5624</v>
      </c>
      <c r="P2379" s="14" t="str">
        <f>HYPERLINK("https://ceds.ed.gov/cedselementdetails.aspx?termid=18659")</f>
        <v>https://ceds.ed.gov/cedselementdetails.aspx?termid=18659</v>
      </c>
      <c r="Q2379" s="14" t="str">
        <f>HYPERLINK("https://ceds.ed.gov/elementComment.aspx?elementName=IPEDS Finance FASB Scholarships and Fellowships Revenue Category &amp;elementID=18659", "Click here to submit comment")</f>
        <v>Click here to submit comment</v>
      </c>
      <c r="R2379" s="14">
        <v>51965</v>
      </c>
    </row>
    <row r="2380" spans="1:18" ht="409.5" x14ac:dyDescent="0.25">
      <c r="A2380" s="14" t="s">
        <v>8974</v>
      </c>
      <c r="B2380" s="14" t="s">
        <v>8975</v>
      </c>
      <c r="C2380" s="14" t="s">
        <v>8582</v>
      </c>
      <c r="D2380" s="14" t="s">
        <v>8531</v>
      </c>
      <c r="E2380" s="14" t="s">
        <v>5625</v>
      </c>
      <c r="F2380" s="14" t="s">
        <v>5626</v>
      </c>
      <c r="G2380" s="8" t="s">
        <v>8986</v>
      </c>
      <c r="H2380" s="14"/>
      <c r="I2380" s="14"/>
      <c r="J2380" s="14"/>
      <c r="K2380" s="14"/>
      <c r="L2380" s="14"/>
      <c r="M2380" s="14" t="s">
        <v>5628</v>
      </c>
      <c r="N2380" s="14"/>
      <c r="O2380" s="14" t="s">
        <v>5629</v>
      </c>
      <c r="P2380" s="14" t="str">
        <f>HYPERLINK("https://ceds.ed.gov/cedselementdetails.aspx?termid=18651")</f>
        <v>https://ceds.ed.gov/cedselementdetails.aspx?termid=18651</v>
      </c>
      <c r="Q2380" s="14" t="str">
        <f>HYPERLINK("https://ceds.ed.gov/elementComment.aspx?elementName=IPEDS Finance GASB Financial Position Category &amp;elementID=18651", "Click here to submit comment")</f>
        <v>Click here to submit comment</v>
      </c>
      <c r="R2380" s="14">
        <v>51966</v>
      </c>
    </row>
    <row r="2381" spans="1:18" ht="240" x14ac:dyDescent="0.25">
      <c r="A2381" s="14" t="s">
        <v>8974</v>
      </c>
      <c r="B2381" s="14" t="s">
        <v>8975</v>
      </c>
      <c r="C2381" s="14" t="s">
        <v>8582</v>
      </c>
      <c r="D2381" s="14" t="s">
        <v>8531</v>
      </c>
      <c r="E2381" s="14" t="s">
        <v>5630</v>
      </c>
      <c r="F2381" s="14" t="s">
        <v>5631</v>
      </c>
      <c r="G2381" s="8" t="s">
        <v>8987</v>
      </c>
      <c r="H2381" s="14"/>
      <c r="I2381" s="14"/>
      <c r="J2381" s="14"/>
      <c r="K2381" s="14"/>
      <c r="L2381" s="14" t="s">
        <v>5602</v>
      </c>
      <c r="M2381" s="14" t="s">
        <v>5633</v>
      </c>
      <c r="N2381" s="14"/>
      <c r="O2381" s="14" t="s">
        <v>5634</v>
      </c>
      <c r="P2381" s="14" t="str">
        <f>HYPERLINK("https://ceds.ed.gov/cedselementdetails.aspx?termid=18656")</f>
        <v>https://ceds.ed.gov/cedselementdetails.aspx?termid=18656</v>
      </c>
      <c r="Q2381" s="14" t="str">
        <f>HYPERLINK("https://ceds.ed.gov/elementComment.aspx?elementName=IPEDS Finance GASB Functional Expense Category &amp;elementID=18656", "Click here to submit comment")</f>
        <v>Click here to submit comment</v>
      </c>
      <c r="R2381" s="14">
        <v>51967</v>
      </c>
    </row>
    <row r="2382" spans="1:18" ht="409.5" x14ac:dyDescent="0.25">
      <c r="A2382" s="14" t="s">
        <v>8974</v>
      </c>
      <c r="B2382" s="14" t="s">
        <v>8975</v>
      </c>
      <c r="C2382" s="14" t="s">
        <v>8582</v>
      </c>
      <c r="D2382" s="14" t="s">
        <v>8531</v>
      </c>
      <c r="E2382" s="14" t="s">
        <v>5635</v>
      </c>
      <c r="F2382" s="14" t="s">
        <v>5636</v>
      </c>
      <c r="G2382" s="8" t="s">
        <v>8988</v>
      </c>
      <c r="H2382" s="14"/>
      <c r="I2382" s="14"/>
      <c r="J2382" s="14"/>
      <c r="K2382" s="14"/>
      <c r="L2382" s="14"/>
      <c r="M2382" s="14" t="s">
        <v>5638</v>
      </c>
      <c r="N2382" s="14"/>
      <c r="O2382" s="14" t="s">
        <v>5639</v>
      </c>
      <c r="P2382" s="14" t="str">
        <f>HYPERLINK("https://ceds.ed.gov/cedselementdetails.aspx?termid=18653")</f>
        <v>https://ceds.ed.gov/cedselementdetails.aspx?termid=18653</v>
      </c>
      <c r="Q2382" s="14" t="str">
        <f>HYPERLINK("https://ceds.ed.gov/elementComment.aspx?elementName=IPEDS Finance GASB Revenue Category &amp;elementID=18653", "Click here to submit comment")</f>
        <v>Click here to submit comment</v>
      </c>
      <c r="R2382" s="14">
        <v>51968</v>
      </c>
    </row>
    <row r="2383" spans="1:18" ht="315" x14ac:dyDescent="0.25">
      <c r="A2383" s="14" t="s">
        <v>8974</v>
      </c>
      <c r="B2383" s="14" t="s">
        <v>8975</v>
      </c>
      <c r="C2383" s="14" t="s">
        <v>8582</v>
      </c>
      <c r="D2383" s="14" t="s">
        <v>8531</v>
      </c>
      <c r="E2383" s="14" t="s">
        <v>5640</v>
      </c>
      <c r="F2383" s="14" t="s">
        <v>5641</v>
      </c>
      <c r="G2383" s="8" t="s">
        <v>8989</v>
      </c>
      <c r="H2383" s="14"/>
      <c r="I2383" s="14"/>
      <c r="J2383" s="14"/>
      <c r="K2383" s="14"/>
      <c r="L2383" s="14"/>
      <c r="M2383" s="14" t="s">
        <v>5643</v>
      </c>
      <c r="N2383" s="14"/>
      <c r="O2383" s="14" t="s">
        <v>5644</v>
      </c>
      <c r="P2383" s="14" t="str">
        <f>HYPERLINK("https://ceds.ed.gov/cedselementdetails.aspx?termid=18658")</f>
        <v>https://ceds.ed.gov/cedselementdetails.aspx?termid=18658</v>
      </c>
      <c r="Q2383" s="14" t="str">
        <f>HYPERLINK("https://ceds.ed.gov/elementComment.aspx?elementName=IPEDS Finance GASB Scholarships and Fellowships Revenue Category &amp;elementID=18658", "Click here to submit comment")</f>
        <v>Click here to submit comment</v>
      </c>
      <c r="R2383" s="14">
        <v>51969</v>
      </c>
    </row>
    <row r="2384" spans="1:18" ht="120" x14ac:dyDescent="0.25">
      <c r="A2384" s="14" t="s">
        <v>8974</v>
      </c>
      <c r="B2384" s="14" t="s">
        <v>8975</v>
      </c>
      <c r="C2384" s="14" t="s">
        <v>8582</v>
      </c>
      <c r="D2384" s="14" t="s">
        <v>8531</v>
      </c>
      <c r="E2384" s="14" t="s">
        <v>5645</v>
      </c>
      <c r="F2384" s="14" t="s">
        <v>5646</v>
      </c>
      <c r="G2384" s="8" t="s">
        <v>8990</v>
      </c>
      <c r="H2384" s="14"/>
      <c r="I2384" s="14"/>
      <c r="J2384" s="14"/>
      <c r="K2384" s="14"/>
      <c r="L2384" s="14"/>
      <c r="M2384" s="14" t="s">
        <v>5648</v>
      </c>
      <c r="N2384" s="14"/>
      <c r="O2384" s="14" t="s">
        <v>5649</v>
      </c>
      <c r="P2384" s="14" t="str">
        <f>HYPERLINK("https://ceds.ed.gov/cedselementdetails.aspx?termid=18660")</f>
        <v>https://ceds.ed.gov/cedselementdetails.aspx?termid=18660</v>
      </c>
      <c r="Q2384" s="14" t="str">
        <f>HYPERLINK("https://ceds.ed.gov/elementComment.aspx?elementName=IPEDS Finance Intercollegiate Athletics Expenses &amp;elementID=18660", "Click here to submit comment")</f>
        <v>Click here to submit comment</v>
      </c>
      <c r="R2384" s="14">
        <v>51970</v>
      </c>
    </row>
    <row r="2385" spans="1:18" ht="120" x14ac:dyDescent="0.25">
      <c r="A2385" s="14" t="s">
        <v>8974</v>
      </c>
      <c r="B2385" s="14" t="s">
        <v>8975</v>
      </c>
      <c r="C2385" s="14" t="s">
        <v>8582</v>
      </c>
      <c r="D2385" s="14" t="s">
        <v>8531</v>
      </c>
      <c r="E2385" s="14" t="s">
        <v>5650</v>
      </c>
      <c r="F2385" s="14" t="s">
        <v>5651</v>
      </c>
      <c r="G2385" s="8" t="s">
        <v>8991</v>
      </c>
      <c r="H2385" s="14"/>
      <c r="I2385" s="14"/>
      <c r="J2385" s="14"/>
      <c r="K2385" s="14"/>
      <c r="L2385" s="14" t="s">
        <v>5653</v>
      </c>
      <c r="M2385" s="14" t="s">
        <v>5654</v>
      </c>
      <c r="N2385" s="14"/>
      <c r="O2385" s="14" t="s">
        <v>5655</v>
      </c>
      <c r="P2385" s="14" t="str">
        <f>HYPERLINK("https://ceds.ed.gov/cedselementdetails.aspx?termid=18657")</f>
        <v>https://ceds.ed.gov/cedselementdetails.aspx?termid=18657</v>
      </c>
      <c r="Q2385" s="14" t="str">
        <f>HYPERLINK("https://ceds.ed.gov/elementComment.aspx?elementName=IPEDS Finance Natural Expense Category &amp;elementID=18657", "Click here to submit comment")</f>
        <v>Click here to submit comment</v>
      </c>
      <c r="R2385" s="14">
        <v>51971</v>
      </c>
    </row>
    <row r="2386" spans="1:18" ht="75" x14ac:dyDescent="0.25">
      <c r="A2386" s="14" t="s">
        <v>8974</v>
      </c>
      <c r="B2386" s="14" t="s">
        <v>8975</v>
      </c>
      <c r="C2386" s="14" t="s">
        <v>8992</v>
      </c>
      <c r="D2386" s="14" t="s">
        <v>8531</v>
      </c>
      <c r="E2386" s="14" t="s">
        <v>5480</v>
      </c>
      <c r="F2386" s="14" t="s">
        <v>5481</v>
      </c>
      <c r="G2386" s="14" t="s">
        <v>37</v>
      </c>
      <c r="H2386" s="14" t="s">
        <v>225</v>
      </c>
      <c r="I2386" s="14"/>
      <c r="J2386" s="14" t="s">
        <v>3260</v>
      </c>
      <c r="K2386" s="14"/>
      <c r="L2386" s="14"/>
      <c r="M2386" s="14" t="s">
        <v>5482</v>
      </c>
      <c r="N2386" s="14" t="s">
        <v>5483</v>
      </c>
      <c r="O2386" s="14" t="s">
        <v>5484</v>
      </c>
      <c r="P2386" s="14" t="str">
        <f>HYPERLINK("https://ceds.ed.gov/cedselementdetails.aspx?termid=17166")</f>
        <v>https://ceds.ed.gov/cedselementdetails.aspx?termid=17166</v>
      </c>
      <c r="Q2386" s="14" t="str">
        <f>HYPERLINK("https://ceds.ed.gov/elementComment.aspx?elementName=Institution IPEDS UnitID &amp;elementID=17166", "Click here to submit comment")</f>
        <v>Click here to submit comment</v>
      </c>
      <c r="R2386" s="14">
        <v>47806</v>
      </c>
    </row>
    <row r="2387" spans="1:18" ht="90" x14ac:dyDescent="0.25">
      <c r="A2387" s="14" t="s">
        <v>8974</v>
      </c>
      <c r="B2387" s="14" t="s">
        <v>8975</v>
      </c>
      <c r="C2387" s="14" t="s">
        <v>8992</v>
      </c>
      <c r="D2387" s="14" t="s">
        <v>8531</v>
      </c>
      <c r="E2387" s="14" t="s">
        <v>8380</v>
      </c>
      <c r="F2387" s="14" t="s">
        <v>8381</v>
      </c>
      <c r="G2387" s="14" t="s">
        <v>37</v>
      </c>
      <c r="H2387" s="14" t="s">
        <v>1769</v>
      </c>
      <c r="I2387" s="14"/>
      <c r="J2387" s="14" t="s">
        <v>1710</v>
      </c>
      <c r="K2387" s="14"/>
      <c r="L2387" s="14" t="s">
        <v>8382</v>
      </c>
      <c r="M2387" s="14" t="s">
        <v>8383</v>
      </c>
      <c r="N2387" s="14"/>
      <c r="O2387" s="14" t="s">
        <v>8384</v>
      </c>
      <c r="P2387" s="14" t="str">
        <f>HYPERLINK("https://ceds.ed.gov/cedselementdetails.aspx?termid=17723")</f>
        <v>https://ceds.ed.gov/cedselementdetails.aspx?termid=17723</v>
      </c>
      <c r="Q2387" s="14" t="str">
        <f>HYPERLINK("https://ceds.ed.gov/elementComment.aspx?elementName=Tuition - Published &amp;elementID=17723", "Click here to submit comment")</f>
        <v>Click here to submit comment</v>
      </c>
      <c r="R2387" s="14">
        <v>49178</v>
      </c>
    </row>
    <row r="2388" spans="1:18" ht="90" x14ac:dyDescent="0.25">
      <c r="A2388" s="14" t="s">
        <v>8974</v>
      </c>
      <c r="B2388" s="14" t="s">
        <v>8975</v>
      </c>
      <c r="C2388" s="14" t="s">
        <v>8992</v>
      </c>
      <c r="D2388" s="14" t="s">
        <v>8531</v>
      </c>
      <c r="E2388" s="14" t="s">
        <v>8396</v>
      </c>
      <c r="F2388" s="14" t="s">
        <v>8397</v>
      </c>
      <c r="G2388" s="8" t="s">
        <v>8993</v>
      </c>
      <c r="H2388" s="14" t="s">
        <v>1769</v>
      </c>
      <c r="I2388" s="14"/>
      <c r="J2388" s="14"/>
      <c r="K2388" s="14"/>
      <c r="L2388" s="14" t="s">
        <v>432</v>
      </c>
      <c r="M2388" s="14" t="s">
        <v>8399</v>
      </c>
      <c r="N2388" s="14"/>
      <c r="O2388" s="14" t="s">
        <v>8400</v>
      </c>
      <c r="P2388" s="14" t="str">
        <f>HYPERLINK("https://ceds.ed.gov/cedselementdetails.aspx?termid=17725")</f>
        <v>https://ceds.ed.gov/cedselementdetails.aspx?termid=17725</v>
      </c>
      <c r="Q2388" s="14" t="str">
        <f>HYPERLINK("https://ceds.ed.gov/elementComment.aspx?elementName=Tuition Unit &amp;elementID=17725", "Click here to submit comment")</f>
        <v>Click here to submit comment</v>
      </c>
      <c r="R2388" s="14">
        <v>49179</v>
      </c>
    </row>
    <row r="2389" spans="1:18" ht="45" x14ac:dyDescent="0.25">
      <c r="A2389" s="14" t="s">
        <v>8974</v>
      </c>
      <c r="B2389" s="14" t="s">
        <v>8975</v>
      </c>
      <c r="C2389" s="14" t="s">
        <v>8992</v>
      </c>
      <c r="D2389" s="14" t="s">
        <v>8531</v>
      </c>
      <c r="E2389" s="14" t="s">
        <v>1765</v>
      </c>
      <c r="F2389" s="14" t="s">
        <v>1766</v>
      </c>
      <c r="G2389" s="14" t="s">
        <v>37</v>
      </c>
      <c r="H2389" s="14" t="s">
        <v>1769</v>
      </c>
      <c r="I2389" s="14"/>
      <c r="J2389" s="14" t="s">
        <v>1710</v>
      </c>
      <c r="K2389" s="14"/>
      <c r="L2389" s="14" t="s">
        <v>432</v>
      </c>
      <c r="M2389" s="14" t="s">
        <v>1767</v>
      </c>
      <c r="N2389" s="14"/>
      <c r="O2389" s="14" t="s">
        <v>1768</v>
      </c>
      <c r="P2389" s="14" t="str">
        <f>HYPERLINK("https://ceds.ed.gov/cedselementdetails.aspx?termid=17729")</f>
        <v>https://ceds.ed.gov/cedselementdetails.aspx?termid=17729</v>
      </c>
      <c r="Q2389" s="14" t="str">
        <f>HYPERLINK("https://ceds.ed.gov/elementComment.aspx?elementName=Board Charges &amp;elementID=17729", "Click here to submit comment")</f>
        <v>Click here to submit comment</v>
      </c>
      <c r="R2389" s="14">
        <v>49183</v>
      </c>
    </row>
    <row r="2390" spans="1:18" ht="60" x14ac:dyDescent="0.25">
      <c r="A2390" s="14" t="s">
        <v>8974</v>
      </c>
      <c r="B2390" s="14" t="s">
        <v>8975</v>
      </c>
      <c r="C2390" s="14" t="s">
        <v>8992</v>
      </c>
      <c r="D2390" s="14" t="s">
        <v>8531</v>
      </c>
      <c r="E2390" s="14" t="s">
        <v>7432</v>
      </c>
      <c r="F2390" s="14" t="s">
        <v>7433</v>
      </c>
      <c r="G2390" s="14" t="s">
        <v>37</v>
      </c>
      <c r="H2390" s="14" t="s">
        <v>1769</v>
      </c>
      <c r="I2390" s="14"/>
      <c r="J2390" s="14" t="s">
        <v>1710</v>
      </c>
      <c r="K2390" s="14"/>
      <c r="L2390" s="14" t="s">
        <v>432</v>
      </c>
      <c r="M2390" s="14" t="s">
        <v>7434</v>
      </c>
      <c r="N2390" s="14"/>
      <c r="O2390" s="14" t="s">
        <v>7435</v>
      </c>
      <c r="P2390" s="14" t="str">
        <f>HYPERLINK("https://ceds.ed.gov/cedselementdetails.aspx?termid=17728")</f>
        <v>https://ceds.ed.gov/cedselementdetails.aspx?termid=17728</v>
      </c>
      <c r="Q2390" s="14" t="str">
        <f>HYPERLINK("https://ceds.ed.gov/elementComment.aspx?elementName=Room Charges &amp;elementID=17728", "Click here to submit comment")</f>
        <v>Click here to submit comment</v>
      </c>
      <c r="R2390" s="14">
        <v>49182</v>
      </c>
    </row>
    <row r="2391" spans="1:18" ht="120" x14ac:dyDescent="0.25">
      <c r="A2391" s="14" t="s">
        <v>8974</v>
      </c>
      <c r="B2391" s="14" t="s">
        <v>8975</v>
      </c>
      <c r="C2391" s="14" t="s">
        <v>8992</v>
      </c>
      <c r="D2391" s="14" t="s">
        <v>8531</v>
      </c>
      <c r="E2391" s="14" t="s">
        <v>1770</v>
      </c>
      <c r="F2391" s="14" t="s">
        <v>1771</v>
      </c>
      <c r="G2391" s="14" t="s">
        <v>37</v>
      </c>
      <c r="H2391" s="14" t="s">
        <v>1769</v>
      </c>
      <c r="I2391" s="14"/>
      <c r="J2391" s="14" t="s">
        <v>1710</v>
      </c>
      <c r="K2391" s="14"/>
      <c r="L2391" s="14" t="s">
        <v>432</v>
      </c>
      <c r="M2391" s="14" t="s">
        <v>1772</v>
      </c>
      <c r="N2391" s="14"/>
      <c r="O2391" s="14" t="s">
        <v>1773</v>
      </c>
      <c r="P2391" s="14" t="str">
        <f>HYPERLINK("https://ceds.ed.gov/cedselementdetails.aspx?termid=17730")</f>
        <v>https://ceds.ed.gov/cedselementdetails.aspx?termid=17730</v>
      </c>
      <c r="Q2391" s="14" t="str">
        <f>HYPERLINK("https://ceds.ed.gov/elementComment.aspx?elementName=Books and Supplies Costs &amp;elementID=17730", "Click here to submit comment")</f>
        <v>Click here to submit comment</v>
      </c>
      <c r="R2391" s="14">
        <v>49184</v>
      </c>
    </row>
    <row r="2392" spans="1:18" ht="75" x14ac:dyDescent="0.25">
      <c r="A2392" s="14" t="s">
        <v>8974</v>
      </c>
      <c r="B2392" s="14" t="s">
        <v>8975</v>
      </c>
      <c r="C2392" s="14" t="s">
        <v>8992</v>
      </c>
      <c r="D2392" s="14" t="s">
        <v>8531</v>
      </c>
      <c r="E2392" s="14" t="s">
        <v>7392</v>
      </c>
      <c r="F2392" s="14" t="s">
        <v>7393</v>
      </c>
      <c r="G2392" s="14" t="s">
        <v>37</v>
      </c>
      <c r="H2392" s="14" t="s">
        <v>1769</v>
      </c>
      <c r="I2392" s="14"/>
      <c r="J2392" s="14" t="s">
        <v>1710</v>
      </c>
      <c r="K2392" s="14"/>
      <c r="L2392" s="14" t="s">
        <v>432</v>
      </c>
      <c r="M2392" s="14" t="s">
        <v>7394</v>
      </c>
      <c r="N2392" s="14"/>
      <c r="O2392" s="14" t="s">
        <v>7395</v>
      </c>
      <c r="P2392" s="14" t="str">
        <f>HYPERLINK("https://ceds.ed.gov/cedselementdetails.aspx?termid=17726")</f>
        <v>https://ceds.ed.gov/cedselementdetails.aspx?termid=17726</v>
      </c>
      <c r="Q2392" s="14" t="str">
        <f>HYPERLINK("https://ceds.ed.gov/elementComment.aspx?elementName=Required Student Fees &amp;elementID=17726", "Click here to submit comment")</f>
        <v>Click here to submit comment</v>
      </c>
      <c r="R2392" s="14">
        <v>49180</v>
      </c>
    </row>
    <row r="2393" spans="1:18" ht="90" x14ac:dyDescent="0.25">
      <c r="A2393" s="14" t="s">
        <v>8974</v>
      </c>
      <c r="B2393" s="14" t="s">
        <v>8975</v>
      </c>
      <c r="C2393" s="14" t="s">
        <v>8992</v>
      </c>
      <c r="D2393" s="14" t="s">
        <v>8531</v>
      </c>
      <c r="E2393" s="14" t="s">
        <v>2766</v>
      </c>
      <c r="F2393" s="14" t="s">
        <v>2767</v>
      </c>
      <c r="G2393" s="14" t="s">
        <v>37</v>
      </c>
      <c r="H2393" s="14" t="s">
        <v>1769</v>
      </c>
      <c r="I2393" s="14"/>
      <c r="J2393" s="14" t="s">
        <v>1710</v>
      </c>
      <c r="K2393" s="14"/>
      <c r="L2393" s="14" t="s">
        <v>432</v>
      </c>
      <c r="M2393" s="14" t="s">
        <v>2768</v>
      </c>
      <c r="N2393" s="14"/>
      <c r="O2393" s="14" t="s">
        <v>2769</v>
      </c>
      <c r="P2393" s="14" t="str">
        <f>HYPERLINK("https://ceds.ed.gov/cedselementdetails.aspx?termid=17733")</f>
        <v>https://ceds.ed.gov/cedselementdetails.aspx?termid=17733</v>
      </c>
      <c r="Q2393" s="14" t="str">
        <f>HYPERLINK("https://ceds.ed.gov/elementComment.aspx?elementName=Comprehensive Fee &amp;elementID=17733", "Click here to submit comment")</f>
        <v>Click here to submit comment</v>
      </c>
      <c r="R2393" s="14">
        <v>49187</v>
      </c>
    </row>
    <row r="2394" spans="1:18" ht="75" x14ac:dyDescent="0.25">
      <c r="A2394" s="14" t="s">
        <v>8974</v>
      </c>
      <c r="B2394" s="14" t="s">
        <v>8975</v>
      </c>
      <c r="C2394" s="14" t="s">
        <v>8992</v>
      </c>
      <c r="D2394" s="14" t="s">
        <v>8531</v>
      </c>
      <c r="E2394" s="14" t="s">
        <v>6619</v>
      </c>
      <c r="F2394" s="14" t="s">
        <v>6620</v>
      </c>
      <c r="G2394" s="14" t="s">
        <v>37</v>
      </c>
      <c r="H2394" s="14" t="s">
        <v>1769</v>
      </c>
      <c r="I2394" s="14"/>
      <c r="J2394" s="14" t="s">
        <v>1710</v>
      </c>
      <c r="K2394" s="14"/>
      <c r="L2394" s="14" t="s">
        <v>432</v>
      </c>
      <c r="M2394" s="14" t="s">
        <v>6621</v>
      </c>
      <c r="N2394" s="14"/>
      <c r="O2394" s="14" t="s">
        <v>6622</v>
      </c>
      <c r="P2394" s="14" t="str">
        <f>HYPERLINK("https://ceds.ed.gov/cedselementdetails.aspx?termid=17731")</f>
        <v>https://ceds.ed.gov/cedselementdetails.aspx?termid=17731</v>
      </c>
      <c r="Q2394" s="14" t="str">
        <f>HYPERLINK("https://ceds.ed.gov/elementComment.aspx?elementName=Other Student Expenses &amp;elementID=17731", "Click here to submit comment")</f>
        <v>Click here to submit comment</v>
      </c>
      <c r="R2394" s="14">
        <v>49185</v>
      </c>
    </row>
    <row r="2395" spans="1:18" ht="180" x14ac:dyDescent="0.25">
      <c r="A2395" s="14" t="s">
        <v>8974</v>
      </c>
      <c r="B2395" s="14" t="s">
        <v>8975</v>
      </c>
      <c r="C2395" s="14" t="s">
        <v>8992</v>
      </c>
      <c r="D2395" s="14" t="s">
        <v>8531</v>
      </c>
      <c r="E2395" s="14" t="s">
        <v>6845</v>
      </c>
      <c r="F2395" s="14" t="s">
        <v>6846</v>
      </c>
      <c r="G2395" s="14" t="s">
        <v>37</v>
      </c>
      <c r="H2395" s="14" t="s">
        <v>1769</v>
      </c>
      <c r="I2395" s="14"/>
      <c r="J2395" s="14" t="s">
        <v>1710</v>
      </c>
      <c r="K2395" s="14"/>
      <c r="L2395" s="14" t="s">
        <v>432</v>
      </c>
      <c r="M2395" s="14" t="s">
        <v>6847</v>
      </c>
      <c r="N2395" s="14"/>
      <c r="O2395" s="14" t="s">
        <v>6848</v>
      </c>
      <c r="P2395" s="14" t="str">
        <f>HYPERLINK("https://ceds.ed.gov/cedselementdetails.aspx?termid=17732")</f>
        <v>https://ceds.ed.gov/cedselementdetails.aspx?termid=17732</v>
      </c>
      <c r="Q2395" s="14" t="str">
        <f>HYPERLINK("https://ceds.ed.gov/elementComment.aspx?elementName=Price of Attendance &amp;elementID=17732", "Click here to submit comment")</f>
        <v>Click here to submit comment</v>
      </c>
      <c r="R2395" s="14">
        <v>49186</v>
      </c>
    </row>
    <row r="2396" spans="1:18" ht="105" x14ac:dyDescent="0.25">
      <c r="A2396" s="14" t="s">
        <v>8974</v>
      </c>
      <c r="B2396" s="14" t="s">
        <v>8975</v>
      </c>
      <c r="C2396" s="14" t="s">
        <v>8992</v>
      </c>
      <c r="D2396" s="14" t="s">
        <v>8531</v>
      </c>
      <c r="E2396" s="14" t="s">
        <v>5491</v>
      </c>
      <c r="F2396" s="14" t="s">
        <v>5492</v>
      </c>
      <c r="G2396" s="14" t="s">
        <v>24</v>
      </c>
      <c r="H2396" s="14" t="s">
        <v>1769</v>
      </c>
      <c r="I2396" s="14"/>
      <c r="J2396" s="14"/>
      <c r="K2396" s="14"/>
      <c r="L2396" s="14" t="s">
        <v>432</v>
      </c>
      <c r="M2396" s="14" t="s">
        <v>5493</v>
      </c>
      <c r="N2396" s="14"/>
      <c r="O2396" s="14" t="s">
        <v>5494</v>
      </c>
      <c r="P2396" s="14" t="str">
        <f>HYPERLINK("https://ceds.ed.gov/cedselementdetails.aspx?termid=17727")</f>
        <v>https://ceds.ed.gov/cedselementdetails.aspx?termid=17727</v>
      </c>
      <c r="Q2396" s="14" t="str">
        <f>HYPERLINK("https://ceds.ed.gov/elementComment.aspx?elementName=Institutionally Controlled Housing Status &amp;elementID=17727", "Click here to submit comment")</f>
        <v>Click here to submit comment</v>
      </c>
      <c r="R2396" s="14">
        <v>49181</v>
      </c>
    </row>
    <row r="2397" spans="1:18" ht="90" x14ac:dyDescent="0.25">
      <c r="A2397" s="14" t="s">
        <v>8974</v>
      </c>
      <c r="B2397" s="14" t="s">
        <v>8975</v>
      </c>
      <c r="C2397" s="14" t="s">
        <v>8992</v>
      </c>
      <c r="D2397" s="14" t="s">
        <v>8531</v>
      </c>
      <c r="E2397" s="14" t="s">
        <v>272</v>
      </c>
      <c r="F2397" s="14" t="s">
        <v>273</v>
      </c>
      <c r="G2397" s="8" t="s">
        <v>8994</v>
      </c>
      <c r="H2397" s="14" t="s">
        <v>278</v>
      </c>
      <c r="I2397" s="14"/>
      <c r="J2397" s="14"/>
      <c r="K2397" s="14"/>
      <c r="L2397" s="14"/>
      <c r="M2397" s="14" t="s">
        <v>276</v>
      </c>
      <c r="N2397" s="14"/>
      <c r="O2397" s="14" t="s">
        <v>277</v>
      </c>
      <c r="P2397" s="14" t="str">
        <f>HYPERLINK("https://ceds.ed.gov/cedselementdetails.aspx?termid=18558")</f>
        <v>https://ceds.ed.gov/cedselementdetails.aspx?termid=18558</v>
      </c>
      <c r="Q2397" s="14" t="str">
        <f>HYPERLINK("https://ceds.ed.gov/elementComment.aspx?elementName=Admission Consideration Level &amp;elementID=18558", "Click here to submit comment")</f>
        <v>Click here to submit comment</v>
      </c>
      <c r="R2397" s="14">
        <v>51034</v>
      </c>
    </row>
    <row r="2398" spans="1:18" ht="345" x14ac:dyDescent="0.25">
      <c r="A2398" s="14" t="s">
        <v>8974</v>
      </c>
      <c r="B2398" s="14" t="s">
        <v>8975</v>
      </c>
      <c r="C2398" s="14" t="s">
        <v>8992</v>
      </c>
      <c r="D2398" s="14" t="s">
        <v>8531</v>
      </c>
      <c r="E2398" s="14" t="s">
        <v>279</v>
      </c>
      <c r="F2398" s="14" t="s">
        <v>280</v>
      </c>
      <c r="G2398" s="8" t="s">
        <v>8995</v>
      </c>
      <c r="H2398" s="14" t="s">
        <v>278</v>
      </c>
      <c r="I2398" s="14"/>
      <c r="J2398" s="14"/>
      <c r="K2398" s="14"/>
      <c r="L2398" s="14"/>
      <c r="M2398" s="14" t="s">
        <v>282</v>
      </c>
      <c r="N2398" s="14"/>
      <c r="O2398" s="14" t="s">
        <v>283</v>
      </c>
      <c r="P2398" s="14" t="str">
        <f>HYPERLINK("https://ceds.ed.gov/cedselementdetails.aspx?termid=18559")</f>
        <v>https://ceds.ed.gov/cedselementdetails.aspx?termid=18559</v>
      </c>
      <c r="Q2398" s="14" t="str">
        <f>HYPERLINK("https://ceds.ed.gov/elementComment.aspx?elementName=Admission Consideration Type &amp;elementID=18559", "Click here to submit comment")</f>
        <v>Click here to submit comment</v>
      </c>
      <c r="R2398" s="14">
        <v>51035</v>
      </c>
    </row>
    <row r="2399" spans="1:18" ht="150" x14ac:dyDescent="0.25">
      <c r="A2399" s="14" t="s">
        <v>8974</v>
      </c>
      <c r="B2399" s="14" t="s">
        <v>8975</v>
      </c>
      <c r="C2399" s="14" t="s">
        <v>8992</v>
      </c>
      <c r="D2399" s="14" t="s">
        <v>8531</v>
      </c>
      <c r="E2399" s="14" t="s">
        <v>5589</v>
      </c>
      <c r="F2399" s="14" t="s">
        <v>5590</v>
      </c>
      <c r="G2399" s="14" t="s">
        <v>37</v>
      </c>
      <c r="H2399" s="14" t="s">
        <v>278</v>
      </c>
      <c r="I2399" s="14"/>
      <c r="J2399" s="14" t="s">
        <v>91</v>
      </c>
      <c r="K2399" s="14"/>
      <c r="L2399" s="14"/>
      <c r="M2399" s="14" t="s">
        <v>5591</v>
      </c>
      <c r="N2399" s="14"/>
      <c r="O2399" s="14" t="s">
        <v>5592</v>
      </c>
      <c r="P2399" s="14" t="str">
        <f>HYPERLINK("https://ceds.ed.gov/cedselementdetails.aspx?termid=18592")</f>
        <v>https://ceds.ed.gov/cedselementdetails.aspx?termid=18592</v>
      </c>
      <c r="Q2399" s="14" t="str">
        <f>HYPERLINK("https://ceds.ed.gov/elementComment.aspx?elementName=IPEDS Collection Year Designator &amp;elementID=18592", "Click here to submit comment")</f>
        <v>Click here to submit comment</v>
      </c>
      <c r="R2399" s="14">
        <v>51086</v>
      </c>
    </row>
    <row r="2400" spans="1:18" ht="105" x14ac:dyDescent="0.25">
      <c r="A2400" s="16" t="s">
        <v>8974</v>
      </c>
      <c r="B2400" s="16" t="s">
        <v>8975</v>
      </c>
      <c r="C2400" s="16" t="s">
        <v>8668</v>
      </c>
      <c r="D2400" s="16" t="s">
        <v>8531</v>
      </c>
      <c r="E2400" s="16" t="s">
        <v>7098</v>
      </c>
      <c r="F2400" s="16" t="s">
        <v>7099</v>
      </c>
      <c r="G2400" s="16" t="s">
        <v>37</v>
      </c>
      <c r="H2400" s="16" t="s">
        <v>2944</v>
      </c>
      <c r="I2400" s="16"/>
      <c r="J2400" s="16" t="s">
        <v>149</v>
      </c>
      <c r="K2400" s="16"/>
      <c r="L2400" s="14" t="s">
        <v>150</v>
      </c>
      <c r="M2400" s="16" t="s">
        <v>7101</v>
      </c>
      <c r="N2400" s="16"/>
      <c r="O2400" s="16" t="s">
        <v>7102</v>
      </c>
      <c r="P2400" s="16" t="str">
        <f>HYPERLINK("https://ceds.ed.gov/cedselementdetails.aspx?termid=17618")</f>
        <v>https://ceds.ed.gov/cedselementdetails.aspx?termid=17618</v>
      </c>
      <c r="Q2400" s="16" t="str">
        <f>HYPERLINK("https://ceds.ed.gov/elementComment.aspx?elementName=Program Identifier &amp;elementID=17618", "Click here to submit comment")</f>
        <v>Click here to submit comment</v>
      </c>
      <c r="R2400" s="16">
        <v>51007</v>
      </c>
    </row>
    <row r="2401" spans="1:18" x14ac:dyDescent="0.25">
      <c r="A2401" s="16"/>
      <c r="B2401" s="16"/>
      <c r="C2401" s="16"/>
      <c r="D2401" s="16"/>
      <c r="E2401" s="16"/>
      <c r="F2401" s="16"/>
      <c r="G2401" s="16"/>
      <c r="H2401" s="16"/>
      <c r="I2401" s="16"/>
      <c r="J2401" s="16"/>
      <c r="K2401" s="16"/>
      <c r="L2401" s="14"/>
      <c r="M2401" s="16"/>
      <c r="N2401" s="16"/>
      <c r="O2401" s="16"/>
      <c r="P2401" s="16"/>
      <c r="Q2401" s="16"/>
      <c r="R2401" s="16"/>
    </row>
    <row r="2402" spans="1:18" ht="90" x14ac:dyDescent="0.25">
      <c r="A2402" s="16"/>
      <c r="B2402" s="16"/>
      <c r="C2402" s="16"/>
      <c r="D2402" s="16"/>
      <c r="E2402" s="16"/>
      <c r="F2402" s="16"/>
      <c r="G2402" s="16"/>
      <c r="H2402" s="16"/>
      <c r="I2402" s="16"/>
      <c r="J2402" s="16"/>
      <c r="K2402" s="16"/>
      <c r="L2402" s="14" t="s">
        <v>153</v>
      </c>
      <c r="M2402" s="16"/>
      <c r="N2402" s="16"/>
      <c r="O2402" s="16"/>
      <c r="P2402" s="16"/>
      <c r="Q2402" s="16"/>
      <c r="R2402" s="16"/>
    </row>
    <row r="2403" spans="1:18" ht="60" x14ac:dyDescent="0.25">
      <c r="A2403" s="14" t="s">
        <v>8974</v>
      </c>
      <c r="B2403" s="14" t="s">
        <v>8975</v>
      </c>
      <c r="C2403" s="14" t="s">
        <v>8668</v>
      </c>
      <c r="D2403" s="14" t="s">
        <v>8531</v>
      </c>
      <c r="E2403" s="14" t="s">
        <v>7115</v>
      </c>
      <c r="F2403" s="14" t="s">
        <v>7116</v>
      </c>
      <c r="G2403" s="14" t="s">
        <v>37</v>
      </c>
      <c r="H2403" s="14" t="s">
        <v>2944</v>
      </c>
      <c r="I2403" s="14"/>
      <c r="J2403" s="14" t="s">
        <v>175</v>
      </c>
      <c r="K2403" s="14"/>
      <c r="L2403" s="14"/>
      <c r="M2403" s="14" t="s">
        <v>7118</v>
      </c>
      <c r="N2403" s="14"/>
      <c r="O2403" s="14" t="s">
        <v>7119</v>
      </c>
      <c r="P2403" s="14" t="str">
        <f>HYPERLINK("https://ceds.ed.gov/cedselementdetails.aspx?termid=17619")</f>
        <v>https://ceds.ed.gov/cedselementdetails.aspx?termid=17619</v>
      </c>
      <c r="Q2403" s="14" t="str">
        <f>HYPERLINK("https://ceds.ed.gov/elementComment.aspx?elementName=Program Name &amp;elementID=17619", "Click here to submit comment")</f>
        <v>Click here to submit comment</v>
      </c>
      <c r="R2403" s="14">
        <v>51013</v>
      </c>
    </row>
    <row r="2404" spans="1:18" ht="75" x14ac:dyDescent="0.25">
      <c r="A2404" s="14" t="s">
        <v>8974</v>
      </c>
      <c r="B2404" s="14" t="s">
        <v>8975</v>
      </c>
      <c r="C2404" s="14" t="s">
        <v>8668</v>
      </c>
      <c r="D2404" s="14" t="s">
        <v>8531</v>
      </c>
      <c r="E2404" s="14" t="s">
        <v>7107</v>
      </c>
      <c r="F2404" s="14" t="s">
        <v>7108</v>
      </c>
      <c r="G2404" s="14" t="s">
        <v>37</v>
      </c>
      <c r="H2404" s="14" t="s">
        <v>278</v>
      </c>
      <c r="I2404" s="14"/>
      <c r="J2404" s="14" t="s">
        <v>1710</v>
      </c>
      <c r="K2404" s="14"/>
      <c r="L2404" s="14"/>
      <c r="M2404" s="14" t="s">
        <v>7109</v>
      </c>
      <c r="N2404" s="14"/>
      <c r="O2404" s="14" t="s">
        <v>7110</v>
      </c>
      <c r="P2404" s="14" t="str">
        <f>HYPERLINK("https://ceds.ed.gov/cedselementdetails.aspx?termid=17223")</f>
        <v>https://ceds.ed.gov/cedselementdetails.aspx?termid=17223</v>
      </c>
      <c r="Q2404" s="14" t="str">
        <f>HYPERLINK("https://ceds.ed.gov/elementComment.aspx?elementName=Program Length Hours &amp;elementID=17223", "Click here to submit comment")</f>
        <v>Click here to submit comment</v>
      </c>
      <c r="R2404" s="14">
        <v>50988</v>
      </c>
    </row>
    <row r="2405" spans="1:18" ht="45" x14ac:dyDescent="0.25">
      <c r="A2405" s="14" t="s">
        <v>8974</v>
      </c>
      <c r="B2405" s="14" t="s">
        <v>8975</v>
      </c>
      <c r="C2405" s="14" t="s">
        <v>8668</v>
      </c>
      <c r="D2405" s="14" t="s">
        <v>8531</v>
      </c>
      <c r="E2405" s="14" t="s">
        <v>7111</v>
      </c>
      <c r="F2405" s="14" t="s">
        <v>7112</v>
      </c>
      <c r="G2405" s="8" t="s">
        <v>8996</v>
      </c>
      <c r="H2405" s="14" t="s">
        <v>278</v>
      </c>
      <c r="I2405" s="14"/>
      <c r="J2405" s="14"/>
      <c r="K2405" s="14"/>
      <c r="L2405" s="14"/>
      <c r="M2405" s="14" t="s">
        <v>7113</v>
      </c>
      <c r="N2405" s="14"/>
      <c r="O2405" s="14" t="s">
        <v>7114</v>
      </c>
      <c r="P2405" s="14" t="str">
        <f>HYPERLINK("https://ceds.ed.gov/cedselementdetails.aspx?termid=17224")</f>
        <v>https://ceds.ed.gov/cedselementdetails.aspx?termid=17224</v>
      </c>
      <c r="Q2405" s="14" t="str">
        <f>HYPERLINK("https://ceds.ed.gov/elementComment.aspx?elementName=Program Length Hours Type &amp;elementID=17224", "Click here to submit comment")</f>
        <v>Click here to submit comment</v>
      </c>
      <c r="R2405" s="14">
        <v>50990</v>
      </c>
    </row>
    <row r="2406" spans="1:18" ht="75" x14ac:dyDescent="0.25">
      <c r="A2406" s="14" t="s">
        <v>8974</v>
      </c>
      <c r="B2406" s="14" t="s">
        <v>8975</v>
      </c>
      <c r="C2406" s="14" t="s">
        <v>8668</v>
      </c>
      <c r="D2406" s="14" t="s">
        <v>8531</v>
      </c>
      <c r="E2406" s="14" t="s">
        <v>2365</v>
      </c>
      <c r="F2406" s="14" t="s">
        <v>2366</v>
      </c>
      <c r="G2406" s="14" t="s">
        <v>8526</v>
      </c>
      <c r="H2406" s="14" t="s">
        <v>48</v>
      </c>
      <c r="I2406" s="14"/>
      <c r="J2406" s="14"/>
      <c r="K2406" s="14"/>
      <c r="L2406" s="14"/>
      <c r="M2406" s="14" t="s">
        <v>2368</v>
      </c>
      <c r="N2406" s="14" t="s">
        <v>2369</v>
      </c>
      <c r="O2406" s="14" t="s">
        <v>2370</v>
      </c>
      <c r="P2406" s="14" t="str">
        <f>HYPERLINK("https://ceds.ed.gov/cedselementdetails.aspx?termid=17043")</f>
        <v>https://ceds.ed.gov/cedselementdetails.aspx?termid=17043</v>
      </c>
      <c r="Q2406" s="14" t="str">
        <f>HYPERLINK("https://ceds.ed.gov/elementComment.aspx?elementName=Classification of Instructional Program Code &amp;elementID=17043", "Click here to submit comment")</f>
        <v>Click here to submit comment</v>
      </c>
      <c r="R2406" s="14">
        <v>50951</v>
      </c>
    </row>
    <row r="2407" spans="1:18" ht="135" x14ac:dyDescent="0.25">
      <c r="A2407" s="14" t="s">
        <v>8974</v>
      </c>
      <c r="B2407" s="14" t="s">
        <v>8975</v>
      </c>
      <c r="C2407" s="14" t="s">
        <v>8668</v>
      </c>
      <c r="D2407" s="14" t="s">
        <v>8531</v>
      </c>
      <c r="E2407" s="14" t="s">
        <v>2371</v>
      </c>
      <c r="F2407" s="14" t="s">
        <v>2372</v>
      </c>
      <c r="G2407" s="8" t="s">
        <v>8997</v>
      </c>
      <c r="H2407" s="14" t="s">
        <v>225</v>
      </c>
      <c r="I2407" s="14"/>
      <c r="J2407" s="14"/>
      <c r="K2407" s="14"/>
      <c r="L2407" s="14"/>
      <c r="M2407" s="14" t="s">
        <v>2375</v>
      </c>
      <c r="N2407" s="14" t="s">
        <v>2376</v>
      </c>
      <c r="O2407" s="14" t="s">
        <v>2377</v>
      </c>
      <c r="P2407" s="14" t="str">
        <f>HYPERLINK("https://ceds.ed.gov/cedselementdetails.aspx?termid=17044")</f>
        <v>https://ceds.ed.gov/cedselementdetails.aspx?termid=17044</v>
      </c>
      <c r="Q2407" s="14" t="str">
        <f>HYPERLINK("https://ceds.ed.gov/elementComment.aspx?elementName=Classification of Instructional Program Use &amp;elementID=17044", "Click here to submit comment")</f>
        <v>Click here to submit comment</v>
      </c>
      <c r="R2407" s="14">
        <v>50958</v>
      </c>
    </row>
    <row r="2408" spans="1:18" ht="90" x14ac:dyDescent="0.25">
      <c r="A2408" s="14" t="s">
        <v>8974</v>
      </c>
      <c r="B2408" s="14" t="s">
        <v>8975</v>
      </c>
      <c r="C2408" s="14" t="s">
        <v>8668</v>
      </c>
      <c r="D2408" s="14" t="s">
        <v>8531</v>
      </c>
      <c r="E2408" s="14" t="s">
        <v>2378</v>
      </c>
      <c r="F2408" s="14" t="s">
        <v>2379</v>
      </c>
      <c r="G2408" s="8" t="s">
        <v>8998</v>
      </c>
      <c r="H2408" s="14" t="s">
        <v>225</v>
      </c>
      <c r="I2408" s="14"/>
      <c r="J2408" s="14"/>
      <c r="K2408" s="14"/>
      <c r="L2408" s="14"/>
      <c r="M2408" s="14" t="s">
        <v>2382</v>
      </c>
      <c r="N2408" s="14" t="s">
        <v>2383</v>
      </c>
      <c r="O2408" s="14" t="s">
        <v>2384</v>
      </c>
      <c r="P2408" s="14" t="str">
        <f>HYPERLINK("https://ceds.ed.gov/cedselementdetails.aspx?termid=17045")</f>
        <v>https://ceds.ed.gov/cedselementdetails.aspx?termid=17045</v>
      </c>
      <c r="Q2408" s="14" t="str">
        <f>HYPERLINK("https://ceds.ed.gov/elementComment.aspx?elementName=Classification of Instructional Program Version &amp;elementID=17045", "Click here to submit comment")</f>
        <v>Click here to submit comment</v>
      </c>
      <c r="R2408" s="14">
        <v>50959</v>
      </c>
    </row>
    <row r="2409" spans="1:18" ht="180" x14ac:dyDescent="0.25">
      <c r="A2409" s="14" t="s">
        <v>8974</v>
      </c>
      <c r="B2409" s="14" t="s">
        <v>8975</v>
      </c>
      <c r="C2409" s="14" t="s">
        <v>8668</v>
      </c>
      <c r="D2409" s="14" t="s">
        <v>8531</v>
      </c>
      <c r="E2409" s="14" t="s">
        <v>3646</v>
      </c>
      <c r="F2409" s="14" t="s">
        <v>3647</v>
      </c>
      <c r="G2409" s="14" t="s">
        <v>24</v>
      </c>
      <c r="H2409" s="14"/>
      <c r="I2409" s="14"/>
      <c r="J2409" s="14"/>
      <c r="K2409" s="14"/>
      <c r="L2409" s="14" t="s">
        <v>3642</v>
      </c>
      <c r="M2409" s="14" t="s">
        <v>3649</v>
      </c>
      <c r="N2409" s="14"/>
      <c r="O2409" s="14" t="s">
        <v>3650</v>
      </c>
      <c r="P2409" s="14" t="str">
        <f>HYPERLINK("https://ceds.ed.gov/cedselementdetails.aspx?termid=18289")</f>
        <v>https://ceds.ed.gov/cedselementdetails.aspx?termid=18289</v>
      </c>
      <c r="Q2409" s="14" t="str">
        <f>HYPERLINK("https://ceds.ed.gov/elementComment.aspx?elementName=Distance Education Program Enrollment Indicator &amp;elementID=18289", "Click here to submit comment")</f>
        <v>Click here to submit comment</v>
      </c>
      <c r="R2409" s="14">
        <v>51032</v>
      </c>
    </row>
    <row r="2410" spans="1:18" ht="210" x14ac:dyDescent="0.25">
      <c r="A2410" s="14" t="s">
        <v>8974</v>
      </c>
      <c r="B2410" s="14" t="s">
        <v>8975</v>
      </c>
      <c r="C2410" s="14" t="s">
        <v>8668</v>
      </c>
      <c r="D2410" s="14" t="s">
        <v>8531</v>
      </c>
      <c r="E2410" s="14" t="s">
        <v>6418</v>
      </c>
      <c r="F2410" s="14" t="s">
        <v>6419</v>
      </c>
      <c r="G2410" s="14" t="s">
        <v>37</v>
      </c>
      <c r="H2410" s="14" t="s">
        <v>225</v>
      </c>
      <c r="I2410" s="14"/>
      <c r="J2410" s="14" t="s">
        <v>175</v>
      </c>
      <c r="K2410" s="14"/>
      <c r="L2410" s="14"/>
      <c r="M2410" s="14" t="s">
        <v>6420</v>
      </c>
      <c r="N2410" s="14"/>
      <c r="O2410" s="14" t="s">
        <v>6421</v>
      </c>
      <c r="P2410" s="14" t="str">
        <f>HYPERLINK("https://ceds.ed.gov/cedselementdetails.aspx?termid=17197")</f>
        <v>https://ceds.ed.gov/cedselementdetails.aspx?termid=17197</v>
      </c>
      <c r="Q2410" s="14" t="str">
        <f>HYPERLINK("https://ceds.ed.gov/elementComment.aspx?elementName=Normal Length of Time for Completion &amp;elementID=17197", "Click here to submit comment")</f>
        <v>Click here to submit comment</v>
      </c>
      <c r="R2410" s="14">
        <v>50978</v>
      </c>
    </row>
    <row r="2411" spans="1:18" ht="90" x14ac:dyDescent="0.25">
      <c r="A2411" s="14" t="s">
        <v>8974</v>
      </c>
      <c r="B2411" s="14" t="s">
        <v>8975</v>
      </c>
      <c r="C2411" s="14" t="s">
        <v>8668</v>
      </c>
      <c r="D2411" s="14" t="s">
        <v>8531</v>
      </c>
      <c r="E2411" s="14" t="s">
        <v>6422</v>
      </c>
      <c r="F2411" s="14" t="s">
        <v>6423</v>
      </c>
      <c r="G2411" s="8" t="s">
        <v>8999</v>
      </c>
      <c r="H2411" s="14" t="s">
        <v>225</v>
      </c>
      <c r="I2411" s="14"/>
      <c r="J2411" s="14"/>
      <c r="K2411" s="14"/>
      <c r="L2411" s="14"/>
      <c r="M2411" s="14" t="s">
        <v>6425</v>
      </c>
      <c r="N2411" s="14"/>
      <c r="O2411" s="14" t="s">
        <v>6426</v>
      </c>
      <c r="P2411" s="14" t="str">
        <f>HYPERLINK("https://ceds.ed.gov/cedselementdetails.aspx?termid=17198")</f>
        <v>https://ceds.ed.gov/cedselementdetails.aspx?termid=17198</v>
      </c>
      <c r="Q2411" s="14" t="str">
        <f>HYPERLINK("https://ceds.ed.gov/elementComment.aspx?elementName=Normal Length of Time for Completion Units &amp;elementID=17198", "Click here to submit comment")</f>
        <v>Click here to submit comment</v>
      </c>
      <c r="R2411" s="14">
        <v>50980</v>
      </c>
    </row>
    <row r="2412" spans="1:18" ht="75" x14ac:dyDescent="0.25">
      <c r="A2412" s="14" t="s">
        <v>8974</v>
      </c>
      <c r="B2412" s="14" t="s">
        <v>8975</v>
      </c>
      <c r="C2412" s="14" t="s">
        <v>8668</v>
      </c>
      <c r="D2412" s="14" t="s">
        <v>8531</v>
      </c>
      <c r="E2412" s="14" t="s">
        <v>6799</v>
      </c>
      <c r="F2412" s="14" t="s">
        <v>6800</v>
      </c>
      <c r="G2412" s="8" t="s">
        <v>9000</v>
      </c>
      <c r="H2412" s="14" t="s">
        <v>6804</v>
      </c>
      <c r="I2412" s="14"/>
      <c r="J2412" s="14"/>
      <c r="K2412" s="14"/>
      <c r="L2412" s="14"/>
      <c r="M2412" s="14" t="s">
        <v>6802</v>
      </c>
      <c r="N2412" s="14"/>
      <c r="O2412" s="14" t="s">
        <v>6803</v>
      </c>
      <c r="P2412" s="14" t="str">
        <f>HYPERLINK("https://ceds.ed.gov/cedselementdetails.aspx?termid=18595")</f>
        <v>https://ceds.ed.gov/cedselementdetails.aspx?termid=18595</v>
      </c>
      <c r="Q2412" s="14" t="str">
        <f>HYPERLINK("https://ceds.ed.gov/elementComment.aspx?elementName=Postsecondary Program Level &amp;elementID=18595", "Click here to submit comment")</f>
        <v>Click here to submit comment</v>
      </c>
      <c r="R2412" s="14">
        <v>51092</v>
      </c>
    </row>
    <row r="2413" spans="1:18" ht="180" x14ac:dyDescent="0.25">
      <c r="A2413" s="14" t="s">
        <v>8974</v>
      </c>
      <c r="B2413" s="14" t="s">
        <v>9001</v>
      </c>
      <c r="C2413" s="14"/>
      <c r="D2413" s="14" t="s">
        <v>8531</v>
      </c>
      <c r="E2413" s="14" t="s">
        <v>6763</v>
      </c>
      <c r="F2413" s="14" t="s">
        <v>6764</v>
      </c>
      <c r="G2413" s="14" t="s">
        <v>24</v>
      </c>
      <c r="H2413" s="14" t="s">
        <v>291</v>
      </c>
      <c r="I2413" s="14"/>
      <c r="J2413" s="14"/>
      <c r="K2413" s="14"/>
      <c r="L2413" s="14" t="s">
        <v>6765</v>
      </c>
      <c r="M2413" s="14" t="s">
        <v>6766</v>
      </c>
      <c r="N2413" s="14"/>
      <c r="O2413" s="14" t="s">
        <v>6767</v>
      </c>
      <c r="P2413" s="14" t="str">
        <f>HYPERLINK("https://ceds.ed.gov/cedselementdetails.aspx?termid=17735")</f>
        <v>https://ceds.ed.gov/cedselementdetails.aspx?termid=17735</v>
      </c>
      <c r="Q2413" s="14" t="str">
        <f>HYPERLINK("https://ceds.ed.gov/elementComment.aspx?elementName=Postsecondary Applicant &amp;elementID=17735", "Click here to submit comment")</f>
        <v>Click here to submit comment</v>
      </c>
      <c r="R2413" s="14">
        <v>48255</v>
      </c>
    </row>
    <row r="2414" spans="1:18" ht="135" x14ac:dyDescent="0.25">
      <c r="A2414" s="14" t="s">
        <v>8974</v>
      </c>
      <c r="B2414" s="14" t="s">
        <v>9001</v>
      </c>
      <c r="C2414" s="14"/>
      <c r="D2414" s="14" t="s">
        <v>8531</v>
      </c>
      <c r="E2414" s="14" t="s">
        <v>284</v>
      </c>
      <c r="F2414" s="14" t="s">
        <v>285</v>
      </c>
      <c r="G2414" s="8" t="s">
        <v>9002</v>
      </c>
      <c r="H2414" s="14" t="s">
        <v>291</v>
      </c>
      <c r="I2414" s="14"/>
      <c r="J2414" s="14"/>
      <c r="K2414" s="14"/>
      <c r="L2414" s="14" t="s">
        <v>288</v>
      </c>
      <c r="M2414" s="14" t="s">
        <v>289</v>
      </c>
      <c r="N2414" s="14"/>
      <c r="O2414" s="14" t="s">
        <v>290</v>
      </c>
      <c r="P2414" s="14" t="str">
        <f>HYPERLINK("https://ceds.ed.gov/cedselementdetails.aspx?termid=17736")</f>
        <v>https://ceds.ed.gov/cedselementdetails.aspx?termid=17736</v>
      </c>
      <c r="Q2414" s="14" t="str">
        <f>HYPERLINK("https://ceds.ed.gov/elementComment.aspx?elementName=Admitted Student &amp;elementID=17736", "Click here to submit comment")</f>
        <v>Click here to submit comment</v>
      </c>
      <c r="R2414" s="14">
        <v>48256</v>
      </c>
    </row>
    <row r="2415" spans="1:18" ht="60" x14ac:dyDescent="0.25">
      <c r="A2415" s="14" t="s">
        <v>8974</v>
      </c>
      <c r="B2415" s="14" t="s">
        <v>9001</v>
      </c>
      <c r="C2415" s="14"/>
      <c r="D2415" s="14" t="s">
        <v>8531</v>
      </c>
      <c r="E2415" s="14" t="s">
        <v>8457</v>
      </c>
      <c r="F2415" s="14" t="s">
        <v>8458</v>
      </c>
      <c r="G2415" s="14" t="s">
        <v>24</v>
      </c>
      <c r="H2415" s="14" t="s">
        <v>291</v>
      </c>
      <c r="I2415" s="14"/>
      <c r="J2415" s="14"/>
      <c r="K2415" s="14"/>
      <c r="L2415" s="14" t="s">
        <v>4639</v>
      </c>
      <c r="M2415" s="14" t="s">
        <v>8459</v>
      </c>
      <c r="N2415" s="14"/>
      <c r="O2415" s="14" t="s">
        <v>8460</v>
      </c>
      <c r="P2415" s="14" t="str">
        <f>HYPERLINK("https://ceds.ed.gov/cedselementdetails.aspx?termid=17738")</f>
        <v>https://ceds.ed.gov/cedselementdetails.aspx?termid=17738</v>
      </c>
      <c r="Q2415" s="14" t="str">
        <f>HYPERLINK("https://ceds.ed.gov/elementComment.aspx?elementName=Wait Listed Student &amp;elementID=17738", "Click here to submit comment")</f>
        <v>Click here to submit comment</v>
      </c>
      <c r="R2415" s="14">
        <v>48257</v>
      </c>
    </row>
    <row r="2416" spans="1:18" ht="180" x14ac:dyDescent="0.25">
      <c r="A2416" s="14" t="s">
        <v>8974</v>
      </c>
      <c r="B2416" s="14" t="s">
        <v>9001</v>
      </c>
      <c r="C2416" s="14"/>
      <c r="D2416" s="14" t="s">
        <v>8531</v>
      </c>
      <c r="E2416" s="14" t="s">
        <v>4845</v>
      </c>
      <c r="F2416" s="14" t="s">
        <v>4846</v>
      </c>
      <c r="G2416" s="14" t="s">
        <v>37</v>
      </c>
      <c r="H2416" s="14" t="s">
        <v>4852</v>
      </c>
      <c r="I2416" s="14"/>
      <c r="J2416" s="14" t="s">
        <v>1112</v>
      </c>
      <c r="K2416" s="14"/>
      <c r="L2416" s="14" t="s">
        <v>4848</v>
      </c>
      <c r="M2416" s="14" t="s">
        <v>4849</v>
      </c>
      <c r="N2416" s="14" t="s">
        <v>4850</v>
      </c>
      <c r="O2416" s="14" t="s">
        <v>4851</v>
      </c>
      <c r="P2416" s="14" t="str">
        <f>HYPERLINK("https://ceds.ed.gov/cedselementdetails.aspx?termid=17128")</f>
        <v>https://ceds.ed.gov/cedselementdetails.aspx?termid=17128</v>
      </c>
      <c r="Q2416" s="14" t="str">
        <f>HYPERLINK("https://ceds.ed.gov/elementComment.aspx?elementName=Grade Point Average Cumulative &amp;elementID=17128", "Click here to submit comment")</f>
        <v>Click here to submit comment</v>
      </c>
      <c r="R2416" s="14">
        <v>48259</v>
      </c>
    </row>
    <row r="2417" spans="1:18" ht="105" x14ac:dyDescent="0.25">
      <c r="A2417" s="14" t="s">
        <v>8974</v>
      </c>
      <c r="B2417" s="14" t="s">
        <v>9001</v>
      </c>
      <c r="C2417" s="14"/>
      <c r="D2417" s="14" t="s">
        <v>8531</v>
      </c>
      <c r="E2417" s="14" t="s">
        <v>4853</v>
      </c>
      <c r="F2417" s="14" t="s">
        <v>4854</v>
      </c>
      <c r="G2417" s="8" t="s">
        <v>9003</v>
      </c>
      <c r="H2417" s="14" t="s">
        <v>291</v>
      </c>
      <c r="I2417" s="14"/>
      <c r="J2417" s="14"/>
      <c r="K2417" s="14"/>
      <c r="L2417" s="14" t="s">
        <v>4856</v>
      </c>
      <c r="M2417" s="14" t="s">
        <v>4857</v>
      </c>
      <c r="N2417" s="14" t="s">
        <v>4858</v>
      </c>
      <c r="O2417" s="14" t="s">
        <v>4859</v>
      </c>
      <c r="P2417" s="14" t="str">
        <f>HYPERLINK("https://ceds.ed.gov/cedselementdetails.aspx?termid=17739")</f>
        <v>https://ceds.ed.gov/cedselementdetails.aspx?termid=17739</v>
      </c>
      <c r="Q2417" s="14" t="str">
        <f>HYPERLINK("https://ceds.ed.gov/elementComment.aspx?elementName=Grade Point Average Domain &amp;elementID=17739", "Click here to submit comment")</f>
        <v>Click here to submit comment</v>
      </c>
      <c r="R2417" s="14">
        <v>48258</v>
      </c>
    </row>
    <row r="2418" spans="1:18" ht="75" x14ac:dyDescent="0.25">
      <c r="A2418" s="14" t="s">
        <v>8974</v>
      </c>
      <c r="B2418" s="14" t="s">
        <v>9001</v>
      </c>
      <c r="C2418" s="14"/>
      <c r="D2418" s="14" t="s">
        <v>8531</v>
      </c>
      <c r="E2418" s="14" t="s">
        <v>4865</v>
      </c>
      <c r="F2418" s="14" t="s">
        <v>4866</v>
      </c>
      <c r="G2418" s="8" t="s">
        <v>8848</v>
      </c>
      <c r="H2418" s="14" t="s">
        <v>4873</v>
      </c>
      <c r="I2418" s="14" t="s">
        <v>195</v>
      </c>
      <c r="J2418" s="14"/>
      <c r="K2418" s="14" t="s">
        <v>4869</v>
      </c>
      <c r="L2418" s="14"/>
      <c r="M2418" s="14" t="s">
        <v>4870</v>
      </c>
      <c r="N2418" s="14" t="s">
        <v>4871</v>
      </c>
      <c r="O2418" s="14" t="s">
        <v>4872</v>
      </c>
      <c r="P2418" s="14" t="str">
        <f>HYPERLINK("https://ceds.ed.gov/cedselementdetails.aspx?termid=17123")</f>
        <v>https://ceds.ed.gov/cedselementdetails.aspx?termid=17123</v>
      </c>
      <c r="Q2418" s="14" t="str">
        <f>HYPERLINK("https://ceds.ed.gov/elementComment.aspx?elementName=Grade Point Average Weighted Indicator &amp;elementID=17123", "Click here to submit comment")</f>
        <v>Click here to submit comment</v>
      </c>
      <c r="R2418" s="14">
        <v>48260</v>
      </c>
    </row>
    <row r="2419" spans="1:18" ht="90" x14ac:dyDescent="0.25">
      <c r="A2419" s="16" t="s">
        <v>8974</v>
      </c>
      <c r="B2419" s="16" t="s">
        <v>9001</v>
      </c>
      <c r="C2419" s="16"/>
      <c r="D2419" s="16" t="s">
        <v>8531</v>
      </c>
      <c r="E2419" s="16" t="s">
        <v>4972</v>
      </c>
      <c r="F2419" s="16" t="s">
        <v>4973</v>
      </c>
      <c r="G2419" s="16" t="s">
        <v>37</v>
      </c>
      <c r="H2419" s="16" t="s">
        <v>291</v>
      </c>
      <c r="I2419" s="16"/>
      <c r="J2419" s="16" t="s">
        <v>869</v>
      </c>
      <c r="K2419" s="16"/>
      <c r="L2419" s="14" t="s">
        <v>4974</v>
      </c>
      <c r="M2419" s="16" t="s">
        <v>4975</v>
      </c>
      <c r="N2419" s="16"/>
      <c r="O2419" s="16" t="s">
        <v>4976</v>
      </c>
      <c r="P2419" s="16" t="str">
        <f>HYPERLINK("https://ceds.ed.gov/cedselementdetails.aspx?termid=17740")</f>
        <v>https://ceds.ed.gov/cedselementdetails.aspx?termid=17740</v>
      </c>
      <c r="Q2419" s="16" t="str">
        <f>HYPERLINK("https://ceds.ed.gov/elementComment.aspx?elementName=High School Percentile &amp;elementID=17740", "Click here to submit comment")</f>
        <v>Click here to submit comment</v>
      </c>
      <c r="R2419" s="16">
        <v>48261</v>
      </c>
    </row>
    <row r="2420" spans="1:18" ht="45" x14ac:dyDescent="0.25">
      <c r="A2420" s="16"/>
      <c r="B2420" s="16"/>
      <c r="C2420" s="16"/>
      <c r="D2420" s="16"/>
      <c r="E2420" s="16"/>
      <c r="F2420" s="16"/>
      <c r="G2420" s="16"/>
      <c r="H2420" s="16"/>
      <c r="I2420" s="16"/>
      <c r="J2420" s="16"/>
      <c r="K2420" s="16"/>
      <c r="L2420" s="14" t="s">
        <v>4977</v>
      </c>
      <c r="M2420" s="16"/>
      <c r="N2420" s="16"/>
      <c r="O2420" s="16"/>
      <c r="P2420" s="16"/>
      <c r="Q2420" s="16"/>
      <c r="R2420" s="16"/>
    </row>
    <row r="2421" spans="1:18" ht="120" x14ac:dyDescent="0.25">
      <c r="A2421" s="14" t="s">
        <v>8974</v>
      </c>
      <c r="B2421" s="14" t="s">
        <v>9001</v>
      </c>
      <c r="C2421" s="14"/>
      <c r="D2421" s="14" t="s">
        <v>8531</v>
      </c>
      <c r="E2421" s="14" t="s">
        <v>4978</v>
      </c>
      <c r="F2421" s="14" t="s">
        <v>4979</v>
      </c>
      <c r="G2421" s="14" t="s">
        <v>37</v>
      </c>
      <c r="H2421" s="14" t="s">
        <v>4983</v>
      </c>
      <c r="I2421" s="14"/>
      <c r="J2421" s="14" t="s">
        <v>370</v>
      </c>
      <c r="K2421" s="14"/>
      <c r="L2421" s="14"/>
      <c r="M2421" s="14" t="s">
        <v>4981</v>
      </c>
      <c r="N2421" s="14"/>
      <c r="O2421" s="14" t="s">
        <v>4982</v>
      </c>
      <c r="P2421" s="14" t="str">
        <f>HYPERLINK("https://ceds.ed.gov/cedselementdetails.aspx?termid=17041")</f>
        <v>https://ceds.ed.gov/cedselementdetails.aspx?termid=17041</v>
      </c>
      <c r="Q2421" s="14" t="str">
        <f>HYPERLINK("https://ceds.ed.gov/elementComment.aspx?elementName=High School Student Class Rank &amp;elementID=17041", "Click here to submit comment")</f>
        <v>Click here to submit comment</v>
      </c>
      <c r="R2421" s="14">
        <v>48262</v>
      </c>
    </row>
    <row r="2422" spans="1:18" ht="120" x14ac:dyDescent="0.25">
      <c r="A2422" s="14" t="s">
        <v>8974</v>
      </c>
      <c r="B2422" s="14" t="s">
        <v>9001</v>
      </c>
      <c r="C2422" s="14"/>
      <c r="D2422" s="14" t="s">
        <v>8531</v>
      </c>
      <c r="E2422" s="14" t="s">
        <v>7794</v>
      </c>
      <c r="F2422" s="14" t="s">
        <v>7795</v>
      </c>
      <c r="G2422" s="14" t="s">
        <v>37</v>
      </c>
      <c r="H2422" s="14" t="s">
        <v>4983</v>
      </c>
      <c r="I2422" s="14"/>
      <c r="J2422" s="14" t="s">
        <v>370</v>
      </c>
      <c r="K2422" s="14"/>
      <c r="L2422" s="14"/>
      <c r="M2422" s="14" t="s">
        <v>7796</v>
      </c>
      <c r="N2422" s="14"/>
      <c r="O2422" s="14" t="s">
        <v>7797</v>
      </c>
      <c r="P2422" s="14" t="str">
        <f>HYPERLINK("https://ceds.ed.gov/cedselementdetails.aspx?termid=17294")</f>
        <v>https://ceds.ed.gov/cedselementdetails.aspx?termid=17294</v>
      </c>
      <c r="Q2422" s="14" t="str">
        <f>HYPERLINK("https://ceds.ed.gov/elementComment.aspx?elementName=Size of High School Graduating Class &amp;elementID=17294", "Click here to submit comment")</f>
        <v>Click here to submit comment</v>
      </c>
      <c r="R2422" s="14">
        <v>48438</v>
      </c>
    </row>
    <row r="2423" spans="1:18" ht="105" x14ac:dyDescent="0.25">
      <c r="A2423" s="14" t="s">
        <v>8974</v>
      </c>
      <c r="B2423" s="14" t="s">
        <v>9004</v>
      </c>
      <c r="C2423" s="14"/>
      <c r="D2423" s="14" t="s">
        <v>8531</v>
      </c>
      <c r="E2423" s="14" t="s">
        <v>6788</v>
      </c>
      <c r="F2423" s="14" t="s">
        <v>6789</v>
      </c>
      <c r="G2423" s="14" t="s">
        <v>24</v>
      </c>
      <c r="H2423" s="14"/>
      <c r="I2423" s="14"/>
      <c r="J2423" s="14"/>
      <c r="K2423" s="14"/>
      <c r="L2423" s="14" t="s">
        <v>6791</v>
      </c>
      <c r="M2423" s="14" t="s">
        <v>6792</v>
      </c>
      <c r="N2423" s="14"/>
      <c r="O2423" s="14" t="s">
        <v>6793</v>
      </c>
      <c r="P2423" s="14" t="str">
        <f>HYPERLINK("https://ceds.ed.gov/cedselementdetails.aspx?termid=18395")</f>
        <v>https://ceds.ed.gov/cedselementdetails.aspx?termid=18395</v>
      </c>
      <c r="Q2423" s="14" t="str">
        <f>HYPERLINK("https://ceds.ed.gov/elementComment.aspx?elementName=Postsecondary Entering Student Indicator &amp;elementID=18395", "Click here to submit comment")</f>
        <v>Click here to submit comment</v>
      </c>
      <c r="R2423" s="14">
        <v>50320</v>
      </c>
    </row>
    <row r="2424" spans="1:18" ht="120" x14ac:dyDescent="0.25">
      <c r="A2424" s="14" t="s">
        <v>8974</v>
      </c>
      <c r="B2424" s="14" t="s">
        <v>9004</v>
      </c>
      <c r="C2424" s="14"/>
      <c r="D2424" s="14" t="s">
        <v>8531</v>
      </c>
      <c r="E2424" s="14" t="s">
        <v>6805</v>
      </c>
      <c r="F2424" s="14" t="s">
        <v>6806</v>
      </c>
      <c r="G2424" s="14" t="s">
        <v>37</v>
      </c>
      <c r="H2424" s="14"/>
      <c r="I2424" s="14"/>
      <c r="J2424" s="14" t="s">
        <v>97</v>
      </c>
      <c r="K2424" s="14"/>
      <c r="L2424" s="14" t="s">
        <v>6791</v>
      </c>
      <c r="M2424" s="14" t="s">
        <v>6807</v>
      </c>
      <c r="N2424" s="14"/>
      <c r="O2424" s="14" t="s">
        <v>6808</v>
      </c>
      <c r="P2424" s="14" t="str">
        <f>HYPERLINK("https://ceds.ed.gov/cedselementdetails.aspx?termid=18396")</f>
        <v>https://ceds.ed.gov/cedselementdetails.aspx?termid=18396</v>
      </c>
      <c r="Q2424" s="14" t="str">
        <f>HYPERLINK("https://ceds.ed.gov/elementComment.aspx?elementName=Postsecondary Student Entering Term &amp;elementID=18396", "Click here to submit comment")</f>
        <v>Click here to submit comment</v>
      </c>
      <c r="R2424" s="14">
        <v>50321</v>
      </c>
    </row>
    <row r="2425" spans="1:18" ht="195" x14ac:dyDescent="0.25">
      <c r="A2425" s="14" t="s">
        <v>8974</v>
      </c>
      <c r="B2425" s="14" t="s">
        <v>9004</v>
      </c>
      <c r="C2425" s="14" t="s">
        <v>8597</v>
      </c>
      <c r="D2425" s="14" t="s">
        <v>8531</v>
      </c>
      <c r="E2425" s="14" t="s">
        <v>4667</v>
      </c>
      <c r="F2425" s="14" t="s">
        <v>4668</v>
      </c>
      <c r="G2425" s="14" t="s">
        <v>37</v>
      </c>
      <c r="H2425" s="14" t="s">
        <v>4673</v>
      </c>
      <c r="I2425" s="14"/>
      <c r="J2425" s="14" t="s">
        <v>1468</v>
      </c>
      <c r="K2425" s="14"/>
      <c r="L2425" s="14" t="s">
        <v>4670</v>
      </c>
      <c r="M2425" s="14" t="s">
        <v>4671</v>
      </c>
      <c r="N2425" s="14"/>
      <c r="O2425" s="14" t="s">
        <v>4672</v>
      </c>
      <c r="P2425" s="14" t="str">
        <f>HYPERLINK("https://ceds.ed.gov/cedselementdetails.aspx?termid=17115")</f>
        <v>https://ceds.ed.gov/cedselementdetails.aspx?termid=17115</v>
      </c>
      <c r="Q2425" s="14" t="str">
        <f>HYPERLINK("https://ceds.ed.gov/elementComment.aspx?elementName=First Name &amp;elementID=17115", "Click here to submit comment")</f>
        <v>Click here to submit comment</v>
      </c>
      <c r="R2425" s="14">
        <v>47750</v>
      </c>
    </row>
    <row r="2426" spans="1:18" x14ac:dyDescent="0.25">
      <c r="A2426" s="16" t="s">
        <v>8974</v>
      </c>
      <c r="B2426" s="16" t="s">
        <v>9004</v>
      </c>
      <c r="C2426" s="16" t="s">
        <v>8597</v>
      </c>
      <c r="D2426" s="16" t="s">
        <v>8531</v>
      </c>
      <c r="E2426" s="16" t="s">
        <v>6223</v>
      </c>
      <c r="F2426" s="16" t="s">
        <v>6224</v>
      </c>
      <c r="G2426" s="16" t="s">
        <v>37</v>
      </c>
      <c r="H2426" s="16" t="s">
        <v>4673</v>
      </c>
      <c r="I2426" s="16"/>
      <c r="J2426" s="16" t="s">
        <v>1468</v>
      </c>
      <c r="K2426" s="16"/>
      <c r="L2426" s="14" t="s">
        <v>4746</v>
      </c>
      <c r="M2426" s="16" t="s">
        <v>6226</v>
      </c>
      <c r="N2426" s="16"/>
      <c r="O2426" s="16" t="s">
        <v>6227</v>
      </c>
      <c r="P2426" s="16" t="str">
        <f>HYPERLINK("https://ceds.ed.gov/cedselementdetails.aspx?termid=17184")</f>
        <v>https://ceds.ed.gov/cedselementdetails.aspx?termid=17184</v>
      </c>
      <c r="Q2426" s="16" t="str">
        <f>HYPERLINK("https://ceds.ed.gov/elementComment.aspx?elementName=Middle Name &amp;elementID=17184", "Click here to submit comment")</f>
        <v>Click here to submit comment</v>
      </c>
      <c r="R2426" s="16">
        <v>47769</v>
      </c>
    </row>
    <row r="2427" spans="1:18" ht="90" x14ac:dyDescent="0.25">
      <c r="A2427" s="16"/>
      <c r="B2427" s="16"/>
      <c r="C2427" s="16"/>
      <c r="D2427" s="16"/>
      <c r="E2427" s="16"/>
      <c r="F2427" s="16"/>
      <c r="G2427" s="16"/>
      <c r="H2427" s="16"/>
      <c r="I2427" s="16"/>
      <c r="J2427" s="16"/>
      <c r="K2427" s="16"/>
      <c r="L2427" s="14" t="s">
        <v>4750</v>
      </c>
      <c r="M2427" s="16"/>
      <c r="N2427" s="16"/>
      <c r="O2427" s="16"/>
      <c r="P2427" s="16"/>
      <c r="Q2427" s="16"/>
      <c r="R2427" s="16"/>
    </row>
    <row r="2428" spans="1:18" x14ac:dyDescent="0.25">
      <c r="A2428" s="16" t="s">
        <v>8974</v>
      </c>
      <c r="B2428" s="16" t="s">
        <v>9004</v>
      </c>
      <c r="C2428" s="16" t="s">
        <v>8597</v>
      </c>
      <c r="D2428" s="16" t="s">
        <v>8531</v>
      </c>
      <c r="E2428" s="16" t="s">
        <v>5727</v>
      </c>
      <c r="F2428" s="16" t="s">
        <v>5728</v>
      </c>
      <c r="G2428" s="16" t="s">
        <v>37</v>
      </c>
      <c r="H2428" s="16" t="s">
        <v>4673</v>
      </c>
      <c r="I2428" s="16"/>
      <c r="J2428" s="16" t="s">
        <v>1468</v>
      </c>
      <c r="K2428" s="16"/>
      <c r="L2428" s="14" t="s">
        <v>4746</v>
      </c>
      <c r="M2428" s="16" t="s">
        <v>5729</v>
      </c>
      <c r="N2428" s="16" t="s">
        <v>5730</v>
      </c>
      <c r="O2428" s="16" t="s">
        <v>5731</v>
      </c>
      <c r="P2428" s="16" t="str">
        <f>HYPERLINK("https://ceds.ed.gov/cedselementdetails.aspx?termid=17172")</f>
        <v>https://ceds.ed.gov/cedselementdetails.aspx?termid=17172</v>
      </c>
      <c r="Q2428" s="16" t="str">
        <f>HYPERLINK("https://ceds.ed.gov/elementComment.aspx?elementName=Last or Surname &amp;elementID=17172", "Click here to submit comment")</f>
        <v>Click here to submit comment</v>
      </c>
      <c r="R2428" s="16">
        <v>47767</v>
      </c>
    </row>
    <row r="2429" spans="1:18" ht="90" x14ac:dyDescent="0.25">
      <c r="A2429" s="16"/>
      <c r="B2429" s="16"/>
      <c r="C2429" s="16"/>
      <c r="D2429" s="16"/>
      <c r="E2429" s="16"/>
      <c r="F2429" s="16"/>
      <c r="G2429" s="16"/>
      <c r="H2429" s="16"/>
      <c r="I2429" s="16"/>
      <c r="J2429" s="16"/>
      <c r="K2429" s="16"/>
      <c r="L2429" s="14" t="s">
        <v>4750</v>
      </c>
      <c r="M2429" s="16"/>
      <c r="N2429" s="16"/>
      <c r="O2429" s="16"/>
      <c r="P2429" s="16"/>
      <c r="Q2429" s="16"/>
      <c r="R2429" s="16"/>
    </row>
    <row r="2430" spans="1:18" x14ac:dyDescent="0.25">
      <c r="A2430" s="16" t="s">
        <v>8974</v>
      </c>
      <c r="B2430" s="16" t="s">
        <v>9004</v>
      </c>
      <c r="C2430" s="16" t="s">
        <v>8597</v>
      </c>
      <c r="D2430" s="16" t="s">
        <v>8531</v>
      </c>
      <c r="E2430" s="16" t="s">
        <v>4743</v>
      </c>
      <c r="F2430" s="16" t="s">
        <v>4744</v>
      </c>
      <c r="G2430" s="16" t="s">
        <v>37</v>
      </c>
      <c r="H2430" s="16" t="s">
        <v>4749</v>
      </c>
      <c r="I2430" s="16"/>
      <c r="J2430" s="16" t="s">
        <v>3096</v>
      </c>
      <c r="K2430" s="16"/>
      <c r="L2430" s="14" t="s">
        <v>4746</v>
      </c>
      <c r="M2430" s="16" t="s">
        <v>4747</v>
      </c>
      <c r="N2430" s="16"/>
      <c r="O2430" s="16" t="s">
        <v>4748</v>
      </c>
      <c r="P2430" s="16" t="str">
        <f>HYPERLINK("https://ceds.ed.gov/cedselementdetails.aspx?termid=17121")</f>
        <v>https://ceds.ed.gov/cedselementdetails.aspx?termid=17121</v>
      </c>
      <c r="Q2430" s="16" t="str">
        <f>HYPERLINK("https://ceds.ed.gov/elementComment.aspx?elementName=Generation Code or Suffix &amp;elementID=17121", "Click here to submit comment")</f>
        <v>Click here to submit comment</v>
      </c>
      <c r="R2430" s="16">
        <v>47752</v>
      </c>
    </row>
    <row r="2431" spans="1:18" ht="90" x14ac:dyDescent="0.25">
      <c r="A2431" s="16"/>
      <c r="B2431" s="16"/>
      <c r="C2431" s="16"/>
      <c r="D2431" s="16"/>
      <c r="E2431" s="16"/>
      <c r="F2431" s="16"/>
      <c r="G2431" s="16"/>
      <c r="H2431" s="16"/>
      <c r="I2431" s="16"/>
      <c r="J2431" s="16"/>
      <c r="K2431" s="16"/>
      <c r="L2431" s="14" t="s">
        <v>4750</v>
      </c>
      <c r="M2431" s="16"/>
      <c r="N2431" s="16"/>
      <c r="O2431" s="16"/>
      <c r="P2431" s="16"/>
      <c r="Q2431" s="16"/>
      <c r="R2431" s="16"/>
    </row>
    <row r="2432" spans="1:18" ht="105" x14ac:dyDescent="0.25">
      <c r="A2432" s="14" t="s">
        <v>8974</v>
      </c>
      <c r="B2432" s="14" t="s">
        <v>9004</v>
      </c>
      <c r="C2432" s="14" t="s">
        <v>8597</v>
      </c>
      <c r="D2432" s="14" t="s">
        <v>8531</v>
      </c>
      <c r="E2432" s="14" t="s">
        <v>6741</v>
      </c>
      <c r="F2432" s="14" t="s">
        <v>6742</v>
      </c>
      <c r="G2432" s="14" t="s">
        <v>37</v>
      </c>
      <c r="H2432" s="14" t="s">
        <v>6747</v>
      </c>
      <c r="I2432" s="14"/>
      <c r="J2432" s="14" t="s">
        <v>97</v>
      </c>
      <c r="K2432" s="14"/>
      <c r="L2432" s="14"/>
      <c r="M2432" s="14" t="s">
        <v>6744</v>
      </c>
      <c r="N2432" s="14" t="s">
        <v>6745</v>
      </c>
      <c r="O2432" s="14" t="s">
        <v>6746</v>
      </c>
      <c r="P2432" s="14" t="str">
        <f>HYPERLINK("https://ceds.ed.gov/cedselementdetails.aspx?termid=17212")</f>
        <v>https://ceds.ed.gov/cedselementdetails.aspx?termid=17212</v>
      </c>
      <c r="Q2432" s="14" t="str">
        <f>HYPERLINK("https://ceds.ed.gov/elementComment.aspx?elementName=Personal Title or Prefix &amp;elementID=17212", "Click here to submit comment")</f>
        <v>Click here to submit comment</v>
      </c>
      <c r="R2432" s="14">
        <v>47776</v>
      </c>
    </row>
    <row r="2433" spans="1:18" ht="45" x14ac:dyDescent="0.25">
      <c r="A2433" s="14" t="s">
        <v>8974</v>
      </c>
      <c r="B2433" s="14" t="s">
        <v>9004</v>
      </c>
      <c r="C2433" s="14" t="s">
        <v>8598</v>
      </c>
      <c r="D2433" s="14" t="s">
        <v>8531</v>
      </c>
      <c r="E2433" s="14" t="s">
        <v>6586</v>
      </c>
      <c r="F2433" s="14" t="s">
        <v>6587</v>
      </c>
      <c r="G2433" s="14" t="s">
        <v>37</v>
      </c>
      <c r="H2433" s="14"/>
      <c r="I2433" s="14"/>
      <c r="J2433" s="14" t="s">
        <v>1468</v>
      </c>
      <c r="K2433" s="14"/>
      <c r="L2433" s="14" t="s">
        <v>6589</v>
      </c>
      <c r="M2433" s="14" t="s">
        <v>6590</v>
      </c>
      <c r="N2433" s="14"/>
      <c r="O2433" s="14" t="s">
        <v>6591</v>
      </c>
      <c r="P2433" s="14" t="str">
        <f>HYPERLINK("https://ceds.ed.gov/cedselementdetails.aspx?termid=18486")</f>
        <v>https://ceds.ed.gov/cedselementdetails.aspx?termid=18486</v>
      </c>
      <c r="Q2433" s="14" t="str">
        <f>HYPERLINK("https://ceds.ed.gov/elementComment.aspx?elementName=Other First Name &amp;elementID=18486", "Click here to submit comment")</f>
        <v>Click here to submit comment</v>
      </c>
      <c r="R2433" s="14">
        <v>50633</v>
      </c>
    </row>
    <row r="2434" spans="1:18" ht="45" x14ac:dyDescent="0.25">
      <c r="A2434" s="14" t="s">
        <v>8974</v>
      </c>
      <c r="B2434" s="14" t="s">
        <v>9004</v>
      </c>
      <c r="C2434" s="14" t="s">
        <v>8598</v>
      </c>
      <c r="D2434" s="14" t="s">
        <v>8531</v>
      </c>
      <c r="E2434" s="14" t="s">
        <v>6592</v>
      </c>
      <c r="F2434" s="14" t="s">
        <v>6593</v>
      </c>
      <c r="G2434" s="14" t="s">
        <v>37</v>
      </c>
      <c r="H2434" s="14"/>
      <c r="I2434" s="14"/>
      <c r="J2434" s="14" t="s">
        <v>1468</v>
      </c>
      <c r="K2434" s="14"/>
      <c r="L2434" s="14" t="s">
        <v>6594</v>
      </c>
      <c r="M2434" s="14" t="s">
        <v>6595</v>
      </c>
      <c r="N2434" s="14"/>
      <c r="O2434" s="14" t="s">
        <v>6596</v>
      </c>
      <c r="P2434" s="14" t="str">
        <f>HYPERLINK("https://ceds.ed.gov/cedselementdetails.aspx?termid=18485")</f>
        <v>https://ceds.ed.gov/cedselementdetails.aspx?termid=18485</v>
      </c>
      <c r="Q2434" s="14" t="str">
        <f>HYPERLINK("https://ceds.ed.gov/elementComment.aspx?elementName=Other Last Name &amp;elementID=18485", "Click here to submit comment")</f>
        <v>Click here to submit comment</v>
      </c>
      <c r="R2434" s="14">
        <v>50617</v>
      </c>
    </row>
    <row r="2435" spans="1:18" ht="45" x14ac:dyDescent="0.25">
      <c r="A2435" s="14" t="s">
        <v>8974</v>
      </c>
      <c r="B2435" s="14" t="s">
        <v>9004</v>
      </c>
      <c r="C2435" s="14" t="s">
        <v>8598</v>
      </c>
      <c r="D2435" s="14" t="s">
        <v>8531</v>
      </c>
      <c r="E2435" s="14" t="s">
        <v>6597</v>
      </c>
      <c r="F2435" s="14" t="s">
        <v>6598</v>
      </c>
      <c r="G2435" s="14" t="s">
        <v>37</v>
      </c>
      <c r="H2435" s="14"/>
      <c r="I2435" s="14"/>
      <c r="J2435" s="14" t="s">
        <v>1468</v>
      </c>
      <c r="K2435" s="14"/>
      <c r="L2435" s="14" t="s">
        <v>6599</v>
      </c>
      <c r="M2435" s="14" t="s">
        <v>6600</v>
      </c>
      <c r="N2435" s="14"/>
      <c r="O2435" s="14" t="s">
        <v>6601</v>
      </c>
      <c r="P2435" s="14" t="str">
        <f>HYPERLINK("https://ceds.ed.gov/cedselementdetails.aspx?termid=18487")</f>
        <v>https://ceds.ed.gov/cedselementdetails.aspx?termid=18487</v>
      </c>
      <c r="Q2435" s="14" t="str">
        <f>HYPERLINK("https://ceds.ed.gov/elementComment.aspx?elementName=Other Middle Name &amp;elementID=18487", "Click here to submit comment")</f>
        <v>Click here to submit comment</v>
      </c>
      <c r="R2435" s="14">
        <v>50649</v>
      </c>
    </row>
    <row r="2436" spans="1:18" ht="150" x14ac:dyDescent="0.25">
      <c r="A2436" s="14" t="s">
        <v>8974</v>
      </c>
      <c r="B2436" s="14" t="s">
        <v>9004</v>
      </c>
      <c r="C2436" s="14" t="s">
        <v>8598</v>
      </c>
      <c r="D2436" s="14" t="s">
        <v>8531</v>
      </c>
      <c r="E2436" s="14" t="s">
        <v>6602</v>
      </c>
      <c r="F2436" s="14" t="s">
        <v>6603</v>
      </c>
      <c r="G2436" s="14" t="s">
        <v>37</v>
      </c>
      <c r="H2436" s="14" t="s">
        <v>4749</v>
      </c>
      <c r="I2436" s="14"/>
      <c r="J2436" s="14" t="s">
        <v>149</v>
      </c>
      <c r="K2436" s="14"/>
      <c r="L2436" s="14"/>
      <c r="M2436" s="14" t="s">
        <v>6604</v>
      </c>
      <c r="N2436" s="14"/>
      <c r="O2436" s="14" t="s">
        <v>6605</v>
      </c>
      <c r="P2436" s="14" t="str">
        <f>HYPERLINK("https://ceds.ed.gov/cedselementdetails.aspx?termid=17206")</f>
        <v>https://ceds.ed.gov/cedselementdetails.aspx?termid=17206</v>
      </c>
      <c r="Q2436" s="14" t="str">
        <f>HYPERLINK("https://ceds.ed.gov/elementComment.aspx?elementName=Other Name &amp;elementID=17206", "Click here to submit comment")</f>
        <v>Click here to submit comment</v>
      </c>
      <c r="R2436" s="14">
        <v>47775</v>
      </c>
    </row>
    <row r="2437" spans="1:18" ht="165" x14ac:dyDescent="0.25">
      <c r="A2437" s="14" t="s">
        <v>8974</v>
      </c>
      <c r="B2437" s="14" t="s">
        <v>9004</v>
      </c>
      <c r="C2437" s="14" t="s">
        <v>8598</v>
      </c>
      <c r="D2437" s="14" t="s">
        <v>8531</v>
      </c>
      <c r="E2437" s="14" t="s">
        <v>6606</v>
      </c>
      <c r="F2437" s="14" t="s">
        <v>6607</v>
      </c>
      <c r="G2437" s="8" t="s">
        <v>8554</v>
      </c>
      <c r="H2437" s="14" t="s">
        <v>6612</v>
      </c>
      <c r="I2437" s="14"/>
      <c r="J2437" s="14" t="s">
        <v>97</v>
      </c>
      <c r="K2437" s="14"/>
      <c r="L2437" s="14"/>
      <c r="M2437" s="14" t="s">
        <v>6610</v>
      </c>
      <c r="N2437" s="14"/>
      <c r="O2437" s="14" t="s">
        <v>6611</v>
      </c>
      <c r="P2437" s="14" t="str">
        <f>HYPERLINK("https://ceds.ed.gov/cedselementdetails.aspx?termid=17627")</f>
        <v>https://ceds.ed.gov/cedselementdetails.aspx?termid=17627</v>
      </c>
      <c r="Q2437" s="14" t="str">
        <f>HYPERLINK("https://ceds.ed.gov/elementComment.aspx?elementName=Other Name Type &amp;elementID=17627", "Click here to submit comment")</f>
        <v>Click here to submit comment</v>
      </c>
      <c r="R2437" s="14">
        <v>49017</v>
      </c>
    </row>
    <row r="2438" spans="1:18" ht="105" x14ac:dyDescent="0.25">
      <c r="A2438" s="16" t="s">
        <v>8974</v>
      </c>
      <c r="B2438" s="16" t="s">
        <v>9004</v>
      </c>
      <c r="C2438" s="16" t="s">
        <v>8599</v>
      </c>
      <c r="D2438" s="16" t="s">
        <v>8531</v>
      </c>
      <c r="E2438" s="16" t="s">
        <v>8072</v>
      </c>
      <c r="F2438" s="16" t="s">
        <v>8073</v>
      </c>
      <c r="G2438" s="16" t="s">
        <v>37</v>
      </c>
      <c r="H2438" s="16" t="s">
        <v>8071</v>
      </c>
      <c r="I2438" s="16"/>
      <c r="J2438" s="16" t="s">
        <v>149</v>
      </c>
      <c r="K2438" s="16"/>
      <c r="L2438" s="14" t="s">
        <v>150</v>
      </c>
      <c r="M2438" s="16" t="s">
        <v>8074</v>
      </c>
      <c r="N2438" s="16"/>
      <c r="O2438" s="16" t="s">
        <v>8075</v>
      </c>
      <c r="P2438" s="16" t="str">
        <f>HYPERLINK("https://ceds.ed.gov/cedselementdetails.aspx?termid=17157")</f>
        <v>https://ceds.ed.gov/cedselementdetails.aspx?termid=17157</v>
      </c>
      <c r="Q2438" s="16" t="str">
        <f>HYPERLINK("https://ceds.ed.gov/elementComment.aspx?elementName=Student Identifier &amp;elementID=17157", "Click here to submit comment")</f>
        <v>Click here to submit comment</v>
      </c>
      <c r="R2438" s="16">
        <v>47760</v>
      </c>
    </row>
    <row r="2439" spans="1:18" x14ac:dyDescent="0.25">
      <c r="A2439" s="16"/>
      <c r="B2439" s="16"/>
      <c r="C2439" s="16"/>
      <c r="D2439" s="16"/>
      <c r="E2439" s="16"/>
      <c r="F2439" s="16"/>
      <c r="G2439" s="16"/>
      <c r="H2439" s="16"/>
      <c r="I2439" s="16"/>
      <c r="J2439" s="16"/>
      <c r="K2439" s="16"/>
      <c r="L2439" s="14"/>
      <c r="M2439" s="16"/>
      <c r="N2439" s="16"/>
      <c r="O2439" s="16"/>
      <c r="P2439" s="16"/>
      <c r="Q2439" s="16"/>
      <c r="R2439" s="16"/>
    </row>
    <row r="2440" spans="1:18" ht="90" x14ac:dyDescent="0.25">
      <c r="A2440" s="16"/>
      <c r="B2440" s="16"/>
      <c r="C2440" s="16"/>
      <c r="D2440" s="16"/>
      <c r="E2440" s="16"/>
      <c r="F2440" s="16"/>
      <c r="G2440" s="16"/>
      <c r="H2440" s="16"/>
      <c r="I2440" s="16"/>
      <c r="J2440" s="16"/>
      <c r="K2440" s="16"/>
      <c r="L2440" s="14" t="s">
        <v>153</v>
      </c>
      <c r="M2440" s="16"/>
      <c r="N2440" s="16"/>
      <c r="O2440" s="16"/>
      <c r="P2440" s="16"/>
      <c r="Q2440" s="16"/>
      <c r="R2440" s="16"/>
    </row>
    <row r="2441" spans="1:18" ht="210" x14ac:dyDescent="0.25">
      <c r="A2441" s="14" t="s">
        <v>8974</v>
      </c>
      <c r="B2441" s="14" t="s">
        <v>9004</v>
      </c>
      <c r="C2441" s="14" t="s">
        <v>8599</v>
      </c>
      <c r="D2441" s="14" t="s">
        <v>8531</v>
      </c>
      <c r="E2441" s="14" t="s">
        <v>8065</v>
      </c>
      <c r="F2441" s="14" t="s">
        <v>8066</v>
      </c>
      <c r="G2441" s="8" t="s">
        <v>8814</v>
      </c>
      <c r="H2441" s="14" t="s">
        <v>8071</v>
      </c>
      <c r="I2441" s="14"/>
      <c r="J2441" s="14"/>
      <c r="K2441" s="14"/>
      <c r="L2441" s="14"/>
      <c r="M2441" s="14" t="s">
        <v>8069</v>
      </c>
      <c r="N2441" s="14"/>
      <c r="O2441" s="14" t="s">
        <v>8070</v>
      </c>
      <c r="P2441" s="14" t="str">
        <f>HYPERLINK("https://ceds.ed.gov/cedselementdetails.aspx?termid=17163")</f>
        <v>https://ceds.ed.gov/cedselementdetails.aspx?termid=17163</v>
      </c>
      <c r="Q2441" s="14" t="str">
        <f>HYPERLINK("https://ceds.ed.gov/elementComment.aspx?elementName=Student Identification System &amp;elementID=17163", "Click here to submit comment")</f>
        <v>Click here to submit comment</v>
      </c>
      <c r="R2441" s="14">
        <v>47763</v>
      </c>
    </row>
    <row r="2442" spans="1:18" ht="255" x14ac:dyDescent="0.25">
      <c r="A2442" s="14" t="s">
        <v>8974</v>
      </c>
      <c r="B2442" s="14" t="s">
        <v>9004</v>
      </c>
      <c r="C2442" s="14" t="s">
        <v>8599</v>
      </c>
      <c r="D2442" s="14" t="s">
        <v>8531</v>
      </c>
      <c r="E2442" s="14" t="s">
        <v>6735</v>
      </c>
      <c r="F2442" s="14" t="s">
        <v>6736</v>
      </c>
      <c r="G2442" s="8" t="s">
        <v>8601</v>
      </c>
      <c r="H2442" s="14"/>
      <c r="I2442" s="14"/>
      <c r="J2442" s="14"/>
      <c r="K2442" s="14"/>
      <c r="L2442" s="14"/>
      <c r="M2442" s="14" t="s">
        <v>6739</v>
      </c>
      <c r="N2442" s="14"/>
      <c r="O2442" s="14" t="s">
        <v>6740</v>
      </c>
      <c r="P2442" s="14" t="str">
        <f>HYPERLINK("https://ceds.ed.gov/cedselementdetails.aspx?termid=17611")</f>
        <v>https://ceds.ed.gov/cedselementdetails.aspx?termid=17611</v>
      </c>
      <c r="Q2442" s="14" t="str">
        <f>HYPERLINK("https://ceds.ed.gov/elementComment.aspx?elementName=Personal Information Verification &amp;elementID=17611", "Click here to submit comment")</f>
        <v>Click here to submit comment</v>
      </c>
      <c r="R2442" s="14">
        <v>49217</v>
      </c>
    </row>
    <row r="2443" spans="1:18" ht="210" x14ac:dyDescent="0.25">
      <c r="A2443" s="14" t="s">
        <v>8974</v>
      </c>
      <c r="B2443" s="14" t="s">
        <v>9004</v>
      </c>
      <c r="C2443" s="14" t="s">
        <v>8547</v>
      </c>
      <c r="D2443" s="14" t="s">
        <v>8531</v>
      </c>
      <c r="E2443" s="14" t="s">
        <v>219</v>
      </c>
      <c r="F2443" s="14" t="s">
        <v>220</v>
      </c>
      <c r="G2443" s="8" t="s">
        <v>8602</v>
      </c>
      <c r="H2443" s="14" t="s">
        <v>225</v>
      </c>
      <c r="I2443" s="14"/>
      <c r="J2443" s="14" t="s">
        <v>97</v>
      </c>
      <c r="K2443" s="14"/>
      <c r="L2443" s="14"/>
      <c r="M2443" s="14" t="s">
        <v>223</v>
      </c>
      <c r="N2443" s="14"/>
      <c r="O2443" s="14" t="s">
        <v>224</v>
      </c>
      <c r="P2443" s="14" t="str">
        <f>HYPERLINK("https://ceds.ed.gov/cedselementdetails.aspx?termid=17358")</f>
        <v>https://ceds.ed.gov/cedselementdetails.aspx?termid=17358</v>
      </c>
      <c r="Q2443" s="14" t="str">
        <f>HYPERLINK("https://ceds.ed.gov/elementComment.aspx?elementName=Address Type for Learner or Family &amp;elementID=17358", "Click here to submit comment")</f>
        <v>Click here to submit comment</v>
      </c>
      <c r="R2443" s="14">
        <v>49018</v>
      </c>
    </row>
    <row r="2444" spans="1:18" ht="225" x14ac:dyDescent="0.25">
      <c r="A2444" s="14" t="s">
        <v>8974</v>
      </c>
      <c r="B2444" s="14" t="s">
        <v>9004</v>
      </c>
      <c r="C2444" s="14" t="s">
        <v>8547</v>
      </c>
      <c r="D2444" s="14" t="s">
        <v>8531</v>
      </c>
      <c r="E2444" s="14" t="s">
        <v>214</v>
      </c>
      <c r="F2444" s="14" t="s">
        <v>215</v>
      </c>
      <c r="G2444" s="14" t="s">
        <v>37</v>
      </c>
      <c r="H2444" s="14" t="s">
        <v>199</v>
      </c>
      <c r="I2444" s="14" t="s">
        <v>195</v>
      </c>
      <c r="J2444" s="14" t="s">
        <v>216</v>
      </c>
      <c r="K2444" s="14" t="s">
        <v>196</v>
      </c>
      <c r="L2444" s="14"/>
      <c r="M2444" s="14" t="s">
        <v>217</v>
      </c>
      <c r="N2444" s="14"/>
      <c r="O2444" s="14" t="s">
        <v>218</v>
      </c>
      <c r="P2444" s="14" t="str">
        <f>HYPERLINK("https://ceds.ed.gov/cedselementdetails.aspx?termid=17269")</f>
        <v>https://ceds.ed.gov/cedselementdetails.aspx?termid=17269</v>
      </c>
      <c r="Q2444" s="14" t="str">
        <f>HYPERLINK("https://ceds.ed.gov/elementComment.aspx?elementName=Address Street Number and Name &amp;elementID=17269", "Click here to submit comment")</f>
        <v>Click here to submit comment</v>
      </c>
      <c r="R2444" s="14">
        <v>47787</v>
      </c>
    </row>
    <row r="2445" spans="1:18" ht="225" x14ac:dyDescent="0.25">
      <c r="A2445" s="14" t="s">
        <v>8974</v>
      </c>
      <c r="B2445" s="14" t="s">
        <v>9004</v>
      </c>
      <c r="C2445" s="14" t="s">
        <v>8547</v>
      </c>
      <c r="D2445" s="14" t="s">
        <v>8531</v>
      </c>
      <c r="E2445" s="14" t="s">
        <v>192</v>
      </c>
      <c r="F2445" s="14" t="s">
        <v>193</v>
      </c>
      <c r="G2445" s="14" t="s">
        <v>37</v>
      </c>
      <c r="H2445" s="14" t="s">
        <v>199</v>
      </c>
      <c r="I2445" s="14" t="s">
        <v>195</v>
      </c>
      <c r="J2445" s="14" t="s">
        <v>175</v>
      </c>
      <c r="K2445" s="14" t="s">
        <v>196</v>
      </c>
      <c r="L2445" s="14"/>
      <c r="M2445" s="14" t="s">
        <v>197</v>
      </c>
      <c r="N2445" s="14"/>
      <c r="O2445" s="14" t="s">
        <v>198</v>
      </c>
      <c r="P2445" s="14" t="str">
        <f>HYPERLINK("https://ceds.ed.gov/cedselementdetails.aspx?termid=17019")</f>
        <v>https://ceds.ed.gov/cedselementdetails.aspx?termid=17019</v>
      </c>
      <c r="Q2445" s="14" t="str">
        <f>HYPERLINK("https://ceds.ed.gov/elementComment.aspx?elementName=Address Apartment Room or Suite Number &amp;elementID=17019", "Click here to submit comment")</f>
        <v>Click here to submit comment</v>
      </c>
      <c r="R2445" s="14">
        <v>47729</v>
      </c>
    </row>
    <row r="2446" spans="1:18" ht="225" x14ac:dyDescent="0.25">
      <c r="A2446" s="14" t="s">
        <v>8974</v>
      </c>
      <c r="B2446" s="14" t="s">
        <v>9004</v>
      </c>
      <c r="C2446" s="14" t="s">
        <v>8547</v>
      </c>
      <c r="D2446" s="14" t="s">
        <v>8531</v>
      </c>
      <c r="E2446" s="14" t="s">
        <v>200</v>
      </c>
      <c r="F2446" s="14" t="s">
        <v>201</v>
      </c>
      <c r="G2446" s="14" t="s">
        <v>37</v>
      </c>
      <c r="H2446" s="14" t="s">
        <v>199</v>
      </c>
      <c r="I2446" s="14"/>
      <c r="J2446" s="14" t="s">
        <v>97</v>
      </c>
      <c r="K2446" s="14"/>
      <c r="L2446" s="14"/>
      <c r="M2446" s="14" t="s">
        <v>202</v>
      </c>
      <c r="N2446" s="14"/>
      <c r="O2446" s="14" t="s">
        <v>203</v>
      </c>
      <c r="P2446" s="14" t="str">
        <f>HYPERLINK("https://ceds.ed.gov/cedselementdetails.aspx?termid=17040")</f>
        <v>https://ceds.ed.gov/cedselementdetails.aspx?termid=17040</v>
      </c>
      <c r="Q2446" s="14" t="str">
        <f>HYPERLINK("https://ceds.ed.gov/elementComment.aspx?elementName=Address City &amp;elementID=17040", "Click here to submit comment")</f>
        <v>Click here to submit comment</v>
      </c>
      <c r="R2446" s="14">
        <v>47732</v>
      </c>
    </row>
    <row r="2447" spans="1:18" ht="409.5" x14ac:dyDescent="0.25">
      <c r="A2447" s="14" t="s">
        <v>8974</v>
      </c>
      <c r="B2447" s="14" t="s">
        <v>9004</v>
      </c>
      <c r="C2447" s="14" t="s">
        <v>8547</v>
      </c>
      <c r="D2447" s="14" t="s">
        <v>8531</v>
      </c>
      <c r="E2447" s="14" t="s">
        <v>7960</v>
      </c>
      <c r="F2447" s="14" t="s">
        <v>7961</v>
      </c>
      <c r="G2447" s="8" t="s">
        <v>8540</v>
      </c>
      <c r="H2447" s="14" t="s">
        <v>7964</v>
      </c>
      <c r="I2447" s="14"/>
      <c r="J2447" s="14"/>
      <c r="K2447" s="14"/>
      <c r="L2447" s="14"/>
      <c r="M2447" s="14" t="s">
        <v>7962</v>
      </c>
      <c r="N2447" s="14"/>
      <c r="O2447" s="14" t="s">
        <v>7963</v>
      </c>
      <c r="P2447" s="14" t="str">
        <f>HYPERLINK("https://ceds.ed.gov/cedselementdetails.aspx?termid=17267")</f>
        <v>https://ceds.ed.gov/cedselementdetails.aspx?termid=17267</v>
      </c>
      <c r="Q2447" s="14" t="str">
        <f>HYPERLINK("https://ceds.ed.gov/elementComment.aspx?elementName=State Abbreviation &amp;elementID=17267", "Click here to submit comment")</f>
        <v>Click here to submit comment</v>
      </c>
      <c r="R2447" s="14">
        <v>47785</v>
      </c>
    </row>
    <row r="2448" spans="1:18" ht="225" x14ac:dyDescent="0.25">
      <c r="A2448" s="14" t="s">
        <v>8974</v>
      </c>
      <c r="B2448" s="14" t="s">
        <v>9004</v>
      </c>
      <c r="C2448" s="14" t="s">
        <v>8547</v>
      </c>
      <c r="D2448" s="14" t="s">
        <v>8531</v>
      </c>
      <c r="E2448" s="14" t="s">
        <v>209</v>
      </c>
      <c r="F2448" s="14" t="s">
        <v>210</v>
      </c>
      <c r="G2448" s="14" t="s">
        <v>37</v>
      </c>
      <c r="H2448" s="14" t="s">
        <v>199</v>
      </c>
      <c r="I2448" s="14"/>
      <c r="J2448" s="14" t="s">
        <v>211</v>
      </c>
      <c r="K2448" s="14"/>
      <c r="L2448" s="14"/>
      <c r="M2448" s="14" t="s">
        <v>212</v>
      </c>
      <c r="N2448" s="14"/>
      <c r="O2448" s="14" t="s">
        <v>213</v>
      </c>
      <c r="P2448" s="14" t="str">
        <f>HYPERLINK("https://ceds.ed.gov/cedselementdetails.aspx?termid=17214")</f>
        <v>https://ceds.ed.gov/cedselementdetails.aspx?termid=17214</v>
      </c>
      <c r="Q2448" s="14" t="str">
        <f>HYPERLINK("https://ceds.ed.gov/elementComment.aspx?elementName=Address Postal Code &amp;elementID=17214", "Click here to submit comment")</f>
        <v>Click here to submit comment</v>
      </c>
      <c r="R2448" s="14">
        <v>47777</v>
      </c>
    </row>
    <row r="2449" spans="1:18" ht="225" x14ac:dyDescent="0.25">
      <c r="A2449" s="14" t="s">
        <v>8974</v>
      </c>
      <c r="B2449" s="14" t="s">
        <v>9004</v>
      </c>
      <c r="C2449" s="14" t="s">
        <v>8547</v>
      </c>
      <c r="D2449" s="14" t="s">
        <v>8531</v>
      </c>
      <c r="E2449" s="14" t="s">
        <v>204</v>
      </c>
      <c r="F2449" s="14" t="s">
        <v>205</v>
      </c>
      <c r="G2449" s="14" t="s">
        <v>37</v>
      </c>
      <c r="H2449" s="14" t="s">
        <v>199</v>
      </c>
      <c r="I2449" s="14"/>
      <c r="J2449" s="14" t="s">
        <v>97</v>
      </c>
      <c r="K2449" s="14"/>
      <c r="L2449" s="14"/>
      <c r="M2449" s="14" t="s">
        <v>207</v>
      </c>
      <c r="N2449" s="14"/>
      <c r="O2449" s="14" t="s">
        <v>208</v>
      </c>
      <c r="P2449" s="14" t="str">
        <f>HYPERLINK("https://ceds.ed.gov/cedselementdetails.aspx?termid=17190")</f>
        <v>https://ceds.ed.gov/cedselementdetails.aspx?termid=17190</v>
      </c>
      <c r="Q2449" s="14" t="str">
        <f>HYPERLINK("https://ceds.ed.gov/elementComment.aspx?elementName=Address County Name &amp;elementID=17190", "Click here to submit comment")</f>
        <v>Click here to submit comment</v>
      </c>
      <c r="R2449" s="14">
        <v>47770</v>
      </c>
    </row>
    <row r="2450" spans="1:18" ht="409.5" x14ac:dyDescent="0.25">
      <c r="A2450" s="14" t="s">
        <v>8974</v>
      </c>
      <c r="B2450" s="14" t="s">
        <v>9004</v>
      </c>
      <c r="C2450" s="14" t="s">
        <v>8547</v>
      </c>
      <c r="D2450" s="14" t="s">
        <v>8531</v>
      </c>
      <c r="E2450" s="14" t="s">
        <v>2845</v>
      </c>
      <c r="F2450" s="14" t="s">
        <v>2846</v>
      </c>
      <c r="G2450" s="8" t="s">
        <v>8548</v>
      </c>
      <c r="H2450" s="14" t="s">
        <v>2852</v>
      </c>
      <c r="I2450" s="14"/>
      <c r="J2450" s="14"/>
      <c r="K2450" s="14"/>
      <c r="L2450" s="6" t="s">
        <v>2849</v>
      </c>
      <c r="M2450" s="14" t="s">
        <v>2850</v>
      </c>
      <c r="N2450" s="14"/>
      <c r="O2450" s="14" t="s">
        <v>2851</v>
      </c>
      <c r="P2450" s="14" t="str">
        <f>HYPERLINK("https://ceds.ed.gov/cedselementdetails.aspx?termid=17050")</f>
        <v>https://ceds.ed.gov/cedselementdetails.aspx?termid=17050</v>
      </c>
      <c r="Q2450" s="14" t="str">
        <f>HYPERLINK("https://ceds.ed.gov/elementComment.aspx?elementName=Country Code &amp;elementID=17050", "Click here to submit comment")</f>
        <v>Click here to submit comment</v>
      </c>
      <c r="R2450" s="14">
        <v>47737</v>
      </c>
    </row>
    <row r="2451" spans="1:18" ht="409.5" x14ac:dyDescent="0.25">
      <c r="A2451" s="14" t="s">
        <v>8974</v>
      </c>
      <c r="B2451" s="14" t="s">
        <v>9004</v>
      </c>
      <c r="C2451" s="14" t="s">
        <v>8547</v>
      </c>
      <c r="D2451" s="14" t="s">
        <v>8531</v>
      </c>
      <c r="E2451" s="14" t="s">
        <v>8017</v>
      </c>
      <c r="F2451" s="14" t="s">
        <v>8018</v>
      </c>
      <c r="G2451" s="8" t="s">
        <v>8703</v>
      </c>
      <c r="H2451" s="14" t="s">
        <v>225</v>
      </c>
      <c r="I2451" s="14"/>
      <c r="J2451" s="14"/>
      <c r="K2451" s="14"/>
      <c r="L2451" s="14"/>
      <c r="M2451" s="14" t="s">
        <v>8020</v>
      </c>
      <c r="N2451" s="14"/>
      <c r="O2451" s="14" t="s">
        <v>8021</v>
      </c>
      <c r="P2451" s="14" t="str">
        <f>HYPERLINK("https://ceds.ed.gov/cedselementdetails.aspx?termid=17268")</f>
        <v>https://ceds.ed.gov/cedselementdetails.aspx?termid=17268</v>
      </c>
      <c r="Q2451" s="14" t="str">
        <f>HYPERLINK("https://ceds.ed.gov/elementComment.aspx?elementName=State of Residence &amp;elementID=17268", "Click here to submit comment")</f>
        <v>Click here to submit comment</v>
      </c>
      <c r="R2451" s="14">
        <v>47786</v>
      </c>
    </row>
    <row r="2452" spans="1:18" ht="75" x14ac:dyDescent="0.25">
      <c r="A2452" s="14" t="s">
        <v>8974</v>
      </c>
      <c r="B2452" s="14" t="s">
        <v>9004</v>
      </c>
      <c r="C2452" s="14" t="s">
        <v>8547</v>
      </c>
      <c r="D2452" s="14" t="s">
        <v>8531</v>
      </c>
      <c r="E2452" s="14" t="s">
        <v>5736</v>
      </c>
      <c r="F2452" s="14" t="s">
        <v>5737</v>
      </c>
      <c r="G2452" s="14" t="s">
        <v>37</v>
      </c>
      <c r="H2452" s="14"/>
      <c r="I2452" s="14"/>
      <c r="J2452" s="14" t="s">
        <v>1307</v>
      </c>
      <c r="K2452" s="14"/>
      <c r="L2452" s="14"/>
      <c r="M2452" s="14" t="s">
        <v>5739</v>
      </c>
      <c r="N2452" s="14"/>
      <c r="O2452" s="14" t="s">
        <v>5736</v>
      </c>
      <c r="P2452" s="14" t="str">
        <f>HYPERLINK("https://ceds.ed.gov/cedselementdetails.aspx?termid=17599")</f>
        <v>https://ceds.ed.gov/cedselementdetails.aspx?termid=17599</v>
      </c>
      <c r="Q2452" s="14" t="str">
        <f>HYPERLINK("https://ceds.ed.gov/elementComment.aspx?elementName=Latitude &amp;elementID=17599", "Click here to submit comment")</f>
        <v>Click here to submit comment</v>
      </c>
      <c r="R2452" s="14">
        <v>51263</v>
      </c>
    </row>
    <row r="2453" spans="1:18" ht="75" x14ac:dyDescent="0.25">
      <c r="A2453" s="14" t="s">
        <v>8974</v>
      </c>
      <c r="B2453" s="14" t="s">
        <v>9004</v>
      </c>
      <c r="C2453" s="14" t="s">
        <v>8547</v>
      </c>
      <c r="D2453" s="14" t="s">
        <v>8531</v>
      </c>
      <c r="E2453" s="14" t="s">
        <v>6174</v>
      </c>
      <c r="F2453" s="14" t="s">
        <v>6175</v>
      </c>
      <c r="G2453" s="14" t="s">
        <v>37</v>
      </c>
      <c r="H2453" s="14"/>
      <c r="I2453" s="14"/>
      <c r="J2453" s="14" t="s">
        <v>1307</v>
      </c>
      <c r="K2453" s="14"/>
      <c r="L2453" s="14"/>
      <c r="M2453" s="14" t="s">
        <v>6176</v>
      </c>
      <c r="N2453" s="14"/>
      <c r="O2453" s="14" t="s">
        <v>6174</v>
      </c>
      <c r="P2453" s="14" t="str">
        <f>HYPERLINK("https://ceds.ed.gov/cedselementdetails.aspx?termid=17600")</f>
        <v>https://ceds.ed.gov/cedselementdetails.aspx?termid=17600</v>
      </c>
      <c r="Q2453" s="14" t="str">
        <f>HYPERLINK("https://ceds.ed.gov/elementComment.aspx?elementName=Longitude &amp;elementID=17600", "Click here to submit comment")</f>
        <v>Click here to submit comment</v>
      </c>
      <c r="R2453" s="14">
        <v>51286</v>
      </c>
    </row>
    <row r="2454" spans="1:18" ht="195" x14ac:dyDescent="0.25">
      <c r="A2454" s="14" t="s">
        <v>8974</v>
      </c>
      <c r="B2454" s="14" t="s">
        <v>9004</v>
      </c>
      <c r="C2454" s="14" t="s">
        <v>8547</v>
      </c>
      <c r="D2454" s="14" t="s">
        <v>8541</v>
      </c>
      <c r="E2454" s="14" t="s">
        <v>2860</v>
      </c>
      <c r="F2454" s="14" t="s">
        <v>2861</v>
      </c>
      <c r="G2454" s="14" t="s">
        <v>37</v>
      </c>
      <c r="H2454" s="14"/>
      <c r="I2454" s="14" t="s">
        <v>195</v>
      </c>
      <c r="J2454" s="14" t="s">
        <v>2863</v>
      </c>
      <c r="K2454" s="14" t="s">
        <v>2864</v>
      </c>
      <c r="L2454" s="14"/>
      <c r="M2454" s="14" t="s">
        <v>2865</v>
      </c>
      <c r="N2454" s="14"/>
      <c r="O2454" s="14" t="s">
        <v>2866</v>
      </c>
      <c r="P2454" s="14" t="str">
        <f>HYPERLINK("https://ceds.ed.gov/cedselementdetails.aspx?termid=18176")</f>
        <v>https://ceds.ed.gov/cedselementdetails.aspx?termid=18176</v>
      </c>
      <c r="Q2454" s="14" t="str">
        <f>HYPERLINK("https://ceds.ed.gov/elementComment.aspx?elementName=County ANSI Code &amp;elementID=18176", "Click here to submit comment")</f>
        <v>Click here to submit comment</v>
      </c>
      <c r="R2454" s="14">
        <v>52426</v>
      </c>
    </row>
    <row r="2455" spans="1:18" ht="60" x14ac:dyDescent="0.25">
      <c r="A2455" s="14" t="s">
        <v>8974</v>
      </c>
      <c r="B2455" s="14" t="s">
        <v>9004</v>
      </c>
      <c r="C2455" s="14" t="s">
        <v>8547</v>
      </c>
      <c r="D2455" s="14" t="s">
        <v>8541</v>
      </c>
      <c r="E2455" s="14" t="s">
        <v>3651</v>
      </c>
      <c r="F2455" s="14" t="s">
        <v>3652</v>
      </c>
      <c r="G2455" s="14" t="s">
        <v>3430</v>
      </c>
      <c r="H2455" s="14"/>
      <c r="I2455" s="14" t="s">
        <v>188</v>
      </c>
      <c r="J2455" s="14"/>
      <c r="K2455" s="14" t="s">
        <v>1721</v>
      </c>
      <c r="L2455" s="14"/>
      <c r="M2455" s="14" t="s">
        <v>3654</v>
      </c>
      <c r="N2455" s="14"/>
      <c r="O2455" s="14" t="s">
        <v>3655</v>
      </c>
      <c r="P2455" s="14" t="str">
        <f>HYPERLINK("https://ceds.ed.gov/cedselementdetails.aspx?termid=18905")</f>
        <v>https://ceds.ed.gov/cedselementdetails.aspx?termid=18905</v>
      </c>
      <c r="Q2455" s="14" t="str">
        <f>HYPERLINK("https://ceds.ed.gov/elementComment.aspx?elementName=Do Not Publish Indicator &amp;elementID=18905", "Click here to submit comment")</f>
        <v>Click here to submit comment</v>
      </c>
      <c r="R2455" s="14">
        <v>52427</v>
      </c>
    </row>
    <row r="2456" spans="1:18" ht="90" x14ac:dyDescent="0.25">
      <c r="A2456" s="14" t="s">
        <v>8974</v>
      </c>
      <c r="B2456" s="14" t="s">
        <v>9004</v>
      </c>
      <c r="C2456" s="14" t="s">
        <v>8549</v>
      </c>
      <c r="D2456" s="14" t="s">
        <v>8531</v>
      </c>
      <c r="E2456" s="14" t="s">
        <v>8217</v>
      </c>
      <c r="F2456" s="14" t="s">
        <v>8218</v>
      </c>
      <c r="G2456" s="14" t="s">
        <v>37</v>
      </c>
      <c r="H2456" s="14" t="s">
        <v>72</v>
      </c>
      <c r="I2456" s="14"/>
      <c r="J2456" s="14" t="s">
        <v>8220</v>
      </c>
      <c r="K2456" s="14"/>
      <c r="L2456" s="14"/>
      <c r="M2456" s="14" t="s">
        <v>8221</v>
      </c>
      <c r="N2456" s="14"/>
      <c r="O2456" s="14" t="s">
        <v>8222</v>
      </c>
      <c r="P2456" s="14" t="str">
        <f>HYPERLINK("https://ceds.ed.gov/cedselementdetails.aspx?termid=17279")</f>
        <v>https://ceds.ed.gov/cedselementdetails.aspx?termid=17279</v>
      </c>
      <c r="Q2456" s="14" t="str">
        <f>HYPERLINK("https://ceds.ed.gov/elementComment.aspx?elementName=Telephone Number &amp;elementID=17279", "Click here to submit comment")</f>
        <v>Click here to submit comment</v>
      </c>
      <c r="R2456" s="14">
        <v>47789</v>
      </c>
    </row>
    <row r="2457" spans="1:18" ht="90" x14ac:dyDescent="0.25">
      <c r="A2457" s="14" t="s">
        <v>8974</v>
      </c>
      <c r="B2457" s="14" t="s">
        <v>9004</v>
      </c>
      <c r="C2457" s="14" t="s">
        <v>8549</v>
      </c>
      <c r="D2457" s="14" t="s">
        <v>8531</v>
      </c>
      <c r="E2457" s="14" t="s">
        <v>8229</v>
      </c>
      <c r="F2457" s="14" t="s">
        <v>8230</v>
      </c>
      <c r="G2457" s="8" t="s">
        <v>8550</v>
      </c>
      <c r="H2457" s="14" t="s">
        <v>72</v>
      </c>
      <c r="I2457" s="14"/>
      <c r="J2457" s="14" t="s">
        <v>2870</v>
      </c>
      <c r="K2457" s="14"/>
      <c r="L2457" s="14"/>
      <c r="M2457" s="14" t="s">
        <v>8233</v>
      </c>
      <c r="N2457" s="14"/>
      <c r="O2457" s="14" t="s">
        <v>8234</v>
      </c>
      <c r="P2457" s="14" t="str">
        <f>HYPERLINK("https://ceds.ed.gov/cedselementdetails.aspx?termid=17280")</f>
        <v>https://ceds.ed.gov/cedselementdetails.aspx?termid=17280</v>
      </c>
      <c r="Q2457" s="14" t="str">
        <f>HYPERLINK("https://ceds.ed.gov/elementComment.aspx?elementName=Telephone Number Type &amp;elementID=17280", "Click here to submit comment")</f>
        <v>Click here to submit comment</v>
      </c>
      <c r="R2457" s="14">
        <v>47790</v>
      </c>
    </row>
    <row r="2458" spans="1:18" ht="90" x14ac:dyDescent="0.25">
      <c r="A2458" s="14" t="s">
        <v>8974</v>
      </c>
      <c r="B2458" s="14" t="s">
        <v>9004</v>
      </c>
      <c r="C2458" s="14" t="s">
        <v>8549</v>
      </c>
      <c r="D2458" s="14" t="s">
        <v>8531</v>
      </c>
      <c r="E2458" s="14" t="s">
        <v>6865</v>
      </c>
      <c r="F2458" s="14" t="s">
        <v>6866</v>
      </c>
      <c r="G2458" s="14" t="s">
        <v>24</v>
      </c>
      <c r="H2458" s="14" t="s">
        <v>72</v>
      </c>
      <c r="I2458" s="14"/>
      <c r="J2458" s="14"/>
      <c r="K2458" s="14"/>
      <c r="L2458" s="14"/>
      <c r="M2458" s="14" t="s">
        <v>6868</v>
      </c>
      <c r="N2458" s="14"/>
      <c r="O2458" s="14" t="s">
        <v>6869</v>
      </c>
      <c r="P2458" s="14" t="str">
        <f>HYPERLINK("https://ceds.ed.gov/cedselementdetails.aspx?termid=17219")</f>
        <v>https://ceds.ed.gov/cedselementdetails.aspx?termid=17219</v>
      </c>
      <c r="Q2458" s="14" t="str">
        <f>HYPERLINK("https://ceds.ed.gov/elementComment.aspx?elementName=Primary Telephone Number Indicator &amp;elementID=17219", "Click here to submit comment")</f>
        <v>Click here to submit comment</v>
      </c>
      <c r="R2458" s="14">
        <v>47778</v>
      </c>
    </row>
    <row r="2459" spans="1:18" ht="60" x14ac:dyDescent="0.25">
      <c r="A2459" s="14" t="s">
        <v>8974</v>
      </c>
      <c r="B2459" s="14" t="s">
        <v>9004</v>
      </c>
      <c r="C2459" s="14" t="s">
        <v>8549</v>
      </c>
      <c r="D2459" s="14" t="s">
        <v>8541</v>
      </c>
      <c r="E2459" s="14" t="s">
        <v>3651</v>
      </c>
      <c r="F2459" s="14" t="s">
        <v>3652</v>
      </c>
      <c r="G2459" s="14" t="s">
        <v>3430</v>
      </c>
      <c r="H2459" s="14"/>
      <c r="I2459" s="14" t="s">
        <v>188</v>
      </c>
      <c r="J2459" s="14"/>
      <c r="K2459" s="14" t="s">
        <v>1721</v>
      </c>
      <c r="L2459" s="14"/>
      <c r="M2459" s="14" t="s">
        <v>3654</v>
      </c>
      <c r="N2459" s="14"/>
      <c r="O2459" s="14" t="s">
        <v>3655</v>
      </c>
      <c r="P2459" s="14" t="str">
        <f>HYPERLINK("https://ceds.ed.gov/cedselementdetails.aspx?termid=18905")</f>
        <v>https://ceds.ed.gov/cedselementdetails.aspx?termid=18905</v>
      </c>
      <c r="Q2459" s="14" t="str">
        <f>HYPERLINK("https://ceds.ed.gov/elementComment.aspx?elementName=Do Not Publish Indicator &amp;elementID=18905", "Click here to submit comment")</f>
        <v>Click here to submit comment</v>
      </c>
      <c r="R2459" s="14">
        <v>52429</v>
      </c>
    </row>
    <row r="2460" spans="1:18" ht="60" x14ac:dyDescent="0.25">
      <c r="A2460" s="14" t="s">
        <v>8974</v>
      </c>
      <c r="B2460" s="14" t="s">
        <v>9004</v>
      </c>
      <c r="C2460" s="14" t="s">
        <v>8549</v>
      </c>
      <c r="D2460" s="14" t="s">
        <v>8541</v>
      </c>
      <c r="E2460" s="14" t="s">
        <v>8223</v>
      </c>
      <c r="F2460" s="14" t="s">
        <v>8224</v>
      </c>
      <c r="G2460" s="8" t="s">
        <v>8544</v>
      </c>
      <c r="H2460" s="14"/>
      <c r="I2460" s="14" t="s">
        <v>188</v>
      </c>
      <c r="J2460" s="14"/>
      <c r="K2460" s="14" t="s">
        <v>1721</v>
      </c>
      <c r="L2460" s="14"/>
      <c r="M2460" s="14" t="s">
        <v>8227</v>
      </c>
      <c r="N2460" s="14"/>
      <c r="O2460" s="14" t="s">
        <v>8228</v>
      </c>
      <c r="P2460" s="14" t="str">
        <f>HYPERLINK("https://ceds.ed.gov/cedselementdetails.aspx?termid=18911")</f>
        <v>https://ceds.ed.gov/cedselementdetails.aspx?termid=18911</v>
      </c>
      <c r="Q2460" s="14" t="str">
        <f>HYPERLINK("https://ceds.ed.gov/elementComment.aspx?elementName=Telephone Number Listed Status &amp;elementID=18911", "Click here to submit comment")</f>
        <v>Click here to submit comment</v>
      </c>
      <c r="R2460" s="14">
        <v>52430</v>
      </c>
    </row>
    <row r="2461" spans="1:18" ht="90" x14ac:dyDescent="0.25">
      <c r="A2461" s="14" t="s">
        <v>8974</v>
      </c>
      <c r="B2461" s="14" t="s">
        <v>9004</v>
      </c>
      <c r="C2461" s="14" t="s">
        <v>8551</v>
      </c>
      <c r="D2461" s="14" t="s">
        <v>8531</v>
      </c>
      <c r="E2461" s="14" t="s">
        <v>3931</v>
      </c>
      <c r="F2461" s="14" t="s">
        <v>3932</v>
      </c>
      <c r="G2461" s="14" t="s">
        <v>37</v>
      </c>
      <c r="H2461" s="14" t="s">
        <v>72</v>
      </c>
      <c r="I2461" s="14"/>
      <c r="J2461" s="14" t="s">
        <v>3934</v>
      </c>
      <c r="K2461" s="14"/>
      <c r="L2461" s="14"/>
      <c r="M2461" s="14" t="s">
        <v>3935</v>
      </c>
      <c r="N2461" s="14" t="s">
        <v>3936</v>
      </c>
      <c r="O2461" s="14" t="s">
        <v>3937</v>
      </c>
      <c r="P2461" s="14" t="str">
        <f>HYPERLINK("https://ceds.ed.gov/cedselementdetails.aspx?termid=17088")</f>
        <v>https://ceds.ed.gov/cedselementdetails.aspx?termid=17088</v>
      </c>
      <c r="Q2461" s="14" t="str">
        <f>HYPERLINK("https://ceds.ed.gov/elementComment.aspx?elementName=Electronic Mail Address &amp;elementID=17088", "Click here to submit comment")</f>
        <v>Click here to submit comment</v>
      </c>
      <c r="R2461" s="14">
        <v>49020</v>
      </c>
    </row>
    <row r="2462" spans="1:18" ht="90" x14ac:dyDescent="0.25">
      <c r="A2462" s="14" t="s">
        <v>8974</v>
      </c>
      <c r="B2462" s="14" t="s">
        <v>9004</v>
      </c>
      <c r="C2462" s="14" t="s">
        <v>8551</v>
      </c>
      <c r="D2462" s="14" t="s">
        <v>8531</v>
      </c>
      <c r="E2462" s="14" t="s">
        <v>3938</v>
      </c>
      <c r="F2462" s="14" t="s">
        <v>3939</v>
      </c>
      <c r="G2462" s="8" t="s">
        <v>8552</v>
      </c>
      <c r="H2462" s="14" t="s">
        <v>72</v>
      </c>
      <c r="I2462" s="14"/>
      <c r="J2462" s="14"/>
      <c r="K2462" s="14"/>
      <c r="L2462" s="14"/>
      <c r="M2462" s="14" t="s">
        <v>3941</v>
      </c>
      <c r="N2462" s="14" t="s">
        <v>3942</v>
      </c>
      <c r="O2462" s="14" t="s">
        <v>3943</v>
      </c>
      <c r="P2462" s="14" t="str">
        <f>HYPERLINK("https://ceds.ed.gov/cedselementdetails.aspx?termid=17089")</f>
        <v>https://ceds.ed.gov/cedselementdetails.aspx?termid=17089</v>
      </c>
      <c r="Q2462" s="14" t="str">
        <f>HYPERLINK("https://ceds.ed.gov/elementComment.aspx?elementName=Electronic Mail Address Type &amp;elementID=17089", "Click here to submit comment")</f>
        <v>Click here to submit comment</v>
      </c>
      <c r="R2462" s="14">
        <v>49019</v>
      </c>
    </row>
    <row r="2463" spans="1:18" ht="60" x14ac:dyDescent="0.25">
      <c r="A2463" s="14" t="s">
        <v>8974</v>
      </c>
      <c r="B2463" s="14" t="s">
        <v>9004</v>
      </c>
      <c r="C2463" s="14" t="s">
        <v>8551</v>
      </c>
      <c r="D2463" s="14" t="s">
        <v>8541</v>
      </c>
      <c r="E2463" s="14" t="s">
        <v>3651</v>
      </c>
      <c r="F2463" s="14" t="s">
        <v>3652</v>
      </c>
      <c r="G2463" s="14" t="s">
        <v>3430</v>
      </c>
      <c r="H2463" s="14"/>
      <c r="I2463" s="14" t="s">
        <v>188</v>
      </c>
      <c r="J2463" s="14"/>
      <c r="K2463" s="14" t="s">
        <v>1721</v>
      </c>
      <c r="L2463" s="14"/>
      <c r="M2463" s="14" t="s">
        <v>3654</v>
      </c>
      <c r="N2463" s="14"/>
      <c r="O2463" s="14" t="s">
        <v>3655</v>
      </c>
      <c r="P2463" s="14" t="str">
        <f>HYPERLINK("https://ceds.ed.gov/cedselementdetails.aspx?termid=18905")</f>
        <v>https://ceds.ed.gov/cedselementdetails.aspx?termid=18905</v>
      </c>
      <c r="Q2463" s="14" t="str">
        <f>HYPERLINK("https://ceds.ed.gov/elementComment.aspx?elementName=Do Not Publish Indicator &amp;elementID=18905", "Click here to submit comment")</f>
        <v>Click here to submit comment</v>
      </c>
      <c r="R2463" s="14">
        <v>52428</v>
      </c>
    </row>
    <row r="2464" spans="1:18" ht="240" x14ac:dyDescent="0.25">
      <c r="A2464" s="14" t="s">
        <v>8974</v>
      </c>
      <c r="B2464" s="14" t="s">
        <v>9004</v>
      </c>
      <c r="C2464" s="14" t="s">
        <v>8603</v>
      </c>
      <c r="D2464" s="14" t="s">
        <v>8531</v>
      </c>
      <c r="E2464" s="14" t="s">
        <v>1741</v>
      </c>
      <c r="F2464" s="14" t="s">
        <v>1742</v>
      </c>
      <c r="G2464" s="14" t="s">
        <v>37</v>
      </c>
      <c r="H2464" s="14" t="s">
        <v>1745</v>
      </c>
      <c r="I2464" s="14"/>
      <c r="J2464" s="14" t="s">
        <v>135</v>
      </c>
      <c r="K2464" s="14"/>
      <c r="L2464" s="14"/>
      <c r="M2464" s="14" t="s">
        <v>1744</v>
      </c>
      <c r="N2464" s="14"/>
      <c r="O2464" s="14" t="s">
        <v>1741</v>
      </c>
      <c r="P2464" s="14" t="str">
        <f>HYPERLINK("https://ceds.ed.gov/cedselementdetails.aspx?termid=17033")</f>
        <v>https://ceds.ed.gov/cedselementdetails.aspx?termid=17033</v>
      </c>
      <c r="Q2464" s="14" t="str">
        <f>HYPERLINK("https://ceds.ed.gov/elementComment.aspx?elementName=Birthdate &amp;elementID=17033", "Click here to submit comment")</f>
        <v>Click here to submit comment</v>
      </c>
      <c r="R2464" s="14">
        <v>47730</v>
      </c>
    </row>
    <row r="2465" spans="1:18" ht="255" x14ac:dyDescent="0.25">
      <c r="A2465" s="14" t="s">
        <v>8974</v>
      </c>
      <c r="B2465" s="14" t="s">
        <v>9004</v>
      </c>
      <c r="C2465" s="14" t="s">
        <v>8603</v>
      </c>
      <c r="D2465" s="14" t="s">
        <v>8531</v>
      </c>
      <c r="E2465" s="14" t="s">
        <v>7756</v>
      </c>
      <c r="F2465" s="14" t="s">
        <v>7757</v>
      </c>
      <c r="G2465" s="8" t="s">
        <v>8604</v>
      </c>
      <c r="H2465" s="14" t="s">
        <v>7761</v>
      </c>
      <c r="I2465" s="14"/>
      <c r="J2465" s="14"/>
      <c r="K2465" s="14"/>
      <c r="L2465" s="14" t="s">
        <v>7759</v>
      </c>
      <c r="M2465" s="14" t="s">
        <v>7760</v>
      </c>
      <c r="N2465" s="14"/>
      <c r="O2465" s="14" t="s">
        <v>7756</v>
      </c>
      <c r="P2465" s="14" t="str">
        <f>HYPERLINK("https://ceds.ed.gov/cedselementdetails.aspx?termid=17255")</f>
        <v>https://ceds.ed.gov/cedselementdetails.aspx?termid=17255</v>
      </c>
      <c r="Q2465" s="14" t="str">
        <f>HYPERLINK("https://ceds.ed.gov/elementComment.aspx?elementName=Sex &amp;elementID=17255", "Click here to submit comment")</f>
        <v>Click here to submit comment</v>
      </c>
      <c r="R2465" s="14">
        <v>47781</v>
      </c>
    </row>
    <row r="2466" spans="1:18" ht="30" x14ac:dyDescent="0.25">
      <c r="A2466" s="16" t="s">
        <v>8974</v>
      </c>
      <c r="B2466" s="16" t="s">
        <v>9004</v>
      </c>
      <c r="C2466" s="16" t="s">
        <v>8603</v>
      </c>
      <c r="D2466" s="16" t="s">
        <v>8531</v>
      </c>
      <c r="E2466" s="16" t="s">
        <v>418</v>
      </c>
      <c r="F2466" s="16" t="s">
        <v>419</v>
      </c>
      <c r="G2466" s="18" t="s">
        <v>8605</v>
      </c>
      <c r="H2466" s="16" t="s">
        <v>426</v>
      </c>
      <c r="I2466" s="16"/>
      <c r="J2466" s="16"/>
      <c r="K2466" s="16"/>
      <c r="L2466" s="14" t="s">
        <v>422</v>
      </c>
      <c r="M2466" s="16" t="s">
        <v>423</v>
      </c>
      <c r="N2466" s="16" t="s">
        <v>424</v>
      </c>
      <c r="O2466" s="16" t="s">
        <v>425</v>
      </c>
      <c r="P2466" s="16" t="str">
        <f>HYPERLINK("https://ceds.ed.gov/cedselementdetails.aspx?termid=17655")</f>
        <v>https://ceds.ed.gov/cedselementdetails.aspx?termid=17655</v>
      </c>
      <c r="Q2466" s="16" t="str">
        <f>HYPERLINK("https://ceds.ed.gov/elementComment.aspx?elementName=American Indian or Alaska Native &amp;elementID=17655", "Click here to submit comment")</f>
        <v>Click here to submit comment</v>
      </c>
      <c r="R2466" s="16">
        <v>47798</v>
      </c>
    </row>
    <row r="2467" spans="1:18" x14ac:dyDescent="0.25">
      <c r="A2467" s="16"/>
      <c r="B2467" s="16"/>
      <c r="C2467" s="16"/>
      <c r="D2467" s="16"/>
      <c r="E2467" s="16"/>
      <c r="F2467" s="16"/>
      <c r="G2467" s="16"/>
      <c r="H2467" s="16"/>
      <c r="I2467" s="16"/>
      <c r="J2467" s="16"/>
      <c r="K2467" s="16"/>
      <c r="L2467" s="14"/>
      <c r="M2467" s="16"/>
      <c r="N2467" s="16"/>
      <c r="O2467" s="16"/>
      <c r="P2467" s="16"/>
      <c r="Q2467" s="16"/>
      <c r="R2467" s="16"/>
    </row>
    <row r="2468" spans="1:18" x14ac:dyDescent="0.25">
      <c r="A2468" s="16"/>
      <c r="B2468" s="16"/>
      <c r="C2468" s="16"/>
      <c r="D2468" s="16"/>
      <c r="E2468" s="16"/>
      <c r="F2468" s="16"/>
      <c r="G2468" s="16"/>
      <c r="H2468" s="16"/>
      <c r="I2468" s="16"/>
      <c r="J2468" s="16"/>
      <c r="K2468" s="16"/>
      <c r="L2468" s="14" t="s">
        <v>427</v>
      </c>
      <c r="M2468" s="16"/>
      <c r="N2468" s="16"/>
      <c r="O2468" s="16"/>
      <c r="P2468" s="16"/>
      <c r="Q2468" s="16"/>
      <c r="R2468" s="16"/>
    </row>
    <row r="2469" spans="1:18" ht="30" x14ac:dyDescent="0.25">
      <c r="A2469" s="16"/>
      <c r="B2469" s="16"/>
      <c r="C2469" s="16"/>
      <c r="D2469" s="16"/>
      <c r="E2469" s="16"/>
      <c r="F2469" s="16"/>
      <c r="G2469" s="16"/>
      <c r="H2469" s="16"/>
      <c r="I2469" s="16"/>
      <c r="J2469" s="16"/>
      <c r="K2469" s="16"/>
      <c r="L2469" s="14" t="s">
        <v>428</v>
      </c>
      <c r="M2469" s="16"/>
      <c r="N2469" s="16"/>
      <c r="O2469" s="16"/>
      <c r="P2469" s="16"/>
      <c r="Q2469" s="16"/>
      <c r="R2469" s="16"/>
    </row>
    <row r="2470" spans="1:18" x14ac:dyDescent="0.25">
      <c r="A2470" s="16"/>
      <c r="B2470" s="16"/>
      <c r="C2470" s="16"/>
      <c r="D2470" s="16"/>
      <c r="E2470" s="16"/>
      <c r="F2470" s="16"/>
      <c r="G2470" s="16"/>
      <c r="H2470" s="16"/>
      <c r="I2470" s="16"/>
      <c r="J2470" s="16"/>
      <c r="K2470" s="16"/>
      <c r="L2470" s="14" t="s">
        <v>429</v>
      </c>
      <c r="M2470" s="16"/>
      <c r="N2470" s="16"/>
      <c r="O2470" s="16"/>
      <c r="P2470" s="16"/>
      <c r="Q2470" s="16"/>
      <c r="R2470" s="16"/>
    </row>
    <row r="2471" spans="1:18" ht="30" x14ac:dyDescent="0.25">
      <c r="A2471" s="16" t="s">
        <v>8974</v>
      </c>
      <c r="B2471" s="16" t="s">
        <v>9004</v>
      </c>
      <c r="C2471" s="16" t="s">
        <v>8603</v>
      </c>
      <c r="D2471" s="16" t="s">
        <v>8531</v>
      </c>
      <c r="E2471" s="16" t="s">
        <v>468</v>
      </c>
      <c r="F2471" s="16" t="s">
        <v>469</v>
      </c>
      <c r="G2471" s="18" t="s">
        <v>8605</v>
      </c>
      <c r="H2471" s="16" t="s">
        <v>426</v>
      </c>
      <c r="I2471" s="16"/>
      <c r="J2471" s="16"/>
      <c r="K2471" s="16"/>
      <c r="L2471" s="14" t="s">
        <v>422</v>
      </c>
      <c r="M2471" s="16" t="s">
        <v>470</v>
      </c>
      <c r="N2471" s="16" t="s">
        <v>471</v>
      </c>
      <c r="O2471" s="16" t="s">
        <v>468</v>
      </c>
      <c r="P2471" s="16" t="str">
        <f>HYPERLINK("https://ceds.ed.gov/cedselementdetails.aspx?termid=17656")</f>
        <v>https://ceds.ed.gov/cedselementdetails.aspx?termid=17656</v>
      </c>
      <c r="Q2471" s="16" t="str">
        <f>HYPERLINK("https://ceds.ed.gov/elementComment.aspx?elementName=Asian &amp;elementID=17656", "Click here to submit comment")</f>
        <v>Click here to submit comment</v>
      </c>
      <c r="R2471" s="16">
        <v>47799</v>
      </c>
    </row>
    <row r="2472" spans="1:18" x14ac:dyDescent="0.25">
      <c r="A2472" s="16"/>
      <c r="B2472" s="16"/>
      <c r="C2472" s="16"/>
      <c r="D2472" s="16"/>
      <c r="E2472" s="16"/>
      <c r="F2472" s="16"/>
      <c r="G2472" s="16"/>
      <c r="H2472" s="16"/>
      <c r="I2472" s="16"/>
      <c r="J2472" s="16"/>
      <c r="K2472" s="16"/>
      <c r="L2472" s="14"/>
      <c r="M2472" s="16"/>
      <c r="N2472" s="16"/>
      <c r="O2472" s="16"/>
      <c r="P2472" s="16"/>
      <c r="Q2472" s="16"/>
      <c r="R2472" s="16"/>
    </row>
    <row r="2473" spans="1:18" x14ac:dyDescent="0.25">
      <c r="A2473" s="16"/>
      <c r="B2473" s="16"/>
      <c r="C2473" s="16"/>
      <c r="D2473" s="16"/>
      <c r="E2473" s="16"/>
      <c r="F2473" s="16"/>
      <c r="G2473" s="16"/>
      <c r="H2473" s="16"/>
      <c r="I2473" s="16"/>
      <c r="J2473" s="16"/>
      <c r="K2473" s="16"/>
      <c r="L2473" s="14" t="s">
        <v>427</v>
      </c>
      <c r="M2473" s="16"/>
      <c r="N2473" s="16"/>
      <c r="O2473" s="16"/>
      <c r="P2473" s="16"/>
      <c r="Q2473" s="16"/>
      <c r="R2473" s="16"/>
    </row>
    <row r="2474" spans="1:18" ht="30" x14ac:dyDescent="0.25">
      <c r="A2474" s="16"/>
      <c r="B2474" s="16"/>
      <c r="C2474" s="16"/>
      <c r="D2474" s="16"/>
      <c r="E2474" s="16"/>
      <c r="F2474" s="16"/>
      <c r="G2474" s="16"/>
      <c r="H2474" s="16"/>
      <c r="I2474" s="16"/>
      <c r="J2474" s="16"/>
      <c r="K2474" s="16"/>
      <c r="L2474" s="14" t="s">
        <v>428</v>
      </c>
      <c r="M2474" s="16"/>
      <c r="N2474" s="16"/>
      <c r="O2474" s="16"/>
      <c r="P2474" s="16"/>
      <c r="Q2474" s="16"/>
      <c r="R2474" s="16"/>
    </row>
    <row r="2475" spans="1:18" x14ac:dyDescent="0.25">
      <c r="A2475" s="16"/>
      <c r="B2475" s="16"/>
      <c r="C2475" s="16"/>
      <c r="D2475" s="16"/>
      <c r="E2475" s="16"/>
      <c r="F2475" s="16"/>
      <c r="G2475" s="16"/>
      <c r="H2475" s="16"/>
      <c r="I2475" s="16"/>
      <c r="J2475" s="16"/>
      <c r="K2475" s="16"/>
      <c r="L2475" s="14" t="s">
        <v>429</v>
      </c>
      <c r="M2475" s="16"/>
      <c r="N2475" s="16"/>
      <c r="O2475" s="16"/>
      <c r="P2475" s="16"/>
      <c r="Q2475" s="16"/>
      <c r="R2475" s="16"/>
    </row>
    <row r="2476" spans="1:18" ht="30" x14ac:dyDescent="0.25">
      <c r="A2476" s="16" t="s">
        <v>8974</v>
      </c>
      <c r="B2476" s="16" t="s">
        <v>9004</v>
      </c>
      <c r="C2476" s="16" t="s">
        <v>8603</v>
      </c>
      <c r="D2476" s="16" t="s">
        <v>8531</v>
      </c>
      <c r="E2476" s="16" t="s">
        <v>1752</v>
      </c>
      <c r="F2476" s="16" t="s">
        <v>1753</v>
      </c>
      <c r="G2476" s="18" t="s">
        <v>8605</v>
      </c>
      <c r="H2476" s="16" t="s">
        <v>426</v>
      </c>
      <c r="I2476" s="16"/>
      <c r="J2476" s="16"/>
      <c r="K2476" s="16"/>
      <c r="L2476" s="14" t="s">
        <v>422</v>
      </c>
      <c r="M2476" s="16" t="s">
        <v>1754</v>
      </c>
      <c r="N2476" s="16" t="s">
        <v>1755</v>
      </c>
      <c r="O2476" s="16" t="s">
        <v>1756</v>
      </c>
      <c r="P2476" s="16" t="str">
        <f>HYPERLINK("https://ceds.ed.gov/cedselementdetails.aspx?termid=17657")</f>
        <v>https://ceds.ed.gov/cedselementdetails.aspx?termid=17657</v>
      </c>
      <c r="Q2476" s="16" t="str">
        <f>HYPERLINK("https://ceds.ed.gov/elementComment.aspx?elementName=Black or African American &amp;elementID=17657", "Click here to submit comment")</f>
        <v>Click here to submit comment</v>
      </c>
      <c r="R2476" s="16">
        <v>47800</v>
      </c>
    </row>
    <row r="2477" spans="1:18" x14ac:dyDescent="0.25">
      <c r="A2477" s="16"/>
      <c r="B2477" s="16"/>
      <c r="C2477" s="16"/>
      <c r="D2477" s="16"/>
      <c r="E2477" s="16"/>
      <c r="F2477" s="16"/>
      <c r="G2477" s="16"/>
      <c r="H2477" s="16"/>
      <c r="I2477" s="16"/>
      <c r="J2477" s="16"/>
      <c r="K2477" s="16"/>
      <c r="L2477" s="14"/>
      <c r="M2477" s="16"/>
      <c r="N2477" s="16"/>
      <c r="O2477" s="16"/>
      <c r="P2477" s="16"/>
      <c r="Q2477" s="16"/>
      <c r="R2477" s="16"/>
    </row>
    <row r="2478" spans="1:18" x14ac:dyDescent="0.25">
      <c r="A2478" s="16"/>
      <c r="B2478" s="16"/>
      <c r="C2478" s="16"/>
      <c r="D2478" s="16"/>
      <c r="E2478" s="16"/>
      <c r="F2478" s="16"/>
      <c r="G2478" s="16"/>
      <c r="H2478" s="16"/>
      <c r="I2478" s="16"/>
      <c r="J2478" s="16"/>
      <c r="K2478" s="16"/>
      <c r="L2478" s="14" t="s">
        <v>427</v>
      </c>
      <c r="M2478" s="16"/>
      <c r="N2478" s="16"/>
      <c r="O2478" s="16"/>
      <c r="P2478" s="16"/>
      <c r="Q2478" s="16"/>
      <c r="R2478" s="16"/>
    </row>
    <row r="2479" spans="1:18" ht="30" x14ac:dyDescent="0.25">
      <c r="A2479" s="16"/>
      <c r="B2479" s="16"/>
      <c r="C2479" s="16"/>
      <c r="D2479" s="16"/>
      <c r="E2479" s="16"/>
      <c r="F2479" s="16"/>
      <c r="G2479" s="16"/>
      <c r="H2479" s="16"/>
      <c r="I2479" s="16"/>
      <c r="J2479" s="16"/>
      <c r="K2479" s="16"/>
      <c r="L2479" s="14" t="s">
        <v>428</v>
      </c>
      <c r="M2479" s="16"/>
      <c r="N2479" s="16"/>
      <c r="O2479" s="16"/>
      <c r="P2479" s="16"/>
      <c r="Q2479" s="16"/>
      <c r="R2479" s="16"/>
    </row>
    <row r="2480" spans="1:18" x14ac:dyDescent="0.25">
      <c r="A2480" s="16"/>
      <c r="B2480" s="16"/>
      <c r="C2480" s="16"/>
      <c r="D2480" s="16"/>
      <c r="E2480" s="16"/>
      <c r="F2480" s="16"/>
      <c r="G2480" s="16"/>
      <c r="H2480" s="16"/>
      <c r="I2480" s="16"/>
      <c r="J2480" s="16"/>
      <c r="K2480" s="16"/>
      <c r="L2480" s="14" t="s">
        <v>429</v>
      </c>
      <c r="M2480" s="16"/>
      <c r="N2480" s="16"/>
      <c r="O2480" s="16"/>
      <c r="P2480" s="16"/>
      <c r="Q2480" s="16"/>
      <c r="R2480" s="16"/>
    </row>
    <row r="2481" spans="1:18" ht="30" x14ac:dyDescent="0.25">
      <c r="A2481" s="16" t="s">
        <v>8974</v>
      </c>
      <c r="B2481" s="16" t="s">
        <v>9004</v>
      </c>
      <c r="C2481" s="16" t="s">
        <v>8603</v>
      </c>
      <c r="D2481" s="16" t="s">
        <v>8531</v>
      </c>
      <c r="E2481" s="16" t="s">
        <v>6378</v>
      </c>
      <c r="F2481" s="16" t="s">
        <v>6379</v>
      </c>
      <c r="G2481" s="18" t="s">
        <v>8605</v>
      </c>
      <c r="H2481" s="16" t="s">
        <v>426</v>
      </c>
      <c r="I2481" s="16"/>
      <c r="J2481" s="16"/>
      <c r="K2481" s="16"/>
      <c r="L2481" s="14" t="s">
        <v>422</v>
      </c>
      <c r="M2481" s="16" t="s">
        <v>6380</v>
      </c>
      <c r="N2481" s="16" t="s">
        <v>6381</v>
      </c>
      <c r="O2481" s="16" t="s">
        <v>6382</v>
      </c>
      <c r="P2481" s="16" t="str">
        <f>HYPERLINK("https://ceds.ed.gov/cedselementdetails.aspx?termid=17658")</f>
        <v>https://ceds.ed.gov/cedselementdetails.aspx?termid=17658</v>
      </c>
      <c r="Q2481" s="16" t="str">
        <f>HYPERLINK("https://ceds.ed.gov/elementComment.aspx?elementName=Native Hawaiian or Other Pacific Islander &amp;elementID=17658", "Click here to submit comment")</f>
        <v>Click here to submit comment</v>
      </c>
      <c r="R2481" s="16">
        <v>47801</v>
      </c>
    </row>
    <row r="2482" spans="1:18" x14ac:dyDescent="0.25">
      <c r="A2482" s="16"/>
      <c r="B2482" s="16"/>
      <c r="C2482" s="16"/>
      <c r="D2482" s="16"/>
      <c r="E2482" s="16"/>
      <c r="F2482" s="16"/>
      <c r="G2482" s="16"/>
      <c r="H2482" s="16"/>
      <c r="I2482" s="16"/>
      <c r="J2482" s="16"/>
      <c r="K2482" s="16"/>
      <c r="L2482" s="14"/>
      <c r="M2482" s="16"/>
      <c r="N2482" s="16"/>
      <c r="O2482" s="16"/>
      <c r="P2482" s="16"/>
      <c r="Q2482" s="16"/>
      <c r="R2482" s="16"/>
    </row>
    <row r="2483" spans="1:18" x14ac:dyDescent="0.25">
      <c r="A2483" s="16"/>
      <c r="B2483" s="16"/>
      <c r="C2483" s="16"/>
      <c r="D2483" s="16"/>
      <c r="E2483" s="16"/>
      <c r="F2483" s="16"/>
      <c r="G2483" s="16"/>
      <c r="H2483" s="16"/>
      <c r="I2483" s="16"/>
      <c r="J2483" s="16"/>
      <c r="K2483" s="16"/>
      <c r="L2483" s="14" t="s">
        <v>427</v>
      </c>
      <c r="M2483" s="16"/>
      <c r="N2483" s="16"/>
      <c r="O2483" s="16"/>
      <c r="P2483" s="16"/>
      <c r="Q2483" s="16"/>
      <c r="R2483" s="16"/>
    </row>
    <row r="2484" spans="1:18" ht="30" x14ac:dyDescent="0.25">
      <c r="A2484" s="16"/>
      <c r="B2484" s="16"/>
      <c r="C2484" s="16"/>
      <c r="D2484" s="16"/>
      <c r="E2484" s="16"/>
      <c r="F2484" s="16"/>
      <c r="G2484" s="16"/>
      <c r="H2484" s="16"/>
      <c r="I2484" s="16"/>
      <c r="J2484" s="16"/>
      <c r="K2484" s="16"/>
      <c r="L2484" s="14" t="s">
        <v>428</v>
      </c>
      <c r="M2484" s="16"/>
      <c r="N2484" s="16"/>
      <c r="O2484" s="16"/>
      <c r="P2484" s="16"/>
      <c r="Q2484" s="16"/>
      <c r="R2484" s="16"/>
    </row>
    <row r="2485" spans="1:18" x14ac:dyDescent="0.25">
      <c r="A2485" s="16"/>
      <c r="B2485" s="16"/>
      <c r="C2485" s="16"/>
      <c r="D2485" s="16"/>
      <c r="E2485" s="16"/>
      <c r="F2485" s="16"/>
      <c r="G2485" s="16"/>
      <c r="H2485" s="16"/>
      <c r="I2485" s="16"/>
      <c r="J2485" s="16"/>
      <c r="K2485" s="16"/>
      <c r="L2485" s="14" t="s">
        <v>429</v>
      </c>
      <c r="M2485" s="16"/>
      <c r="N2485" s="16"/>
      <c r="O2485" s="16"/>
      <c r="P2485" s="16"/>
      <c r="Q2485" s="16"/>
      <c r="R2485" s="16"/>
    </row>
    <row r="2486" spans="1:18" ht="30" x14ac:dyDescent="0.25">
      <c r="A2486" s="16" t="s">
        <v>8974</v>
      </c>
      <c r="B2486" s="16" t="s">
        <v>9004</v>
      </c>
      <c r="C2486" s="16" t="s">
        <v>8603</v>
      </c>
      <c r="D2486" s="16" t="s">
        <v>8531</v>
      </c>
      <c r="E2486" s="16" t="s">
        <v>8488</v>
      </c>
      <c r="F2486" s="16" t="s">
        <v>8489</v>
      </c>
      <c r="G2486" s="18" t="s">
        <v>8605</v>
      </c>
      <c r="H2486" s="16" t="s">
        <v>426</v>
      </c>
      <c r="I2486" s="16"/>
      <c r="J2486" s="16"/>
      <c r="K2486" s="16"/>
      <c r="L2486" s="14" t="s">
        <v>422</v>
      </c>
      <c r="M2486" s="16" t="s">
        <v>8490</v>
      </c>
      <c r="N2486" s="16" t="s">
        <v>8491</v>
      </c>
      <c r="O2486" s="16" t="s">
        <v>8488</v>
      </c>
      <c r="P2486" s="16" t="str">
        <f>HYPERLINK("https://ceds.ed.gov/cedselementdetails.aspx?termid=17659")</f>
        <v>https://ceds.ed.gov/cedselementdetails.aspx?termid=17659</v>
      </c>
      <c r="Q2486" s="16" t="str">
        <f>HYPERLINK("https://ceds.ed.gov/elementComment.aspx?elementName=White &amp;elementID=17659", "Click here to submit comment")</f>
        <v>Click here to submit comment</v>
      </c>
      <c r="R2486" s="16">
        <v>47802</v>
      </c>
    </row>
    <row r="2487" spans="1:18" x14ac:dyDescent="0.25">
      <c r="A2487" s="16"/>
      <c r="B2487" s="16"/>
      <c r="C2487" s="16"/>
      <c r="D2487" s="16"/>
      <c r="E2487" s="16"/>
      <c r="F2487" s="16"/>
      <c r="G2487" s="16"/>
      <c r="H2487" s="16"/>
      <c r="I2487" s="16"/>
      <c r="J2487" s="16"/>
      <c r="K2487" s="16"/>
      <c r="L2487" s="14"/>
      <c r="M2487" s="16"/>
      <c r="N2487" s="16"/>
      <c r="O2487" s="16"/>
      <c r="P2487" s="16"/>
      <c r="Q2487" s="16"/>
      <c r="R2487" s="16"/>
    </row>
    <row r="2488" spans="1:18" x14ac:dyDescent="0.25">
      <c r="A2488" s="16"/>
      <c r="B2488" s="16"/>
      <c r="C2488" s="16"/>
      <c r="D2488" s="16"/>
      <c r="E2488" s="16"/>
      <c r="F2488" s="16"/>
      <c r="G2488" s="16"/>
      <c r="H2488" s="16"/>
      <c r="I2488" s="16"/>
      <c r="J2488" s="16"/>
      <c r="K2488" s="16"/>
      <c r="L2488" s="14" t="s">
        <v>427</v>
      </c>
      <c r="M2488" s="16"/>
      <c r="N2488" s="16"/>
      <c r="O2488" s="16"/>
      <c r="P2488" s="16"/>
      <c r="Q2488" s="16"/>
      <c r="R2488" s="16"/>
    </row>
    <row r="2489" spans="1:18" ht="30" x14ac:dyDescent="0.25">
      <c r="A2489" s="16"/>
      <c r="B2489" s="16"/>
      <c r="C2489" s="16"/>
      <c r="D2489" s="16"/>
      <c r="E2489" s="16"/>
      <c r="F2489" s="16"/>
      <c r="G2489" s="16"/>
      <c r="H2489" s="16"/>
      <c r="I2489" s="16"/>
      <c r="J2489" s="16"/>
      <c r="K2489" s="16"/>
      <c r="L2489" s="14" t="s">
        <v>428</v>
      </c>
      <c r="M2489" s="16"/>
      <c r="N2489" s="16"/>
      <c r="O2489" s="16"/>
      <c r="P2489" s="16"/>
      <c r="Q2489" s="16"/>
      <c r="R2489" s="16"/>
    </row>
    <row r="2490" spans="1:18" x14ac:dyDescent="0.25">
      <c r="A2490" s="16"/>
      <c r="B2490" s="16"/>
      <c r="C2490" s="16"/>
      <c r="D2490" s="16"/>
      <c r="E2490" s="16"/>
      <c r="F2490" s="16"/>
      <c r="G2490" s="16"/>
      <c r="H2490" s="16"/>
      <c r="I2490" s="16"/>
      <c r="J2490" s="16"/>
      <c r="K2490" s="16"/>
      <c r="L2490" s="14" t="s">
        <v>429</v>
      </c>
      <c r="M2490" s="16"/>
      <c r="N2490" s="16"/>
      <c r="O2490" s="16"/>
      <c r="P2490" s="16"/>
      <c r="Q2490" s="16"/>
      <c r="R2490" s="16"/>
    </row>
    <row r="2491" spans="1:18" ht="30" x14ac:dyDescent="0.25">
      <c r="A2491" s="16" t="s">
        <v>8974</v>
      </c>
      <c r="B2491" s="16" t="s">
        <v>9004</v>
      </c>
      <c r="C2491" s="16" t="s">
        <v>8603</v>
      </c>
      <c r="D2491" s="16" t="s">
        <v>8531</v>
      </c>
      <c r="E2491" s="16" t="s">
        <v>5008</v>
      </c>
      <c r="F2491" s="16" t="s">
        <v>5009</v>
      </c>
      <c r="G2491" s="18" t="s">
        <v>8605</v>
      </c>
      <c r="H2491" s="16" t="s">
        <v>426</v>
      </c>
      <c r="I2491" s="16"/>
      <c r="J2491" s="16"/>
      <c r="K2491" s="16"/>
      <c r="L2491" s="14" t="s">
        <v>422</v>
      </c>
      <c r="M2491" s="16" t="s">
        <v>5010</v>
      </c>
      <c r="N2491" s="16"/>
      <c r="O2491" s="16" t="s">
        <v>5011</v>
      </c>
      <c r="P2491" s="16" t="str">
        <f>HYPERLINK("https://ceds.ed.gov/cedselementdetails.aspx?termid=17144")</f>
        <v>https://ceds.ed.gov/cedselementdetails.aspx?termid=17144</v>
      </c>
      <c r="Q2491" s="16" t="str">
        <f>HYPERLINK("https://ceds.ed.gov/elementComment.aspx?elementName=Hispanic or Latino Ethnicity &amp;elementID=17144", "Click here to submit comment")</f>
        <v>Click here to submit comment</v>
      </c>
      <c r="R2491" s="16">
        <v>47757</v>
      </c>
    </row>
    <row r="2492" spans="1:18" x14ac:dyDescent="0.25">
      <c r="A2492" s="16"/>
      <c r="B2492" s="16"/>
      <c r="C2492" s="16"/>
      <c r="D2492" s="16"/>
      <c r="E2492" s="16"/>
      <c r="F2492" s="16"/>
      <c r="G2492" s="16"/>
      <c r="H2492" s="16"/>
      <c r="I2492" s="16"/>
      <c r="J2492" s="16"/>
      <c r="K2492" s="16"/>
      <c r="L2492" s="14"/>
      <c r="M2492" s="16"/>
      <c r="N2492" s="16"/>
      <c r="O2492" s="16"/>
      <c r="P2492" s="16"/>
      <c r="Q2492" s="16"/>
      <c r="R2492" s="16"/>
    </row>
    <row r="2493" spans="1:18" x14ac:dyDescent="0.25">
      <c r="A2493" s="16"/>
      <c r="B2493" s="16"/>
      <c r="C2493" s="16"/>
      <c r="D2493" s="16"/>
      <c r="E2493" s="16"/>
      <c r="F2493" s="16"/>
      <c r="G2493" s="16"/>
      <c r="H2493" s="16"/>
      <c r="I2493" s="16"/>
      <c r="J2493" s="16"/>
      <c r="K2493" s="16"/>
      <c r="L2493" s="14" t="s">
        <v>427</v>
      </c>
      <c r="M2493" s="16"/>
      <c r="N2493" s="16"/>
      <c r="O2493" s="16"/>
      <c r="P2493" s="16"/>
      <c r="Q2493" s="16"/>
      <c r="R2493" s="16"/>
    </row>
    <row r="2494" spans="1:18" ht="30" x14ac:dyDescent="0.25">
      <c r="A2494" s="16"/>
      <c r="B2494" s="16"/>
      <c r="C2494" s="16"/>
      <c r="D2494" s="16"/>
      <c r="E2494" s="16"/>
      <c r="F2494" s="16"/>
      <c r="G2494" s="16"/>
      <c r="H2494" s="16"/>
      <c r="I2494" s="16"/>
      <c r="J2494" s="16"/>
      <c r="K2494" s="16"/>
      <c r="L2494" s="14" t="s">
        <v>428</v>
      </c>
      <c r="M2494" s="16"/>
      <c r="N2494" s="16"/>
      <c r="O2494" s="16"/>
      <c r="P2494" s="16"/>
      <c r="Q2494" s="16"/>
      <c r="R2494" s="16"/>
    </row>
    <row r="2495" spans="1:18" x14ac:dyDescent="0.25">
      <c r="A2495" s="16"/>
      <c r="B2495" s="16"/>
      <c r="C2495" s="16"/>
      <c r="D2495" s="16"/>
      <c r="E2495" s="16"/>
      <c r="F2495" s="16"/>
      <c r="G2495" s="16"/>
      <c r="H2495" s="16"/>
      <c r="I2495" s="16"/>
      <c r="J2495" s="16"/>
      <c r="K2495" s="16"/>
      <c r="L2495" s="14" t="s">
        <v>429</v>
      </c>
      <c r="M2495" s="16"/>
      <c r="N2495" s="16"/>
      <c r="O2495" s="16"/>
      <c r="P2495" s="16"/>
      <c r="Q2495" s="16"/>
      <c r="R2495" s="16"/>
    </row>
    <row r="2496" spans="1:18" ht="60" x14ac:dyDescent="0.25">
      <c r="A2496" s="14" t="s">
        <v>8974</v>
      </c>
      <c r="B2496" s="14" t="s">
        <v>9004</v>
      </c>
      <c r="C2496" s="14" t="s">
        <v>8603</v>
      </c>
      <c r="D2496" s="14" t="s">
        <v>8531</v>
      </c>
      <c r="E2496" s="14" t="s">
        <v>3511</v>
      </c>
      <c r="F2496" s="14" t="s">
        <v>3512</v>
      </c>
      <c r="G2496" s="8" t="s">
        <v>9005</v>
      </c>
      <c r="H2496" s="14" t="s">
        <v>3516</v>
      </c>
      <c r="I2496" s="14"/>
      <c r="J2496" s="14"/>
      <c r="K2496" s="14"/>
      <c r="L2496" s="14"/>
      <c r="M2496" s="14" t="s">
        <v>3514</v>
      </c>
      <c r="N2496" s="14"/>
      <c r="O2496" s="14" t="s">
        <v>3515</v>
      </c>
      <c r="P2496" s="14" t="str">
        <f>HYPERLINK("https://ceds.ed.gov/cedselementdetails.aspx?termid=17079")</f>
        <v>https://ceds.ed.gov/cedselementdetails.aspx?termid=17079</v>
      </c>
      <c r="Q2496" s="14" t="str">
        <f>HYPERLINK("https://ceds.ed.gov/elementComment.aspx?elementName=Dependency Status &amp;elementID=17079", "Click here to submit comment")</f>
        <v>Click here to submit comment</v>
      </c>
      <c r="R2496" s="14">
        <v>47740</v>
      </c>
    </row>
    <row r="2497" spans="1:18" ht="105" x14ac:dyDescent="0.25">
      <c r="A2497" s="14" t="s">
        <v>8974</v>
      </c>
      <c r="B2497" s="14" t="s">
        <v>9004</v>
      </c>
      <c r="C2497" s="14" t="s">
        <v>8603</v>
      </c>
      <c r="D2497" s="14" t="s">
        <v>8531</v>
      </c>
      <c r="E2497" s="14" t="s">
        <v>8416</v>
      </c>
      <c r="F2497" s="14" t="s">
        <v>8417</v>
      </c>
      <c r="G2497" s="8" t="s">
        <v>9006</v>
      </c>
      <c r="H2497" s="14" t="s">
        <v>8422</v>
      </c>
      <c r="I2497" s="14"/>
      <c r="J2497" s="14"/>
      <c r="K2497" s="14"/>
      <c r="L2497" s="14" t="s">
        <v>7759</v>
      </c>
      <c r="M2497" s="14" t="s">
        <v>8420</v>
      </c>
      <c r="N2497" s="14"/>
      <c r="O2497" s="14" t="s">
        <v>8421</v>
      </c>
      <c r="P2497" s="14" t="str">
        <f>HYPERLINK("https://ceds.ed.gov/cedselementdetails.aspx?termid=17299")</f>
        <v>https://ceds.ed.gov/cedselementdetails.aspx?termid=17299</v>
      </c>
      <c r="Q2497" s="14" t="str">
        <f>HYPERLINK("https://ceds.ed.gov/elementComment.aspx?elementName=United States Citizenship Status &amp;elementID=17299", "Click here to submit comment")</f>
        <v>Click here to submit comment</v>
      </c>
      <c r="R2497" s="14">
        <v>47794</v>
      </c>
    </row>
    <row r="2498" spans="1:18" ht="150" x14ac:dyDescent="0.25">
      <c r="A2498" s="14" t="s">
        <v>8974</v>
      </c>
      <c r="B2498" s="14" t="s">
        <v>9004</v>
      </c>
      <c r="C2498" s="14" t="s">
        <v>8603</v>
      </c>
      <c r="D2498" s="14" t="s">
        <v>8531</v>
      </c>
      <c r="E2498" s="14" t="s">
        <v>8433</v>
      </c>
      <c r="F2498" s="14" t="s">
        <v>8434</v>
      </c>
      <c r="G2498" s="8" t="s">
        <v>9007</v>
      </c>
      <c r="H2498" s="14" t="s">
        <v>278</v>
      </c>
      <c r="I2498" s="14"/>
      <c r="J2498" s="14"/>
      <c r="K2498" s="14"/>
      <c r="L2498" s="14"/>
      <c r="M2498" s="14" t="s">
        <v>8436</v>
      </c>
      <c r="N2498" s="14"/>
      <c r="O2498" s="14" t="s">
        <v>8437</v>
      </c>
      <c r="P2498" s="14" t="str">
        <f>HYPERLINK("https://ceds.ed.gov/cedselementdetails.aspx?termid=17196")</f>
        <v>https://ceds.ed.gov/cedselementdetails.aspx?termid=17196</v>
      </c>
      <c r="Q2498" s="14" t="str">
        <f>HYPERLINK("https://ceds.ed.gov/elementComment.aspx?elementName=Visa Type &amp;elementID=17196", "Click here to submit comment")</f>
        <v>Click here to submit comment</v>
      </c>
      <c r="R2498" s="14">
        <v>47772</v>
      </c>
    </row>
    <row r="2499" spans="1:18" ht="90" x14ac:dyDescent="0.25">
      <c r="A2499" s="14" t="s">
        <v>8974</v>
      </c>
      <c r="B2499" s="14" t="s">
        <v>9004</v>
      </c>
      <c r="C2499" s="14" t="s">
        <v>8603</v>
      </c>
      <c r="D2499" s="14" t="s">
        <v>8531</v>
      </c>
      <c r="E2499" s="14" t="s">
        <v>8391</v>
      </c>
      <c r="F2499" s="14" t="s">
        <v>8392</v>
      </c>
      <c r="G2499" s="8" t="s">
        <v>9008</v>
      </c>
      <c r="H2499" s="14" t="s">
        <v>278</v>
      </c>
      <c r="I2499" s="14"/>
      <c r="J2499" s="14"/>
      <c r="K2499" s="14"/>
      <c r="L2499" s="14"/>
      <c r="M2499" s="14" t="s">
        <v>8394</v>
      </c>
      <c r="N2499" s="14"/>
      <c r="O2499" s="14" t="s">
        <v>8395</v>
      </c>
      <c r="P2499" s="14" t="str">
        <f>HYPERLINK("https://ceds.ed.gov/cedselementdetails.aspx?termid=17297")</f>
        <v>https://ceds.ed.gov/cedselementdetails.aspx?termid=17297</v>
      </c>
      <c r="Q2499" s="14" t="str">
        <f>HYPERLINK("https://ceds.ed.gov/elementComment.aspx?elementName=Tuition Residency Type &amp;elementID=17297", "Click here to submit comment")</f>
        <v>Click here to submit comment</v>
      </c>
      <c r="R2499" s="14">
        <v>47793</v>
      </c>
    </row>
    <row r="2500" spans="1:18" ht="105" x14ac:dyDescent="0.25">
      <c r="A2500" s="14" t="s">
        <v>8974</v>
      </c>
      <c r="B2500" s="14" t="s">
        <v>9004</v>
      </c>
      <c r="C2500" s="14" t="s">
        <v>8603</v>
      </c>
      <c r="D2500" s="14" t="s">
        <v>8531</v>
      </c>
      <c r="E2500" s="14" t="s">
        <v>2123</v>
      </c>
      <c r="F2500" s="14" t="s">
        <v>2124</v>
      </c>
      <c r="G2500" s="8" t="s">
        <v>9009</v>
      </c>
      <c r="H2500" s="14" t="s">
        <v>278</v>
      </c>
      <c r="I2500" s="14"/>
      <c r="J2500" s="14"/>
      <c r="K2500" s="14"/>
      <c r="L2500" s="14"/>
      <c r="M2500" s="14" t="s">
        <v>2127</v>
      </c>
      <c r="N2500" s="14"/>
      <c r="O2500" s="14" t="s">
        <v>2128</v>
      </c>
      <c r="P2500" s="14" t="str">
        <f>HYPERLINK("https://ceds.ed.gov/cedselementdetails.aspx?termid=17035")</f>
        <v>https://ceds.ed.gov/cedselementdetails.aspx?termid=17035</v>
      </c>
      <c r="Q2500" s="14" t="str">
        <f>HYPERLINK("https://ceds.ed.gov/elementComment.aspx?elementName=Campus Residency Type &amp;elementID=17035", "Click here to submit comment")</f>
        <v>Click here to submit comment</v>
      </c>
      <c r="R2500" s="14">
        <v>47731</v>
      </c>
    </row>
    <row r="2501" spans="1:18" ht="165" x14ac:dyDescent="0.25">
      <c r="A2501" s="14" t="s">
        <v>8974</v>
      </c>
      <c r="B2501" s="14" t="s">
        <v>9004</v>
      </c>
      <c r="C2501" s="14" t="s">
        <v>8603</v>
      </c>
      <c r="D2501" s="14" t="s">
        <v>8531</v>
      </c>
      <c r="E2501" s="14" t="s">
        <v>6100</v>
      </c>
      <c r="F2501" s="14" t="s">
        <v>6101</v>
      </c>
      <c r="G2501" s="8" t="s">
        <v>9010</v>
      </c>
      <c r="H2501" s="14" t="s">
        <v>65</v>
      </c>
      <c r="I2501" s="14"/>
      <c r="J2501" s="14"/>
      <c r="K2501" s="14"/>
      <c r="L2501" s="14"/>
      <c r="M2501" s="14" t="s">
        <v>6103</v>
      </c>
      <c r="N2501" s="14" t="s">
        <v>6104</v>
      </c>
      <c r="O2501" s="14" t="s">
        <v>6105</v>
      </c>
      <c r="P2501" s="14" t="str">
        <f>HYPERLINK("https://ceds.ed.gov/cedselementdetails.aspx?termid=17179")</f>
        <v>https://ceds.ed.gov/cedselementdetails.aspx?termid=17179</v>
      </c>
      <c r="Q2501" s="14" t="str">
        <f>HYPERLINK("https://ceds.ed.gov/elementComment.aspx?elementName=Limited English Proficiency - Postsecondary &amp;elementID=17179", "Click here to submit comment")</f>
        <v>Click here to submit comment</v>
      </c>
      <c r="R2501" s="14">
        <v>47768</v>
      </c>
    </row>
    <row r="2502" spans="1:18" ht="45" x14ac:dyDescent="0.25">
      <c r="A2502" s="14" t="s">
        <v>8974</v>
      </c>
      <c r="B2502" s="14" t="s">
        <v>9004</v>
      </c>
      <c r="C2502" s="14" t="s">
        <v>8603</v>
      </c>
      <c r="D2502" s="14" t="s">
        <v>8531</v>
      </c>
      <c r="E2502" s="14" t="s">
        <v>2405</v>
      </c>
      <c r="F2502" s="14" t="s">
        <v>2406</v>
      </c>
      <c r="G2502" s="14" t="s">
        <v>37</v>
      </c>
      <c r="H2502" s="14" t="s">
        <v>2410</v>
      </c>
      <c r="I2502" s="14"/>
      <c r="J2502" s="14" t="s">
        <v>2094</v>
      </c>
      <c r="K2502" s="14"/>
      <c r="L2502" s="14"/>
      <c r="M2502" s="14" t="s">
        <v>2408</v>
      </c>
      <c r="N2502" s="14"/>
      <c r="O2502" s="14" t="s">
        <v>2409</v>
      </c>
      <c r="P2502" s="14" t="str">
        <f>HYPERLINK("https://ceds.ed.gov/cedselementdetails.aspx?termid=17577")</f>
        <v>https://ceds.ed.gov/cedselementdetails.aspx?termid=17577</v>
      </c>
      <c r="Q2502" s="14" t="str">
        <f>HYPERLINK("https://ceds.ed.gov/elementComment.aspx?elementName=Cohort Graduation Year &amp;elementID=17577", "Click here to submit comment")</f>
        <v>Click here to submit comment</v>
      </c>
      <c r="R2502" s="14">
        <v>50677</v>
      </c>
    </row>
    <row r="2503" spans="1:18" ht="165" x14ac:dyDescent="0.25">
      <c r="A2503" s="14" t="s">
        <v>8974</v>
      </c>
      <c r="B2503" s="14" t="s">
        <v>9004</v>
      </c>
      <c r="C2503" s="14" t="s">
        <v>8603</v>
      </c>
      <c r="D2503" s="14" t="s">
        <v>8531</v>
      </c>
      <c r="E2503" s="14" t="s">
        <v>6191</v>
      </c>
      <c r="F2503" s="14" t="s">
        <v>6192</v>
      </c>
      <c r="G2503" s="8" t="s">
        <v>9011</v>
      </c>
      <c r="H2503" s="14"/>
      <c r="I2503" s="14"/>
      <c r="J2503" s="14"/>
      <c r="K2503" s="14"/>
      <c r="L2503" s="14"/>
      <c r="M2503" s="14" t="s">
        <v>6194</v>
      </c>
      <c r="N2503" s="14"/>
      <c r="O2503" s="14" t="s">
        <v>6195</v>
      </c>
      <c r="P2503" s="14" t="str">
        <f>HYPERLINK("https://ceds.ed.gov/cedselementdetails.aspx?termid=18194")</f>
        <v>https://ceds.ed.gov/cedselementdetails.aspx?termid=18194</v>
      </c>
      <c r="Q2503" s="14" t="str">
        <f>HYPERLINK("https://ceds.ed.gov/elementComment.aspx?elementName=Maternal Guardian Education &amp;elementID=18194", "Click here to submit comment")</f>
        <v>Click here to submit comment</v>
      </c>
      <c r="R2503" s="14">
        <v>48682</v>
      </c>
    </row>
    <row r="2504" spans="1:18" ht="75" x14ac:dyDescent="0.25">
      <c r="A2504" s="14" t="s">
        <v>8974</v>
      </c>
      <c r="B2504" s="14" t="s">
        <v>9004</v>
      </c>
      <c r="C2504" s="14" t="s">
        <v>8603</v>
      </c>
      <c r="D2504" s="14" t="s">
        <v>8531</v>
      </c>
      <c r="E2504" s="14" t="s">
        <v>6298</v>
      </c>
      <c r="F2504" s="14" t="s">
        <v>6299</v>
      </c>
      <c r="G2504" s="8" t="s">
        <v>9012</v>
      </c>
      <c r="H2504" s="14"/>
      <c r="I2504" s="14"/>
      <c r="J2504" s="14"/>
      <c r="K2504" s="14"/>
      <c r="L2504" s="14"/>
      <c r="M2504" s="14" t="s">
        <v>6302</v>
      </c>
      <c r="N2504" s="14"/>
      <c r="O2504" s="14" t="s">
        <v>6303</v>
      </c>
      <c r="P2504" s="14" t="str">
        <f>HYPERLINK("https://ceds.ed.gov/cedselementdetails.aspx?termid=18556")</f>
        <v>https://ceds.ed.gov/cedselementdetails.aspx?termid=18556</v>
      </c>
      <c r="Q2504" s="14" t="str">
        <f>HYPERLINK("https://ceds.ed.gov/elementComment.aspx?elementName=Military Active Student Indicator &amp;elementID=18556", "Click here to submit comment")</f>
        <v>Click here to submit comment</v>
      </c>
      <c r="R2504" s="14">
        <v>50934</v>
      </c>
    </row>
    <row r="2505" spans="1:18" ht="105" x14ac:dyDescent="0.25">
      <c r="A2505" s="14" t="s">
        <v>8974</v>
      </c>
      <c r="B2505" s="14" t="s">
        <v>9004</v>
      </c>
      <c r="C2505" s="14" t="s">
        <v>8603</v>
      </c>
      <c r="D2505" s="14" t="s">
        <v>8531</v>
      </c>
      <c r="E2505" s="14" t="s">
        <v>6304</v>
      </c>
      <c r="F2505" s="14" t="s">
        <v>6305</v>
      </c>
      <c r="G2505" s="8" t="s">
        <v>8677</v>
      </c>
      <c r="H2505" s="14"/>
      <c r="I2505" s="14" t="s">
        <v>195</v>
      </c>
      <c r="J2505" s="14"/>
      <c r="K2505" s="14" t="s">
        <v>6308</v>
      </c>
      <c r="L2505" s="14"/>
      <c r="M2505" s="14" t="s">
        <v>6309</v>
      </c>
      <c r="N2505" s="14"/>
      <c r="O2505" s="14" t="s">
        <v>6310</v>
      </c>
      <c r="P2505" s="14" t="str">
        <f>HYPERLINK("https://ceds.ed.gov/cedselementdetails.aspx?termid=18621")</f>
        <v>https://ceds.ed.gov/cedselementdetails.aspx?termid=18621</v>
      </c>
      <c r="Q2505" s="14" t="str">
        <f>HYPERLINK("https://ceds.ed.gov/elementComment.aspx?elementName=Military Branch &amp;elementID=18621", "Click here to submit comment")</f>
        <v>Click here to submit comment</v>
      </c>
      <c r="R2505" s="14">
        <v>51310</v>
      </c>
    </row>
    <row r="2506" spans="1:18" ht="75" x14ac:dyDescent="0.25">
      <c r="A2506" s="14" t="s">
        <v>8974</v>
      </c>
      <c r="B2506" s="14" t="s">
        <v>9004</v>
      </c>
      <c r="C2506" s="14" t="s">
        <v>8603</v>
      </c>
      <c r="D2506" s="14" t="s">
        <v>8531</v>
      </c>
      <c r="E2506" s="14" t="s">
        <v>6321</v>
      </c>
      <c r="F2506" s="14" t="s">
        <v>6322</v>
      </c>
      <c r="G2506" s="8" t="s">
        <v>9013</v>
      </c>
      <c r="H2506" s="14"/>
      <c r="I2506" s="14"/>
      <c r="J2506" s="14"/>
      <c r="K2506" s="14"/>
      <c r="L2506" s="14"/>
      <c r="M2506" s="14" t="s">
        <v>6324</v>
      </c>
      <c r="N2506" s="14"/>
      <c r="O2506" s="14" t="s">
        <v>6325</v>
      </c>
      <c r="P2506" s="14" t="str">
        <f>HYPERLINK("https://ceds.ed.gov/cedselementdetails.aspx?termid=18557")</f>
        <v>https://ceds.ed.gov/cedselementdetails.aspx?termid=18557</v>
      </c>
      <c r="Q2506" s="14" t="str">
        <f>HYPERLINK("https://ceds.ed.gov/elementComment.aspx?elementName=Military Veteran Student Indicator &amp;elementID=18557", "Click here to submit comment")</f>
        <v>Click here to submit comment</v>
      </c>
      <c r="R2506" s="14">
        <v>50936</v>
      </c>
    </row>
    <row r="2507" spans="1:18" ht="60" x14ac:dyDescent="0.25">
      <c r="A2507" s="14" t="s">
        <v>8974</v>
      </c>
      <c r="B2507" s="14" t="s">
        <v>9004</v>
      </c>
      <c r="C2507" s="14" t="s">
        <v>8603</v>
      </c>
      <c r="D2507" s="14" t="s">
        <v>8531</v>
      </c>
      <c r="E2507" s="14" t="s">
        <v>6458</v>
      </c>
      <c r="F2507" s="14" t="s">
        <v>6459</v>
      </c>
      <c r="G2507" s="14" t="s">
        <v>37</v>
      </c>
      <c r="H2507" s="14"/>
      <c r="I2507" s="14"/>
      <c r="J2507" s="14" t="s">
        <v>370</v>
      </c>
      <c r="K2507" s="14"/>
      <c r="L2507" s="14"/>
      <c r="M2507" s="14" t="s">
        <v>6460</v>
      </c>
      <c r="N2507" s="14"/>
      <c r="O2507" s="14" t="s">
        <v>6461</v>
      </c>
      <c r="P2507" s="14" t="str">
        <f>HYPERLINK("https://ceds.ed.gov/cedselementdetails.aspx?termid=18384")</f>
        <v>https://ceds.ed.gov/cedselementdetails.aspx?termid=18384</v>
      </c>
      <c r="Q2507" s="14" t="str">
        <f>HYPERLINK("https://ceds.ed.gov/elementComment.aspx?elementName=Number of Dependents &amp;elementID=18384", "Click here to submit comment")</f>
        <v>Click here to submit comment</v>
      </c>
      <c r="R2507" s="14">
        <v>50296</v>
      </c>
    </row>
    <row r="2508" spans="1:18" ht="165" x14ac:dyDescent="0.25">
      <c r="A2508" s="14" t="s">
        <v>8974</v>
      </c>
      <c r="B2508" s="14" t="s">
        <v>9004</v>
      </c>
      <c r="C2508" s="14" t="s">
        <v>8603</v>
      </c>
      <c r="D2508" s="14" t="s">
        <v>8531</v>
      </c>
      <c r="E2508" s="14" t="s">
        <v>6661</v>
      </c>
      <c r="F2508" s="14" t="s">
        <v>6662</v>
      </c>
      <c r="G2508" s="8" t="s">
        <v>9011</v>
      </c>
      <c r="H2508" s="14"/>
      <c r="I2508" s="14"/>
      <c r="J2508" s="14"/>
      <c r="K2508" s="14"/>
      <c r="L2508" s="14"/>
      <c r="M2508" s="14" t="s">
        <v>6663</v>
      </c>
      <c r="N2508" s="14"/>
      <c r="O2508" s="14" t="s">
        <v>6664</v>
      </c>
      <c r="P2508" s="14" t="str">
        <f>HYPERLINK("https://ceds.ed.gov/cedselementdetails.aspx?termid=18195")</f>
        <v>https://ceds.ed.gov/cedselementdetails.aspx?termid=18195</v>
      </c>
      <c r="Q2508" s="14" t="str">
        <f>HYPERLINK("https://ceds.ed.gov/elementComment.aspx?elementName=Paternal Guardian Education &amp;elementID=18195", "Click here to submit comment")</f>
        <v>Click here to submit comment</v>
      </c>
      <c r="R2508" s="14">
        <v>48683</v>
      </c>
    </row>
    <row r="2509" spans="1:18" ht="105" x14ac:dyDescent="0.25">
      <c r="A2509" s="14" t="s">
        <v>8974</v>
      </c>
      <c r="B2509" s="14" t="s">
        <v>9004</v>
      </c>
      <c r="C2509" s="14" t="s">
        <v>8603</v>
      </c>
      <c r="D2509" s="14" t="s">
        <v>8531</v>
      </c>
      <c r="E2509" s="14" t="s">
        <v>7780</v>
      </c>
      <c r="F2509" s="14" t="s">
        <v>7781</v>
      </c>
      <c r="G2509" s="14" t="s">
        <v>24</v>
      </c>
      <c r="H2509" s="14" t="s">
        <v>2410</v>
      </c>
      <c r="I2509" s="14"/>
      <c r="J2509" s="14"/>
      <c r="K2509" s="14"/>
      <c r="L2509" s="14"/>
      <c r="M2509" s="14" t="s">
        <v>7783</v>
      </c>
      <c r="N2509" s="14"/>
      <c r="O2509" s="14" t="s">
        <v>7784</v>
      </c>
      <c r="P2509" s="14" t="str">
        <f>HYPERLINK("https://ceds.ed.gov/cedselementdetails.aspx?termid=17573")</f>
        <v>https://ceds.ed.gov/cedselementdetails.aspx?termid=17573</v>
      </c>
      <c r="Q2509" s="14" t="str">
        <f>HYPERLINK("https://ceds.ed.gov/elementComment.aspx?elementName=Single Parent or Single Pregnant Woman Status &amp;elementID=17573", "Click here to submit comment")</f>
        <v>Click here to submit comment</v>
      </c>
      <c r="R2509" s="14">
        <v>50425</v>
      </c>
    </row>
    <row r="2510" spans="1:18" ht="75" x14ac:dyDescent="0.25">
      <c r="A2510" s="14" t="s">
        <v>8974</v>
      </c>
      <c r="B2510" s="14" t="s">
        <v>9004</v>
      </c>
      <c r="C2510" s="14" t="s">
        <v>8603</v>
      </c>
      <c r="D2510" s="14" t="s">
        <v>8531</v>
      </c>
      <c r="E2510" s="14" t="s">
        <v>3488</v>
      </c>
      <c r="F2510" s="14" t="s">
        <v>3489</v>
      </c>
      <c r="G2510" s="14" t="s">
        <v>24</v>
      </c>
      <c r="H2510" s="14"/>
      <c r="I2510" s="14"/>
      <c r="J2510" s="14"/>
      <c r="K2510" s="14"/>
      <c r="L2510" s="14" t="s">
        <v>3490</v>
      </c>
      <c r="M2510" s="14" t="s">
        <v>3491</v>
      </c>
      <c r="N2510" s="14"/>
      <c r="O2510" s="14" t="s">
        <v>3492</v>
      </c>
      <c r="P2510" s="14" t="str">
        <f>HYPERLINK("https://ceds.ed.gov/cedselementdetails.aspx?termid=17974")</f>
        <v>https://ceds.ed.gov/cedselementdetails.aspx?termid=17974</v>
      </c>
      <c r="Q2510" s="14" t="str">
        <f>HYPERLINK("https://ceds.ed.gov/elementComment.aspx?elementName=Demographic Race Two or More Races &amp;elementID=17974", "Click here to submit comment")</f>
        <v>Click here to submit comment</v>
      </c>
      <c r="R2510" s="14">
        <v>52180</v>
      </c>
    </row>
    <row r="2511" spans="1:18" ht="409.5" x14ac:dyDescent="0.25">
      <c r="A2511" s="14" t="s">
        <v>8974</v>
      </c>
      <c r="B2511" s="14" t="s">
        <v>9004</v>
      </c>
      <c r="C2511" s="14" t="s">
        <v>8603</v>
      </c>
      <c r="D2511" s="14" t="s">
        <v>8541</v>
      </c>
      <c r="E2511" s="14" t="s">
        <v>2853</v>
      </c>
      <c r="F2511" s="14" t="s">
        <v>2854</v>
      </c>
      <c r="G2511" s="8" t="s">
        <v>8548</v>
      </c>
      <c r="H2511" s="14" t="s">
        <v>2859</v>
      </c>
      <c r="I2511" s="14" t="s">
        <v>195</v>
      </c>
      <c r="J2511" s="14"/>
      <c r="K2511" s="14" t="s">
        <v>2856</v>
      </c>
      <c r="L2511" s="6" t="s">
        <v>2849</v>
      </c>
      <c r="M2511" s="14" t="s">
        <v>2857</v>
      </c>
      <c r="N2511" s="14"/>
      <c r="O2511" s="14" t="s">
        <v>2858</v>
      </c>
      <c r="P2511" s="14" t="str">
        <f>HYPERLINK("https://ceds.ed.gov/cedselementdetails.aspx?termid=17051")</f>
        <v>https://ceds.ed.gov/cedselementdetails.aspx?termid=17051</v>
      </c>
      <c r="Q2511" s="14" t="str">
        <f>HYPERLINK("https://ceds.ed.gov/elementComment.aspx?elementName=Country of Birth Code &amp;elementID=17051", "Click here to submit comment")</f>
        <v>Click here to submit comment</v>
      </c>
      <c r="R2511" s="14">
        <v>52432</v>
      </c>
    </row>
    <row r="2512" spans="1:18" ht="120" x14ac:dyDescent="0.25">
      <c r="A2512" s="14" t="s">
        <v>8974</v>
      </c>
      <c r="B2512" s="14" t="s">
        <v>9004</v>
      </c>
      <c r="C2512" s="14" t="s">
        <v>8603</v>
      </c>
      <c r="D2512" s="14" t="s">
        <v>8541</v>
      </c>
      <c r="E2512" s="14" t="s">
        <v>7940</v>
      </c>
      <c r="F2512" s="14" t="s">
        <v>7941</v>
      </c>
      <c r="G2512" s="14" t="s">
        <v>37</v>
      </c>
      <c r="H2512" s="14" t="s">
        <v>80</v>
      </c>
      <c r="I2512" s="14" t="s">
        <v>195</v>
      </c>
      <c r="J2512" s="14" t="s">
        <v>7943</v>
      </c>
      <c r="K2512" s="14" t="s">
        <v>2856</v>
      </c>
      <c r="L2512" s="14"/>
      <c r="M2512" s="14" t="s">
        <v>7944</v>
      </c>
      <c r="N2512" s="14"/>
      <c r="O2512" s="14" t="s">
        <v>7945</v>
      </c>
      <c r="P2512" s="14" t="str">
        <f>HYPERLINK("https://ceds.ed.gov/cedselementdetails.aspx?termid=17707")</f>
        <v>https://ceds.ed.gov/cedselementdetails.aspx?termid=17707</v>
      </c>
      <c r="Q2512" s="14" t="str">
        <f>HYPERLINK("https://ceds.ed.gov/elementComment.aspx?elementName=Standard Occupational Classification &amp;elementID=17707", "Click here to submit comment")</f>
        <v>Click here to submit comment</v>
      </c>
      <c r="R2512" s="14">
        <v>52433</v>
      </c>
    </row>
    <row r="2513" spans="1:18" ht="105" x14ac:dyDescent="0.25">
      <c r="A2513" s="14" t="s">
        <v>8974</v>
      </c>
      <c r="B2513" s="14" t="s">
        <v>9004</v>
      </c>
      <c r="C2513" s="14" t="s">
        <v>8603</v>
      </c>
      <c r="D2513" s="14" t="s">
        <v>8541</v>
      </c>
      <c r="E2513" s="14" t="s">
        <v>8363</v>
      </c>
      <c r="F2513" s="14" t="s">
        <v>8364</v>
      </c>
      <c r="G2513" s="14" t="s">
        <v>8527</v>
      </c>
      <c r="H2513" s="14"/>
      <c r="I2513" s="14" t="s">
        <v>195</v>
      </c>
      <c r="J2513" s="14"/>
      <c r="K2513" s="14" t="s">
        <v>8366</v>
      </c>
      <c r="L2513" s="14"/>
      <c r="M2513" s="14" t="s">
        <v>8367</v>
      </c>
      <c r="N2513" s="14"/>
      <c r="O2513" s="14" t="s">
        <v>8368</v>
      </c>
      <c r="P2513" s="14" t="str">
        <f>HYPERLINK("https://ceds.ed.gov/cedselementdetails.aspx?termid=18638")</f>
        <v>https://ceds.ed.gov/cedselementdetails.aspx?termid=18638</v>
      </c>
      <c r="Q2513" s="14" t="str">
        <f>HYPERLINK("https://ceds.ed.gov/elementComment.aspx?elementName=Tribal Affiliation &amp;elementID=18638", "Click here to submit comment")</f>
        <v>Click here to submit comment</v>
      </c>
      <c r="R2513" s="14">
        <v>52434</v>
      </c>
    </row>
    <row r="2514" spans="1:18" ht="270" x14ac:dyDescent="0.25">
      <c r="A2514" s="14" t="s">
        <v>8974</v>
      </c>
      <c r="B2514" s="14" t="s">
        <v>9004</v>
      </c>
      <c r="C2514" s="14" t="s">
        <v>9014</v>
      </c>
      <c r="D2514" s="14" t="s">
        <v>8531</v>
      </c>
      <c r="E2514" s="14" t="s">
        <v>7951</v>
      </c>
      <c r="F2514" s="14" t="s">
        <v>7952</v>
      </c>
      <c r="G2514" s="8" t="s">
        <v>9015</v>
      </c>
      <c r="H2514" s="14" t="s">
        <v>278</v>
      </c>
      <c r="I2514" s="14"/>
      <c r="J2514" s="14"/>
      <c r="K2514" s="14"/>
      <c r="L2514" s="14"/>
      <c r="M2514" s="14" t="s">
        <v>7954</v>
      </c>
      <c r="N2514" s="14"/>
      <c r="O2514" s="14" t="s">
        <v>7955</v>
      </c>
      <c r="P2514" s="14" t="str">
        <f>HYPERLINK("https://ceds.ed.gov/cedselementdetails.aspx?termid=17266")</f>
        <v>https://ceds.ed.gov/cedselementdetails.aspx?termid=17266</v>
      </c>
      <c r="Q2514" s="14" t="str">
        <f>HYPERLINK("https://ceds.ed.gov/elementComment.aspx?elementName=Standardized Admission Test Type &amp;elementID=17266", "Click here to submit comment")</f>
        <v>Click here to submit comment</v>
      </c>
      <c r="R2514" s="14">
        <v>47784</v>
      </c>
    </row>
    <row r="2515" spans="1:18" ht="45" x14ac:dyDescent="0.25">
      <c r="A2515" s="14" t="s">
        <v>8974</v>
      </c>
      <c r="B2515" s="14" t="s">
        <v>9004</v>
      </c>
      <c r="C2515" s="14" t="s">
        <v>9014</v>
      </c>
      <c r="D2515" s="14" t="s">
        <v>8531</v>
      </c>
      <c r="E2515" s="14" t="s">
        <v>7946</v>
      </c>
      <c r="F2515" s="14" t="s">
        <v>7947</v>
      </c>
      <c r="G2515" s="14" t="s">
        <v>37</v>
      </c>
      <c r="H2515" s="14" t="s">
        <v>278</v>
      </c>
      <c r="I2515" s="14"/>
      <c r="J2515" s="14" t="s">
        <v>165</v>
      </c>
      <c r="K2515" s="14"/>
      <c r="L2515" s="14"/>
      <c r="M2515" s="14" t="s">
        <v>7949</v>
      </c>
      <c r="N2515" s="14"/>
      <c r="O2515" s="14" t="s">
        <v>7950</v>
      </c>
      <c r="P2515" s="14" t="str">
        <f>HYPERLINK("https://ceds.ed.gov/cedselementdetails.aspx?termid=17265")</f>
        <v>https://ceds.ed.gov/cedselementdetails.aspx?termid=17265</v>
      </c>
      <c r="Q2515" s="14" t="str">
        <f>HYPERLINK("https://ceds.ed.gov/elementComment.aspx?elementName=Standardized Admission Test Score &amp;elementID=17265", "Click here to submit comment")</f>
        <v>Click here to submit comment</v>
      </c>
      <c r="R2515" s="14">
        <v>47783</v>
      </c>
    </row>
    <row r="2516" spans="1:18" ht="105" x14ac:dyDescent="0.25">
      <c r="A2516" s="16" t="s">
        <v>8974</v>
      </c>
      <c r="B2516" s="16" t="s">
        <v>9004</v>
      </c>
      <c r="C2516" s="16" t="s">
        <v>9016</v>
      </c>
      <c r="D2516" s="16" t="s">
        <v>8531</v>
      </c>
      <c r="E2516" s="16" t="s">
        <v>8072</v>
      </c>
      <c r="F2516" s="16" t="s">
        <v>8073</v>
      </c>
      <c r="G2516" s="16" t="s">
        <v>37</v>
      </c>
      <c r="H2516" s="16" t="s">
        <v>8071</v>
      </c>
      <c r="I2516" s="16"/>
      <c r="J2516" s="16" t="s">
        <v>149</v>
      </c>
      <c r="K2516" s="16"/>
      <c r="L2516" s="14" t="s">
        <v>150</v>
      </c>
      <c r="M2516" s="16" t="s">
        <v>8074</v>
      </c>
      <c r="N2516" s="16"/>
      <c r="O2516" s="16" t="s">
        <v>8075</v>
      </c>
      <c r="P2516" s="16" t="str">
        <f>HYPERLINK("https://ceds.ed.gov/cedselementdetails.aspx?termid=17157")</f>
        <v>https://ceds.ed.gov/cedselementdetails.aspx?termid=17157</v>
      </c>
      <c r="Q2516" s="16" t="str">
        <f>HYPERLINK("https://ceds.ed.gov/elementComment.aspx?elementName=Student Identifier &amp;elementID=17157", "Click here to submit comment")</f>
        <v>Click here to submit comment</v>
      </c>
      <c r="R2516" s="16">
        <v>49021</v>
      </c>
    </row>
    <row r="2517" spans="1:18" x14ac:dyDescent="0.25">
      <c r="A2517" s="16"/>
      <c r="B2517" s="16"/>
      <c r="C2517" s="16"/>
      <c r="D2517" s="16"/>
      <c r="E2517" s="16"/>
      <c r="F2517" s="16"/>
      <c r="G2517" s="16"/>
      <c r="H2517" s="16"/>
      <c r="I2517" s="16"/>
      <c r="J2517" s="16"/>
      <c r="K2517" s="16"/>
      <c r="L2517" s="14"/>
      <c r="M2517" s="16"/>
      <c r="N2517" s="16"/>
      <c r="O2517" s="16"/>
      <c r="P2517" s="16"/>
      <c r="Q2517" s="16"/>
      <c r="R2517" s="16"/>
    </row>
    <row r="2518" spans="1:18" ht="90" x14ac:dyDescent="0.25">
      <c r="A2518" s="16"/>
      <c r="B2518" s="16"/>
      <c r="C2518" s="16"/>
      <c r="D2518" s="16"/>
      <c r="E2518" s="16"/>
      <c r="F2518" s="16"/>
      <c r="G2518" s="16"/>
      <c r="H2518" s="16"/>
      <c r="I2518" s="16"/>
      <c r="J2518" s="16"/>
      <c r="K2518" s="16"/>
      <c r="L2518" s="14" t="s">
        <v>153</v>
      </c>
      <c r="M2518" s="16"/>
      <c r="N2518" s="16"/>
      <c r="O2518" s="16"/>
      <c r="P2518" s="16"/>
      <c r="Q2518" s="16"/>
      <c r="R2518" s="16"/>
    </row>
    <row r="2519" spans="1:18" ht="210" x14ac:dyDescent="0.25">
      <c r="A2519" s="14" t="s">
        <v>8974</v>
      </c>
      <c r="B2519" s="14" t="s">
        <v>9004</v>
      </c>
      <c r="C2519" s="14" t="s">
        <v>9016</v>
      </c>
      <c r="D2519" s="14" t="s">
        <v>8531</v>
      </c>
      <c r="E2519" s="14" t="s">
        <v>8065</v>
      </c>
      <c r="F2519" s="14" t="s">
        <v>8066</v>
      </c>
      <c r="G2519" s="8" t="s">
        <v>8814</v>
      </c>
      <c r="H2519" s="14" t="s">
        <v>8071</v>
      </c>
      <c r="I2519" s="14"/>
      <c r="J2519" s="14"/>
      <c r="K2519" s="14"/>
      <c r="L2519" s="14"/>
      <c r="M2519" s="14" t="s">
        <v>8069</v>
      </c>
      <c r="N2519" s="14"/>
      <c r="O2519" s="14" t="s">
        <v>8070</v>
      </c>
      <c r="P2519" s="14" t="str">
        <f>HYPERLINK("https://ceds.ed.gov/cedselementdetails.aspx?termid=17163")</f>
        <v>https://ceds.ed.gov/cedselementdetails.aspx?termid=17163</v>
      </c>
      <c r="Q2519" s="14" t="str">
        <f>HYPERLINK("https://ceds.ed.gov/elementComment.aspx?elementName=Student Identification System &amp;elementID=17163", "Click here to submit comment")</f>
        <v>Click here to submit comment</v>
      </c>
      <c r="R2519" s="14">
        <v>49022</v>
      </c>
    </row>
    <row r="2520" spans="1:18" ht="105" x14ac:dyDescent="0.25">
      <c r="A2520" s="16" t="s">
        <v>8974</v>
      </c>
      <c r="B2520" s="16" t="s">
        <v>9004</v>
      </c>
      <c r="C2520" s="16" t="s">
        <v>9016</v>
      </c>
      <c r="D2520" s="16" t="s">
        <v>8531</v>
      </c>
      <c r="E2520" s="16" t="s">
        <v>7605</v>
      </c>
      <c r="F2520" s="16" t="s">
        <v>326</v>
      </c>
      <c r="G2520" s="16" t="s">
        <v>37</v>
      </c>
      <c r="H2520" s="16" t="s">
        <v>7604</v>
      </c>
      <c r="I2520" s="16"/>
      <c r="J2520" s="16" t="s">
        <v>149</v>
      </c>
      <c r="K2520" s="16"/>
      <c r="L2520" s="14" t="s">
        <v>150</v>
      </c>
      <c r="M2520" s="16" t="s">
        <v>7606</v>
      </c>
      <c r="N2520" s="16"/>
      <c r="O2520" s="16" t="s">
        <v>7607</v>
      </c>
      <c r="P2520" s="16" t="str">
        <f>HYPERLINK("https://ceds.ed.gov/cedselementdetails.aspx?termid=17155")</f>
        <v>https://ceds.ed.gov/cedselementdetails.aspx?termid=17155</v>
      </c>
      <c r="Q2520" s="16" t="str">
        <f>HYPERLINK("https://ceds.ed.gov/elementComment.aspx?elementName=School Identifier &amp;elementID=17155", "Click here to submit comment")</f>
        <v>Click here to submit comment</v>
      </c>
      <c r="R2520" s="16">
        <v>47759</v>
      </c>
    </row>
    <row r="2521" spans="1:18" x14ac:dyDescent="0.25">
      <c r="A2521" s="16"/>
      <c r="B2521" s="16"/>
      <c r="C2521" s="16"/>
      <c r="D2521" s="16"/>
      <c r="E2521" s="16"/>
      <c r="F2521" s="16"/>
      <c r="G2521" s="16"/>
      <c r="H2521" s="16"/>
      <c r="I2521" s="16"/>
      <c r="J2521" s="16"/>
      <c r="K2521" s="16"/>
      <c r="L2521" s="14"/>
      <c r="M2521" s="16"/>
      <c r="N2521" s="16"/>
      <c r="O2521" s="16"/>
      <c r="P2521" s="16"/>
      <c r="Q2521" s="16"/>
      <c r="R2521" s="16"/>
    </row>
    <row r="2522" spans="1:18" ht="90" x14ac:dyDescent="0.25">
      <c r="A2522" s="16"/>
      <c r="B2522" s="16"/>
      <c r="C2522" s="16"/>
      <c r="D2522" s="16"/>
      <c r="E2522" s="16"/>
      <c r="F2522" s="16"/>
      <c r="G2522" s="16"/>
      <c r="H2522" s="16"/>
      <c r="I2522" s="16"/>
      <c r="J2522" s="16"/>
      <c r="K2522" s="16"/>
      <c r="L2522" s="14" t="s">
        <v>153</v>
      </c>
      <c r="M2522" s="16"/>
      <c r="N2522" s="16"/>
      <c r="O2522" s="16"/>
      <c r="P2522" s="16"/>
      <c r="Q2522" s="16"/>
      <c r="R2522" s="16"/>
    </row>
    <row r="2523" spans="1:18" ht="270" x14ac:dyDescent="0.25">
      <c r="A2523" s="14" t="s">
        <v>8974</v>
      </c>
      <c r="B2523" s="14" t="s">
        <v>9004</v>
      </c>
      <c r="C2523" s="14" t="s">
        <v>9016</v>
      </c>
      <c r="D2523" s="14" t="s">
        <v>8531</v>
      </c>
      <c r="E2523" s="14" t="s">
        <v>7599</v>
      </c>
      <c r="F2523" s="14" t="s">
        <v>320</v>
      </c>
      <c r="G2523" s="8" t="s">
        <v>8736</v>
      </c>
      <c r="H2523" s="14" t="s">
        <v>7604</v>
      </c>
      <c r="I2523" s="14"/>
      <c r="J2523" s="14"/>
      <c r="K2523" s="14"/>
      <c r="L2523" s="14"/>
      <c r="M2523" s="14" t="s">
        <v>7602</v>
      </c>
      <c r="N2523" s="14"/>
      <c r="O2523" s="14" t="s">
        <v>7603</v>
      </c>
      <c r="P2523" s="14" t="str">
        <f>HYPERLINK("https://ceds.ed.gov/cedselementdetails.aspx?termid=17161")</f>
        <v>https://ceds.ed.gov/cedselementdetails.aspx?termid=17161</v>
      </c>
      <c r="Q2523" s="14" t="str">
        <f>HYPERLINK("https://ceds.ed.gov/elementComment.aspx?elementName=School Identification System &amp;elementID=17161", "Click here to submit comment")</f>
        <v>Click here to submit comment</v>
      </c>
      <c r="R2523" s="14">
        <v>47762</v>
      </c>
    </row>
    <row r="2524" spans="1:18" ht="105" x14ac:dyDescent="0.25">
      <c r="A2524" s="16" t="s">
        <v>8974</v>
      </c>
      <c r="B2524" s="16" t="s">
        <v>9004</v>
      </c>
      <c r="C2524" s="16" t="s">
        <v>9016</v>
      </c>
      <c r="D2524" s="16" t="s">
        <v>8531</v>
      </c>
      <c r="E2524" s="16" t="s">
        <v>6138</v>
      </c>
      <c r="F2524" s="16" t="s">
        <v>6139</v>
      </c>
      <c r="G2524" s="16" t="s">
        <v>37</v>
      </c>
      <c r="H2524" s="16" t="s">
        <v>6137</v>
      </c>
      <c r="I2524" s="16"/>
      <c r="J2524" s="16" t="s">
        <v>149</v>
      </c>
      <c r="K2524" s="16"/>
      <c r="L2524" s="14" t="s">
        <v>150</v>
      </c>
      <c r="M2524" s="16" t="s">
        <v>6140</v>
      </c>
      <c r="N2524" s="16" t="s">
        <v>6141</v>
      </c>
      <c r="O2524" s="16" t="s">
        <v>6142</v>
      </c>
      <c r="P2524" s="16" t="str">
        <f>HYPERLINK("https://ceds.ed.gov/cedselementdetails.aspx?termid=17153")</f>
        <v>https://ceds.ed.gov/cedselementdetails.aspx?termid=17153</v>
      </c>
      <c r="Q2524" s="16" t="str">
        <f>HYPERLINK("https://ceds.ed.gov/elementComment.aspx?elementName=Local Education Agency Identifier &amp;elementID=17153", "Click here to submit comment")</f>
        <v>Click here to submit comment</v>
      </c>
      <c r="R2524" s="16">
        <v>47758</v>
      </c>
    </row>
    <row r="2525" spans="1:18" x14ac:dyDescent="0.25">
      <c r="A2525" s="16"/>
      <c r="B2525" s="16"/>
      <c r="C2525" s="16"/>
      <c r="D2525" s="16"/>
      <c r="E2525" s="16"/>
      <c r="F2525" s="16"/>
      <c r="G2525" s="16"/>
      <c r="H2525" s="16"/>
      <c r="I2525" s="16"/>
      <c r="J2525" s="16"/>
      <c r="K2525" s="16"/>
      <c r="L2525" s="14"/>
      <c r="M2525" s="16"/>
      <c r="N2525" s="16"/>
      <c r="O2525" s="16"/>
      <c r="P2525" s="16"/>
      <c r="Q2525" s="16"/>
      <c r="R2525" s="16"/>
    </row>
    <row r="2526" spans="1:18" ht="90" x14ac:dyDescent="0.25">
      <c r="A2526" s="16"/>
      <c r="B2526" s="16"/>
      <c r="C2526" s="16"/>
      <c r="D2526" s="16"/>
      <c r="E2526" s="16"/>
      <c r="F2526" s="16"/>
      <c r="G2526" s="16"/>
      <c r="H2526" s="16"/>
      <c r="I2526" s="16"/>
      <c r="J2526" s="16"/>
      <c r="K2526" s="16"/>
      <c r="L2526" s="14" t="s">
        <v>153</v>
      </c>
      <c r="M2526" s="16"/>
      <c r="N2526" s="16"/>
      <c r="O2526" s="16"/>
      <c r="P2526" s="16"/>
      <c r="Q2526" s="16"/>
      <c r="R2526" s="16"/>
    </row>
    <row r="2527" spans="1:18" ht="240" x14ac:dyDescent="0.25">
      <c r="A2527" s="14" t="s">
        <v>8974</v>
      </c>
      <c r="B2527" s="14" t="s">
        <v>9004</v>
      </c>
      <c r="C2527" s="14" t="s">
        <v>9016</v>
      </c>
      <c r="D2527" s="14" t="s">
        <v>8531</v>
      </c>
      <c r="E2527" s="14" t="s">
        <v>6130</v>
      </c>
      <c r="F2527" s="14" t="s">
        <v>6131</v>
      </c>
      <c r="G2527" s="8" t="s">
        <v>8790</v>
      </c>
      <c r="H2527" s="14" t="s">
        <v>6137</v>
      </c>
      <c r="I2527" s="14"/>
      <c r="J2527" s="14"/>
      <c r="K2527" s="14"/>
      <c r="L2527" s="14"/>
      <c r="M2527" s="14" t="s">
        <v>6134</v>
      </c>
      <c r="N2527" s="14" t="s">
        <v>6135</v>
      </c>
      <c r="O2527" s="14" t="s">
        <v>6136</v>
      </c>
      <c r="P2527" s="14" t="str">
        <f>HYPERLINK("https://ceds.ed.gov/cedselementdetails.aspx?termid=17159")</f>
        <v>https://ceds.ed.gov/cedselementdetails.aspx?termid=17159</v>
      </c>
      <c r="Q2527" s="14" t="str">
        <f>HYPERLINK("https://ceds.ed.gov/elementComment.aspx?elementName=Local Education Agency Identification System &amp;elementID=17159", "Click here to submit comment")</f>
        <v>Click here to submit comment</v>
      </c>
      <c r="R2527" s="14">
        <v>47761</v>
      </c>
    </row>
    <row r="2528" spans="1:18" ht="225" x14ac:dyDescent="0.25">
      <c r="A2528" s="14" t="s">
        <v>8974</v>
      </c>
      <c r="B2528" s="14" t="s">
        <v>9004</v>
      </c>
      <c r="C2528" s="14" t="s">
        <v>9016</v>
      </c>
      <c r="D2528" s="14" t="s">
        <v>8531</v>
      </c>
      <c r="E2528" s="14" t="s">
        <v>6353</v>
      </c>
      <c r="F2528" s="14" t="s">
        <v>6354</v>
      </c>
      <c r="G2528" s="14" t="s">
        <v>37</v>
      </c>
      <c r="H2528" s="14" t="s">
        <v>6358</v>
      </c>
      <c r="I2528" s="14"/>
      <c r="J2528" s="14" t="s">
        <v>175</v>
      </c>
      <c r="K2528" s="14"/>
      <c r="L2528" s="14"/>
      <c r="M2528" s="14" t="s">
        <v>6356</v>
      </c>
      <c r="N2528" s="14"/>
      <c r="O2528" s="14" t="s">
        <v>6357</v>
      </c>
      <c r="P2528" s="14" t="str">
        <f>HYPERLINK("https://ceds.ed.gov/cedselementdetails.aspx?termid=17191")</f>
        <v>https://ceds.ed.gov/cedselementdetails.aspx?termid=17191</v>
      </c>
      <c r="Q2528" s="14" t="str">
        <f>HYPERLINK("https://ceds.ed.gov/elementComment.aspx?elementName=Name of Institution &amp;elementID=17191", "Click here to submit comment")</f>
        <v>Click here to submit comment</v>
      </c>
      <c r="R2528" s="14">
        <v>47771</v>
      </c>
    </row>
    <row r="2529" spans="1:18" ht="90" x14ac:dyDescent="0.25">
      <c r="A2529" s="14" t="s">
        <v>8974</v>
      </c>
      <c r="B2529" s="14" t="s">
        <v>9004</v>
      </c>
      <c r="C2529" s="14" t="s">
        <v>9016</v>
      </c>
      <c r="D2529" s="14" t="s">
        <v>8531</v>
      </c>
      <c r="E2529" s="14" t="s">
        <v>7766</v>
      </c>
      <c r="F2529" s="14" t="s">
        <v>7767</v>
      </c>
      <c r="G2529" s="14" t="s">
        <v>37</v>
      </c>
      <c r="H2529" s="14"/>
      <c r="I2529" s="14"/>
      <c r="J2529" s="14" t="s">
        <v>97</v>
      </c>
      <c r="K2529" s="14"/>
      <c r="L2529" s="14" t="s">
        <v>7769</v>
      </c>
      <c r="M2529" s="14" t="s">
        <v>7770</v>
      </c>
      <c r="N2529" s="14"/>
      <c r="O2529" s="14" t="s">
        <v>7771</v>
      </c>
      <c r="P2529" s="14" t="str">
        <f>HYPERLINK("https://ceds.ed.gov/cedselementdetails.aspx?termid=18459")</f>
        <v>https://ceds.ed.gov/cedselementdetails.aspx?termid=18459</v>
      </c>
      <c r="Q2529" s="14" t="str">
        <f>HYPERLINK("https://ceds.ed.gov/elementComment.aspx?elementName=Short Name of Institution &amp;elementID=18459", "Click here to submit comment")</f>
        <v>Click here to submit comment</v>
      </c>
      <c r="R2529" s="14">
        <v>50421</v>
      </c>
    </row>
    <row r="2530" spans="1:18" ht="195" x14ac:dyDescent="0.25">
      <c r="A2530" s="14" t="s">
        <v>8974</v>
      </c>
      <c r="B2530" s="14" t="s">
        <v>9004</v>
      </c>
      <c r="C2530" s="14" t="s">
        <v>9016</v>
      </c>
      <c r="D2530" s="14" t="s">
        <v>8531</v>
      </c>
      <c r="E2530" s="14" t="s">
        <v>2860</v>
      </c>
      <c r="F2530" s="14" t="s">
        <v>2861</v>
      </c>
      <c r="G2530" s="14" t="s">
        <v>37</v>
      </c>
      <c r="H2530" s="14"/>
      <c r="I2530" s="14" t="s">
        <v>195</v>
      </c>
      <c r="J2530" s="14" t="s">
        <v>2863</v>
      </c>
      <c r="K2530" s="14" t="s">
        <v>2864</v>
      </c>
      <c r="L2530" s="14"/>
      <c r="M2530" s="14" t="s">
        <v>2865</v>
      </c>
      <c r="N2530" s="14"/>
      <c r="O2530" s="14" t="s">
        <v>2866</v>
      </c>
      <c r="P2530" s="14" t="str">
        <f>HYPERLINK("https://ceds.ed.gov/cedselementdetails.aspx?termid=18176")</f>
        <v>https://ceds.ed.gov/cedselementdetails.aspx?termid=18176</v>
      </c>
      <c r="Q2530" s="14" t="str">
        <f>HYPERLINK("https://ceds.ed.gov/elementComment.aspx?elementName=County ANSI Code &amp;elementID=18176", "Click here to submit comment")</f>
        <v>Click here to submit comment</v>
      </c>
      <c r="R2530" s="14">
        <v>47738</v>
      </c>
    </row>
    <row r="2531" spans="1:18" ht="135" x14ac:dyDescent="0.25">
      <c r="A2531" s="14" t="s">
        <v>8974</v>
      </c>
      <c r="B2531" s="14" t="s">
        <v>9004</v>
      </c>
      <c r="C2531" s="14" t="s">
        <v>9016</v>
      </c>
      <c r="D2531" s="14" t="s">
        <v>8531</v>
      </c>
      <c r="E2531" s="14" t="s">
        <v>3551</v>
      </c>
      <c r="F2531" s="14" t="s">
        <v>3552</v>
      </c>
      <c r="G2531" s="14" t="s">
        <v>37</v>
      </c>
      <c r="H2531" s="14" t="s">
        <v>3557</v>
      </c>
      <c r="I2531" s="14"/>
      <c r="J2531" s="14" t="s">
        <v>3554</v>
      </c>
      <c r="K2531" s="14"/>
      <c r="L2531" s="14"/>
      <c r="M2531" s="14" t="s">
        <v>3555</v>
      </c>
      <c r="N2531" s="14"/>
      <c r="O2531" s="14" t="s">
        <v>3556</v>
      </c>
      <c r="P2531" s="14" t="str">
        <f>HYPERLINK("https://ceds.ed.gov/cedselementdetails.aspx?termid=17081")</f>
        <v>https://ceds.ed.gov/cedselementdetails.aspx?termid=17081</v>
      </c>
      <c r="Q2531" s="14" t="str">
        <f>HYPERLINK("https://ceds.ed.gov/elementComment.aspx?elementName=Diploma or Credential Award Date &amp;elementID=17081", "Click here to submit comment")</f>
        <v>Click here to submit comment</v>
      </c>
      <c r="R2531" s="14">
        <v>47741</v>
      </c>
    </row>
    <row r="2532" spans="1:18" ht="180" x14ac:dyDescent="0.25">
      <c r="A2532" s="14" t="s">
        <v>8974</v>
      </c>
      <c r="B2532" s="14" t="s">
        <v>9004</v>
      </c>
      <c r="C2532" s="14" t="s">
        <v>9016</v>
      </c>
      <c r="D2532" s="14" t="s">
        <v>8531</v>
      </c>
      <c r="E2532" s="14" t="s">
        <v>4845</v>
      </c>
      <c r="F2532" s="14" t="s">
        <v>4846</v>
      </c>
      <c r="G2532" s="14" t="s">
        <v>37</v>
      </c>
      <c r="H2532" s="14" t="s">
        <v>4852</v>
      </c>
      <c r="I2532" s="14"/>
      <c r="J2532" s="14" t="s">
        <v>1112</v>
      </c>
      <c r="K2532" s="14"/>
      <c r="L2532" s="14" t="s">
        <v>4848</v>
      </c>
      <c r="M2532" s="14" t="s">
        <v>4849</v>
      </c>
      <c r="N2532" s="14" t="s">
        <v>4850</v>
      </c>
      <c r="O2532" s="14" t="s">
        <v>4851</v>
      </c>
      <c r="P2532" s="14" t="str">
        <f>HYPERLINK("https://ceds.ed.gov/cedselementdetails.aspx?termid=17128")</f>
        <v>https://ceds.ed.gov/cedselementdetails.aspx?termid=17128</v>
      </c>
      <c r="Q2532" s="14" t="str">
        <f>HYPERLINK("https://ceds.ed.gov/elementComment.aspx?elementName=Grade Point Average Cumulative &amp;elementID=17128", "Click here to submit comment")</f>
        <v>Click here to submit comment</v>
      </c>
      <c r="R2532" s="14">
        <v>47755</v>
      </c>
    </row>
    <row r="2533" spans="1:18" ht="75" x14ac:dyDescent="0.25">
      <c r="A2533" s="14" t="s">
        <v>8974</v>
      </c>
      <c r="B2533" s="14" t="s">
        <v>9004</v>
      </c>
      <c r="C2533" s="14" t="s">
        <v>9016</v>
      </c>
      <c r="D2533" s="14" t="s">
        <v>8531</v>
      </c>
      <c r="E2533" s="14" t="s">
        <v>4865</v>
      </c>
      <c r="F2533" s="14" t="s">
        <v>4866</v>
      </c>
      <c r="G2533" s="8" t="s">
        <v>8848</v>
      </c>
      <c r="H2533" s="14" t="s">
        <v>4873</v>
      </c>
      <c r="I2533" s="14" t="s">
        <v>195</v>
      </c>
      <c r="J2533" s="14"/>
      <c r="K2533" s="14" t="s">
        <v>4869</v>
      </c>
      <c r="L2533" s="14"/>
      <c r="M2533" s="14" t="s">
        <v>4870</v>
      </c>
      <c r="N2533" s="14" t="s">
        <v>4871</v>
      </c>
      <c r="O2533" s="14" t="s">
        <v>4872</v>
      </c>
      <c r="P2533" s="14" t="str">
        <f>HYPERLINK("https://ceds.ed.gov/cedselementdetails.aspx?termid=17123")</f>
        <v>https://ceds.ed.gov/cedselementdetails.aspx?termid=17123</v>
      </c>
      <c r="Q2533" s="14" t="str">
        <f>HYPERLINK("https://ceds.ed.gov/elementComment.aspx?elementName=Grade Point Average Weighted Indicator &amp;elementID=17123", "Click here to submit comment")</f>
        <v>Click here to submit comment</v>
      </c>
      <c r="R2533" s="14">
        <v>47753</v>
      </c>
    </row>
    <row r="2534" spans="1:18" ht="270" x14ac:dyDescent="0.25">
      <c r="A2534" s="14" t="s">
        <v>8974</v>
      </c>
      <c r="B2534" s="14" t="s">
        <v>9004</v>
      </c>
      <c r="C2534" s="14" t="s">
        <v>9016</v>
      </c>
      <c r="D2534" s="14" t="s">
        <v>8531</v>
      </c>
      <c r="E2534" s="14" t="s">
        <v>4959</v>
      </c>
      <c r="F2534" s="14" t="s">
        <v>4960</v>
      </c>
      <c r="G2534" s="8" t="s">
        <v>8851</v>
      </c>
      <c r="H2534" s="14" t="s">
        <v>4966</v>
      </c>
      <c r="I2534" s="14"/>
      <c r="J2534" s="14"/>
      <c r="K2534" s="14"/>
      <c r="L2534" s="14" t="s">
        <v>4963</v>
      </c>
      <c r="M2534" s="14" t="s">
        <v>4964</v>
      </c>
      <c r="N2534" s="14"/>
      <c r="O2534" s="14" t="s">
        <v>4965</v>
      </c>
      <c r="P2534" s="14" t="str">
        <f>HYPERLINK("https://ceds.ed.gov/cedselementdetails.aspx?termid=17138")</f>
        <v>https://ceds.ed.gov/cedselementdetails.aspx?termid=17138</v>
      </c>
      <c r="Q2534" s="14" t="str">
        <f>HYPERLINK("https://ceds.ed.gov/elementComment.aspx?elementName=High School Diploma Type &amp;elementID=17138", "Click here to submit comment")</f>
        <v>Click here to submit comment</v>
      </c>
      <c r="R2534" s="14">
        <v>47756</v>
      </c>
    </row>
    <row r="2535" spans="1:18" ht="60" x14ac:dyDescent="0.25">
      <c r="A2535" s="14" t="s">
        <v>8974</v>
      </c>
      <c r="B2535" s="14" t="s">
        <v>9004</v>
      </c>
      <c r="C2535" s="14" t="s">
        <v>9016</v>
      </c>
      <c r="D2535" s="14" t="s">
        <v>8531</v>
      </c>
      <c r="E2535" s="14" t="s">
        <v>2411</v>
      </c>
      <c r="F2535" s="14" t="s">
        <v>2412</v>
      </c>
      <c r="G2535" s="14" t="s">
        <v>37</v>
      </c>
      <c r="H2535" s="14" t="s">
        <v>2232</v>
      </c>
      <c r="I2535" s="14"/>
      <c r="J2535" s="14" t="s">
        <v>2094</v>
      </c>
      <c r="K2535" s="14"/>
      <c r="L2535" s="14"/>
      <c r="M2535" s="14" t="s">
        <v>2414</v>
      </c>
      <c r="N2535" s="14"/>
      <c r="O2535" s="14" t="s">
        <v>2415</v>
      </c>
      <c r="P2535" s="14" t="str">
        <f>HYPERLINK("https://ceds.ed.gov/cedselementdetails.aspx?termid=17046")</f>
        <v>https://ceds.ed.gov/cedselementdetails.aspx?termid=17046</v>
      </c>
      <c r="Q2535" s="14" t="str">
        <f>HYPERLINK("https://ceds.ed.gov/elementComment.aspx?elementName=Cohort Year &amp;elementID=17046", "Click here to submit comment")</f>
        <v>Click here to submit comment</v>
      </c>
      <c r="R2535" s="14">
        <v>47736</v>
      </c>
    </row>
    <row r="2536" spans="1:18" x14ac:dyDescent="0.25">
      <c r="A2536" s="16" t="s">
        <v>8974</v>
      </c>
      <c r="B2536" s="16" t="s">
        <v>9004</v>
      </c>
      <c r="C2536" s="16" t="s">
        <v>9017</v>
      </c>
      <c r="D2536" s="16" t="s">
        <v>8531</v>
      </c>
      <c r="E2536" s="16" t="s">
        <v>4562</v>
      </c>
      <c r="F2536" s="16" t="s">
        <v>4563</v>
      </c>
      <c r="G2536" s="16" t="s">
        <v>24</v>
      </c>
      <c r="H2536" s="16" t="s">
        <v>291</v>
      </c>
      <c r="I2536" s="16"/>
      <c r="J2536" s="16"/>
      <c r="K2536" s="16"/>
      <c r="L2536" s="14" t="s">
        <v>4565</v>
      </c>
      <c r="M2536" s="16" t="s">
        <v>4566</v>
      </c>
      <c r="N2536" s="16"/>
      <c r="O2536" s="16" t="s">
        <v>4567</v>
      </c>
      <c r="P2536" s="16" t="str">
        <f>HYPERLINK("https://ceds.ed.gov/cedselementdetails.aspx?termid=17745")</f>
        <v>https://ceds.ed.gov/cedselementdetails.aspx?termid=17745</v>
      </c>
      <c r="Q2536" s="16" t="str">
        <f>HYPERLINK("https://ceds.ed.gov/elementComment.aspx?elementName=Financial Aid Applicant &amp;elementID=17745", "Click here to submit comment")</f>
        <v>Click here to submit comment</v>
      </c>
      <c r="R2536" s="16">
        <v>48266</v>
      </c>
    </row>
    <row r="2537" spans="1:18" ht="45" x14ac:dyDescent="0.25">
      <c r="A2537" s="16"/>
      <c r="B2537" s="16"/>
      <c r="C2537" s="16"/>
      <c r="D2537" s="16"/>
      <c r="E2537" s="16"/>
      <c r="F2537" s="16"/>
      <c r="G2537" s="16"/>
      <c r="H2537" s="16"/>
      <c r="I2537" s="16"/>
      <c r="J2537" s="16"/>
      <c r="K2537" s="16"/>
      <c r="L2537" s="14" t="s">
        <v>4568</v>
      </c>
      <c r="M2537" s="16"/>
      <c r="N2537" s="16"/>
      <c r="O2537" s="16"/>
      <c r="P2537" s="16"/>
      <c r="Q2537" s="16"/>
      <c r="R2537" s="16"/>
    </row>
    <row r="2538" spans="1:18" ht="120" x14ac:dyDescent="0.25">
      <c r="A2538" s="14" t="s">
        <v>8974</v>
      </c>
      <c r="B2538" s="14" t="s">
        <v>9004</v>
      </c>
      <c r="C2538" s="14" t="s">
        <v>9017</v>
      </c>
      <c r="D2538" s="14" t="s">
        <v>8531</v>
      </c>
      <c r="E2538" s="14" t="s">
        <v>4569</v>
      </c>
      <c r="F2538" s="14" t="s">
        <v>4570</v>
      </c>
      <c r="G2538" s="8" t="s">
        <v>9018</v>
      </c>
      <c r="H2538" s="14" t="s">
        <v>291</v>
      </c>
      <c r="I2538" s="14"/>
      <c r="J2538" s="14"/>
      <c r="K2538" s="14"/>
      <c r="L2538" s="14" t="s">
        <v>4572</v>
      </c>
      <c r="M2538" s="14" t="s">
        <v>4573</v>
      </c>
      <c r="N2538" s="14"/>
      <c r="O2538" s="14" t="s">
        <v>4574</v>
      </c>
      <c r="P2538" s="14" t="str">
        <f>HYPERLINK("https://ceds.ed.gov/cedselementdetails.aspx?termid=18186")</f>
        <v>https://ceds.ed.gov/cedselementdetails.aspx?termid=18186</v>
      </c>
      <c r="Q2538" s="14" t="str">
        <f>HYPERLINK("https://ceds.ed.gov/elementComment.aspx?elementName=Financial Aid Application Type &amp;elementID=18186", "Click here to submit comment")</f>
        <v>Click here to submit comment</v>
      </c>
      <c r="R2538" s="14">
        <v>48564</v>
      </c>
    </row>
    <row r="2539" spans="1:18" ht="60" x14ac:dyDescent="0.25">
      <c r="A2539" s="14" t="s">
        <v>8974</v>
      </c>
      <c r="B2539" s="14" t="s">
        <v>9004</v>
      </c>
      <c r="C2539" s="14" t="s">
        <v>9017</v>
      </c>
      <c r="D2539" s="14" t="s">
        <v>8531</v>
      </c>
      <c r="E2539" s="14" t="s">
        <v>4637</v>
      </c>
      <c r="F2539" s="14" t="s">
        <v>4638</v>
      </c>
      <c r="G2539" s="14" t="s">
        <v>37</v>
      </c>
      <c r="H2539" s="14" t="s">
        <v>291</v>
      </c>
      <c r="I2539" s="14"/>
      <c r="J2539" s="14" t="s">
        <v>1710</v>
      </c>
      <c r="K2539" s="14"/>
      <c r="L2539" s="14" t="s">
        <v>4639</v>
      </c>
      <c r="M2539" s="14" t="s">
        <v>4640</v>
      </c>
      <c r="N2539" s="14"/>
      <c r="O2539" s="14" t="s">
        <v>4641</v>
      </c>
      <c r="P2539" s="14" t="str">
        <f>HYPERLINK("https://ceds.ed.gov/cedselementdetails.aspx?termid=17747")</f>
        <v>https://ceds.ed.gov/cedselementdetails.aspx?termid=17747</v>
      </c>
      <c r="Q2539" s="14" t="str">
        <f>HYPERLINK("https://ceds.ed.gov/elementComment.aspx?elementName=Financial Need &amp;elementID=17747", "Click here to submit comment")</f>
        <v>Click here to submit comment</v>
      </c>
      <c r="R2539" s="14">
        <v>48267</v>
      </c>
    </row>
    <row r="2540" spans="1:18" ht="45" x14ac:dyDescent="0.25">
      <c r="A2540" s="14" t="s">
        <v>8974</v>
      </c>
      <c r="B2540" s="14" t="s">
        <v>9004</v>
      </c>
      <c r="C2540" s="14" t="s">
        <v>9017</v>
      </c>
      <c r="D2540" s="14" t="s">
        <v>8531</v>
      </c>
      <c r="E2540" s="14" t="s">
        <v>4642</v>
      </c>
      <c r="F2540" s="14" t="s">
        <v>4643</v>
      </c>
      <c r="G2540" s="8" t="s">
        <v>9019</v>
      </c>
      <c r="H2540" s="14" t="s">
        <v>291</v>
      </c>
      <c r="I2540" s="14"/>
      <c r="J2540" s="14"/>
      <c r="K2540" s="14"/>
      <c r="L2540" s="14" t="s">
        <v>4645</v>
      </c>
      <c r="M2540" s="14" t="s">
        <v>4646</v>
      </c>
      <c r="N2540" s="14"/>
      <c r="O2540" s="14" t="s">
        <v>4647</v>
      </c>
      <c r="P2540" s="14" t="str">
        <f>HYPERLINK("https://ceds.ed.gov/cedselementdetails.aspx?termid=18188")</f>
        <v>https://ceds.ed.gov/cedselementdetails.aspx?termid=18188</v>
      </c>
      <c r="Q2540" s="14" t="str">
        <f>HYPERLINK("https://ceds.ed.gov/elementComment.aspx?elementName=Financial Need Determination Methodology &amp;elementID=18188", "Click here to submit comment")</f>
        <v>Click here to submit comment</v>
      </c>
      <c r="R2540" s="14">
        <v>48629</v>
      </c>
    </row>
    <row r="2541" spans="1:18" ht="30" x14ac:dyDescent="0.25">
      <c r="A2541" s="16" t="s">
        <v>8974</v>
      </c>
      <c r="B2541" s="16" t="s">
        <v>9004</v>
      </c>
      <c r="C2541" s="16" t="s">
        <v>9017</v>
      </c>
      <c r="D2541" s="16" t="s">
        <v>8531</v>
      </c>
      <c r="E2541" s="16" t="s">
        <v>4582</v>
      </c>
      <c r="F2541" s="16" t="s">
        <v>4583</v>
      </c>
      <c r="G2541" s="18" t="s">
        <v>9020</v>
      </c>
      <c r="H2541" s="16" t="s">
        <v>4580</v>
      </c>
      <c r="I2541" s="16"/>
      <c r="J2541" s="16"/>
      <c r="K2541" s="16"/>
      <c r="L2541" s="14" t="s">
        <v>4585</v>
      </c>
      <c r="M2541" s="16" t="s">
        <v>4586</v>
      </c>
      <c r="N2541" s="16"/>
      <c r="O2541" s="16" t="s">
        <v>4587</v>
      </c>
      <c r="P2541" s="16" t="str">
        <f>HYPERLINK("https://ceds.ed.gov/cedselementdetails.aspx?termid=17362")</f>
        <v>https://ceds.ed.gov/cedselementdetails.aspx?termid=17362</v>
      </c>
      <c r="Q2541" s="16" t="str">
        <f>HYPERLINK("https://ceds.ed.gov/elementComment.aspx?elementName=Financial Aid Award Status &amp;elementID=17362", "Click here to submit comment")</f>
        <v>Click here to submit comment</v>
      </c>
      <c r="R2541" s="16">
        <v>47797</v>
      </c>
    </row>
    <row r="2542" spans="1:18" ht="30" x14ac:dyDescent="0.25">
      <c r="A2542" s="16"/>
      <c r="B2542" s="16"/>
      <c r="C2542" s="16"/>
      <c r="D2542" s="16"/>
      <c r="E2542" s="16"/>
      <c r="F2542" s="16"/>
      <c r="G2542" s="16"/>
      <c r="H2542" s="16"/>
      <c r="I2542" s="16"/>
      <c r="J2542" s="16"/>
      <c r="K2542" s="16"/>
      <c r="L2542" s="14" t="s">
        <v>4588</v>
      </c>
      <c r="M2542" s="16"/>
      <c r="N2542" s="16"/>
      <c r="O2542" s="16"/>
      <c r="P2542" s="16"/>
      <c r="Q2542" s="16"/>
      <c r="R2542" s="16"/>
    </row>
    <row r="2543" spans="1:18" x14ac:dyDescent="0.25">
      <c r="A2543" s="16" t="s">
        <v>8974</v>
      </c>
      <c r="B2543" s="16" t="s">
        <v>9004</v>
      </c>
      <c r="C2543" s="16" t="s">
        <v>9017</v>
      </c>
      <c r="D2543" s="16" t="s">
        <v>8531</v>
      </c>
      <c r="E2543" s="16" t="s">
        <v>4589</v>
      </c>
      <c r="F2543" s="16" t="s">
        <v>4590</v>
      </c>
      <c r="G2543" s="18" t="s">
        <v>9021</v>
      </c>
      <c r="H2543" s="16" t="s">
        <v>4580</v>
      </c>
      <c r="I2543" s="16"/>
      <c r="J2543" s="16"/>
      <c r="K2543" s="16"/>
      <c r="L2543" s="14" t="s">
        <v>4592</v>
      </c>
      <c r="M2543" s="16" t="s">
        <v>4593</v>
      </c>
      <c r="N2543" s="16"/>
      <c r="O2543" s="16" t="s">
        <v>4594</v>
      </c>
      <c r="P2543" s="16" t="str">
        <f>HYPERLINK("https://ceds.ed.gov/cedselementdetails.aspx?termid=17113")</f>
        <v>https://ceds.ed.gov/cedselementdetails.aspx?termid=17113</v>
      </c>
      <c r="Q2543" s="16" t="str">
        <f>HYPERLINK("https://ceds.ed.gov/elementComment.aspx?elementName=Financial Aid Award Type &amp;elementID=17113", "Click here to submit comment")</f>
        <v>Click here to submit comment</v>
      </c>
      <c r="R2543" s="16">
        <v>47749</v>
      </c>
    </row>
    <row r="2544" spans="1:18" ht="45" x14ac:dyDescent="0.25">
      <c r="A2544" s="16"/>
      <c r="B2544" s="16"/>
      <c r="C2544" s="16"/>
      <c r="D2544" s="16"/>
      <c r="E2544" s="16"/>
      <c r="F2544" s="16"/>
      <c r="G2544" s="16"/>
      <c r="H2544" s="16"/>
      <c r="I2544" s="16"/>
      <c r="J2544" s="16"/>
      <c r="K2544" s="16"/>
      <c r="L2544" s="14" t="s">
        <v>4581</v>
      </c>
      <c r="M2544" s="16"/>
      <c r="N2544" s="16"/>
      <c r="O2544" s="16"/>
      <c r="P2544" s="16"/>
      <c r="Q2544" s="16"/>
      <c r="R2544" s="16"/>
    </row>
    <row r="2545" spans="1:18" x14ac:dyDescent="0.25">
      <c r="A2545" s="16" t="s">
        <v>8974</v>
      </c>
      <c r="B2545" s="16" t="s">
        <v>9004</v>
      </c>
      <c r="C2545" s="16" t="s">
        <v>9017</v>
      </c>
      <c r="D2545" s="16" t="s">
        <v>8531</v>
      </c>
      <c r="E2545" s="16" t="s">
        <v>4575</v>
      </c>
      <c r="F2545" s="16" t="s">
        <v>4576</v>
      </c>
      <c r="G2545" s="16" t="s">
        <v>37</v>
      </c>
      <c r="H2545" s="16" t="s">
        <v>4580</v>
      </c>
      <c r="I2545" s="16"/>
      <c r="J2545" s="16" t="s">
        <v>1710</v>
      </c>
      <c r="K2545" s="16"/>
      <c r="L2545" s="14" t="s">
        <v>4577</v>
      </c>
      <c r="M2545" s="16" t="s">
        <v>4578</v>
      </c>
      <c r="N2545" s="16"/>
      <c r="O2545" s="16" t="s">
        <v>4579</v>
      </c>
      <c r="P2545" s="16" t="str">
        <f>HYPERLINK("https://ceds.ed.gov/cedselementdetails.aspx?termid=17112")</f>
        <v>https://ceds.ed.gov/cedselementdetails.aspx?termid=17112</v>
      </c>
      <c r="Q2545" s="16" t="str">
        <f>HYPERLINK("https://ceds.ed.gov/elementComment.aspx?elementName=Financial Aid Award Amount &amp;elementID=17112", "Click here to submit comment")</f>
        <v>Click here to submit comment</v>
      </c>
      <c r="R2545" s="16">
        <v>47748</v>
      </c>
    </row>
    <row r="2546" spans="1:18" ht="45" x14ac:dyDescent="0.25">
      <c r="A2546" s="16"/>
      <c r="B2546" s="16"/>
      <c r="C2546" s="16"/>
      <c r="D2546" s="16"/>
      <c r="E2546" s="16"/>
      <c r="F2546" s="16"/>
      <c r="G2546" s="16"/>
      <c r="H2546" s="16"/>
      <c r="I2546" s="16"/>
      <c r="J2546" s="16"/>
      <c r="K2546" s="16"/>
      <c r="L2546" s="14" t="s">
        <v>4581</v>
      </c>
      <c r="M2546" s="16"/>
      <c r="N2546" s="16"/>
      <c r="O2546" s="16"/>
      <c r="P2546" s="16"/>
      <c r="Q2546" s="16"/>
      <c r="R2546" s="16"/>
    </row>
    <row r="2547" spans="1:18" ht="150" x14ac:dyDescent="0.25">
      <c r="A2547" s="14" t="s">
        <v>8974</v>
      </c>
      <c r="B2547" s="14" t="s">
        <v>9004</v>
      </c>
      <c r="C2547" s="14" t="s">
        <v>9017</v>
      </c>
      <c r="D2547" s="14" t="s">
        <v>8531</v>
      </c>
      <c r="E2547" s="14" t="s">
        <v>4595</v>
      </c>
      <c r="F2547" s="14" t="s">
        <v>4596</v>
      </c>
      <c r="G2547" s="14" t="s">
        <v>37</v>
      </c>
      <c r="H2547" s="14"/>
      <c r="I2547" s="14"/>
      <c r="J2547" s="14" t="s">
        <v>1710</v>
      </c>
      <c r="K2547" s="14"/>
      <c r="L2547" s="14"/>
      <c r="M2547" s="14" t="s">
        <v>4597</v>
      </c>
      <c r="N2547" s="14"/>
      <c r="O2547" s="14" t="s">
        <v>4598</v>
      </c>
      <c r="P2547" s="14" t="str">
        <f>HYPERLINK("https://ceds.ed.gov/cedselementdetails.aspx?termid=18319")</f>
        <v>https://ceds.ed.gov/cedselementdetails.aspx?termid=18319</v>
      </c>
      <c r="Q2547" s="14" t="str">
        <f>HYPERLINK("https://ceds.ed.gov/elementComment.aspx?elementName=Financial Aid Income Level &amp;elementID=18319", "Click here to submit comment")</f>
        <v>Click here to submit comment</v>
      </c>
      <c r="R2547" s="14">
        <v>50195</v>
      </c>
    </row>
    <row r="2548" spans="1:18" ht="105" x14ac:dyDescent="0.25">
      <c r="A2548" s="14" t="s">
        <v>8974</v>
      </c>
      <c r="B2548" s="14" t="s">
        <v>9004</v>
      </c>
      <c r="C2548" s="14" t="s">
        <v>9017</v>
      </c>
      <c r="D2548" s="14" t="s">
        <v>8531</v>
      </c>
      <c r="E2548" s="14" t="s">
        <v>4599</v>
      </c>
      <c r="F2548" s="14" t="s">
        <v>4600</v>
      </c>
      <c r="G2548" s="8" t="s">
        <v>9022</v>
      </c>
      <c r="H2548" s="14" t="s">
        <v>2944</v>
      </c>
      <c r="I2548" s="14"/>
      <c r="J2548" s="14"/>
      <c r="K2548" s="14"/>
      <c r="L2548" s="14"/>
      <c r="M2548" s="14" t="s">
        <v>4602</v>
      </c>
      <c r="N2548" s="14"/>
      <c r="O2548" s="14" t="s">
        <v>4603</v>
      </c>
      <c r="P2548" s="14" t="str">
        <f>HYPERLINK("https://ceds.ed.gov/cedselementdetails.aspx?termid=18588")</f>
        <v>https://ceds.ed.gov/cedselementdetails.aspx?termid=18588</v>
      </c>
      <c r="Q2548" s="14" t="str">
        <f>HYPERLINK("https://ceds.ed.gov/elementComment.aspx?elementName=Financial Aid Veteran’s Benefit Status &amp;elementID=18588", "Click here to submit comment")</f>
        <v>Click here to submit comment</v>
      </c>
      <c r="R2548" s="14">
        <v>51079</v>
      </c>
    </row>
    <row r="2549" spans="1:18" ht="60" x14ac:dyDescent="0.25">
      <c r="A2549" s="14" t="s">
        <v>8974</v>
      </c>
      <c r="B2549" s="14" t="s">
        <v>9004</v>
      </c>
      <c r="C2549" s="14" t="s">
        <v>9017</v>
      </c>
      <c r="D2549" s="14" t="s">
        <v>8531</v>
      </c>
      <c r="E2549" s="14" t="s">
        <v>4604</v>
      </c>
      <c r="F2549" s="14" t="s">
        <v>4605</v>
      </c>
      <c r="G2549" s="8" t="s">
        <v>9023</v>
      </c>
      <c r="H2549" s="14" t="s">
        <v>278</v>
      </c>
      <c r="I2549" s="14"/>
      <c r="J2549" s="14"/>
      <c r="K2549" s="14"/>
      <c r="L2549" s="14"/>
      <c r="M2549" s="14" t="s">
        <v>4607</v>
      </c>
      <c r="N2549" s="14"/>
      <c r="O2549" s="14" t="s">
        <v>4608</v>
      </c>
      <c r="P2549" s="14" t="str">
        <f>HYPERLINK("https://ceds.ed.gov/cedselementdetails.aspx?termid=18589")</f>
        <v>https://ceds.ed.gov/cedselementdetails.aspx?termid=18589</v>
      </c>
      <c r="Q2549" s="14" t="str">
        <f>HYPERLINK("https://ceds.ed.gov/elementComment.aspx?elementName=Financial Aid Veteran’s Benefit Type &amp;elementID=18589", "Click here to submit comment")</f>
        <v>Click here to submit comment</v>
      </c>
      <c r="R2549" s="14">
        <v>51080</v>
      </c>
    </row>
    <row r="2550" spans="1:18" ht="60" x14ac:dyDescent="0.25">
      <c r="A2550" s="14" t="s">
        <v>8974</v>
      </c>
      <c r="B2550" s="14" t="s">
        <v>9004</v>
      </c>
      <c r="C2550" s="14" t="s">
        <v>9017</v>
      </c>
      <c r="D2550" s="14" t="s">
        <v>8531</v>
      </c>
      <c r="E2550" s="14" t="s">
        <v>4609</v>
      </c>
      <c r="F2550" s="14" t="s">
        <v>4610</v>
      </c>
      <c r="G2550" s="14" t="s">
        <v>37</v>
      </c>
      <c r="H2550" s="14" t="s">
        <v>3530</v>
      </c>
      <c r="I2550" s="14"/>
      <c r="J2550" s="14" t="s">
        <v>91</v>
      </c>
      <c r="K2550" s="14"/>
      <c r="L2550" s="14"/>
      <c r="M2550" s="14" t="s">
        <v>4611</v>
      </c>
      <c r="N2550" s="14"/>
      <c r="O2550" s="14" t="s">
        <v>4612</v>
      </c>
      <c r="P2550" s="14" t="str">
        <f>HYPERLINK("https://ceds.ed.gov/cedselementdetails.aspx?termid=18590")</f>
        <v>https://ceds.ed.gov/cedselementdetails.aspx?termid=18590</v>
      </c>
      <c r="Q2550" s="14" t="str">
        <f>HYPERLINK("https://ceds.ed.gov/elementComment.aspx?elementName=Financial Aid Year Designator &amp;elementID=18590", "Click here to submit comment")</f>
        <v>Click here to submit comment</v>
      </c>
      <c r="R2550" s="14">
        <v>51081</v>
      </c>
    </row>
    <row r="2551" spans="1:18" ht="105" x14ac:dyDescent="0.25">
      <c r="A2551" s="14" t="s">
        <v>8974</v>
      </c>
      <c r="B2551" s="14" t="s">
        <v>9004</v>
      </c>
      <c r="C2551" s="14" t="s">
        <v>9024</v>
      </c>
      <c r="D2551" s="14" t="s">
        <v>8531</v>
      </c>
      <c r="E2551" s="14" t="s">
        <v>3475</v>
      </c>
      <c r="F2551" s="14" t="s">
        <v>3476</v>
      </c>
      <c r="G2551" s="14" t="s">
        <v>24</v>
      </c>
      <c r="H2551" s="14" t="s">
        <v>48</v>
      </c>
      <c r="I2551" s="14"/>
      <c r="J2551" s="14"/>
      <c r="K2551" s="14"/>
      <c r="L2551" s="14"/>
      <c r="M2551" s="14" t="s">
        <v>3477</v>
      </c>
      <c r="N2551" s="14"/>
      <c r="O2551" s="14" t="s">
        <v>3478</v>
      </c>
      <c r="P2551" s="14" t="str">
        <f>HYPERLINK("https://ceds.ed.gov/cedselementdetails.aspx?termid=17078")</f>
        <v>https://ceds.ed.gov/cedselementdetails.aspx?termid=17078</v>
      </c>
      <c r="Q2551" s="14" t="str">
        <f>HYPERLINK("https://ceds.ed.gov/elementComment.aspx?elementName=Degree or Certificate Seeking Student &amp;elementID=17078", "Click here to submit comment")</f>
        <v>Click here to submit comment</v>
      </c>
      <c r="R2551" s="14">
        <v>47739</v>
      </c>
    </row>
    <row r="2552" spans="1:18" ht="195" x14ac:dyDescent="0.25">
      <c r="A2552" s="14" t="s">
        <v>8974</v>
      </c>
      <c r="B2552" s="14" t="s">
        <v>9004</v>
      </c>
      <c r="C2552" s="14" t="s">
        <v>9024</v>
      </c>
      <c r="D2552" s="14" t="s">
        <v>8531</v>
      </c>
      <c r="E2552" s="14" t="s">
        <v>2399</v>
      </c>
      <c r="F2552" s="14" t="s">
        <v>2400</v>
      </c>
      <c r="G2552" s="8" t="s">
        <v>9025</v>
      </c>
      <c r="H2552" s="14" t="s">
        <v>278</v>
      </c>
      <c r="I2552" s="14"/>
      <c r="J2552" s="14"/>
      <c r="K2552" s="14"/>
      <c r="L2552" s="14"/>
      <c r="M2552" s="14" t="s">
        <v>2403</v>
      </c>
      <c r="N2552" s="14"/>
      <c r="O2552" s="14" t="s">
        <v>2404</v>
      </c>
      <c r="P2552" s="14" t="str">
        <f>HYPERLINK("https://ceds.ed.gov/cedselementdetails.aspx?termid=17106")</f>
        <v>https://ceds.ed.gov/cedselementdetails.aspx?termid=17106</v>
      </c>
      <c r="Q2552" s="14" t="str">
        <f>HYPERLINK("https://ceds.ed.gov/elementComment.aspx?elementName=Cohort Exclusion &amp;elementID=17106", "Click here to submit comment")</f>
        <v>Click here to submit comment</v>
      </c>
      <c r="R2552" s="14">
        <v>50972</v>
      </c>
    </row>
    <row r="2553" spans="1:18" ht="195" x14ac:dyDescent="0.25">
      <c r="A2553" s="14" t="s">
        <v>8974</v>
      </c>
      <c r="B2553" s="14" t="s">
        <v>9004</v>
      </c>
      <c r="C2553" s="14" t="s">
        <v>9024</v>
      </c>
      <c r="D2553" s="14" t="s">
        <v>8531</v>
      </c>
      <c r="E2553" s="14" t="s">
        <v>4674</v>
      </c>
      <c r="F2553" s="14" t="s">
        <v>4675</v>
      </c>
      <c r="G2553" s="14" t="s">
        <v>24</v>
      </c>
      <c r="H2553" s="14" t="s">
        <v>225</v>
      </c>
      <c r="I2553" s="14"/>
      <c r="J2553" s="14"/>
      <c r="K2553" s="14"/>
      <c r="L2553" s="14"/>
      <c r="M2553" s="14" t="s">
        <v>4676</v>
      </c>
      <c r="N2553" s="14"/>
      <c r="O2553" s="14" t="s">
        <v>4677</v>
      </c>
      <c r="P2553" s="14" t="str">
        <f>HYPERLINK("https://ceds.ed.gov/cedselementdetails.aspx?termid=17117")</f>
        <v>https://ceds.ed.gov/cedselementdetails.aspx?termid=17117</v>
      </c>
      <c r="Q2553" s="14" t="str">
        <f>HYPERLINK("https://ceds.ed.gov/elementComment.aspx?elementName=First Time Postsecondary Student &amp;elementID=17117", "Click here to submit comment")</f>
        <v>Click here to submit comment</v>
      </c>
      <c r="R2553" s="14">
        <v>47751</v>
      </c>
    </row>
    <row r="2554" spans="1:18" ht="90" x14ac:dyDescent="0.25">
      <c r="A2554" s="14" t="s">
        <v>8974</v>
      </c>
      <c r="B2554" s="14" t="s">
        <v>9004</v>
      </c>
      <c r="C2554" s="14" t="s">
        <v>9024</v>
      </c>
      <c r="D2554" s="14" t="s">
        <v>8531</v>
      </c>
      <c r="E2554" s="14" t="s">
        <v>8076</v>
      </c>
      <c r="F2554" s="14" t="s">
        <v>8077</v>
      </c>
      <c r="G2554" s="8" t="s">
        <v>9026</v>
      </c>
      <c r="H2554" s="14" t="s">
        <v>225</v>
      </c>
      <c r="I2554" s="14"/>
      <c r="J2554" s="14"/>
      <c r="K2554" s="14"/>
      <c r="L2554" s="14"/>
      <c r="M2554" s="14" t="s">
        <v>8079</v>
      </c>
      <c r="N2554" s="14"/>
      <c r="O2554" s="14" t="s">
        <v>8080</v>
      </c>
      <c r="P2554" s="14" t="str">
        <f>HYPERLINK("https://ceds.ed.gov/cedselementdetails.aspx?termid=17272")</f>
        <v>https://ceds.ed.gov/cedselementdetails.aspx?termid=17272</v>
      </c>
      <c r="Q2554" s="14" t="str">
        <f>HYPERLINK("https://ceds.ed.gov/elementComment.aspx?elementName=Student Level &amp;elementID=17272", "Click here to submit comment")</f>
        <v>Click here to submit comment</v>
      </c>
      <c r="R2554" s="14">
        <v>47788</v>
      </c>
    </row>
    <row r="2555" spans="1:18" ht="90" x14ac:dyDescent="0.25">
      <c r="A2555" s="14" t="s">
        <v>8974</v>
      </c>
      <c r="B2555" s="14" t="s">
        <v>9004</v>
      </c>
      <c r="C2555" s="14" t="s">
        <v>9024</v>
      </c>
      <c r="D2555" s="14" t="s">
        <v>8531</v>
      </c>
      <c r="E2555" s="14" t="s">
        <v>4102</v>
      </c>
      <c r="F2555" s="14" t="s">
        <v>4103</v>
      </c>
      <c r="G2555" s="14" t="s">
        <v>37</v>
      </c>
      <c r="H2555" s="14" t="s">
        <v>4106</v>
      </c>
      <c r="I2555" s="14"/>
      <c r="J2555" s="14" t="s">
        <v>135</v>
      </c>
      <c r="K2555" s="14"/>
      <c r="L2555" s="14"/>
      <c r="M2555" s="14" t="s">
        <v>4104</v>
      </c>
      <c r="N2555" s="14"/>
      <c r="O2555" s="14" t="s">
        <v>4105</v>
      </c>
      <c r="P2555" s="14" t="str">
        <f>HYPERLINK("https://ceds.ed.gov/cedselementdetails.aspx?termid=17098")</f>
        <v>https://ceds.ed.gov/cedselementdetails.aspx?termid=17098</v>
      </c>
      <c r="Q2555" s="14" t="str">
        <f>HYPERLINK("https://ceds.ed.gov/elementComment.aspx?elementName=Entry Date into Postsecondary &amp;elementID=17098", "Click here to submit comment")</f>
        <v>Click here to submit comment</v>
      </c>
      <c r="R2555" s="14">
        <v>47745</v>
      </c>
    </row>
    <row r="2556" spans="1:18" ht="195" x14ac:dyDescent="0.25">
      <c r="A2556" s="14" t="s">
        <v>8974</v>
      </c>
      <c r="B2556" s="14" t="s">
        <v>9004</v>
      </c>
      <c r="C2556" s="14" t="s">
        <v>9024</v>
      </c>
      <c r="D2556" s="14" t="s">
        <v>8531</v>
      </c>
      <c r="E2556" s="14" t="s">
        <v>4081</v>
      </c>
      <c r="F2556" s="14" t="s">
        <v>4082</v>
      </c>
      <c r="G2556" s="14" t="s">
        <v>37</v>
      </c>
      <c r="H2556" s="14" t="s">
        <v>4086</v>
      </c>
      <c r="I2556" s="14"/>
      <c r="J2556" s="14" t="s">
        <v>135</v>
      </c>
      <c r="K2556" s="14"/>
      <c r="L2556" s="14"/>
      <c r="M2556" s="14" t="s">
        <v>4084</v>
      </c>
      <c r="N2556" s="14"/>
      <c r="O2556" s="14" t="s">
        <v>4085</v>
      </c>
      <c r="P2556" s="14" t="str">
        <f>HYPERLINK("https://ceds.ed.gov/cedselementdetails.aspx?termid=17097")</f>
        <v>https://ceds.ed.gov/cedselementdetails.aspx?termid=17097</v>
      </c>
      <c r="Q2556" s="14" t="str">
        <f>HYPERLINK("https://ceds.ed.gov/elementComment.aspx?elementName=Enrollment Entry Date &amp;elementID=17097", "Click here to submit comment")</f>
        <v>Click here to submit comment</v>
      </c>
      <c r="R2556" s="14">
        <v>50971</v>
      </c>
    </row>
    <row r="2557" spans="1:18" ht="75" x14ac:dyDescent="0.25">
      <c r="A2557" s="14" t="s">
        <v>8974</v>
      </c>
      <c r="B2557" s="14" t="s">
        <v>9004</v>
      </c>
      <c r="C2557" s="14" t="s">
        <v>9024</v>
      </c>
      <c r="D2557" s="14" t="s">
        <v>8531</v>
      </c>
      <c r="E2557" s="14" t="s">
        <v>4087</v>
      </c>
      <c r="F2557" s="14" t="s">
        <v>4088</v>
      </c>
      <c r="G2557" s="14" t="s">
        <v>37</v>
      </c>
      <c r="H2557" s="14" t="s">
        <v>65</v>
      </c>
      <c r="I2557" s="14"/>
      <c r="J2557" s="14" t="s">
        <v>135</v>
      </c>
      <c r="K2557" s="14"/>
      <c r="L2557" s="14" t="s">
        <v>160</v>
      </c>
      <c r="M2557" s="14" t="s">
        <v>4090</v>
      </c>
      <c r="N2557" s="14"/>
      <c r="O2557" s="14" t="s">
        <v>4091</v>
      </c>
      <c r="P2557" s="14" t="str">
        <f>HYPERLINK("https://ceds.ed.gov/cedselementdetails.aspx?termid=17107")</f>
        <v>https://ceds.ed.gov/cedselementdetails.aspx?termid=17107</v>
      </c>
      <c r="Q2557" s="14" t="str">
        <f>HYPERLINK("https://ceds.ed.gov/elementComment.aspx?elementName=Enrollment Exit Date &amp;elementID=17107", "Click here to submit comment")</f>
        <v>Click here to submit comment</v>
      </c>
      <c r="R2557" s="14">
        <v>47747</v>
      </c>
    </row>
    <row r="2558" spans="1:18" ht="75" x14ac:dyDescent="0.25">
      <c r="A2558" s="14" t="s">
        <v>8974</v>
      </c>
      <c r="B2558" s="14" t="s">
        <v>9004</v>
      </c>
      <c r="C2558" s="14" t="s">
        <v>9024</v>
      </c>
      <c r="D2558" s="14" t="s">
        <v>8531</v>
      </c>
      <c r="E2558" s="14" t="s">
        <v>5456</v>
      </c>
      <c r="F2558" s="14" t="s">
        <v>5457</v>
      </c>
      <c r="G2558" s="14" t="s">
        <v>37</v>
      </c>
      <c r="H2558" s="14" t="s">
        <v>225</v>
      </c>
      <c r="I2558" s="14"/>
      <c r="J2558" s="14" t="s">
        <v>97</v>
      </c>
      <c r="K2558" s="14"/>
      <c r="L2558" s="14"/>
      <c r="M2558" s="14" t="s">
        <v>5458</v>
      </c>
      <c r="N2558" s="14"/>
      <c r="O2558" s="14" t="s">
        <v>5459</v>
      </c>
      <c r="P2558" s="14" t="str">
        <f>HYPERLINK("https://ceds.ed.gov/cedselementdetails.aspx?termid=17165")</f>
        <v>https://ceds.ed.gov/cedselementdetails.aspx?termid=17165</v>
      </c>
      <c r="Q2558" s="14" t="str">
        <f>HYPERLINK("https://ceds.ed.gov/elementComment.aspx?elementName=Initial Enrollment Term &amp;elementID=17165", "Click here to submit comment")</f>
        <v>Click here to submit comment</v>
      </c>
      <c r="R2558" s="14">
        <v>47764</v>
      </c>
    </row>
    <row r="2559" spans="1:18" ht="105" x14ac:dyDescent="0.25">
      <c r="A2559" s="14" t="s">
        <v>8974</v>
      </c>
      <c r="B2559" s="14" t="s">
        <v>9004</v>
      </c>
      <c r="C2559" s="14" t="s">
        <v>9024</v>
      </c>
      <c r="D2559" s="14" t="s">
        <v>8531</v>
      </c>
      <c r="E2559" s="14" t="s">
        <v>6794</v>
      </c>
      <c r="F2559" s="14" t="s">
        <v>6795</v>
      </c>
      <c r="G2559" s="8" t="s">
        <v>9027</v>
      </c>
      <c r="H2559" s="14" t="s">
        <v>2944</v>
      </c>
      <c r="I2559" s="14"/>
      <c r="J2559" s="14"/>
      <c r="K2559" s="14"/>
      <c r="L2559" s="14"/>
      <c r="M2559" s="14" t="s">
        <v>6797</v>
      </c>
      <c r="N2559" s="14"/>
      <c r="O2559" s="14" t="s">
        <v>6798</v>
      </c>
      <c r="P2559" s="14" t="str">
        <f>HYPERLINK("https://ceds.ed.gov/cedselementdetails.aspx?termid=18596")</f>
        <v>https://ceds.ed.gov/cedselementdetails.aspx?termid=18596</v>
      </c>
      <c r="Q2559" s="14" t="str">
        <f>HYPERLINK("https://ceds.ed.gov/elementComment.aspx?elementName=Postsecondary Exit or Withdrawal Type &amp;elementID=18596", "Click here to submit comment")</f>
        <v>Click here to submit comment</v>
      </c>
      <c r="R2559" s="14">
        <v>51095</v>
      </c>
    </row>
    <row r="2560" spans="1:18" ht="75" x14ac:dyDescent="0.25">
      <c r="A2560" s="14" t="s">
        <v>8974</v>
      </c>
      <c r="B2560" s="14" t="s">
        <v>9004</v>
      </c>
      <c r="C2560" s="14" t="s">
        <v>9024</v>
      </c>
      <c r="D2560" s="14" t="s">
        <v>8531</v>
      </c>
      <c r="E2560" s="14" t="s">
        <v>8350</v>
      </c>
      <c r="F2560" s="14" t="s">
        <v>8351</v>
      </c>
      <c r="G2560" s="8" t="s">
        <v>9028</v>
      </c>
      <c r="H2560" s="14" t="s">
        <v>225</v>
      </c>
      <c r="I2560" s="14"/>
      <c r="J2560" s="14"/>
      <c r="K2560" s="14"/>
      <c r="L2560" s="14"/>
      <c r="M2560" s="14" t="s">
        <v>8353</v>
      </c>
      <c r="N2560" s="14"/>
      <c r="O2560" s="14" t="s">
        <v>8354</v>
      </c>
      <c r="P2560" s="14" t="str">
        <f>HYPERLINK("https://ceds.ed.gov/cedselementdetails.aspx?termid=17296")</f>
        <v>https://ceds.ed.gov/cedselementdetails.aspx?termid=17296</v>
      </c>
      <c r="Q2560" s="14" t="str">
        <f>HYPERLINK("https://ceds.ed.gov/elementComment.aspx?elementName=Transfer-ready &amp;elementID=17296", "Click here to submit comment")</f>
        <v>Click here to submit comment</v>
      </c>
      <c r="R2560" s="14">
        <v>47792</v>
      </c>
    </row>
    <row r="2561" spans="1:18" ht="45" x14ac:dyDescent="0.25">
      <c r="A2561" s="14" t="s">
        <v>8974</v>
      </c>
      <c r="B2561" s="14" t="s">
        <v>9004</v>
      </c>
      <c r="C2561" s="14" t="s">
        <v>9024</v>
      </c>
      <c r="D2561" s="14" t="s">
        <v>8531</v>
      </c>
      <c r="E2561" s="14" t="s">
        <v>3525</v>
      </c>
      <c r="F2561" s="14" t="s">
        <v>3526</v>
      </c>
      <c r="G2561" s="8" t="s">
        <v>9029</v>
      </c>
      <c r="H2561" s="14" t="s">
        <v>3530</v>
      </c>
      <c r="I2561" s="14"/>
      <c r="J2561" s="14"/>
      <c r="K2561" s="14"/>
      <c r="L2561" s="14"/>
      <c r="M2561" s="14" t="s">
        <v>3528</v>
      </c>
      <c r="N2561" s="14"/>
      <c r="O2561" s="14" t="s">
        <v>3529</v>
      </c>
      <c r="P2561" s="14" t="str">
        <f>HYPERLINK("https://ceds.ed.gov/cedselementdetails.aspx?termid=18567")</f>
        <v>https://ceds.ed.gov/cedselementdetails.aspx?termid=18567</v>
      </c>
      <c r="Q2561" s="14" t="str">
        <f>HYPERLINK("https://ceds.ed.gov/elementComment.aspx?elementName=Developmental Education Referral Status &amp;elementID=18567", "Click here to submit comment")</f>
        <v>Click here to submit comment</v>
      </c>
      <c r="R2561" s="14">
        <v>51056</v>
      </c>
    </row>
    <row r="2562" spans="1:18" ht="165" x14ac:dyDescent="0.25">
      <c r="A2562" s="14" t="s">
        <v>8974</v>
      </c>
      <c r="B2562" s="14" t="s">
        <v>9004</v>
      </c>
      <c r="C2562" s="14" t="s">
        <v>9024</v>
      </c>
      <c r="D2562" s="14" t="s">
        <v>8531</v>
      </c>
      <c r="E2562" s="14" t="s">
        <v>3531</v>
      </c>
      <c r="F2562" s="14" t="s">
        <v>3532</v>
      </c>
      <c r="G2562" s="8" t="s">
        <v>9030</v>
      </c>
      <c r="H2562" s="14" t="s">
        <v>3530</v>
      </c>
      <c r="I2562" s="14"/>
      <c r="J2562" s="14"/>
      <c r="K2562" s="14"/>
      <c r="L2562" s="14"/>
      <c r="M2562" s="14" t="s">
        <v>3535</v>
      </c>
      <c r="N2562" s="14"/>
      <c r="O2562" s="14" t="s">
        <v>3536</v>
      </c>
      <c r="P2562" s="14" t="str">
        <f>HYPERLINK("https://ceds.ed.gov/cedselementdetails.aspx?termid=18568")</f>
        <v>https://ceds.ed.gov/cedselementdetails.aspx?termid=18568</v>
      </c>
      <c r="Q2562" s="14" t="str">
        <f>HYPERLINK("https://ceds.ed.gov/elementComment.aspx?elementName=Developmental Education Type &amp;elementID=18568", "Click here to submit comment")</f>
        <v>Click here to submit comment</v>
      </c>
      <c r="R2562" s="14">
        <v>51057</v>
      </c>
    </row>
    <row r="2563" spans="1:18" ht="105" x14ac:dyDescent="0.25">
      <c r="A2563" s="16" t="s">
        <v>8974</v>
      </c>
      <c r="B2563" s="16" t="s">
        <v>9004</v>
      </c>
      <c r="C2563" s="16" t="s">
        <v>9031</v>
      </c>
      <c r="D2563" s="16" t="s">
        <v>8531</v>
      </c>
      <c r="E2563" s="16" t="s">
        <v>7098</v>
      </c>
      <c r="F2563" s="16" t="s">
        <v>7099</v>
      </c>
      <c r="G2563" s="16" t="s">
        <v>37</v>
      </c>
      <c r="H2563" s="16" t="s">
        <v>2944</v>
      </c>
      <c r="I2563" s="16"/>
      <c r="J2563" s="16" t="s">
        <v>149</v>
      </c>
      <c r="K2563" s="16"/>
      <c r="L2563" s="14" t="s">
        <v>150</v>
      </c>
      <c r="M2563" s="16" t="s">
        <v>7101</v>
      </c>
      <c r="N2563" s="16"/>
      <c r="O2563" s="16" t="s">
        <v>7102</v>
      </c>
      <c r="P2563" s="16" t="str">
        <f>HYPERLINK("https://ceds.ed.gov/cedselementdetails.aspx?termid=17618")</f>
        <v>https://ceds.ed.gov/cedselementdetails.aspx?termid=17618</v>
      </c>
      <c r="Q2563" s="16" t="str">
        <f>HYPERLINK("https://ceds.ed.gov/elementComment.aspx?elementName=Program Identifier &amp;elementID=17618", "Click here to submit comment")</f>
        <v>Click here to submit comment</v>
      </c>
      <c r="R2563" s="16">
        <v>51006</v>
      </c>
    </row>
    <row r="2564" spans="1:18" x14ac:dyDescent="0.25">
      <c r="A2564" s="16"/>
      <c r="B2564" s="16"/>
      <c r="C2564" s="16"/>
      <c r="D2564" s="16"/>
      <c r="E2564" s="16"/>
      <c r="F2564" s="16"/>
      <c r="G2564" s="16"/>
      <c r="H2564" s="16"/>
      <c r="I2564" s="16"/>
      <c r="J2564" s="16"/>
      <c r="K2564" s="16"/>
      <c r="L2564" s="14"/>
      <c r="M2564" s="16"/>
      <c r="N2564" s="16"/>
      <c r="O2564" s="16"/>
      <c r="P2564" s="16"/>
      <c r="Q2564" s="16"/>
      <c r="R2564" s="16"/>
    </row>
    <row r="2565" spans="1:18" ht="90" x14ac:dyDescent="0.25">
      <c r="A2565" s="16"/>
      <c r="B2565" s="16"/>
      <c r="C2565" s="16"/>
      <c r="D2565" s="16"/>
      <c r="E2565" s="16"/>
      <c r="F2565" s="16"/>
      <c r="G2565" s="16"/>
      <c r="H2565" s="16"/>
      <c r="I2565" s="16"/>
      <c r="J2565" s="16"/>
      <c r="K2565" s="16"/>
      <c r="L2565" s="14" t="s">
        <v>153</v>
      </c>
      <c r="M2565" s="16"/>
      <c r="N2565" s="16"/>
      <c r="O2565" s="16"/>
      <c r="P2565" s="16"/>
      <c r="Q2565" s="16"/>
      <c r="R2565" s="16"/>
    </row>
    <row r="2566" spans="1:18" ht="60" x14ac:dyDescent="0.25">
      <c r="A2566" s="14" t="s">
        <v>8974</v>
      </c>
      <c r="B2566" s="14" t="s">
        <v>9004</v>
      </c>
      <c r="C2566" s="14" t="s">
        <v>9031</v>
      </c>
      <c r="D2566" s="14" t="s">
        <v>8531</v>
      </c>
      <c r="E2566" s="14" t="s">
        <v>7115</v>
      </c>
      <c r="F2566" s="14" t="s">
        <v>7116</v>
      </c>
      <c r="G2566" s="14" t="s">
        <v>37</v>
      </c>
      <c r="H2566" s="14" t="s">
        <v>2944</v>
      </c>
      <c r="I2566" s="14"/>
      <c r="J2566" s="14" t="s">
        <v>175</v>
      </c>
      <c r="K2566" s="14"/>
      <c r="L2566" s="14"/>
      <c r="M2566" s="14" t="s">
        <v>7118</v>
      </c>
      <c r="N2566" s="14"/>
      <c r="O2566" s="14" t="s">
        <v>7119</v>
      </c>
      <c r="P2566" s="14" t="str">
        <f>HYPERLINK("https://ceds.ed.gov/cedselementdetails.aspx?termid=17619")</f>
        <v>https://ceds.ed.gov/cedselementdetails.aspx?termid=17619</v>
      </c>
      <c r="Q2566" s="14" t="str">
        <f>HYPERLINK("https://ceds.ed.gov/elementComment.aspx?elementName=Program Name &amp;elementID=17619", "Click here to submit comment")</f>
        <v>Click here to submit comment</v>
      </c>
      <c r="R2566" s="14">
        <v>51012</v>
      </c>
    </row>
    <row r="2567" spans="1:18" ht="135" x14ac:dyDescent="0.25">
      <c r="A2567" s="14" t="s">
        <v>8974</v>
      </c>
      <c r="B2567" s="14" t="s">
        <v>9004</v>
      </c>
      <c r="C2567" s="14" t="s">
        <v>9031</v>
      </c>
      <c r="D2567" s="14" t="s">
        <v>8531</v>
      </c>
      <c r="E2567" s="14" t="s">
        <v>7130</v>
      </c>
      <c r="F2567" s="14" t="s">
        <v>7131</v>
      </c>
      <c r="G2567" s="8" t="s">
        <v>8670</v>
      </c>
      <c r="H2567" s="14" t="s">
        <v>2944</v>
      </c>
      <c r="I2567" s="14"/>
      <c r="J2567" s="14"/>
      <c r="K2567" s="14"/>
      <c r="L2567" s="14"/>
      <c r="M2567" s="14" t="s">
        <v>7134</v>
      </c>
      <c r="N2567" s="14"/>
      <c r="O2567" s="14" t="s">
        <v>7135</v>
      </c>
      <c r="P2567" s="14" t="str">
        <f>HYPERLINK("https://ceds.ed.gov/cedselementdetails.aspx?termid=18209")</f>
        <v>https://ceds.ed.gov/cedselementdetails.aspx?termid=18209</v>
      </c>
      <c r="Q2567" s="14" t="str">
        <f>HYPERLINK("https://ceds.ed.gov/elementComment.aspx?elementName=Program Participation Status &amp;elementID=18209", "Click here to submit comment")</f>
        <v>Click here to submit comment</v>
      </c>
      <c r="R2567" s="14">
        <v>51027</v>
      </c>
    </row>
    <row r="2568" spans="1:18" ht="60" x14ac:dyDescent="0.25">
      <c r="A2568" s="14" t="s">
        <v>8974</v>
      </c>
      <c r="B2568" s="14" t="s">
        <v>9004</v>
      </c>
      <c r="C2568" s="14" t="s">
        <v>9031</v>
      </c>
      <c r="D2568" s="14" t="s">
        <v>8531</v>
      </c>
      <c r="E2568" s="14" t="s">
        <v>7125</v>
      </c>
      <c r="F2568" s="14" t="s">
        <v>7126</v>
      </c>
      <c r="G2568" s="14" t="s">
        <v>37</v>
      </c>
      <c r="H2568" s="14" t="s">
        <v>7129</v>
      </c>
      <c r="I2568" s="14"/>
      <c r="J2568" s="14" t="s">
        <v>135</v>
      </c>
      <c r="K2568" s="14"/>
      <c r="L2568" s="14"/>
      <c r="M2568" s="14" t="s">
        <v>7127</v>
      </c>
      <c r="N2568" s="14"/>
      <c r="O2568" s="14" t="s">
        <v>7128</v>
      </c>
      <c r="P2568" s="14" t="str">
        <f>HYPERLINK("https://ceds.ed.gov/cedselementdetails.aspx?termid=17583")</f>
        <v>https://ceds.ed.gov/cedselementdetails.aspx?termid=17583</v>
      </c>
      <c r="Q2568" s="14" t="str">
        <f>HYPERLINK("https://ceds.ed.gov/elementComment.aspx?elementName=Program Participation Start Date &amp;elementID=17583", "Click here to submit comment")</f>
        <v>Click here to submit comment</v>
      </c>
      <c r="R2568" s="14">
        <v>51004</v>
      </c>
    </row>
    <row r="2569" spans="1:18" ht="75" x14ac:dyDescent="0.25">
      <c r="A2569" s="14" t="s">
        <v>8974</v>
      </c>
      <c r="B2569" s="14" t="s">
        <v>9004</v>
      </c>
      <c r="C2569" s="14" t="s">
        <v>9031</v>
      </c>
      <c r="D2569" s="14" t="s">
        <v>8531</v>
      </c>
      <c r="E2569" s="14" t="s">
        <v>7120</v>
      </c>
      <c r="F2569" s="14" t="s">
        <v>2201</v>
      </c>
      <c r="G2569" s="14" t="s">
        <v>37</v>
      </c>
      <c r="H2569" s="14" t="s">
        <v>7124</v>
      </c>
      <c r="I2569" s="14"/>
      <c r="J2569" s="14" t="s">
        <v>135</v>
      </c>
      <c r="K2569" s="14"/>
      <c r="L2569" s="14" t="s">
        <v>160</v>
      </c>
      <c r="M2569" s="14" t="s">
        <v>7122</v>
      </c>
      <c r="N2569" s="14"/>
      <c r="O2569" s="14" t="s">
        <v>7123</v>
      </c>
      <c r="P2569" s="14" t="str">
        <f>HYPERLINK("https://ceds.ed.gov/cedselementdetails.aspx?termid=17584")</f>
        <v>https://ceds.ed.gov/cedselementdetails.aspx?termid=17584</v>
      </c>
      <c r="Q2569" s="14" t="str">
        <f>HYPERLINK("https://ceds.ed.gov/elementComment.aspx?elementName=Program Participation Exit Date &amp;elementID=17584", "Click here to submit comment")</f>
        <v>Click here to submit comment</v>
      </c>
      <c r="R2569" s="14">
        <v>51005</v>
      </c>
    </row>
    <row r="2570" spans="1:18" ht="60" x14ac:dyDescent="0.25">
      <c r="A2570" s="14" t="s">
        <v>8974</v>
      </c>
      <c r="B2570" s="14" t="s">
        <v>9004</v>
      </c>
      <c r="C2570" s="14" t="s">
        <v>9031</v>
      </c>
      <c r="D2570" s="14" t="s">
        <v>8531</v>
      </c>
      <c r="E2570" s="14" t="s">
        <v>8346</v>
      </c>
      <c r="F2570" s="14" t="s">
        <v>8347</v>
      </c>
      <c r="G2570" s="14" t="s">
        <v>3430</v>
      </c>
      <c r="H2570" s="14" t="s">
        <v>3530</v>
      </c>
      <c r="I2570" s="14"/>
      <c r="J2570" s="14"/>
      <c r="K2570" s="14"/>
      <c r="L2570" s="14"/>
      <c r="M2570" s="14" t="s">
        <v>8348</v>
      </c>
      <c r="N2570" s="14"/>
      <c r="O2570" s="14" t="s">
        <v>8349</v>
      </c>
      <c r="P2570" s="14" t="str">
        <f>HYPERLINK("https://ceds.ed.gov/cedselementdetails.aspx?termid=18610")</f>
        <v>https://ceds.ed.gov/cedselementdetails.aspx?termid=18610</v>
      </c>
      <c r="Q2570" s="14" t="str">
        <f>HYPERLINK("https://ceds.ed.gov/elementComment.aspx?elementName=Transfer-out Indicator &amp;elementID=18610", "Click here to submit comment")</f>
        <v>Click here to submit comment</v>
      </c>
      <c r="R2570" s="14">
        <v>51111</v>
      </c>
    </row>
    <row r="2571" spans="1:18" ht="75" x14ac:dyDescent="0.25">
      <c r="A2571" s="14" t="s">
        <v>8974</v>
      </c>
      <c r="B2571" s="14" t="s">
        <v>9004</v>
      </c>
      <c r="C2571" s="14" t="s">
        <v>9031</v>
      </c>
      <c r="D2571" s="14" t="s">
        <v>8531</v>
      </c>
      <c r="E2571" s="14" t="s">
        <v>7107</v>
      </c>
      <c r="F2571" s="14" t="s">
        <v>7108</v>
      </c>
      <c r="G2571" s="14" t="s">
        <v>37</v>
      </c>
      <c r="H2571" s="14" t="s">
        <v>278</v>
      </c>
      <c r="I2571" s="14"/>
      <c r="J2571" s="14" t="s">
        <v>1710</v>
      </c>
      <c r="K2571" s="14"/>
      <c r="L2571" s="14"/>
      <c r="M2571" s="14" t="s">
        <v>7109</v>
      </c>
      <c r="N2571" s="14"/>
      <c r="O2571" s="14" t="s">
        <v>7110</v>
      </c>
      <c r="P2571" s="14" t="str">
        <f>HYPERLINK("https://ceds.ed.gov/cedselementdetails.aspx?termid=17223")</f>
        <v>https://ceds.ed.gov/cedselementdetails.aspx?termid=17223</v>
      </c>
      <c r="Q2571" s="14" t="str">
        <f>HYPERLINK("https://ceds.ed.gov/elementComment.aspx?elementName=Program Length Hours &amp;elementID=17223", "Click here to submit comment")</f>
        <v>Click here to submit comment</v>
      </c>
      <c r="R2571" s="14">
        <v>47779</v>
      </c>
    </row>
    <row r="2572" spans="1:18" ht="45" x14ac:dyDescent="0.25">
      <c r="A2572" s="14" t="s">
        <v>8974</v>
      </c>
      <c r="B2572" s="14" t="s">
        <v>9004</v>
      </c>
      <c r="C2572" s="14" t="s">
        <v>9031</v>
      </c>
      <c r="D2572" s="14" t="s">
        <v>8531</v>
      </c>
      <c r="E2572" s="14" t="s">
        <v>7111</v>
      </c>
      <c r="F2572" s="14" t="s">
        <v>7112</v>
      </c>
      <c r="G2572" s="8" t="s">
        <v>8996</v>
      </c>
      <c r="H2572" s="14" t="s">
        <v>278</v>
      </c>
      <c r="I2572" s="14"/>
      <c r="J2572" s="14"/>
      <c r="K2572" s="14"/>
      <c r="L2572" s="14"/>
      <c r="M2572" s="14" t="s">
        <v>7113</v>
      </c>
      <c r="N2572" s="14"/>
      <c r="O2572" s="14" t="s">
        <v>7114</v>
      </c>
      <c r="P2572" s="14" t="str">
        <f>HYPERLINK("https://ceds.ed.gov/cedselementdetails.aspx?termid=17224")</f>
        <v>https://ceds.ed.gov/cedselementdetails.aspx?termid=17224</v>
      </c>
      <c r="Q2572" s="14" t="str">
        <f>HYPERLINK("https://ceds.ed.gov/elementComment.aspx?elementName=Program Length Hours Type &amp;elementID=17224", "Click here to submit comment")</f>
        <v>Click here to submit comment</v>
      </c>
      <c r="R2572" s="14">
        <v>50989</v>
      </c>
    </row>
    <row r="2573" spans="1:18" ht="210" x14ac:dyDescent="0.25">
      <c r="A2573" s="14" t="s">
        <v>8974</v>
      </c>
      <c r="B2573" s="14" t="s">
        <v>9004</v>
      </c>
      <c r="C2573" s="14" t="s">
        <v>9031</v>
      </c>
      <c r="D2573" s="14" t="s">
        <v>8531</v>
      </c>
      <c r="E2573" s="14" t="s">
        <v>6418</v>
      </c>
      <c r="F2573" s="14" t="s">
        <v>6419</v>
      </c>
      <c r="G2573" s="14" t="s">
        <v>37</v>
      </c>
      <c r="H2573" s="14" t="s">
        <v>225</v>
      </c>
      <c r="I2573" s="14"/>
      <c r="J2573" s="14" t="s">
        <v>175</v>
      </c>
      <c r="K2573" s="14"/>
      <c r="L2573" s="14"/>
      <c r="M2573" s="14" t="s">
        <v>6420</v>
      </c>
      <c r="N2573" s="14"/>
      <c r="O2573" s="14" t="s">
        <v>6421</v>
      </c>
      <c r="P2573" s="14" t="str">
        <f>HYPERLINK("https://ceds.ed.gov/cedselementdetails.aspx?termid=17197")</f>
        <v>https://ceds.ed.gov/cedselementdetails.aspx?termid=17197</v>
      </c>
      <c r="Q2573" s="14" t="str">
        <f>HYPERLINK("https://ceds.ed.gov/elementComment.aspx?elementName=Normal Length of Time for Completion &amp;elementID=17197", "Click here to submit comment")</f>
        <v>Click here to submit comment</v>
      </c>
      <c r="R2573" s="14">
        <v>47773</v>
      </c>
    </row>
    <row r="2574" spans="1:18" ht="90" x14ac:dyDescent="0.25">
      <c r="A2574" s="14" t="s">
        <v>8974</v>
      </c>
      <c r="B2574" s="14" t="s">
        <v>9004</v>
      </c>
      <c r="C2574" s="14" t="s">
        <v>9031</v>
      </c>
      <c r="D2574" s="14" t="s">
        <v>8531</v>
      </c>
      <c r="E2574" s="14" t="s">
        <v>6422</v>
      </c>
      <c r="F2574" s="14" t="s">
        <v>6423</v>
      </c>
      <c r="G2574" s="8" t="s">
        <v>8999</v>
      </c>
      <c r="H2574" s="14" t="s">
        <v>225</v>
      </c>
      <c r="I2574" s="14"/>
      <c r="J2574" s="14"/>
      <c r="K2574" s="14"/>
      <c r="L2574" s="14"/>
      <c r="M2574" s="14" t="s">
        <v>6425</v>
      </c>
      <c r="N2574" s="14"/>
      <c r="O2574" s="14" t="s">
        <v>6426</v>
      </c>
      <c r="P2574" s="14" t="str">
        <f>HYPERLINK("https://ceds.ed.gov/cedselementdetails.aspx?termid=17198")</f>
        <v>https://ceds.ed.gov/cedselementdetails.aspx?termid=17198</v>
      </c>
      <c r="Q2574" s="14" t="str">
        <f>HYPERLINK("https://ceds.ed.gov/elementComment.aspx?elementName=Normal Length of Time for Completion Units &amp;elementID=17198", "Click here to submit comment")</f>
        <v>Click here to submit comment</v>
      </c>
      <c r="R2574" s="14">
        <v>50979</v>
      </c>
    </row>
    <row r="2575" spans="1:18" ht="75" x14ac:dyDescent="0.25">
      <c r="A2575" s="14" t="s">
        <v>8974</v>
      </c>
      <c r="B2575" s="14" t="s">
        <v>9004</v>
      </c>
      <c r="C2575" s="14" t="s">
        <v>9031</v>
      </c>
      <c r="D2575" s="14" t="s">
        <v>8531</v>
      </c>
      <c r="E2575" s="14" t="s">
        <v>6799</v>
      </c>
      <c r="F2575" s="14" t="s">
        <v>6800</v>
      </c>
      <c r="G2575" s="8" t="s">
        <v>9000</v>
      </c>
      <c r="H2575" s="14" t="s">
        <v>6804</v>
      </c>
      <c r="I2575" s="14"/>
      <c r="J2575" s="14"/>
      <c r="K2575" s="14"/>
      <c r="L2575" s="14"/>
      <c r="M2575" s="14" t="s">
        <v>6802</v>
      </c>
      <c r="N2575" s="14"/>
      <c r="O2575" s="14" t="s">
        <v>6803</v>
      </c>
      <c r="P2575" s="14" t="str">
        <f>HYPERLINK("https://ceds.ed.gov/cedselementdetails.aspx?termid=18595")</f>
        <v>https://ceds.ed.gov/cedselementdetails.aspx?termid=18595</v>
      </c>
      <c r="Q2575" s="14" t="str">
        <f>HYPERLINK("https://ceds.ed.gov/elementComment.aspx?elementName=Postsecondary Program Level &amp;elementID=18595", "Click here to submit comment")</f>
        <v>Click here to submit comment</v>
      </c>
      <c r="R2575" s="14">
        <v>51091</v>
      </c>
    </row>
    <row r="2576" spans="1:18" ht="285" x14ac:dyDescent="0.25">
      <c r="A2576" s="14" t="s">
        <v>8974</v>
      </c>
      <c r="B2576" s="14" t="s">
        <v>9004</v>
      </c>
      <c r="C2576" s="14" t="s">
        <v>9031</v>
      </c>
      <c r="D2576" s="14" t="s">
        <v>8531</v>
      </c>
      <c r="E2576" s="14" t="s">
        <v>4092</v>
      </c>
      <c r="F2576" s="14" t="s">
        <v>4093</v>
      </c>
      <c r="G2576" s="8" t="s">
        <v>8853</v>
      </c>
      <c r="H2576" s="14" t="s">
        <v>225</v>
      </c>
      <c r="I2576" s="14"/>
      <c r="J2576" s="14"/>
      <c r="K2576" s="14"/>
      <c r="L2576" s="14"/>
      <c r="M2576" s="14" t="s">
        <v>4095</v>
      </c>
      <c r="N2576" s="14"/>
      <c r="O2576" s="14" t="s">
        <v>4096</v>
      </c>
      <c r="P2576" s="14" t="str">
        <f>HYPERLINK("https://ceds.ed.gov/cedselementdetails.aspx?termid=17360")</f>
        <v>https://ceds.ed.gov/cedselementdetails.aspx?termid=17360</v>
      </c>
      <c r="Q2576" s="14" t="str">
        <f>HYPERLINK("https://ceds.ed.gov/elementComment.aspx?elementName=Enrollment in Postsecondary Award Type &amp;elementID=17360", "Click here to submit comment")</f>
        <v>Click here to submit comment</v>
      </c>
      <c r="R2576" s="14">
        <v>47795</v>
      </c>
    </row>
    <row r="2577" spans="1:18" ht="75" x14ac:dyDescent="0.25">
      <c r="A2577" s="14" t="s">
        <v>8974</v>
      </c>
      <c r="B2577" s="14" t="s">
        <v>9004</v>
      </c>
      <c r="C2577" s="14" t="s">
        <v>9031</v>
      </c>
      <c r="D2577" s="14" t="s">
        <v>8531</v>
      </c>
      <c r="E2577" s="14" t="s">
        <v>2365</v>
      </c>
      <c r="F2577" s="14" t="s">
        <v>2366</v>
      </c>
      <c r="G2577" s="14" t="s">
        <v>8526</v>
      </c>
      <c r="H2577" s="14" t="s">
        <v>48</v>
      </c>
      <c r="I2577" s="14"/>
      <c r="J2577" s="14"/>
      <c r="K2577" s="14"/>
      <c r="L2577" s="14"/>
      <c r="M2577" s="14" t="s">
        <v>2368</v>
      </c>
      <c r="N2577" s="14" t="s">
        <v>2369</v>
      </c>
      <c r="O2577" s="14" t="s">
        <v>2370</v>
      </c>
      <c r="P2577" s="14" t="str">
        <f>HYPERLINK("https://ceds.ed.gov/cedselementdetails.aspx?termid=17043")</f>
        <v>https://ceds.ed.gov/cedselementdetails.aspx?termid=17043</v>
      </c>
      <c r="Q2577" s="14" t="str">
        <f>HYPERLINK("https://ceds.ed.gov/elementComment.aspx?elementName=Classification of Instructional Program Code &amp;elementID=17043", "Click here to submit comment")</f>
        <v>Click here to submit comment</v>
      </c>
      <c r="R2577" s="14">
        <v>50950</v>
      </c>
    </row>
    <row r="2578" spans="1:18" ht="135" x14ac:dyDescent="0.25">
      <c r="A2578" s="14" t="s">
        <v>8974</v>
      </c>
      <c r="B2578" s="14" t="s">
        <v>9004</v>
      </c>
      <c r="C2578" s="14" t="s">
        <v>9031</v>
      </c>
      <c r="D2578" s="14" t="s">
        <v>8531</v>
      </c>
      <c r="E2578" s="14" t="s">
        <v>2371</v>
      </c>
      <c r="F2578" s="14" t="s">
        <v>2372</v>
      </c>
      <c r="G2578" s="8" t="s">
        <v>8997</v>
      </c>
      <c r="H2578" s="14" t="s">
        <v>225</v>
      </c>
      <c r="I2578" s="14"/>
      <c r="J2578" s="14"/>
      <c r="K2578" s="14"/>
      <c r="L2578" s="14"/>
      <c r="M2578" s="14" t="s">
        <v>2375</v>
      </c>
      <c r="N2578" s="14" t="s">
        <v>2376</v>
      </c>
      <c r="O2578" s="14" t="s">
        <v>2377</v>
      </c>
      <c r="P2578" s="14" t="str">
        <f>HYPERLINK("https://ceds.ed.gov/cedselementdetails.aspx?termid=17044")</f>
        <v>https://ceds.ed.gov/cedselementdetails.aspx?termid=17044</v>
      </c>
      <c r="Q2578" s="14" t="str">
        <f>HYPERLINK("https://ceds.ed.gov/elementComment.aspx?elementName=Classification of Instructional Program Use &amp;elementID=17044", "Click here to submit comment")</f>
        <v>Click here to submit comment</v>
      </c>
      <c r="R2578" s="14">
        <v>50955</v>
      </c>
    </row>
    <row r="2579" spans="1:18" ht="90" x14ac:dyDescent="0.25">
      <c r="A2579" s="14" t="s">
        <v>8974</v>
      </c>
      <c r="B2579" s="14" t="s">
        <v>9004</v>
      </c>
      <c r="C2579" s="14" t="s">
        <v>9031</v>
      </c>
      <c r="D2579" s="14" t="s">
        <v>8531</v>
      </c>
      <c r="E2579" s="14" t="s">
        <v>2378</v>
      </c>
      <c r="F2579" s="14" t="s">
        <v>2379</v>
      </c>
      <c r="G2579" s="8" t="s">
        <v>8998</v>
      </c>
      <c r="H2579" s="14" t="s">
        <v>225</v>
      </c>
      <c r="I2579" s="14"/>
      <c r="J2579" s="14"/>
      <c r="K2579" s="14"/>
      <c r="L2579" s="14"/>
      <c r="M2579" s="14" t="s">
        <v>2382</v>
      </c>
      <c r="N2579" s="14" t="s">
        <v>2383</v>
      </c>
      <c r="O2579" s="14" t="s">
        <v>2384</v>
      </c>
      <c r="P2579" s="14" t="str">
        <f>HYPERLINK("https://ceds.ed.gov/cedselementdetails.aspx?termid=17045")</f>
        <v>https://ceds.ed.gov/cedselementdetails.aspx?termid=17045</v>
      </c>
      <c r="Q2579" s="14" t="str">
        <f>HYPERLINK("https://ceds.ed.gov/elementComment.aspx?elementName=Classification of Instructional Program Version &amp;elementID=17045", "Click here to submit comment")</f>
        <v>Click here to submit comment</v>
      </c>
      <c r="R2579" s="14">
        <v>47735</v>
      </c>
    </row>
    <row r="2580" spans="1:18" ht="180" x14ac:dyDescent="0.25">
      <c r="A2580" s="14" t="s">
        <v>8974</v>
      </c>
      <c r="B2580" s="14" t="s">
        <v>9004</v>
      </c>
      <c r="C2580" s="14" t="s">
        <v>9031</v>
      </c>
      <c r="D2580" s="14" t="s">
        <v>8531</v>
      </c>
      <c r="E2580" s="14" t="s">
        <v>3646</v>
      </c>
      <c r="F2580" s="14" t="s">
        <v>3647</v>
      </c>
      <c r="G2580" s="14" t="s">
        <v>24</v>
      </c>
      <c r="H2580" s="14"/>
      <c r="I2580" s="14"/>
      <c r="J2580" s="14"/>
      <c r="K2580" s="14"/>
      <c r="L2580" s="14" t="s">
        <v>3642</v>
      </c>
      <c r="M2580" s="14" t="s">
        <v>3649</v>
      </c>
      <c r="N2580" s="14"/>
      <c r="O2580" s="14" t="s">
        <v>3650</v>
      </c>
      <c r="P2580" s="14" t="str">
        <f>HYPERLINK("https://ceds.ed.gov/cedselementdetails.aspx?termid=18289")</f>
        <v>https://ceds.ed.gov/cedselementdetails.aspx?termid=18289</v>
      </c>
      <c r="Q2580" s="14" t="str">
        <f>HYPERLINK("https://ceds.ed.gov/elementComment.aspx?elementName=Distance Education Program Enrollment Indicator &amp;elementID=18289", "Click here to submit comment")</f>
        <v>Click here to submit comment</v>
      </c>
      <c r="R2580" s="14">
        <v>50129</v>
      </c>
    </row>
    <row r="2581" spans="1:18" ht="180" x14ac:dyDescent="0.25">
      <c r="A2581" s="14" t="s">
        <v>8974</v>
      </c>
      <c r="B2581" s="14" t="s">
        <v>9004</v>
      </c>
      <c r="C2581" s="14" t="s">
        <v>9032</v>
      </c>
      <c r="D2581" s="14" t="s">
        <v>8531</v>
      </c>
      <c r="E2581" s="14" t="s">
        <v>6498</v>
      </c>
      <c r="F2581" s="14" t="s">
        <v>6499</v>
      </c>
      <c r="G2581" s="14" t="s">
        <v>37</v>
      </c>
      <c r="H2581" s="14"/>
      <c r="I2581" s="14"/>
      <c r="J2581" s="14" t="s">
        <v>6501</v>
      </c>
      <c r="K2581" s="14"/>
      <c r="L2581" s="14"/>
      <c r="M2581" s="14" t="s">
        <v>6502</v>
      </c>
      <c r="N2581" s="14" t="s">
        <v>6503</v>
      </c>
      <c r="O2581" s="14" t="s">
        <v>6503</v>
      </c>
      <c r="P2581" s="14" t="str">
        <f>HYPERLINK("https://ceds.ed.gov/cedselementdetails.aspx?termid=17203")</f>
        <v>https://ceds.ed.gov/cedselementdetails.aspx?termid=17203</v>
      </c>
      <c r="Q2581" s="14" t="str">
        <f>HYPERLINK("https://ceds.ed.gov/elementComment.aspx?elementName=Office of Postsecondary Education Identifier &amp;elementID=17203", "Click here to submit comment")</f>
        <v>Click here to submit comment</v>
      </c>
      <c r="R2581" s="14">
        <v>50984</v>
      </c>
    </row>
    <row r="2582" spans="1:18" ht="225" x14ac:dyDescent="0.25">
      <c r="A2582" s="14" t="s">
        <v>8974</v>
      </c>
      <c r="B2582" s="14" t="s">
        <v>9004</v>
      </c>
      <c r="C2582" s="14" t="s">
        <v>9032</v>
      </c>
      <c r="D2582" s="14" t="s">
        <v>8531</v>
      </c>
      <c r="E2582" s="14" t="s">
        <v>6353</v>
      </c>
      <c r="F2582" s="14" t="s">
        <v>6354</v>
      </c>
      <c r="G2582" s="14" t="s">
        <v>37</v>
      </c>
      <c r="H2582" s="14" t="s">
        <v>6358</v>
      </c>
      <c r="I2582" s="14"/>
      <c r="J2582" s="14" t="s">
        <v>175</v>
      </c>
      <c r="K2582" s="14"/>
      <c r="L2582" s="14"/>
      <c r="M2582" s="14" t="s">
        <v>6356</v>
      </c>
      <c r="N2582" s="14"/>
      <c r="O2582" s="14" t="s">
        <v>6357</v>
      </c>
      <c r="P2582" s="14" t="str">
        <f>HYPERLINK("https://ceds.ed.gov/cedselementdetails.aspx?termid=17191")</f>
        <v>https://ceds.ed.gov/cedselementdetails.aspx?termid=17191</v>
      </c>
      <c r="Q2582" s="14" t="str">
        <f>HYPERLINK("https://ceds.ed.gov/elementComment.aspx?elementName=Name of Institution &amp;elementID=17191", "Click here to submit comment")</f>
        <v>Click here to submit comment</v>
      </c>
      <c r="R2582" s="14">
        <v>50976</v>
      </c>
    </row>
    <row r="2583" spans="1:18" ht="75" x14ac:dyDescent="0.25">
      <c r="A2583" s="14" t="s">
        <v>8974</v>
      </c>
      <c r="B2583" s="14" t="s">
        <v>9004</v>
      </c>
      <c r="C2583" s="14" t="s">
        <v>9032</v>
      </c>
      <c r="D2583" s="14" t="s">
        <v>8531</v>
      </c>
      <c r="E2583" s="14" t="s">
        <v>6799</v>
      </c>
      <c r="F2583" s="14" t="s">
        <v>6800</v>
      </c>
      <c r="G2583" s="8" t="s">
        <v>9000</v>
      </c>
      <c r="H2583" s="14" t="s">
        <v>6804</v>
      </c>
      <c r="I2583" s="14"/>
      <c r="J2583" s="14"/>
      <c r="K2583" s="14"/>
      <c r="L2583" s="14"/>
      <c r="M2583" s="14" t="s">
        <v>6802</v>
      </c>
      <c r="N2583" s="14"/>
      <c r="O2583" s="14" t="s">
        <v>6803</v>
      </c>
      <c r="P2583" s="14" t="str">
        <f>HYPERLINK("https://ceds.ed.gov/cedselementdetails.aspx?termid=18595")</f>
        <v>https://ceds.ed.gov/cedselementdetails.aspx?termid=18595</v>
      </c>
      <c r="Q2583" s="14" t="str">
        <f>HYPERLINK("https://ceds.ed.gov/elementComment.aspx?elementName=Postsecondary Program Level &amp;elementID=18595", "Click here to submit comment")</f>
        <v>Click here to submit comment</v>
      </c>
      <c r="R2583" s="14">
        <v>51094</v>
      </c>
    </row>
    <row r="2584" spans="1:18" ht="409.5" x14ac:dyDescent="0.25">
      <c r="A2584" s="14" t="s">
        <v>8974</v>
      </c>
      <c r="B2584" s="14" t="s">
        <v>9004</v>
      </c>
      <c r="C2584" s="14" t="s">
        <v>9032</v>
      </c>
      <c r="D2584" s="14" t="s">
        <v>8531</v>
      </c>
      <c r="E2584" s="14" t="s">
        <v>6753</v>
      </c>
      <c r="F2584" s="14" t="s">
        <v>44</v>
      </c>
      <c r="G2584" s="8" t="s">
        <v>9033</v>
      </c>
      <c r="H2584" s="14"/>
      <c r="I2584" s="14" t="s">
        <v>195</v>
      </c>
      <c r="J2584" s="14"/>
      <c r="K2584" s="14" t="s">
        <v>6755</v>
      </c>
      <c r="L2584" s="14"/>
      <c r="M2584" s="14" t="s">
        <v>6756</v>
      </c>
      <c r="N2584" s="14"/>
      <c r="O2584" s="14" t="s">
        <v>6757</v>
      </c>
      <c r="P2584" s="14" t="str">
        <f>HYPERLINK("https://ceds.ed.gov/cedselementdetails.aspx?termid=18649")</f>
        <v>https://ceds.ed.gov/cedselementdetails.aspx?termid=18649</v>
      </c>
      <c r="Q2584" s="14" t="str">
        <f>HYPERLINK("https://ceds.ed.gov/elementComment.aspx?elementName=PESC Award Level Type &amp;elementID=18649", "Click here to submit comment")</f>
        <v>Click here to submit comment</v>
      </c>
      <c r="R2584" s="14">
        <v>51989</v>
      </c>
    </row>
    <row r="2585" spans="1:18" ht="45" x14ac:dyDescent="0.25">
      <c r="A2585" s="14" t="s">
        <v>8974</v>
      </c>
      <c r="B2585" s="14" t="s">
        <v>9004</v>
      </c>
      <c r="C2585" s="14" t="s">
        <v>9032</v>
      </c>
      <c r="D2585" s="14" t="s">
        <v>8531</v>
      </c>
      <c r="E2585" s="14" t="s">
        <v>60</v>
      </c>
      <c r="F2585" s="14" t="s">
        <v>61</v>
      </c>
      <c r="G2585" s="14" t="s">
        <v>37</v>
      </c>
      <c r="H2585" s="14" t="s">
        <v>65</v>
      </c>
      <c r="I2585" s="14"/>
      <c r="J2585" s="14" t="s">
        <v>62</v>
      </c>
      <c r="K2585" s="14"/>
      <c r="L2585" s="14"/>
      <c r="M2585" s="14" t="s">
        <v>63</v>
      </c>
      <c r="N2585" s="14"/>
      <c r="O2585" s="14" t="s">
        <v>64</v>
      </c>
      <c r="P2585" s="14" t="str">
        <f>HYPERLINK("https://ceds.ed.gov/cedselementdetails.aspx?termid=17003")</f>
        <v>https://ceds.ed.gov/cedselementdetails.aspx?termid=17003</v>
      </c>
      <c r="Q2585" s="14" t="str">
        <f>HYPERLINK("https://ceds.ed.gov/elementComment.aspx?elementName=Academic Award Title &amp;elementID=17003", "Click here to submit comment")</f>
        <v>Click here to submit comment</v>
      </c>
      <c r="R2585" s="14">
        <v>50942</v>
      </c>
    </row>
    <row r="2586" spans="1:18" ht="60" x14ac:dyDescent="0.25">
      <c r="A2586" s="14" t="s">
        <v>8974</v>
      </c>
      <c r="B2586" s="14" t="s">
        <v>9004</v>
      </c>
      <c r="C2586" s="14" t="s">
        <v>9032</v>
      </c>
      <c r="D2586" s="14" t="s">
        <v>8531</v>
      </c>
      <c r="E2586" s="14" t="s">
        <v>35</v>
      </c>
      <c r="F2586" s="14" t="s">
        <v>36</v>
      </c>
      <c r="G2586" s="14" t="s">
        <v>37</v>
      </c>
      <c r="H2586" s="14" t="s">
        <v>42</v>
      </c>
      <c r="I2586" s="14"/>
      <c r="J2586" s="14" t="s">
        <v>39</v>
      </c>
      <c r="K2586" s="14"/>
      <c r="L2586" s="14"/>
      <c r="M2586" s="14" t="s">
        <v>40</v>
      </c>
      <c r="N2586" s="14"/>
      <c r="O2586" s="14" t="s">
        <v>41</v>
      </c>
      <c r="P2586" s="14" t="str">
        <f>HYPERLINK("https://ceds.ed.gov/cedselementdetails.aspx?termid=17001")</f>
        <v>https://ceds.ed.gov/cedselementdetails.aspx?termid=17001</v>
      </c>
      <c r="Q2586" s="14" t="str">
        <f>HYPERLINK("https://ceds.ed.gov/elementComment.aspx?elementName=Academic Award Date &amp;elementID=17001", "Click here to submit comment")</f>
        <v>Click here to submit comment</v>
      </c>
      <c r="R2586" s="14">
        <v>50938</v>
      </c>
    </row>
    <row r="2587" spans="1:18" ht="135" x14ac:dyDescent="0.25">
      <c r="A2587" s="14" t="s">
        <v>8974</v>
      </c>
      <c r="B2587" s="14" t="s">
        <v>9004</v>
      </c>
      <c r="C2587" s="14" t="s">
        <v>9032</v>
      </c>
      <c r="D2587" s="14" t="s">
        <v>8531</v>
      </c>
      <c r="E2587" s="14" t="s">
        <v>3551</v>
      </c>
      <c r="F2587" s="14" t="s">
        <v>3552</v>
      </c>
      <c r="G2587" s="14" t="s">
        <v>37</v>
      </c>
      <c r="H2587" s="14" t="s">
        <v>3557</v>
      </c>
      <c r="I2587" s="14"/>
      <c r="J2587" s="14" t="s">
        <v>3554</v>
      </c>
      <c r="K2587" s="14"/>
      <c r="L2587" s="14"/>
      <c r="M2587" s="14" t="s">
        <v>3555</v>
      </c>
      <c r="N2587" s="14"/>
      <c r="O2587" s="14" t="s">
        <v>3556</v>
      </c>
      <c r="P2587" s="14" t="str">
        <f>HYPERLINK("https://ceds.ed.gov/cedselementdetails.aspx?termid=17081")</f>
        <v>https://ceds.ed.gov/cedselementdetails.aspx?termid=17081</v>
      </c>
      <c r="Q2587" s="14" t="str">
        <f>HYPERLINK("https://ceds.ed.gov/elementComment.aspx?elementName=Diploma or Credential Award Date &amp;elementID=17081", "Click here to submit comment")</f>
        <v>Click here to submit comment</v>
      </c>
      <c r="R2587" s="14">
        <v>50964</v>
      </c>
    </row>
    <row r="2588" spans="1:18" ht="285" x14ac:dyDescent="0.25">
      <c r="A2588" s="14" t="s">
        <v>8974</v>
      </c>
      <c r="B2588" s="14" t="s">
        <v>9004</v>
      </c>
      <c r="C2588" s="14" t="s">
        <v>9032</v>
      </c>
      <c r="D2588" s="14" t="s">
        <v>8531</v>
      </c>
      <c r="E2588" s="14" t="s">
        <v>43</v>
      </c>
      <c r="F2588" s="14" t="s">
        <v>44</v>
      </c>
      <c r="G2588" s="8" t="s">
        <v>8853</v>
      </c>
      <c r="H2588" s="14" t="s">
        <v>48</v>
      </c>
      <c r="I2588" s="14"/>
      <c r="J2588" s="14"/>
      <c r="K2588" s="14"/>
      <c r="L2588" s="14"/>
      <c r="M2588" s="14" t="s">
        <v>46</v>
      </c>
      <c r="N2588" s="14"/>
      <c r="O2588" s="14" t="s">
        <v>47</v>
      </c>
      <c r="P2588" s="14" t="str">
        <f>HYPERLINK("https://ceds.ed.gov/cedselementdetails.aspx?termid=17002")</f>
        <v>https://ceds.ed.gov/cedselementdetails.aspx?termid=17002</v>
      </c>
      <c r="Q2588" s="14" t="str">
        <f>HYPERLINK("https://ceds.ed.gov/elementComment.aspx?elementName=Academic Award Level Conferred &amp;elementID=17002", "Click here to submit comment")</f>
        <v>Click here to submit comment</v>
      </c>
      <c r="R2588" s="14">
        <v>50940</v>
      </c>
    </row>
    <row r="2589" spans="1:18" ht="90" x14ac:dyDescent="0.25">
      <c r="A2589" s="14" t="s">
        <v>8974</v>
      </c>
      <c r="B2589" s="14" t="s">
        <v>9004</v>
      </c>
      <c r="C2589" s="14" t="s">
        <v>9032</v>
      </c>
      <c r="D2589" s="14" t="s">
        <v>8531</v>
      </c>
      <c r="E2589" s="14" t="s">
        <v>49</v>
      </c>
      <c r="F2589" s="14" t="s">
        <v>50</v>
      </c>
      <c r="G2589" s="8" t="s">
        <v>9034</v>
      </c>
      <c r="H2589" s="14"/>
      <c r="I2589" s="14"/>
      <c r="J2589" s="14"/>
      <c r="K2589" s="14"/>
      <c r="L2589" s="14"/>
      <c r="M2589" s="14" t="s">
        <v>53</v>
      </c>
      <c r="N2589" s="14"/>
      <c r="O2589" s="14" t="s">
        <v>54</v>
      </c>
      <c r="P2589" s="14" t="str">
        <f>HYPERLINK("https://ceds.ed.gov/cedselementdetails.aspx?termid=18647")</f>
        <v>https://ceds.ed.gov/cedselementdetails.aspx?termid=18647</v>
      </c>
      <c r="Q2589" s="14" t="str">
        <f>HYPERLINK("https://ceds.ed.gov/elementComment.aspx?elementName=Academic Award Prerequisite Type &amp;elementID=18647", "Click here to submit comment")</f>
        <v>Click here to submit comment</v>
      </c>
      <c r="R2589" s="14">
        <v>51866</v>
      </c>
    </row>
    <row r="2590" spans="1:18" ht="45" x14ac:dyDescent="0.25">
      <c r="A2590" s="14" t="s">
        <v>8974</v>
      </c>
      <c r="B2590" s="14" t="s">
        <v>9004</v>
      </c>
      <c r="C2590" s="14" t="s">
        <v>9032</v>
      </c>
      <c r="D2590" s="14" t="s">
        <v>8531</v>
      </c>
      <c r="E2590" s="14" t="s">
        <v>55</v>
      </c>
      <c r="F2590" s="14" t="s">
        <v>56</v>
      </c>
      <c r="G2590" s="14" t="s">
        <v>37</v>
      </c>
      <c r="H2590" s="14"/>
      <c r="I2590" s="14"/>
      <c r="J2590" s="14" t="s">
        <v>57</v>
      </c>
      <c r="K2590" s="14"/>
      <c r="L2590" s="14"/>
      <c r="M2590" s="14" t="s">
        <v>58</v>
      </c>
      <c r="N2590" s="14"/>
      <c r="O2590" s="14" t="s">
        <v>59</v>
      </c>
      <c r="P2590" s="14" t="str">
        <f>HYPERLINK("https://ceds.ed.gov/cedselementdetails.aspx?termid=18646")</f>
        <v>https://ceds.ed.gov/cedselementdetails.aspx?termid=18646</v>
      </c>
      <c r="Q2590" s="14" t="str">
        <f>HYPERLINK("https://ceds.ed.gov/elementComment.aspx?elementName=Academic Award Requirements URL &amp;elementID=18646", "Click here to submit comment")</f>
        <v>Click here to submit comment</v>
      </c>
      <c r="R2590" s="14">
        <v>51868</v>
      </c>
    </row>
    <row r="2591" spans="1:18" ht="75" x14ac:dyDescent="0.25">
      <c r="A2591" s="14" t="s">
        <v>8974</v>
      </c>
      <c r="B2591" s="14" t="s">
        <v>9004</v>
      </c>
      <c r="C2591" s="14" t="s">
        <v>9032</v>
      </c>
      <c r="D2591" s="14" t="s">
        <v>8531</v>
      </c>
      <c r="E2591" s="14" t="s">
        <v>2365</v>
      </c>
      <c r="F2591" s="14" t="s">
        <v>2366</v>
      </c>
      <c r="G2591" s="14" t="s">
        <v>8526</v>
      </c>
      <c r="H2591" s="14" t="s">
        <v>48</v>
      </c>
      <c r="I2591" s="14"/>
      <c r="J2591" s="14"/>
      <c r="K2591" s="14"/>
      <c r="L2591" s="14"/>
      <c r="M2591" s="14" t="s">
        <v>2368</v>
      </c>
      <c r="N2591" s="14" t="s">
        <v>2369</v>
      </c>
      <c r="O2591" s="14" t="s">
        <v>2370</v>
      </c>
      <c r="P2591" s="14" t="str">
        <f>HYPERLINK("https://ceds.ed.gov/cedselementdetails.aspx?termid=17043")</f>
        <v>https://ceds.ed.gov/cedselementdetails.aspx?termid=17043</v>
      </c>
      <c r="Q2591" s="14" t="str">
        <f>HYPERLINK("https://ceds.ed.gov/elementComment.aspx?elementName=Classification of Instructional Program Code &amp;elementID=17043", "Click here to submit comment")</f>
        <v>Click here to submit comment</v>
      </c>
      <c r="R2591" s="14">
        <v>50954</v>
      </c>
    </row>
    <row r="2592" spans="1:18" ht="135" x14ac:dyDescent="0.25">
      <c r="A2592" s="14" t="s">
        <v>8974</v>
      </c>
      <c r="B2592" s="14" t="s">
        <v>9004</v>
      </c>
      <c r="C2592" s="14" t="s">
        <v>9032</v>
      </c>
      <c r="D2592" s="14" t="s">
        <v>8531</v>
      </c>
      <c r="E2592" s="14" t="s">
        <v>2371</v>
      </c>
      <c r="F2592" s="14" t="s">
        <v>2372</v>
      </c>
      <c r="G2592" s="8" t="s">
        <v>8997</v>
      </c>
      <c r="H2592" s="14" t="s">
        <v>225</v>
      </c>
      <c r="I2592" s="14"/>
      <c r="J2592" s="14"/>
      <c r="K2592" s="14"/>
      <c r="L2592" s="14"/>
      <c r="M2592" s="14" t="s">
        <v>2375</v>
      </c>
      <c r="N2592" s="14" t="s">
        <v>2376</v>
      </c>
      <c r="O2592" s="14" t="s">
        <v>2377</v>
      </c>
      <c r="P2592" s="14" t="str">
        <f>HYPERLINK("https://ceds.ed.gov/cedselementdetails.aspx?termid=17044")</f>
        <v>https://ceds.ed.gov/cedselementdetails.aspx?termid=17044</v>
      </c>
      <c r="Q2592" s="14" t="str">
        <f>HYPERLINK("https://ceds.ed.gov/elementComment.aspx?elementName=Classification of Instructional Program Use &amp;elementID=17044", "Click here to submit comment")</f>
        <v>Click here to submit comment</v>
      </c>
      <c r="R2592" s="14">
        <v>50956</v>
      </c>
    </row>
    <row r="2593" spans="1:18" ht="90" x14ac:dyDescent="0.25">
      <c r="A2593" s="14" t="s">
        <v>8974</v>
      </c>
      <c r="B2593" s="14" t="s">
        <v>9004</v>
      </c>
      <c r="C2593" s="14" t="s">
        <v>9032</v>
      </c>
      <c r="D2593" s="14" t="s">
        <v>8531</v>
      </c>
      <c r="E2593" s="14" t="s">
        <v>2378</v>
      </c>
      <c r="F2593" s="14" t="s">
        <v>2379</v>
      </c>
      <c r="G2593" s="8" t="s">
        <v>8998</v>
      </c>
      <c r="H2593" s="14" t="s">
        <v>225</v>
      </c>
      <c r="I2593" s="14"/>
      <c r="J2593" s="14"/>
      <c r="K2593" s="14"/>
      <c r="L2593" s="14"/>
      <c r="M2593" s="14" t="s">
        <v>2382</v>
      </c>
      <c r="N2593" s="14" t="s">
        <v>2383</v>
      </c>
      <c r="O2593" s="14" t="s">
        <v>2384</v>
      </c>
      <c r="P2593" s="14" t="str">
        <f>HYPERLINK("https://ceds.ed.gov/cedselementdetails.aspx?termid=17045")</f>
        <v>https://ceds.ed.gov/cedselementdetails.aspx?termid=17045</v>
      </c>
      <c r="Q2593" s="14" t="str">
        <f>HYPERLINK("https://ceds.ed.gov/elementComment.aspx?elementName=Classification of Instructional Program Version &amp;elementID=17045", "Click here to submit comment")</f>
        <v>Click here to submit comment</v>
      </c>
      <c r="R2593" s="14">
        <v>50962</v>
      </c>
    </row>
    <row r="2594" spans="1:18" ht="150" x14ac:dyDescent="0.25">
      <c r="A2594" s="14" t="s">
        <v>8974</v>
      </c>
      <c r="B2594" s="14" t="s">
        <v>9004</v>
      </c>
      <c r="C2594" s="14" t="s">
        <v>9032</v>
      </c>
      <c r="D2594" s="14" t="s">
        <v>8531</v>
      </c>
      <c r="E2594" s="14" t="s">
        <v>3675</v>
      </c>
      <c r="F2594" s="14" t="s">
        <v>3676</v>
      </c>
      <c r="G2594" s="8" t="s">
        <v>9035</v>
      </c>
      <c r="H2594" s="14"/>
      <c r="I2594" s="14"/>
      <c r="J2594" s="14"/>
      <c r="K2594" s="14"/>
      <c r="L2594" s="6" t="s">
        <v>3679</v>
      </c>
      <c r="M2594" s="14" t="s">
        <v>3680</v>
      </c>
      <c r="N2594" s="14"/>
      <c r="O2594" s="14" t="s">
        <v>3681</v>
      </c>
      <c r="P2594" s="14" t="str">
        <f>HYPERLINK("https://ceds.ed.gov/cedselementdetails.aspx?termid=18622")</f>
        <v>https://ceds.ed.gov/cedselementdetails.aspx?termid=18622</v>
      </c>
      <c r="Q2594" s="14" t="str">
        <f>HYPERLINK("https://ceds.ed.gov/elementComment.aspx?elementName=DQP Categories of Learning &amp;elementID=18622", "Click here to submit comment")</f>
        <v>Click here to submit comment</v>
      </c>
      <c r="R2594" s="14">
        <v>51314</v>
      </c>
    </row>
    <row r="2595" spans="1:18" ht="195" x14ac:dyDescent="0.25">
      <c r="A2595" s="14" t="s">
        <v>8974</v>
      </c>
      <c r="B2595" s="14" t="s">
        <v>9004</v>
      </c>
      <c r="C2595" s="14" t="s">
        <v>9032</v>
      </c>
      <c r="D2595" s="14" t="s">
        <v>8531</v>
      </c>
      <c r="E2595" s="14" t="s">
        <v>7051</v>
      </c>
      <c r="F2595" s="14" t="s">
        <v>7052</v>
      </c>
      <c r="G2595" s="8" t="s">
        <v>8855</v>
      </c>
      <c r="H2595" s="14"/>
      <c r="I2595" s="14"/>
      <c r="J2595" s="14"/>
      <c r="K2595" s="14"/>
      <c r="L2595" s="14"/>
      <c r="M2595" s="14" t="s">
        <v>7055</v>
      </c>
      <c r="N2595" s="14"/>
      <c r="O2595" s="14" t="s">
        <v>7056</v>
      </c>
      <c r="P2595" s="14" t="str">
        <f>HYPERLINK("https://ceds.ed.gov/cedselementdetails.aspx?termid=17780")</f>
        <v>https://ceds.ed.gov/cedselementdetails.aspx?termid=17780</v>
      </c>
      <c r="Q2595" s="14" t="str">
        <f>HYPERLINK("https://ceds.ed.gov/elementComment.aspx?elementName=Professional or Technical Credential Conferred &amp;elementID=17780", "Click here to submit comment")</f>
        <v>Click here to submit comment</v>
      </c>
      <c r="R2595" s="14">
        <v>51017</v>
      </c>
    </row>
    <row r="2596" spans="1:18" ht="375" x14ac:dyDescent="0.25">
      <c r="A2596" s="14" t="s">
        <v>8974</v>
      </c>
      <c r="B2596" s="14" t="s">
        <v>9004</v>
      </c>
      <c r="C2596" s="14" t="s">
        <v>9036</v>
      </c>
      <c r="D2596" s="14" t="s">
        <v>8531</v>
      </c>
      <c r="E2596" s="14" t="s">
        <v>6705</v>
      </c>
      <c r="F2596" s="14" t="s">
        <v>6706</v>
      </c>
      <c r="G2596" s="8" t="s">
        <v>8676</v>
      </c>
      <c r="H2596" s="14"/>
      <c r="I2596" s="14"/>
      <c r="J2596" s="14"/>
      <c r="K2596" s="14"/>
      <c r="L2596" s="14"/>
      <c r="M2596" s="14" t="s">
        <v>6709</v>
      </c>
      <c r="N2596" s="14"/>
      <c r="O2596" s="14" t="s">
        <v>6710</v>
      </c>
      <c r="P2596" s="14" t="str">
        <f>HYPERLINK("https://ceds.ed.gov/cedselementdetails.aspx?termid=18550")</f>
        <v>https://ceds.ed.gov/cedselementdetails.aspx?termid=18550</v>
      </c>
      <c r="Q2596" s="14" t="str">
        <f>HYPERLINK("https://ceds.ed.gov/elementComment.aspx?elementName=Person Identification System &amp;elementID=18550", "Click here to submit comment")</f>
        <v>Click here to submit comment</v>
      </c>
      <c r="R2596" s="14">
        <v>51842</v>
      </c>
    </row>
    <row r="2597" spans="1:18" ht="105" x14ac:dyDescent="0.25">
      <c r="A2597" s="16" t="s">
        <v>8974</v>
      </c>
      <c r="B2597" s="16" t="s">
        <v>9004</v>
      </c>
      <c r="C2597" s="16" t="s">
        <v>9036</v>
      </c>
      <c r="D2597" s="16" t="s">
        <v>8531</v>
      </c>
      <c r="E2597" s="16" t="s">
        <v>6711</v>
      </c>
      <c r="F2597" s="16" t="s">
        <v>6712</v>
      </c>
      <c r="G2597" s="16" t="s">
        <v>37</v>
      </c>
      <c r="H2597" s="16"/>
      <c r="I2597" s="16"/>
      <c r="J2597" s="16" t="s">
        <v>149</v>
      </c>
      <c r="K2597" s="16"/>
      <c r="L2597" s="14" t="s">
        <v>150</v>
      </c>
      <c r="M2597" s="16" t="s">
        <v>6713</v>
      </c>
      <c r="N2597" s="16"/>
      <c r="O2597" s="16" t="s">
        <v>6714</v>
      </c>
      <c r="P2597" s="16" t="str">
        <f>HYPERLINK("https://ceds.ed.gov/cedselementdetails.aspx?termid=18551")</f>
        <v>https://ceds.ed.gov/cedselementdetails.aspx?termid=18551</v>
      </c>
      <c r="Q2597" s="16" t="str">
        <f>HYPERLINK("https://ceds.ed.gov/elementComment.aspx?elementName=Person Identifier &amp;elementID=18551", "Click here to submit comment")</f>
        <v>Click here to submit comment</v>
      </c>
      <c r="R2597" s="16">
        <v>51851</v>
      </c>
    </row>
    <row r="2598" spans="1:18" x14ac:dyDescent="0.25">
      <c r="A2598" s="16"/>
      <c r="B2598" s="16"/>
      <c r="C2598" s="16"/>
      <c r="D2598" s="16"/>
      <c r="E2598" s="16"/>
      <c r="F2598" s="16"/>
      <c r="G2598" s="16"/>
      <c r="H2598" s="16"/>
      <c r="I2598" s="16"/>
      <c r="J2598" s="16"/>
      <c r="K2598" s="16"/>
      <c r="L2598" s="14"/>
      <c r="M2598" s="16"/>
      <c r="N2598" s="16"/>
      <c r="O2598" s="16"/>
      <c r="P2598" s="16"/>
      <c r="Q2598" s="16"/>
      <c r="R2598" s="16"/>
    </row>
    <row r="2599" spans="1:18" ht="90" x14ac:dyDescent="0.25">
      <c r="A2599" s="16"/>
      <c r="B2599" s="16"/>
      <c r="C2599" s="16"/>
      <c r="D2599" s="16"/>
      <c r="E2599" s="16"/>
      <c r="F2599" s="16"/>
      <c r="G2599" s="16"/>
      <c r="H2599" s="16"/>
      <c r="I2599" s="16"/>
      <c r="J2599" s="16"/>
      <c r="K2599" s="16"/>
      <c r="L2599" s="14" t="s">
        <v>153</v>
      </c>
      <c r="M2599" s="16"/>
      <c r="N2599" s="16"/>
      <c r="O2599" s="16"/>
      <c r="P2599" s="16"/>
      <c r="Q2599" s="16"/>
      <c r="R2599" s="16"/>
    </row>
    <row r="2600" spans="1:18" ht="375" x14ac:dyDescent="0.25">
      <c r="A2600" s="14" t="s">
        <v>8974</v>
      </c>
      <c r="B2600" s="14" t="s">
        <v>9004</v>
      </c>
      <c r="C2600" s="14" t="s">
        <v>9037</v>
      </c>
      <c r="D2600" s="14" t="s">
        <v>8531</v>
      </c>
      <c r="E2600" s="14" t="s">
        <v>6705</v>
      </c>
      <c r="F2600" s="14" t="s">
        <v>6706</v>
      </c>
      <c r="G2600" s="8" t="s">
        <v>8676</v>
      </c>
      <c r="H2600" s="14"/>
      <c r="I2600" s="14"/>
      <c r="J2600" s="14"/>
      <c r="K2600" s="14"/>
      <c r="L2600" s="14"/>
      <c r="M2600" s="14" t="s">
        <v>6709</v>
      </c>
      <c r="N2600" s="14"/>
      <c r="O2600" s="14" t="s">
        <v>6710</v>
      </c>
      <c r="P2600" s="14" t="str">
        <f>HYPERLINK("https://ceds.ed.gov/cedselementdetails.aspx?termid=18550")</f>
        <v>https://ceds.ed.gov/cedselementdetails.aspx?termid=18550</v>
      </c>
      <c r="Q2600" s="14" t="str">
        <f>HYPERLINK("https://ceds.ed.gov/elementComment.aspx?elementName=Person Identification System &amp;elementID=18550", "Click here to submit comment")</f>
        <v>Click here to submit comment</v>
      </c>
      <c r="R2600" s="14">
        <v>51843</v>
      </c>
    </row>
    <row r="2601" spans="1:18" ht="105" x14ac:dyDescent="0.25">
      <c r="A2601" s="16" t="s">
        <v>8974</v>
      </c>
      <c r="B2601" s="16" t="s">
        <v>9004</v>
      </c>
      <c r="C2601" s="16" t="s">
        <v>9037</v>
      </c>
      <c r="D2601" s="16" t="s">
        <v>8531</v>
      </c>
      <c r="E2601" s="16" t="s">
        <v>6711</v>
      </c>
      <c r="F2601" s="16" t="s">
        <v>6712</v>
      </c>
      <c r="G2601" s="16" t="s">
        <v>37</v>
      </c>
      <c r="H2601" s="16"/>
      <c r="I2601" s="16"/>
      <c r="J2601" s="16" t="s">
        <v>149</v>
      </c>
      <c r="K2601" s="16"/>
      <c r="L2601" s="14" t="s">
        <v>150</v>
      </c>
      <c r="M2601" s="16" t="s">
        <v>6713</v>
      </c>
      <c r="N2601" s="16"/>
      <c r="O2601" s="16" t="s">
        <v>6714</v>
      </c>
      <c r="P2601" s="16" t="str">
        <f>HYPERLINK("https://ceds.ed.gov/cedselementdetails.aspx?termid=18551")</f>
        <v>https://ceds.ed.gov/cedselementdetails.aspx?termid=18551</v>
      </c>
      <c r="Q2601" s="16" t="str">
        <f>HYPERLINK("https://ceds.ed.gov/elementComment.aspx?elementName=Person Identifier &amp;elementID=18551", "Click here to submit comment")</f>
        <v>Click here to submit comment</v>
      </c>
      <c r="R2601" s="16">
        <v>51852</v>
      </c>
    </row>
    <row r="2602" spans="1:18" x14ac:dyDescent="0.25">
      <c r="A2602" s="16"/>
      <c r="B2602" s="16"/>
      <c r="C2602" s="16"/>
      <c r="D2602" s="16"/>
      <c r="E2602" s="16"/>
      <c r="F2602" s="16"/>
      <c r="G2602" s="16"/>
      <c r="H2602" s="16"/>
      <c r="I2602" s="16"/>
      <c r="J2602" s="16"/>
      <c r="K2602" s="16"/>
      <c r="L2602" s="14"/>
      <c r="M2602" s="16"/>
      <c r="N2602" s="16"/>
      <c r="O2602" s="16"/>
      <c r="P2602" s="16"/>
      <c r="Q2602" s="16"/>
      <c r="R2602" s="16"/>
    </row>
    <row r="2603" spans="1:18" ht="90" x14ac:dyDescent="0.25">
      <c r="A2603" s="16"/>
      <c r="B2603" s="16"/>
      <c r="C2603" s="16"/>
      <c r="D2603" s="16"/>
      <c r="E2603" s="16"/>
      <c r="F2603" s="16"/>
      <c r="G2603" s="16"/>
      <c r="H2603" s="16"/>
      <c r="I2603" s="16"/>
      <c r="J2603" s="16"/>
      <c r="K2603" s="16"/>
      <c r="L2603" s="14" t="s">
        <v>153</v>
      </c>
      <c r="M2603" s="16"/>
      <c r="N2603" s="16"/>
      <c r="O2603" s="16"/>
      <c r="P2603" s="16"/>
      <c r="Q2603" s="16"/>
      <c r="R2603" s="16"/>
    </row>
    <row r="2604" spans="1:18" ht="90" x14ac:dyDescent="0.25">
      <c r="A2604" s="14" t="s">
        <v>8974</v>
      </c>
      <c r="B2604" s="14" t="s">
        <v>9004</v>
      </c>
      <c r="C2604" s="14" t="s">
        <v>9038</v>
      </c>
      <c r="D2604" s="14" t="s">
        <v>8531</v>
      </c>
      <c r="E2604" s="14" t="s">
        <v>6783</v>
      </c>
      <c r="F2604" s="14" t="s">
        <v>6784</v>
      </c>
      <c r="G2604" s="8" t="s">
        <v>9039</v>
      </c>
      <c r="H2604" s="14" t="s">
        <v>225</v>
      </c>
      <c r="I2604" s="14"/>
      <c r="J2604" s="14"/>
      <c r="K2604" s="14"/>
      <c r="L2604" s="14"/>
      <c r="M2604" s="14" t="s">
        <v>6786</v>
      </c>
      <c r="N2604" s="14"/>
      <c r="O2604" s="14" t="s">
        <v>6787</v>
      </c>
      <c r="P2604" s="14" t="str">
        <f>HYPERLINK("https://ceds.ed.gov/cedselementdetails.aspx?termid=17095")</f>
        <v>https://ceds.ed.gov/cedselementdetails.aspx?termid=17095</v>
      </c>
      <c r="Q2604" s="14" t="str">
        <f>HYPERLINK("https://ceds.ed.gov/elementComment.aspx?elementName=Postsecondary Enrollment Type &amp;elementID=17095", "Click here to submit comment")</f>
        <v>Click here to submit comment</v>
      </c>
      <c r="R2604" s="14">
        <v>47743</v>
      </c>
    </row>
    <row r="2605" spans="1:18" ht="135" x14ac:dyDescent="0.25">
      <c r="A2605" s="14" t="s">
        <v>8974</v>
      </c>
      <c r="B2605" s="14" t="s">
        <v>9004</v>
      </c>
      <c r="C2605" s="14" t="s">
        <v>9038</v>
      </c>
      <c r="D2605" s="14" t="s">
        <v>8531</v>
      </c>
      <c r="E2605" s="14" t="s">
        <v>6776</v>
      </c>
      <c r="F2605" s="14" t="s">
        <v>6777</v>
      </c>
      <c r="G2605" s="8" t="s">
        <v>9040</v>
      </c>
      <c r="H2605" s="14" t="s">
        <v>6782</v>
      </c>
      <c r="I2605" s="14"/>
      <c r="J2605" s="14"/>
      <c r="K2605" s="14"/>
      <c r="L2605" s="14" t="s">
        <v>6779</v>
      </c>
      <c r="M2605" s="14" t="s">
        <v>6780</v>
      </c>
      <c r="N2605" s="14"/>
      <c r="O2605" s="14" t="s">
        <v>6781</v>
      </c>
      <c r="P2605" s="14" t="str">
        <f>HYPERLINK("https://ceds.ed.gov/cedselementdetails.aspx?termid=17096")</f>
        <v>https://ceds.ed.gov/cedselementdetails.aspx?termid=17096</v>
      </c>
      <c r="Q2605" s="14" t="str">
        <f>HYPERLINK("https://ceds.ed.gov/elementComment.aspx?elementName=Postsecondary Enrollment Status &amp;elementID=17096", "Click here to submit comment")</f>
        <v>Click here to submit comment</v>
      </c>
      <c r="R2605" s="14">
        <v>47744</v>
      </c>
    </row>
    <row r="2606" spans="1:18" ht="180" x14ac:dyDescent="0.25">
      <c r="A2606" s="14" t="s">
        <v>8974</v>
      </c>
      <c r="B2606" s="14" t="s">
        <v>9004</v>
      </c>
      <c r="C2606" s="14" t="s">
        <v>9038</v>
      </c>
      <c r="D2606" s="14" t="s">
        <v>8531</v>
      </c>
      <c r="E2606" s="14" t="s">
        <v>81</v>
      </c>
      <c r="F2606" s="14" t="s">
        <v>82</v>
      </c>
      <c r="G2606" s="8" t="s">
        <v>9041</v>
      </c>
      <c r="H2606" s="14" t="s">
        <v>88</v>
      </c>
      <c r="I2606" s="14"/>
      <c r="J2606" s="14"/>
      <c r="K2606" s="14"/>
      <c r="L2606" s="14" t="s">
        <v>85</v>
      </c>
      <c r="M2606" s="14" t="s">
        <v>86</v>
      </c>
      <c r="N2606" s="14"/>
      <c r="O2606" s="14" t="s">
        <v>87</v>
      </c>
      <c r="P2606" s="14" t="str">
        <f>HYPERLINK("https://ceds.ed.gov/cedselementdetails.aspx?termid=17703")</f>
        <v>https://ceds.ed.gov/cedselementdetails.aspx?termid=17703</v>
      </c>
      <c r="Q2606" s="14" t="str">
        <f>HYPERLINK("https://ceds.ed.gov/elementComment.aspx?elementName=Academic Term Designator &amp;elementID=17703", "Click here to submit comment")</f>
        <v>Click here to submit comment</v>
      </c>
      <c r="R2606" s="14">
        <v>51015</v>
      </c>
    </row>
    <row r="2607" spans="1:18" ht="60" x14ac:dyDescent="0.25">
      <c r="A2607" s="14" t="s">
        <v>8974</v>
      </c>
      <c r="B2607" s="14" t="s">
        <v>9004</v>
      </c>
      <c r="C2607" s="14" t="s">
        <v>9038</v>
      </c>
      <c r="D2607" s="14" t="s">
        <v>8531</v>
      </c>
      <c r="E2607" s="14" t="s">
        <v>89</v>
      </c>
      <c r="F2607" s="14" t="s">
        <v>90</v>
      </c>
      <c r="G2607" s="14" t="s">
        <v>37</v>
      </c>
      <c r="H2607" s="14" t="s">
        <v>88</v>
      </c>
      <c r="I2607" s="14"/>
      <c r="J2607" s="14" t="s">
        <v>91</v>
      </c>
      <c r="K2607" s="14"/>
      <c r="L2607" s="14"/>
      <c r="M2607" s="14" t="s">
        <v>92</v>
      </c>
      <c r="N2607" s="14"/>
      <c r="O2607" s="14" t="s">
        <v>93</v>
      </c>
      <c r="P2607" s="14" t="str">
        <f>HYPERLINK("https://ceds.ed.gov/cedselementdetails.aspx?termid=17702")</f>
        <v>https://ceds.ed.gov/cedselementdetails.aspx?termid=17702</v>
      </c>
      <c r="Q2607" s="14" t="str">
        <f>HYPERLINK("https://ceds.ed.gov/elementComment.aspx?elementName=Academic Year Designator &amp;elementID=17702", "Click here to submit comment")</f>
        <v>Click here to submit comment</v>
      </c>
      <c r="R2607" s="14">
        <v>51014</v>
      </c>
    </row>
    <row r="2608" spans="1:18" ht="45" x14ac:dyDescent="0.25">
      <c r="A2608" s="14" t="s">
        <v>8974</v>
      </c>
      <c r="B2608" s="14" t="s">
        <v>9004</v>
      </c>
      <c r="C2608" s="14" t="s">
        <v>9038</v>
      </c>
      <c r="D2608" s="14" t="s">
        <v>8531</v>
      </c>
      <c r="E2608" s="14" t="s">
        <v>5515</v>
      </c>
      <c r="F2608" s="14" t="s">
        <v>5516</v>
      </c>
      <c r="G2608" s="8" t="s">
        <v>8996</v>
      </c>
      <c r="H2608" s="14" t="s">
        <v>225</v>
      </c>
      <c r="I2608" s="14"/>
      <c r="J2608" s="14"/>
      <c r="K2608" s="14"/>
      <c r="L2608" s="14"/>
      <c r="M2608" s="14" t="s">
        <v>5518</v>
      </c>
      <c r="N2608" s="14"/>
      <c r="O2608" s="14" t="s">
        <v>5519</v>
      </c>
      <c r="P2608" s="14" t="str">
        <f>HYPERLINK("https://ceds.ed.gov/cedselementdetails.aspx?termid=17169")</f>
        <v>https://ceds.ed.gov/cedselementdetails.aspx?termid=17169</v>
      </c>
      <c r="Q2608" s="14" t="str">
        <f>HYPERLINK("https://ceds.ed.gov/elementComment.aspx?elementName=Instructional Activity Hours Type &amp;elementID=17169", "Click here to submit comment")</f>
        <v>Click here to submit comment</v>
      </c>
      <c r="R2608" s="14">
        <v>47766</v>
      </c>
    </row>
    <row r="2609" spans="1:18" ht="45" x14ac:dyDescent="0.25">
      <c r="A2609" s="14" t="s">
        <v>8974</v>
      </c>
      <c r="B2609" s="14" t="s">
        <v>9004</v>
      </c>
      <c r="C2609" s="14" t="s">
        <v>9038</v>
      </c>
      <c r="D2609" s="14" t="s">
        <v>8531</v>
      </c>
      <c r="E2609" s="14" t="s">
        <v>5505</v>
      </c>
      <c r="F2609" s="14" t="s">
        <v>5506</v>
      </c>
      <c r="G2609" s="14" t="s">
        <v>37</v>
      </c>
      <c r="H2609" s="14" t="s">
        <v>225</v>
      </c>
      <c r="I2609" s="14"/>
      <c r="J2609" s="14" t="s">
        <v>1710</v>
      </c>
      <c r="K2609" s="14"/>
      <c r="L2609" s="14"/>
      <c r="M2609" s="14" t="s">
        <v>5507</v>
      </c>
      <c r="N2609" s="14"/>
      <c r="O2609" s="14" t="s">
        <v>5508</v>
      </c>
      <c r="P2609" s="14" t="str">
        <f>HYPERLINK("https://ceds.ed.gov/cedselementdetails.aspx?termid=17168")</f>
        <v>https://ceds.ed.gov/cedselementdetails.aspx?termid=17168</v>
      </c>
      <c r="Q2609" s="14" t="str">
        <f>HYPERLINK("https://ceds.ed.gov/elementComment.aspx?elementName=Instructional Activity Hours Attempted &amp;elementID=17168", "Click here to submit comment")</f>
        <v>Click here to submit comment</v>
      </c>
      <c r="R2609" s="14">
        <v>47765</v>
      </c>
    </row>
    <row r="2610" spans="1:18" ht="45" x14ac:dyDescent="0.25">
      <c r="A2610" s="14" t="s">
        <v>8974</v>
      </c>
      <c r="B2610" s="14" t="s">
        <v>9004</v>
      </c>
      <c r="C2610" s="14" t="s">
        <v>9038</v>
      </c>
      <c r="D2610" s="14" t="s">
        <v>8531</v>
      </c>
      <c r="E2610" s="14" t="s">
        <v>5509</v>
      </c>
      <c r="F2610" s="14" t="s">
        <v>5510</v>
      </c>
      <c r="G2610" s="14" t="s">
        <v>37</v>
      </c>
      <c r="H2610" s="14" t="s">
        <v>5514</v>
      </c>
      <c r="I2610" s="14"/>
      <c r="J2610" s="14" t="s">
        <v>1710</v>
      </c>
      <c r="K2610" s="14"/>
      <c r="L2610" s="14"/>
      <c r="M2610" s="14" t="s">
        <v>5512</v>
      </c>
      <c r="N2610" s="14"/>
      <c r="O2610" s="14" t="s">
        <v>5513</v>
      </c>
      <c r="P2610" s="14" t="str">
        <f>HYPERLINK("https://ceds.ed.gov/cedselementdetails.aspx?termid=17361")</f>
        <v>https://ceds.ed.gov/cedselementdetails.aspx?termid=17361</v>
      </c>
      <c r="Q2610" s="14" t="str">
        <f>HYPERLINK("https://ceds.ed.gov/elementComment.aspx?elementName=Instructional Activity Hours Completed &amp;elementID=17361", "Click here to submit comment")</f>
        <v>Click here to submit comment</v>
      </c>
      <c r="R2610" s="14">
        <v>47796</v>
      </c>
    </row>
    <row r="2611" spans="1:18" ht="210" x14ac:dyDescent="0.25">
      <c r="A2611" s="14" t="s">
        <v>8974</v>
      </c>
      <c r="B2611" s="14" t="s">
        <v>9004</v>
      </c>
      <c r="C2611" s="14" t="s">
        <v>9038</v>
      </c>
      <c r="D2611" s="14" t="s">
        <v>8531</v>
      </c>
      <c r="E2611" s="14" t="s">
        <v>8334</v>
      </c>
      <c r="F2611" s="14" t="s">
        <v>8335</v>
      </c>
      <c r="G2611" s="14" t="s">
        <v>24</v>
      </c>
      <c r="H2611" s="14" t="s">
        <v>225</v>
      </c>
      <c r="I2611" s="14"/>
      <c r="J2611" s="14"/>
      <c r="K2611" s="14"/>
      <c r="L2611" s="14"/>
      <c r="M2611" s="14" t="s">
        <v>8336</v>
      </c>
      <c r="N2611" s="14"/>
      <c r="O2611" s="14" t="s">
        <v>8337</v>
      </c>
      <c r="P2611" s="14" t="str">
        <f>HYPERLINK("https://ceds.ed.gov/cedselementdetails.aspx?termid=17292")</f>
        <v>https://ceds.ed.gov/cedselementdetails.aspx?termid=17292</v>
      </c>
      <c r="Q2611" s="14" t="str">
        <f>HYPERLINK("https://ceds.ed.gov/elementComment.aspx?elementName=Title IV Participant and Recipient &amp;elementID=17292", "Click here to submit comment")</f>
        <v>Click here to submit comment</v>
      </c>
      <c r="R2611" s="14">
        <v>47791</v>
      </c>
    </row>
    <row r="2612" spans="1:18" ht="345" x14ac:dyDescent="0.25">
      <c r="A2612" s="14" t="s">
        <v>8974</v>
      </c>
      <c r="B2612" s="14" t="s">
        <v>9004</v>
      </c>
      <c r="C2612" s="14" t="s">
        <v>9038</v>
      </c>
      <c r="D2612" s="14" t="s">
        <v>8531</v>
      </c>
      <c r="E2612" s="14" t="s">
        <v>3638</v>
      </c>
      <c r="F2612" s="14" t="s">
        <v>3639</v>
      </c>
      <c r="G2612" s="8" t="s">
        <v>9042</v>
      </c>
      <c r="H2612" s="14" t="s">
        <v>3645</v>
      </c>
      <c r="I2612" s="14"/>
      <c r="J2612" s="14"/>
      <c r="K2612" s="14"/>
      <c r="L2612" s="14" t="s">
        <v>3642</v>
      </c>
      <c r="M2612" s="14" t="s">
        <v>3643</v>
      </c>
      <c r="N2612" s="14"/>
      <c r="O2612" s="14" t="s">
        <v>3644</v>
      </c>
      <c r="P2612" s="14" t="str">
        <f>HYPERLINK("https://ceds.ed.gov/cedselementdetails.aspx?termid=17704")</f>
        <v>https://ceds.ed.gov/cedselementdetails.aspx?termid=17704</v>
      </c>
      <c r="Q2612" s="14" t="str">
        <f>HYPERLINK("https://ceds.ed.gov/elementComment.aspx?elementName=Distance Education Course Enrollment &amp;elementID=17704", "Click here to submit comment")</f>
        <v>Click here to submit comment</v>
      </c>
      <c r="R2612" s="14">
        <v>49150</v>
      </c>
    </row>
    <row r="2613" spans="1:18" ht="105" x14ac:dyDescent="0.25">
      <c r="A2613" s="14" t="s">
        <v>8974</v>
      </c>
      <c r="B2613" s="14" t="s">
        <v>9004</v>
      </c>
      <c r="C2613" s="14" t="s">
        <v>9038</v>
      </c>
      <c r="D2613" s="14" t="s">
        <v>8531</v>
      </c>
      <c r="E2613" s="14" t="s">
        <v>6809</v>
      </c>
      <c r="F2613" s="14" t="s">
        <v>6810</v>
      </c>
      <c r="G2613" s="14" t="s">
        <v>24</v>
      </c>
      <c r="H2613" s="14" t="s">
        <v>291</v>
      </c>
      <c r="I2613" s="14"/>
      <c r="J2613" s="14"/>
      <c r="K2613" s="14"/>
      <c r="L2613" s="14" t="s">
        <v>6811</v>
      </c>
      <c r="M2613" s="14" t="s">
        <v>6812</v>
      </c>
      <c r="N2613" s="14"/>
      <c r="O2613" s="14" t="s">
        <v>6813</v>
      </c>
      <c r="P2613" s="14" t="str">
        <f>HYPERLINK("https://ceds.ed.gov/cedselementdetails.aspx?termid=17741")</f>
        <v>https://ceds.ed.gov/cedselementdetails.aspx?termid=17741</v>
      </c>
      <c r="Q2613" s="14" t="str">
        <f>HYPERLINK("https://ceds.ed.gov/elementComment.aspx?elementName=Postsecondary Student Housing On-Campus &amp;elementID=17741", "Click here to submit comment")</f>
        <v>Click here to submit comment</v>
      </c>
      <c r="R2613" s="14">
        <v>48263</v>
      </c>
    </row>
    <row r="2614" spans="1:18" ht="60" x14ac:dyDescent="0.25">
      <c r="A2614" s="14" t="s">
        <v>8974</v>
      </c>
      <c r="B2614" s="14" t="s">
        <v>9004</v>
      </c>
      <c r="C2614" s="14" t="s">
        <v>9038</v>
      </c>
      <c r="D2614" s="14" t="s">
        <v>8531</v>
      </c>
      <c r="E2614" s="14" t="s">
        <v>4690</v>
      </c>
      <c r="F2614" s="14" t="s">
        <v>4691</v>
      </c>
      <c r="G2614" s="14" t="s">
        <v>24</v>
      </c>
      <c r="H2614" s="14" t="s">
        <v>291</v>
      </c>
      <c r="I2614" s="14"/>
      <c r="J2614" s="14"/>
      <c r="K2614" s="14"/>
      <c r="L2614" s="14"/>
      <c r="M2614" s="14" t="s">
        <v>4692</v>
      </c>
      <c r="N2614" s="14"/>
      <c r="O2614" s="14" t="s">
        <v>4693</v>
      </c>
      <c r="P2614" s="14" t="str">
        <f>HYPERLINK("https://ceds.ed.gov/cedselementdetails.aspx?termid=17743")</f>
        <v>https://ceds.ed.gov/cedselementdetails.aspx?termid=17743</v>
      </c>
      <c r="Q2614" s="14" t="str">
        <f>HYPERLINK("https://ceds.ed.gov/elementComment.aspx?elementName=Fraternity Participation Status &amp;elementID=17743", "Click here to submit comment")</f>
        <v>Click here to submit comment</v>
      </c>
      <c r="R2614" s="14">
        <v>48264</v>
      </c>
    </row>
    <row r="2615" spans="1:18" ht="60" x14ac:dyDescent="0.25">
      <c r="A2615" s="14" t="s">
        <v>8974</v>
      </c>
      <c r="B2615" s="14" t="s">
        <v>9004</v>
      </c>
      <c r="C2615" s="14" t="s">
        <v>9038</v>
      </c>
      <c r="D2615" s="14" t="s">
        <v>8531</v>
      </c>
      <c r="E2615" s="14" t="s">
        <v>7798</v>
      </c>
      <c r="F2615" s="14" t="s">
        <v>7799</v>
      </c>
      <c r="G2615" s="14" t="s">
        <v>24</v>
      </c>
      <c r="H2615" s="14" t="s">
        <v>291</v>
      </c>
      <c r="I2615" s="14"/>
      <c r="J2615" s="14"/>
      <c r="K2615" s="14"/>
      <c r="L2615" s="14"/>
      <c r="M2615" s="14" t="s">
        <v>7800</v>
      </c>
      <c r="N2615" s="14"/>
      <c r="O2615" s="14" t="s">
        <v>7801</v>
      </c>
      <c r="P2615" s="14" t="str">
        <f>HYPERLINK("https://ceds.ed.gov/cedselementdetails.aspx?termid=17744")</f>
        <v>https://ceds.ed.gov/cedselementdetails.aspx?termid=17744</v>
      </c>
      <c r="Q2615" s="14" t="str">
        <f>HYPERLINK("https://ceds.ed.gov/elementComment.aspx?elementName=Sorority Participation Status &amp;elementID=17744", "Click here to submit comment")</f>
        <v>Click here to submit comment</v>
      </c>
      <c r="R2615" s="14">
        <v>48265</v>
      </c>
    </row>
    <row r="2616" spans="1:18" ht="75" x14ac:dyDescent="0.25">
      <c r="A2616" s="14" t="s">
        <v>8974</v>
      </c>
      <c r="B2616" s="14" t="s">
        <v>9004</v>
      </c>
      <c r="C2616" s="14" t="s">
        <v>9038</v>
      </c>
      <c r="D2616" s="14" t="s">
        <v>8531</v>
      </c>
      <c r="E2616" s="14" t="s">
        <v>3558</v>
      </c>
      <c r="F2616" s="14" t="s">
        <v>3559</v>
      </c>
      <c r="G2616" s="8" t="s">
        <v>8824</v>
      </c>
      <c r="H2616" s="14" t="s">
        <v>3564</v>
      </c>
      <c r="I2616" s="14"/>
      <c r="J2616" s="14"/>
      <c r="K2616" s="14"/>
      <c r="L2616" s="14"/>
      <c r="M2616" s="14" t="s">
        <v>3562</v>
      </c>
      <c r="N2616" s="14"/>
      <c r="O2616" s="14" t="s">
        <v>3563</v>
      </c>
      <c r="P2616" s="14" t="str">
        <f>HYPERLINK("https://ceds.ed.gov/cedselementdetails.aspx?termid=18569")</f>
        <v>https://ceds.ed.gov/cedselementdetails.aspx?termid=18569</v>
      </c>
      <c r="Q2616" s="14" t="str">
        <f>HYPERLINK("https://ceds.ed.gov/elementComment.aspx?elementName=Directory Information Block Status &amp;elementID=18569", "Click here to submit comment")</f>
        <v>Click here to submit comment</v>
      </c>
      <c r="R2616" s="14">
        <v>51059</v>
      </c>
    </row>
    <row r="2617" spans="1:18" ht="180" x14ac:dyDescent="0.25">
      <c r="A2617" s="14" t="s">
        <v>8974</v>
      </c>
      <c r="B2617" s="14" t="s">
        <v>9004</v>
      </c>
      <c r="C2617" s="14" t="s">
        <v>8833</v>
      </c>
      <c r="D2617" s="14" t="s">
        <v>8531</v>
      </c>
      <c r="E2617" s="14" t="s">
        <v>81</v>
      </c>
      <c r="F2617" s="14" t="s">
        <v>82</v>
      </c>
      <c r="G2617" s="8" t="s">
        <v>9041</v>
      </c>
      <c r="H2617" s="14" t="s">
        <v>88</v>
      </c>
      <c r="I2617" s="14"/>
      <c r="J2617" s="14"/>
      <c r="K2617" s="14"/>
      <c r="L2617" s="14" t="s">
        <v>85</v>
      </c>
      <c r="M2617" s="14" t="s">
        <v>86</v>
      </c>
      <c r="N2617" s="14"/>
      <c r="O2617" s="14" t="s">
        <v>87</v>
      </c>
      <c r="P2617" s="14" t="str">
        <f>HYPERLINK("https://ceds.ed.gov/cedselementdetails.aspx?termid=17703")</f>
        <v>https://ceds.ed.gov/cedselementdetails.aspx?termid=17703</v>
      </c>
      <c r="Q2617" s="14" t="str">
        <f>HYPERLINK("https://ceds.ed.gov/elementComment.aspx?elementName=Academic Term Designator &amp;elementID=17703", "Click here to submit comment")</f>
        <v>Click here to submit comment</v>
      </c>
      <c r="R2617" s="14">
        <v>49149</v>
      </c>
    </row>
    <row r="2618" spans="1:18" ht="60" x14ac:dyDescent="0.25">
      <c r="A2618" s="14" t="s">
        <v>8974</v>
      </c>
      <c r="B2618" s="14" t="s">
        <v>9004</v>
      </c>
      <c r="C2618" s="14" t="s">
        <v>8833</v>
      </c>
      <c r="D2618" s="14" t="s">
        <v>8531</v>
      </c>
      <c r="E2618" s="14" t="s">
        <v>89</v>
      </c>
      <c r="F2618" s="14" t="s">
        <v>90</v>
      </c>
      <c r="G2618" s="14" t="s">
        <v>37</v>
      </c>
      <c r="H2618" s="14" t="s">
        <v>88</v>
      </c>
      <c r="I2618" s="14"/>
      <c r="J2618" s="14" t="s">
        <v>91</v>
      </c>
      <c r="K2618" s="14"/>
      <c r="L2618" s="14"/>
      <c r="M2618" s="14" t="s">
        <v>92</v>
      </c>
      <c r="N2618" s="14"/>
      <c r="O2618" s="14" t="s">
        <v>93</v>
      </c>
      <c r="P2618" s="14" t="str">
        <f>HYPERLINK("https://ceds.ed.gov/cedselementdetails.aspx?termid=17702")</f>
        <v>https://ceds.ed.gov/cedselementdetails.aspx?termid=17702</v>
      </c>
      <c r="Q2618" s="14" t="str">
        <f>HYPERLINK("https://ceds.ed.gov/elementComment.aspx?elementName=Academic Year Designator &amp;elementID=17702", "Click here to submit comment")</f>
        <v>Click here to submit comment</v>
      </c>
      <c r="R2618" s="14">
        <v>49148</v>
      </c>
    </row>
    <row r="2619" spans="1:18" ht="45" x14ac:dyDescent="0.25">
      <c r="A2619" s="14" t="s">
        <v>8974</v>
      </c>
      <c r="B2619" s="14" t="s">
        <v>9004</v>
      </c>
      <c r="C2619" s="14" t="s">
        <v>8833</v>
      </c>
      <c r="D2619" s="14" t="s">
        <v>8531</v>
      </c>
      <c r="E2619" s="14" t="s">
        <v>4841</v>
      </c>
      <c r="F2619" s="14" t="s">
        <v>4842</v>
      </c>
      <c r="G2619" s="14" t="s">
        <v>37</v>
      </c>
      <c r="H2619" s="14" t="s">
        <v>65</v>
      </c>
      <c r="I2619" s="14"/>
      <c r="J2619" s="14" t="s">
        <v>1112</v>
      </c>
      <c r="K2619" s="14"/>
      <c r="L2619" s="14"/>
      <c r="M2619" s="14" t="s">
        <v>4843</v>
      </c>
      <c r="N2619" s="14"/>
      <c r="O2619" s="14" t="s">
        <v>4844</v>
      </c>
      <c r="P2619" s="14" t="str">
        <f>HYPERLINK("https://ceds.ed.gov/cedselementdetails.aspx?termid=17127")</f>
        <v>https://ceds.ed.gov/cedselementdetails.aspx?termid=17127</v>
      </c>
      <c r="Q2619" s="14" t="str">
        <f>HYPERLINK("https://ceds.ed.gov/elementComment.aspx?elementName=Grade Point Average &amp;elementID=17127", "Click here to submit comment")</f>
        <v>Click here to submit comment</v>
      </c>
      <c r="R2619" s="14">
        <v>47754</v>
      </c>
    </row>
    <row r="2620" spans="1:18" ht="180" x14ac:dyDescent="0.25">
      <c r="A2620" s="14" t="s">
        <v>8974</v>
      </c>
      <c r="B2620" s="14" t="s">
        <v>9004</v>
      </c>
      <c r="C2620" s="14" t="s">
        <v>8833</v>
      </c>
      <c r="D2620" s="14" t="s">
        <v>8531</v>
      </c>
      <c r="E2620" s="14" t="s">
        <v>4845</v>
      </c>
      <c r="F2620" s="14" t="s">
        <v>4846</v>
      </c>
      <c r="G2620" s="14" t="s">
        <v>37</v>
      </c>
      <c r="H2620" s="14" t="s">
        <v>4852</v>
      </c>
      <c r="I2620" s="14"/>
      <c r="J2620" s="14" t="s">
        <v>1112</v>
      </c>
      <c r="K2620" s="14"/>
      <c r="L2620" s="14" t="s">
        <v>4848</v>
      </c>
      <c r="M2620" s="14" t="s">
        <v>4849</v>
      </c>
      <c r="N2620" s="14" t="s">
        <v>4850</v>
      </c>
      <c r="O2620" s="14" t="s">
        <v>4851</v>
      </c>
      <c r="P2620" s="14" t="str">
        <f>HYPERLINK("https://ceds.ed.gov/cedselementdetails.aspx?termid=17128")</f>
        <v>https://ceds.ed.gov/cedselementdetails.aspx?termid=17128</v>
      </c>
      <c r="Q2620" s="14" t="str">
        <f>HYPERLINK("https://ceds.ed.gov/elementComment.aspx?elementName=Grade Point Average Cumulative &amp;elementID=17128", "Click here to submit comment")</f>
        <v>Click here to submit comment</v>
      </c>
      <c r="R2620" s="14">
        <v>49023</v>
      </c>
    </row>
    <row r="2621" spans="1:18" ht="75" x14ac:dyDescent="0.25">
      <c r="A2621" s="14" t="s">
        <v>8974</v>
      </c>
      <c r="B2621" s="14" t="s">
        <v>9004</v>
      </c>
      <c r="C2621" s="14" t="s">
        <v>8833</v>
      </c>
      <c r="D2621" s="14" t="s">
        <v>8531</v>
      </c>
      <c r="E2621" s="14" t="s">
        <v>3682</v>
      </c>
      <c r="F2621" s="14" t="s">
        <v>3683</v>
      </c>
      <c r="G2621" s="14" t="s">
        <v>37</v>
      </c>
      <c r="H2621" s="14" t="s">
        <v>65</v>
      </c>
      <c r="I2621" s="14"/>
      <c r="J2621" s="14" t="s">
        <v>1710</v>
      </c>
      <c r="K2621" s="14"/>
      <c r="L2621" s="14"/>
      <c r="M2621" s="14" t="s">
        <v>3684</v>
      </c>
      <c r="N2621" s="14"/>
      <c r="O2621" s="14" t="s">
        <v>3685</v>
      </c>
      <c r="P2621" s="14" t="str">
        <f>HYPERLINK("https://ceds.ed.gov/cedselementdetails.aspx?termid=17085")</f>
        <v>https://ceds.ed.gov/cedselementdetails.aspx?termid=17085</v>
      </c>
      <c r="Q2621" s="14" t="str">
        <f>HYPERLINK("https://ceds.ed.gov/elementComment.aspx?elementName=Dual Credit Dual Enrollment Credits Awarded &amp;elementID=17085", "Click here to submit comment")</f>
        <v>Click here to submit comment</v>
      </c>
      <c r="R2621" s="14">
        <v>47742</v>
      </c>
    </row>
    <row r="2622" spans="1:18" ht="90" x14ac:dyDescent="0.25">
      <c r="A2622" s="14" t="s">
        <v>8974</v>
      </c>
      <c r="B2622" s="14" t="s">
        <v>9004</v>
      </c>
      <c r="C2622" s="14" t="s">
        <v>8833</v>
      </c>
      <c r="D2622" s="14" t="s">
        <v>8531</v>
      </c>
      <c r="E2622" s="14" t="s">
        <v>367</v>
      </c>
      <c r="F2622" s="14" t="s">
        <v>368</v>
      </c>
      <c r="G2622" s="14" t="s">
        <v>37</v>
      </c>
      <c r="H2622" s="14" t="s">
        <v>65</v>
      </c>
      <c r="I2622" s="14"/>
      <c r="J2622" s="14" t="s">
        <v>370</v>
      </c>
      <c r="K2622" s="14"/>
      <c r="L2622" s="14"/>
      <c r="M2622" s="14" t="s">
        <v>371</v>
      </c>
      <c r="N2622" s="14" t="s">
        <v>372</v>
      </c>
      <c r="O2622" s="14" t="s">
        <v>373</v>
      </c>
      <c r="P2622" s="14" t="str">
        <f>HYPERLINK("https://ceds.ed.gov/cedselementdetails.aspx?termid=17018")</f>
        <v>https://ceds.ed.gov/cedselementdetails.aspx?termid=17018</v>
      </c>
      <c r="Q2622" s="14" t="str">
        <f>HYPERLINK("https://ceds.ed.gov/elementComment.aspx?elementName=Advanced Placement Credits Awarded &amp;elementID=17018", "Click here to submit comment")</f>
        <v>Click here to submit comment</v>
      </c>
      <c r="R2622" s="14">
        <v>47728</v>
      </c>
    </row>
    <row r="2623" spans="1:18" ht="45" x14ac:dyDescent="0.25">
      <c r="A2623" s="14" t="s">
        <v>8974</v>
      </c>
      <c r="B2623" s="14" t="s">
        <v>9004</v>
      </c>
      <c r="C2623" s="14" t="s">
        <v>8833</v>
      </c>
      <c r="D2623" s="14" t="s">
        <v>8531</v>
      </c>
      <c r="E2623" s="14" t="s">
        <v>3103</v>
      </c>
      <c r="F2623" s="14" t="s">
        <v>3104</v>
      </c>
      <c r="G2623" s="14" t="s">
        <v>37</v>
      </c>
      <c r="H2623" s="14"/>
      <c r="I2623" s="14"/>
      <c r="J2623" s="14" t="s">
        <v>370</v>
      </c>
      <c r="K2623" s="14"/>
      <c r="L2623" s="14"/>
      <c r="M2623" s="14" t="s">
        <v>3105</v>
      </c>
      <c r="N2623" s="14"/>
      <c r="O2623" s="14" t="s">
        <v>3106</v>
      </c>
      <c r="P2623" s="14" t="str">
        <f>HYPERLINK("https://ceds.ed.gov/cedselementdetails.aspx?termid=18282")</f>
        <v>https://ceds.ed.gov/cedselementdetails.aspx?termid=18282</v>
      </c>
      <c r="Q2623" s="14" t="str">
        <f>HYPERLINK("https://ceds.ed.gov/elementComment.aspx?elementName=Course Total &amp;elementID=18282", "Click here to submit comment")</f>
        <v>Click here to submit comment</v>
      </c>
      <c r="R2623" s="14">
        <v>50119</v>
      </c>
    </row>
    <row r="2624" spans="1:18" ht="105" x14ac:dyDescent="0.25">
      <c r="A2624" s="16" t="s">
        <v>8974</v>
      </c>
      <c r="B2624" s="16" t="s">
        <v>9004</v>
      </c>
      <c r="C2624" s="16" t="s">
        <v>8850</v>
      </c>
      <c r="D2624" s="16" t="s">
        <v>8531</v>
      </c>
      <c r="E2624" s="16" t="s">
        <v>7098</v>
      </c>
      <c r="F2624" s="16" t="s">
        <v>7099</v>
      </c>
      <c r="G2624" s="16" t="s">
        <v>37</v>
      </c>
      <c r="H2624" s="16" t="s">
        <v>2944</v>
      </c>
      <c r="I2624" s="16"/>
      <c r="J2624" s="16" t="s">
        <v>149</v>
      </c>
      <c r="K2624" s="16"/>
      <c r="L2624" s="14" t="s">
        <v>150</v>
      </c>
      <c r="M2624" s="16" t="s">
        <v>7101</v>
      </c>
      <c r="N2624" s="16"/>
      <c r="O2624" s="16" t="s">
        <v>7102</v>
      </c>
      <c r="P2624" s="16" t="str">
        <f>HYPERLINK("https://ceds.ed.gov/cedselementdetails.aspx?termid=17618")</f>
        <v>https://ceds.ed.gov/cedselementdetails.aspx?termid=17618</v>
      </c>
      <c r="Q2624" s="16" t="str">
        <f>HYPERLINK("https://ceds.ed.gov/elementComment.aspx?elementName=Program Identifier &amp;elementID=17618", "Click here to submit comment")</f>
        <v>Click here to submit comment</v>
      </c>
      <c r="R2624" s="16">
        <v>51008</v>
      </c>
    </row>
    <row r="2625" spans="1:18" x14ac:dyDescent="0.25">
      <c r="A2625" s="16"/>
      <c r="B2625" s="16"/>
      <c r="C2625" s="16"/>
      <c r="D2625" s="16"/>
      <c r="E2625" s="16"/>
      <c r="F2625" s="16"/>
      <c r="G2625" s="16"/>
      <c r="H2625" s="16"/>
      <c r="I2625" s="16"/>
      <c r="J2625" s="16"/>
      <c r="K2625" s="16"/>
      <c r="L2625" s="14"/>
      <c r="M2625" s="16"/>
      <c r="N2625" s="16"/>
      <c r="O2625" s="16"/>
      <c r="P2625" s="16"/>
      <c r="Q2625" s="16"/>
      <c r="R2625" s="16"/>
    </row>
    <row r="2626" spans="1:18" ht="90" x14ac:dyDescent="0.25">
      <c r="A2626" s="16"/>
      <c r="B2626" s="16"/>
      <c r="C2626" s="16"/>
      <c r="D2626" s="16"/>
      <c r="E2626" s="16"/>
      <c r="F2626" s="16"/>
      <c r="G2626" s="16"/>
      <c r="H2626" s="16"/>
      <c r="I2626" s="16"/>
      <c r="J2626" s="16"/>
      <c r="K2626" s="16"/>
      <c r="L2626" s="14" t="s">
        <v>153</v>
      </c>
      <c r="M2626" s="16"/>
      <c r="N2626" s="16"/>
      <c r="O2626" s="16"/>
      <c r="P2626" s="16"/>
      <c r="Q2626" s="16"/>
      <c r="R2626" s="16"/>
    </row>
    <row r="2627" spans="1:18" ht="75" x14ac:dyDescent="0.25">
      <c r="A2627" s="14" t="s">
        <v>8974</v>
      </c>
      <c r="B2627" s="14" t="s">
        <v>9004</v>
      </c>
      <c r="C2627" s="14" t="s">
        <v>8850</v>
      </c>
      <c r="D2627" s="14" t="s">
        <v>8531</v>
      </c>
      <c r="E2627" s="14" t="s">
        <v>2365</v>
      </c>
      <c r="F2627" s="14" t="s">
        <v>2366</v>
      </c>
      <c r="G2627" s="14" t="s">
        <v>8526</v>
      </c>
      <c r="H2627" s="14" t="s">
        <v>48</v>
      </c>
      <c r="I2627" s="14"/>
      <c r="J2627" s="14"/>
      <c r="K2627" s="14"/>
      <c r="L2627" s="14"/>
      <c r="M2627" s="14" t="s">
        <v>2368</v>
      </c>
      <c r="N2627" s="14" t="s">
        <v>2369</v>
      </c>
      <c r="O2627" s="14" t="s">
        <v>2370</v>
      </c>
      <c r="P2627" s="14" t="str">
        <f>HYPERLINK("https://ceds.ed.gov/cedselementdetails.aspx?termid=17043")</f>
        <v>https://ceds.ed.gov/cedselementdetails.aspx?termid=17043</v>
      </c>
      <c r="Q2627" s="14" t="str">
        <f>HYPERLINK("https://ceds.ed.gov/elementComment.aspx?elementName=Classification of Instructional Program Code &amp;elementID=17043", "Click here to submit comment")</f>
        <v>Click here to submit comment</v>
      </c>
      <c r="R2627" s="14">
        <v>50952</v>
      </c>
    </row>
    <row r="2628" spans="1:18" ht="45" x14ac:dyDescent="0.25">
      <c r="A2628" s="14" t="s">
        <v>8974</v>
      </c>
      <c r="B2628" s="14" t="s">
        <v>9004</v>
      </c>
      <c r="C2628" s="14" t="s">
        <v>8850</v>
      </c>
      <c r="D2628" s="14" t="s">
        <v>8531</v>
      </c>
      <c r="E2628" s="14" t="s">
        <v>60</v>
      </c>
      <c r="F2628" s="14" t="s">
        <v>61</v>
      </c>
      <c r="G2628" s="14" t="s">
        <v>37</v>
      </c>
      <c r="H2628" s="14" t="s">
        <v>65</v>
      </c>
      <c r="I2628" s="14"/>
      <c r="J2628" s="14" t="s">
        <v>62</v>
      </c>
      <c r="K2628" s="14"/>
      <c r="L2628" s="14"/>
      <c r="M2628" s="14" t="s">
        <v>63</v>
      </c>
      <c r="N2628" s="14"/>
      <c r="O2628" s="14" t="s">
        <v>64</v>
      </c>
      <c r="P2628" s="14" t="str">
        <f>HYPERLINK("https://ceds.ed.gov/cedselementdetails.aspx?termid=17003")</f>
        <v>https://ceds.ed.gov/cedselementdetails.aspx?termid=17003</v>
      </c>
      <c r="Q2628" s="14" t="str">
        <f>HYPERLINK("https://ceds.ed.gov/elementComment.aspx?elementName=Academic Award Title &amp;elementID=17003", "Click here to submit comment")</f>
        <v>Click here to submit comment</v>
      </c>
      <c r="R2628" s="14">
        <v>50941</v>
      </c>
    </row>
    <row r="2629" spans="1:18" ht="409.5" x14ac:dyDescent="0.25">
      <c r="A2629" s="14" t="s">
        <v>8974</v>
      </c>
      <c r="B2629" s="14" t="s">
        <v>9004</v>
      </c>
      <c r="C2629" s="14" t="s">
        <v>8850</v>
      </c>
      <c r="D2629" s="14" t="s">
        <v>8531</v>
      </c>
      <c r="E2629" s="14" t="s">
        <v>6753</v>
      </c>
      <c r="F2629" s="14" t="s">
        <v>44</v>
      </c>
      <c r="G2629" s="8" t="s">
        <v>9033</v>
      </c>
      <c r="H2629" s="14"/>
      <c r="I2629" s="14" t="s">
        <v>195</v>
      </c>
      <c r="J2629" s="14"/>
      <c r="K2629" s="14" t="s">
        <v>6755</v>
      </c>
      <c r="L2629" s="14"/>
      <c r="M2629" s="14" t="s">
        <v>6756</v>
      </c>
      <c r="N2629" s="14"/>
      <c r="O2629" s="14" t="s">
        <v>6757</v>
      </c>
      <c r="P2629" s="14" t="str">
        <f>HYPERLINK("https://ceds.ed.gov/cedselementdetails.aspx?termid=18649")</f>
        <v>https://ceds.ed.gov/cedselementdetails.aspx?termid=18649</v>
      </c>
      <c r="Q2629" s="14" t="str">
        <f>HYPERLINK("https://ceds.ed.gov/elementComment.aspx?elementName=PESC Award Level Type &amp;elementID=18649", "Click here to submit comment")</f>
        <v>Click here to submit comment</v>
      </c>
      <c r="R2629" s="14">
        <v>51988</v>
      </c>
    </row>
    <row r="2630" spans="1:18" ht="60" x14ac:dyDescent="0.25">
      <c r="A2630" s="14" t="s">
        <v>8974</v>
      </c>
      <c r="B2630" s="14" t="s">
        <v>9004</v>
      </c>
      <c r="C2630" s="14" t="s">
        <v>8850</v>
      </c>
      <c r="D2630" s="14" t="s">
        <v>8531</v>
      </c>
      <c r="E2630" s="14" t="s">
        <v>35</v>
      </c>
      <c r="F2630" s="14" t="s">
        <v>36</v>
      </c>
      <c r="G2630" s="14" t="s">
        <v>37</v>
      </c>
      <c r="H2630" s="14" t="s">
        <v>42</v>
      </c>
      <c r="I2630" s="14"/>
      <c r="J2630" s="14" t="s">
        <v>39</v>
      </c>
      <c r="K2630" s="14"/>
      <c r="L2630" s="14"/>
      <c r="M2630" s="14" t="s">
        <v>40</v>
      </c>
      <c r="N2630" s="14"/>
      <c r="O2630" s="14" t="s">
        <v>41</v>
      </c>
      <c r="P2630" s="14" t="str">
        <f>HYPERLINK("https://ceds.ed.gov/cedselementdetails.aspx?termid=17001")</f>
        <v>https://ceds.ed.gov/cedselementdetails.aspx?termid=17001</v>
      </c>
      <c r="Q2630" s="14" t="str">
        <f>HYPERLINK("https://ceds.ed.gov/elementComment.aspx?elementName=Academic Award Date &amp;elementID=17001", "Click here to submit comment")</f>
        <v>Click here to submit comment</v>
      </c>
      <c r="R2630" s="14">
        <v>47725</v>
      </c>
    </row>
    <row r="2631" spans="1:18" ht="135" x14ac:dyDescent="0.25">
      <c r="A2631" s="14" t="s">
        <v>8974</v>
      </c>
      <c r="B2631" s="14" t="s">
        <v>9004</v>
      </c>
      <c r="C2631" s="14" t="s">
        <v>8850</v>
      </c>
      <c r="D2631" s="14" t="s">
        <v>8531</v>
      </c>
      <c r="E2631" s="14" t="s">
        <v>3551</v>
      </c>
      <c r="F2631" s="14" t="s">
        <v>3552</v>
      </c>
      <c r="G2631" s="14" t="s">
        <v>37</v>
      </c>
      <c r="H2631" s="14" t="s">
        <v>3557</v>
      </c>
      <c r="I2631" s="14"/>
      <c r="J2631" s="14" t="s">
        <v>3554</v>
      </c>
      <c r="K2631" s="14"/>
      <c r="L2631" s="14"/>
      <c r="M2631" s="14" t="s">
        <v>3555</v>
      </c>
      <c r="N2631" s="14"/>
      <c r="O2631" s="14" t="s">
        <v>3556</v>
      </c>
      <c r="P2631" s="14" t="str">
        <f>HYPERLINK("https://ceds.ed.gov/cedselementdetails.aspx?termid=17081")</f>
        <v>https://ceds.ed.gov/cedselementdetails.aspx?termid=17081</v>
      </c>
      <c r="Q2631" s="14" t="str">
        <f>HYPERLINK("https://ceds.ed.gov/elementComment.aspx?elementName=Diploma or Credential Award Date &amp;elementID=17081", "Click here to submit comment")</f>
        <v>Click here to submit comment</v>
      </c>
      <c r="R2631" s="14">
        <v>50963</v>
      </c>
    </row>
    <row r="2632" spans="1:18" ht="75" x14ac:dyDescent="0.25">
      <c r="A2632" s="14" t="s">
        <v>8974</v>
      </c>
      <c r="B2632" s="14" t="s">
        <v>9004</v>
      </c>
      <c r="C2632" s="14" t="s">
        <v>8850</v>
      </c>
      <c r="D2632" s="14" t="s">
        <v>8531</v>
      </c>
      <c r="E2632" s="14" t="s">
        <v>6799</v>
      </c>
      <c r="F2632" s="14" t="s">
        <v>6800</v>
      </c>
      <c r="G2632" s="8" t="s">
        <v>9000</v>
      </c>
      <c r="H2632" s="14" t="s">
        <v>6804</v>
      </c>
      <c r="I2632" s="14"/>
      <c r="J2632" s="14"/>
      <c r="K2632" s="14"/>
      <c r="L2632" s="14"/>
      <c r="M2632" s="14" t="s">
        <v>6802</v>
      </c>
      <c r="N2632" s="14"/>
      <c r="O2632" s="14" t="s">
        <v>6803</v>
      </c>
      <c r="P2632" s="14" t="str">
        <f>HYPERLINK("https://ceds.ed.gov/cedselementdetails.aspx?termid=18595")</f>
        <v>https://ceds.ed.gov/cedselementdetails.aspx?termid=18595</v>
      </c>
      <c r="Q2632" s="14" t="str">
        <f>HYPERLINK("https://ceds.ed.gov/elementComment.aspx?elementName=Postsecondary Program Level &amp;elementID=18595", "Click here to submit comment")</f>
        <v>Click here to submit comment</v>
      </c>
      <c r="R2632" s="14">
        <v>51093</v>
      </c>
    </row>
    <row r="2633" spans="1:18" ht="285" x14ac:dyDescent="0.25">
      <c r="A2633" s="14" t="s">
        <v>8974</v>
      </c>
      <c r="B2633" s="14" t="s">
        <v>9004</v>
      </c>
      <c r="C2633" s="14" t="s">
        <v>8850</v>
      </c>
      <c r="D2633" s="14" t="s">
        <v>8531</v>
      </c>
      <c r="E2633" s="14" t="s">
        <v>43</v>
      </c>
      <c r="F2633" s="14" t="s">
        <v>44</v>
      </c>
      <c r="G2633" s="8" t="s">
        <v>8853</v>
      </c>
      <c r="H2633" s="14" t="s">
        <v>48</v>
      </c>
      <c r="I2633" s="14"/>
      <c r="J2633" s="14"/>
      <c r="K2633" s="14"/>
      <c r="L2633" s="14"/>
      <c r="M2633" s="14" t="s">
        <v>46</v>
      </c>
      <c r="N2633" s="14"/>
      <c r="O2633" s="14" t="s">
        <v>47</v>
      </c>
      <c r="P2633" s="14" t="str">
        <f>HYPERLINK("https://ceds.ed.gov/cedselementdetails.aspx?termid=17002")</f>
        <v>https://ceds.ed.gov/cedselementdetails.aspx?termid=17002</v>
      </c>
      <c r="Q2633" s="14" t="str">
        <f>HYPERLINK("https://ceds.ed.gov/elementComment.aspx?elementName=Academic Award Level Conferred &amp;elementID=17002", "Click here to submit comment")</f>
        <v>Click here to submit comment</v>
      </c>
      <c r="R2633" s="14">
        <v>50939</v>
      </c>
    </row>
    <row r="2634" spans="1:18" ht="90" x14ac:dyDescent="0.25">
      <c r="A2634" s="14" t="s">
        <v>8974</v>
      </c>
      <c r="B2634" s="14" t="s">
        <v>9004</v>
      </c>
      <c r="C2634" s="14" t="s">
        <v>8850</v>
      </c>
      <c r="D2634" s="14" t="s">
        <v>8531</v>
      </c>
      <c r="E2634" s="14" t="s">
        <v>49</v>
      </c>
      <c r="F2634" s="14" t="s">
        <v>50</v>
      </c>
      <c r="G2634" s="8" t="s">
        <v>9034</v>
      </c>
      <c r="H2634" s="14"/>
      <c r="I2634" s="14"/>
      <c r="J2634" s="14"/>
      <c r="K2634" s="14"/>
      <c r="L2634" s="14"/>
      <c r="M2634" s="14" t="s">
        <v>53</v>
      </c>
      <c r="N2634" s="14"/>
      <c r="O2634" s="14" t="s">
        <v>54</v>
      </c>
      <c r="P2634" s="14" t="str">
        <f>HYPERLINK("https://ceds.ed.gov/cedselementdetails.aspx?termid=18647")</f>
        <v>https://ceds.ed.gov/cedselementdetails.aspx?termid=18647</v>
      </c>
      <c r="Q2634" s="14" t="str">
        <f>HYPERLINK("https://ceds.ed.gov/elementComment.aspx?elementName=Academic Award Prerequisite Type &amp;elementID=18647", "Click here to submit comment")</f>
        <v>Click here to submit comment</v>
      </c>
      <c r="R2634" s="14">
        <v>51865</v>
      </c>
    </row>
    <row r="2635" spans="1:18" ht="45" x14ac:dyDescent="0.25">
      <c r="A2635" s="14" t="s">
        <v>8974</v>
      </c>
      <c r="B2635" s="14" t="s">
        <v>9004</v>
      </c>
      <c r="C2635" s="14" t="s">
        <v>8850</v>
      </c>
      <c r="D2635" s="14" t="s">
        <v>8531</v>
      </c>
      <c r="E2635" s="14" t="s">
        <v>55</v>
      </c>
      <c r="F2635" s="14" t="s">
        <v>56</v>
      </c>
      <c r="G2635" s="14" t="s">
        <v>37</v>
      </c>
      <c r="H2635" s="14"/>
      <c r="I2635" s="14"/>
      <c r="J2635" s="14" t="s">
        <v>57</v>
      </c>
      <c r="K2635" s="14"/>
      <c r="L2635" s="14"/>
      <c r="M2635" s="14" t="s">
        <v>58</v>
      </c>
      <c r="N2635" s="14"/>
      <c r="O2635" s="14" t="s">
        <v>59</v>
      </c>
      <c r="P2635" s="14" t="str">
        <f>HYPERLINK("https://ceds.ed.gov/cedselementdetails.aspx?termid=18646")</f>
        <v>https://ceds.ed.gov/cedselementdetails.aspx?termid=18646</v>
      </c>
      <c r="Q2635" s="14" t="str">
        <f>HYPERLINK("https://ceds.ed.gov/elementComment.aspx?elementName=Academic Award Requirements URL &amp;elementID=18646", "Click here to submit comment")</f>
        <v>Click here to submit comment</v>
      </c>
      <c r="R2635" s="14">
        <v>51867</v>
      </c>
    </row>
    <row r="2636" spans="1:18" ht="135" x14ac:dyDescent="0.25">
      <c r="A2636" s="14" t="s">
        <v>8974</v>
      </c>
      <c r="B2636" s="14" t="s">
        <v>9004</v>
      </c>
      <c r="C2636" s="14" t="s">
        <v>8850</v>
      </c>
      <c r="D2636" s="14" t="s">
        <v>8531</v>
      </c>
      <c r="E2636" s="14" t="s">
        <v>2371</v>
      </c>
      <c r="F2636" s="14" t="s">
        <v>2372</v>
      </c>
      <c r="G2636" s="8" t="s">
        <v>8997</v>
      </c>
      <c r="H2636" s="14" t="s">
        <v>225</v>
      </c>
      <c r="I2636" s="14"/>
      <c r="J2636" s="14"/>
      <c r="K2636" s="14"/>
      <c r="L2636" s="14"/>
      <c r="M2636" s="14" t="s">
        <v>2375</v>
      </c>
      <c r="N2636" s="14" t="s">
        <v>2376</v>
      </c>
      <c r="O2636" s="14" t="s">
        <v>2377</v>
      </c>
      <c r="P2636" s="14" t="str">
        <f>HYPERLINK("https://ceds.ed.gov/cedselementdetails.aspx?termid=17044")</f>
        <v>https://ceds.ed.gov/cedselementdetails.aspx?termid=17044</v>
      </c>
      <c r="Q2636" s="14" t="str">
        <f>HYPERLINK("https://ceds.ed.gov/elementComment.aspx?elementName=Classification of Instructional Program Use &amp;elementID=17044", "Click here to submit comment")</f>
        <v>Click here to submit comment</v>
      </c>
      <c r="R2636" s="14">
        <v>50957</v>
      </c>
    </row>
    <row r="2637" spans="1:18" ht="90" x14ac:dyDescent="0.25">
      <c r="A2637" s="14" t="s">
        <v>8974</v>
      </c>
      <c r="B2637" s="14" t="s">
        <v>9004</v>
      </c>
      <c r="C2637" s="14" t="s">
        <v>8850</v>
      </c>
      <c r="D2637" s="14" t="s">
        <v>8531</v>
      </c>
      <c r="E2637" s="14" t="s">
        <v>2378</v>
      </c>
      <c r="F2637" s="14" t="s">
        <v>2379</v>
      </c>
      <c r="G2637" s="8" t="s">
        <v>8998</v>
      </c>
      <c r="H2637" s="14" t="s">
        <v>225</v>
      </c>
      <c r="I2637" s="14"/>
      <c r="J2637" s="14"/>
      <c r="K2637" s="14"/>
      <c r="L2637" s="14"/>
      <c r="M2637" s="14" t="s">
        <v>2382</v>
      </c>
      <c r="N2637" s="14" t="s">
        <v>2383</v>
      </c>
      <c r="O2637" s="14" t="s">
        <v>2384</v>
      </c>
      <c r="P2637" s="14" t="str">
        <f>HYPERLINK("https://ceds.ed.gov/cedselementdetails.aspx?termid=17045")</f>
        <v>https://ceds.ed.gov/cedselementdetails.aspx?termid=17045</v>
      </c>
      <c r="Q2637" s="14" t="str">
        <f>HYPERLINK("https://ceds.ed.gov/elementComment.aspx?elementName=Classification of Instructional Program Version &amp;elementID=17045", "Click here to submit comment")</f>
        <v>Click here to submit comment</v>
      </c>
      <c r="R2637" s="14">
        <v>50960</v>
      </c>
    </row>
    <row r="2638" spans="1:18" ht="270" x14ac:dyDescent="0.25">
      <c r="A2638" s="14" t="s">
        <v>8974</v>
      </c>
      <c r="B2638" s="14" t="s">
        <v>9004</v>
      </c>
      <c r="C2638" s="14" t="s">
        <v>8850</v>
      </c>
      <c r="D2638" s="14" t="s">
        <v>8531</v>
      </c>
      <c r="E2638" s="14" t="s">
        <v>3347</v>
      </c>
      <c r="F2638" s="14" t="s">
        <v>3348</v>
      </c>
      <c r="G2638" s="8" t="s">
        <v>8854</v>
      </c>
      <c r="H2638" s="14"/>
      <c r="I2638" s="14"/>
      <c r="J2638" s="14"/>
      <c r="K2638" s="14"/>
      <c r="L2638" s="14"/>
      <c r="M2638" s="14" t="s">
        <v>3351</v>
      </c>
      <c r="N2638" s="14"/>
      <c r="O2638" s="14" t="s">
        <v>3352</v>
      </c>
      <c r="P2638" s="14" t="str">
        <f>HYPERLINK("https://ceds.ed.gov/cedselementdetails.aspx?termid=18283")</f>
        <v>https://ceds.ed.gov/cedselementdetails.aspx?termid=18283</v>
      </c>
      <c r="Q2638" s="14" t="str">
        <f>HYPERLINK("https://ceds.ed.gov/elementComment.aspx?elementName=Credit Hours Applied Other Program &amp;elementID=18283", "Click here to submit comment")</f>
        <v>Click here to submit comment</v>
      </c>
      <c r="R2638" s="14">
        <v>50121</v>
      </c>
    </row>
    <row r="2639" spans="1:18" ht="150" x14ac:dyDescent="0.25">
      <c r="A2639" s="14" t="s">
        <v>8974</v>
      </c>
      <c r="B2639" s="14" t="s">
        <v>9004</v>
      </c>
      <c r="C2639" s="14" t="s">
        <v>8850</v>
      </c>
      <c r="D2639" s="14" t="s">
        <v>8531</v>
      </c>
      <c r="E2639" s="14" t="s">
        <v>3675</v>
      </c>
      <c r="F2639" s="14" t="s">
        <v>3676</v>
      </c>
      <c r="G2639" s="8" t="s">
        <v>9035</v>
      </c>
      <c r="H2639" s="14"/>
      <c r="I2639" s="14"/>
      <c r="J2639" s="14"/>
      <c r="K2639" s="14"/>
      <c r="L2639" s="6" t="s">
        <v>3679</v>
      </c>
      <c r="M2639" s="14" t="s">
        <v>3680</v>
      </c>
      <c r="N2639" s="14"/>
      <c r="O2639" s="14" t="s">
        <v>3681</v>
      </c>
      <c r="P2639" s="14" t="str">
        <f>HYPERLINK("https://ceds.ed.gov/cedselementdetails.aspx?termid=18622")</f>
        <v>https://ceds.ed.gov/cedselementdetails.aspx?termid=18622</v>
      </c>
      <c r="Q2639" s="14" t="str">
        <f>HYPERLINK("https://ceds.ed.gov/elementComment.aspx?elementName=DQP Categories of Learning &amp;elementID=18622", "Click here to submit comment")</f>
        <v>Click here to submit comment</v>
      </c>
      <c r="R2639" s="14">
        <v>51313</v>
      </c>
    </row>
    <row r="2640" spans="1:18" ht="195" x14ac:dyDescent="0.25">
      <c r="A2640" s="14" t="s">
        <v>8974</v>
      </c>
      <c r="B2640" s="14" t="s">
        <v>9004</v>
      </c>
      <c r="C2640" s="14" t="s">
        <v>8850</v>
      </c>
      <c r="D2640" s="14" t="s">
        <v>8531</v>
      </c>
      <c r="E2640" s="14" t="s">
        <v>7051</v>
      </c>
      <c r="F2640" s="14" t="s">
        <v>7052</v>
      </c>
      <c r="G2640" s="8" t="s">
        <v>8855</v>
      </c>
      <c r="H2640" s="14"/>
      <c r="I2640" s="14"/>
      <c r="J2640" s="14"/>
      <c r="K2640" s="14"/>
      <c r="L2640" s="14"/>
      <c r="M2640" s="14" t="s">
        <v>7055</v>
      </c>
      <c r="N2640" s="14"/>
      <c r="O2640" s="14" t="s">
        <v>7056</v>
      </c>
      <c r="P2640" s="14" t="str">
        <f>HYPERLINK("https://ceds.ed.gov/cedselementdetails.aspx?termid=17780")</f>
        <v>https://ceds.ed.gov/cedselementdetails.aspx?termid=17780</v>
      </c>
      <c r="Q2640" s="14" t="str">
        <f>HYPERLINK("https://ceds.ed.gov/elementComment.aspx?elementName=Professional or Technical Credential Conferred &amp;elementID=17780", "Click here to submit comment")</f>
        <v>Click here to submit comment</v>
      </c>
      <c r="R2640" s="14">
        <v>51016</v>
      </c>
    </row>
    <row r="2641" spans="1:18" ht="105" x14ac:dyDescent="0.25">
      <c r="A2641" s="16" t="s">
        <v>8974</v>
      </c>
      <c r="B2641" s="16" t="s">
        <v>9004</v>
      </c>
      <c r="C2641" s="16" t="s">
        <v>9043</v>
      </c>
      <c r="D2641" s="16" t="s">
        <v>8531</v>
      </c>
      <c r="E2641" s="16" t="s">
        <v>6711</v>
      </c>
      <c r="F2641" s="16" t="s">
        <v>6712</v>
      </c>
      <c r="G2641" s="16" t="s">
        <v>37</v>
      </c>
      <c r="H2641" s="16"/>
      <c r="I2641" s="16"/>
      <c r="J2641" s="16" t="s">
        <v>149</v>
      </c>
      <c r="K2641" s="16"/>
      <c r="L2641" s="14" t="s">
        <v>150</v>
      </c>
      <c r="M2641" s="16" t="s">
        <v>6713</v>
      </c>
      <c r="N2641" s="16"/>
      <c r="O2641" s="16" t="s">
        <v>6714</v>
      </c>
      <c r="P2641" s="16" t="str">
        <f>HYPERLINK("https://ceds.ed.gov/cedselementdetails.aspx?termid=18551")</f>
        <v>https://ceds.ed.gov/cedselementdetails.aspx?termid=18551</v>
      </c>
      <c r="Q2641" s="16" t="str">
        <f>HYPERLINK("https://ceds.ed.gov/elementComment.aspx?elementName=Person Identifier &amp;elementID=18551", "Click here to submit comment")</f>
        <v>Click here to submit comment</v>
      </c>
      <c r="R2641" s="16">
        <v>51849</v>
      </c>
    </row>
    <row r="2642" spans="1:18" x14ac:dyDescent="0.25">
      <c r="A2642" s="16"/>
      <c r="B2642" s="16"/>
      <c r="C2642" s="16"/>
      <c r="D2642" s="16"/>
      <c r="E2642" s="16"/>
      <c r="F2642" s="16"/>
      <c r="G2642" s="16"/>
      <c r="H2642" s="16"/>
      <c r="I2642" s="16"/>
      <c r="J2642" s="16"/>
      <c r="K2642" s="16"/>
      <c r="L2642" s="14"/>
      <c r="M2642" s="16"/>
      <c r="N2642" s="16"/>
      <c r="O2642" s="16"/>
      <c r="P2642" s="16"/>
      <c r="Q2642" s="16"/>
      <c r="R2642" s="16"/>
    </row>
    <row r="2643" spans="1:18" ht="90" x14ac:dyDescent="0.25">
      <c r="A2643" s="16"/>
      <c r="B2643" s="16"/>
      <c r="C2643" s="16"/>
      <c r="D2643" s="16"/>
      <c r="E2643" s="16"/>
      <c r="F2643" s="16"/>
      <c r="G2643" s="16"/>
      <c r="H2643" s="16"/>
      <c r="I2643" s="16"/>
      <c r="J2643" s="16"/>
      <c r="K2643" s="16"/>
      <c r="L2643" s="14" t="s">
        <v>153</v>
      </c>
      <c r="M2643" s="16"/>
      <c r="N2643" s="16"/>
      <c r="O2643" s="16"/>
      <c r="P2643" s="16"/>
      <c r="Q2643" s="16"/>
      <c r="R2643" s="16"/>
    </row>
    <row r="2644" spans="1:18" ht="375" x14ac:dyDescent="0.25">
      <c r="A2644" s="14" t="s">
        <v>8974</v>
      </c>
      <c r="B2644" s="14" t="s">
        <v>9004</v>
      </c>
      <c r="C2644" s="14" t="s">
        <v>9043</v>
      </c>
      <c r="D2644" s="14" t="s">
        <v>8531</v>
      </c>
      <c r="E2644" s="14" t="s">
        <v>6705</v>
      </c>
      <c r="F2644" s="14" t="s">
        <v>6706</v>
      </c>
      <c r="G2644" s="8" t="s">
        <v>8676</v>
      </c>
      <c r="H2644" s="14"/>
      <c r="I2644" s="14"/>
      <c r="J2644" s="14"/>
      <c r="K2644" s="14"/>
      <c r="L2644" s="14"/>
      <c r="M2644" s="14" t="s">
        <v>6709</v>
      </c>
      <c r="N2644" s="14"/>
      <c r="O2644" s="14" t="s">
        <v>6710</v>
      </c>
      <c r="P2644" s="14" t="str">
        <f>HYPERLINK("https://ceds.ed.gov/cedselementdetails.aspx?termid=18550")</f>
        <v>https://ceds.ed.gov/cedselementdetails.aspx?termid=18550</v>
      </c>
      <c r="Q2644" s="14" t="str">
        <f>HYPERLINK("https://ceds.ed.gov/elementComment.aspx?elementName=Person Identification System &amp;elementID=18550", "Click here to submit comment")</f>
        <v>Click here to submit comment</v>
      </c>
      <c r="R2644" s="14">
        <v>51840</v>
      </c>
    </row>
    <row r="2645" spans="1:18" ht="105" x14ac:dyDescent="0.25">
      <c r="A2645" s="16" t="s">
        <v>8974</v>
      </c>
      <c r="B2645" s="16" t="s">
        <v>9004</v>
      </c>
      <c r="C2645" s="16" t="s">
        <v>9044</v>
      </c>
      <c r="D2645" s="16" t="s">
        <v>8531</v>
      </c>
      <c r="E2645" s="16" t="s">
        <v>6711</v>
      </c>
      <c r="F2645" s="16" t="s">
        <v>6712</v>
      </c>
      <c r="G2645" s="16" t="s">
        <v>37</v>
      </c>
      <c r="H2645" s="16"/>
      <c r="I2645" s="16"/>
      <c r="J2645" s="16" t="s">
        <v>149</v>
      </c>
      <c r="K2645" s="16"/>
      <c r="L2645" s="14" t="s">
        <v>150</v>
      </c>
      <c r="M2645" s="16" t="s">
        <v>6713</v>
      </c>
      <c r="N2645" s="16"/>
      <c r="O2645" s="16" t="s">
        <v>6714</v>
      </c>
      <c r="P2645" s="16" t="str">
        <f>HYPERLINK("https://ceds.ed.gov/cedselementdetails.aspx?termid=18551")</f>
        <v>https://ceds.ed.gov/cedselementdetails.aspx?termid=18551</v>
      </c>
      <c r="Q2645" s="16" t="str">
        <f>HYPERLINK("https://ceds.ed.gov/elementComment.aspx?elementName=Person Identifier &amp;elementID=18551", "Click here to submit comment")</f>
        <v>Click here to submit comment</v>
      </c>
      <c r="R2645" s="16">
        <v>51850</v>
      </c>
    </row>
    <row r="2646" spans="1:18" x14ac:dyDescent="0.25">
      <c r="A2646" s="16"/>
      <c r="B2646" s="16"/>
      <c r="C2646" s="16"/>
      <c r="D2646" s="16"/>
      <c r="E2646" s="16"/>
      <c r="F2646" s="16"/>
      <c r="G2646" s="16"/>
      <c r="H2646" s="16"/>
      <c r="I2646" s="16"/>
      <c r="J2646" s="16"/>
      <c r="K2646" s="16"/>
      <c r="L2646" s="14"/>
      <c r="M2646" s="16"/>
      <c r="N2646" s="16"/>
      <c r="O2646" s="16"/>
      <c r="P2646" s="16"/>
      <c r="Q2646" s="16"/>
      <c r="R2646" s="16"/>
    </row>
    <row r="2647" spans="1:18" ht="90" x14ac:dyDescent="0.25">
      <c r="A2647" s="16"/>
      <c r="B2647" s="16"/>
      <c r="C2647" s="16"/>
      <c r="D2647" s="16"/>
      <c r="E2647" s="16"/>
      <c r="F2647" s="16"/>
      <c r="G2647" s="16"/>
      <c r="H2647" s="16"/>
      <c r="I2647" s="16"/>
      <c r="J2647" s="16"/>
      <c r="K2647" s="16"/>
      <c r="L2647" s="14" t="s">
        <v>153</v>
      </c>
      <c r="M2647" s="16"/>
      <c r="N2647" s="16"/>
      <c r="O2647" s="16"/>
      <c r="P2647" s="16"/>
      <c r="Q2647" s="16"/>
      <c r="R2647" s="16"/>
    </row>
    <row r="2648" spans="1:18" ht="375" x14ac:dyDescent="0.25">
      <c r="A2648" s="14" t="s">
        <v>8974</v>
      </c>
      <c r="B2648" s="14" t="s">
        <v>9004</v>
      </c>
      <c r="C2648" s="14" t="s">
        <v>9044</v>
      </c>
      <c r="D2648" s="14" t="s">
        <v>8531</v>
      </c>
      <c r="E2648" s="14" t="s">
        <v>6705</v>
      </c>
      <c r="F2648" s="14" t="s">
        <v>6706</v>
      </c>
      <c r="G2648" s="8" t="s">
        <v>8676</v>
      </c>
      <c r="H2648" s="14"/>
      <c r="I2648" s="14"/>
      <c r="J2648" s="14"/>
      <c r="K2648" s="14"/>
      <c r="L2648" s="14"/>
      <c r="M2648" s="14" t="s">
        <v>6709</v>
      </c>
      <c r="N2648" s="14"/>
      <c r="O2648" s="14" t="s">
        <v>6710</v>
      </c>
      <c r="P2648" s="14" t="str">
        <f>HYPERLINK("https://ceds.ed.gov/cedselementdetails.aspx?termid=18550")</f>
        <v>https://ceds.ed.gov/cedselementdetails.aspx?termid=18550</v>
      </c>
      <c r="Q2648" s="14" t="str">
        <f>HYPERLINK("https://ceds.ed.gov/elementComment.aspx?elementName=Person Identification System &amp;elementID=18550", "Click here to submit comment")</f>
        <v>Click here to submit comment</v>
      </c>
      <c r="R2648" s="14">
        <v>51841</v>
      </c>
    </row>
    <row r="2649" spans="1:18" ht="105" x14ac:dyDescent="0.25">
      <c r="A2649" s="16" t="s">
        <v>8974</v>
      </c>
      <c r="B2649" s="16" t="s">
        <v>9004</v>
      </c>
      <c r="C2649" s="16" t="s">
        <v>8849</v>
      </c>
      <c r="D2649" s="16" t="s">
        <v>8531</v>
      </c>
      <c r="E2649" s="16" t="s">
        <v>147</v>
      </c>
      <c r="F2649" s="16" t="s">
        <v>148</v>
      </c>
      <c r="G2649" s="16" t="s">
        <v>37</v>
      </c>
      <c r="H2649" s="16" t="s">
        <v>72</v>
      </c>
      <c r="I2649" s="16"/>
      <c r="J2649" s="16" t="s">
        <v>149</v>
      </c>
      <c r="K2649" s="16"/>
      <c r="L2649" s="14" t="s">
        <v>150</v>
      </c>
      <c r="M2649" s="16" t="s">
        <v>151</v>
      </c>
      <c r="N2649" s="16"/>
      <c r="O2649" s="16" t="s">
        <v>152</v>
      </c>
      <c r="P2649" s="16" t="str">
        <f>HYPERLINK("https://ceds.ed.gov/cedselementdetails.aspx?termid=17006")</f>
        <v>https://ceds.ed.gov/cedselementdetails.aspx?termid=17006</v>
      </c>
      <c r="Q2649" s="16" t="str">
        <f>HYPERLINK("https://ceds.ed.gov/elementComment.aspx?elementName=Activity Identifier &amp;elementID=17006", "Click here to submit comment")</f>
        <v>Click here to submit comment</v>
      </c>
      <c r="R2649" s="16">
        <v>51455</v>
      </c>
    </row>
    <row r="2650" spans="1:18" x14ac:dyDescent="0.25">
      <c r="A2650" s="16"/>
      <c r="B2650" s="16"/>
      <c r="C2650" s="16"/>
      <c r="D2650" s="16"/>
      <c r="E2650" s="16"/>
      <c r="F2650" s="16"/>
      <c r="G2650" s="16"/>
      <c r="H2650" s="16"/>
      <c r="I2650" s="16"/>
      <c r="J2650" s="16"/>
      <c r="K2650" s="16"/>
      <c r="L2650" s="14"/>
      <c r="M2650" s="16"/>
      <c r="N2650" s="16"/>
      <c r="O2650" s="16"/>
      <c r="P2650" s="16"/>
      <c r="Q2650" s="16"/>
      <c r="R2650" s="16"/>
    </row>
    <row r="2651" spans="1:18" ht="90" x14ac:dyDescent="0.25">
      <c r="A2651" s="16"/>
      <c r="B2651" s="16"/>
      <c r="C2651" s="16"/>
      <c r="D2651" s="16"/>
      <c r="E2651" s="16"/>
      <c r="F2651" s="16"/>
      <c r="G2651" s="16"/>
      <c r="H2651" s="16"/>
      <c r="I2651" s="16"/>
      <c r="J2651" s="16"/>
      <c r="K2651" s="16"/>
      <c r="L2651" s="14" t="s">
        <v>153</v>
      </c>
      <c r="M2651" s="16"/>
      <c r="N2651" s="16"/>
      <c r="O2651" s="16"/>
      <c r="P2651" s="16"/>
      <c r="Q2651" s="16"/>
      <c r="R2651" s="16"/>
    </row>
    <row r="2652" spans="1:18" ht="90" x14ac:dyDescent="0.25">
      <c r="A2652" s="14" t="s">
        <v>8974</v>
      </c>
      <c r="B2652" s="14" t="s">
        <v>9004</v>
      </c>
      <c r="C2652" s="14" t="s">
        <v>8849</v>
      </c>
      <c r="D2652" s="14" t="s">
        <v>8531</v>
      </c>
      <c r="E2652" s="14" t="s">
        <v>173</v>
      </c>
      <c r="F2652" s="14" t="s">
        <v>174</v>
      </c>
      <c r="G2652" s="14" t="s">
        <v>37</v>
      </c>
      <c r="H2652" s="14" t="s">
        <v>72</v>
      </c>
      <c r="I2652" s="14"/>
      <c r="J2652" s="14" t="s">
        <v>175</v>
      </c>
      <c r="K2652" s="14"/>
      <c r="L2652" s="14"/>
      <c r="M2652" s="14" t="s">
        <v>176</v>
      </c>
      <c r="N2652" s="14"/>
      <c r="O2652" s="14" t="s">
        <v>177</v>
      </c>
      <c r="P2652" s="14" t="str">
        <f>HYPERLINK("https://ceds.ed.gov/cedselementdetails.aspx?termid=17009")</f>
        <v>https://ceds.ed.gov/cedselementdetails.aspx?termid=17009</v>
      </c>
      <c r="Q2652" s="14" t="str">
        <f>HYPERLINK("https://ceds.ed.gov/elementComment.aspx?elementName=Activity Title &amp;elementID=17009", "Click here to submit comment")</f>
        <v>Click here to submit comment</v>
      </c>
      <c r="R2652" s="14">
        <v>51457</v>
      </c>
    </row>
    <row r="2653" spans="1:18" ht="90" x14ac:dyDescent="0.25">
      <c r="A2653" s="14" t="s">
        <v>8974</v>
      </c>
      <c r="B2653" s="14" t="s">
        <v>9004</v>
      </c>
      <c r="C2653" s="14" t="s">
        <v>8849</v>
      </c>
      <c r="D2653" s="14" t="s">
        <v>8531</v>
      </c>
      <c r="E2653" s="14" t="s">
        <v>142</v>
      </c>
      <c r="F2653" s="14" t="s">
        <v>143</v>
      </c>
      <c r="G2653" s="14" t="s">
        <v>37</v>
      </c>
      <c r="H2653" s="14"/>
      <c r="I2653" s="14"/>
      <c r="J2653" s="14" t="s">
        <v>129</v>
      </c>
      <c r="K2653" s="14"/>
      <c r="L2653" s="14"/>
      <c r="M2653" s="14" t="s">
        <v>145</v>
      </c>
      <c r="N2653" s="14"/>
      <c r="O2653" s="14" t="s">
        <v>146</v>
      </c>
      <c r="P2653" s="14" t="str">
        <f>HYPERLINK("https://ceds.ed.gov/cedselementdetails.aspx?termid=18505")</f>
        <v>https://ceds.ed.gov/cedselementdetails.aspx?termid=18505</v>
      </c>
      <c r="Q2653" s="14" t="str">
        <f>HYPERLINK("https://ceds.ed.gov/elementComment.aspx?elementName=Activity Description &amp;elementID=18505", "Click here to submit comment")</f>
        <v>Click here to submit comment</v>
      </c>
      <c r="R2653" s="14">
        <v>51458</v>
      </c>
    </row>
    <row r="2654" spans="1:18" ht="90" x14ac:dyDescent="0.25">
      <c r="A2654" s="14" t="s">
        <v>8974</v>
      </c>
      <c r="B2654" s="14" t="s">
        <v>9004</v>
      </c>
      <c r="C2654" s="14" t="s">
        <v>8849</v>
      </c>
      <c r="D2654" s="14" t="s">
        <v>8531</v>
      </c>
      <c r="E2654" s="14" t="s">
        <v>154</v>
      </c>
      <c r="F2654" s="14" t="s">
        <v>155</v>
      </c>
      <c r="G2654" s="14" t="s">
        <v>37</v>
      </c>
      <c r="H2654" s="14" t="s">
        <v>72</v>
      </c>
      <c r="I2654" s="14"/>
      <c r="J2654" s="14" t="s">
        <v>135</v>
      </c>
      <c r="K2654" s="14"/>
      <c r="L2654" s="14"/>
      <c r="M2654" s="14" t="s">
        <v>156</v>
      </c>
      <c r="N2654" s="14"/>
      <c r="O2654" s="14" t="s">
        <v>157</v>
      </c>
      <c r="P2654" s="14" t="str">
        <f>HYPERLINK("https://ceds.ed.gov/cedselementdetails.aspx?termid=17007")</f>
        <v>https://ceds.ed.gov/cedselementdetails.aspx?termid=17007</v>
      </c>
      <c r="Q2654" s="14" t="str">
        <f>HYPERLINK("https://ceds.ed.gov/elementComment.aspx?elementName=Activity Involvement Begin Date &amp;elementID=17007", "Click here to submit comment")</f>
        <v>Click here to submit comment</v>
      </c>
      <c r="R2654" s="14">
        <v>51456</v>
      </c>
    </row>
    <row r="2655" spans="1:18" ht="90" x14ac:dyDescent="0.25">
      <c r="A2655" s="14" t="s">
        <v>8974</v>
      </c>
      <c r="B2655" s="14" t="s">
        <v>9004</v>
      </c>
      <c r="C2655" s="14" t="s">
        <v>8849</v>
      </c>
      <c r="D2655" s="14" t="s">
        <v>8531</v>
      </c>
      <c r="E2655" s="14" t="s">
        <v>158</v>
      </c>
      <c r="F2655" s="14" t="s">
        <v>159</v>
      </c>
      <c r="G2655" s="14" t="s">
        <v>37</v>
      </c>
      <c r="H2655" s="14" t="s">
        <v>72</v>
      </c>
      <c r="I2655" s="14"/>
      <c r="J2655" s="14" t="s">
        <v>135</v>
      </c>
      <c r="K2655" s="14"/>
      <c r="L2655" s="14" t="s">
        <v>160</v>
      </c>
      <c r="M2655" s="14" t="s">
        <v>161</v>
      </c>
      <c r="N2655" s="14"/>
      <c r="O2655" s="14" t="s">
        <v>162</v>
      </c>
      <c r="P2655" s="14" t="str">
        <f>HYPERLINK("https://ceds.ed.gov/cedselementdetails.aspx?termid=17008")</f>
        <v>https://ceds.ed.gov/cedselementdetails.aspx?termid=17008</v>
      </c>
      <c r="Q2655" s="14" t="str">
        <f>HYPERLINK("https://ceds.ed.gov/elementComment.aspx?elementName=Activity Involvement End Date &amp;elementID=17008", "Click here to submit comment")</f>
        <v>Click here to submit comment</v>
      </c>
      <c r="R2655" s="14">
        <v>51459</v>
      </c>
    </row>
    <row r="2656" spans="1:18" ht="90" x14ac:dyDescent="0.25">
      <c r="A2656" s="14" t="s">
        <v>8974</v>
      </c>
      <c r="B2656" s="14" t="s">
        <v>9004</v>
      </c>
      <c r="C2656" s="14" t="s">
        <v>8849</v>
      </c>
      <c r="D2656" s="14" t="s">
        <v>8531</v>
      </c>
      <c r="E2656" s="14" t="s">
        <v>163</v>
      </c>
      <c r="F2656" s="14" t="s">
        <v>164</v>
      </c>
      <c r="G2656" s="14" t="s">
        <v>37</v>
      </c>
      <c r="H2656" s="14"/>
      <c r="I2656" s="14"/>
      <c r="J2656" s="14" t="s">
        <v>165</v>
      </c>
      <c r="K2656" s="14"/>
      <c r="L2656" s="14"/>
      <c r="M2656" s="14" t="s">
        <v>166</v>
      </c>
      <c r="N2656" s="14"/>
      <c r="O2656" s="14" t="s">
        <v>167</v>
      </c>
      <c r="P2656" s="14" t="str">
        <f>HYPERLINK("https://ceds.ed.gov/cedselementdetails.aspx?termid=18502")</f>
        <v>https://ceds.ed.gov/cedselementdetails.aspx?termid=18502</v>
      </c>
      <c r="Q2656" s="14" t="str">
        <f>HYPERLINK("https://ceds.ed.gov/elementComment.aspx?elementName=Activity Time Involved &amp;elementID=18502", "Click here to submit comment")</f>
        <v>Click here to submit comment</v>
      </c>
      <c r="R2656" s="14">
        <v>51460</v>
      </c>
    </row>
    <row r="2657" spans="1:18" ht="105" x14ac:dyDescent="0.25">
      <c r="A2657" s="14" t="s">
        <v>8974</v>
      </c>
      <c r="B2657" s="14" t="s">
        <v>9004</v>
      </c>
      <c r="C2657" s="14" t="s">
        <v>8849</v>
      </c>
      <c r="D2657" s="14" t="s">
        <v>8531</v>
      </c>
      <c r="E2657" s="14" t="s">
        <v>168</v>
      </c>
      <c r="F2657" s="14" t="s">
        <v>169</v>
      </c>
      <c r="G2657" s="8" t="s">
        <v>8827</v>
      </c>
      <c r="H2657" s="14"/>
      <c r="I2657" s="14"/>
      <c r="J2657" s="14"/>
      <c r="K2657" s="14"/>
      <c r="L2657" s="14"/>
      <c r="M2657" s="14" t="s">
        <v>171</v>
      </c>
      <c r="N2657" s="14"/>
      <c r="O2657" s="14" t="s">
        <v>172</v>
      </c>
      <c r="P2657" s="14" t="str">
        <f>HYPERLINK("https://ceds.ed.gov/cedselementdetails.aspx?termid=18503")</f>
        <v>https://ceds.ed.gov/cedselementdetails.aspx?termid=18503</v>
      </c>
      <c r="Q2657" s="14" t="str">
        <f>HYPERLINK("https://ceds.ed.gov/elementComment.aspx?elementName=Activity Time Measurement Type &amp;elementID=18503", "Click here to submit comment")</f>
        <v>Click here to submit comment</v>
      </c>
      <c r="R2657" s="14">
        <v>51461</v>
      </c>
    </row>
    <row r="2658" spans="1:18" ht="45" x14ac:dyDescent="0.25">
      <c r="A2658" s="14" t="s">
        <v>8974</v>
      </c>
      <c r="B2658" s="14" t="s">
        <v>9004</v>
      </c>
      <c r="C2658" s="14" t="s">
        <v>9045</v>
      </c>
      <c r="D2658" s="14" t="s">
        <v>8531</v>
      </c>
      <c r="E2658" s="14" t="s">
        <v>2209</v>
      </c>
      <c r="F2658" s="14" t="s">
        <v>2210</v>
      </c>
      <c r="G2658" s="14" t="s">
        <v>37</v>
      </c>
      <c r="H2658" s="14"/>
      <c r="I2658" s="14"/>
      <c r="J2658" s="14" t="s">
        <v>135</v>
      </c>
      <c r="K2658" s="14"/>
      <c r="L2658" s="14"/>
      <c r="M2658" s="14" t="s">
        <v>2211</v>
      </c>
      <c r="N2658" s="14"/>
      <c r="O2658" s="14" t="s">
        <v>2212</v>
      </c>
      <c r="P2658" s="14" t="str">
        <f>HYPERLINK("https://ceds.ed.gov/cedselementdetails.aspx?termid=18563")</f>
        <v>https://ceds.ed.gov/cedselementdetails.aspx?termid=18563</v>
      </c>
      <c r="Q2658" s="14" t="str">
        <f>HYPERLINK("https://ceds.ed.gov/elementComment.aspx?elementName=Career Pathways Program Participation Start Date &amp;elementID=18563", "Click here to submit comment")</f>
        <v>Click here to submit comment</v>
      </c>
      <c r="R2658" s="14">
        <v>51048</v>
      </c>
    </row>
    <row r="2659" spans="1:18" ht="75" x14ac:dyDescent="0.25">
      <c r="A2659" s="14" t="s">
        <v>8974</v>
      </c>
      <c r="B2659" s="14" t="s">
        <v>9004</v>
      </c>
      <c r="C2659" s="14" t="s">
        <v>9045</v>
      </c>
      <c r="D2659" s="14" t="s">
        <v>8531</v>
      </c>
      <c r="E2659" s="14" t="s">
        <v>2200</v>
      </c>
      <c r="F2659" s="14" t="s">
        <v>2201</v>
      </c>
      <c r="G2659" s="14" t="s">
        <v>37</v>
      </c>
      <c r="H2659" s="14"/>
      <c r="I2659" s="14"/>
      <c r="J2659" s="14" t="s">
        <v>135</v>
      </c>
      <c r="K2659" s="14"/>
      <c r="L2659" s="14" t="s">
        <v>160</v>
      </c>
      <c r="M2659" s="14" t="s">
        <v>2203</v>
      </c>
      <c r="N2659" s="14"/>
      <c r="O2659" s="14" t="s">
        <v>2204</v>
      </c>
      <c r="P2659" s="14" t="str">
        <f>HYPERLINK("https://ceds.ed.gov/cedselementdetails.aspx?termid=18562")</f>
        <v>https://ceds.ed.gov/cedselementdetails.aspx?termid=18562</v>
      </c>
      <c r="Q2659" s="14" t="str">
        <f>HYPERLINK("https://ceds.ed.gov/elementComment.aspx?elementName=Career Pathways Program Participation Exit Date &amp;elementID=18562", "Click here to submit comment")</f>
        <v>Click here to submit comment</v>
      </c>
      <c r="R2659" s="14">
        <v>51041</v>
      </c>
    </row>
    <row r="2660" spans="1:18" ht="75" x14ac:dyDescent="0.25">
      <c r="A2660" s="14" t="s">
        <v>8974</v>
      </c>
      <c r="B2660" s="14" t="s">
        <v>9004</v>
      </c>
      <c r="C2660" s="14" t="s">
        <v>9045</v>
      </c>
      <c r="D2660" s="14" t="s">
        <v>8531</v>
      </c>
      <c r="E2660" s="14" t="s">
        <v>2205</v>
      </c>
      <c r="F2660" s="14" t="s">
        <v>2206</v>
      </c>
      <c r="G2660" s="14" t="s">
        <v>24</v>
      </c>
      <c r="H2660" s="14"/>
      <c r="I2660" s="14"/>
      <c r="J2660" s="14"/>
      <c r="K2660" s="14"/>
      <c r="L2660" s="14"/>
      <c r="M2660" s="14" t="s">
        <v>2207</v>
      </c>
      <c r="N2660" s="14"/>
      <c r="O2660" s="14" t="s">
        <v>2208</v>
      </c>
      <c r="P2660" s="14" t="str">
        <f>HYPERLINK("https://ceds.ed.gov/cedselementdetails.aspx?termid=18257")</f>
        <v>https://ceds.ed.gov/cedselementdetails.aspx?termid=18257</v>
      </c>
      <c r="Q2660" s="14" t="str">
        <f>HYPERLINK("https://ceds.ed.gov/elementComment.aspx?elementName=Career Pathways Program Participation Indicator &amp;elementID=18257", "Click here to submit comment")</f>
        <v>Click here to submit comment</v>
      </c>
      <c r="R2660" s="14">
        <v>51030</v>
      </c>
    </row>
    <row r="2661" spans="1:18" ht="105" x14ac:dyDescent="0.25">
      <c r="A2661" s="14" t="s">
        <v>8974</v>
      </c>
      <c r="B2661" s="14" t="s">
        <v>9004</v>
      </c>
      <c r="C2661" s="14" t="s">
        <v>9045</v>
      </c>
      <c r="D2661" s="14" t="s">
        <v>8531</v>
      </c>
      <c r="E2661" s="14" t="s">
        <v>2151</v>
      </c>
      <c r="F2661" s="14" t="s">
        <v>2152</v>
      </c>
      <c r="G2661" s="14" t="s">
        <v>24</v>
      </c>
      <c r="H2661" s="14" t="s">
        <v>2157</v>
      </c>
      <c r="I2661" s="14"/>
      <c r="J2661" s="14"/>
      <c r="K2661" s="14"/>
      <c r="L2661" s="14"/>
      <c r="M2661" s="14" t="s">
        <v>2154</v>
      </c>
      <c r="N2661" s="14" t="s">
        <v>2155</v>
      </c>
      <c r="O2661" s="14" t="s">
        <v>2156</v>
      </c>
      <c r="P2661" s="14" t="str">
        <f>HYPERLINK("https://ceds.ed.gov/cedselementdetails.aspx?termid=17037")</f>
        <v>https://ceds.ed.gov/cedselementdetails.aspx?termid=17037</v>
      </c>
      <c r="Q2661" s="14" t="str">
        <f>HYPERLINK("https://ceds.ed.gov/elementComment.aspx?elementName=Career and Technical Education Concentrator &amp;elementID=17037", "Click here to submit comment")</f>
        <v>Click here to submit comment</v>
      </c>
      <c r="R2661" s="14">
        <v>48348</v>
      </c>
    </row>
    <row r="2662" spans="1:18" ht="75" x14ac:dyDescent="0.25">
      <c r="A2662" s="14" t="s">
        <v>8974</v>
      </c>
      <c r="B2662" s="14" t="s">
        <v>9004</v>
      </c>
      <c r="C2662" s="14" t="s">
        <v>9045</v>
      </c>
      <c r="D2662" s="14" t="s">
        <v>8531</v>
      </c>
      <c r="E2662" s="14" t="s">
        <v>2177</v>
      </c>
      <c r="F2662" s="14" t="s">
        <v>2178</v>
      </c>
      <c r="G2662" s="14" t="s">
        <v>24</v>
      </c>
      <c r="H2662" s="14" t="s">
        <v>258</v>
      </c>
      <c r="I2662" s="14"/>
      <c r="J2662" s="14"/>
      <c r="K2662" s="14"/>
      <c r="L2662" s="14"/>
      <c r="M2662" s="14" t="s">
        <v>2179</v>
      </c>
      <c r="N2662" s="14" t="s">
        <v>2180</v>
      </c>
      <c r="O2662" s="14" t="s">
        <v>2181</v>
      </c>
      <c r="P2662" s="14" t="str">
        <f>HYPERLINK("https://ceds.ed.gov/cedselementdetails.aspx?termid=17585")</f>
        <v>https://ceds.ed.gov/cedselementdetails.aspx?termid=17585</v>
      </c>
      <c r="Q2662" s="14" t="str">
        <f>HYPERLINK("https://ceds.ed.gov/elementComment.aspx?elementName=Career and Technical Education Participant &amp;elementID=17585", "Click here to submit comment")</f>
        <v>Click here to submit comment</v>
      </c>
      <c r="R2662" s="14">
        <v>48349</v>
      </c>
    </row>
    <row r="2663" spans="1:18" ht="90" x14ac:dyDescent="0.25">
      <c r="A2663" s="14" t="s">
        <v>8974</v>
      </c>
      <c r="B2663" s="14" t="s">
        <v>9004</v>
      </c>
      <c r="C2663" s="14" t="s">
        <v>9045</v>
      </c>
      <c r="D2663" s="14" t="s">
        <v>8531</v>
      </c>
      <c r="E2663" s="14" t="s">
        <v>2213</v>
      </c>
      <c r="F2663" s="14" t="s">
        <v>2214</v>
      </c>
      <c r="G2663" s="8" t="s">
        <v>9046</v>
      </c>
      <c r="H2663" s="14" t="s">
        <v>258</v>
      </c>
      <c r="I2663" s="14"/>
      <c r="J2663" s="14"/>
      <c r="K2663" s="14"/>
      <c r="L2663" s="14"/>
      <c r="M2663" s="14" t="s">
        <v>2217</v>
      </c>
      <c r="N2663" s="14" t="s">
        <v>2218</v>
      </c>
      <c r="O2663" s="14" t="s">
        <v>2219</v>
      </c>
      <c r="P2663" s="14" t="str">
        <f>HYPERLINK("https://ceds.ed.gov/cedselementdetails.aspx?termid=17581")</f>
        <v>https://ceds.ed.gov/cedselementdetails.aspx?termid=17581</v>
      </c>
      <c r="Q2663" s="14" t="str">
        <f>HYPERLINK("https://ceds.ed.gov/elementComment.aspx?elementName=Career Technical Education Nontraditional Gender Status &amp;elementID=17581", "Click here to submit comment")</f>
        <v>Click here to submit comment</v>
      </c>
      <c r="R2663" s="14">
        <v>48350</v>
      </c>
    </row>
    <row r="2664" spans="1:18" ht="270" x14ac:dyDescent="0.25">
      <c r="A2664" s="14" t="s">
        <v>8974</v>
      </c>
      <c r="B2664" s="14" t="s">
        <v>9004</v>
      </c>
      <c r="C2664" s="14" t="s">
        <v>9045</v>
      </c>
      <c r="D2664" s="14" t="s">
        <v>8531</v>
      </c>
      <c r="E2664" s="14" t="s">
        <v>2220</v>
      </c>
      <c r="F2664" s="14" t="s">
        <v>2221</v>
      </c>
      <c r="G2664" s="14" t="s">
        <v>24</v>
      </c>
      <c r="H2664" s="14" t="s">
        <v>258</v>
      </c>
      <c r="I2664" s="14"/>
      <c r="J2664" s="14"/>
      <c r="K2664" s="14"/>
      <c r="L2664" s="14"/>
      <c r="M2664" s="14" t="s">
        <v>2223</v>
      </c>
      <c r="N2664" s="14" t="s">
        <v>2224</v>
      </c>
      <c r="O2664" s="14" t="s">
        <v>2225</v>
      </c>
      <c r="P2664" s="14" t="str">
        <f>HYPERLINK("https://ceds.ed.gov/cedselementdetails.aspx?termid=17084")</f>
        <v>https://ceds.ed.gov/cedselementdetails.aspx?termid=17084</v>
      </c>
      <c r="Q2664" s="14" t="str">
        <f>HYPERLINK("https://ceds.ed.gov/elementComment.aspx?elementName=Career-Technical-Adult Education Displaced Homemaker Indicator &amp;elementID=17084", "Click here to submit comment")</f>
        <v>Click here to submit comment</v>
      </c>
      <c r="R2664" s="14">
        <v>48344</v>
      </c>
    </row>
    <row r="2665" spans="1:18" ht="90" x14ac:dyDescent="0.25">
      <c r="A2665" s="14" t="s">
        <v>8974</v>
      </c>
      <c r="B2665" s="14" t="s">
        <v>9004</v>
      </c>
      <c r="C2665" s="14" t="s">
        <v>9045</v>
      </c>
      <c r="D2665" s="14" t="s">
        <v>8531</v>
      </c>
      <c r="E2665" s="14" t="s">
        <v>2171</v>
      </c>
      <c r="F2665" s="14" t="s">
        <v>2172</v>
      </c>
      <c r="G2665" s="14" t="s">
        <v>24</v>
      </c>
      <c r="H2665" s="14" t="s">
        <v>258</v>
      </c>
      <c r="I2665" s="14"/>
      <c r="J2665" s="14"/>
      <c r="K2665" s="14"/>
      <c r="L2665" s="14"/>
      <c r="M2665" s="14" t="s">
        <v>2174</v>
      </c>
      <c r="N2665" s="14" t="s">
        <v>2175</v>
      </c>
      <c r="O2665" s="14" t="s">
        <v>2176</v>
      </c>
      <c r="P2665" s="14" t="str">
        <f>HYPERLINK("https://ceds.ed.gov/cedselementdetails.aspx?termid=17586")</f>
        <v>https://ceds.ed.gov/cedselementdetails.aspx?termid=17586</v>
      </c>
      <c r="Q2665" s="14" t="str">
        <f>HYPERLINK("https://ceds.ed.gov/elementComment.aspx?elementName=Career and Technical Education Nontraditional Completion &amp;elementID=17586", "Click here to submit comment")</f>
        <v>Click here to submit comment</v>
      </c>
      <c r="R2665" s="14">
        <v>49838</v>
      </c>
    </row>
    <row r="2666" spans="1:18" ht="270" x14ac:dyDescent="0.25">
      <c r="A2666" s="14" t="s">
        <v>8974</v>
      </c>
      <c r="B2666" s="14" t="s">
        <v>9004</v>
      </c>
      <c r="C2666" s="14" t="s">
        <v>9045</v>
      </c>
      <c r="D2666" s="14" t="s">
        <v>8541</v>
      </c>
      <c r="E2666" s="14" t="s">
        <v>6623</v>
      </c>
      <c r="F2666" s="14" t="s">
        <v>6624</v>
      </c>
      <c r="G2666" s="14" t="s">
        <v>3430</v>
      </c>
      <c r="H2666" s="14"/>
      <c r="I2666" s="14" t="s">
        <v>188</v>
      </c>
      <c r="J2666" s="14"/>
      <c r="K2666" s="14" t="s">
        <v>189</v>
      </c>
      <c r="L2666" s="14"/>
      <c r="M2666" s="14" t="s">
        <v>6626</v>
      </c>
      <c r="N2666" s="14"/>
      <c r="O2666" s="14" t="s">
        <v>6627</v>
      </c>
      <c r="P2666" s="14" t="str">
        <f>HYPERLINK("https://ceds.ed.gov/cedselementdetails.aspx?termid=18908")</f>
        <v>https://ceds.ed.gov/cedselementdetails.aspx?termid=18908</v>
      </c>
      <c r="Q2666" s="14" t="str">
        <f>HYPERLINK("https://ceds.ed.gov/elementComment.aspx?elementName=Out of Workforce Indicator &amp;elementID=18908", "Click here to submit comment")</f>
        <v>Click here to submit comment</v>
      </c>
      <c r="R2666" s="14">
        <v>52431</v>
      </c>
    </row>
    <row r="2667" spans="1:18" ht="45" x14ac:dyDescent="0.25">
      <c r="A2667" s="14" t="s">
        <v>8974</v>
      </c>
      <c r="B2667" s="14" t="s">
        <v>9004</v>
      </c>
      <c r="C2667" s="14" t="s">
        <v>8640</v>
      </c>
      <c r="D2667" s="14" t="s">
        <v>8531</v>
      </c>
      <c r="E2667" s="14" t="s">
        <v>3584</v>
      </c>
      <c r="F2667" s="14" t="s">
        <v>3585</v>
      </c>
      <c r="G2667" s="14" t="s">
        <v>24</v>
      </c>
      <c r="H2667" s="14" t="s">
        <v>258</v>
      </c>
      <c r="I2667" s="14"/>
      <c r="J2667" s="14"/>
      <c r="K2667" s="14"/>
      <c r="L2667" s="14"/>
      <c r="M2667" s="14" t="s">
        <v>3587</v>
      </c>
      <c r="N2667" s="14"/>
      <c r="O2667" s="14" t="s">
        <v>3588</v>
      </c>
      <c r="P2667" s="14" t="str">
        <f>HYPERLINK("https://ceds.ed.gov/cedselementdetails.aspx?termid=17569")</f>
        <v>https://ceds.ed.gov/cedselementdetails.aspx?termid=17569</v>
      </c>
      <c r="Q2667" s="14" t="str">
        <f>HYPERLINK("https://ceds.ed.gov/elementComment.aspx?elementName=Disability Status &amp;elementID=17569", "Click here to submit comment")</f>
        <v>Click here to submit comment</v>
      </c>
      <c r="R2667" s="14">
        <v>50127</v>
      </c>
    </row>
    <row r="2668" spans="1:18" ht="285" x14ac:dyDescent="0.25">
      <c r="A2668" s="14" t="s">
        <v>8974</v>
      </c>
      <c r="B2668" s="14" t="s">
        <v>9004</v>
      </c>
      <c r="C2668" s="14" t="s">
        <v>8640</v>
      </c>
      <c r="D2668" s="14" t="s">
        <v>8531</v>
      </c>
      <c r="E2668" s="14" t="s">
        <v>5086</v>
      </c>
      <c r="F2668" s="14" t="s">
        <v>5087</v>
      </c>
      <c r="G2668" s="14" t="s">
        <v>24</v>
      </c>
      <c r="H2668" s="14" t="s">
        <v>5090</v>
      </c>
      <c r="I2668" s="14"/>
      <c r="J2668" s="14"/>
      <c r="K2668" s="14"/>
      <c r="L2668" s="14"/>
      <c r="M2668" s="14" t="s">
        <v>5088</v>
      </c>
      <c r="N2668" s="14"/>
      <c r="O2668" s="14" t="s">
        <v>5089</v>
      </c>
      <c r="P2668" s="14" t="str">
        <f>HYPERLINK("https://ceds.ed.gov/cedselementdetails.aspx?termid=17151")</f>
        <v>https://ceds.ed.gov/cedselementdetails.aspx?termid=17151</v>
      </c>
      <c r="Q2668" s="14" t="str">
        <f>HYPERLINK("https://ceds.ed.gov/elementComment.aspx?elementName=IDEA Indicator &amp;elementID=17151", "Click here to submit comment")</f>
        <v>Click here to submit comment</v>
      </c>
      <c r="R2668" s="14">
        <v>50214</v>
      </c>
    </row>
    <row r="2669" spans="1:18" ht="210" x14ac:dyDescent="0.25">
      <c r="A2669" s="14" t="s">
        <v>8974</v>
      </c>
      <c r="B2669" s="14" t="s">
        <v>9004</v>
      </c>
      <c r="C2669" s="14" t="s">
        <v>8640</v>
      </c>
      <c r="D2669" s="14" t="s">
        <v>8531</v>
      </c>
      <c r="E2669" s="14" t="s">
        <v>6857</v>
      </c>
      <c r="F2669" s="14" t="s">
        <v>6858</v>
      </c>
      <c r="G2669" s="8" t="s">
        <v>8641</v>
      </c>
      <c r="H2669" s="14" t="s">
        <v>6864</v>
      </c>
      <c r="I2669" s="14"/>
      <c r="J2669" s="14"/>
      <c r="K2669" s="14"/>
      <c r="L2669" s="14" t="s">
        <v>6861</v>
      </c>
      <c r="M2669" s="14" t="s">
        <v>6862</v>
      </c>
      <c r="N2669" s="14"/>
      <c r="O2669" s="14" t="s">
        <v>6863</v>
      </c>
      <c r="P2669" s="14" t="str">
        <f>HYPERLINK("https://ceds.ed.gov/cedselementdetails.aspx?termid=17218")</f>
        <v>https://ceds.ed.gov/cedselementdetails.aspx?termid=17218</v>
      </c>
      <c r="Q2669" s="14" t="str">
        <f>HYPERLINK("https://ceds.ed.gov/elementComment.aspx?elementName=Primary Disability Type &amp;elementID=17218", "Click here to submit comment")</f>
        <v>Click here to submit comment</v>
      </c>
      <c r="R2669" s="14">
        <v>50325</v>
      </c>
    </row>
    <row r="2670" spans="1:18" ht="375" x14ac:dyDescent="0.25">
      <c r="A2670" s="14" t="s">
        <v>8974</v>
      </c>
      <c r="B2670" s="14" t="s">
        <v>9004</v>
      </c>
      <c r="C2670" s="14" t="s">
        <v>8640</v>
      </c>
      <c r="D2670" s="14" t="s">
        <v>8531</v>
      </c>
      <c r="E2670" s="14" t="s">
        <v>107</v>
      </c>
      <c r="F2670" s="14" t="s">
        <v>108</v>
      </c>
      <c r="G2670" s="8" t="s">
        <v>9047</v>
      </c>
      <c r="H2670" s="14"/>
      <c r="I2670" s="14"/>
      <c r="J2670" s="14"/>
      <c r="K2670" s="14"/>
      <c r="L2670" s="14"/>
      <c r="M2670" s="14" t="s">
        <v>111</v>
      </c>
      <c r="N2670" s="14"/>
      <c r="O2670" s="14" t="s">
        <v>112</v>
      </c>
      <c r="P2670" s="14" t="str">
        <f>HYPERLINK("https://ceds.ed.gov/cedselementdetails.aspx?termid=18243")</f>
        <v>https://ceds.ed.gov/cedselementdetails.aspx?termid=18243</v>
      </c>
      <c r="Q2670" s="14" t="str">
        <f>HYPERLINK("https://ceds.ed.gov/elementComment.aspx?elementName=Accommodations Needed Type &amp;elementID=18243", "Click here to submit comment")</f>
        <v>Click here to submit comment</v>
      </c>
      <c r="R2670" s="14">
        <v>50044</v>
      </c>
    </row>
    <row r="2671" spans="1:18" ht="255" x14ac:dyDescent="0.25">
      <c r="A2671" s="14" t="s">
        <v>8974</v>
      </c>
      <c r="B2671" s="14" t="s">
        <v>9004</v>
      </c>
      <c r="C2671" s="14" t="s">
        <v>8640</v>
      </c>
      <c r="D2671" s="14" t="s">
        <v>8531</v>
      </c>
      <c r="E2671" s="14" t="s">
        <v>3571</v>
      </c>
      <c r="F2671" s="14" t="s">
        <v>3572</v>
      </c>
      <c r="G2671" s="8" t="s">
        <v>8642</v>
      </c>
      <c r="H2671" s="14"/>
      <c r="I2671" s="14"/>
      <c r="J2671" s="14"/>
      <c r="K2671" s="14"/>
      <c r="L2671" s="14" t="s">
        <v>3575</v>
      </c>
      <c r="M2671" s="14" t="s">
        <v>3576</v>
      </c>
      <c r="N2671" s="14"/>
      <c r="O2671" s="14" t="s">
        <v>3577</v>
      </c>
      <c r="P2671" s="14" t="str">
        <f>HYPERLINK("https://ceds.ed.gov/cedselementdetails.aspx?termid=18286")</f>
        <v>https://ceds.ed.gov/cedselementdetails.aspx?termid=18286</v>
      </c>
      <c r="Q2671" s="14" t="str">
        <f>HYPERLINK("https://ceds.ed.gov/elementComment.aspx?elementName=Disability Condition Type &amp;elementID=18286", "Click here to submit comment")</f>
        <v>Click here to submit comment</v>
      </c>
      <c r="R2671" s="14">
        <v>50125</v>
      </c>
    </row>
    <row r="2672" spans="1:18" ht="75" x14ac:dyDescent="0.25">
      <c r="A2672" s="14" t="s">
        <v>8974</v>
      </c>
      <c r="B2672" s="14" t="s">
        <v>9004</v>
      </c>
      <c r="C2672" s="14" t="s">
        <v>8640</v>
      </c>
      <c r="D2672" s="14" t="s">
        <v>8531</v>
      </c>
      <c r="E2672" s="14" t="s">
        <v>3565</v>
      </c>
      <c r="F2672" s="14" t="s">
        <v>3566</v>
      </c>
      <c r="G2672" s="8" t="s">
        <v>9048</v>
      </c>
      <c r="H2672" s="14"/>
      <c r="I2672" s="14"/>
      <c r="J2672" s="14"/>
      <c r="K2672" s="14"/>
      <c r="L2672" s="14"/>
      <c r="M2672" s="14" t="s">
        <v>3568</v>
      </c>
      <c r="N2672" s="14" t="s">
        <v>3569</v>
      </c>
      <c r="O2672" s="14" t="s">
        <v>3570</v>
      </c>
      <c r="P2672" s="14" t="str">
        <f>HYPERLINK("https://ceds.ed.gov/cedselementdetails.aspx?termid=18285")</f>
        <v>https://ceds.ed.gov/cedselementdetails.aspx?termid=18285</v>
      </c>
      <c r="Q2672" s="14" t="str">
        <f>HYPERLINK("https://ceds.ed.gov/elementComment.aspx?elementName=Disability Condition Status Type &amp;elementID=18285", "Click here to submit comment")</f>
        <v>Click here to submit comment</v>
      </c>
      <c r="R2672" s="14">
        <v>50124</v>
      </c>
    </row>
    <row r="2673" spans="1:18" ht="180" x14ac:dyDescent="0.25">
      <c r="A2673" s="14" t="s">
        <v>8974</v>
      </c>
      <c r="B2673" s="14" t="s">
        <v>9004</v>
      </c>
      <c r="C2673" s="14" t="s">
        <v>8640</v>
      </c>
      <c r="D2673" s="14" t="s">
        <v>8531</v>
      </c>
      <c r="E2673" s="14" t="s">
        <v>3578</v>
      </c>
      <c r="F2673" s="14" t="s">
        <v>3579</v>
      </c>
      <c r="G2673" s="8" t="s">
        <v>8643</v>
      </c>
      <c r="H2673" s="14"/>
      <c r="I2673" s="14"/>
      <c r="J2673" s="14"/>
      <c r="K2673" s="14"/>
      <c r="L2673" s="14" t="s">
        <v>3575</v>
      </c>
      <c r="M2673" s="14" t="s">
        <v>3582</v>
      </c>
      <c r="N2673" s="14"/>
      <c r="O2673" s="14" t="s">
        <v>3583</v>
      </c>
      <c r="P2673" s="14" t="str">
        <f>HYPERLINK("https://ceds.ed.gov/cedselementdetails.aspx?termid=18287")</f>
        <v>https://ceds.ed.gov/cedselementdetails.aspx?termid=18287</v>
      </c>
      <c r="Q2673" s="14" t="str">
        <f>HYPERLINK("https://ceds.ed.gov/elementComment.aspx?elementName=Disability Determination Source Type &amp;elementID=18287", "Click here to submit comment")</f>
        <v>Click here to submit comment</v>
      </c>
      <c r="R2673" s="14">
        <v>50126</v>
      </c>
    </row>
    <row r="2674" spans="1:18" ht="135" x14ac:dyDescent="0.25">
      <c r="A2674" s="14" t="s">
        <v>8974</v>
      </c>
      <c r="B2674" s="14" t="s">
        <v>9004</v>
      </c>
      <c r="C2674" s="14" t="s">
        <v>9049</v>
      </c>
      <c r="D2674" s="14" t="s">
        <v>8531</v>
      </c>
      <c r="E2674" s="14" t="s">
        <v>3670</v>
      </c>
      <c r="F2674" s="14" t="s">
        <v>3671</v>
      </c>
      <c r="G2674" s="8" t="s">
        <v>9050</v>
      </c>
      <c r="H2674" s="14"/>
      <c r="I2674" s="14"/>
      <c r="J2674" s="14"/>
      <c r="K2674" s="14"/>
      <c r="L2674" s="14"/>
      <c r="M2674" s="14" t="s">
        <v>3673</v>
      </c>
      <c r="N2674" s="14"/>
      <c r="O2674" s="14" t="s">
        <v>3674</v>
      </c>
      <c r="P2674" s="14" t="str">
        <f>HYPERLINK("https://ceds.ed.gov/cedselementdetails.aspx?termid=18293")</f>
        <v>https://ceds.ed.gov/cedselementdetails.aspx?termid=18293</v>
      </c>
      <c r="Q2674" s="14" t="str">
        <f>HYPERLINK("https://ceds.ed.gov/elementComment.aspx?elementName=Doctoral Exams Required Type &amp;elementID=18293", "Click here to submit comment")</f>
        <v>Click here to submit comment</v>
      </c>
      <c r="R2674" s="14">
        <v>50133</v>
      </c>
    </row>
    <row r="2675" spans="1:18" ht="60" x14ac:dyDescent="0.25">
      <c r="A2675" s="14" t="s">
        <v>8974</v>
      </c>
      <c r="B2675" s="14" t="s">
        <v>9004</v>
      </c>
      <c r="C2675" s="14" t="s">
        <v>9049</v>
      </c>
      <c r="D2675" s="14" t="s">
        <v>8531</v>
      </c>
      <c r="E2675" s="14" t="s">
        <v>3666</v>
      </c>
      <c r="F2675" s="14" t="s">
        <v>3667</v>
      </c>
      <c r="G2675" s="14" t="s">
        <v>37</v>
      </c>
      <c r="H2675" s="14"/>
      <c r="I2675" s="14"/>
      <c r="J2675" s="14" t="s">
        <v>135</v>
      </c>
      <c r="K2675" s="14"/>
      <c r="L2675" s="14"/>
      <c r="M2675" s="14" t="s">
        <v>3668</v>
      </c>
      <c r="N2675" s="14"/>
      <c r="O2675" s="14" t="s">
        <v>3669</v>
      </c>
      <c r="P2675" s="14" t="str">
        <f>HYPERLINK("https://ceds.ed.gov/cedselementdetails.aspx?termid=18292")</f>
        <v>https://ceds.ed.gov/cedselementdetails.aspx?termid=18292</v>
      </c>
      <c r="Q2675" s="14" t="str">
        <f>HYPERLINK("https://ceds.ed.gov/elementComment.aspx?elementName=Doctoral Exam Taken Date &amp;elementID=18292", "Click here to submit comment")</f>
        <v>Click here to submit comment</v>
      </c>
      <c r="R2675" s="14">
        <v>50132</v>
      </c>
    </row>
    <row r="2676" spans="1:18" ht="105" x14ac:dyDescent="0.25">
      <c r="A2676" s="14" t="s">
        <v>8974</v>
      </c>
      <c r="B2676" s="14" t="s">
        <v>9004</v>
      </c>
      <c r="C2676" s="14" t="s">
        <v>9049</v>
      </c>
      <c r="D2676" s="14" t="s">
        <v>8531</v>
      </c>
      <c r="E2676" s="14" t="s">
        <v>4899</v>
      </c>
      <c r="F2676" s="14" t="s">
        <v>4900</v>
      </c>
      <c r="G2676" s="8" t="s">
        <v>9051</v>
      </c>
      <c r="H2676" s="14"/>
      <c r="I2676" s="14"/>
      <c r="J2676" s="14"/>
      <c r="K2676" s="14"/>
      <c r="L2676" s="14"/>
      <c r="M2676" s="14" t="s">
        <v>4902</v>
      </c>
      <c r="N2676" s="14"/>
      <c r="O2676" s="14" t="s">
        <v>4903</v>
      </c>
      <c r="P2676" s="14" t="str">
        <f>HYPERLINK("https://ceds.ed.gov/cedselementdetails.aspx?termid=18324")</f>
        <v>https://ceds.ed.gov/cedselementdetails.aspx?termid=18324</v>
      </c>
      <c r="Q2676" s="14" t="str">
        <f>HYPERLINK("https://ceds.ed.gov/elementComment.aspx?elementName=Graduate or Doctoral Exam Results Status &amp;elementID=18324", "Click here to submit comment")</f>
        <v>Click here to submit comment</v>
      </c>
      <c r="R2676" s="14">
        <v>50209</v>
      </c>
    </row>
    <row r="2677" spans="1:18" ht="75" x14ac:dyDescent="0.25">
      <c r="A2677" s="14" t="s">
        <v>8974</v>
      </c>
      <c r="B2677" s="14" t="s">
        <v>9004</v>
      </c>
      <c r="C2677" s="14" t="s">
        <v>9049</v>
      </c>
      <c r="D2677" s="14" t="s">
        <v>8531</v>
      </c>
      <c r="E2677" s="14" t="s">
        <v>3656</v>
      </c>
      <c r="F2677" s="14" t="s">
        <v>3657</v>
      </c>
      <c r="G2677" s="8" t="s">
        <v>9052</v>
      </c>
      <c r="H2677" s="14"/>
      <c r="I2677" s="14"/>
      <c r="J2677" s="14"/>
      <c r="K2677" s="14"/>
      <c r="L2677" s="14"/>
      <c r="M2677" s="14" t="s">
        <v>3660</v>
      </c>
      <c r="N2677" s="14"/>
      <c r="O2677" s="14" t="s">
        <v>3661</v>
      </c>
      <c r="P2677" s="14" t="str">
        <f>HYPERLINK("https://ceds.ed.gov/cedselementdetails.aspx?termid=18290")</f>
        <v>https://ceds.ed.gov/cedselementdetails.aspx?termid=18290</v>
      </c>
      <c r="Q2677" s="14" t="str">
        <f>HYPERLINK("https://ceds.ed.gov/elementComment.aspx?elementName=Doctoral Candidacy Admit Indicator &amp;elementID=18290", "Click here to submit comment")</f>
        <v>Click here to submit comment</v>
      </c>
      <c r="R2677" s="14">
        <v>50130</v>
      </c>
    </row>
    <row r="2678" spans="1:18" ht="45" x14ac:dyDescent="0.25">
      <c r="A2678" s="14" t="s">
        <v>8974</v>
      </c>
      <c r="B2678" s="14" t="s">
        <v>9004</v>
      </c>
      <c r="C2678" s="14" t="s">
        <v>9049</v>
      </c>
      <c r="D2678" s="14" t="s">
        <v>8531</v>
      </c>
      <c r="E2678" s="14" t="s">
        <v>3662</v>
      </c>
      <c r="F2678" s="14" t="s">
        <v>3663</v>
      </c>
      <c r="G2678" s="14" t="s">
        <v>37</v>
      </c>
      <c r="H2678" s="14"/>
      <c r="I2678" s="14"/>
      <c r="J2678" s="14" t="s">
        <v>135</v>
      </c>
      <c r="K2678" s="14"/>
      <c r="L2678" s="14"/>
      <c r="M2678" s="14" t="s">
        <v>3664</v>
      </c>
      <c r="N2678" s="14"/>
      <c r="O2678" s="14" t="s">
        <v>3665</v>
      </c>
      <c r="P2678" s="14" t="str">
        <f>HYPERLINK("https://ceds.ed.gov/cedselementdetails.aspx?termid=18291")</f>
        <v>https://ceds.ed.gov/cedselementdetails.aspx?termid=18291</v>
      </c>
      <c r="Q2678" s="14" t="str">
        <f>HYPERLINK("https://ceds.ed.gov/elementComment.aspx?elementName=Doctoral Candidacy Date &amp;elementID=18291", "Click here to submit comment")</f>
        <v>Click here to submit comment</v>
      </c>
      <c r="R2678" s="14">
        <v>50131</v>
      </c>
    </row>
    <row r="2679" spans="1:18" ht="45" x14ac:dyDescent="0.25">
      <c r="A2679" s="14" t="s">
        <v>8974</v>
      </c>
      <c r="B2679" s="14" t="s">
        <v>9004</v>
      </c>
      <c r="C2679" s="14" t="s">
        <v>9049</v>
      </c>
      <c r="D2679" s="14" t="s">
        <v>8531</v>
      </c>
      <c r="E2679" s="14" t="s">
        <v>8243</v>
      </c>
      <c r="F2679" s="14" t="s">
        <v>8244</v>
      </c>
      <c r="G2679" s="14" t="s">
        <v>37</v>
      </c>
      <c r="H2679" s="14"/>
      <c r="I2679" s="14"/>
      <c r="J2679" s="14" t="s">
        <v>382</v>
      </c>
      <c r="K2679" s="14"/>
      <c r="L2679" s="14"/>
      <c r="M2679" s="14" t="s">
        <v>8245</v>
      </c>
      <c r="N2679" s="14"/>
      <c r="O2679" s="14" t="s">
        <v>8246</v>
      </c>
      <c r="P2679" s="14" t="str">
        <f>HYPERLINK("https://ceds.ed.gov/cedselementdetails.aspx?termid=18468")</f>
        <v>https://ceds.ed.gov/cedselementdetails.aspx?termid=18468</v>
      </c>
      <c r="Q2679" s="14" t="str">
        <f>HYPERLINK("https://ceds.ed.gov/elementComment.aspx?elementName=Thesis or Dissertation Title &amp;elementID=18468", "Click here to submit comment")</f>
        <v>Click here to submit comment</v>
      </c>
      <c r="R2679" s="14">
        <v>50449</v>
      </c>
    </row>
    <row r="2680" spans="1:18" ht="45" x14ac:dyDescent="0.25">
      <c r="A2680" s="14" t="s">
        <v>8974</v>
      </c>
      <c r="B2680" s="14" t="s">
        <v>9004</v>
      </c>
      <c r="C2680" s="14" t="s">
        <v>9049</v>
      </c>
      <c r="D2680" s="14" t="s">
        <v>8531</v>
      </c>
      <c r="E2680" s="14" t="s">
        <v>6520</v>
      </c>
      <c r="F2680" s="14" t="s">
        <v>6521</v>
      </c>
      <c r="G2680" s="14" t="s">
        <v>37</v>
      </c>
      <c r="H2680" s="14"/>
      <c r="I2680" s="14"/>
      <c r="J2680" s="14" t="s">
        <v>135</v>
      </c>
      <c r="K2680" s="14"/>
      <c r="L2680" s="14"/>
      <c r="M2680" s="14" t="s">
        <v>6522</v>
      </c>
      <c r="N2680" s="14"/>
      <c r="O2680" s="14" t="s">
        <v>6523</v>
      </c>
      <c r="P2680" s="14" t="str">
        <f>HYPERLINK("https://ceds.ed.gov/cedselementdetails.aspx?termid=18386")</f>
        <v>https://ceds.ed.gov/cedselementdetails.aspx?termid=18386</v>
      </c>
      <c r="Q2680" s="14" t="str">
        <f>HYPERLINK("https://ceds.ed.gov/elementComment.aspx?elementName=Oral Defense Date &amp;elementID=18386", "Click here to submit comment")</f>
        <v>Click here to submit comment</v>
      </c>
      <c r="R2680" s="14">
        <v>50298</v>
      </c>
    </row>
    <row r="2681" spans="1:18" ht="90" x14ac:dyDescent="0.25">
      <c r="A2681" s="14" t="s">
        <v>8974</v>
      </c>
      <c r="B2681" s="14" t="s">
        <v>9004</v>
      </c>
      <c r="C2681" s="14" t="s">
        <v>9049</v>
      </c>
      <c r="D2681" s="14" t="s">
        <v>8531</v>
      </c>
      <c r="E2681" s="14" t="s">
        <v>6516</v>
      </c>
      <c r="F2681" s="14" t="s">
        <v>6517</v>
      </c>
      <c r="G2681" s="14" t="s">
        <v>24</v>
      </c>
      <c r="H2681" s="14"/>
      <c r="I2681" s="14"/>
      <c r="J2681" s="14"/>
      <c r="K2681" s="14"/>
      <c r="L2681" s="14"/>
      <c r="M2681" s="14" t="s">
        <v>6518</v>
      </c>
      <c r="N2681" s="14"/>
      <c r="O2681" s="14" t="s">
        <v>6519</v>
      </c>
      <c r="P2681" s="14" t="str">
        <f>HYPERLINK("https://ceds.ed.gov/cedselementdetails.aspx?termid=18385")</f>
        <v>https://ceds.ed.gov/cedselementdetails.aspx?termid=18385</v>
      </c>
      <c r="Q2681" s="14" t="str">
        <f>HYPERLINK("https://ceds.ed.gov/elementComment.aspx?elementName=Oral Defense Completed Indicator &amp;elementID=18385", "Click here to submit comment")</f>
        <v>Click here to submit comment</v>
      </c>
      <c r="R2681" s="14">
        <v>50297</v>
      </c>
    </row>
    <row r="2682" spans="1:18" ht="180" x14ac:dyDescent="0.25">
      <c r="A2682" s="14" t="s">
        <v>8974</v>
      </c>
      <c r="B2682" s="14" t="s">
        <v>9004</v>
      </c>
      <c r="C2682" s="14" t="s">
        <v>9053</v>
      </c>
      <c r="D2682" s="14" t="s">
        <v>8531</v>
      </c>
      <c r="E2682" s="14" t="s">
        <v>7309</v>
      </c>
      <c r="F2682" s="14" t="s">
        <v>7310</v>
      </c>
      <c r="G2682" s="8" t="s">
        <v>8945</v>
      </c>
      <c r="H2682" s="14"/>
      <c r="I2682" s="14"/>
      <c r="J2682" s="14"/>
      <c r="K2682" s="14"/>
      <c r="L2682" s="14"/>
      <c r="M2682" s="14" t="s">
        <v>7313</v>
      </c>
      <c r="N2682" s="14"/>
      <c r="O2682" s="14" t="s">
        <v>7314</v>
      </c>
      <c r="P2682" s="14" t="str">
        <f>HYPERLINK("https://ceds.ed.gov/cedselementdetails.aspx?termid=17515")</f>
        <v>https://ceds.ed.gov/cedselementdetails.aspx?termid=17515</v>
      </c>
      <c r="Q2682" s="14" t="str">
        <f>HYPERLINK("https://ceds.ed.gov/elementComment.aspx?elementName=Receiving Location of Instruction &amp;elementID=17515", "Click here to submit comment")</f>
        <v>Click here to submit comment</v>
      </c>
      <c r="R2682" s="14">
        <v>50527</v>
      </c>
    </row>
    <row r="2683" spans="1:18" ht="195" x14ac:dyDescent="0.25">
      <c r="A2683" s="14" t="s">
        <v>8974</v>
      </c>
      <c r="B2683" s="14" t="s">
        <v>9004</v>
      </c>
      <c r="C2683" s="14" t="s">
        <v>9053</v>
      </c>
      <c r="D2683" s="14" t="s">
        <v>8531</v>
      </c>
      <c r="E2683" s="14" t="s">
        <v>4667</v>
      </c>
      <c r="F2683" s="14" t="s">
        <v>4668</v>
      </c>
      <c r="G2683" s="14" t="s">
        <v>37</v>
      </c>
      <c r="H2683" s="14" t="s">
        <v>4673</v>
      </c>
      <c r="I2683" s="14"/>
      <c r="J2683" s="14" t="s">
        <v>1468</v>
      </c>
      <c r="K2683" s="14"/>
      <c r="L2683" s="14" t="s">
        <v>4670</v>
      </c>
      <c r="M2683" s="14" t="s">
        <v>4671</v>
      </c>
      <c r="N2683" s="14"/>
      <c r="O2683" s="14" t="s">
        <v>4672</v>
      </c>
      <c r="P2683" s="14" t="str">
        <f>HYPERLINK("https://ceds.ed.gov/cedselementdetails.aspx?termid=17115")</f>
        <v>https://ceds.ed.gov/cedselementdetails.aspx?termid=17115</v>
      </c>
      <c r="Q2683" s="14" t="str">
        <f>HYPERLINK("https://ceds.ed.gov/elementComment.aspx?elementName=First Name &amp;elementID=17115", "Click here to submit comment")</f>
        <v>Click here to submit comment</v>
      </c>
      <c r="R2683" s="14">
        <v>50858</v>
      </c>
    </row>
    <row r="2684" spans="1:18" x14ac:dyDescent="0.25">
      <c r="A2684" s="16" t="s">
        <v>8974</v>
      </c>
      <c r="B2684" s="16" t="s">
        <v>9004</v>
      </c>
      <c r="C2684" s="16" t="s">
        <v>9053</v>
      </c>
      <c r="D2684" s="16" t="s">
        <v>8531</v>
      </c>
      <c r="E2684" s="16" t="s">
        <v>6223</v>
      </c>
      <c r="F2684" s="16" t="s">
        <v>6224</v>
      </c>
      <c r="G2684" s="16" t="s">
        <v>37</v>
      </c>
      <c r="H2684" s="16" t="s">
        <v>4673</v>
      </c>
      <c r="I2684" s="16"/>
      <c r="J2684" s="16" t="s">
        <v>1468</v>
      </c>
      <c r="K2684" s="16"/>
      <c r="L2684" s="14" t="s">
        <v>4746</v>
      </c>
      <c r="M2684" s="16" t="s">
        <v>6226</v>
      </c>
      <c r="N2684" s="16"/>
      <c r="O2684" s="16" t="s">
        <v>6227</v>
      </c>
      <c r="P2684" s="16" t="str">
        <f>HYPERLINK("https://ceds.ed.gov/cedselementdetails.aspx?termid=17184")</f>
        <v>https://ceds.ed.gov/cedselementdetails.aspx?termid=17184</v>
      </c>
      <c r="Q2684" s="16" t="str">
        <f>HYPERLINK("https://ceds.ed.gov/elementComment.aspx?elementName=Middle Name &amp;elementID=17184", "Click here to submit comment")</f>
        <v>Click here to submit comment</v>
      </c>
      <c r="R2684" s="16">
        <v>50528</v>
      </c>
    </row>
    <row r="2685" spans="1:18" ht="90" x14ac:dyDescent="0.25">
      <c r="A2685" s="16"/>
      <c r="B2685" s="16"/>
      <c r="C2685" s="16"/>
      <c r="D2685" s="16"/>
      <c r="E2685" s="16"/>
      <c r="F2685" s="16"/>
      <c r="G2685" s="16"/>
      <c r="H2685" s="16"/>
      <c r="I2685" s="16"/>
      <c r="J2685" s="16"/>
      <c r="K2685" s="16"/>
      <c r="L2685" s="14" t="s">
        <v>4750</v>
      </c>
      <c r="M2685" s="16"/>
      <c r="N2685" s="16"/>
      <c r="O2685" s="16"/>
      <c r="P2685" s="16"/>
      <c r="Q2685" s="16"/>
      <c r="R2685" s="16"/>
    </row>
    <row r="2686" spans="1:18" x14ac:dyDescent="0.25">
      <c r="A2686" s="16" t="s">
        <v>8974</v>
      </c>
      <c r="B2686" s="16" t="s">
        <v>9004</v>
      </c>
      <c r="C2686" s="16" t="s">
        <v>9053</v>
      </c>
      <c r="D2686" s="16" t="s">
        <v>8531</v>
      </c>
      <c r="E2686" s="16" t="s">
        <v>5727</v>
      </c>
      <c r="F2686" s="16" t="s">
        <v>5728</v>
      </c>
      <c r="G2686" s="16" t="s">
        <v>37</v>
      </c>
      <c r="H2686" s="16" t="s">
        <v>4673</v>
      </c>
      <c r="I2686" s="16"/>
      <c r="J2686" s="16" t="s">
        <v>1468</v>
      </c>
      <c r="K2686" s="16"/>
      <c r="L2686" s="14" t="s">
        <v>4746</v>
      </c>
      <c r="M2686" s="16" t="s">
        <v>5729</v>
      </c>
      <c r="N2686" s="16" t="s">
        <v>5730</v>
      </c>
      <c r="O2686" s="16" t="s">
        <v>5731</v>
      </c>
      <c r="P2686" s="16" t="str">
        <f>HYPERLINK("https://ceds.ed.gov/cedselementdetails.aspx?termid=17172")</f>
        <v>https://ceds.ed.gov/cedselementdetails.aspx?termid=17172</v>
      </c>
      <c r="Q2686" s="16" t="str">
        <f>HYPERLINK("https://ceds.ed.gov/elementComment.aspx?elementName=Last or Surname &amp;elementID=17172", "Click here to submit comment")</f>
        <v>Click here to submit comment</v>
      </c>
      <c r="R2686" s="16">
        <v>50529</v>
      </c>
    </row>
    <row r="2687" spans="1:18" ht="90" x14ac:dyDescent="0.25">
      <c r="A2687" s="16"/>
      <c r="B2687" s="16"/>
      <c r="C2687" s="16"/>
      <c r="D2687" s="16"/>
      <c r="E2687" s="16"/>
      <c r="F2687" s="16"/>
      <c r="G2687" s="16"/>
      <c r="H2687" s="16"/>
      <c r="I2687" s="16"/>
      <c r="J2687" s="16"/>
      <c r="K2687" s="16"/>
      <c r="L2687" s="14" t="s">
        <v>4750</v>
      </c>
      <c r="M2687" s="16"/>
      <c r="N2687" s="16"/>
      <c r="O2687" s="16"/>
      <c r="P2687" s="16"/>
      <c r="Q2687" s="16"/>
      <c r="R2687" s="16"/>
    </row>
    <row r="2688" spans="1:18" ht="45" x14ac:dyDescent="0.25">
      <c r="A2688" s="14" t="s">
        <v>8974</v>
      </c>
      <c r="B2688" s="14" t="s">
        <v>9004</v>
      </c>
      <c r="C2688" s="14" t="s">
        <v>9053</v>
      </c>
      <c r="D2688" s="14" t="s">
        <v>8531</v>
      </c>
      <c r="E2688" s="14" t="s">
        <v>6586</v>
      </c>
      <c r="F2688" s="14" t="s">
        <v>6587</v>
      </c>
      <c r="G2688" s="14" t="s">
        <v>37</v>
      </c>
      <c r="H2688" s="14"/>
      <c r="I2688" s="14"/>
      <c r="J2688" s="14" t="s">
        <v>1468</v>
      </c>
      <c r="K2688" s="14"/>
      <c r="L2688" s="14" t="s">
        <v>6589</v>
      </c>
      <c r="M2688" s="14" t="s">
        <v>6590</v>
      </c>
      <c r="N2688" s="14"/>
      <c r="O2688" s="14" t="s">
        <v>6591</v>
      </c>
      <c r="P2688" s="14" t="str">
        <f>HYPERLINK("https://ceds.ed.gov/cedselementdetails.aspx?termid=18486")</f>
        <v>https://ceds.ed.gov/cedselementdetails.aspx?termid=18486</v>
      </c>
      <c r="Q2688" s="14" t="str">
        <f>HYPERLINK("https://ceds.ed.gov/elementComment.aspx?elementName=Other First Name &amp;elementID=18486", "Click here to submit comment")</f>
        <v>Click here to submit comment</v>
      </c>
      <c r="R2688" s="14">
        <v>50641</v>
      </c>
    </row>
    <row r="2689" spans="1:18" ht="45" x14ac:dyDescent="0.25">
      <c r="A2689" s="14" t="s">
        <v>8974</v>
      </c>
      <c r="B2689" s="14" t="s">
        <v>9004</v>
      </c>
      <c r="C2689" s="14" t="s">
        <v>9053</v>
      </c>
      <c r="D2689" s="14" t="s">
        <v>8531</v>
      </c>
      <c r="E2689" s="14" t="s">
        <v>6592</v>
      </c>
      <c r="F2689" s="14" t="s">
        <v>6593</v>
      </c>
      <c r="G2689" s="14" t="s">
        <v>37</v>
      </c>
      <c r="H2689" s="14"/>
      <c r="I2689" s="14"/>
      <c r="J2689" s="14" t="s">
        <v>1468</v>
      </c>
      <c r="K2689" s="14"/>
      <c r="L2689" s="14" t="s">
        <v>6594</v>
      </c>
      <c r="M2689" s="14" t="s">
        <v>6595</v>
      </c>
      <c r="N2689" s="14"/>
      <c r="O2689" s="14" t="s">
        <v>6596</v>
      </c>
      <c r="P2689" s="14" t="str">
        <f>HYPERLINK("https://ceds.ed.gov/cedselementdetails.aspx?termid=18485")</f>
        <v>https://ceds.ed.gov/cedselementdetails.aspx?termid=18485</v>
      </c>
      <c r="Q2689" s="14" t="str">
        <f>HYPERLINK("https://ceds.ed.gov/elementComment.aspx?elementName=Other Last Name &amp;elementID=18485", "Click here to submit comment")</f>
        <v>Click here to submit comment</v>
      </c>
      <c r="R2689" s="14">
        <v>50625</v>
      </c>
    </row>
    <row r="2690" spans="1:18" ht="45" x14ac:dyDescent="0.25">
      <c r="A2690" s="14" t="s">
        <v>8974</v>
      </c>
      <c r="B2690" s="14" t="s">
        <v>9004</v>
      </c>
      <c r="C2690" s="14" t="s">
        <v>9053</v>
      </c>
      <c r="D2690" s="14" t="s">
        <v>8531</v>
      </c>
      <c r="E2690" s="14" t="s">
        <v>6597</v>
      </c>
      <c r="F2690" s="14" t="s">
        <v>6598</v>
      </c>
      <c r="G2690" s="14" t="s">
        <v>37</v>
      </c>
      <c r="H2690" s="14"/>
      <c r="I2690" s="14"/>
      <c r="J2690" s="14" t="s">
        <v>1468</v>
      </c>
      <c r="K2690" s="14"/>
      <c r="L2690" s="14" t="s">
        <v>6599</v>
      </c>
      <c r="M2690" s="14" t="s">
        <v>6600</v>
      </c>
      <c r="N2690" s="14"/>
      <c r="O2690" s="14" t="s">
        <v>6601</v>
      </c>
      <c r="P2690" s="14" t="str">
        <f>HYPERLINK("https://ceds.ed.gov/cedselementdetails.aspx?termid=18487")</f>
        <v>https://ceds.ed.gov/cedselementdetails.aspx?termid=18487</v>
      </c>
      <c r="Q2690" s="14" t="str">
        <f>HYPERLINK("https://ceds.ed.gov/elementComment.aspx?elementName=Other Middle Name &amp;elementID=18487", "Click here to submit comment")</f>
        <v>Click here to submit comment</v>
      </c>
      <c r="R2690" s="14">
        <v>50657</v>
      </c>
    </row>
    <row r="2691" spans="1:18" ht="150" x14ac:dyDescent="0.25">
      <c r="A2691" s="14" t="s">
        <v>8974</v>
      </c>
      <c r="B2691" s="14" t="s">
        <v>9004</v>
      </c>
      <c r="C2691" s="14" t="s">
        <v>9053</v>
      </c>
      <c r="D2691" s="14" t="s">
        <v>8531</v>
      </c>
      <c r="E2691" s="14" t="s">
        <v>6602</v>
      </c>
      <c r="F2691" s="14" t="s">
        <v>6603</v>
      </c>
      <c r="G2691" s="14" t="s">
        <v>37</v>
      </c>
      <c r="H2691" s="14" t="s">
        <v>4749</v>
      </c>
      <c r="I2691" s="14"/>
      <c r="J2691" s="14" t="s">
        <v>149</v>
      </c>
      <c r="K2691" s="14"/>
      <c r="L2691" s="14"/>
      <c r="M2691" s="14" t="s">
        <v>6604</v>
      </c>
      <c r="N2691" s="14"/>
      <c r="O2691" s="14" t="s">
        <v>6605</v>
      </c>
      <c r="P2691" s="14" t="str">
        <f>HYPERLINK("https://ceds.ed.gov/cedselementdetails.aspx?termid=17206")</f>
        <v>https://ceds.ed.gov/cedselementdetails.aspx?termid=17206</v>
      </c>
      <c r="Q2691" s="14" t="str">
        <f>HYPERLINK("https://ceds.ed.gov/elementComment.aspx?elementName=Other Name &amp;elementID=17206", "Click here to submit comment")</f>
        <v>Click here to submit comment</v>
      </c>
      <c r="R2691" s="14">
        <v>50530</v>
      </c>
    </row>
    <row r="2692" spans="1:18" ht="60" x14ac:dyDescent="0.25">
      <c r="A2692" s="14" t="s">
        <v>8974</v>
      </c>
      <c r="B2692" s="14" t="s">
        <v>9004</v>
      </c>
      <c r="C2692" s="14" t="s">
        <v>9054</v>
      </c>
      <c r="D2692" s="14" t="s">
        <v>8531</v>
      </c>
      <c r="E2692" s="14" t="s">
        <v>8153</v>
      </c>
      <c r="F2692" s="14" t="s">
        <v>8154</v>
      </c>
      <c r="G2692" s="8" t="s">
        <v>9055</v>
      </c>
      <c r="H2692" s="14" t="s">
        <v>412</v>
      </c>
      <c r="I2692" s="14"/>
      <c r="J2692" s="14"/>
      <c r="K2692" s="14"/>
      <c r="L2692" s="14"/>
      <c r="M2692" s="14" t="s">
        <v>8156</v>
      </c>
      <c r="N2692" s="14"/>
      <c r="O2692" s="14" t="s">
        <v>8157</v>
      </c>
      <c r="P2692" s="14" t="str">
        <f>HYPERLINK("https://ceds.ed.gov/cedselementdetails.aspx?termid=17749")</f>
        <v>https://ceds.ed.gov/cedselementdetails.aspx?termid=17749</v>
      </c>
      <c r="Q2692" s="14" t="str">
        <f>HYPERLINK("https://ceds.ed.gov/elementComment.aspx?elementName=Teacher Preparation Program Enrollment Status &amp;elementID=17749", "Click here to submit comment")</f>
        <v>Click here to submit comment</v>
      </c>
      <c r="R2692" s="14">
        <v>48269</v>
      </c>
    </row>
    <row r="2693" spans="1:18" ht="120" x14ac:dyDescent="0.25">
      <c r="A2693" s="14" t="s">
        <v>8974</v>
      </c>
      <c r="B2693" s="14" t="s">
        <v>9004</v>
      </c>
      <c r="C2693" s="14" t="s">
        <v>9054</v>
      </c>
      <c r="D2693" s="14" t="s">
        <v>8531</v>
      </c>
      <c r="E2693" s="14" t="s">
        <v>8149</v>
      </c>
      <c r="F2693" s="14" t="s">
        <v>8150</v>
      </c>
      <c r="G2693" s="8" t="s">
        <v>8558</v>
      </c>
      <c r="H2693" s="14" t="s">
        <v>412</v>
      </c>
      <c r="I2693" s="14"/>
      <c r="J2693" s="14"/>
      <c r="K2693" s="14"/>
      <c r="L2693" s="14"/>
      <c r="M2693" s="14" t="s">
        <v>8151</v>
      </c>
      <c r="N2693" s="14"/>
      <c r="O2693" s="14" t="s">
        <v>8152</v>
      </c>
      <c r="P2693" s="14" t="str">
        <f>HYPERLINK("https://ceds.ed.gov/cedselementdetails.aspx?termid=17750")</f>
        <v>https://ceds.ed.gov/cedselementdetails.aspx?termid=17750</v>
      </c>
      <c r="Q2693" s="14" t="str">
        <f>HYPERLINK("https://ceds.ed.gov/elementComment.aspx?elementName=Teacher Preparation Program Completer Status &amp;elementID=17750", "Click here to submit comment")</f>
        <v>Click here to submit comment</v>
      </c>
      <c r="R2693" s="14">
        <v>48270</v>
      </c>
    </row>
    <row r="2694" spans="1:18" ht="225" x14ac:dyDescent="0.25">
      <c r="A2694" s="14" t="s">
        <v>8974</v>
      </c>
      <c r="B2694" s="14" t="s">
        <v>9004</v>
      </c>
      <c r="C2694" s="14" t="s">
        <v>9054</v>
      </c>
      <c r="D2694" s="14" t="s">
        <v>8531</v>
      </c>
      <c r="E2694" s="14" t="s">
        <v>8188</v>
      </c>
      <c r="F2694" s="14" t="s">
        <v>8189</v>
      </c>
      <c r="G2694" s="8" t="s">
        <v>8927</v>
      </c>
      <c r="H2694" s="14" t="s">
        <v>412</v>
      </c>
      <c r="I2694" s="14"/>
      <c r="J2694" s="14"/>
      <c r="K2694" s="14"/>
      <c r="L2694" s="14"/>
      <c r="M2694" s="14" t="s">
        <v>8192</v>
      </c>
      <c r="N2694" s="14"/>
      <c r="O2694" s="14" t="s">
        <v>8193</v>
      </c>
      <c r="P2694" s="14" t="str">
        <f>HYPERLINK("https://ceds.ed.gov/cedselementdetails.aspx?termid=17278")</f>
        <v>https://ceds.ed.gov/cedselementdetails.aspx?termid=17278</v>
      </c>
      <c r="Q2694" s="14" t="str">
        <f>HYPERLINK("https://ceds.ed.gov/elementComment.aspx?elementName=Teaching Credential Type &amp;elementID=17278", "Click here to submit comment")</f>
        <v>Click here to submit comment</v>
      </c>
      <c r="R2694" s="14">
        <v>48278</v>
      </c>
    </row>
    <row r="2695" spans="1:18" ht="240" x14ac:dyDescent="0.25">
      <c r="A2695" s="14" t="s">
        <v>8974</v>
      </c>
      <c r="B2695" s="14" t="s">
        <v>9004</v>
      </c>
      <c r="C2695" s="14" t="s">
        <v>9054</v>
      </c>
      <c r="D2695" s="14" t="s">
        <v>8531</v>
      </c>
      <c r="E2695" s="14" t="s">
        <v>8182</v>
      </c>
      <c r="F2695" s="14" t="s">
        <v>8183</v>
      </c>
      <c r="G2695" s="8" t="s">
        <v>8928</v>
      </c>
      <c r="H2695" s="14" t="s">
        <v>412</v>
      </c>
      <c r="I2695" s="14"/>
      <c r="J2695" s="14"/>
      <c r="K2695" s="14"/>
      <c r="L2695" s="14"/>
      <c r="M2695" s="14" t="s">
        <v>8186</v>
      </c>
      <c r="N2695" s="14"/>
      <c r="O2695" s="14" t="s">
        <v>8187</v>
      </c>
      <c r="P2695" s="14" t="str">
        <f>HYPERLINK("https://ceds.ed.gov/cedselementdetails.aspx?termid=17277")</f>
        <v>https://ceds.ed.gov/cedselementdetails.aspx?termid=17277</v>
      </c>
      <c r="Q2695" s="14" t="str">
        <f>HYPERLINK("https://ceds.ed.gov/elementComment.aspx?elementName=Teaching Credential Basis &amp;elementID=17277", "Click here to submit comment")</f>
        <v>Click here to submit comment</v>
      </c>
      <c r="R2695" s="14">
        <v>48277</v>
      </c>
    </row>
    <row r="2696" spans="1:18" ht="75" x14ac:dyDescent="0.25">
      <c r="A2696" s="14" t="s">
        <v>8974</v>
      </c>
      <c r="B2696" s="14" t="s">
        <v>9004</v>
      </c>
      <c r="C2696" s="14" t="s">
        <v>9054</v>
      </c>
      <c r="D2696" s="14" t="s">
        <v>8531</v>
      </c>
      <c r="E2696" s="14" t="s">
        <v>8093</v>
      </c>
      <c r="F2696" s="14" t="s">
        <v>8094</v>
      </c>
      <c r="G2696" s="8" t="s">
        <v>8558</v>
      </c>
      <c r="H2696" s="14" t="s">
        <v>412</v>
      </c>
      <c r="I2696" s="14"/>
      <c r="J2696" s="14"/>
      <c r="K2696" s="14"/>
      <c r="L2696" s="14"/>
      <c r="M2696" s="14" t="s">
        <v>8095</v>
      </c>
      <c r="N2696" s="14"/>
      <c r="O2696" s="14" t="s">
        <v>8096</v>
      </c>
      <c r="P2696" s="14" t="str">
        <f>HYPERLINK("https://ceds.ed.gov/cedselementdetails.aspx?termid=17754")</f>
        <v>https://ceds.ed.gov/cedselementdetails.aspx?termid=17754</v>
      </c>
      <c r="Q2696" s="14" t="str">
        <f>HYPERLINK("https://ceds.ed.gov/elementComment.aspx?elementName=Supervised Clinical Experience &amp;elementID=17754", "Click here to submit comment")</f>
        <v>Click here to submit comment</v>
      </c>
      <c r="R2696" s="14">
        <v>48273</v>
      </c>
    </row>
    <row r="2697" spans="1:18" ht="60" x14ac:dyDescent="0.25">
      <c r="A2697" s="14" t="s">
        <v>8974</v>
      </c>
      <c r="B2697" s="14" t="s">
        <v>9004</v>
      </c>
      <c r="C2697" s="14" t="s">
        <v>9054</v>
      </c>
      <c r="D2697" s="14" t="s">
        <v>8531</v>
      </c>
      <c r="E2697" s="14" t="s">
        <v>8097</v>
      </c>
      <c r="F2697" s="14" t="s">
        <v>8098</v>
      </c>
      <c r="G2697" s="14" t="s">
        <v>37</v>
      </c>
      <c r="H2697" s="14" t="s">
        <v>412</v>
      </c>
      <c r="I2697" s="14"/>
      <c r="J2697" s="14" t="s">
        <v>370</v>
      </c>
      <c r="K2697" s="14"/>
      <c r="L2697" s="14"/>
      <c r="M2697" s="14" t="s">
        <v>8099</v>
      </c>
      <c r="N2697" s="14"/>
      <c r="O2697" s="14" t="s">
        <v>8100</v>
      </c>
      <c r="P2697" s="14" t="str">
        <f>HYPERLINK("https://ceds.ed.gov/cedselementdetails.aspx?termid=17755")</f>
        <v>https://ceds.ed.gov/cedselementdetails.aspx?termid=17755</v>
      </c>
      <c r="Q2697" s="14" t="str">
        <f>HYPERLINK("https://ceds.ed.gov/elementComment.aspx?elementName=Supervised Clinical Experience Clock Hours &amp;elementID=17755", "Click here to submit comment")</f>
        <v>Click here to submit comment</v>
      </c>
      <c r="R2697" s="14">
        <v>48274</v>
      </c>
    </row>
    <row r="2698" spans="1:18" ht="90" x14ac:dyDescent="0.25">
      <c r="A2698" s="14" t="s">
        <v>8974</v>
      </c>
      <c r="B2698" s="14" t="s">
        <v>9004</v>
      </c>
      <c r="C2698" s="14" t="s">
        <v>9054</v>
      </c>
      <c r="D2698" s="14" t="s">
        <v>8531</v>
      </c>
      <c r="E2698" s="14" t="s">
        <v>8132</v>
      </c>
      <c r="F2698" s="14" t="s">
        <v>8133</v>
      </c>
      <c r="G2698" s="8" t="s">
        <v>9056</v>
      </c>
      <c r="H2698" s="14" t="s">
        <v>412</v>
      </c>
      <c r="I2698" s="14"/>
      <c r="J2698" s="14"/>
      <c r="K2698" s="14"/>
      <c r="L2698" s="14"/>
      <c r="M2698" s="14" t="s">
        <v>8135</v>
      </c>
      <c r="N2698" s="14"/>
      <c r="O2698" s="14" t="s">
        <v>8136</v>
      </c>
      <c r="P2698" s="14" t="str">
        <f>HYPERLINK("https://ceds.ed.gov/cedselementdetails.aspx?termid=17756")</f>
        <v>https://ceds.ed.gov/cedselementdetails.aspx?termid=17756</v>
      </c>
      <c r="Q2698" s="14" t="str">
        <f>HYPERLINK("https://ceds.ed.gov/elementComment.aspx?elementName=Teacher Education Credential Exam Type &amp;elementID=17756", "Click here to submit comment")</f>
        <v>Click here to submit comment</v>
      </c>
      <c r="R2698" s="14">
        <v>48275</v>
      </c>
    </row>
    <row r="2699" spans="1:18" x14ac:dyDescent="0.25">
      <c r="A2699" s="16" t="s">
        <v>8974</v>
      </c>
      <c r="B2699" s="16" t="s">
        <v>9004</v>
      </c>
      <c r="C2699" s="16" t="s">
        <v>9054</v>
      </c>
      <c r="D2699" s="16" t="s">
        <v>8531</v>
      </c>
      <c r="E2699" s="16" t="s">
        <v>8121</v>
      </c>
      <c r="F2699" s="16" t="s">
        <v>8122</v>
      </c>
      <c r="G2699" s="16" t="s">
        <v>37</v>
      </c>
      <c r="H2699" s="16" t="s">
        <v>412</v>
      </c>
      <c r="I2699" s="16"/>
      <c r="J2699" s="16" t="s">
        <v>97</v>
      </c>
      <c r="K2699" s="16"/>
      <c r="L2699" s="14" t="s">
        <v>8123</v>
      </c>
      <c r="M2699" s="16" t="s">
        <v>8124</v>
      </c>
      <c r="N2699" s="16"/>
      <c r="O2699" s="16" t="s">
        <v>8125</v>
      </c>
      <c r="P2699" s="16" t="str">
        <f>HYPERLINK("https://ceds.ed.gov/cedselementdetails.aspx?termid=17757")</f>
        <v>https://ceds.ed.gov/cedselementdetails.aspx?termid=17757</v>
      </c>
      <c r="Q2699" s="16" t="str">
        <f>HYPERLINK("https://ceds.ed.gov/elementComment.aspx?elementName=Teacher Education Credential Exam Score Type &amp;elementID=17757", "Click here to submit comment")</f>
        <v>Click here to submit comment</v>
      </c>
      <c r="R2699" s="16">
        <v>48276</v>
      </c>
    </row>
    <row r="2700" spans="1:18" x14ac:dyDescent="0.25">
      <c r="A2700" s="16"/>
      <c r="B2700" s="16"/>
      <c r="C2700" s="16"/>
      <c r="D2700" s="16"/>
      <c r="E2700" s="16"/>
      <c r="F2700" s="16"/>
      <c r="G2700" s="16"/>
      <c r="H2700" s="16"/>
      <c r="I2700" s="16"/>
      <c r="J2700" s="16"/>
      <c r="K2700" s="16"/>
      <c r="L2700" s="14" t="s">
        <v>8126</v>
      </c>
      <c r="M2700" s="16"/>
      <c r="N2700" s="16"/>
      <c r="O2700" s="16"/>
      <c r="P2700" s="16"/>
      <c r="Q2700" s="16"/>
      <c r="R2700" s="16"/>
    </row>
    <row r="2701" spans="1:18" x14ac:dyDescent="0.25">
      <c r="A2701" s="16"/>
      <c r="B2701" s="16"/>
      <c r="C2701" s="16"/>
      <c r="D2701" s="16"/>
      <c r="E2701" s="16"/>
      <c r="F2701" s="16"/>
      <c r="G2701" s="16"/>
      <c r="H2701" s="16"/>
      <c r="I2701" s="16"/>
      <c r="J2701" s="16"/>
      <c r="K2701" s="16"/>
      <c r="L2701" s="14" t="s">
        <v>8127</v>
      </c>
      <c r="M2701" s="16"/>
      <c r="N2701" s="16"/>
      <c r="O2701" s="16"/>
      <c r="P2701" s="16"/>
      <c r="Q2701" s="16"/>
      <c r="R2701" s="16"/>
    </row>
    <row r="2702" spans="1:18" x14ac:dyDescent="0.25">
      <c r="A2702" s="16"/>
      <c r="B2702" s="16"/>
      <c r="C2702" s="16"/>
      <c r="D2702" s="16"/>
      <c r="E2702" s="16"/>
      <c r="F2702" s="16"/>
      <c r="G2702" s="16"/>
      <c r="H2702" s="16"/>
      <c r="I2702" s="16"/>
      <c r="J2702" s="16"/>
      <c r="K2702" s="16"/>
      <c r="L2702" s="14" t="s">
        <v>8128</v>
      </c>
      <c r="M2702" s="16"/>
      <c r="N2702" s="16"/>
      <c r="O2702" s="16"/>
      <c r="P2702" s="16"/>
      <c r="Q2702" s="16"/>
      <c r="R2702" s="16"/>
    </row>
    <row r="2703" spans="1:18" x14ac:dyDescent="0.25">
      <c r="A2703" s="16"/>
      <c r="B2703" s="16"/>
      <c r="C2703" s="16"/>
      <c r="D2703" s="16"/>
      <c r="E2703" s="16"/>
      <c r="F2703" s="16"/>
      <c r="G2703" s="16"/>
      <c r="H2703" s="16"/>
      <c r="I2703" s="16"/>
      <c r="J2703" s="16"/>
      <c r="K2703" s="16"/>
      <c r="L2703" s="14"/>
      <c r="M2703" s="16"/>
      <c r="N2703" s="16"/>
      <c r="O2703" s="16"/>
      <c r="P2703" s="16"/>
      <c r="Q2703" s="16"/>
      <c r="R2703" s="16"/>
    </row>
    <row r="2704" spans="1:18" x14ac:dyDescent="0.25">
      <c r="A2704" s="16"/>
      <c r="B2704" s="16"/>
      <c r="C2704" s="16"/>
      <c r="D2704" s="16"/>
      <c r="E2704" s="16"/>
      <c r="F2704" s="16"/>
      <c r="G2704" s="16"/>
      <c r="H2704" s="16"/>
      <c r="I2704" s="16"/>
      <c r="J2704" s="16"/>
      <c r="K2704" s="16"/>
      <c r="L2704" s="14" t="s">
        <v>8129</v>
      </c>
      <c r="M2704" s="16"/>
      <c r="N2704" s="16"/>
      <c r="O2704" s="16"/>
      <c r="P2704" s="16"/>
      <c r="Q2704" s="16"/>
      <c r="R2704" s="16"/>
    </row>
    <row r="2705" spans="1:18" ht="45" x14ac:dyDescent="0.25">
      <c r="A2705" s="16"/>
      <c r="B2705" s="16"/>
      <c r="C2705" s="16"/>
      <c r="D2705" s="16"/>
      <c r="E2705" s="16"/>
      <c r="F2705" s="16"/>
      <c r="G2705" s="16"/>
      <c r="H2705" s="16"/>
      <c r="I2705" s="16"/>
      <c r="J2705" s="16"/>
      <c r="K2705" s="16"/>
      <c r="L2705" s="14" t="s">
        <v>8130</v>
      </c>
      <c r="M2705" s="16"/>
      <c r="N2705" s="16"/>
      <c r="O2705" s="16"/>
      <c r="P2705" s="16"/>
      <c r="Q2705" s="16"/>
      <c r="R2705" s="16"/>
    </row>
    <row r="2706" spans="1:18" x14ac:dyDescent="0.25">
      <c r="A2706" s="16"/>
      <c r="B2706" s="16"/>
      <c r="C2706" s="16"/>
      <c r="D2706" s="16"/>
      <c r="E2706" s="16"/>
      <c r="F2706" s="16"/>
      <c r="G2706" s="16"/>
      <c r="H2706" s="16"/>
      <c r="I2706" s="16"/>
      <c r="J2706" s="16"/>
      <c r="K2706" s="16"/>
      <c r="L2706" s="14"/>
      <c r="M2706" s="16"/>
      <c r="N2706" s="16"/>
      <c r="O2706" s="16"/>
      <c r="P2706" s="16"/>
      <c r="Q2706" s="16"/>
      <c r="R2706" s="16"/>
    </row>
    <row r="2707" spans="1:18" ht="30" x14ac:dyDescent="0.25">
      <c r="A2707" s="16"/>
      <c r="B2707" s="16"/>
      <c r="C2707" s="16"/>
      <c r="D2707" s="16"/>
      <c r="E2707" s="16"/>
      <c r="F2707" s="16"/>
      <c r="G2707" s="16"/>
      <c r="H2707" s="16"/>
      <c r="I2707" s="16"/>
      <c r="J2707" s="16"/>
      <c r="K2707" s="16"/>
      <c r="L2707" s="14" t="s">
        <v>8131</v>
      </c>
      <c r="M2707" s="16"/>
      <c r="N2707" s="16"/>
      <c r="O2707" s="16"/>
      <c r="P2707" s="16"/>
      <c r="Q2707" s="16"/>
      <c r="R2707" s="16"/>
    </row>
    <row r="2708" spans="1:18" ht="165" x14ac:dyDescent="0.25">
      <c r="A2708" s="14" t="s">
        <v>8974</v>
      </c>
      <c r="B2708" s="14" t="s">
        <v>9004</v>
      </c>
      <c r="C2708" s="14" t="s">
        <v>9054</v>
      </c>
      <c r="D2708" s="14" t="s">
        <v>8531</v>
      </c>
      <c r="E2708" s="14" t="s">
        <v>8137</v>
      </c>
      <c r="F2708" s="14" t="s">
        <v>8138</v>
      </c>
      <c r="G2708" s="8" t="s">
        <v>9057</v>
      </c>
      <c r="H2708" s="14" t="s">
        <v>412</v>
      </c>
      <c r="I2708" s="14"/>
      <c r="J2708" s="14"/>
      <c r="K2708" s="14"/>
      <c r="L2708" s="14"/>
      <c r="M2708" s="14" t="s">
        <v>8140</v>
      </c>
      <c r="N2708" s="14"/>
      <c r="O2708" s="14" t="s">
        <v>8141</v>
      </c>
      <c r="P2708" s="14" t="str">
        <f>HYPERLINK("https://ceds.ed.gov/cedselementdetails.aspx?termid=17748")</f>
        <v>https://ceds.ed.gov/cedselementdetails.aspx?termid=17748</v>
      </c>
      <c r="Q2708" s="14" t="str">
        <f>HYPERLINK("https://ceds.ed.gov/elementComment.aspx?elementName=Teacher Education Test Company &amp;elementID=17748", "Click here to submit comment")</f>
        <v>Click here to submit comment</v>
      </c>
      <c r="R2708" s="14">
        <v>48268</v>
      </c>
    </row>
    <row r="2709" spans="1:18" ht="60" x14ac:dyDescent="0.25">
      <c r="A2709" s="14" t="s">
        <v>8974</v>
      </c>
      <c r="B2709" s="14" t="s">
        <v>9004</v>
      </c>
      <c r="C2709" s="14" t="s">
        <v>9054</v>
      </c>
      <c r="D2709" s="14" t="s">
        <v>8531</v>
      </c>
      <c r="E2709" s="14" t="s">
        <v>406</v>
      </c>
      <c r="F2709" s="14" t="s">
        <v>407</v>
      </c>
      <c r="G2709" s="8" t="s">
        <v>8558</v>
      </c>
      <c r="H2709" s="14" t="s">
        <v>412</v>
      </c>
      <c r="I2709" s="14"/>
      <c r="J2709" s="14"/>
      <c r="K2709" s="14"/>
      <c r="L2709" s="14"/>
      <c r="M2709" s="14" t="s">
        <v>410</v>
      </c>
      <c r="N2709" s="14"/>
      <c r="O2709" s="14" t="s">
        <v>411</v>
      </c>
      <c r="P2709" s="14" t="str">
        <f>HYPERLINK("https://ceds.ed.gov/cedselementdetails.aspx?termid=17751")</f>
        <v>https://ceds.ed.gov/cedselementdetails.aspx?termid=17751</v>
      </c>
      <c r="Q2709" s="14" t="str">
        <f>HYPERLINK("https://ceds.ed.gov/elementComment.aspx?elementName=Alternative Route to Certification or Licensure &amp;elementID=17751", "Click here to submit comment")</f>
        <v>Click here to submit comment</v>
      </c>
      <c r="R2709" s="14">
        <v>48271</v>
      </c>
    </row>
    <row r="2710" spans="1:18" ht="60" x14ac:dyDescent="0.25">
      <c r="A2710" s="14" t="s">
        <v>8974</v>
      </c>
      <c r="B2710" s="14" t="s">
        <v>9004</v>
      </c>
      <c r="C2710" s="14" t="s">
        <v>9054</v>
      </c>
      <c r="D2710" s="14" t="s">
        <v>8531</v>
      </c>
      <c r="E2710" s="14" t="s">
        <v>3404</v>
      </c>
      <c r="F2710" s="14" t="s">
        <v>3405</v>
      </c>
      <c r="G2710" s="8" t="s">
        <v>8558</v>
      </c>
      <c r="H2710" s="14" t="s">
        <v>412</v>
      </c>
      <c r="I2710" s="14"/>
      <c r="J2710" s="14"/>
      <c r="K2710" s="14"/>
      <c r="L2710" s="14" t="s">
        <v>3406</v>
      </c>
      <c r="M2710" s="14" t="s">
        <v>3407</v>
      </c>
      <c r="N2710" s="14"/>
      <c r="O2710" s="14" t="s">
        <v>3408</v>
      </c>
      <c r="P2710" s="14" t="str">
        <f>HYPERLINK("https://ceds.ed.gov/cedselementdetails.aspx?termid=17753")</f>
        <v>https://ceds.ed.gov/cedselementdetails.aspx?termid=17753</v>
      </c>
      <c r="Q2710" s="14" t="str">
        <f>HYPERLINK("https://ceds.ed.gov/elementComment.aspx?elementName=Critical Teacher Shortage Area Candidate &amp;elementID=17753", "Click here to submit comment")</f>
        <v>Click here to submit comment</v>
      </c>
      <c r="R2710" s="14">
        <v>48272</v>
      </c>
    </row>
    <row r="2711" spans="1:18" ht="240" x14ac:dyDescent="0.25">
      <c r="A2711" s="14" t="s">
        <v>8974</v>
      </c>
      <c r="B2711" s="14" t="s">
        <v>9004</v>
      </c>
      <c r="C2711" s="14" t="s">
        <v>9058</v>
      </c>
      <c r="D2711" s="14" t="s">
        <v>8531</v>
      </c>
      <c r="E2711" s="14" t="s">
        <v>479</v>
      </c>
      <c r="F2711" s="14" t="s">
        <v>480</v>
      </c>
      <c r="G2711" s="8" t="s">
        <v>8885</v>
      </c>
      <c r="H2711" s="14" t="s">
        <v>106</v>
      </c>
      <c r="I2711" s="14"/>
      <c r="J2711" s="14"/>
      <c r="K2711" s="14"/>
      <c r="L2711" s="14"/>
      <c r="M2711" s="14" t="s">
        <v>483</v>
      </c>
      <c r="N2711" s="14"/>
      <c r="O2711" s="14" t="s">
        <v>484</v>
      </c>
      <c r="P2711" s="14" t="str">
        <f>HYPERLINK("https://ceds.ed.gov/cedselementdetails.aspx?termid=17374")</f>
        <v>https://ceds.ed.gov/cedselementdetails.aspx?termid=17374</v>
      </c>
      <c r="Q2711" s="14" t="str">
        <f>HYPERLINK("https://ceds.ed.gov/elementComment.aspx?elementName=Assessment Accommodation Category &amp;elementID=17374", "Click here to submit comment")</f>
        <v>Click here to submit comment</v>
      </c>
      <c r="R2711" s="14">
        <v>50069</v>
      </c>
    </row>
    <row r="2712" spans="1:18" ht="60" x14ac:dyDescent="0.25">
      <c r="A2712" s="14" t="s">
        <v>8974</v>
      </c>
      <c r="B2712" s="14" t="s">
        <v>9004</v>
      </c>
      <c r="C2712" s="14" t="s">
        <v>8693</v>
      </c>
      <c r="D2712" s="14" t="s">
        <v>8531</v>
      </c>
      <c r="E2712" s="14" t="s">
        <v>4006</v>
      </c>
      <c r="F2712" s="14" t="s">
        <v>4007</v>
      </c>
      <c r="G2712" s="14" t="s">
        <v>3259</v>
      </c>
      <c r="H2712" s="14"/>
      <c r="I2712" s="14"/>
      <c r="J2712" s="14" t="s">
        <v>3260</v>
      </c>
      <c r="K2712" s="14"/>
      <c r="L2712" s="14"/>
      <c r="M2712" s="14" t="s">
        <v>4009</v>
      </c>
      <c r="N2712" s="14"/>
      <c r="O2712" s="14" t="s">
        <v>4010</v>
      </c>
      <c r="P2712" s="14" t="str">
        <f>HYPERLINK("https://ceds.ed.gov/cedselementdetails.aspx?termid=18070")</f>
        <v>https://ceds.ed.gov/cedselementdetails.aspx?termid=18070</v>
      </c>
      <c r="Q2712" s="14" t="str">
        <f>HYPERLINK("https://ceds.ed.gov/elementComment.aspx?elementName=Employment NAICS Code &amp;elementID=18070", "Click here to submit comment")</f>
        <v>Click here to submit comment</v>
      </c>
      <c r="R2712" s="14">
        <v>48620</v>
      </c>
    </row>
    <row r="2713" spans="1:18" ht="75" x14ac:dyDescent="0.25">
      <c r="A2713" s="14" t="s">
        <v>8974</v>
      </c>
      <c r="B2713" s="14" t="s">
        <v>9004</v>
      </c>
      <c r="C2713" s="14" t="s">
        <v>8693</v>
      </c>
      <c r="D2713" s="14" t="s">
        <v>8531</v>
      </c>
      <c r="E2713" s="14" t="s">
        <v>3995</v>
      </c>
      <c r="F2713" s="14" t="s">
        <v>3996</v>
      </c>
      <c r="G2713" s="14" t="s">
        <v>37</v>
      </c>
      <c r="H2713" s="14" t="s">
        <v>238</v>
      </c>
      <c r="I2713" s="14"/>
      <c r="J2713" s="14" t="s">
        <v>135</v>
      </c>
      <c r="K2713" s="14"/>
      <c r="L2713" s="14" t="s">
        <v>160</v>
      </c>
      <c r="M2713" s="14" t="s">
        <v>3998</v>
      </c>
      <c r="N2713" s="14"/>
      <c r="O2713" s="14" t="s">
        <v>3999</v>
      </c>
      <c r="P2713" s="14" t="str">
        <f>HYPERLINK("https://ceds.ed.gov/cedselementdetails.aspx?termid=17794")</f>
        <v>https://ceds.ed.gov/cedselementdetails.aspx?termid=17794</v>
      </c>
      <c r="Q2713" s="14" t="str">
        <f>HYPERLINK("https://ceds.ed.gov/elementComment.aspx?elementName=Employment End Date &amp;elementID=17794", "Click here to submit comment")</f>
        <v>Click here to submit comment</v>
      </c>
      <c r="R2713" s="14">
        <v>50702</v>
      </c>
    </row>
    <row r="2714" spans="1:18" ht="60" x14ac:dyDescent="0.25">
      <c r="A2714" s="14" t="s">
        <v>8974</v>
      </c>
      <c r="B2714" s="14" t="s">
        <v>9004</v>
      </c>
      <c r="C2714" s="14" t="s">
        <v>8693</v>
      </c>
      <c r="D2714" s="14" t="s">
        <v>8531</v>
      </c>
      <c r="E2714" s="14" t="s">
        <v>4037</v>
      </c>
      <c r="F2714" s="14" t="s">
        <v>4038</v>
      </c>
      <c r="G2714" s="14" t="s">
        <v>37</v>
      </c>
      <c r="H2714" s="14" t="s">
        <v>4041</v>
      </c>
      <c r="I2714" s="14"/>
      <c r="J2714" s="14" t="s">
        <v>135</v>
      </c>
      <c r="K2714" s="14"/>
      <c r="L2714" s="14"/>
      <c r="M2714" s="14" t="s">
        <v>4039</v>
      </c>
      <c r="N2714" s="14"/>
      <c r="O2714" s="14" t="s">
        <v>4040</v>
      </c>
      <c r="P2714" s="14" t="str">
        <f>HYPERLINK("https://ceds.ed.gov/cedselementdetails.aspx?termid=17345")</f>
        <v>https://ceds.ed.gov/cedselementdetails.aspx?termid=17345</v>
      </c>
      <c r="Q2714" s="14" t="str">
        <f>HYPERLINK("https://ceds.ed.gov/elementComment.aspx?elementName=Employment Start Date &amp;elementID=17345", "Click here to submit comment")</f>
        <v>Click here to submit comment</v>
      </c>
      <c r="R2714" s="14">
        <v>50707</v>
      </c>
    </row>
    <row r="2715" spans="1:18" ht="225" x14ac:dyDescent="0.25">
      <c r="A2715" s="14" t="s">
        <v>8974</v>
      </c>
      <c r="B2715" s="14" t="s">
        <v>9004</v>
      </c>
      <c r="C2715" s="14" t="s">
        <v>8693</v>
      </c>
      <c r="D2715" s="14" t="s">
        <v>8531</v>
      </c>
      <c r="E2715" s="14" t="s">
        <v>3990</v>
      </c>
      <c r="F2715" s="14" t="s">
        <v>3991</v>
      </c>
      <c r="G2715" s="14" t="s">
        <v>3978</v>
      </c>
      <c r="H2715" s="14" t="s">
        <v>3983</v>
      </c>
      <c r="I2715" s="14"/>
      <c r="J2715" s="14"/>
      <c r="K2715" s="14"/>
      <c r="L2715" s="14" t="s">
        <v>3992</v>
      </c>
      <c r="M2715" s="14" t="s">
        <v>3993</v>
      </c>
      <c r="N2715" s="14"/>
      <c r="O2715" s="14" t="s">
        <v>3994</v>
      </c>
      <c r="P2715" s="14" t="str">
        <f>HYPERLINK("https://ceds.ed.gov/cedselementdetails.aspx?termid=17989")</f>
        <v>https://ceds.ed.gov/cedselementdetails.aspx?termid=17989</v>
      </c>
      <c r="Q2715" s="14" t="str">
        <f>HYPERLINK("https://ceds.ed.gov/elementComment.aspx?elementName=Employed While Enrolled &amp;elementID=17989", "Click here to submit comment")</f>
        <v>Click here to submit comment</v>
      </c>
      <c r="R2715" s="14">
        <v>48618</v>
      </c>
    </row>
    <row r="2716" spans="1:18" ht="75" x14ac:dyDescent="0.25">
      <c r="A2716" s="14" t="s">
        <v>8974</v>
      </c>
      <c r="B2716" s="14" t="s">
        <v>9004</v>
      </c>
      <c r="C2716" s="14" t="s">
        <v>8693</v>
      </c>
      <c r="D2716" s="14" t="s">
        <v>8531</v>
      </c>
      <c r="E2716" s="14" t="s">
        <v>4046</v>
      </c>
      <c r="F2716" s="14" t="s">
        <v>4047</v>
      </c>
      <c r="G2716" s="8" t="s">
        <v>9059</v>
      </c>
      <c r="H2716" s="14"/>
      <c r="I2716" s="14"/>
      <c r="J2716" s="14"/>
      <c r="K2716" s="14"/>
      <c r="L2716" s="14"/>
      <c r="M2716" s="14" t="s">
        <v>4050</v>
      </c>
      <c r="N2716" s="14"/>
      <c r="O2716" s="14" t="s">
        <v>4051</v>
      </c>
      <c r="P2716" s="14" t="str">
        <f>HYPERLINK("https://ceds.ed.gov/cedselementdetails.aspx?termid=18310")</f>
        <v>https://ceds.ed.gov/cedselementdetails.aspx?termid=18310</v>
      </c>
      <c r="Q2716" s="14" t="str">
        <f>HYPERLINK("https://ceds.ed.gov/elementComment.aspx?elementName=Employment Status While Enrolled &amp;elementID=18310", "Click here to submit comment")</f>
        <v>Click here to submit comment</v>
      </c>
      <c r="R2716" s="14">
        <v>50156</v>
      </c>
    </row>
    <row r="2717" spans="1:18" ht="270" x14ac:dyDescent="0.25">
      <c r="A2717" s="14" t="s">
        <v>8974</v>
      </c>
      <c r="B2717" s="14" t="s">
        <v>9004</v>
      </c>
      <c r="C2717" s="14" t="s">
        <v>8693</v>
      </c>
      <c r="D2717" s="14" t="s">
        <v>8531</v>
      </c>
      <c r="E2717" s="14" t="s">
        <v>3976</v>
      </c>
      <c r="F2717" s="14" t="s">
        <v>3977</v>
      </c>
      <c r="G2717" s="14" t="s">
        <v>3978</v>
      </c>
      <c r="H2717" s="14" t="s">
        <v>3983</v>
      </c>
      <c r="I2717" s="14"/>
      <c r="J2717" s="14"/>
      <c r="K2717" s="14"/>
      <c r="L2717" s="14" t="s">
        <v>3980</v>
      </c>
      <c r="M2717" s="14" t="s">
        <v>3981</v>
      </c>
      <c r="N2717" s="14"/>
      <c r="O2717" s="14" t="s">
        <v>3982</v>
      </c>
      <c r="P2717" s="14" t="str">
        <f>HYPERLINK("https://ceds.ed.gov/cedselementdetails.aspx?termid=17990")</f>
        <v>https://ceds.ed.gov/cedselementdetails.aspx?termid=17990</v>
      </c>
      <c r="Q2717" s="14" t="str">
        <f>HYPERLINK("https://ceds.ed.gov/elementComment.aspx?elementName=Employed After Exit &amp;elementID=17990", "Click here to submit comment")</f>
        <v>Click here to submit comment</v>
      </c>
      <c r="R2717" s="14">
        <v>48616</v>
      </c>
    </row>
    <row r="2718" spans="1:18" ht="240" x14ac:dyDescent="0.25">
      <c r="A2718" s="14" t="s">
        <v>8974</v>
      </c>
      <c r="B2718" s="14" t="s">
        <v>9004</v>
      </c>
      <c r="C2718" s="14" t="s">
        <v>9060</v>
      </c>
      <c r="D2718" s="14" t="s">
        <v>8531</v>
      </c>
      <c r="E2718" s="14" t="s">
        <v>8492</v>
      </c>
      <c r="F2718" s="14" t="s">
        <v>8493</v>
      </c>
      <c r="G2718" s="8" t="s">
        <v>8916</v>
      </c>
      <c r="H2718" s="14"/>
      <c r="I2718" s="14"/>
      <c r="J2718" s="14"/>
      <c r="K2718" s="14"/>
      <c r="L2718" s="14"/>
      <c r="M2718" s="14" t="s">
        <v>8496</v>
      </c>
      <c r="N2718" s="14"/>
      <c r="O2718" s="14" t="s">
        <v>8497</v>
      </c>
      <c r="P2718" s="14" t="str">
        <f>HYPERLINK("https://ceds.ed.gov/cedselementdetails.aspx?termid=18471")</f>
        <v>https://ceds.ed.gov/cedselementdetails.aspx?termid=18471</v>
      </c>
      <c r="Q2718" s="14" t="str">
        <f>HYPERLINK("https://ceds.ed.gov/elementComment.aspx?elementName=Work-based Learning Opportunity Type &amp;elementID=18471", "Click here to submit comment")</f>
        <v>Click here to submit comment</v>
      </c>
      <c r="R2718" s="14">
        <v>50453</v>
      </c>
    </row>
    <row r="2719" spans="1:18" ht="45" x14ac:dyDescent="0.25">
      <c r="A2719" s="14" t="s">
        <v>8974</v>
      </c>
      <c r="B2719" s="14" t="s">
        <v>9004</v>
      </c>
      <c r="C2719" s="14" t="s">
        <v>9060</v>
      </c>
      <c r="D2719" s="14" t="s">
        <v>8541</v>
      </c>
      <c r="E2719" s="14" t="s">
        <v>7077</v>
      </c>
      <c r="F2719" s="14" t="s">
        <v>7078</v>
      </c>
      <c r="G2719" s="14" t="s">
        <v>37</v>
      </c>
      <c r="H2719" s="14"/>
      <c r="I2719" s="14" t="s">
        <v>188</v>
      </c>
      <c r="J2719" s="14" t="s">
        <v>129</v>
      </c>
      <c r="K2719" s="14" t="s">
        <v>1721</v>
      </c>
      <c r="L2719" s="14"/>
      <c r="M2719" s="14" t="s">
        <v>7080</v>
      </c>
      <c r="N2719" s="14"/>
      <c r="O2719" s="14" t="s">
        <v>7081</v>
      </c>
      <c r="P2719" s="14" t="str">
        <f>HYPERLINK("https://ceds.ed.gov/cedselementdetails.aspx?termid=18909")</f>
        <v>https://ceds.ed.gov/cedselementdetails.aspx?termid=18909</v>
      </c>
      <c r="Q2719" s="14" t="str">
        <f>HYPERLINK("https://ceds.ed.gov/elementComment.aspx?elementName=Program Entry Reason &amp;elementID=18909", "Click here to submit comment")</f>
        <v>Click here to submit comment</v>
      </c>
      <c r="R2719" s="14">
        <v>52439</v>
      </c>
    </row>
    <row r="2720" spans="1:18" ht="90" x14ac:dyDescent="0.25">
      <c r="A2720" s="14" t="s">
        <v>8974</v>
      </c>
      <c r="B2720" s="14" t="s">
        <v>9004</v>
      </c>
      <c r="C2720" s="14" t="s">
        <v>8632</v>
      </c>
      <c r="D2720" s="14" t="s">
        <v>8541</v>
      </c>
      <c r="E2720" s="14" t="s">
        <v>5662</v>
      </c>
      <c r="F2720" s="14" t="s">
        <v>5663</v>
      </c>
      <c r="G2720" s="14" t="s">
        <v>8527</v>
      </c>
      <c r="H2720" s="14" t="s">
        <v>5668</v>
      </c>
      <c r="I2720" s="14" t="s">
        <v>195</v>
      </c>
      <c r="J2720" s="14"/>
      <c r="K2720" s="14" t="s">
        <v>5665</v>
      </c>
      <c r="L2720" s="6" t="s">
        <v>1087</v>
      </c>
      <c r="M2720" s="14" t="s">
        <v>5666</v>
      </c>
      <c r="N2720" s="14"/>
      <c r="O2720" s="14" t="s">
        <v>5667</v>
      </c>
      <c r="P2720" s="14" t="str">
        <f>HYPERLINK("https://ceds.ed.gov/cedselementdetails.aspx?termid=17317")</f>
        <v>https://ceds.ed.gov/cedselementdetails.aspx?termid=17317</v>
      </c>
      <c r="Q2720" s="14" t="str">
        <f>HYPERLINK("https://ceds.ed.gov/elementComment.aspx?elementName=ISO 639-2 Language Code &amp;elementID=17317", "Click here to submit comment")</f>
        <v>Click here to submit comment</v>
      </c>
      <c r="R2720" s="14">
        <v>52435</v>
      </c>
    </row>
    <row r="2721" spans="1:18" ht="105" x14ac:dyDescent="0.25">
      <c r="A2721" s="14" t="s">
        <v>8974</v>
      </c>
      <c r="B2721" s="14" t="s">
        <v>9004</v>
      </c>
      <c r="C2721" s="14" t="s">
        <v>8632</v>
      </c>
      <c r="D2721" s="14" t="s">
        <v>8541</v>
      </c>
      <c r="E2721" s="14" t="s">
        <v>5669</v>
      </c>
      <c r="F2721" s="14" t="s">
        <v>5663</v>
      </c>
      <c r="G2721" s="14" t="s">
        <v>8527</v>
      </c>
      <c r="H2721" s="14"/>
      <c r="I2721" s="14" t="s">
        <v>195</v>
      </c>
      <c r="J2721" s="14"/>
      <c r="K2721" s="14" t="s">
        <v>5670</v>
      </c>
      <c r="L2721" s="6" t="s">
        <v>5671</v>
      </c>
      <c r="M2721" s="14" t="s">
        <v>5672</v>
      </c>
      <c r="N2721" s="14"/>
      <c r="O2721" s="14" t="s">
        <v>5673</v>
      </c>
      <c r="P2721" s="14" t="str">
        <f>HYPERLINK("https://ceds.ed.gov/cedselementdetails.aspx?termid=18618")</f>
        <v>https://ceds.ed.gov/cedselementdetails.aspx?termid=18618</v>
      </c>
      <c r="Q2721" s="14" t="str">
        <f>HYPERLINK("https://ceds.ed.gov/elementComment.aspx?elementName=ISO 639-3 Language Code &amp;elementID=18618", "Click here to submit comment")</f>
        <v>Click here to submit comment</v>
      </c>
      <c r="R2721" s="14">
        <v>52436</v>
      </c>
    </row>
    <row r="2722" spans="1:18" ht="409.5" x14ac:dyDescent="0.25">
      <c r="A2722" s="14" t="s">
        <v>8974</v>
      </c>
      <c r="B2722" s="14" t="s">
        <v>9004</v>
      </c>
      <c r="C2722" s="14" t="s">
        <v>8632</v>
      </c>
      <c r="D2722" s="14" t="s">
        <v>8541</v>
      </c>
      <c r="E2722" s="14" t="s">
        <v>5674</v>
      </c>
      <c r="F2722" s="14" t="s">
        <v>5675</v>
      </c>
      <c r="G2722" s="8" t="s">
        <v>8634</v>
      </c>
      <c r="H2722" s="14"/>
      <c r="I2722" s="14" t="s">
        <v>195</v>
      </c>
      <c r="J2722" s="14"/>
      <c r="K2722" s="14" t="s">
        <v>2856</v>
      </c>
      <c r="L2722" s="6" t="s">
        <v>5677</v>
      </c>
      <c r="M2722" s="14" t="s">
        <v>5678</v>
      </c>
      <c r="N2722" s="14"/>
      <c r="O2722" s="14" t="s">
        <v>5679</v>
      </c>
      <c r="P2722" s="14" t="str">
        <f>HYPERLINK("https://ceds.ed.gov/cedselementdetails.aspx?termid=18619")</f>
        <v>https://ceds.ed.gov/cedselementdetails.aspx?termid=18619</v>
      </c>
      <c r="Q2722" s="14" t="str">
        <f>HYPERLINK("https://ceds.ed.gov/elementComment.aspx?elementName=ISO 639-5 Language Family &amp;elementID=18619", "Click here to submit comment")</f>
        <v>Click here to submit comment</v>
      </c>
      <c r="R2722" s="14">
        <v>52437</v>
      </c>
    </row>
    <row r="2723" spans="1:18" ht="135" x14ac:dyDescent="0.25">
      <c r="A2723" s="14" t="s">
        <v>8974</v>
      </c>
      <c r="B2723" s="14" t="s">
        <v>9004</v>
      </c>
      <c r="C2723" s="14" t="s">
        <v>8632</v>
      </c>
      <c r="D2723" s="14" t="s">
        <v>8541</v>
      </c>
      <c r="E2723" s="14" t="s">
        <v>5717</v>
      </c>
      <c r="F2723" s="14" t="s">
        <v>5718</v>
      </c>
      <c r="G2723" s="8" t="s">
        <v>8633</v>
      </c>
      <c r="H2723" s="14" t="s">
        <v>5668</v>
      </c>
      <c r="I2723" s="14" t="s">
        <v>195</v>
      </c>
      <c r="J2723" s="14"/>
      <c r="K2723" s="14" t="s">
        <v>2856</v>
      </c>
      <c r="L2723" s="14"/>
      <c r="M2723" s="14" t="s">
        <v>5721</v>
      </c>
      <c r="N2723" s="14"/>
      <c r="O2723" s="14" t="s">
        <v>5722</v>
      </c>
      <c r="P2723" s="14" t="str">
        <f>HYPERLINK("https://ceds.ed.gov/cedselementdetails.aspx?termid=17316")</f>
        <v>https://ceds.ed.gov/cedselementdetails.aspx?termid=17316</v>
      </c>
      <c r="Q2723" s="14" t="str">
        <f>HYPERLINK("https://ceds.ed.gov/elementComment.aspx?elementName=Language Type &amp;elementID=17316", "Click here to submit comment")</f>
        <v>Click here to submit comment</v>
      </c>
      <c r="R2723" s="14">
        <v>52438</v>
      </c>
    </row>
    <row r="2724" spans="1:18" ht="90" x14ac:dyDescent="0.25">
      <c r="A2724" s="14" t="s">
        <v>8974</v>
      </c>
      <c r="B2724" s="14" t="s">
        <v>9004</v>
      </c>
      <c r="C2724" s="14" t="s">
        <v>8673</v>
      </c>
      <c r="D2724" s="14" t="s">
        <v>8541</v>
      </c>
      <c r="E2724" s="14" t="s">
        <v>3428</v>
      </c>
      <c r="F2724" s="14" t="s">
        <v>3429</v>
      </c>
      <c r="G2724" s="14" t="s">
        <v>3430</v>
      </c>
      <c r="H2724" s="14" t="s">
        <v>467</v>
      </c>
      <c r="I2724" s="14" t="s">
        <v>195</v>
      </c>
      <c r="J2724" s="14"/>
      <c r="K2724" s="14" t="s">
        <v>3432</v>
      </c>
      <c r="L2724" s="14"/>
      <c r="M2724" s="14" t="s">
        <v>3433</v>
      </c>
      <c r="N2724" s="14"/>
      <c r="O2724" s="14" t="s">
        <v>3434</v>
      </c>
      <c r="P2724" s="14" t="str">
        <f>HYPERLINK("https://ceds.ed.gov/cedselementdetails.aspx?termid=17328")</f>
        <v>https://ceds.ed.gov/cedselementdetails.aspx?termid=17328</v>
      </c>
      <c r="Q2724" s="14" t="str">
        <f>HYPERLINK("https://ceds.ed.gov/elementComment.aspx?elementName=Custodial Parent or Guardian Indicator &amp;elementID=17328", "Click here to submit comment")</f>
        <v>Click here to submit comment</v>
      </c>
      <c r="R2724" s="14">
        <v>52440</v>
      </c>
    </row>
    <row r="2725" spans="1:18" ht="409.5" x14ac:dyDescent="0.25">
      <c r="A2725" s="14" t="s">
        <v>8974</v>
      </c>
      <c r="B2725" s="14" t="s">
        <v>9004</v>
      </c>
      <c r="C2725" s="14" t="s">
        <v>8673</v>
      </c>
      <c r="D2725" s="14" t="s">
        <v>8541</v>
      </c>
      <c r="E2725" s="14" t="s">
        <v>6727</v>
      </c>
      <c r="F2725" s="14" t="s">
        <v>6728</v>
      </c>
      <c r="G2725" s="8" t="s">
        <v>8674</v>
      </c>
      <c r="H2725" s="14" t="s">
        <v>1751</v>
      </c>
      <c r="I2725" s="14" t="s">
        <v>195</v>
      </c>
      <c r="J2725" s="14"/>
      <c r="K2725" s="14" t="s">
        <v>6731</v>
      </c>
      <c r="L2725" s="14" t="s">
        <v>6732</v>
      </c>
      <c r="M2725" s="14" t="s">
        <v>6733</v>
      </c>
      <c r="N2725" s="14"/>
      <c r="O2725" s="14" t="s">
        <v>6734</v>
      </c>
      <c r="P2725" s="14" t="str">
        <f>HYPERLINK("https://ceds.ed.gov/cedselementdetails.aspx?termid=17415")</f>
        <v>https://ceds.ed.gov/cedselementdetails.aspx?termid=17415</v>
      </c>
      <c r="Q2725" s="14" t="str">
        <f>HYPERLINK("https://ceds.ed.gov/elementComment.aspx?elementName=Person Relationship Type &amp;elementID=17415", "Click here to submit comment")</f>
        <v>Click here to submit comment</v>
      </c>
      <c r="R2725" s="14">
        <v>52441</v>
      </c>
    </row>
    <row r="2726" spans="1:18" ht="45" x14ac:dyDescent="0.25">
      <c r="A2726" s="14" t="s">
        <v>8974</v>
      </c>
      <c r="B2726" s="14" t="s">
        <v>9004</v>
      </c>
      <c r="C2726" s="14" t="s">
        <v>4</v>
      </c>
      <c r="D2726" s="14" t="s">
        <v>8541</v>
      </c>
      <c r="E2726" s="14" t="s">
        <v>1719</v>
      </c>
      <c r="F2726" s="14" t="s">
        <v>1720</v>
      </c>
      <c r="G2726" s="14" t="s">
        <v>24</v>
      </c>
      <c r="H2726" s="14"/>
      <c r="I2726" s="14" t="s">
        <v>188</v>
      </c>
      <c r="J2726" s="14"/>
      <c r="K2726" s="14" t="s">
        <v>1721</v>
      </c>
      <c r="L2726" s="14"/>
      <c r="M2726" s="14" t="s">
        <v>1722</v>
      </c>
      <c r="N2726" s="14"/>
      <c r="O2726" s="14" t="s">
        <v>1723</v>
      </c>
      <c r="P2726" s="14" t="str">
        <f>HYPERLINK("https://ceds.ed.gov/cedselementdetails.aspx?termid=18903")</f>
        <v>https://ceds.ed.gov/cedselementdetails.aspx?termid=18903</v>
      </c>
      <c r="Q2726" s="14" t="str">
        <f>HYPERLINK("https://ceds.ed.gov/elementComment.aspx?elementName=Awaiting Foster Care Status &amp;elementID=18903", "Click here to submit comment")</f>
        <v>Click here to submit comment</v>
      </c>
      <c r="R2726" s="14">
        <v>52442</v>
      </c>
    </row>
    <row r="2727" spans="1:18" ht="75" x14ac:dyDescent="0.25">
      <c r="A2727" s="14" t="s">
        <v>8974</v>
      </c>
      <c r="B2727" s="14" t="s">
        <v>9004</v>
      </c>
      <c r="C2727" s="14" t="s">
        <v>4</v>
      </c>
      <c r="D2727" s="14" t="s">
        <v>8541</v>
      </c>
      <c r="E2727" s="14" t="s">
        <v>7201</v>
      </c>
      <c r="F2727" s="14" t="s">
        <v>7202</v>
      </c>
      <c r="G2727" s="14" t="s">
        <v>24</v>
      </c>
      <c r="H2727" s="14"/>
      <c r="I2727" s="14" t="s">
        <v>195</v>
      </c>
      <c r="J2727" s="14"/>
      <c r="K2727" s="14" t="s">
        <v>2856</v>
      </c>
      <c r="L2727" s="14"/>
      <c r="M2727" s="14" t="s">
        <v>7204</v>
      </c>
      <c r="N2727" s="14"/>
      <c r="O2727" s="14" t="s">
        <v>7205</v>
      </c>
      <c r="P2727" s="14" t="str">
        <f>HYPERLINK("https://ceds.ed.gov/cedselementdetails.aspx?termid=17760")</f>
        <v>https://ceds.ed.gov/cedselementdetails.aspx?termid=17760</v>
      </c>
      <c r="Q2727" s="14" t="str">
        <f>HYPERLINK("https://ceds.ed.gov/elementComment.aspx?elementName=Public Assistance Status &amp;elementID=17760", "Click here to submit comment")</f>
        <v>Click here to submit comment</v>
      </c>
      <c r="R2727" s="14">
        <v>52443</v>
      </c>
    </row>
    <row r="2728" spans="1:18" ht="195" x14ac:dyDescent="0.25">
      <c r="A2728" s="14" t="s">
        <v>8974</v>
      </c>
      <c r="B2728" s="14" t="s">
        <v>8675</v>
      </c>
      <c r="C2728" s="14" t="s">
        <v>8597</v>
      </c>
      <c r="D2728" s="14" t="s">
        <v>8531</v>
      </c>
      <c r="E2728" s="14" t="s">
        <v>4667</v>
      </c>
      <c r="F2728" s="14" t="s">
        <v>4668</v>
      </c>
      <c r="G2728" s="14" t="s">
        <v>37</v>
      </c>
      <c r="H2728" s="14" t="s">
        <v>4673</v>
      </c>
      <c r="I2728" s="14"/>
      <c r="J2728" s="14" t="s">
        <v>1468</v>
      </c>
      <c r="K2728" s="14"/>
      <c r="L2728" s="14" t="s">
        <v>4670</v>
      </c>
      <c r="M2728" s="14" t="s">
        <v>4671</v>
      </c>
      <c r="N2728" s="14"/>
      <c r="O2728" s="14" t="s">
        <v>4672</v>
      </c>
      <c r="P2728" s="14" t="str">
        <f>HYPERLINK("https://ceds.ed.gov/cedselementdetails.aspx?termid=17115")</f>
        <v>https://ceds.ed.gov/cedselementdetails.aspx?termid=17115</v>
      </c>
      <c r="Q2728" s="14" t="str">
        <f>HYPERLINK("https://ceds.ed.gov/elementComment.aspx?elementName=First Name &amp;elementID=17115", "Click here to submit comment")</f>
        <v>Click here to submit comment</v>
      </c>
      <c r="R2728" s="14">
        <v>50467</v>
      </c>
    </row>
    <row r="2729" spans="1:18" x14ac:dyDescent="0.25">
      <c r="A2729" s="16" t="s">
        <v>8974</v>
      </c>
      <c r="B2729" s="16" t="s">
        <v>8675</v>
      </c>
      <c r="C2729" s="16" t="s">
        <v>8597</v>
      </c>
      <c r="D2729" s="16" t="s">
        <v>8531</v>
      </c>
      <c r="E2729" s="16" t="s">
        <v>6223</v>
      </c>
      <c r="F2729" s="16" t="s">
        <v>6224</v>
      </c>
      <c r="G2729" s="16" t="s">
        <v>37</v>
      </c>
      <c r="H2729" s="16" t="s">
        <v>4673</v>
      </c>
      <c r="I2729" s="16"/>
      <c r="J2729" s="16" t="s">
        <v>1468</v>
      </c>
      <c r="K2729" s="16"/>
      <c r="L2729" s="14" t="s">
        <v>4746</v>
      </c>
      <c r="M2729" s="16" t="s">
        <v>6226</v>
      </c>
      <c r="N2729" s="16"/>
      <c r="O2729" s="16" t="s">
        <v>6227</v>
      </c>
      <c r="P2729" s="16" t="str">
        <f>HYPERLINK("https://ceds.ed.gov/cedselementdetails.aspx?termid=17184")</f>
        <v>https://ceds.ed.gov/cedselementdetails.aspx?termid=17184</v>
      </c>
      <c r="Q2729" s="16" t="str">
        <f>HYPERLINK("https://ceds.ed.gov/elementComment.aspx?elementName=Middle Name &amp;elementID=17184", "Click here to submit comment")</f>
        <v>Click here to submit comment</v>
      </c>
      <c r="R2729" s="16">
        <v>50470</v>
      </c>
    </row>
    <row r="2730" spans="1:18" ht="90" x14ac:dyDescent="0.25">
      <c r="A2730" s="16"/>
      <c r="B2730" s="16"/>
      <c r="C2730" s="16"/>
      <c r="D2730" s="16"/>
      <c r="E2730" s="16"/>
      <c r="F2730" s="16"/>
      <c r="G2730" s="16"/>
      <c r="H2730" s="16"/>
      <c r="I2730" s="16"/>
      <c r="J2730" s="16"/>
      <c r="K2730" s="16"/>
      <c r="L2730" s="14" t="s">
        <v>4750</v>
      </c>
      <c r="M2730" s="16"/>
      <c r="N2730" s="16"/>
      <c r="O2730" s="16"/>
      <c r="P2730" s="16"/>
      <c r="Q2730" s="16"/>
      <c r="R2730" s="16"/>
    </row>
    <row r="2731" spans="1:18" x14ac:dyDescent="0.25">
      <c r="A2731" s="16" t="s">
        <v>8974</v>
      </c>
      <c r="B2731" s="16" t="s">
        <v>8675</v>
      </c>
      <c r="C2731" s="16" t="s">
        <v>8597</v>
      </c>
      <c r="D2731" s="16" t="s">
        <v>8531</v>
      </c>
      <c r="E2731" s="16" t="s">
        <v>5727</v>
      </c>
      <c r="F2731" s="16" t="s">
        <v>5728</v>
      </c>
      <c r="G2731" s="16" t="s">
        <v>37</v>
      </c>
      <c r="H2731" s="16" t="s">
        <v>4673</v>
      </c>
      <c r="I2731" s="16"/>
      <c r="J2731" s="16" t="s">
        <v>1468</v>
      </c>
      <c r="K2731" s="16"/>
      <c r="L2731" s="14" t="s">
        <v>4746</v>
      </c>
      <c r="M2731" s="16" t="s">
        <v>5729</v>
      </c>
      <c r="N2731" s="16" t="s">
        <v>5730</v>
      </c>
      <c r="O2731" s="16" t="s">
        <v>5731</v>
      </c>
      <c r="P2731" s="16" t="str">
        <f>HYPERLINK("https://ceds.ed.gov/cedselementdetails.aspx?termid=17172")</f>
        <v>https://ceds.ed.gov/cedselementdetails.aspx?termid=17172</v>
      </c>
      <c r="Q2731" s="16" t="str">
        <f>HYPERLINK("https://ceds.ed.gov/elementComment.aspx?elementName=Last or Surname &amp;elementID=17172", "Click here to submit comment")</f>
        <v>Click here to submit comment</v>
      </c>
      <c r="R2731" s="16">
        <v>50469</v>
      </c>
    </row>
    <row r="2732" spans="1:18" ht="90" x14ac:dyDescent="0.25">
      <c r="A2732" s="16"/>
      <c r="B2732" s="16"/>
      <c r="C2732" s="16"/>
      <c r="D2732" s="16"/>
      <c r="E2732" s="16"/>
      <c r="F2732" s="16"/>
      <c r="G2732" s="16"/>
      <c r="H2732" s="16"/>
      <c r="I2732" s="16"/>
      <c r="J2732" s="16"/>
      <c r="K2732" s="16"/>
      <c r="L2732" s="14" t="s">
        <v>4750</v>
      </c>
      <c r="M2732" s="16"/>
      <c r="N2732" s="16"/>
      <c r="O2732" s="16"/>
      <c r="P2732" s="16"/>
      <c r="Q2732" s="16"/>
      <c r="R2732" s="16"/>
    </row>
    <row r="2733" spans="1:18" x14ac:dyDescent="0.25">
      <c r="A2733" s="16" t="s">
        <v>8974</v>
      </c>
      <c r="B2733" s="16" t="s">
        <v>8675</v>
      </c>
      <c r="C2733" s="16" t="s">
        <v>8597</v>
      </c>
      <c r="D2733" s="16" t="s">
        <v>8531</v>
      </c>
      <c r="E2733" s="16" t="s">
        <v>4743</v>
      </c>
      <c r="F2733" s="16" t="s">
        <v>4744</v>
      </c>
      <c r="G2733" s="16" t="s">
        <v>37</v>
      </c>
      <c r="H2733" s="16" t="s">
        <v>4749</v>
      </c>
      <c r="I2733" s="16"/>
      <c r="J2733" s="16" t="s">
        <v>3096</v>
      </c>
      <c r="K2733" s="16"/>
      <c r="L2733" s="14" t="s">
        <v>4746</v>
      </c>
      <c r="M2733" s="16" t="s">
        <v>4747</v>
      </c>
      <c r="N2733" s="16"/>
      <c r="O2733" s="16" t="s">
        <v>4748</v>
      </c>
      <c r="P2733" s="16" t="str">
        <f>HYPERLINK("https://ceds.ed.gov/cedselementdetails.aspx?termid=17121")</f>
        <v>https://ceds.ed.gov/cedselementdetails.aspx?termid=17121</v>
      </c>
      <c r="Q2733" s="16" t="str">
        <f>HYPERLINK("https://ceds.ed.gov/elementComment.aspx?elementName=Generation Code or Suffix &amp;elementID=17121", "Click here to submit comment")</f>
        <v>Click here to submit comment</v>
      </c>
      <c r="R2733" s="16">
        <v>50468</v>
      </c>
    </row>
    <row r="2734" spans="1:18" ht="90" x14ac:dyDescent="0.25">
      <c r="A2734" s="16"/>
      <c r="B2734" s="16"/>
      <c r="C2734" s="16"/>
      <c r="D2734" s="16"/>
      <c r="E2734" s="16"/>
      <c r="F2734" s="16"/>
      <c r="G2734" s="16"/>
      <c r="H2734" s="16"/>
      <c r="I2734" s="16"/>
      <c r="J2734" s="16"/>
      <c r="K2734" s="16"/>
      <c r="L2734" s="14" t="s">
        <v>4750</v>
      </c>
      <c r="M2734" s="16"/>
      <c r="N2734" s="16"/>
      <c r="O2734" s="16"/>
      <c r="P2734" s="16"/>
      <c r="Q2734" s="16"/>
      <c r="R2734" s="16"/>
    </row>
    <row r="2735" spans="1:18" ht="105" x14ac:dyDescent="0.25">
      <c r="A2735" s="14" t="s">
        <v>8974</v>
      </c>
      <c r="B2735" s="14" t="s">
        <v>8675</v>
      </c>
      <c r="C2735" s="14" t="s">
        <v>8597</v>
      </c>
      <c r="D2735" s="14" t="s">
        <v>8531</v>
      </c>
      <c r="E2735" s="14" t="s">
        <v>6741</v>
      </c>
      <c r="F2735" s="14" t="s">
        <v>6742</v>
      </c>
      <c r="G2735" s="14" t="s">
        <v>37</v>
      </c>
      <c r="H2735" s="14" t="s">
        <v>6747</v>
      </c>
      <c r="I2735" s="14"/>
      <c r="J2735" s="14" t="s">
        <v>97</v>
      </c>
      <c r="K2735" s="14"/>
      <c r="L2735" s="14"/>
      <c r="M2735" s="14" t="s">
        <v>6744</v>
      </c>
      <c r="N2735" s="14" t="s">
        <v>6745</v>
      </c>
      <c r="O2735" s="14" t="s">
        <v>6746</v>
      </c>
      <c r="P2735" s="14" t="str">
        <f>HYPERLINK("https://ceds.ed.gov/cedselementdetails.aspx?termid=17212")</f>
        <v>https://ceds.ed.gov/cedselementdetails.aspx?termid=17212</v>
      </c>
      <c r="Q2735" s="14" t="str">
        <f>HYPERLINK("https://ceds.ed.gov/elementComment.aspx?elementName=Personal Title or Prefix &amp;elementID=17212", "Click here to submit comment")</f>
        <v>Click here to submit comment</v>
      </c>
      <c r="R2735" s="14">
        <v>50471</v>
      </c>
    </row>
    <row r="2736" spans="1:18" ht="45" x14ac:dyDescent="0.25">
      <c r="A2736" s="14" t="s">
        <v>8974</v>
      </c>
      <c r="B2736" s="14" t="s">
        <v>8675</v>
      </c>
      <c r="C2736" s="14" t="s">
        <v>8598</v>
      </c>
      <c r="D2736" s="14" t="s">
        <v>8531</v>
      </c>
      <c r="E2736" s="14" t="s">
        <v>6586</v>
      </c>
      <c r="F2736" s="14" t="s">
        <v>6587</v>
      </c>
      <c r="G2736" s="14" t="s">
        <v>37</v>
      </c>
      <c r="H2736" s="14"/>
      <c r="I2736" s="14"/>
      <c r="J2736" s="14" t="s">
        <v>1468</v>
      </c>
      <c r="K2736" s="14"/>
      <c r="L2736" s="14" t="s">
        <v>6589</v>
      </c>
      <c r="M2736" s="14" t="s">
        <v>6590</v>
      </c>
      <c r="N2736" s="14"/>
      <c r="O2736" s="14" t="s">
        <v>6591</v>
      </c>
      <c r="P2736" s="14" t="str">
        <f>HYPERLINK("https://ceds.ed.gov/cedselementdetails.aspx?termid=18486")</f>
        <v>https://ceds.ed.gov/cedselementdetails.aspx?termid=18486</v>
      </c>
      <c r="Q2736" s="14" t="str">
        <f>HYPERLINK("https://ceds.ed.gov/elementComment.aspx?elementName=Other First Name &amp;elementID=18486", "Click here to submit comment")</f>
        <v>Click here to submit comment</v>
      </c>
      <c r="R2736" s="14">
        <v>50640</v>
      </c>
    </row>
    <row r="2737" spans="1:18" ht="45" x14ac:dyDescent="0.25">
      <c r="A2737" s="14" t="s">
        <v>8974</v>
      </c>
      <c r="B2737" s="14" t="s">
        <v>8675</v>
      </c>
      <c r="C2737" s="14" t="s">
        <v>8598</v>
      </c>
      <c r="D2737" s="14" t="s">
        <v>8531</v>
      </c>
      <c r="E2737" s="14" t="s">
        <v>6592</v>
      </c>
      <c r="F2737" s="14" t="s">
        <v>6593</v>
      </c>
      <c r="G2737" s="14" t="s">
        <v>37</v>
      </c>
      <c r="H2737" s="14"/>
      <c r="I2737" s="14"/>
      <c r="J2737" s="14" t="s">
        <v>1468</v>
      </c>
      <c r="K2737" s="14"/>
      <c r="L2737" s="14" t="s">
        <v>6594</v>
      </c>
      <c r="M2737" s="14" t="s">
        <v>6595</v>
      </c>
      <c r="N2737" s="14"/>
      <c r="O2737" s="14" t="s">
        <v>6596</v>
      </c>
      <c r="P2737" s="14" t="str">
        <f>HYPERLINK("https://ceds.ed.gov/cedselementdetails.aspx?termid=18485")</f>
        <v>https://ceds.ed.gov/cedselementdetails.aspx?termid=18485</v>
      </c>
      <c r="Q2737" s="14" t="str">
        <f>HYPERLINK("https://ceds.ed.gov/elementComment.aspx?elementName=Other Last Name &amp;elementID=18485", "Click here to submit comment")</f>
        <v>Click here to submit comment</v>
      </c>
      <c r="R2737" s="14">
        <v>50624</v>
      </c>
    </row>
    <row r="2738" spans="1:18" ht="45" x14ac:dyDescent="0.25">
      <c r="A2738" s="14" t="s">
        <v>8974</v>
      </c>
      <c r="B2738" s="14" t="s">
        <v>8675</v>
      </c>
      <c r="C2738" s="14" t="s">
        <v>8598</v>
      </c>
      <c r="D2738" s="14" t="s">
        <v>8531</v>
      </c>
      <c r="E2738" s="14" t="s">
        <v>6597</v>
      </c>
      <c r="F2738" s="14" t="s">
        <v>6598</v>
      </c>
      <c r="G2738" s="14" t="s">
        <v>37</v>
      </c>
      <c r="H2738" s="14"/>
      <c r="I2738" s="14"/>
      <c r="J2738" s="14" t="s">
        <v>1468</v>
      </c>
      <c r="K2738" s="14"/>
      <c r="L2738" s="14" t="s">
        <v>6599</v>
      </c>
      <c r="M2738" s="14" t="s">
        <v>6600</v>
      </c>
      <c r="N2738" s="14"/>
      <c r="O2738" s="14" t="s">
        <v>6601</v>
      </c>
      <c r="P2738" s="14" t="str">
        <f>HYPERLINK("https://ceds.ed.gov/cedselementdetails.aspx?termid=18487")</f>
        <v>https://ceds.ed.gov/cedselementdetails.aspx?termid=18487</v>
      </c>
      <c r="Q2738" s="14" t="str">
        <f>HYPERLINK("https://ceds.ed.gov/elementComment.aspx?elementName=Other Middle Name &amp;elementID=18487", "Click here to submit comment")</f>
        <v>Click here to submit comment</v>
      </c>
      <c r="R2738" s="14">
        <v>50656</v>
      </c>
    </row>
    <row r="2739" spans="1:18" ht="150" x14ac:dyDescent="0.25">
      <c r="A2739" s="14" t="s">
        <v>8974</v>
      </c>
      <c r="B2739" s="14" t="s">
        <v>8675</v>
      </c>
      <c r="C2739" s="14" t="s">
        <v>8598</v>
      </c>
      <c r="D2739" s="14" t="s">
        <v>8531</v>
      </c>
      <c r="E2739" s="14" t="s">
        <v>6602</v>
      </c>
      <c r="F2739" s="14" t="s">
        <v>6603</v>
      </c>
      <c r="G2739" s="14" t="s">
        <v>37</v>
      </c>
      <c r="H2739" s="14" t="s">
        <v>4749</v>
      </c>
      <c r="I2739" s="14"/>
      <c r="J2739" s="14" t="s">
        <v>149</v>
      </c>
      <c r="K2739" s="14"/>
      <c r="L2739" s="14"/>
      <c r="M2739" s="14" t="s">
        <v>6604</v>
      </c>
      <c r="N2739" s="14"/>
      <c r="O2739" s="14" t="s">
        <v>6605</v>
      </c>
      <c r="P2739" s="14" t="str">
        <f>HYPERLINK("https://ceds.ed.gov/cedselementdetails.aspx?termid=17206")</f>
        <v>https://ceds.ed.gov/cedselementdetails.aspx?termid=17206</v>
      </c>
      <c r="Q2739" s="14" t="str">
        <f>HYPERLINK("https://ceds.ed.gov/elementComment.aspx?elementName=Other Name &amp;elementID=17206", "Click here to submit comment")</f>
        <v>Click here to submit comment</v>
      </c>
      <c r="R2739" s="14">
        <v>50472</v>
      </c>
    </row>
    <row r="2740" spans="1:18" ht="165" x14ac:dyDescent="0.25">
      <c r="A2740" s="14" t="s">
        <v>8974</v>
      </c>
      <c r="B2740" s="14" t="s">
        <v>8675</v>
      </c>
      <c r="C2740" s="14" t="s">
        <v>8598</v>
      </c>
      <c r="D2740" s="14" t="s">
        <v>8531</v>
      </c>
      <c r="E2740" s="14" t="s">
        <v>6606</v>
      </c>
      <c r="F2740" s="14" t="s">
        <v>6607</v>
      </c>
      <c r="G2740" s="8" t="s">
        <v>8554</v>
      </c>
      <c r="H2740" s="14" t="s">
        <v>6612</v>
      </c>
      <c r="I2740" s="14"/>
      <c r="J2740" s="14" t="s">
        <v>97</v>
      </c>
      <c r="K2740" s="14"/>
      <c r="L2740" s="14"/>
      <c r="M2740" s="14" t="s">
        <v>6610</v>
      </c>
      <c r="N2740" s="14"/>
      <c r="O2740" s="14" t="s">
        <v>6611</v>
      </c>
      <c r="P2740" s="14" t="str">
        <f>HYPERLINK("https://ceds.ed.gov/cedselementdetails.aspx?termid=17627")</f>
        <v>https://ceds.ed.gov/cedselementdetails.aspx?termid=17627</v>
      </c>
      <c r="Q2740" s="14" t="str">
        <f>HYPERLINK("https://ceds.ed.gov/elementComment.aspx?elementName=Other Name Type &amp;elementID=17627", "Click here to submit comment")</f>
        <v>Click here to submit comment</v>
      </c>
      <c r="R2740" s="14">
        <v>50473</v>
      </c>
    </row>
    <row r="2741" spans="1:18" ht="105" x14ac:dyDescent="0.25">
      <c r="A2741" s="16" t="s">
        <v>8974</v>
      </c>
      <c r="B2741" s="16" t="s">
        <v>8675</v>
      </c>
      <c r="C2741" s="16" t="s">
        <v>8599</v>
      </c>
      <c r="D2741" s="16" t="s">
        <v>8531</v>
      </c>
      <c r="E2741" s="16" t="s">
        <v>6711</v>
      </c>
      <c r="F2741" s="16" t="s">
        <v>6712</v>
      </c>
      <c r="G2741" s="16" t="s">
        <v>37</v>
      </c>
      <c r="H2741" s="16"/>
      <c r="I2741" s="16"/>
      <c r="J2741" s="16" t="s">
        <v>149</v>
      </c>
      <c r="K2741" s="16"/>
      <c r="L2741" s="14" t="s">
        <v>150</v>
      </c>
      <c r="M2741" s="16" t="s">
        <v>6713</v>
      </c>
      <c r="N2741" s="16"/>
      <c r="O2741" s="16" t="s">
        <v>6714</v>
      </c>
      <c r="P2741" s="16" t="str">
        <f>HYPERLINK("https://ceds.ed.gov/cedselementdetails.aspx?termid=18551")</f>
        <v>https://ceds.ed.gov/cedselementdetails.aspx?termid=18551</v>
      </c>
      <c r="Q2741" s="16" t="str">
        <f>HYPERLINK("https://ceds.ed.gov/elementComment.aspx?elementName=Person Identifier &amp;elementID=18551", "Click here to submit comment")</f>
        <v>Click here to submit comment</v>
      </c>
      <c r="R2741" s="16">
        <v>51759</v>
      </c>
    </row>
    <row r="2742" spans="1:18" x14ac:dyDescent="0.25">
      <c r="A2742" s="16"/>
      <c r="B2742" s="16"/>
      <c r="C2742" s="16"/>
      <c r="D2742" s="16"/>
      <c r="E2742" s="16"/>
      <c r="F2742" s="16"/>
      <c r="G2742" s="16"/>
      <c r="H2742" s="16"/>
      <c r="I2742" s="16"/>
      <c r="J2742" s="16"/>
      <c r="K2742" s="16"/>
      <c r="L2742" s="14"/>
      <c r="M2742" s="16"/>
      <c r="N2742" s="16"/>
      <c r="O2742" s="16"/>
      <c r="P2742" s="16"/>
      <c r="Q2742" s="16"/>
      <c r="R2742" s="16"/>
    </row>
    <row r="2743" spans="1:18" ht="90" x14ac:dyDescent="0.25">
      <c r="A2743" s="16"/>
      <c r="B2743" s="16"/>
      <c r="C2743" s="16"/>
      <c r="D2743" s="16"/>
      <c r="E2743" s="16"/>
      <c r="F2743" s="16"/>
      <c r="G2743" s="16"/>
      <c r="H2743" s="16"/>
      <c r="I2743" s="16"/>
      <c r="J2743" s="16"/>
      <c r="K2743" s="16"/>
      <c r="L2743" s="14" t="s">
        <v>153</v>
      </c>
      <c r="M2743" s="16"/>
      <c r="N2743" s="16"/>
      <c r="O2743" s="16"/>
      <c r="P2743" s="16"/>
      <c r="Q2743" s="16"/>
      <c r="R2743" s="16"/>
    </row>
    <row r="2744" spans="1:18" ht="375" x14ac:dyDescent="0.25">
      <c r="A2744" s="14" t="s">
        <v>8974</v>
      </c>
      <c r="B2744" s="14" t="s">
        <v>8675</v>
      </c>
      <c r="C2744" s="14" t="s">
        <v>8599</v>
      </c>
      <c r="D2744" s="14" t="s">
        <v>8531</v>
      </c>
      <c r="E2744" s="14" t="s">
        <v>6705</v>
      </c>
      <c r="F2744" s="14" t="s">
        <v>6706</v>
      </c>
      <c r="G2744" s="8" t="s">
        <v>8676</v>
      </c>
      <c r="H2744" s="14"/>
      <c r="I2744" s="14"/>
      <c r="J2744" s="14"/>
      <c r="K2744" s="14"/>
      <c r="L2744" s="14"/>
      <c r="M2744" s="14" t="s">
        <v>6709</v>
      </c>
      <c r="N2744" s="14"/>
      <c r="O2744" s="14" t="s">
        <v>6710</v>
      </c>
      <c r="P2744" s="14" t="str">
        <f>HYPERLINK("https://ceds.ed.gov/cedselementdetails.aspx?termid=18550")</f>
        <v>https://ceds.ed.gov/cedselementdetails.aspx?termid=18550</v>
      </c>
      <c r="Q2744" s="14" t="str">
        <f>HYPERLINK("https://ceds.ed.gov/elementComment.aspx?elementName=Person Identification System &amp;elementID=18550", "Click here to submit comment")</f>
        <v>Click here to submit comment</v>
      </c>
      <c r="R2744" s="14">
        <v>51758</v>
      </c>
    </row>
    <row r="2745" spans="1:18" ht="255" x14ac:dyDescent="0.25">
      <c r="A2745" s="14" t="s">
        <v>8974</v>
      </c>
      <c r="B2745" s="14" t="s">
        <v>8675</v>
      </c>
      <c r="C2745" s="14" t="s">
        <v>8599</v>
      </c>
      <c r="D2745" s="14" t="s">
        <v>8531</v>
      </c>
      <c r="E2745" s="14" t="s">
        <v>6735</v>
      </c>
      <c r="F2745" s="14" t="s">
        <v>6736</v>
      </c>
      <c r="G2745" s="8" t="s">
        <v>8601</v>
      </c>
      <c r="H2745" s="14"/>
      <c r="I2745" s="14"/>
      <c r="J2745" s="14"/>
      <c r="K2745" s="14"/>
      <c r="L2745" s="14"/>
      <c r="M2745" s="14" t="s">
        <v>6739</v>
      </c>
      <c r="N2745" s="14"/>
      <c r="O2745" s="14" t="s">
        <v>6740</v>
      </c>
      <c r="P2745" s="14" t="str">
        <f>HYPERLINK("https://ceds.ed.gov/cedselementdetails.aspx?termid=17611")</f>
        <v>https://ceds.ed.gov/cedselementdetails.aspx?termid=17611</v>
      </c>
      <c r="Q2745" s="14" t="str">
        <f>HYPERLINK("https://ceds.ed.gov/elementComment.aspx?elementName=Personal Information Verification &amp;elementID=17611", "Click here to submit comment")</f>
        <v>Click here to submit comment</v>
      </c>
      <c r="R2745" s="14">
        <v>50475</v>
      </c>
    </row>
    <row r="2746" spans="1:18" ht="210" x14ac:dyDescent="0.25">
      <c r="A2746" s="14" t="s">
        <v>8974</v>
      </c>
      <c r="B2746" s="14" t="s">
        <v>8675</v>
      </c>
      <c r="C2746" s="14" t="s">
        <v>8547</v>
      </c>
      <c r="D2746" s="14" t="s">
        <v>8531</v>
      </c>
      <c r="E2746" s="14" t="s">
        <v>219</v>
      </c>
      <c r="F2746" s="14" t="s">
        <v>220</v>
      </c>
      <c r="G2746" s="8" t="s">
        <v>8602</v>
      </c>
      <c r="H2746" s="14" t="s">
        <v>225</v>
      </c>
      <c r="I2746" s="14"/>
      <c r="J2746" s="14" t="s">
        <v>97</v>
      </c>
      <c r="K2746" s="14"/>
      <c r="L2746" s="14"/>
      <c r="M2746" s="14" t="s">
        <v>223</v>
      </c>
      <c r="N2746" s="14"/>
      <c r="O2746" s="14" t="s">
        <v>224</v>
      </c>
      <c r="P2746" s="14" t="str">
        <f>HYPERLINK("https://ceds.ed.gov/cedselementdetails.aspx?termid=17358")</f>
        <v>https://ceds.ed.gov/cedselementdetails.aspx?termid=17358</v>
      </c>
      <c r="Q2746" s="14" t="str">
        <f>HYPERLINK("https://ceds.ed.gov/elementComment.aspx?elementName=Address Type for Learner or Family &amp;elementID=17358", "Click here to submit comment")</f>
        <v>Click here to submit comment</v>
      </c>
      <c r="R2746" s="14">
        <v>50482</v>
      </c>
    </row>
    <row r="2747" spans="1:18" ht="225" x14ac:dyDescent="0.25">
      <c r="A2747" s="14" t="s">
        <v>8974</v>
      </c>
      <c r="B2747" s="14" t="s">
        <v>8675</v>
      </c>
      <c r="C2747" s="14" t="s">
        <v>8547</v>
      </c>
      <c r="D2747" s="14" t="s">
        <v>8531</v>
      </c>
      <c r="E2747" s="14" t="s">
        <v>214</v>
      </c>
      <c r="F2747" s="14" t="s">
        <v>215</v>
      </c>
      <c r="G2747" s="14" t="s">
        <v>37</v>
      </c>
      <c r="H2747" s="14" t="s">
        <v>199</v>
      </c>
      <c r="I2747" s="14" t="s">
        <v>195</v>
      </c>
      <c r="J2747" s="14" t="s">
        <v>216</v>
      </c>
      <c r="K2747" s="14" t="s">
        <v>196</v>
      </c>
      <c r="L2747" s="14"/>
      <c r="M2747" s="14" t="s">
        <v>217</v>
      </c>
      <c r="N2747" s="14"/>
      <c r="O2747" s="14" t="s">
        <v>218</v>
      </c>
      <c r="P2747" s="14" t="str">
        <f>HYPERLINK("https://ceds.ed.gov/cedselementdetails.aspx?termid=17269")</f>
        <v>https://ceds.ed.gov/cedselementdetails.aspx?termid=17269</v>
      </c>
      <c r="Q2747" s="14" t="str">
        <f>HYPERLINK("https://ceds.ed.gov/elementComment.aspx?elementName=Address Street Number and Name &amp;elementID=17269", "Click here to submit comment")</f>
        <v>Click here to submit comment</v>
      </c>
      <c r="R2747" s="14">
        <v>50476</v>
      </c>
    </row>
    <row r="2748" spans="1:18" ht="225" x14ac:dyDescent="0.25">
      <c r="A2748" s="14" t="s">
        <v>8974</v>
      </c>
      <c r="B2748" s="14" t="s">
        <v>8675</v>
      </c>
      <c r="C2748" s="14" t="s">
        <v>8547</v>
      </c>
      <c r="D2748" s="14" t="s">
        <v>8531</v>
      </c>
      <c r="E2748" s="14" t="s">
        <v>192</v>
      </c>
      <c r="F2748" s="14" t="s">
        <v>193</v>
      </c>
      <c r="G2748" s="14" t="s">
        <v>37</v>
      </c>
      <c r="H2748" s="14" t="s">
        <v>199</v>
      </c>
      <c r="I2748" s="14" t="s">
        <v>195</v>
      </c>
      <c r="J2748" s="14" t="s">
        <v>175</v>
      </c>
      <c r="K2748" s="14" t="s">
        <v>196</v>
      </c>
      <c r="L2748" s="14"/>
      <c r="M2748" s="14" t="s">
        <v>197</v>
      </c>
      <c r="N2748" s="14"/>
      <c r="O2748" s="14" t="s">
        <v>198</v>
      </c>
      <c r="P2748" s="14" t="str">
        <f>HYPERLINK("https://ceds.ed.gov/cedselementdetails.aspx?termid=17019")</f>
        <v>https://ceds.ed.gov/cedselementdetails.aspx?termid=17019</v>
      </c>
      <c r="Q2748" s="14" t="str">
        <f>HYPERLINK("https://ceds.ed.gov/elementComment.aspx?elementName=Address Apartment Room or Suite Number &amp;elementID=17019", "Click here to submit comment")</f>
        <v>Click here to submit comment</v>
      </c>
      <c r="R2748" s="14">
        <v>50477</v>
      </c>
    </row>
    <row r="2749" spans="1:18" ht="225" x14ac:dyDescent="0.25">
      <c r="A2749" s="14" t="s">
        <v>8974</v>
      </c>
      <c r="B2749" s="14" t="s">
        <v>8675</v>
      </c>
      <c r="C2749" s="14" t="s">
        <v>8547</v>
      </c>
      <c r="D2749" s="14" t="s">
        <v>8531</v>
      </c>
      <c r="E2749" s="14" t="s">
        <v>200</v>
      </c>
      <c r="F2749" s="14" t="s">
        <v>201</v>
      </c>
      <c r="G2749" s="14" t="s">
        <v>37</v>
      </c>
      <c r="H2749" s="14" t="s">
        <v>199</v>
      </c>
      <c r="I2749" s="14"/>
      <c r="J2749" s="14" t="s">
        <v>97</v>
      </c>
      <c r="K2749" s="14"/>
      <c r="L2749" s="14"/>
      <c r="M2749" s="14" t="s">
        <v>202</v>
      </c>
      <c r="N2749" s="14"/>
      <c r="O2749" s="14" t="s">
        <v>203</v>
      </c>
      <c r="P2749" s="14" t="str">
        <f>HYPERLINK("https://ceds.ed.gov/cedselementdetails.aspx?termid=17040")</f>
        <v>https://ceds.ed.gov/cedselementdetails.aspx?termid=17040</v>
      </c>
      <c r="Q2749" s="14" t="str">
        <f>HYPERLINK("https://ceds.ed.gov/elementComment.aspx?elementName=Address City &amp;elementID=17040", "Click here to submit comment")</f>
        <v>Click here to submit comment</v>
      </c>
      <c r="R2749" s="14">
        <v>50478</v>
      </c>
    </row>
    <row r="2750" spans="1:18" ht="409.5" x14ac:dyDescent="0.25">
      <c r="A2750" s="14" t="s">
        <v>8974</v>
      </c>
      <c r="B2750" s="14" t="s">
        <v>8675</v>
      </c>
      <c r="C2750" s="14" t="s">
        <v>8547</v>
      </c>
      <c r="D2750" s="14" t="s">
        <v>8531</v>
      </c>
      <c r="E2750" s="14" t="s">
        <v>7960</v>
      </c>
      <c r="F2750" s="14" t="s">
        <v>7961</v>
      </c>
      <c r="G2750" s="8" t="s">
        <v>8540</v>
      </c>
      <c r="H2750" s="14" t="s">
        <v>7964</v>
      </c>
      <c r="I2750" s="14"/>
      <c r="J2750" s="14"/>
      <c r="K2750" s="14"/>
      <c r="L2750" s="14"/>
      <c r="M2750" s="14" t="s">
        <v>7962</v>
      </c>
      <c r="N2750" s="14"/>
      <c r="O2750" s="14" t="s">
        <v>7963</v>
      </c>
      <c r="P2750" s="14" t="str">
        <f>HYPERLINK("https://ceds.ed.gov/cedselementdetails.aspx?termid=17267")</f>
        <v>https://ceds.ed.gov/cedselementdetails.aspx?termid=17267</v>
      </c>
      <c r="Q2750" s="14" t="str">
        <f>HYPERLINK("https://ceds.ed.gov/elementComment.aspx?elementName=State Abbreviation &amp;elementID=17267", "Click here to submit comment")</f>
        <v>Click here to submit comment</v>
      </c>
      <c r="R2750" s="14">
        <v>50479</v>
      </c>
    </row>
    <row r="2751" spans="1:18" ht="225" x14ac:dyDescent="0.25">
      <c r="A2751" s="14" t="s">
        <v>8974</v>
      </c>
      <c r="B2751" s="14" t="s">
        <v>8675</v>
      </c>
      <c r="C2751" s="14" t="s">
        <v>8547</v>
      </c>
      <c r="D2751" s="14" t="s">
        <v>8531</v>
      </c>
      <c r="E2751" s="14" t="s">
        <v>209</v>
      </c>
      <c r="F2751" s="14" t="s">
        <v>210</v>
      </c>
      <c r="G2751" s="14" t="s">
        <v>37</v>
      </c>
      <c r="H2751" s="14" t="s">
        <v>199</v>
      </c>
      <c r="I2751" s="14"/>
      <c r="J2751" s="14" t="s">
        <v>211</v>
      </c>
      <c r="K2751" s="14"/>
      <c r="L2751" s="14"/>
      <c r="M2751" s="14" t="s">
        <v>212</v>
      </c>
      <c r="N2751" s="14"/>
      <c r="O2751" s="14" t="s">
        <v>213</v>
      </c>
      <c r="P2751" s="14" t="str">
        <f>HYPERLINK("https://ceds.ed.gov/cedselementdetails.aspx?termid=17214")</f>
        <v>https://ceds.ed.gov/cedselementdetails.aspx?termid=17214</v>
      </c>
      <c r="Q2751" s="14" t="str">
        <f>HYPERLINK("https://ceds.ed.gov/elementComment.aspx?elementName=Address Postal Code &amp;elementID=17214", "Click here to submit comment")</f>
        <v>Click here to submit comment</v>
      </c>
      <c r="R2751" s="14">
        <v>50480</v>
      </c>
    </row>
    <row r="2752" spans="1:18" ht="225" x14ac:dyDescent="0.25">
      <c r="A2752" s="14" t="s">
        <v>8974</v>
      </c>
      <c r="B2752" s="14" t="s">
        <v>8675</v>
      </c>
      <c r="C2752" s="14" t="s">
        <v>8547</v>
      </c>
      <c r="D2752" s="14" t="s">
        <v>8531</v>
      </c>
      <c r="E2752" s="14" t="s">
        <v>204</v>
      </c>
      <c r="F2752" s="14" t="s">
        <v>205</v>
      </c>
      <c r="G2752" s="14" t="s">
        <v>37</v>
      </c>
      <c r="H2752" s="14" t="s">
        <v>199</v>
      </c>
      <c r="I2752" s="14"/>
      <c r="J2752" s="14" t="s">
        <v>97</v>
      </c>
      <c r="K2752" s="14"/>
      <c r="L2752" s="14"/>
      <c r="M2752" s="14" t="s">
        <v>207</v>
      </c>
      <c r="N2752" s="14"/>
      <c r="O2752" s="14" t="s">
        <v>208</v>
      </c>
      <c r="P2752" s="14" t="str">
        <f>HYPERLINK("https://ceds.ed.gov/cedselementdetails.aspx?termid=17190")</f>
        <v>https://ceds.ed.gov/cedselementdetails.aspx?termid=17190</v>
      </c>
      <c r="Q2752" s="14" t="str">
        <f>HYPERLINK("https://ceds.ed.gov/elementComment.aspx?elementName=Address County Name &amp;elementID=17190", "Click here to submit comment")</f>
        <v>Click here to submit comment</v>
      </c>
      <c r="R2752" s="14">
        <v>50481</v>
      </c>
    </row>
    <row r="2753" spans="1:18" ht="409.5" x14ac:dyDescent="0.25">
      <c r="A2753" s="14" t="s">
        <v>8974</v>
      </c>
      <c r="B2753" s="14" t="s">
        <v>8675</v>
      </c>
      <c r="C2753" s="14" t="s">
        <v>8547</v>
      </c>
      <c r="D2753" s="14" t="s">
        <v>8531</v>
      </c>
      <c r="E2753" s="14" t="s">
        <v>2845</v>
      </c>
      <c r="F2753" s="14" t="s">
        <v>2846</v>
      </c>
      <c r="G2753" s="8" t="s">
        <v>8548</v>
      </c>
      <c r="H2753" s="14" t="s">
        <v>2852</v>
      </c>
      <c r="I2753" s="14"/>
      <c r="J2753" s="14"/>
      <c r="K2753" s="14"/>
      <c r="L2753" s="6" t="s">
        <v>2849</v>
      </c>
      <c r="M2753" s="14" t="s">
        <v>2850</v>
      </c>
      <c r="N2753" s="14"/>
      <c r="O2753" s="14" t="s">
        <v>2851</v>
      </c>
      <c r="P2753" s="14" t="str">
        <f>HYPERLINK("https://ceds.ed.gov/cedselementdetails.aspx?termid=17050")</f>
        <v>https://ceds.ed.gov/cedselementdetails.aspx?termid=17050</v>
      </c>
      <c r="Q2753" s="14" t="str">
        <f>HYPERLINK("https://ceds.ed.gov/elementComment.aspx?elementName=Country Code &amp;elementID=17050", "Click here to submit comment")</f>
        <v>Click here to submit comment</v>
      </c>
      <c r="R2753" s="14">
        <v>50483</v>
      </c>
    </row>
    <row r="2754" spans="1:18" ht="75" x14ac:dyDescent="0.25">
      <c r="A2754" s="14" t="s">
        <v>8974</v>
      </c>
      <c r="B2754" s="14" t="s">
        <v>8675</v>
      </c>
      <c r="C2754" s="14" t="s">
        <v>8547</v>
      </c>
      <c r="D2754" s="14" t="s">
        <v>8531</v>
      </c>
      <c r="E2754" s="14" t="s">
        <v>5736</v>
      </c>
      <c r="F2754" s="14" t="s">
        <v>5737</v>
      </c>
      <c r="G2754" s="14" t="s">
        <v>37</v>
      </c>
      <c r="H2754" s="14"/>
      <c r="I2754" s="14"/>
      <c r="J2754" s="14" t="s">
        <v>1307</v>
      </c>
      <c r="K2754" s="14"/>
      <c r="L2754" s="14"/>
      <c r="M2754" s="14" t="s">
        <v>5739</v>
      </c>
      <c r="N2754" s="14"/>
      <c r="O2754" s="14" t="s">
        <v>5736</v>
      </c>
      <c r="P2754" s="14" t="str">
        <f>HYPERLINK("https://ceds.ed.gov/cedselementdetails.aspx?termid=17599")</f>
        <v>https://ceds.ed.gov/cedselementdetails.aspx?termid=17599</v>
      </c>
      <c r="Q2754" s="14" t="str">
        <f>HYPERLINK("https://ceds.ed.gov/elementComment.aspx?elementName=Latitude &amp;elementID=17599", "Click here to submit comment")</f>
        <v>Click here to submit comment</v>
      </c>
      <c r="R2754" s="14">
        <v>51269</v>
      </c>
    </row>
    <row r="2755" spans="1:18" ht="75" x14ac:dyDescent="0.25">
      <c r="A2755" s="14" t="s">
        <v>8974</v>
      </c>
      <c r="B2755" s="14" t="s">
        <v>8675</v>
      </c>
      <c r="C2755" s="14" t="s">
        <v>8547</v>
      </c>
      <c r="D2755" s="14" t="s">
        <v>8531</v>
      </c>
      <c r="E2755" s="14" t="s">
        <v>6174</v>
      </c>
      <c r="F2755" s="14" t="s">
        <v>6175</v>
      </c>
      <c r="G2755" s="14" t="s">
        <v>37</v>
      </c>
      <c r="H2755" s="14"/>
      <c r="I2755" s="14"/>
      <c r="J2755" s="14" t="s">
        <v>1307</v>
      </c>
      <c r="K2755" s="14"/>
      <c r="L2755" s="14"/>
      <c r="M2755" s="14" t="s">
        <v>6176</v>
      </c>
      <c r="N2755" s="14"/>
      <c r="O2755" s="14" t="s">
        <v>6174</v>
      </c>
      <c r="P2755" s="14" t="str">
        <f>HYPERLINK("https://ceds.ed.gov/cedselementdetails.aspx?termid=17600")</f>
        <v>https://ceds.ed.gov/cedselementdetails.aspx?termid=17600</v>
      </c>
      <c r="Q2755" s="14" t="str">
        <f>HYPERLINK("https://ceds.ed.gov/elementComment.aspx?elementName=Longitude &amp;elementID=17600", "Click here to submit comment")</f>
        <v>Click here to submit comment</v>
      </c>
      <c r="R2755" s="14">
        <v>51292</v>
      </c>
    </row>
    <row r="2756" spans="1:18" ht="195" x14ac:dyDescent="0.25">
      <c r="A2756" s="14" t="s">
        <v>8974</v>
      </c>
      <c r="B2756" s="14" t="s">
        <v>8675</v>
      </c>
      <c r="C2756" s="14" t="s">
        <v>8547</v>
      </c>
      <c r="D2756" s="14" t="s">
        <v>8541</v>
      </c>
      <c r="E2756" s="14" t="s">
        <v>2860</v>
      </c>
      <c r="F2756" s="14" t="s">
        <v>2861</v>
      </c>
      <c r="G2756" s="14" t="s">
        <v>37</v>
      </c>
      <c r="H2756" s="14"/>
      <c r="I2756" s="14" t="s">
        <v>195</v>
      </c>
      <c r="J2756" s="14" t="s">
        <v>2863</v>
      </c>
      <c r="K2756" s="14" t="s">
        <v>2864</v>
      </c>
      <c r="L2756" s="14"/>
      <c r="M2756" s="14" t="s">
        <v>2865</v>
      </c>
      <c r="N2756" s="14"/>
      <c r="O2756" s="14" t="s">
        <v>2866</v>
      </c>
      <c r="P2756" s="14" t="str">
        <f>HYPERLINK("https://ceds.ed.gov/cedselementdetails.aspx?termid=18176")</f>
        <v>https://ceds.ed.gov/cedselementdetails.aspx?termid=18176</v>
      </c>
      <c r="Q2756" s="14" t="str">
        <f>HYPERLINK("https://ceds.ed.gov/elementComment.aspx?elementName=County ANSI Code &amp;elementID=18176", "Click here to submit comment")</f>
        <v>Click here to submit comment</v>
      </c>
      <c r="R2756" s="14">
        <v>52397</v>
      </c>
    </row>
    <row r="2757" spans="1:18" ht="60" x14ac:dyDescent="0.25">
      <c r="A2757" s="14" t="s">
        <v>8974</v>
      </c>
      <c r="B2757" s="14" t="s">
        <v>8675</v>
      </c>
      <c r="C2757" s="14" t="s">
        <v>8547</v>
      </c>
      <c r="D2757" s="14" t="s">
        <v>8541</v>
      </c>
      <c r="E2757" s="14" t="s">
        <v>3651</v>
      </c>
      <c r="F2757" s="14" t="s">
        <v>3652</v>
      </c>
      <c r="G2757" s="14" t="s">
        <v>3430</v>
      </c>
      <c r="H2757" s="14"/>
      <c r="I2757" s="14" t="s">
        <v>188</v>
      </c>
      <c r="J2757" s="14"/>
      <c r="K2757" s="14" t="s">
        <v>1721</v>
      </c>
      <c r="L2757" s="14"/>
      <c r="M2757" s="14" t="s">
        <v>3654</v>
      </c>
      <c r="N2757" s="14"/>
      <c r="O2757" s="14" t="s">
        <v>3655</v>
      </c>
      <c r="P2757" s="14" t="str">
        <f>HYPERLINK("https://ceds.ed.gov/cedselementdetails.aspx?termid=18905")</f>
        <v>https://ceds.ed.gov/cedselementdetails.aspx?termid=18905</v>
      </c>
      <c r="Q2757" s="14" t="str">
        <f>HYPERLINK("https://ceds.ed.gov/elementComment.aspx?elementName=Do Not Publish Indicator &amp;elementID=18905", "Click here to submit comment")</f>
        <v>Click here to submit comment</v>
      </c>
      <c r="R2757" s="14">
        <v>52398</v>
      </c>
    </row>
    <row r="2758" spans="1:18" ht="90" x14ac:dyDescent="0.25">
      <c r="A2758" s="14" t="s">
        <v>8974</v>
      </c>
      <c r="B2758" s="14" t="s">
        <v>8675</v>
      </c>
      <c r="C2758" s="14" t="s">
        <v>8549</v>
      </c>
      <c r="D2758" s="14" t="s">
        <v>8531</v>
      </c>
      <c r="E2758" s="14" t="s">
        <v>8217</v>
      </c>
      <c r="F2758" s="14" t="s">
        <v>8218</v>
      </c>
      <c r="G2758" s="14" t="s">
        <v>37</v>
      </c>
      <c r="H2758" s="14" t="s">
        <v>72</v>
      </c>
      <c r="I2758" s="14"/>
      <c r="J2758" s="14" t="s">
        <v>8220</v>
      </c>
      <c r="K2758" s="14"/>
      <c r="L2758" s="14"/>
      <c r="M2758" s="14" t="s">
        <v>8221</v>
      </c>
      <c r="N2758" s="14"/>
      <c r="O2758" s="14" t="s">
        <v>8222</v>
      </c>
      <c r="P2758" s="14" t="str">
        <f>HYPERLINK("https://ceds.ed.gov/cedselementdetails.aspx?termid=17279")</f>
        <v>https://ceds.ed.gov/cedselementdetails.aspx?termid=17279</v>
      </c>
      <c r="Q2758" s="14" t="str">
        <f>HYPERLINK("https://ceds.ed.gov/elementComment.aspx?elementName=Telephone Number &amp;elementID=17279", "Click here to submit comment")</f>
        <v>Click here to submit comment</v>
      </c>
      <c r="R2758" s="14">
        <v>50486</v>
      </c>
    </row>
    <row r="2759" spans="1:18" ht="90" x14ac:dyDescent="0.25">
      <c r="A2759" s="14" t="s">
        <v>8974</v>
      </c>
      <c r="B2759" s="14" t="s">
        <v>8675</v>
      </c>
      <c r="C2759" s="14" t="s">
        <v>8549</v>
      </c>
      <c r="D2759" s="14" t="s">
        <v>8531</v>
      </c>
      <c r="E2759" s="14" t="s">
        <v>8229</v>
      </c>
      <c r="F2759" s="14" t="s">
        <v>8230</v>
      </c>
      <c r="G2759" s="8" t="s">
        <v>8550</v>
      </c>
      <c r="H2759" s="14" t="s">
        <v>72</v>
      </c>
      <c r="I2759" s="14"/>
      <c r="J2759" s="14" t="s">
        <v>2870</v>
      </c>
      <c r="K2759" s="14"/>
      <c r="L2759" s="14"/>
      <c r="M2759" s="14" t="s">
        <v>8233</v>
      </c>
      <c r="N2759" s="14"/>
      <c r="O2759" s="14" t="s">
        <v>8234</v>
      </c>
      <c r="P2759" s="14" t="str">
        <f>HYPERLINK("https://ceds.ed.gov/cedselementdetails.aspx?termid=17280")</f>
        <v>https://ceds.ed.gov/cedselementdetails.aspx?termid=17280</v>
      </c>
      <c r="Q2759" s="14" t="str">
        <f>HYPERLINK("https://ceds.ed.gov/elementComment.aspx?elementName=Telephone Number Type &amp;elementID=17280", "Click here to submit comment")</f>
        <v>Click here to submit comment</v>
      </c>
      <c r="R2759" s="14">
        <v>50484</v>
      </c>
    </row>
    <row r="2760" spans="1:18" ht="90" x14ac:dyDescent="0.25">
      <c r="A2760" s="14" t="s">
        <v>8974</v>
      </c>
      <c r="B2760" s="14" t="s">
        <v>8675</v>
      </c>
      <c r="C2760" s="14" t="s">
        <v>8549</v>
      </c>
      <c r="D2760" s="14" t="s">
        <v>8531</v>
      </c>
      <c r="E2760" s="14" t="s">
        <v>6865</v>
      </c>
      <c r="F2760" s="14" t="s">
        <v>6866</v>
      </c>
      <c r="G2760" s="14" t="s">
        <v>24</v>
      </c>
      <c r="H2760" s="14" t="s">
        <v>72</v>
      </c>
      <c r="I2760" s="14"/>
      <c r="J2760" s="14"/>
      <c r="K2760" s="14"/>
      <c r="L2760" s="14"/>
      <c r="M2760" s="14" t="s">
        <v>6868</v>
      </c>
      <c r="N2760" s="14"/>
      <c r="O2760" s="14" t="s">
        <v>6869</v>
      </c>
      <c r="P2760" s="14" t="str">
        <f>HYPERLINK("https://ceds.ed.gov/cedselementdetails.aspx?termid=17219")</f>
        <v>https://ceds.ed.gov/cedselementdetails.aspx?termid=17219</v>
      </c>
      <c r="Q2760" s="14" t="str">
        <f>HYPERLINK("https://ceds.ed.gov/elementComment.aspx?elementName=Primary Telephone Number Indicator &amp;elementID=17219", "Click here to submit comment")</f>
        <v>Click here to submit comment</v>
      </c>
      <c r="R2760" s="14">
        <v>50485</v>
      </c>
    </row>
    <row r="2761" spans="1:18" ht="60" x14ac:dyDescent="0.25">
      <c r="A2761" s="14" t="s">
        <v>8974</v>
      </c>
      <c r="B2761" s="14" t="s">
        <v>8675</v>
      </c>
      <c r="C2761" s="14" t="s">
        <v>8549</v>
      </c>
      <c r="D2761" s="14" t="s">
        <v>8541</v>
      </c>
      <c r="E2761" s="14" t="s">
        <v>3651</v>
      </c>
      <c r="F2761" s="14" t="s">
        <v>3652</v>
      </c>
      <c r="G2761" s="14" t="s">
        <v>3430</v>
      </c>
      <c r="H2761" s="14"/>
      <c r="I2761" s="14" t="s">
        <v>188</v>
      </c>
      <c r="J2761" s="14"/>
      <c r="K2761" s="14" t="s">
        <v>1721</v>
      </c>
      <c r="L2761" s="14"/>
      <c r="M2761" s="14" t="s">
        <v>3654</v>
      </c>
      <c r="N2761" s="14"/>
      <c r="O2761" s="14" t="s">
        <v>3655</v>
      </c>
      <c r="P2761" s="14" t="str">
        <f>HYPERLINK("https://ceds.ed.gov/cedselementdetails.aspx?termid=18905")</f>
        <v>https://ceds.ed.gov/cedselementdetails.aspx?termid=18905</v>
      </c>
      <c r="Q2761" s="14" t="str">
        <f>HYPERLINK("https://ceds.ed.gov/elementComment.aspx?elementName=Do Not Publish Indicator &amp;elementID=18905", "Click here to submit comment")</f>
        <v>Click here to submit comment</v>
      </c>
      <c r="R2761" s="14">
        <v>52400</v>
      </c>
    </row>
    <row r="2762" spans="1:18" ht="60" x14ac:dyDescent="0.25">
      <c r="A2762" s="14" t="s">
        <v>8974</v>
      </c>
      <c r="B2762" s="14" t="s">
        <v>8675</v>
      </c>
      <c r="C2762" s="14" t="s">
        <v>8549</v>
      </c>
      <c r="D2762" s="14" t="s">
        <v>8541</v>
      </c>
      <c r="E2762" s="14" t="s">
        <v>8223</v>
      </c>
      <c r="F2762" s="14" t="s">
        <v>8224</v>
      </c>
      <c r="G2762" s="8" t="s">
        <v>8544</v>
      </c>
      <c r="H2762" s="14"/>
      <c r="I2762" s="14" t="s">
        <v>188</v>
      </c>
      <c r="J2762" s="14"/>
      <c r="K2762" s="14" t="s">
        <v>1721</v>
      </c>
      <c r="L2762" s="14"/>
      <c r="M2762" s="14" t="s">
        <v>8227</v>
      </c>
      <c r="N2762" s="14"/>
      <c r="O2762" s="14" t="s">
        <v>8228</v>
      </c>
      <c r="P2762" s="14" t="str">
        <f>HYPERLINK("https://ceds.ed.gov/cedselementdetails.aspx?termid=18911")</f>
        <v>https://ceds.ed.gov/cedselementdetails.aspx?termid=18911</v>
      </c>
      <c r="Q2762" s="14" t="str">
        <f>HYPERLINK("https://ceds.ed.gov/elementComment.aspx?elementName=Telephone Number Listed Status &amp;elementID=18911", "Click here to submit comment")</f>
        <v>Click here to submit comment</v>
      </c>
      <c r="R2762" s="14">
        <v>52401</v>
      </c>
    </row>
    <row r="2763" spans="1:18" ht="90" x14ac:dyDescent="0.25">
      <c r="A2763" s="14" t="s">
        <v>8974</v>
      </c>
      <c r="B2763" s="14" t="s">
        <v>8675</v>
      </c>
      <c r="C2763" s="14" t="s">
        <v>8551</v>
      </c>
      <c r="D2763" s="14" t="s">
        <v>8531</v>
      </c>
      <c r="E2763" s="14" t="s">
        <v>3938</v>
      </c>
      <c r="F2763" s="14" t="s">
        <v>3939</v>
      </c>
      <c r="G2763" s="8" t="s">
        <v>8552</v>
      </c>
      <c r="H2763" s="14" t="s">
        <v>72</v>
      </c>
      <c r="I2763" s="14"/>
      <c r="J2763" s="14"/>
      <c r="K2763" s="14"/>
      <c r="L2763" s="14"/>
      <c r="M2763" s="14" t="s">
        <v>3941</v>
      </c>
      <c r="N2763" s="14" t="s">
        <v>3942</v>
      </c>
      <c r="O2763" s="14" t="s">
        <v>3943</v>
      </c>
      <c r="P2763" s="14" t="str">
        <f>HYPERLINK("https://ceds.ed.gov/cedselementdetails.aspx?termid=17089")</f>
        <v>https://ceds.ed.gov/cedselementdetails.aspx?termid=17089</v>
      </c>
      <c r="Q2763" s="14" t="str">
        <f>HYPERLINK("https://ceds.ed.gov/elementComment.aspx?elementName=Electronic Mail Address Type &amp;elementID=17089", "Click here to submit comment")</f>
        <v>Click here to submit comment</v>
      </c>
      <c r="R2763" s="14">
        <v>50487</v>
      </c>
    </row>
    <row r="2764" spans="1:18" ht="90" x14ac:dyDescent="0.25">
      <c r="A2764" s="14" t="s">
        <v>8974</v>
      </c>
      <c r="B2764" s="14" t="s">
        <v>8675</v>
      </c>
      <c r="C2764" s="14" t="s">
        <v>8551</v>
      </c>
      <c r="D2764" s="14" t="s">
        <v>8531</v>
      </c>
      <c r="E2764" s="14" t="s">
        <v>3931</v>
      </c>
      <c r="F2764" s="14" t="s">
        <v>3932</v>
      </c>
      <c r="G2764" s="14" t="s">
        <v>37</v>
      </c>
      <c r="H2764" s="14" t="s">
        <v>72</v>
      </c>
      <c r="I2764" s="14"/>
      <c r="J2764" s="14" t="s">
        <v>3934</v>
      </c>
      <c r="K2764" s="14"/>
      <c r="L2764" s="14"/>
      <c r="M2764" s="14" t="s">
        <v>3935</v>
      </c>
      <c r="N2764" s="14" t="s">
        <v>3936</v>
      </c>
      <c r="O2764" s="14" t="s">
        <v>3937</v>
      </c>
      <c r="P2764" s="14" t="str">
        <f>HYPERLINK("https://ceds.ed.gov/cedselementdetails.aspx?termid=17088")</f>
        <v>https://ceds.ed.gov/cedselementdetails.aspx?termid=17088</v>
      </c>
      <c r="Q2764" s="14" t="str">
        <f>HYPERLINK("https://ceds.ed.gov/elementComment.aspx?elementName=Electronic Mail Address &amp;elementID=17088", "Click here to submit comment")</f>
        <v>Click here to submit comment</v>
      </c>
      <c r="R2764" s="14">
        <v>50488</v>
      </c>
    </row>
    <row r="2765" spans="1:18" ht="60" x14ac:dyDescent="0.25">
      <c r="A2765" s="14" t="s">
        <v>8974</v>
      </c>
      <c r="B2765" s="14" t="s">
        <v>8675</v>
      </c>
      <c r="C2765" s="14" t="s">
        <v>8551</v>
      </c>
      <c r="D2765" s="14" t="s">
        <v>8541</v>
      </c>
      <c r="E2765" s="14" t="s">
        <v>3651</v>
      </c>
      <c r="F2765" s="14" t="s">
        <v>3652</v>
      </c>
      <c r="G2765" s="14" t="s">
        <v>3430</v>
      </c>
      <c r="H2765" s="14"/>
      <c r="I2765" s="14" t="s">
        <v>188</v>
      </c>
      <c r="J2765" s="14"/>
      <c r="K2765" s="14" t="s">
        <v>1721</v>
      </c>
      <c r="L2765" s="14"/>
      <c r="M2765" s="14" t="s">
        <v>3654</v>
      </c>
      <c r="N2765" s="14"/>
      <c r="O2765" s="14" t="s">
        <v>3655</v>
      </c>
      <c r="P2765" s="14" t="str">
        <f>HYPERLINK("https://ceds.ed.gov/cedselementdetails.aspx?termid=18905")</f>
        <v>https://ceds.ed.gov/cedselementdetails.aspx?termid=18905</v>
      </c>
      <c r="Q2765" s="14" t="str">
        <f>HYPERLINK("https://ceds.ed.gov/elementComment.aspx?elementName=Do Not Publish Indicator &amp;elementID=18905", "Click here to submit comment")</f>
        <v>Click here to submit comment</v>
      </c>
      <c r="R2765" s="14">
        <v>52399</v>
      </c>
    </row>
    <row r="2766" spans="1:18" ht="105" x14ac:dyDescent="0.25">
      <c r="A2766" s="16" t="s">
        <v>8974</v>
      </c>
      <c r="B2766" s="16" t="s">
        <v>8675</v>
      </c>
      <c r="C2766" s="16" t="s">
        <v>8673</v>
      </c>
      <c r="D2766" s="16" t="s">
        <v>8531</v>
      </c>
      <c r="E2766" s="16" t="s">
        <v>6711</v>
      </c>
      <c r="F2766" s="16" t="s">
        <v>6712</v>
      </c>
      <c r="G2766" s="16" t="s">
        <v>37</v>
      </c>
      <c r="H2766" s="16"/>
      <c r="I2766" s="16"/>
      <c r="J2766" s="16" t="s">
        <v>149</v>
      </c>
      <c r="K2766" s="16"/>
      <c r="L2766" s="14" t="s">
        <v>150</v>
      </c>
      <c r="M2766" s="16" t="s">
        <v>6713</v>
      </c>
      <c r="N2766" s="16"/>
      <c r="O2766" s="16" t="s">
        <v>6714</v>
      </c>
      <c r="P2766" s="16" t="str">
        <f>HYPERLINK("https://ceds.ed.gov/cedselementdetails.aspx?termid=18551")</f>
        <v>https://ceds.ed.gov/cedselementdetails.aspx?termid=18551</v>
      </c>
      <c r="Q2766" s="16" t="str">
        <f>HYPERLINK("https://ceds.ed.gov/elementComment.aspx?elementName=Person Identifier &amp;elementID=18551", "Click here to submit comment")</f>
        <v>Click here to submit comment</v>
      </c>
      <c r="R2766" s="16">
        <v>50910</v>
      </c>
    </row>
    <row r="2767" spans="1:18" x14ac:dyDescent="0.25">
      <c r="A2767" s="16"/>
      <c r="B2767" s="16"/>
      <c r="C2767" s="16"/>
      <c r="D2767" s="16"/>
      <c r="E2767" s="16"/>
      <c r="F2767" s="16"/>
      <c r="G2767" s="16"/>
      <c r="H2767" s="16"/>
      <c r="I2767" s="16"/>
      <c r="J2767" s="16"/>
      <c r="K2767" s="16"/>
      <c r="L2767" s="14"/>
      <c r="M2767" s="16"/>
      <c r="N2767" s="16"/>
      <c r="O2767" s="16"/>
      <c r="P2767" s="16"/>
      <c r="Q2767" s="16"/>
      <c r="R2767" s="16"/>
    </row>
    <row r="2768" spans="1:18" ht="90" x14ac:dyDescent="0.25">
      <c r="A2768" s="16"/>
      <c r="B2768" s="16"/>
      <c r="C2768" s="16"/>
      <c r="D2768" s="16"/>
      <c r="E2768" s="16"/>
      <c r="F2768" s="16"/>
      <c r="G2768" s="16"/>
      <c r="H2768" s="16"/>
      <c r="I2768" s="16"/>
      <c r="J2768" s="16"/>
      <c r="K2768" s="16"/>
      <c r="L2768" s="14" t="s">
        <v>153</v>
      </c>
      <c r="M2768" s="16"/>
      <c r="N2768" s="16"/>
      <c r="O2768" s="16"/>
      <c r="P2768" s="16"/>
      <c r="Q2768" s="16"/>
      <c r="R2768" s="16"/>
    </row>
    <row r="2769" spans="1:18" ht="375" x14ac:dyDescent="0.25">
      <c r="A2769" s="14" t="s">
        <v>8974</v>
      </c>
      <c r="B2769" s="14" t="s">
        <v>8675</v>
      </c>
      <c r="C2769" s="14" t="s">
        <v>8673</v>
      </c>
      <c r="D2769" s="14" t="s">
        <v>8531</v>
      </c>
      <c r="E2769" s="14" t="s">
        <v>6705</v>
      </c>
      <c r="F2769" s="14" t="s">
        <v>6706</v>
      </c>
      <c r="G2769" s="8" t="s">
        <v>8676</v>
      </c>
      <c r="H2769" s="14"/>
      <c r="I2769" s="14"/>
      <c r="J2769" s="14"/>
      <c r="K2769" s="14"/>
      <c r="L2769" s="14"/>
      <c r="M2769" s="14" t="s">
        <v>6709</v>
      </c>
      <c r="N2769" s="14"/>
      <c r="O2769" s="14" t="s">
        <v>6710</v>
      </c>
      <c r="P2769" s="14" t="str">
        <f>HYPERLINK("https://ceds.ed.gov/cedselementdetails.aspx?termid=18550")</f>
        <v>https://ceds.ed.gov/cedselementdetails.aspx?termid=18550</v>
      </c>
      <c r="Q2769" s="14" t="str">
        <f>HYPERLINK("https://ceds.ed.gov/elementComment.aspx?elementName=Person Identification System &amp;elementID=18550", "Click here to submit comment")</f>
        <v>Click here to submit comment</v>
      </c>
      <c r="R2769" s="14">
        <v>50905</v>
      </c>
    </row>
    <row r="2770" spans="1:18" ht="409.5" x14ac:dyDescent="0.25">
      <c r="A2770" s="14" t="s">
        <v>8974</v>
      </c>
      <c r="B2770" s="14" t="s">
        <v>8675</v>
      </c>
      <c r="C2770" s="14" t="s">
        <v>8673</v>
      </c>
      <c r="D2770" s="14" t="s">
        <v>8531</v>
      </c>
      <c r="E2770" s="14" t="s">
        <v>6727</v>
      </c>
      <c r="F2770" s="14" t="s">
        <v>6728</v>
      </c>
      <c r="G2770" s="8" t="s">
        <v>8674</v>
      </c>
      <c r="H2770" s="14" t="s">
        <v>1751</v>
      </c>
      <c r="I2770" s="14" t="s">
        <v>195</v>
      </c>
      <c r="J2770" s="14"/>
      <c r="K2770" s="14" t="s">
        <v>6731</v>
      </c>
      <c r="L2770" s="14" t="s">
        <v>6732</v>
      </c>
      <c r="M2770" s="14" t="s">
        <v>6733</v>
      </c>
      <c r="N2770" s="14"/>
      <c r="O2770" s="14" t="s">
        <v>6734</v>
      </c>
      <c r="P2770" s="14" t="str">
        <f>HYPERLINK("https://ceds.ed.gov/cedselementdetails.aspx?termid=17415")</f>
        <v>https://ceds.ed.gov/cedselementdetails.aspx?termid=17415</v>
      </c>
      <c r="Q2770" s="14" t="str">
        <f>HYPERLINK("https://ceds.ed.gov/elementComment.aspx?elementName=Person Relationship Type &amp;elementID=17415", "Click here to submit comment")</f>
        <v>Click here to submit comment</v>
      </c>
      <c r="R2770" s="14">
        <v>50489</v>
      </c>
    </row>
    <row r="2771" spans="1:18" ht="90" x14ac:dyDescent="0.25">
      <c r="A2771" s="14" t="s">
        <v>8974</v>
      </c>
      <c r="B2771" s="14" t="s">
        <v>8675</v>
      </c>
      <c r="C2771" s="14" t="s">
        <v>8673</v>
      </c>
      <c r="D2771" s="14" t="s">
        <v>8541</v>
      </c>
      <c r="E2771" s="14" t="s">
        <v>3428</v>
      </c>
      <c r="F2771" s="14" t="s">
        <v>3429</v>
      </c>
      <c r="G2771" s="14" t="s">
        <v>3430</v>
      </c>
      <c r="H2771" s="14" t="s">
        <v>467</v>
      </c>
      <c r="I2771" s="14" t="s">
        <v>195</v>
      </c>
      <c r="J2771" s="14"/>
      <c r="K2771" s="14" t="s">
        <v>3432</v>
      </c>
      <c r="L2771" s="14"/>
      <c r="M2771" s="14" t="s">
        <v>3433</v>
      </c>
      <c r="N2771" s="14"/>
      <c r="O2771" s="14" t="s">
        <v>3434</v>
      </c>
      <c r="P2771" s="14" t="str">
        <f>HYPERLINK("https://ceds.ed.gov/cedselementdetails.aspx?termid=17328")</f>
        <v>https://ceds.ed.gov/cedselementdetails.aspx?termid=17328</v>
      </c>
      <c r="Q2771" s="14" t="str">
        <f>HYPERLINK("https://ceds.ed.gov/elementComment.aspx?elementName=Custodial Parent or Guardian Indicator &amp;elementID=17328", "Click here to submit comment")</f>
        <v>Click here to submit comment</v>
      </c>
      <c r="R2771" s="14">
        <v>52410</v>
      </c>
    </row>
    <row r="2772" spans="1:18" ht="409.5" x14ac:dyDescent="0.25">
      <c r="A2772" s="14" t="s">
        <v>8974</v>
      </c>
      <c r="B2772" s="14" t="s">
        <v>8675</v>
      </c>
      <c r="C2772" s="14" t="s">
        <v>8603</v>
      </c>
      <c r="D2772" s="14" t="s">
        <v>8541</v>
      </c>
      <c r="E2772" s="14" t="s">
        <v>2853</v>
      </c>
      <c r="F2772" s="14" t="s">
        <v>2854</v>
      </c>
      <c r="G2772" s="8" t="s">
        <v>8548</v>
      </c>
      <c r="H2772" s="14" t="s">
        <v>2859</v>
      </c>
      <c r="I2772" s="14" t="s">
        <v>195</v>
      </c>
      <c r="J2772" s="14"/>
      <c r="K2772" s="14" t="s">
        <v>2856</v>
      </c>
      <c r="L2772" s="6" t="s">
        <v>2849</v>
      </c>
      <c r="M2772" s="14" t="s">
        <v>2857</v>
      </c>
      <c r="N2772" s="14"/>
      <c r="O2772" s="14" t="s">
        <v>2858</v>
      </c>
      <c r="P2772" s="14" t="str">
        <f>HYPERLINK("https://ceds.ed.gov/cedselementdetails.aspx?termid=17051")</f>
        <v>https://ceds.ed.gov/cedselementdetails.aspx?termid=17051</v>
      </c>
      <c r="Q2772" s="14" t="str">
        <f>HYPERLINK("https://ceds.ed.gov/elementComment.aspx?elementName=Country of Birth Code &amp;elementID=17051", "Click here to submit comment")</f>
        <v>Click here to submit comment</v>
      </c>
      <c r="R2772" s="14">
        <v>52402</v>
      </c>
    </row>
    <row r="2773" spans="1:18" ht="105" x14ac:dyDescent="0.25">
      <c r="A2773" s="14" t="s">
        <v>8974</v>
      </c>
      <c r="B2773" s="14" t="s">
        <v>8675</v>
      </c>
      <c r="C2773" s="14" t="s">
        <v>8603</v>
      </c>
      <c r="D2773" s="14" t="s">
        <v>8541</v>
      </c>
      <c r="E2773" s="14" t="s">
        <v>6304</v>
      </c>
      <c r="F2773" s="14" t="s">
        <v>6305</v>
      </c>
      <c r="G2773" s="8" t="s">
        <v>8677</v>
      </c>
      <c r="H2773" s="14"/>
      <c r="I2773" s="14" t="s">
        <v>195</v>
      </c>
      <c r="J2773" s="14"/>
      <c r="K2773" s="14" t="s">
        <v>6308</v>
      </c>
      <c r="L2773" s="14"/>
      <c r="M2773" s="14" t="s">
        <v>6309</v>
      </c>
      <c r="N2773" s="14"/>
      <c r="O2773" s="14" t="s">
        <v>6310</v>
      </c>
      <c r="P2773" s="14" t="str">
        <f>HYPERLINK("https://ceds.ed.gov/cedselementdetails.aspx?termid=18621")</f>
        <v>https://ceds.ed.gov/cedselementdetails.aspx?termid=18621</v>
      </c>
      <c r="Q2773" s="14" t="str">
        <f>HYPERLINK("https://ceds.ed.gov/elementComment.aspx?elementName=Military Branch &amp;elementID=18621", "Click here to submit comment")</f>
        <v>Click here to submit comment</v>
      </c>
      <c r="R2773" s="14">
        <v>52403</v>
      </c>
    </row>
    <row r="2774" spans="1:18" ht="120" x14ac:dyDescent="0.25">
      <c r="A2774" s="14" t="s">
        <v>8974</v>
      </c>
      <c r="B2774" s="14" t="s">
        <v>8675</v>
      </c>
      <c r="C2774" s="14" t="s">
        <v>8603</v>
      </c>
      <c r="D2774" s="14" t="s">
        <v>8541</v>
      </c>
      <c r="E2774" s="14" t="s">
        <v>7940</v>
      </c>
      <c r="F2774" s="14" t="s">
        <v>7941</v>
      </c>
      <c r="G2774" s="14" t="s">
        <v>37</v>
      </c>
      <c r="H2774" s="14" t="s">
        <v>80</v>
      </c>
      <c r="I2774" s="14" t="s">
        <v>195</v>
      </c>
      <c r="J2774" s="14" t="s">
        <v>7943</v>
      </c>
      <c r="K2774" s="14" t="s">
        <v>2856</v>
      </c>
      <c r="L2774" s="14"/>
      <c r="M2774" s="14" t="s">
        <v>7944</v>
      </c>
      <c r="N2774" s="14"/>
      <c r="O2774" s="14" t="s">
        <v>7945</v>
      </c>
      <c r="P2774" s="14" t="str">
        <f>HYPERLINK("https://ceds.ed.gov/cedselementdetails.aspx?termid=17707")</f>
        <v>https://ceds.ed.gov/cedselementdetails.aspx?termid=17707</v>
      </c>
      <c r="Q2774" s="14" t="str">
        <f>HYPERLINK("https://ceds.ed.gov/elementComment.aspx?elementName=Standard Occupational Classification &amp;elementID=17707", "Click here to submit comment")</f>
        <v>Click here to submit comment</v>
      </c>
      <c r="R2774" s="14">
        <v>52404</v>
      </c>
    </row>
    <row r="2775" spans="1:18" ht="105" x14ac:dyDescent="0.25">
      <c r="A2775" s="14" t="s">
        <v>8974</v>
      </c>
      <c r="B2775" s="14" t="s">
        <v>8675</v>
      </c>
      <c r="C2775" s="14" t="s">
        <v>8603</v>
      </c>
      <c r="D2775" s="14" t="s">
        <v>8541</v>
      </c>
      <c r="E2775" s="14" t="s">
        <v>8363</v>
      </c>
      <c r="F2775" s="14" t="s">
        <v>8364</v>
      </c>
      <c r="G2775" s="14" t="s">
        <v>8527</v>
      </c>
      <c r="H2775" s="14"/>
      <c r="I2775" s="14" t="s">
        <v>195</v>
      </c>
      <c r="J2775" s="14"/>
      <c r="K2775" s="14" t="s">
        <v>8366</v>
      </c>
      <c r="L2775" s="14"/>
      <c r="M2775" s="14" t="s">
        <v>8367</v>
      </c>
      <c r="N2775" s="14"/>
      <c r="O2775" s="14" t="s">
        <v>8368</v>
      </c>
      <c r="P2775" s="14" t="str">
        <f>HYPERLINK("https://ceds.ed.gov/cedselementdetails.aspx?termid=18638")</f>
        <v>https://ceds.ed.gov/cedselementdetails.aspx?termid=18638</v>
      </c>
      <c r="Q2775" s="14" t="str">
        <f>HYPERLINK("https://ceds.ed.gov/elementComment.aspx?elementName=Tribal Affiliation &amp;elementID=18638", "Click here to submit comment")</f>
        <v>Click here to submit comment</v>
      </c>
      <c r="R2775" s="14">
        <v>52405</v>
      </c>
    </row>
    <row r="2776" spans="1:18" ht="90" x14ac:dyDescent="0.25">
      <c r="A2776" s="14" t="s">
        <v>8974</v>
      </c>
      <c r="B2776" s="14" t="s">
        <v>8675</v>
      </c>
      <c r="C2776" s="14" t="s">
        <v>8632</v>
      </c>
      <c r="D2776" s="14" t="s">
        <v>8541</v>
      </c>
      <c r="E2776" s="14" t="s">
        <v>5662</v>
      </c>
      <c r="F2776" s="14" t="s">
        <v>5663</v>
      </c>
      <c r="G2776" s="14" t="s">
        <v>8527</v>
      </c>
      <c r="H2776" s="14" t="s">
        <v>5668</v>
      </c>
      <c r="I2776" s="14" t="s">
        <v>195</v>
      </c>
      <c r="J2776" s="14"/>
      <c r="K2776" s="14" t="s">
        <v>5665</v>
      </c>
      <c r="L2776" s="6" t="s">
        <v>1087</v>
      </c>
      <c r="M2776" s="14" t="s">
        <v>5666</v>
      </c>
      <c r="N2776" s="14"/>
      <c r="O2776" s="14" t="s">
        <v>5667</v>
      </c>
      <c r="P2776" s="14" t="str">
        <f>HYPERLINK("https://ceds.ed.gov/cedselementdetails.aspx?termid=17317")</f>
        <v>https://ceds.ed.gov/cedselementdetails.aspx?termid=17317</v>
      </c>
      <c r="Q2776" s="14" t="str">
        <f>HYPERLINK("https://ceds.ed.gov/elementComment.aspx?elementName=ISO 639-2 Language Code &amp;elementID=17317", "Click here to submit comment")</f>
        <v>Click here to submit comment</v>
      </c>
      <c r="R2776" s="14">
        <v>52406</v>
      </c>
    </row>
    <row r="2777" spans="1:18" ht="105" x14ac:dyDescent="0.25">
      <c r="A2777" s="14" t="s">
        <v>8974</v>
      </c>
      <c r="B2777" s="14" t="s">
        <v>8675</v>
      </c>
      <c r="C2777" s="14" t="s">
        <v>8632</v>
      </c>
      <c r="D2777" s="14" t="s">
        <v>8541</v>
      </c>
      <c r="E2777" s="14" t="s">
        <v>5669</v>
      </c>
      <c r="F2777" s="14" t="s">
        <v>5663</v>
      </c>
      <c r="G2777" s="14" t="s">
        <v>8527</v>
      </c>
      <c r="H2777" s="14"/>
      <c r="I2777" s="14" t="s">
        <v>195</v>
      </c>
      <c r="J2777" s="14"/>
      <c r="K2777" s="14" t="s">
        <v>5670</v>
      </c>
      <c r="L2777" s="6" t="s">
        <v>5671</v>
      </c>
      <c r="M2777" s="14" t="s">
        <v>5672</v>
      </c>
      <c r="N2777" s="14"/>
      <c r="O2777" s="14" t="s">
        <v>5673</v>
      </c>
      <c r="P2777" s="14" t="str">
        <f>HYPERLINK("https://ceds.ed.gov/cedselementdetails.aspx?termid=18618")</f>
        <v>https://ceds.ed.gov/cedselementdetails.aspx?termid=18618</v>
      </c>
      <c r="Q2777" s="14" t="str">
        <f>HYPERLINK("https://ceds.ed.gov/elementComment.aspx?elementName=ISO 639-3 Language Code &amp;elementID=18618", "Click here to submit comment")</f>
        <v>Click here to submit comment</v>
      </c>
      <c r="R2777" s="14">
        <v>52407</v>
      </c>
    </row>
    <row r="2778" spans="1:18" ht="409.5" x14ac:dyDescent="0.25">
      <c r="A2778" s="14" t="s">
        <v>8974</v>
      </c>
      <c r="B2778" s="14" t="s">
        <v>8675</v>
      </c>
      <c r="C2778" s="14" t="s">
        <v>8632</v>
      </c>
      <c r="D2778" s="14" t="s">
        <v>8541</v>
      </c>
      <c r="E2778" s="14" t="s">
        <v>5674</v>
      </c>
      <c r="F2778" s="14" t="s">
        <v>5675</v>
      </c>
      <c r="G2778" s="8" t="s">
        <v>8634</v>
      </c>
      <c r="H2778" s="14"/>
      <c r="I2778" s="14" t="s">
        <v>195</v>
      </c>
      <c r="J2778" s="14"/>
      <c r="K2778" s="14" t="s">
        <v>2856</v>
      </c>
      <c r="L2778" s="6" t="s">
        <v>5677</v>
      </c>
      <c r="M2778" s="14" t="s">
        <v>5678</v>
      </c>
      <c r="N2778" s="14"/>
      <c r="O2778" s="14" t="s">
        <v>5679</v>
      </c>
      <c r="P2778" s="14" t="str">
        <f>HYPERLINK("https://ceds.ed.gov/cedselementdetails.aspx?termid=18619")</f>
        <v>https://ceds.ed.gov/cedselementdetails.aspx?termid=18619</v>
      </c>
      <c r="Q2778" s="14" t="str">
        <f>HYPERLINK("https://ceds.ed.gov/elementComment.aspx?elementName=ISO 639-5 Language Family &amp;elementID=18619", "Click here to submit comment")</f>
        <v>Click here to submit comment</v>
      </c>
      <c r="R2778" s="14">
        <v>52408</v>
      </c>
    </row>
    <row r="2779" spans="1:18" ht="135" x14ac:dyDescent="0.25">
      <c r="A2779" s="14" t="s">
        <v>8974</v>
      </c>
      <c r="B2779" s="14" t="s">
        <v>8675</v>
      </c>
      <c r="C2779" s="14" t="s">
        <v>8632</v>
      </c>
      <c r="D2779" s="14" t="s">
        <v>8541</v>
      </c>
      <c r="E2779" s="14" t="s">
        <v>5717</v>
      </c>
      <c r="F2779" s="14" t="s">
        <v>5718</v>
      </c>
      <c r="G2779" s="8" t="s">
        <v>8633</v>
      </c>
      <c r="H2779" s="14" t="s">
        <v>5668</v>
      </c>
      <c r="I2779" s="14" t="s">
        <v>195</v>
      </c>
      <c r="J2779" s="14"/>
      <c r="K2779" s="14" t="s">
        <v>2856</v>
      </c>
      <c r="L2779" s="14"/>
      <c r="M2779" s="14" t="s">
        <v>5721</v>
      </c>
      <c r="N2779" s="14"/>
      <c r="O2779" s="14" t="s">
        <v>5722</v>
      </c>
      <c r="P2779" s="14" t="str">
        <f>HYPERLINK("https://ceds.ed.gov/cedselementdetails.aspx?termid=17316")</f>
        <v>https://ceds.ed.gov/cedselementdetails.aspx?termid=17316</v>
      </c>
      <c r="Q2779" s="14" t="str">
        <f>HYPERLINK("https://ceds.ed.gov/elementComment.aspx?elementName=Language Type &amp;elementID=17316", "Click here to submit comment")</f>
        <v>Click here to submit comment</v>
      </c>
      <c r="R2779" s="14">
        <v>52409</v>
      </c>
    </row>
    <row r="2780" spans="1:18" ht="75" x14ac:dyDescent="0.25">
      <c r="A2780" s="14" t="s">
        <v>8974</v>
      </c>
      <c r="B2780" s="14" t="s">
        <v>8675</v>
      </c>
      <c r="C2780" s="14" t="s">
        <v>4</v>
      </c>
      <c r="D2780" s="14" t="s">
        <v>8541</v>
      </c>
      <c r="E2780" s="14" t="s">
        <v>7201</v>
      </c>
      <c r="F2780" s="14" t="s">
        <v>7202</v>
      </c>
      <c r="G2780" s="14" t="s">
        <v>24</v>
      </c>
      <c r="H2780" s="14"/>
      <c r="I2780" s="14" t="s">
        <v>195</v>
      </c>
      <c r="J2780" s="14"/>
      <c r="K2780" s="14" t="s">
        <v>2856</v>
      </c>
      <c r="L2780" s="14"/>
      <c r="M2780" s="14" t="s">
        <v>7204</v>
      </c>
      <c r="N2780" s="14"/>
      <c r="O2780" s="14" t="s">
        <v>7205</v>
      </c>
      <c r="P2780" s="14" t="str">
        <f>HYPERLINK("https://ceds.ed.gov/cedselementdetails.aspx?termid=17760")</f>
        <v>https://ceds.ed.gov/cedselementdetails.aspx?termid=17760</v>
      </c>
      <c r="Q2780" s="14" t="str">
        <f>HYPERLINK("https://ceds.ed.gov/elementComment.aspx?elementName=Public Assistance Status &amp;elementID=17760", "Click here to submit comment")</f>
        <v>Click here to submit comment</v>
      </c>
      <c r="R2780" s="14">
        <v>52411</v>
      </c>
    </row>
    <row r="2781" spans="1:18" ht="195" x14ac:dyDescent="0.25">
      <c r="A2781" s="14" t="s">
        <v>8974</v>
      </c>
      <c r="B2781" s="14" t="s">
        <v>9061</v>
      </c>
      <c r="C2781" s="14" t="s">
        <v>8597</v>
      </c>
      <c r="D2781" s="14" t="s">
        <v>8531</v>
      </c>
      <c r="E2781" s="14" t="s">
        <v>4667</v>
      </c>
      <c r="F2781" s="14" t="s">
        <v>4668</v>
      </c>
      <c r="G2781" s="14" t="s">
        <v>37</v>
      </c>
      <c r="H2781" s="14" t="s">
        <v>4673</v>
      </c>
      <c r="I2781" s="14"/>
      <c r="J2781" s="14" t="s">
        <v>1468</v>
      </c>
      <c r="K2781" s="14"/>
      <c r="L2781" s="14" t="s">
        <v>4670</v>
      </c>
      <c r="M2781" s="14" t="s">
        <v>4671</v>
      </c>
      <c r="N2781" s="14"/>
      <c r="O2781" s="14" t="s">
        <v>4672</v>
      </c>
      <c r="P2781" s="14" t="str">
        <f>HYPERLINK("https://ceds.ed.gov/cedselementdetails.aspx?termid=17115")</f>
        <v>https://ceds.ed.gov/cedselementdetails.aspx?termid=17115</v>
      </c>
      <c r="Q2781" s="14" t="str">
        <f>HYPERLINK("https://ceds.ed.gov/elementComment.aspx?elementName=First Name &amp;elementID=17115", "Click here to submit comment")</f>
        <v>Click here to submit comment</v>
      </c>
      <c r="R2781" s="14">
        <v>49026</v>
      </c>
    </row>
    <row r="2782" spans="1:18" x14ac:dyDescent="0.25">
      <c r="A2782" s="16" t="s">
        <v>8974</v>
      </c>
      <c r="B2782" s="16" t="s">
        <v>9061</v>
      </c>
      <c r="C2782" s="16" t="s">
        <v>8597</v>
      </c>
      <c r="D2782" s="16" t="s">
        <v>8531</v>
      </c>
      <c r="E2782" s="16" t="s">
        <v>6223</v>
      </c>
      <c r="F2782" s="16" t="s">
        <v>6224</v>
      </c>
      <c r="G2782" s="16" t="s">
        <v>37</v>
      </c>
      <c r="H2782" s="16" t="s">
        <v>4673</v>
      </c>
      <c r="I2782" s="16"/>
      <c r="J2782" s="16" t="s">
        <v>1468</v>
      </c>
      <c r="K2782" s="16"/>
      <c r="L2782" s="14" t="s">
        <v>4746</v>
      </c>
      <c r="M2782" s="16" t="s">
        <v>6226</v>
      </c>
      <c r="N2782" s="16"/>
      <c r="O2782" s="16" t="s">
        <v>6227</v>
      </c>
      <c r="P2782" s="16" t="str">
        <f>HYPERLINK("https://ceds.ed.gov/cedselementdetails.aspx?termid=17184")</f>
        <v>https://ceds.ed.gov/cedselementdetails.aspx?termid=17184</v>
      </c>
      <c r="Q2782" s="16" t="str">
        <f>HYPERLINK("https://ceds.ed.gov/elementComment.aspx?elementName=Middle Name &amp;elementID=17184", "Click here to submit comment")</f>
        <v>Click here to submit comment</v>
      </c>
      <c r="R2782" s="16">
        <v>49027</v>
      </c>
    </row>
    <row r="2783" spans="1:18" ht="90" x14ac:dyDescent="0.25">
      <c r="A2783" s="16"/>
      <c r="B2783" s="16"/>
      <c r="C2783" s="16"/>
      <c r="D2783" s="16"/>
      <c r="E2783" s="16"/>
      <c r="F2783" s="16"/>
      <c r="G2783" s="16"/>
      <c r="H2783" s="16"/>
      <c r="I2783" s="16"/>
      <c r="J2783" s="16"/>
      <c r="K2783" s="16"/>
      <c r="L2783" s="14" t="s">
        <v>4750</v>
      </c>
      <c r="M2783" s="16"/>
      <c r="N2783" s="16"/>
      <c r="O2783" s="16"/>
      <c r="P2783" s="16"/>
      <c r="Q2783" s="16"/>
      <c r="R2783" s="16"/>
    </row>
    <row r="2784" spans="1:18" x14ac:dyDescent="0.25">
      <c r="A2784" s="16" t="s">
        <v>8974</v>
      </c>
      <c r="B2784" s="16" t="s">
        <v>9061</v>
      </c>
      <c r="C2784" s="16" t="s">
        <v>8597</v>
      </c>
      <c r="D2784" s="16" t="s">
        <v>8531</v>
      </c>
      <c r="E2784" s="16" t="s">
        <v>5727</v>
      </c>
      <c r="F2784" s="16" t="s">
        <v>5728</v>
      </c>
      <c r="G2784" s="16" t="s">
        <v>37</v>
      </c>
      <c r="H2784" s="16" t="s">
        <v>4673</v>
      </c>
      <c r="I2784" s="16"/>
      <c r="J2784" s="16" t="s">
        <v>1468</v>
      </c>
      <c r="K2784" s="16"/>
      <c r="L2784" s="14" t="s">
        <v>4746</v>
      </c>
      <c r="M2784" s="16" t="s">
        <v>5729</v>
      </c>
      <c r="N2784" s="16" t="s">
        <v>5730</v>
      </c>
      <c r="O2784" s="16" t="s">
        <v>5731</v>
      </c>
      <c r="P2784" s="16" t="str">
        <f>HYPERLINK("https://ceds.ed.gov/cedselementdetails.aspx?termid=17172")</f>
        <v>https://ceds.ed.gov/cedselementdetails.aspx?termid=17172</v>
      </c>
      <c r="Q2784" s="16" t="str">
        <f>HYPERLINK("https://ceds.ed.gov/elementComment.aspx?elementName=Last or Surname &amp;elementID=17172", "Click here to submit comment")</f>
        <v>Click here to submit comment</v>
      </c>
      <c r="R2784" s="16">
        <v>49028</v>
      </c>
    </row>
    <row r="2785" spans="1:18" ht="90" x14ac:dyDescent="0.25">
      <c r="A2785" s="16"/>
      <c r="B2785" s="16"/>
      <c r="C2785" s="16"/>
      <c r="D2785" s="16"/>
      <c r="E2785" s="16"/>
      <c r="F2785" s="16"/>
      <c r="G2785" s="16"/>
      <c r="H2785" s="16"/>
      <c r="I2785" s="16"/>
      <c r="J2785" s="16"/>
      <c r="K2785" s="16"/>
      <c r="L2785" s="14" t="s">
        <v>4750</v>
      </c>
      <c r="M2785" s="16"/>
      <c r="N2785" s="16"/>
      <c r="O2785" s="16"/>
      <c r="P2785" s="16"/>
      <c r="Q2785" s="16"/>
      <c r="R2785" s="16"/>
    </row>
    <row r="2786" spans="1:18" x14ac:dyDescent="0.25">
      <c r="A2786" s="16" t="s">
        <v>8974</v>
      </c>
      <c r="B2786" s="16" t="s">
        <v>9061</v>
      </c>
      <c r="C2786" s="16" t="s">
        <v>8597</v>
      </c>
      <c r="D2786" s="16" t="s">
        <v>8531</v>
      </c>
      <c r="E2786" s="16" t="s">
        <v>4743</v>
      </c>
      <c r="F2786" s="16" t="s">
        <v>4744</v>
      </c>
      <c r="G2786" s="16" t="s">
        <v>37</v>
      </c>
      <c r="H2786" s="16" t="s">
        <v>4749</v>
      </c>
      <c r="I2786" s="16"/>
      <c r="J2786" s="16" t="s">
        <v>3096</v>
      </c>
      <c r="K2786" s="16"/>
      <c r="L2786" s="14" t="s">
        <v>4746</v>
      </c>
      <c r="M2786" s="16" t="s">
        <v>4747</v>
      </c>
      <c r="N2786" s="16"/>
      <c r="O2786" s="16" t="s">
        <v>4748</v>
      </c>
      <c r="P2786" s="16" t="str">
        <f>HYPERLINK("https://ceds.ed.gov/cedselementdetails.aspx?termid=17121")</f>
        <v>https://ceds.ed.gov/cedselementdetails.aspx?termid=17121</v>
      </c>
      <c r="Q2786" s="16" t="str">
        <f>HYPERLINK("https://ceds.ed.gov/elementComment.aspx?elementName=Generation Code or Suffix &amp;elementID=17121", "Click here to submit comment")</f>
        <v>Click here to submit comment</v>
      </c>
      <c r="R2786" s="16">
        <v>49029</v>
      </c>
    </row>
    <row r="2787" spans="1:18" ht="90" x14ac:dyDescent="0.25">
      <c r="A2787" s="16"/>
      <c r="B2787" s="16"/>
      <c r="C2787" s="16"/>
      <c r="D2787" s="16"/>
      <c r="E2787" s="16"/>
      <c r="F2787" s="16"/>
      <c r="G2787" s="16"/>
      <c r="H2787" s="16"/>
      <c r="I2787" s="16"/>
      <c r="J2787" s="16"/>
      <c r="K2787" s="16"/>
      <c r="L2787" s="14" t="s">
        <v>4750</v>
      </c>
      <c r="M2787" s="16"/>
      <c r="N2787" s="16"/>
      <c r="O2787" s="16"/>
      <c r="P2787" s="16"/>
      <c r="Q2787" s="16"/>
      <c r="R2787" s="16"/>
    </row>
    <row r="2788" spans="1:18" ht="105" x14ac:dyDescent="0.25">
      <c r="A2788" s="14" t="s">
        <v>8974</v>
      </c>
      <c r="B2788" s="14" t="s">
        <v>9061</v>
      </c>
      <c r="C2788" s="14" t="s">
        <v>8597</v>
      </c>
      <c r="D2788" s="14" t="s">
        <v>8531</v>
      </c>
      <c r="E2788" s="14" t="s">
        <v>6741</v>
      </c>
      <c r="F2788" s="14" t="s">
        <v>6742</v>
      </c>
      <c r="G2788" s="14" t="s">
        <v>37</v>
      </c>
      <c r="H2788" s="14" t="s">
        <v>6747</v>
      </c>
      <c r="I2788" s="14"/>
      <c r="J2788" s="14" t="s">
        <v>97</v>
      </c>
      <c r="K2788" s="14"/>
      <c r="L2788" s="14"/>
      <c r="M2788" s="14" t="s">
        <v>6744</v>
      </c>
      <c r="N2788" s="14" t="s">
        <v>6745</v>
      </c>
      <c r="O2788" s="14" t="s">
        <v>6746</v>
      </c>
      <c r="P2788" s="14" t="str">
        <f>HYPERLINK("https://ceds.ed.gov/cedselementdetails.aspx?termid=17212")</f>
        <v>https://ceds.ed.gov/cedselementdetails.aspx?termid=17212</v>
      </c>
      <c r="Q2788" s="14" t="str">
        <f>HYPERLINK("https://ceds.ed.gov/elementComment.aspx?elementName=Personal Title or Prefix &amp;elementID=17212", "Click here to submit comment")</f>
        <v>Click here to submit comment</v>
      </c>
      <c r="R2788" s="14">
        <v>49030</v>
      </c>
    </row>
    <row r="2789" spans="1:18" ht="45" x14ac:dyDescent="0.25">
      <c r="A2789" s="14" t="s">
        <v>8974</v>
      </c>
      <c r="B2789" s="14" t="s">
        <v>9061</v>
      </c>
      <c r="C2789" s="14" t="s">
        <v>8598</v>
      </c>
      <c r="D2789" s="14" t="s">
        <v>8531</v>
      </c>
      <c r="E2789" s="14" t="s">
        <v>6586</v>
      </c>
      <c r="F2789" s="14" t="s">
        <v>6587</v>
      </c>
      <c r="G2789" s="14" t="s">
        <v>37</v>
      </c>
      <c r="H2789" s="14"/>
      <c r="I2789" s="14"/>
      <c r="J2789" s="14" t="s">
        <v>1468</v>
      </c>
      <c r="K2789" s="14"/>
      <c r="L2789" s="14" t="s">
        <v>6589</v>
      </c>
      <c r="M2789" s="14" t="s">
        <v>6590</v>
      </c>
      <c r="N2789" s="14"/>
      <c r="O2789" s="14" t="s">
        <v>6591</v>
      </c>
      <c r="P2789" s="14" t="str">
        <f>HYPERLINK("https://ceds.ed.gov/cedselementdetails.aspx?termid=18486")</f>
        <v>https://ceds.ed.gov/cedselementdetails.aspx?termid=18486</v>
      </c>
      <c r="Q2789" s="14" t="str">
        <f>HYPERLINK("https://ceds.ed.gov/elementComment.aspx?elementName=Other First Name &amp;elementID=18486", "Click here to submit comment")</f>
        <v>Click here to submit comment</v>
      </c>
      <c r="R2789" s="14">
        <v>50634</v>
      </c>
    </row>
    <row r="2790" spans="1:18" ht="45" x14ac:dyDescent="0.25">
      <c r="A2790" s="14" t="s">
        <v>8974</v>
      </c>
      <c r="B2790" s="14" t="s">
        <v>9061</v>
      </c>
      <c r="C2790" s="14" t="s">
        <v>8598</v>
      </c>
      <c r="D2790" s="14" t="s">
        <v>8531</v>
      </c>
      <c r="E2790" s="14" t="s">
        <v>6592</v>
      </c>
      <c r="F2790" s="14" t="s">
        <v>6593</v>
      </c>
      <c r="G2790" s="14" t="s">
        <v>37</v>
      </c>
      <c r="H2790" s="14"/>
      <c r="I2790" s="14"/>
      <c r="J2790" s="14" t="s">
        <v>1468</v>
      </c>
      <c r="K2790" s="14"/>
      <c r="L2790" s="14" t="s">
        <v>6594</v>
      </c>
      <c r="M2790" s="14" t="s">
        <v>6595</v>
      </c>
      <c r="N2790" s="14"/>
      <c r="O2790" s="14" t="s">
        <v>6596</v>
      </c>
      <c r="P2790" s="14" t="str">
        <f>HYPERLINK("https://ceds.ed.gov/cedselementdetails.aspx?termid=18485")</f>
        <v>https://ceds.ed.gov/cedselementdetails.aspx?termid=18485</v>
      </c>
      <c r="Q2790" s="14" t="str">
        <f>HYPERLINK("https://ceds.ed.gov/elementComment.aspx?elementName=Other Last Name &amp;elementID=18485", "Click here to submit comment")</f>
        <v>Click here to submit comment</v>
      </c>
      <c r="R2790" s="14">
        <v>50618</v>
      </c>
    </row>
    <row r="2791" spans="1:18" ht="45" x14ac:dyDescent="0.25">
      <c r="A2791" s="14" t="s">
        <v>8974</v>
      </c>
      <c r="B2791" s="14" t="s">
        <v>9061</v>
      </c>
      <c r="C2791" s="14" t="s">
        <v>8598</v>
      </c>
      <c r="D2791" s="14" t="s">
        <v>8531</v>
      </c>
      <c r="E2791" s="14" t="s">
        <v>6597</v>
      </c>
      <c r="F2791" s="14" t="s">
        <v>6598</v>
      </c>
      <c r="G2791" s="14" t="s">
        <v>37</v>
      </c>
      <c r="H2791" s="14"/>
      <c r="I2791" s="14"/>
      <c r="J2791" s="14" t="s">
        <v>1468</v>
      </c>
      <c r="K2791" s="14"/>
      <c r="L2791" s="14" t="s">
        <v>6599</v>
      </c>
      <c r="M2791" s="14" t="s">
        <v>6600</v>
      </c>
      <c r="N2791" s="14"/>
      <c r="O2791" s="14" t="s">
        <v>6601</v>
      </c>
      <c r="P2791" s="14" t="str">
        <f>HYPERLINK("https://ceds.ed.gov/cedselementdetails.aspx?termid=18487")</f>
        <v>https://ceds.ed.gov/cedselementdetails.aspx?termid=18487</v>
      </c>
      <c r="Q2791" s="14" t="str">
        <f>HYPERLINK("https://ceds.ed.gov/elementComment.aspx?elementName=Other Middle Name &amp;elementID=18487", "Click here to submit comment")</f>
        <v>Click here to submit comment</v>
      </c>
      <c r="R2791" s="14">
        <v>50650</v>
      </c>
    </row>
    <row r="2792" spans="1:18" ht="150" x14ac:dyDescent="0.25">
      <c r="A2792" s="14" t="s">
        <v>8974</v>
      </c>
      <c r="B2792" s="14" t="s">
        <v>9061</v>
      </c>
      <c r="C2792" s="14" t="s">
        <v>8598</v>
      </c>
      <c r="D2792" s="14" t="s">
        <v>8531</v>
      </c>
      <c r="E2792" s="14" t="s">
        <v>6602</v>
      </c>
      <c r="F2792" s="14" t="s">
        <v>6603</v>
      </c>
      <c r="G2792" s="14" t="s">
        <v>37</v>
      </c>
      <c r="H2792" s="14" t="s">
        <v>4749</v>
      </c>
      <c r="I2792" s="14"/>
      <c r="J2792" s="14" t="s">
        <v>149</v>
      </c>
      <c r="K2792" s="14"/>
      <c r="L2792" s="14"/>
      <c r="M2792" s="14" t="s">
        <v>6604</v>
      </c>
      <c r="N2792" s="14"/>
      <c r="O2792" s="14" t="s">
        <v>6605</v>
      </c>
      <c r="P2792" s="14" t="str">
        <f>HYPERLINK("https://ceds.ed.gov/cedselementdetails.aspx?termid=17206")</f>
        <v>https://ceds.ed.gov/cedselementdetails.aspx?termid=17206</v>
      </c>
      <c r="Q2792" s="14" t="str">
        <f>HYPERLINK("https://ceds.ed.gov/elementComment.aspx?elementName=Other Name &amp;elementID=17206", "Click here to submit comment")</f>
        <v>Click here to submit comment</v>
      </c>
      <c r="R2792" s="14">
        <v>49031</v>
      </c>
    </row>
    <row r="2793" spans="1:18" ht="165" x14ac:dyDescent="0.25">
      <c r="A2793" s="14" t="s">
        <v>8974</v>
      </c>
      <c r="B2793" s="14" t="s">
        <v>9061</v>
      </c>
      <c r="C2793" s="14" t="s">
        <v>8598</v>
      </c>
      <c r="D2793" s="14" t="s">
        <v>8531</v>
      </c>
      <c r="E2793" s="14" t="s">
        <v>6606</v>
      </c>
      <c r="F2793" s="14" t="s">
        <v>6607</v>
      </c>
      <c r="G2793" s="8" t="s">
        <v>8554</v>
      </c>
      <c r="H2793" s="14" t="s">
        <v>6612</v>
      </c>
      <c r="I2793" s="14"/>
      <c r="J2793" s="14" t="s">
        <v>97</v>
      </c>
      <c r="K2793" s="14"/>
      <c r="L2793" s="14"/>
      <c r="M2793" s="14" t="s">
        <v>6610</v>
      </c>
      <c r="N2793" s="14"/>
      <c r="O2793" s="14" t="s">
        <v>6611</v>
      </c>
      <c r="P2793" s="14" t="str">
        <f>HYPERLINK("https://ceds.ed.gov/cedselementdetails.aspx?termid=17627")</f>
        <v>https://ceds.ed.gov/cedselementdetails.aspx?termid=17627</v>
      </c>
      <c r="Q2793" s="14" t="str">
        <f>HYPERLINK("https://ceds.ed.gov/elementComment.aspx?elementName=Other Name Type &amp;elementID=17627", "Click here to submit comment")</f>
        <v>Click here to submit comment</v>
      </c>
      <c r="R2793" s="14">
        <v>49032</v>
      </c>
    </row>
    <row r="2794" spans="1:18" ht="105" x14ac:dyDescent="0.25">
      <c r="A2794" s="16" t="s">
        <v>8974</v>
      </c>
      <c r="B2794" s="16" t="s">
        <v>9061</v>
      </c>
      <c r="C2794" s="16" t="s">
        <v>8599</v>
      </c>
      <c r="D2794" s="16" t="s">
        <v>8531</v>
      </c>
      <c r="E2794" s="16" t="s">
        <v>7927</v>
      </c>
      <c r="F2794" s="16" t="s">
        <v>7928</v>
      </c>
      <c r="G2794" s="16" t="s">
        <v>37</v>
      </c>
      <c r="H2794" s="16" t="s">
        <v>7931</v>
      </c>
      <c r="I2794" s="16"/>
      <c r="J2794" s="16" t="s">
        <v>149</v>
      </c>
      <c r="K2794" s="16"/>
      <c r="L2794" s="14" t="s">
        <v>150</v>
      </c>
      <c r="M2794" s="16" t="s">
        <v>7929</v>
      </c>
      <c r="N2794" s="16"/>
      <c r="O2794" s="16" t="s">
        <v>7930</v>
      </c>
      <c r="P2794" s="16" t="str">
        <f>HYPERLINK("https://ceds.ed.gov/cedselementdetails.aspx?termid=17156")</f>
        <v>https://ceds.ed.gov/cedselementdetails.aspx?termid=17156</v>
      </c>
      <c r="Q2794" s="16" t="str">
        <f>HYPERLINK("https://ceds.ed.gov/elementComment.aspx?elementName=Staff Member Identifier &amp;elementID=17156", "Click here to submit comment")</f>
        <v>Click here to submit comment</v>
      </c>
      <c r="R2794" s="16">
        <v>49152</v>
      </c>
    </row>
    <row r="2795" spans="1:18" x14ac:dyDescent="0.25">
      <c r="A2795" s="16"/>
      <c r="B2795" s="16"/>
      <c r="C2795" s="16"/>
      <c r="D2795" s="16"/>
      <c r="E2795" s="16"/>
      <c r="F2795" s="16"/>
      <c r="G2795" s="16"/>
      <c r="H2795" s="16"/>
      <c r="I2795" s="16"/>
      <c r="J2795" s="16"/>
      <c r="K2795" s="16"/>
      <c r="L2795" s="14"/>
      <c r="M2795" s="16"/>
      <c r="N2795" s="16"/>
      <c r="O2795" s="16"/>
      <c r="P2795" s="16"/>
      <c r="Q2795" s="16"/>
      <c r="R2795" s="16"/>
    </row>
    <row r="2796" spans="1:18" ht="90" x14ac:dyDescent="0.25">
      <c r="A2796" s="16"/>
      <c r="B2796" s="16"/>
      <c r="C2796" s="16"/>
      <c r="D2796" s="16"/>
      <c r="E2796" s="16"/>
      <c r="F2796" s="16"/>
      <c r="G2796" s="16"/>
      <c r="H2796" s="16"/>
      <c r="I2796" s="16"/>
      <c r="J2796" s="16"/>
      <c r="K2796" s="16"/>
      <c r="L2796" s="14" t="s">
        <v>153</v>
      </c>
      <c r="M2796" s="16"/>
      <c r="N2796" s="16"/>
      <c r="O2796" s="16"/>
      <c r="P2796" s="16"/>
      <c r="Q2796" s="16"/>
      <c r="R2796" s="16"/>
    </row>
    <row r="2797" spans="1:18" ht="345" x14ac:dyDescent="0.25">
      <c r="A2797" s="14" t="s">
        <v>8974</v>
      </c>
      <c r="B2797" s="14" t="s">
        <v>9061</v>
      </c>
      <c r="C2797" s="14" t="s">
        <v>8599</v>
      </c>
      <c r="D2797" s="14" t="s">
        <v>8531</v>
      </c>
      <c r="E2797" s="14" t="s">
        <v>7920</v>
      </c>
      <c r="F2797" s="14" t="s">
        <v>7921</v>
      </c>
      <c r="G2797" s="8" t="s">
        <v>8687</v>
      </c>
      <c r="H2797" s="14" t="s">
        <v>7926</v>
      </c>
      <c r="I2797" s="14"/>
      <c r="J2797" s="14"/>
      <c r="K2797" s="14"/>
      <c r="L2797" s="14"/>
      <c r="M2797" s="14" t="s">
        <v>7924</v>
      </c>
      <c r="N2797" s="14"/>
      <c r="O2797" s="14" t="s">
        <v>7925</v>
      </c>
      <c r="P2797" s="14" t="str">
        <f>HYPERLINK("https://ceds.ed.gov/cedselementdetails.aspx?termid=17162")</f>
        <v>https://ceds.ed.gov/cedselementdetails.aspx?termid=17162</v>
      </c>
      <c r="Q2797" s="14" t="str">
        <f>HYPERLINK("https://ceds.ed.gov/elementComment.aspx?elementName=Staff Member Identification System &amp;elementID=17162", "Click here to submit comment")</f>
        <v>Click here to submit comment</v>
      </c>
      <c r="R2797" s="14">
        <v>48615</v>
      </c>
    </row>
    <row r="2798" spans="1:18" ht="255" x14ac:dyDescent="0.25">
      <c r="A2798" s="14" t="s">
        <v>8974</v>
      </c>
      <c r="B2798" s="14" t="s">
        <v>9061</v>
      </c>
      <c r="C2798" s="14" t="s">
        <v>8599</v>
      </c>
      <c r="D2798" s="14" t="s">
        <v>8531</v>
      </c>
      <c r="E2798" s="14" t="s">
        <v>6735</v>
      </c>
      <c r="F2798" s="14" t="s">
        <v>6736</v>
      </c>
      <c r="G2798" s="8" t="s">
        <v>8601</v>
      </c>
      <c r="H2798" s="14"/>
      <c r="I2798" s="14"/>
      <c r="J2798" s="14"/>
      <c r="K2798" s="14"/>
      <c r="L2798" s="14"/>
      <c r="M2798" s="14" t="s">
        <v>6739</v>
      </c>
      <c r="N2798" s="14"/>
      <c r="O2798" s="14" t="s">
        <v>6740</v>
      </c>
      <c r="P2798" s="14" t="str">
        <f>HYPERLINK("https://ceds.ed.gov/cedselementdetails.aspx?termid=17611")</f>
        <v>https://ceds.ed.gov/cedselementdetails.aspx?termid=17611</v>
      </c>
      <c r="Q2798" s="14" t="str">
        <f>HYPERLINK("https://ceds.ed.gov/elementComment.aspx?elementName=Personal Information Verification &amp;elementID=17611", "Click here to submit comment")</f>
        <v>Click here to submit comment</v>
      </c>
      <c r="R2798" s="14">
        <v>49218</v>
      </c>
    </row>
    <row r="2799" spans="1:18" ht="105" x14ac:dyDescent="0.25">
      <c r="A2799" s="14" t="s">
        <v>8974</v>
      </c>
      <c r="B2799" s="14" t="s">
        <v>9061</v>
      </c>
      <c r="C2799" s="14" t="s">
        <v>8547</v>
      </c>
      <c r="D2799" s="14" t="s">
        <v>8531</v>
      </c>
      <c r="E2799" s="14" t="s">
        <v>232</v>
      </c>
      <c r="F2799" s="14" t="s">
        <v>233</v>
      </c>
      <c r="G2799" s="8" t="s">
        <v>8688</v>
      </c>
      <c r="H2799" s="14" t="s">
        <v>238</v>
      </c>
      <c r="I2799" s="14"/>
      <c r="J2799" s="14" t="s">
        <v>97</v>
      </c>
      <c r="K2799" s="14"/>
      <c r="L2799" s="14"/>
      <c r="M2799" s="14" t="s">
        <v>236</v>
      </c>
      <c r="N2799" s="14"/>
      <c r="O2799" s="14" t="s">
        <v>237</v>
      </c>
      <c r="P2799" s="14" t="str">
        <f>HYPERLINK("https://ceds.ed.gov/cedselementdetails.aspx?termid=17698")</f>
        <v>https://ceds.ed.gov/cedselementdetails.aspx?termid=17698</v>
      </c>
      <c r="Q2799" s="14" t="str">
        <f>HYPERLINK("https://ceds.ed.gov/elementComment.aspx?elementName=Address Type for Staff &amp;elementID=17698", "Click here to submit comment")</f>
        <v>Click here to submit comment</v>
      </c>
      <c r="R2799" s="14">
        <v>49033</v>
      </c>
    </row>
    <row r="2800" spans="1:18" ht="225" x14ac:dyDescent="0.25">
      <c r="A2800" s="14" t="s">
        <v>8974</v>
      </c>
      <c r="B2800" s="14" t="s">
        <v>9061</v>
      </c>
      <c r="C2800" s="14" t="s">
        <v>8547</v>
      </c>
      <c r="D2800" s="14" t="s">
        <v>8531</v>
      </c>
      <c r="E2800" s="14" t="s">
        <v>214</v>
      </c>
      <c r="F2800" s="14" t="s">
        <v>215</v>
      </c>
      <c r="G2800" s="14" t="s">
        <v>37</v>
      </c>
      <c r="H2800" s="14" t="s">
        <v>199</v>
      </c>
      <c r="I2800" s="14" t="s">
        <v>195</v>
      </c>
      <c r="J2800" s="14" t="s">
        <v>216</v>
      </c>
      <c r="K2800" s="14" t="s">
        <v>196</v>
      </c>
      <c r="L2800" s="14"/>
      <c r="M2800" s="14" t="s">
        <v>217</v>
      </c>
      <c r="N2800" s="14"/>
      <c r="O2800" s="14" t="s">
        <v>218</v>
      </c>
      <c r="P2800" s="14" t="str">
        <f>HYPERLINK("https://ceds.ed.gov/cedselementdetails.aspx?termid=17269")</f>
        <v>https://ceds.ed.gov/cedselementdetails.aspx?termid=17269</v>
      </c>
      <c r="Q2800" s="14" t="str">
        <f>HYPERLINK("https://ceds.ed.gov/elementComment.aspx?elementName=Address Street Number and Name &amp;elementID=17269", "Click here to submit comment")</f>
        <v>Click here to submit comment</v>
      </c>
      <c r="R2800" s="14">
        <v>49034</v>
      </c>
    </row>
    <row r="2801" spans="1:18" ht="225" x14ac:dyDescent="0.25">
      <c r="A2801" s="14" t="s">
        <v>8974</v>
      </c>
      <c r="B2801" s="14" t="s">
        <v>9061</v>
      </c>
      <c r="C2801" s="14" t="s">
        <v>8547</v>
      </c>
      <c r="D2801" s="14" t="s">
        <v>8531</v>
      </c>
      <c r="E2801" s="14" t="s">
        <v>192</v>
      </c>
      <c r="F2801" s="14" t="s">
        <v>193</v>
      </c>
      <c r="G2801" s="14" t="s">
        <v>37</v>
      </c>
      <c r="H2801" s="14" t="s">
        <v>199</v>
      </c>
      <c r="I2801" s="14" t="s">
        <v>195</v>
      </c>
      <c r="J2801" s="14" t="s">
        <v>175</v>
      </c>
      <c r="K2801" s="14" t="s">
        <v>196</v>
      </c>
      <c r="L2801" s="14"/>
      <c r="M2801" s="14" t="s">
        <v>197</v>
      </c>
      <c r="N2801" s="14"/>
      <c r="O2801" s="14" t="s">
        <v>198</v>
      </c>
      <c r="P2801" s="14" t="str">
        <f>HYPERLINK("https://ceds.ed.gov/cedselementdetails.aspx?termid=17019")</f>
        <v>https://ceds.ed.gov/cedselementdetails.aspx?termid=17019</v>
      </c>
      <c r="Q2801" s="14" t="str">
        <f>HYPERLINK("https://ceds.ed.gov/elementComment.aspx?elementName=Address Apartment Room or Suite Number &amp;elementID=17019", "Click here to submit comment")</f>
        <v>Click here to submit comment</v>
      </c>
      <c r="R2801" s="14">
        <v>49048</v>
      </c>
    </row>
    <row r="2802" spans="1:18" ht="225" x14ac:dyDescent="0.25">
      <c r="A2802" s="14" t="s">
        <v>8974</v>
      </c>
      <c r="B2802" s="14" t="s">
        <v>9061</v>
      </c>
      <c r="C2802" s="14" t="s">
        <v>8547</v>
      </c>
      <c r="D2802" s="14" t="s">
        <v>8531</v>
      </c>
      <c r="E2802" s="14" t="s">
        <v>200</v>
      </c>
      <c r="F2802" s="14" t="s">
        <v>201</v>
      </c>
      <c r="G2802" s="14" t="s">
        <v>37</v>
      </c>
      <c r="H2802" s="14" t="s">
        <v>199</v>
      </c>
      <c r="I2802" s="14"/>
      <c r="J2802" s="14" t="s">
        <v>97</v>
      </c>
      <c r="K2802" s="14"/>
      <c r="L2802" s="14"/>
      <c r="M2802" s="14" t="s">
        <v>202</v>
      </c>
      <c r="N2802" s="14"/>
      <c r="O2802" s="14" t="s">
        <v>203</v>
      </c>
      <c r="P2802" s="14" t="str">
        <f>HYPERLINK("https://ceds.ed.gov/cedselementdetails.aspx?termid=17040")</f>
        <v>https://ceds.ed.gov/cedselementdetails.aspx?termid=17040</v>
      </c>
      <c r="Q2802" s="14" t="str">
        <f>HYPERLINK("https://ceds.ed.gov/elementComment.aspx?elementName=Address City &amp;elementID=17040", "Click here to submit comment")</f>
        <v>Click here to submit comment</v>
      </c>
      <c r="R2802" s="14">
        <v>49035</v>
      </c>
    </row>
    <row r="2803" spans="1:18" ht="409.5" x14ac:dyDescent="0.25">
      <c r="A2803" s="14" t="s">
        <v>8974</v>
      </c>
      <c r="B2803" s="14" t="s">
        <v>9061</v>
      </c>
      <c r="C2803" s="14" t="s">
        <v>8547</v>
      </c>
      <c r="D2803" s="14" t="s">
        <v>8531</v>
      </c>
      <c r="E2803" s="14" t="s">
        <v>7960</v>
      </c>
      <c r="F2803" s="14" t="s">
        <v>7961</v>
      </c>
      <c r="G2803" s="8" t="s">
        <v>8540</v>
      </c>
      <c r="H2803" s="14" t="s">
        <v>7964</v>
      </c>
      <c r="I2803" s="14"/>
      <c r="J2803" s="14"/>
      <c r="K2803" s="14"/>
      <c r="L2803" s="14"/>
      <c r="M2803" s="14" t="s">
        <v>7962</v>
      </c>
      <c r="N2803" s="14"/>
      <c r="O2803" s="14" t="s">
        <v>7963</v>
      </c>
      <c r="P2803" s="14" t="str">
        <f>HYPERLINK("https://ceds.ed.gov/cedselementdetails.aspx?termid=17267")</f>
        <v>https://ceds.ed.gov/cedselementdetails.aspx?termid=17267</v>
      </c>
      <c r="Q2803" s="14" t="str">
        <f>HYPERLINK("https://ceds.ed.gov/elementComment.aspx?elementName=State Abbreviation &amp;elementID=17267", "Click here to submit comment")</f>
        <v>Click here to submit comment</v>
      </c>
      <c r="R2803" s="14">
        <v>49036</v>
      </c>
    </row>
    <row r="2804" spans="1:18" ht="225" x14ac:dyDescent="0.25">
      <c r="A2804" s="14" t="s">
        <v>8974</v>
      </c>
      <c r="B2804" s="14" t="s">
        <v>9061</v>
      </c>
      <c r="C2804" s="14" t="s">
        <v>8547</v>
      </c>
      <c r="D2804" s="14" t="s">
        <v>8531</v>
      </c>
      <c r="E2804" s="14" t="s">
        <v>209</v>
      </c>
      <c r="F2804" s="14" t="s">
        <v>210</v>
      </c>
      <c r="G2804" s="14" t="s">
        <v>37</v>
      </c>
      <c r="H2804" s="14" t="s">
        <v>199</v>
      </c>
      <c r="I2804" s="14"/>
      <c r="J2804" s="14" t="s">
        <v>211</v>
      </c>
      <c r="K2804" s="14"/>
      <c r="L2804" s="14"/>
      <c r="M2804" s="14" t="s">
        <v>212</v>
      </c>
      <c r="N2804" s="14"/>
      <c r="O2804" s="14" t="s">
        <v>213</v>
      </c>
      <c r="P2804" s="14" t="str">
        <f>HYPERLINK("https://ceds.ed.gov/cedselementdetails.aspx?termid=17214")</f>
        <v>https://ceds.ed.gov/cedselementdetails.aspx?termid=17214</v>
      </c>
      <c r="Q2804" s="14" t="str">
        <f>HYPERLINK("https://ceds.ed.gov/elementComment.aspx?elementName=Address Postal Code &amp;elementID=17214", "Click here to submit comment")</f>
        <v>Click here to submit comment</v>
      </c>
      <c r="R2804" s="14">
        <v>49037</v>
      </c>
    </row>
    <row r="2805" spans="1:18" ht="225" x14ac:dyDescent="0.25">
      <c r="A2805" s="14" t="s">
        <v>8974</v>
      </c>
      <c r="B2805" s="14" t="s">
        <v>9061</v>
      </c>
      <c r="C2805" s="14" t="s">
        <v>8547</v>
      </c>
      <c r="D2805" s="14" t="s">
        <v>8531</v>
      </c>
      <c r="E2805" s="14" t="s">
        <v>204</v>
      </c>
      <c r="F2805" s="14" t="s">
        <v>205</v>
      </c>
      <c r="G2805" s="14" t="s">
        <v>37</v>
      </c>
      <c r="H2805" s="14" t="s">
        <v>199</v>
      </c>
      <c r="I2805" s="14"/>
      <c r="J2805" s="14" t="s">
        <v>97</v>
      </c>
      <c r="K2805" s="14"/>
      <c r="L2805" s="14"/>
      <c r="M2805" s="14" t="s">
        <v>207</v>
      </c>
      <c r="N2805" s="14"/>
      <c r="O2805" s="14" t="s">
        <v>208</v>
      </c>
      <c r="P2805" s="14" t="str">
        <f>HYPERLINK("https://ceds.ed.gov/cedselementdetails.aspx?termid=17190")</f>
        <v>https://ceds.ed.gov/cedselementdetails.aspx?termid=17190</v>
      </c>
      <c r="Q2805" s="14" t="str">
        <f>HYPERLINK("https://ceds.ed.gov/elementComment.aspx?elementName=Address County Name &amp;elementID=17190", "Click here to submit comment")</f>
        <v>Click here to submit comment</v>
      </c>
      <c r="R2805" s="14">
        <v>49135</v>
      </c>
    </row>
    <row r="2806" spans="1:18" ht="409.5" x14ac:dyDescent="0.25">
      <c r="A2806" s="14" t="s">
        <v>8974</v>
      </c>
      <c r="B2806" s="14" t="s">
        <v>9061</v>
      </c>
      <c r="C2806" s="14" t="s">
        <v>8547</v>
      </c>
      <c r="D2806" s="14" t="s">
        <v>8531</v>
      </c>
      <c r="E2806" s="14" t="s">
        <v>2845</v>
      </c>
      <c r="F2806" s="14" t="s">
        <v>2846</v>
      </c>
      <c r="G2806" s="8" t="s">
        <v>8548</v>
      </c>
      <c r="H2806" s="14" t="s">
        <v>2852</v>
      </c>
      <c r="I2806" s="14"/>
      <c r="J2806" s="14"/>
      <c r="K2806" s="14"/>
      <c r="L2806" s="6" t="s">
        <v>2849</v>
      </c>
      <c r="M2806" s="14" t="s">
        <v>2850</v>
      </c>
      <c r="N2806" s="14"/>
      <c r="O2806" s="14" t="s">
        <v>2851</v>
      </c>
      <c r="P2806" s="14" t="str">
        <f>HYPERLINK("https://ceds.ed.gov/cedselementdetails.aspx?termid=17050")</f>
        <v>https://ceds.ed.gov/cedselementdetails.aspx?termid=17050</v>
      </c>
      <c r="Q2806" s="14" t="str">
        <f>HYPERLINK("https://ceds.ed.gov/elementComment.aspx?elementName=Country Code &amp;elementID=17050", "Click here to submit comment")</f>
        <v>Click here to submit comment</v>
      </c>
      <c r="R2806" s="14">
        <v>49134</v>
      </c>
    </row>
    <row r="2807" spans="1:18" ht="75" x14ac:dyDescent="0.25">
      <c r="A2807" s="14" t="s">
        <v>8974</v>
      </c>
      <c r="B2807" s="14" t="s">
        <v>9061</v>
      </c>
      <c r="C2807" s="14" t="s">
        <v>8547</v>
      </c>
      <c r="D2807" s="14" t="s">
        <v>8531</v>
      </c>
      <c r="E2807" s="14" t="s">
        <v>5736</v>
      </c>
      <c r="F2807" s="14" t="s">
        <v>5737</v>
      </c>
      <c r="G2807" s="14" t="s">
        <v>37</v>
      </c>
      <c r="H2807" s="14"/>
      <c r="I2807" s="14"/>
      <c r="J2807" s="14" t="s">
        <v>1307</v>
      </c>
      <c r="K2807" s="14"/>
      <c r="L2807" s="14"/>
      <c r="M2807" s="14" t="s">
        <v>5739</v>
      </c>
      <c r="N2807" s="14"/>
      <c r="O2807" s="14" t="s">
        <v>5736</v>
      </c>
      <c r="P2807" s="14" t="str">
        <f>HYPERLINK("https://ceds.ed.gov/cedselementdetails.aspx?termid=17599")</f>
        <v>https://ceds.ed.gov/cedselementdetails.aspx?termid=17599</v>
      </c>
      <c r="Q2807" s="14" t="str">
        <f>HYPERLINK("https://ceds.ed.gov/elementComment.aspx?elementName=Latitude &amp;elementID=17599", "Click here to submit comment")</f>
        <v>Click here to submit comment</v>
      </c>
      <c r="R2807" s="14">
        <v>51264</v>
      </c>
    </row>
    <row r="2808" spans="1:18" ht="75" x14ac:dyDescent="0.25">
      <c r="A2808" s="14" t="s">
        <v>8974</v>
      </c>
      <c r="B2808" s="14" t="s">
        <v>9061</v>
      </c>
      <c r="C2808" s="14" t="s">
        <v>8547</v>
      </c>
      <c r="D2808" s="14" t="s">
        <v>8531</v>
      </c>
      <c r="E2808" s="14" t="s">
        <v>6174</v>
      </c>
      <c r="F2808" s="14" t="s">
        <v>6175</v>
      </c>
      <c r="G2808" s="14" t="s">
        <v>37</v>
      </c>
      <c r="H2808" s="14"/>
      <c r="I2808" s="14"/>
      <c r="J2808" s="14" t="s">
        <v>1307</v>
      </c>
      <c r="K2808" s="14"/>
      <c r="L2808" s="14"/>
      <c r="M2808" s="14" t="s">
        <v>6176</v>
      </c>
      <c r="N2808" s="14"/>
      <c r="O2808" s="14" t="s">
        <v>6174</v>
      </c>
      <c r="P2808" s="14" t="str">
        <f>HYPERLINK("https://ceds.ed.gov/cedselementdetails.aspx?termid=17600")</f>
        <v>https://ceds.ed.gov/cedselementdetails.aspx?termid=17600</v>
      </c>
      <c r="Q2808" s="14" t="str">
        <f>HYPERLINK("https://ceds.ed.gov/elementComment.aspx?elementName=Longitude &amp;elementID=17600", "Click here to submit comment")</f>
        <v>Click here to submit comment</v>
      </c>
      <c r="R2808" s="14">
        <v>51287</v>
      </c>
    </row>
    <row r="2809" spans="1:18" ht="195" x14ac:dyDescent="0.25">
      <c r="A2809" s="14" t="s">
        <v>8974</v>
      </c>
      <c r="B2809" s="14" t="s">
        <v>9061</v>
      </c>
      <c r="C2809" s="14" t="s">
        <v>8547</v>
      </c>
      <c r="D2809" s="14" t="s">
        <v>8541</v>
      </c>
      <c r="E2809" s="14" t="s">
        <v>2860</v>
      </c>
      <c r="F2809" s="14" t="s">
        <v>2861</v>
      </c>
      <c r="G2809" s="14" t="s">
        <v>37</v>
      </c>
      <c r="H2809" s="14"/>
      <c r="I2809" s="14" t="s">
        <v>195</v>
      </c>
      <c r="J2809" s="14" t="s">
        <v>2863</v>
      </c>
      <c r="K2809" s="14" t="s">
        <v>2864</v>
      </c>
      <c r="L2809" s="14"/>
      <c r="M2809" s="14" t="s">
        <v>2865</v>
      </c>
      <c r="N2809" s="14"/>
      <c r="O2809" s="14" t="s">
        <v>2866</v>
      </c>
      <c r="P2809" s="14" t="str">
        <f>HYPERLINK("https://ceds.ed.gov/cedselementdetails.aspx?termid=18176")</f>
        <v>https://ceds.ed.gov/cedselementdetails.aspx?termid=18176</v>
      </c>
      <c r="Q2809" s="14" t="str">
        <f>HYPERLINK("https://ceds.ed.gov/elementComment.aspx?elementName=County ANSI Code &amp;elementID=18176", "Click here to submit comment")</f>
        <v>Click here to submit comment</v>
      </c>
      <c r="R2809" s="14">
        <v>52413</v>
      </c>
    </row>
    <row r="2810" spans="1:18" ht="60" x14ac:dyDescent="0.25">
      <c r="A2810" s="14" t="s">
        <v>8974</v>
      </c>
      <c r="B2810" s="14" t="s">
        <v>9061</v>
      </c>
      <c r="C2810" s="14" t="s">
        <v>8547</v>
      </c>
      <c r="D2810" s="14" t="s">
        <v>8541</v>
      </c>
      <c r="E2810" s="14" t="s">
        <v>3651</v>
      </c>
      <c r="F2810" s="14" t="s">
        <v>3652</v>
      </c>
      <c r="G2810" s="14" t="s">
        <v>3430</v>
      </c>
      <c r="H2810" s="14"/>
      <c r="I2810" s="14" t="s">
        <v>188</v>
      </c>
      <c r="J2810" s="14"/>
      <c r="K2810" s="14" t="s">
        <v>1721</v>
      </c>
      <c r="L2810" s="14"/>
      <c r="M2810" s="14" t="s">
        <v>3654</v>
      </c>
      <c r="N2810" s="14"/>
      <c r="O2810" s="14" t="s">
        <v>3655</v>
      </c>
      <c r="P2810" s="14" t="str">
        <f>HYPERLINK("https://ceds.ed.gov/cedselementdetails.aspx?termid=18905")</f>
        <v>https://ceds.ed.gov/cedselementdetails.aspx?termid=18905</v>
      </c>
      <c r="Q2810" s="14" t="str">
        <f>HYPERLINK("https://ceds.ed.gov/elementComment.aspx?elementName=Do Not Publish Indicator &amp;elementID=18905", "Click here to submit comment")</f>
        <v>Click here to submit comment</v>
      </c>
      <c r="R2810" s="14">
        <v>52414</v>
      </c>
    </row>
    <row r="2811" spans="1:18" ht="90" x14ac:dyDescent="0.25">
      <c r="A2811" s="14" t="s">
        <v>8974</v>
      </c>
      <c r="B2811" s="14" t="s">
        <v>9061</v>
      </c>
      <c r="C2811" s="14" t="s">
        <v>8551</v>
      </c>
      <c r="D2811" s="14" t="s">
        <v>8531</v>
      </c>
      <c r="E2811" s="14" t="s">
        <v>3931</v>
      </c>
      <c r="F2811" s="14" t="s">
        <v>3932</v>
      </c>
      <c r="G2811" s="14" t="s">
        <v>37</v>
      </c>
      <c r="H2811" s="14" t="s">
        <v>72</v>
      </c>
      <c r="I2811" s="14"/>
      <c r="J2811" s="14" t="s">
        <v>3934</v>
      </c>
      <c r="K2811" s="14"/>
      <c r="L2811" s="14"/>
      <c r="M2811" s="14" t="s">
        <v>3935</v>
      </c>
      <c r="N2811" s="14" t="s">
        <v>3936</v>
      </c>
      <c r="O2811" s="14" t="s">
        <v>3937</v>
      </c>
      <c r="P2811" s="14" t="str">
        <f>HYPERLINK("https://ceds.ed.gov/cedselementdetails.aspx?termid=17088")</f>
        <v>https://ceds.ed.gov/cedselementdetails.aspx?termid=17088</v>
      </c>
      <c r="Q2811" s="14" t="str">
        <f>HYPERLINK("https://ceds.ed.gov/elementComment.aspx?elementName=Electronic Mail Address &amp;elementID=17088", "Click here to submit comment")</f>
        <v>Click here to submit comment</v>
      </c>
      <c r="R2811" s="14">
        <v>52174</v>
      </c>
    </row>
    <row r="2812" spans="1:18" ht="90" x14ac:dyDescent="0.25">
      <c r="A2812" s="14" t="s">
        <v>8974</v>
      </c>
      <c r="B2812" s="14" t="s">
        <v>9061</v>
      </c>
      <c r="C2812" s="14" t="s">
        <v>8551</v>
      </c>
      <c r="D2812" s="14" t="s">
        <v>8531</v>
      </c>
      <c r="E2812" s="14" t="s">
        <v>3938</v>
      </c>
      <c r="F2812" s="14" t="s">
        <v>3939</v>
      </c>
      <c r="G2812" s="8" t="s">
        <v>8552</v>
      </c>
      <c r="H2812" s="14" t="s">
        <v>72</v>
      </c>
      <c r="I2812" s="14"/>
      <c r="J2812" s="14"/>
      <c r="K2812" s="14"/>
      <c r="L2812" s="14"/>
      <c r="M2812" s="14" t="s">
        <v>3941</v>
      </c>
      <c r="N2812" s="14" t="s">
        <v>3942</v>
      </c>
      <c r="O2812" s="14" t="s">
        <v>3943</v>
      </c>
      <c r="P2812" s="14" t="str">
        <f>HYPERLINK("https://ceds.ed.gov/cedselementdetails.aspx?termid=17089")</f>
        <v>https://ceds.ed.gov/cedselementdetails.aspx?termid=17089</v>
      </c>
      <c r="Q2812" s="14" t="str">
        <f>HYPERLINK("https://ceds.ed.gov/elementComment.aspx?elementName=Electronic Mail Address Type &amp;elementID=17089", "Click here to submit comment")</f>
        <v>Click here to submit comment</v>
      </c>
      <c r="R2812" s="14">
        <v>52175</v>
      </c>
    </row>
    <row r="2813" spans="1:18" ht="60" x14ac:dyDescent="0.25">
      <c r="A2813" s="14" t="s">
        <v>8974</v>
      </c>
      <c r="B2813" s="14" t="s">
        <v>9061</v>
      </c>
      <c r="C2813" s="14" t="s">
        <v>8551</v>
      </c>
      <c r="D2813" s="14" t="s">
        <v>8541</v>
      </c>
      <c r="E2813" s="14" t="s">
        <v>3651</v>
      </c>
      <c r="F2813" s="14" t="s">
        <v>3652</v>
      </c>
      <c r="G2813" s="14" t="s">
        <v>3430</v>
      </c>
      <c r="H2813" s="14"/>
      <c r="I2813" s="14" t="s">
        <v>188</v>
      </c>
      <c r="J2813" s="14"/>
      <c r="K2813" s="14" t="s">
        <v>1721</v>
      </c>
      <c r="L2813" s="14"/>
      <c r="M2813" s="14" t="s">
        <v>3654</v>
      </c>
      <c r="N2813" s="14"/>
      <c r="O2813" s="14" t="s">
        <v>3655</v>
      </c>
      <c r="P2813" s="14" t="str">
        <f>HYPERLINK("https://ceds.ed.gov/cedselementdetails.aspx?termid=18905")</f>
        <v>https://ceds.ed.gov/cedselementdetails.aspx?termid=18905</v>
      </c>
      <c r="Q2813" s="14" t="str">
        <f>HYPERLINK("https://ceds.ed.gov/elementComment.aspx?elementName=Do Not Publish Indicator &amp;elementID=18905", "Click here to submit comment")</f>
        <v>Click here to submit comment</v>
      </c>
      <c r="R2813" s="14">
        <v>52415</v>
      </c>
    </row>
    <row r="2814" spans="1:18" ht="90" x14ac:dyDescent="0.25">
      <c r="A2814" s="14" t="s">
        <v>8974</v>
      </c>
      <c r="B2814" s="14" t="s">
        <v>9061</v>
      </c>
      <c r="C2814" s="14" t="s">
        <v>8549</v>
      </c>
      <c r="D2814" s="14" t="s">
        <v>8531</v>
      </c>
      <c r="E2814" s="14" t="s">
        <v>6865</v>
      </c>
      <c r="F2814" s="14" t="s">
        <v>6866</v>
      </c>
      <c r="G2814" s="14" t="s">
        <v>24</v>
      </c>
      <c r="H2814" s="14" t="s">
        <v>72</v>
      </c>
      <c r="I2814" s="14"/>
      <c r="J2814" s="14"/>
      <c r="K2814" s="14"/>
      <c r="L2814" s="14"/>
      <c r="M2814" s="14" t="s">
        <v>6868</v>
      </c>
      <c r="N2814" s="14"/>
      <c r="O2814" s="14" t="s">
        <v>6869</v>
      </c>
      <c r="P2814" s="14" t="str">
        <f>HYPERLINK("https://ceds.ed.gov/cedselementdetails.aspx?termid=17219")</f>
        <v>https://ceds.ed.gov/cedselementdetails.aspx?termid=17219</v>
      </c>
      <c r="Q2814" s="14" t="str">
        <f>HYPERLINK("https://ceds.ed.gov/elementComment.aspx?elementName=Primary Telephone Number Indicator &amp;elementID=17219", "Click here to submit comment")</f>
        <v>Click here to submit comment</v>
      </c>
      <c r="R2814" s="14">
        <v>52176</v>
      </c>
    </row>
    <row r="2815" spans="1:18" ht="90" x14ac:dyDescent="0.25">
      <c r="A2815" s="14" t="s">
        <v>8974</v>
      </c>
      <c r="B2815" s="14" t="s">
        <v>9061</v>
      </c>
      <c r="C2815" s="14" t="s">
        <v>8549</v>
      </c>
      <c r="D2815" s="14" t="s">
        <v>8531</v>
      </c>
      <c r="E2815" s="14" t="s">
        <v>8217</v>
      </c>
      <c r="F2815" s="14" t="s">
        <v>8218</v>
      </c>
      <c r="G2815" s="14" t="s">
        <v>37</v>
      </c>
      <c r="H2815" s="14" t="s">
        <v>72</v>
      </c>
      <c r="I2815" s="14"/>
      <c r="J2815" s="14" t="s">
        <v>8220</v>
      </c>
      <c r="K2815" s="14"/>
      <c r="L2815" s="14"/>
      <c r="M2815" s="14" t="s">
        <v>8221</v>
      </c>
      <c r="N2815" s="14"/>
      <c r="O2815" s="14" t="s">
        <v>8222</v>
      </c>
      <c r="P2815" s="14" t="str">
        <f>HYPERLINK("https://ceds.ed.gov/cedselementdetails.aspx?termid=17279")</f>
        <v>https://ceds.ed.gov/cedselementdetails.aspx?termid=17279</v>
      </c>
      <c r="Q2815" s="14" t="str">
        <f>HYPERLINK("https://ceds.ed.gov/elementComment.aspx?elementName=Telephone Number &amp;elementID=17279", "Click here to submit comment")</f>
        <v>Click here to submit comment</v>
      </c>
      <c r="R2815" s="14">
        <v>52177</v>
      </c>
    </row>
    <row r="2816" spans="1:18" ht="90" x14ac:dyDescent="0.25">
      <c r="A2816" s="14" t="s">
        <v>8974</v>
      </c>
      <c r="B2816" s="14" t="s">
        <v>9061</v>
      </c>
      <c r="C2816" s="14" t="s">
        <v>8549</v>
      </c>
      <c r="D2816" s="14" t="s">
        <v>8531</v>
      </c>
      <c r="E2816" s="14" t="s">
        <v>8229</v>
      </c>
      <c r="F2816" s="14" t="s">
        <v>8230</v>
      </c>
      <c r="G2816" s="8" t="s">
        <v>8550</v>
      </c>
      <c r="H2816" s="14" t="s">
        <v>72</v>
      </c>
      <c r="I2816" s="14"/>
      <c r="J2816" s="14" t="s">
        <v>2870</v>
      </c>
      <c r="K2816" s="14"/>
      <c r="L2816" s="14"/>
      <c r="M2816" s="14" t="s">
        <v>8233</v>
      </c>
      <c r="N2816" s="14"/>
      <c r="O2816" s="14" t="s">
        <v>8234</v>
      </c>
      <c r="P2816" s="14" t="str">
        <f>HYPERLINK("https://ceds.ed.gov/cedselementdetails.aspx?termid=17280")</f>
        <v>https://ceds.ed.gov/cedselementdetails.aspx?termid=17280</v>
      </c>
      <c r="Q2816" s="14" t="str">
        <f>HYPERLINK("https://ceds.ed.gov/elementComment.aspx?elementName=Telephone Number Type &amp;elementID=17280", "Click here to submit comment")</f>
        <v>Click here to submit comment</v>
      </c>
      <c r="R2816" s="14">
        <v>52178</v>
      </c>
    </row>
    <row r="2817" spans="1:18" ht="60" x14ac:dyDescent="0.25">
      <c r="A2817" s="14" t="s">
        <v>8974</v>
      </c>
      <c r="B2817" s="14" t="s">
        <v>9061</v>
      </c>
      <c r="C2817" s="14" t="s">
        <v>8549</v>
      </c>
      <c r="D2817" s="14" t="s">
        <v>8541</v>
      </c>
      <c r="E2817" s="14" t="s">
        <v>3651</v>
      </c>
      <c r="F2817" s="14" t="s">
        <v>3652</v>
      </c>
      <c r="G2817" s="14" t="s">
        <v>3430</v>
      </c>
      <c r="H2817" s="14"/>
      <c r="I2817" s="14" t="s">
        <v>188</v>
      </c>
      <c r="J2817" s="14"/>
      <c r="K2817" s="14" t="s">
        <v>1721</v>
      </c>
      <c r="L2817" s="14"/>
      <c r="M2817" s="14" t="s">
        <v>3654</v>
      </c>
      <c r="N2817" s="14"/>
      <c r="O2817" s="14" t="s">
        <v>3655</v>
      </c>
      <c r="P2817" s="14" t="str">
        <f>HYPERLINK("https://ceds.ed.gov/cedselementdetails.aspx?termid=18905")</f>
        <v>https://ceds.ed.gov/cedselementdetails.aspx?termid=18905</v>
      </c>
      <c r="Q2817" s="14" t="str">
        <f>HYPERLINK("https://ceds.ed.gov/elementComment.aspx?elementName=Do Not Publish Indicator &amp;elementID=18905", "Click here to submit comment")</f>
        <v>Click here to submit comment</v>
      </c>
      <c r="R2817" s="14">
        <v>52416</v>
      </c>
    </row>
    <row r="2818" spans="1:18" ht="60" x14ac:dyDescent="0.25">
      <c r="A2818" s="14" t="s">
        <v>8974</v>
      </c>
      <c r="B2818" s="14" t="s">
        <v>9061</v>
      </c>
      <c r="C2818" s="14" t="s">
        <v>8549</v>
      </c>
      <c r="D2818" s="14" t="s">
        <v>8541</v>
      </c>
      <c r="E2818" s="14" t="s">
        <v>8223</v>
      </c>
      <c r="F2818" s="14" t="s">
        <v>8224</v>
      </c>
      <c r="G2818" s="8" t="s">
        <v>8544</v>
      </c>
      <c r="H2818" s="14"/>
      <c r="I2818" s="14" t="s">
        <v>188</v>
      </c>
      <c r="J2818" s="14"/>
      <c r="K2818" s="14" t="s">
        <v>1721</v>
      </c>
      <c r="L2818" s="14"/>
      <c r="M2818" s="14" t="s">
        <v>8227</v>
      </c>
      <c r="N2818" s="14"/>
      <c r="O2818" s="14" t="s">
        <v>8228</v>
      </c>
      <c r="P2818" s="14" t="str">
        <f>HYPERLINK("https://ceds.ed.gov/cedselementdetails.aspx?termid=18911")</f>
        <v>https://ceds.ed.gov/cedselementdetails.aspx?termid=18911</v>
      </c>
      <c r="Q2818" s="14" t="str">
        <f>HYPERLINK("https://ceds.ed.gov/elementComment.aspx?elementName=Telephone Number Listed Status &amp;elementID=18911", "Click here to submit comment")</f>
        <v>Click here to submit comment</v>
      </c>
      <c r="R2818" s="14">
        <v>52417</v>
      </c>
    </row>
    <row r="2819" spans="1:18" ht="240" x14ac:dyDescent="0.25">
      <c r="A2819" s="14" t="s">
        <v>8974</v>
      </c>
      <c r="B2819" s="14" t="s">
        <v>9061</v>
      </c>
      <c r="C2819" s="14" t="s">
        <v>8603</v>
      </c>
      <c r="D2819" s="14" t="s">
        <v>8531</v>
      </c>
      <c r="E2819" s="14" t="s">
        <v>1741</v>
      </c>
      <c r="F2819" s="14" t="s">
        <v>1742</v>
      </c>
      <c r="G2819" s="14" t="s">
        <v>37</v>
      </c>
      <c r="H2819" s="14" t="s">
        <v>1745</v>
      </c>
      <c r="I2819" s="14"/>
      <c r="J2819" s="14" t="s">
        <v>135</v>
      </c>
      <c r="K2819" s="14"/>
      <c r="L2819" s="14"/>
      <c r="M2819" s="14" t="s">
        <v>1744</v>
      </c>
      <c r="N2819" s="14"/>
      <c r="O2819" s="14" t="s">
        <v>1741</v>
      </c>
      <c r="P2819" s="14" t="str">
        <f>HYPERLINK("https://ceds.ed.gov/cedselementdetails.aspx?termid=17033")</f>
        <v>https://ceds.ed.gov/cedselementdetails.aspx?termid=17033</v>
      </c>
      <c r="Q2819" s="14" t="str">
        <f>HYPERLINK("https://ceds.ed.gov/elementComment.aspx?elementName=Birthdate &amp;elementID=17033", "Click here to submit comment")</f>
        <v>Click here to submit comment</v>
      </c>
      <c r="R2819" s="14">
        <v>49038</v>
      </c>
    </row>
    <row r="2820" spans="1:18" ht="255" x14ac:dyDescent="0.25">
      <c r="A2820" s="14" t="s">
        <v>8974</v>
      </c>
      <c r="B2820" s="14" t="s">
        <v>9061</v>
      </c>
      <c r="C2820" s="14" t="s">
        <v>8603</v>
      </c>
      <c r="D2820" s="14" t="s">
        <v>8531</v>
      </c>
      <c r="E2820" s="14" t="s">
        <v>7756</v>
      </c>
      <c r="F2820" s="14" t="s">
        <v>7757</v>
      </c>
      <c r="G2820" s="8" t="s">
        <v>8604</v>
      </c>
      <c r="H2820" s="14" t="s">
        <v>7761</v>
      </c>
      <c r="I2820" s="14"/>
      <c r="J2820" s="14"/>
      <c r="K2820" s="14"/>
      <c r="L2820" s="14" t="s">
        <v>7759</v>
      </c>
      <c r="M2820" s="14" t="s">
        <v>7760</v>
      </c>
      <c r="N2820" s="14"/>
      <c r="O2820" s="14" t="s">
        <v>7756</v>
      </c>
      <c r="P2820" s="14" t="str">
        <f>HYPERLINK("https://ceds.ed.gov/cedselementdetails.aspx?termid=17255")</f>
        <v>https://ceds.ed.gov/cedselementdetails.aspx?termid=17255</v>
      </c>
      <c r="Q2820" s="14" t="str">
        <f>HYPERLINK("https://ceds.ed.gov/elementComment.aspx?elementName=Sex &amp;elementID=17255", "Click here to submit comment")</f>
        <v>Click here to submit comment</v>
      </c>
      <c r="R2820" s="14">
        <v>49170</v>
      </c>
    </row>
    <row r="2821" spans="1:18" ht="30" x14ac:dyDescent="0.25">
      <c r="A2821" s="16" t="s">
        <v>8974</v>
      </c>
      <c r="B2821" s="16" t="s">
        <v>9061</v>
      </c>
      <c r="C2821" s="16" t="s">
        <v>8603</v>
      </c>
      <c r="D2821" s="16" t="s">
        <v>8531</v>
      </c>
      <c r="E2821" s="16" t="s">
        <v>418</v>
      </c>
      <c r="F2821" s="16" t="s">
        <v>419</v>
      </c>
      <c r="G2821" s="18" t="s">
        <v>8605</v>
      </c>
      <c r="H2821" s="16" t="s">
        <v>426</v>
      </c>
      <c r="I2821" s="16"/>
      <c r="J2821" s="16"/>
      <c r="K2821" s="16"/>
      <c r="L2821" s="14" t="s">
        <v>422</v>
      </c>
      <c r="M2821" s="16" t="s">
        <v>423</v>
      </c>
      <c r="N2821" s="16" t="s">
        <v>424</v>
      </c>
      <c r="O2821" s="16" t="s">
        <v>425</v>
      </c>
      <c r="P2821" s="16" t="str">
        <f>HYPERLINK("https://ceds.ed.gov/cedselementdetails.aspx?termid=17655")</f>
        <v>https://ceds.ed.gov/cedselementdetails.aspx?termid=17655</v>
      </c>
      <c r="Q2821" s="16" t="str">
        <f>HYPERLINK("https://ceds.ed.gov/elementComment.aspx?elementName=American Indian or Alaska Native &amp;elementID=17655", "Click here to submit comment")</f>
        <v>Click here to submit comment</v>
      </c>
      <c r="R2821" s="16">
        <v>49172</v>
      </c>
    </row>
    <row r="2822" spans="1:18" x14ac:dyDescent="0.25">
      <c r="A2822" s="16"/>
      <c r="B2822" s="16"/>
      <c r="C2822" s="16"/>
      <c r="D2822" s="16"/>
      <c r="E2822" s="16"/>
      <c r="F2822" s="16"/>
      <c r="G2822" s="16"/>
      <c r="H2822" s="16"/>
      <c r="I2822" s="16"/>
      <c r="J2822" s="16"/>
      <c r="K2822" s="16"/>
      <c r="L2822" s="14"/>
      <c r="M2822" s="16"/>
      <c r="N2822" s="16"/>
      <c r="O2822" s="16"/>
      <c r="P2822" s="16"/>
      <c r="Q2822" s="16"/>
      <c r="R2822" s="16"/>
    </row>
    <row r="2823" spans="1:18" x14ac:dyDescent="0.25">
      <c r="A2823" s="16"/>
      <c r="B2823" s="16"/>
      <c r="C2823" s="16"/>
      <c r="D2823" s="16"/>
      <c r="E2823" s="16"/>
      <c r="F2823" s="16"/>
      <c r="G2823" s="16"/>
      <c r="H2823" s="16"/>
      <c r="I2823" s="16"/>
      <c r="J2823" s="16"/>
      <c r="K2823" s="16"/>
      <c r="L2823" s="14" t="s">
        <v>427</v>
      </c>
      <c r="M2823" s="16"/>
      <c r="N2823" s="16"/>
      <c r="O2823" s="16"/>
      <c r="P2823" s="16"/>
      <c r="Q2823" s="16"/>
      <c r="R2823" s="16"/>
    </row>
    <row r="2824" spans="1:18" ht="30" x14ac:dyDescent="0.25">
      <c r="A2824" s="16"/>
      <c r="B2824" s="16"/>
      <c r="C2824" s="16"/>
      <c r="D2824" s="16"/>
      <c r="E2824" s="16"/>
      <c r="F2824" s="16"/>
      <c r="G2824" s="16"/>
      <c r="H2824" s="16"/>
      <c r="I2824" s="16"/>
      <c r="J2824" s="16"/>
      <c r="K2824" s="16"/>
      <c r="L2824" s="14" t="s">
        <v>428</v>
      </c>
      <c r="M2824" s="16"/>
      <c r="N2824" s="16"/>
      <c r="O2824" s="16"/>
      <c r="P2824" s="16"/>
      <c r="Q2824" s="16"/>
      <c r="R2824" s="16"/>
    </row>
    <row r="2825" spans="1:18" x14ac:dyDescent="0.25">
      <c r="A2825" s="16"/>
      <c r="B2825" s="16"/>
      <c r="C2825" s="16"/>
      <c r="D2825" s="16"/>
      <c r="E2825" s="16"/>
      <c r="F2825" s="16"/>
      <c r="G2825" s="16"/>
      <c r="H2825" s="16"/>
      <c r="I2825" s="16"/>
      <c r="J2825" s="16"/>
      <c r="K2825" s="16"/>
      <c r="L2825" s="14" t="s">
        <v>429</v>
      </c>
      <c r="M2825" s="16"/>
      <c r="N2825" s="16"/>
      <c r="O2825" s="16"/>
      <c r="P2825" s="16"/>
      <c r="Q2825" s="16"/>
      <c r="R2825" s="16"/>
    </row>
    <row r="2826" spans="1:18" ht="30" x14ac:dyDescent="0.25">
      <c r="A2826" s="16" t="s">
        <v>8974</v>
      </c>
      <c r="B2826" s="16" t="s">
        <v>9061</v>
      </c>
      <c r="C2826" s="16" t="s">
        <v>8603</v>
      </c>
      <c r="D2826" s="16" t="s">
        <v>8531</v>
      </c>
      <c r="E2826" s="16" t="s">
        <v>468</v>
      </c>
      <c r="F2826" s="16" t="s">
        <v>469</v>
      </c>
      <c r="G2826" s="18" t="s">
        <v>8605</v>
      </c>
      <c r="H2826" s="16" t="s">
        <v>426</v>
      </c>
      <c r="I2826" s="16"/>
      <c r="J2826" s="16"/>
      <c r="K2826" s="16"/>
      <c r="L2826" s="14" t="s">
        <v>422</v>
      </c>
      <c r="M2826" s="16" t="s">
        <v>470</v>
      </c>
      <c r="N2826" s="16" t="s">
        <v>471</v>
      </c>
      <c r="O2826" s="16" t="s">
        <v>468</v>
      </c>
      <c r="P2826" s="16" t="str">
        <f>HYPERLINK("https://ceds.ed.gov/cedselementdetails.aspx?termid=17656")</f>
        <v>https://ceds.ed.gov/cedselementdetails.aspx?termid=17656</v>
      </c>
      <c r="Q2826" s="16" t="str">
        <f>HYPERLINK("https://ceds.ed.gov/elementComment.aspx?elementName=Asian &amp;elementID=17656", "Click here to submit comment")</f>
        <v>Click here to submit comment</v>
      </c>
      <c r="R2826" s="16">
        <v>49173</v>
      </c>
    </row>
    <row r="2827" spans="1:18" x14ac:dyDescent="0.25">
      <c r="A2827" s="16"/>
      <c r="B2827" s="16"/>
      <c r="C2827" s="16"/>
      <c r="D2827" s="16"/>
      <c r="E2827" s="16"/>
      <c r="F2827" s="16"/>
      <c r="G2827" s="16"/>
      <c r="H2827" s="16"/>
      <c r="I2827" s="16"/>
      <c r="J2827" s="16"/>
      <c r="K2827" s="16"/>
      <c r="L2827" s="14"/>
      <c r="M2827" s="16"/>
      <c r="N2827" s="16"/>
      <c r="O2827" s="16"/>
      <c r="P2827" s="16"/>
      <c r="Q2827" s="16"/>
      <c r="R2827" s="16"/>
    </row>
    <row r="2828" spans="1:18" x14ac:dyDescent="0.25">
      <c r="A2828" s="16"/>
      <c r="B2828" s="16"/>
      <c r="C2828" s="16"/>
      <c r="D2828" s="16"/>
      <c r="E2828" s="16"/>
      <c r="F2828" s="16"/>
      <c r="G2828" s="16"/>
      <c r="H2828" s="16"/>
      <c r="I2828" s="16"/>
      <c r="J2828" s="16"/>
      <c r="K2828" s="16"/>
      <c r="L2828" s="14" t="s">
        <v>427</v>
      </c>
      <c r="M2828" s="16"/>
      <c r="N2828" s="16"/>
      <c r="O2828" s="16"/>
      <c r="P2828" s="16"/>
      <c r="Q2828" s="16"/>
      <c r="R2828" s="16"/>
    </row>
    <row r="2829" spans="1:18" ht="30" x14ac:dyDescent="0.25">
      <c r="A2829" s="16"/>
      <c r="B2829" s="16"/>
      <c r="C2829" s="16"/>
      <c r="D2829" s="16"/>
      <c r="E2829" s="16"/>
      <c r="F2829" s="16"/>
      <c r="G2829" s="16"/>
      <c r="H2829" s="16"/>
      <c r="I2829" s="16"/>
      <c r="J2829" s="16"/>
      <c r="K2829" s="16"/>
      <c r="L2829" s="14" t="s">
        <v>428</v>
      </c>
      <c r="M2829" s="16"/>
      <c r="N2829" s="16"/>
      <c r="O2829" s="16"/>
      <c r="P2829" s="16"/>
      <c r="Q2829" s="16"/>
      <c r="R2829" s="16"/>
    </row>
    <row r="2830" spans="1:18" x14ac:dyDescent="0.25">
      <c r="A2830" s="16"/>
      <c r="B2830" s="16"/>
      <c r="C2830" s="16"/>
      <c r="D2830" s="16"/>
      <c r="E2830" s="16"/>
      <c r="F2830" s="16"/>
      <c r="G2830" s="16"/>
      <c r="H2830" s="16"/>
      <c r="I2830" s="16"/>
      <c r="J2830" s="16"/>
      <c r="K2830" s="16"/>
      <c r="L2830" s="14" t="s">
        <v>429</v>
      </c>
      <c r="M2830" s="16"/>
      <c r="N2830" s="16"/>
      <c r="O2830" s="16"/>
      <c r="P2830" s="16"/>
      <c r="Q2830" s="16"/>
      <c r="R2830" s="16"/>
    </row>
    <row r="2831" spans="1:18" ht="30" x14ac:dyDescent="0.25">
      <c r="A2831" s="16" t="s">
        <v>8974</v>
      </c>
      <c r="B2831" s="16" t="s">
        <v>9061</v>
      </c>
      <c r="C2831" s="16" t="s">
        <v>8603</v>
      </c>
      <c r="D2831" s="16" t="s">
        <v>8531</v>
      </c>
      <c r="E2831" s="16" t="s">
        <v>1752</v>
      </c>
      <c r="F2831" s="16" t="s">
        <v>1753</v>
      </c>
      <c r="G2831" s="18" t="s">
        <v>8605</v>
      </c>
      <c r="H2831" s="16" t="s">
        <v>426</v>
      </c>
      <c r="I2831" s="16"/>
      <c r="J2831" s="16"/>
      <c r="K2831" s="16"/>
      <c r="L2831" s="14" t="s">
        <v>422</v>
      </c>
      <c r="M2831" s="16" t="s">
        <v>1754</v>
      </c>
      <c r="N2831" s="16" t="s">
        <v>1755</v>
      </c>
      <c r="O2831" s="16" t="s">
        <v>1756</v>
      </c>
      <c r="P2831" s="16" t="str">
        <f>HYPERLINK("https://ceds.ed.gov/cedselementdetails.aspx?termid=17657")</f>
        <v>https://ceds.ed.gov/cedselementdetails.aspx?termid=17657</v>
      </c>
      <c r="Q2831" s="16" t="str">
        <f>HYPERLINK("https://ceds.ed.gov/elementComment.aspx?elementName=Black or African American &amp;elementID=17657", "Click here to submit comment")</f>
        <v>Click here to submit comment</v>
      </c>
      <c r="R2831" s="16">
        <v>49174</v>
      </c>
    </row>
    <row r="2832" spans="1:18" x14ac:dyDescent="0.25">
      <c r="A2832" s="16"/>
      <c r="B2832" s="16"/>
      <c r="C2832" s="16"/>
      <c r="D2832" s="16"/>
      <c r="E2832" s="16"/>
      <c r="F2832" s="16"/>
      <c r="G2832" s="16"/>
      <c r="H2832" s="16"/>
      <c r="I2832" s="16"/>
      <c r="J2832" s="16"/>
      <c r="K2832" s="16"/>
      <c r="L2832" s="14"/>
      <c r="M2832" s="16"/>
      <c r="N2832" s="16"/>
      <c r="O2832" s="16"/>
      <c r="P2832" s="16"/>
      <c r="Q2832" s="16"/>
      <c r="R2832" s="16"/>
    </row>
    <row r="2833" spans="1:18" x14ac:dyDescent="0.25">
      <c r="A2833" s="16"/>
      <c r="B2833" s="16"/>
      <c r="C2833" s="16"/>
      <c r="D2833" s="16"/>
      <c r="E2833" s="16"/>
      <c r="F2833" s="16"/>
      <c r="G2833" s="16"/>
      <c r="H2833" s="16"/>
      <c r="I2833" s="16"/>
      <c r="J2833" s="16"/>
      <c r="K2833" s="16"/>
      <c r="L2833" s="14" t="s">
        <v>427</v>
      </c>
      <c r="M2833" s="16"/>
      <c r="N2833" s="16"/>
      <c r="O2833" s="16"/>
      <c r="P2833" s="16"/>
      <c r="Q2833" s="16"/>
      <c r="R2833" s="16"/>
    </row>
    <row r="2834" spans="1:18" ht="30" x14ac:dyDescent="0.25">
      <c r="A2834" s="16"/>
      <c r="B2834" s="16"/>
      <c r="C2834" s="16"/>
      <c r="D2834" s="16"/>
      <c r="E2834" s="16"/>
      <c r="F2834" s="16"/>
      <c r="G2834" s="16"/>
      <c r="H2834" s="16"/>
      <c r="I2834" s="16"/>
      <c r="J2834" s="16"/>
      <c r="K2834" s="16"/>
      <c r="L2834" s="14" t="s">
        <v>428</v>
      </c>
      <c r="M2834" s="16"/>
      <c r="N2834" s="16"/>
      <c r="O2834" s="16"/>
      <c r="P2834" s="16"/>
      <c r="Q2834" s="16"/>
      <c r="R2834" s="16"/>
    </row>
    <row r="2835" spans="1:18" x14ac:dyDescent="0.25">
      <c r="A2835" s="16"/>
      <c r="B2835" s="16"/>
      <c r="C2835" s="16"/>
      <c r="D2835" s="16"/>
      <c r="E2835" s="16"/>
      <c r="F2835" s="16"/>
      <c r="G2835" s="16"/>
      <c r="H2835" s="16"/>
      <c r="I2835" s="16"/>
      <c r="J2835" s="16"/>
      <c r="K2835" s="16"/>
      <c r="L2835" s="14" t="s">
        <v>429</v>
      </c>
      <c r="M2835" s="16"/>
      <c r="N2835" s="16"/>
      <c r="O2835" s="16"/>
      <c r="P2835" s="16"/>
      <c r="Q2835" s="16"/>
      <c r="R2835" s="16"/>
    </row>
    <row r="2836" spans="1:18" ht="30" x14ac:dyDescent="0.25">
      <c r="A2836" s="16" t="s">
        <v>8974</v>
      </c>
      <c r="B2836" s="16" t="s">
        <v>9061</v>
      </c>
      <c r="C2836" s="16" t="s">
        <v>8603</v>
      </c>
      <c r="D2836" s="16" t="s">
        <v>8531</v>
      </c>
      <c r="E2836" s="16" t="s">
        <v>6378</v>
      </c>
      <c r="F2836" s="16" t="s">
        <v>6379</v>
      </c>
      <c r="G2836" s="18" t="s">
        <v>8605</v>
      </c>
      <c r="H2836" s="16" t="s">
        <v>426</v>
      </c>
      <c r="I2836" s="16"/>
      <c r="J2836" s="16"/>
      <c r="K2836" s="16"/>
      <c r="L2836" s="14" t="s">
        <v>422</v>
      </c>
      <c r="M2836" s="16" t="s">
        <v>6380</v>
      </c>
      <c r="N2836" s="16" t="s">
        <v>6381</v>
      </c>
      <c r="O2836" s="16" t="s">
        <v>6382</v>
      </c>
      <c r="P2836" s="16" t="str">
        <f>HYPERLINK("https://ceds.ed.gov/cedselementdetails.aspx?termid=17658")</f>
        <v>https://ceds.ed.gov/cedselementdetails.aspx?termid=17658</v>
      </c>
      <c r="Q2836" s="16" t="str">
        <f>HYPERLINK("https://ceds.ed.gov/elementComment.aspx?elementName=Native Hawaiian or Other Pacific Islander &amp;elementID=17658", "Click here to submit comment")</f>
        <v>Click here to submit comment</v>
      </c>
      <c r="R2836" s="16">
        <v>49175</v>
      </c>
    </row>
    <row r="2837" spans="1:18" x14ac:dyDescent="0.25">
      <c r="A2837" s="16"/>
      <c r="B2837" s="16"/>
      <c r="C2837" s="16"/>
      <c r="D2837" s="16"/>
      <c r="E2837" s="16"/>
      <c r="F2837" s="16"/>
      <c r="G2837" s="16"/>
      <c r="H2837" s="16"/>
      <c r="I2837" s="16"/>
      <c r="J2837" s="16"/>
      <c r="K2837" s="16"/>
      <c r="L2837" s="14"/>
      <c r="M2837" s="16"/>
      <c r="N2837" s="16"/>
      <c r="O2837" s="16"/>
      <c r="P2837" s="16"/>
      <c r="Q2837" s="16"/>
      <c r="R2837" s="16"/>
    </row>
    <row r="2838" spans="1:18" x14ac:dyDescent="0.25">
      <c r="A2838" s="16"/>
      <c r="B2838" s="16"/>
      <c r="C2838" s="16"/>
      <c r="D2838" s="16"/>
      <c r="E2838" s="16"/>
      <c r="F2838" s="16"/>
      <c r="G2838" s="16"/>
      <c r="H2838" s="16"/>
      <c r="I2838" s="16"/>
      <c r="J2838" s="16"/>
      <c r="K2838" s="16"/>
      <c r="L2838" s="14" t="s">
        <v>427</v>
      </c>
      <c r="M2838" s="16"/>
      <c r="N2838" s="16"/>
      <c r="O2838" s="16"/>
      <c r="P2838" s="16"/>
      <c r="Q2838" s="16"/>
      <c r="R2838" s="16"/>
    </row>
    <row r="2839" spans="1:18" ht="30" x14ac:dyDescent="0.25">
      <c r="A2839" s="16"/>
      <c r="B2839" s="16"/>
      <c r="C2839" s="16"/>
      <c r="D2839" s="16"/>
      <c r="E2839" s="16"/>
      <c r="F2839" s="16"/>
      <c r="G2839" s="16"/>
      <c r="H2839" s="16"/>
      <c r="I2839" s="16"/>
      <c r="J2839" s="16"/>
      <c r="K2839" s="16"/>
      <c r="L2839" s="14" t="s">
        <v>428</v>
      </c>
      <c r="M2839" s="16"/>
      <c r="N2839" s="16"/>
      <c r="O2839" s="16"/>
      <c r="P2839" s="16"/>
      <c r="Q2839" s="16"/>
      <c r="R2839" s="16"/>
    </row>
    <row r="2840" spans="1:18" x14ac:dyDescent="0.25">
      <c r="A2840" s="16"/>
      <c r="B2840" s="16"/>
      <c r="C2840" s="16"/>
      <c r="D2840" s="16"/>
      <c r="E2840" s="16"/>
      <c r="F2840" s="16"/>
      <c r="G2840" s="16"/>
      <c r="H2840" s="16"/>
      <c r="I2840" s="16"/>
      <c r="J2840" s="16"/>
      <c r="K2840" s="16"/>
      <c r="L2840" s="14" t="s">
        <v>429</v>
      </c>
      <c r="M2840" s="16"/>
      <c r="N2840" s="16"/>
      <c r="O2840" s="16"/>
      <c r="P2840" s="16"/>
      <c r="Q2840" s="16"/>
      <c r="R2840" s="16"/>
    </row>
    <row r="2841" spans="1:18" ht="30" x14ac:dyDescent="0.25">
      <c r="A2841" s="16" t="s">
        <v>8974</v>
      </c>
      <c r="B2841" s="16" t="s">
        <v>9061</v>
      </c>
      <c r="C2841" s="16" t="s">
        <v>8603</v>
      </c>
      <c r="D2841" s="16" t="s">
        <v>8531</v>
      </c>
      <c r="E2841" s="16" t="s">
        <v>8488</v>
      </c>
      <c r="F2841" s="16" t="s">
        <v>8489</v>
      </c>
      <c r="G2841" s="18" t="s">
        <v>8605</v>
      </c>
      <c r="H2841" s="16" t="s">
        <v>426</v>
      </c>
      <c r="I2841" s="16"/>
      <c r="J2841" s="16"/>
      <c r="K2841" s="16"/>
      <c r="L2841" s="14" t="s">
        <v>422</v>
      </c>
      <c r="M2841" s="16" t="s">
        <v>8490</v>
      </c>
      <c r="N2841" s="16" t="s">
        <v>8491</v>
      </c>
      <c r="O2841" s="16" t="s">
        <v>8488</v>
      </c>
      <c r="P2841" s="16" t="str">
        <f>HYPERLINK("https://ceds.ed.gov/cedselementdetails.aspx?termid=17659")</f>
        <v>https://ceds.ed.gov/cedselementdetails.aspx?termid=17659</v>
      </c>
      <c r="Q2841" s="16" t="str">
        <f>HYPERLINK("https://ceds.ed.gov/elementComment.aspx?elementName=White &amp;elementID=17659", "Click here to submit comment")</f>
        <v>Click here to submit comment</v>
      </c>
      <c r="R2841" s="16">
        <v>49176</v>
      </c>
    </row>
    <row r="2842" spans="1:18" x14ac:dyDescent="0.25">
      <c r="A2842" s="16"/>
      <c r="B2842" s="16"/>
      <c r="C2842" s="16"/>
      <c r="D2842" s="16"/>
      <c r="E2842" s="16"/>
      <c r="F2842" s="16"/>
      <c r="G2842" s="16"/>
      <c r="H2842" s="16"/>
      <c r="I2842" s="16"/>
      <c r="J2842" s="16"/>
      <c r="K2842" s="16"/>
      <c r="L2842" s="14"/>
      <c r="M2842" s="16"/>
      <c r="N2842" s="16"/>
      <c r="O2842" s="16"/>
      <c r="P2842" s="16"/>
      <c r="Q2842" s="16"/>
      <c r="R2842" s="16"/>
    </row>
    <row r="2843" spans="1:18" x14ac:dyDescent="0.25">
      <c r="A2843" s="16"/>
      <c r="B2843" s="16"/>
      <c r="C2843" s="16"/>
      <c r="D2843" s="16"/>
      <c r="E2843" s="16"/>
      <c r="F2843" s="16"/>
      <c r="G2843" s="16"/>
      <c r="H2843" s="16"/>
      <c r="I2843" s="16"/>
      <c r="J2843" s="16"/>
      <c r="K2843" s="16"/>
      <c r="L2843" s="14" t="s">
        <v>427</v>
      </c>
      <c r="M2843" s="16"/>
      <c r="N2843" s="16"/>
      <c r="O2843" s="16"/>
      <c r="P2843" s="16"/>
      <c r="Q2843" s="16"/>
      <c r="R2843" s="16"/>
    </row>
    <row r="2844" spans="1:18" ht="30" x14ac:dyDescent="0.25">
      <c r="A2844" s="16"/>
      <c r="B2844" s="16"/>
      <c r="C2844" s="16"/>
      <c r="D2844" s="16"/>
      <c r="E2844" s="16"/>
      <c r="F2844" s="16"/>
      <c r="G2844" s="16"/>
      <c r="H2844" s="16"/>
      <c r="I2844" s="16"/>
      <c r="J2844" s="16"/>
      <c r="K2844" s="16"/>
      <c r="L2844" s="14" t="s">
        <v>428</v>
      </c>
      <c r="M2844" s="16"/>
      <c r="N2844" s="16"/>
      <c r="O2844" s="16"/>
      <c r="P2844" s="16"/>
      <c r="Q2844" s="16"/>
      <c r="R2844" s="16"/>
    </row>
    <row r="2845" spans="1:18" x14ac:dyDescent="0.25">
      <c r="A2845" s="16"/>
      <c r="B2845" s="16"/>
      <c r="C2845" s="16"/>
      <c r="D2845" s="16"/>
      <c r="E2845" s="16"/>
      <c r="F2845" s="16"/>
      <c r="G2845" s="16"/>
      <c r="H2845" s="16"/>
      <c r="I2845" s="16"/>
      <c r="J2845" s="16"/>
      <c r="K2845" s="16"/>
      <c r="L2845" s="14" t="s">
        <v>429</v>
      </c>
      <c r="M2845" s="16"/>
      <c r="N2845" s="16"/>
      <c r="O2845" s="16"/>
      <c r="P2845" s="16"/>
      <c r="Q2845" s="16"/>
      <c r="R2845" s="16"/>
    </row>
    <row r="2846" spans="1:18" ht="30" x14ac:dyDescent="0.25">
      <c r="A2846" s="16" t="s">
        <v>8974</v>
      </c>
      <c r="B2846" s="16" t="s">
        <v>9061</v>
      </c>
      <c r="C2846" s="16" t="s">
        <v>8603</v>
      </c>
      <c r="D2846" s="16" t="s">
        <v>8531</v>
      </c>
      <c r="E2846" s="16" t="s">
        <v>5008</v>
      </c>
      <c r="F2846" s="16" t="s">
        <v>5009</v>
      </c>
      <c r="G2846" s="18" t="s">
        <v>8605</v>
      </c>
      <c r="H2846" s="16" t="s">
        <v>426</v>
      </c>
      <c r="I2846" s="16"/>
      <c r="J2846" s="16"/>
      <c r="K2846" s="16"/>
      <c r="L2846" s="14" t="s">
        <v>422</v>
      </c>
      <c r="M2846" s="16" t="s">
        <v>5010</v>
      </c>
      <c r="N2846" s="16"/>
      <c r="O2846" s="16" t="s">
        <v>5011</v>
      </c>
      <c r="P2846" s="16" t="str">
        <f>HYPERLINK("https://ceds.ed.gov/cedselementdetails.aspx?termid=17144")</f>
        <v>https://ceds.ed.gov/cedselementdetails.aspx?termid=17144</v>
      </c>
      <c r="Q2846" s="16" t="str">
        <f>HYPERLINK("https://ceds.ed.gov/elementComment.aspx?elementName=Hispanic or Latino Ethnicity &amp;elementID=17144", "Click here to submit comment")</f>
        <v>Click here to submit comment</v>
      </c>
      <c r="R2846" s="16">
        <v>49171</v>
      </c>
    </row>
    <row r="2847" spans="1:18" x14ac:dyDescent="0.25">
      <c r="A2847" s="16"/>
      <c r="B2847" s="16"/>
      <c r="C2847" s="16"/>
      <c r="D2847" s="16"/>
      <c r="E2847" s="16"/>
      <c r="F2847" s="16"/>
      <c r="G2847" s="16"/>
      <c r="H2847" s="16"/>
      <c r="I2847" s="16"/>
      <c r="J2847" s="16"/>
      <c r="K2847" s="16"/>
      <c r="L2847" s="14"/>
      <c r="M2847" s="16"/>
      <c r="N2847" s="16"/>
      <c r="O2847" s="16"/>
      <c r="P2847" s="16"/>
      <c r="Q2847" s="16"/>
      <c r="R2847" s="16"/>
    </row>
    <row r="2848" spans="1:18" x14ac:dyDescent="0.25">
      <c r="A2848" s="16"/>
      <c r="B2848" s="16"/>
      <c r="C2848" s="16"/>
      <c r="D2848" s="16"/>
      <c r="E2848" s="16"/>
      <c r="F2848" s="16"/>
      <c r="G2848" s="16"/>
      <c r="H2848" s="16"/>
      <c r="I2848" s="16"/>
      <c r="J2848" s="16"/>
      <c r="K2848" s="16"/>
      <c r="L2848" s="14" t="s">
        <v>427</v>
      </c>
      <c r="M2848" s="16"/>
      <c r="N2848" s="16"/>
      <c r="O2848" s="16"/>
      <c r="P2848" s="16"/>
      <c r="Q2848" s="16"/>
      <c r="R2848" s="16"/>
    </row>
    <row r="2849" spans="1:18" ht="30" x14ac:dyDescent="0.25">
      <c r="A2849" s="16"/>
      <c r="B2849" s="16"/>
      <c r="C2849" s="16"/>
      <c r="D2849" s="16"/>
      <c r="E2849" s="16"/>
      <c r="F2849" s="16"/>
      <c r="G2849" s="16"/>
      <c r="H2849" s="16"/>
      <c r="I2849" s="16"/>
      <c r="J2849" s="16"/>
      <c r="K2849" s="16"/>
      <c r="L2849" s="14" t="s">
        <v>428</v>
      </c>
      <c r="M2849" s="16"/>
      <c r="N2849" s="16"/>
      <c r="O2849" s="16"/>
      <c r="P2849" s="16"/>
      <c r="Q2849" s="16"/>
      <c r="R2849" s="16"/>
    </row>
    <row r="2850" spans="1:18" x14ac:dyDescent="0.25">
      <c r="A2850" s="16"/>
      <c r="B2850" s="16"/>
      <c r="C2850" s="16"/>
      <c r="D2850" s="16"/>
      <c r="E2850" s="16"/>
      <c r="F2850" s="16"/>
      <c r="G2850" s="16"/>
      <c r="H2850" s="16"/>
      <c r="I2850" s="16"/>
      <c r="J2850" s="16"/>
      <c r="K2850" s="16"/>
      <c r="L2850" s="14" t="s">
        <v>429</v>
      </c>
      <c r="M2850" s="16"/>
      <c r="N2850" s="16"/>
      <c r="O2850" s="16"/>
      <c r="P2850" s="16"/>
      <c r="Q2850" s="16"/>
      <c r="R2850" s="16"/>
    </row>
    <row r="2851" spans="1:18" ht="105" x14ac:dyDescent="0.25">
      <c r="A2851" s="14" t="s">
        <v>8974</v>
      </c>
      <c r="B2851" s="14" t="s">
        <v>9061</v>
      </c>
      <c r="C2851" s="14" t="s">
        <v>8603</v>
      </c>
      <c r="D2851" s="14" t="s">
        <v>8531</v>
      </c>
      <c r="E2851" s="14" t="s">
        <v>8416</v>
      </c>
      <c r="F2851" s="14" t="s">
        <v>8417</v>
      </c>
      <c r="G2851" s="8" t="s">
        <v>9006</v>
      </c>
      <c r="H2851" s="14" t="s">
        <v>8422</v>
      </c>
      <c r="I2851" s="14"/>
      <c r="J2851" s="14"/>
      <c r="K2851" s="14"/>
      <c r="L2851" s="14" t="s">
        <v>7759</v>
      </c>
      <c r="M2851" s="14" t="s">
        <v>8420</v>
      </c>
      <c r="N2851" s="14"/>
      <c r="O2851" s="14" t="s">
        <v>8421</v>
      </c>
      <c r="P2851" s="14" t="str">
        <f>HYPERLINK("https://ceds.ed.gov/cedselementdetails.aspx?termid=17299")</f>
        <v>https://ceds.ed.gov/cedselementdetails.aspx?termid=17299</v>
      </c>
      <c r="Q2851" s="14" t="str">
        <f>HYPERLINK("https://ceds.ed.gov/elementComment.aspx?elementName=United States Citizenship Status &amp;elementID=17299", "Click here to submit comment")</f>
        <v>Click here to submit comment</v>
      </c>
      <c r="R2851" s="14">
        <v>49177</v>
      </c>
    </row>
    <row r="2852" spans="1:18" ht="75" x14ac:dyDescent="0.25">
      <c r="A2852" s="14" t="s">
        <v>8974</v>
      </c>
      <c r="B2852" s="14" t="s">
        <v>9061</v>
      </c>
      <c r="C2852" s="14" t="s">
        <v>8603</v>
      </c>
      <c r="D2852" s="14" t="s">
        <v>8531</v>
      </c>
      <c r="E2852" s="14" t="s">
        <v>3488</v>
      </c>
      <c r="F2852" s="14" t="s">
        <v>3489</v>
      </c>
      <c r="G2852" s="14" t="s">
        <v>24</v>
      </c>
      <c r="H2852" s="14"/>
      <c r="I2852" s="14"/>
      <c r="J2852" s="14"/>
      <c r="K2852" s="14"/>
      <c r="L2852" s="14" t="s">
        <v>3490</v>
      </c>
      <c r="M2852" s="14" t="s">
        <v>3491</v>
      </c>
      <c r="N2852" s="14"/>
      <c r="O2852" s="14" t="s">
        <v>3492</v>
      </c>
      <c r="P2852" s="14" t="str">
        <f>HYPERLINK("https://ceds.ed.gov/cedselementdetails.aspx?termid=17974")</f>
        <v>https://ceds.ed.gov/cedselementdetails.aspx?termid=17974</v>
      </c>
      <c r="Q2852" s="14" t="str">
        <f>HYPERLINK("https://ceds.ed.gov/elementComment.aspx?elementName=Demographic Race Two or More Races &amp;elementID=17974", "Click here to submit comment")</f>
        <v>Click here to submit comment</v>
      </c>
      <c r="R2852" s="14">
        <v>52179</v>
      </c>
    </row>
    <row r="2853" spans="1:18" ht="409.5" x14ac:dyDescent="0.25">
      <c r="A2853" s="14" t="s">
        <v>8974</v>
      </c>
      <c r="B2853" s="14" t="s">
        <v>9061</v>
      </c>
      <c r="C2853" s="14" t="s">
        <v>8603</v>
      </c>
      <c r="D2853" s="14" t="s">
        <v>8541</v>
      </c>
      <c r="E2853" s="14" t="s">
        <v>2853</v>
      </c>
      <c r="F2853" s="14" t="s">
        <v>2854</v>
      </c>
      <c r="G2853" s="8" t="s">
        <v>8548</v>
      </c>
      <c r="H2853" s="14" t="s">
        <v>2859</v>
      </c>
      <c r="I2853" s="14" t="s">
        <v>195</v>
      </c>
      <c r="J2853" s="14"/>
      <c r="K2853" s="14" t="s">
        <v>2856</v>
      </c>
      <c r="L2853" s="6" t="s">
        <v>2849</v>
      </c>
      <c r="M2853" s="14" t="s">
        <v>2857</v>
      </c>
      <c r="N2853" s="14"/>
      <c r="O2853" s="14" t="s">
        <v>2858</v>
      </c>
      <c r="P2853" s="14" t="str">
        <f>HYPERLINK("https://ceds.ed.gov/cedselementdetails.aspx?termid=17051")</f>
        <v>https://ceds.ed.gov/cedselementdetails.aspx?termid=17051</v>
      </c>
      <c r="Q2853" s="14" t="str">
        <f>HYPERLINK("https://ceds.ed.gov/elementComment.aspx?elementName=Country of Birth Code &amp;elementID=17051", "Click here to submit comment")</f>
        <v>Click here to submit comment</v>
      </c>
      <c r="R2853" s="14">
        <v>52418</v>
      </c>
    </row>
    <row r="2854" spans="1:18" ht="105" x14ac:dyDescent="0.25">
      <c r="A2854" s="14" t="s">
        <v>8974</v>
      </c>
      <c r="B2854" s="14" t="s">
        <v>9061</v>
      </c>
      <c r="C2854" s="14" t="s">
        <v>8603</v>
      </c>
      <c r="D2854" s="14" t="s">
        <v>8541</v>
      </c>
      <c r="E2854" s="14" t="s">
        <v>6304</v>
      </c>
      <c r="F2854" s="14" t="s">
        <v>6305</v>
      </c>
      <c r="G2854" s="8" t="s">
        <v>8677</v>
      </c>
      <c r="H2854" s="14"/>
      <c r="I2854" s="14" t="s">
        <v>195</v>
      </c>
      <c r="J2854" s="14"/>
      <c r="K2854" s="14" t="s">
        <v>6308</v>
      </c>
      <c r="L2854" s="14"/>
      <c r="M2854" s="14" t="s">
        <v>6309</v>
      </c>
      <c r="N2854" s="14"/>
      <c r="O2854" s="14" t="s">
        <v>6310</v>
      </c>
      <c r="P2854" s="14" t="str">
        <f>HYPERLINK("https://ceds.ed.gov/cedselementdetails.aspx?termid=18621")</f>
        <v>https://ceds.ed.gov/cedselementdetails.aspx?termid=18621</v>
      </c>
      <c r="Q2854" s="14" t="str">
        <f>HYPERLINK("https://ceds.ed.gov/elementComment.aspx?elementName=Military Branch &amp;elementID=18621", "Click here to submit comment")</f>
        <v>Click here to submit comment</v>
      </c>
      <c r="R2854" s="14">
        <v>52419</v>
      </c>
    </row>
    <row r="2855" spans="1:18" ht="105" x14ac:dyDescent="0.25">
      <c r="A2855" s="14" t="s">
        <v>8974</v>
      </c>
      <c r="B2855" s="14" t="s">
        <v>9061</v>
      </c>
      <c r="C2855" s="14" t="s">
        <v>8603</v>
      </c>
      <c r="D2855" s="14" t="s">
        <v>8541</v>
      </c>
      <c r="E2855" s="14" t="s">
        <v>8363</v>
      </c>
      <c r="F2855" s="14" t="s">
        <v>8364</v>
      </c>
      <c r="G2855" s="14" t="s">
        <v>8527</v>
      </c>
      <c r="H2855" s="14"/>
      <c r="I2855" s="14" t="s">
        <v>195</v>
      </c>
      <c r="J2855" s="14"/>
      <c r="K2855" s="14" t="s">
        <v>8366</v>
      </c>
      <c r="L2855" s="14"/>
      <c r="M2855" s="14" t="s">
        <v>8367</v>
      </c>
      <c r="N2855" s="14"/>
      <c r="O2855" s="14" t="s">
        <v>8368</v>
      </c>
      <c r="P2855" s="14" t="str">
        <f>HYPERLINK("https://ceds.ed.gov/cedselementdetails.aspx?termid=18638")</f>
        <v>https://ceds.ed.gov/cedselementdetails.aspx?termid=18638</v>
      </c>
      <c r="Q2855" s="14" t="str">
        <f>HYPERLINK("https://ceds.ed.gov/elementComment.aspx?elementName=Tribal Affiliation &amp;elementID=18638", "Click here to submit comment")</f>
        <v>Click here to submit comment</v>
      </c>
      <c r="R2855" s="14">
        <v>52420</v>
      </c>
    </row>
    <row r="2856" spans="1:18" ht="210" x14ac:dyDescent="0.25">
      <c r="A2856" s="14" t="s">
        <v>8974</v>
      </c>
      <c r="B2856" s="14" t="s">
        <v>9061</v>
      </c>
      <c r="C2856" s="14" t="s">
        <v>8693</v>
      </c>
      <c r="D2856" s="14" t="s">
        <v>8531</v>
      </c>
      <c r="E2856" s="14" t="s">
        <v>5001</v>
      </c>
      <c r="F2856" s="14" t="s">
        <v>5002</v>
      </c>
      <c r="G2856" s="14" t="s">
        <v>37</v>
      </c>
      <c r="H2856" s="14" t="s">
        <v>5007</v>
      </c>
      <c r="I2856" s="14"/>
      <c r="J2856" s="14" t="s">
        <v>135</v>
      </c>
      <c r="K2856" s="14"/>
      <c r="L2856" s="14" t="s">
        <v>5004</v>
      </c>
      <c r="M2856" s="14" t="s">
        <v>5005</v>
      </c>
      <c r="N2856" s="14"/>
      <c r="O2856" s="14" t="s">
        <v>5006</v>
      </c>
      <c r="P2856" s="14" t="str">
        <f>HYPERLINK("https://ceds.ed.gov/cedselementdetails.aspx?termid=17143")</f>
        <v>https://ceds.ed.gov/cedselementdetails.aspx?termid=17143</v>
      </c>
      <c r="Q2856" s="14" t="str">
        <f>HYPERLINK("https://ceds.ed.gov/elementComment.aspx?elementName=Hire Date &amp;elementID=17143", "Click here to submit comment")</f>
        <v>Click here to submit comment</v>
      </c>
      <c r="R2856" s="14">
        <v>49154</v>
      </c>
    </row>
    <row r="2857" spans="1:18" ht="75" x14ac:dyDescent="0.25">
      <c r="A2857" s="14" t="s">
        <v>8974</v>
      </c>
      <c r="B2857" s="14" t="s">
        <v>9061</v>
      </c>
      <c r="C2857" s="14" t="s">
        <v>8693</v>
      </c>
      <c r="D2857" s="14" t="s">
        <v>8531</v>
      </c>
      <c r="E2857" s="14" t="s">
        <v>3995</v>
      </c>
      <c r="F2857" s="14" t="s">
        <v>3996</v>
      </c>
      <c r="G2857" s="14" t="s">
        <v>37</v>
      </c>
      <c r="H2857" s="14" t="s">
        <v>238</v>
      </c>
      <c r="I2857" s="14"/>
      <c r="J2857" s="14" t="s">
        <v>135</v>
      </c>
      <c r="K2857" s="14"/>
      <c r="L2857" s="14" t="s">
        <v>160</v>
      </c>
      <c r="M2857" s="14" t="s">
        <v>3998</v>
      </c>
      <c r="N2857" s="14"/>
      <c r="O2857" s="14" t="s">
        <v>3999</v>
      </c>
      <c r="P2857" s="14" t="str">
        <f>HYPERLINK("https://ceds.ed.gov/cedselementdetails.aspx?termid=17794")</f>
        <v>https://ceds.ed.gov/cedselementdetails.aspx?termid=17794</v>
      </c>
      <c r="Q2857" s="14" t="str">
        <f>HYPERLINK("https://ceds.ed.gov/elementComment.aspx?elementName=Employment End Date &amp;elementID=17794", "Click here to submit comment")</f>
        <v>Click here to submit comment</v>
      </c>
      <c r="R2857" s="14">
        <v>50701</v>
      </c>
    </row>
    <row r="2858" spans="1:18" ht="60" x14ac:dyDescent="0.25">
      <c r="A2858" s="14" t="s">
        <v>8974</v>
      </c>
      <c r="B2858" s="14" t="s">
        <v>9061</v>
      </c>
      <c r="C2858" s="14" t="s">
        <v>8693</v>
      </c>
      <c r="D2858" s="14" t="s">
        <v>8531</v>
      </c>
      <c r="E2858" s="14" t="s">
        <v>4037</v>
      </c>
      <c r="F2858" s="14" t="s">
        <v>4038</v>
      </c>
      <c r="G2858" s="14" t="s">
        <v>37</v>
      </c>
      <c r="H2858" s="14" t="s">
        <v>4041</v>
      </c>
      <c r="I2858" s="14"/>
      <c r="J2858" s="14" t="s">
        <v>135</v>
      </c>
      <c r="K2858" s="14"/>
      <c r="L2858" s="14"/>
      <c r="M2858" s="14" t="s">
        <v>4039</v>
      </c>
      <c r="N2858" s="14"/>
      <c r="O2858" s="14" t="s">
        <v>4040</v>
      </c>
      <c r="P2858" s="14" t="str">
        <f>HYPERLINK("https://ceds.ed.gov/cedselementdetails.aspx?termid=17345")</f>
        <v>https://ceds.ed.gov/cedselementdetails.aspx?termid=17345</v>
      </c>
      <c r="Q2858" s="14" t="str">
        <f>HYPERLINK("https://ceds.ed.gov/elementComment.aspx?elementName=Employment Start Date &amp;elementID=17345", "Click here to submit comment")</f>
        <v>Click here to submit comment</v>
      </c>
      <c r="R2858" s="14">
        <v>50706</v>
      </c>
    </row>
    <row r="2859" spans="1:18" ht="180" x14ac:dyDescent="0.25">
      <c r="A2859" s="14" t="s">
        <v>8974</v>
      </c>
      <c r="B2859" s="14" t="s">
        <v>9061</v>
      </c>
      <c r="C2859" s="14" t="s">
        <v>8693</v>
      </c>
      <c r="D2859" s="14" t="s">
        <v>8531</v>
      </c>
      <c r="E2859" s="14" t="s">
        <v>4728</v>
      </c>
      <c r="F2859" s="14" t="s">
        <v>4729</v>
      </c>
      <c r="G2859" s="8" t="s">
        <v>9062</v>
      </c>
      <c r="H2859" s="14" t="s">
        <v>80</v>
      </c>
      <c r="I2859" s="14"/>
      <c r="J2859" s="14"/>
      <c r="K2859" s="14"/>
      <c r="L2859" s="14" t="s">
        <v>4731</v>
      </c>
      <c r="M2859" s="14" t="s">
        <v>4732</v>
      </c>
      <c r="N2859" s="14"/>
      <c r="O2859" s="14" t="s">
        <v>4733</v>
      </c>
      <c r="P2859" s="14" t="str">
        <f>HYPERLINK("https://ceds.ed.gov/cedselementdetails.aspx?termid=17713")</f>
        <v>https://ceds.ed.gov/cedselementdetails.aspx?termid=17713</v>
      </c>
      <c r="Q2859" s="14" t="str">
        <f>HYPERLINK("https://ceds.ed.gov/elementComment.aspx?elementName=Full-time Status &amp;elementID=17713", "Click here to submit comment")</f>
        <v>Click here to submit comment</v>
      </c>
      <c r="R2859" s="14">
        <v>49161</v>
      </c>
    </row>
    <row r="2860" spans="1:18" ht="90" x14ac:dyDescent="0.25">
      <c r="A2860" s="14" t="s">
        <v>8974</v>
      </c>
      <c r="B2860" s="14" t="s">
        <v>9061</v>
      </c>
      <c r="C2860" s="14" t="s">
        <v>8693</v>
      </c>
      <c r="D2860" s="14" t="s">
        <v>8531</v>
      </c>
      <c r="E2860" s="14" t="s">
        <v>5528</v>
      </c>
      <c r="F2860" s="14" t="s">
        <v>5529</v>
      </c>
      <c r="G2860" s="8" t="s">
        <v>9063</v>
      </c>
      <c r="H2860" s="14" t="s">
        <v>80</v>
      </c>
      <c r="I2860" s="14"/>
      <c r="J2860" s="14"/>
      <c r="K2860" s="14"/>
      <c r="L2860" s="14" t="s">
        <v>5531</v>
      </c>
      <c r="M2860" s="14" t="s">
        <v>5532</v>
      </c>
      <c r="N2860" s="14"/>
      <c r="O2860" s="14" t="s">
        <v>5533</v>
      </c>
      <c r="P2860" s="14" t="str">
        <f>HYPERLINK("https://ceds.ed.gov/cedselementdetails.aspx?termid=17712")</f>
        <v>https://ceds.ed.gov/cedselementdetails.aspx?termid=17712</v>
      </c>
      <c r="Q2860" s="14" t="str">
        <f>HYPERLINK("https://ceds.ed.gov/elementComment.aspx?elementName=Instructional Staff Contract Length &amp;elementID=17712", "Click here to submit comment")</f>
        <v>Click here to submit comment</v>
      </c>
      <c r="R2860" s="14">
        <v>49160</v>
      </c>
    </row>
    <row r="2861" spans="1:18" ht="90" x14ac:dyDescent="0.25">
      <c r="A2861" s="14" t="s">
        <v>8974</v>
      </c>
      <c r="B2861" s="14" t="s">
        <v>9061</v>
      </c>
      <c r="C2861" s="14" t="s">
        <v>8693</v>
      </c>
      <c r="D2861" s="14" t="s">
        <v>8531</v>
      </c>
      <c r="E2861" s="14" t="s">
        <v>5539</v>
      </c>
      <c r="F2861" s="14" t="s">
        <v>5540</v>
      </c>
      <c r="G2861" s="14" t="s">
        <v>24</v>
      </c>
      <c r="H2861" s="14"/>
      <c r="I2861" s="14"/>
      <c r="J2861" s="14"/>
      <c r="K2861" s="14"/>
      <c r="L2861" s="14" t="s">
        <v>4450</v>
      </c>
      <c r="M2861" s="14" t="s">
        <v>5541</v>
      </c>
      <c r="N2861" s="14"/>
      <c r="O2861" s="14" t="s">
        <v>5542</v>
      </c>
      <c r="P2861" s="14" t="str">
        <f>HYPERLINK("https://ceds.ed.gov/cedselementdetails.aspx?termid=17709")</f>
        <v>https://ceds.ed.gov/cedselementdetails.aspx?termid=17709</v>
      </c>
      <c r="Q2861" s="14" t="str">
        <f>HYPERLINK("https://ceds.ed.gov/elementComment.aspx?elementName=Instructional Staff Status &amp;elementID=17709", "Click here to submit comment")</f>
        <v>Click here to submit comment</v>
      </c>
      <c r="R2861" s="14">
        <v>49157</v>
      </c>
    </row>
    <row r="2862" spans="1:18" ht="405" x14ac:dyDescent="0.25">
      <c r="A2862" s="14" t="s">
        <v>8974</v>
      </c>
      <c r="B2862" s="14" t="s">
        <v>9061</v>
      </c>
      <c r="C2862" s="14" t="s">
        <v>8693</v>
      </c>
      <c r="D2862" s="14" t="s">
        <v>8531</v>
      </c>
      <c r="E2862" s="14" t="s">
        <v>4448</v>
      </c>
      <c r="F2862" s="14" t="s">
        <v>4449</v>
      </c>
      <c r="G2862" s="14" t="s">
        <v>24</v>
      </c>
      <c r="H2862" s="14" t="s">
        <v>80</v>
      </c>
      <c r="I2862" s="14"/>
      <c r="J2862" s="14"/>
      <c r="K2862" s="14"/>
      <c r="L2862" s="14" t="s">
        <v>4450</v>
      </c>
      <c r="M2862" s="14" t="s">
        <v>4451</v>
      </c>
      <c r="N2862" s="14"/>
      <c r="O2862" s="14" t="s">
        <v>4452</v>
      </c>
      <c r="P2862" s="14" t="str">
        <f>HYPERLINK("https://ceds.ed.gov/cedselementdetails.aspx?termid=17711")</f>
        <v>https://ceds.ed.gov/cedselementdetails.aspx?termid=17711</v>
      </c>
      <c r="Q2862" s="14" t="str">
        <f>HYPERLINK("https://ceds.ed.gov/elementComment.aspx?elementName=Faculty Status &amp;elementID=17711", "Click here to submit comment")</f>
        <v>Click here to submit comment</v>
      </c>
      <c r="R2862" s="14">
        <v>49159</v>
      </c>
    </row>
    <row r="2863" spans="1:18" ht="105" x14ac:dyDescent="0.25">
      <c r="A2863" s="14" t="s">
        <v>8974</v>
      </c>
      <c r="B2863" s="14" t="s">
        <v>9061</v>
      </c>
      <c r="C2863" s="14" t="s">
        <v>8693</v>
      </c>
      <c r="D2863" s="14" t="s">
        <v>8531</v>
      </c>
      <c r="E2863" s="14" t="s">
        <v>5534</v>
      </c>
      <c r="F2863" s="14" t="s">
        <v>5535</v>
      </c>
      <c r="G2863" s="8" t="s">
        <v>9064</v>
      </c>
      <c r="H2863" s="14" t="s">
        <v>80</v>
      </c>
      <c r="I2863" s="14"/>
      <c r="J2863" s="14"/>
      <c r="K2863" s="14"/>
      <c r="L2863" s="14" t="s">
        <v>2811</v>
      </c>
      <c r="M2863" s="14" t="s">
        <v>5537</v>
      </c>
      <c r="N2863" s="14"/>
      <c r="O2863" s="14" t="s">
        <v>5538</v>
      </c>
      <c r="P2863" s="14" t="str">
        <f>HYPERLINK("https://ceds.ed.gov/cedselementdetails.aspx?termid=17716")</f>
        <v>https://ceds.ed.gov/cedselementdetails.aspx?termid=17716</v>
      </c>
      <c r="Q2863" s="14" t="str">
        <f>HYPERLINK("https://ceds.ed.gov/elementComment.aspx?elementName=Instructional Staff Faculty Tenure Status &amp;elementID=17716", "Click here to submit comment")</f>
        <v>Click here to submit comment</v>
      </c>
      <c r="R2863" s="14">
        <v>49164</v>
      </c>
    </row>
    <row r="2864" spans="1:18" ht="180" x14ac:dyDescent="0.25">
      <c r="A2864" s="14" t="s">
        <v>8974</v>
      </c>
      <c r="B2864" s="14" t="s">
        <v>9061</v>
      </c>
      <c r="C2864" s="14" t="s">
        <v>8693</v>
      </c>
      <c r="D2864" s="14" t="s">
        <v>8531</v>
      </c>
      <c r="E2864" s="14" t="s">
        <v>6201</v>
      </c>
      <c r="F2864" s="14" t="s">
        <v>6202</v>
      </c>
      <c r="G2864" s="14" t="s">
        <v>24</v>
      </c>
      <c r="H2864" s="14" t="s">
        <v>80</v>
      </c>
      <c r="I2864" s="14"/>
      <c r="J2864" s="14"/>
      <c r="K2864" s="14"/>
      <c r="L2864" s="14" t="s">
        <v>4450</v>
      </c>
      <c r="M2864" s="14" t="s">
        <v>6203</v>
      </c>
      <c r="N2864" s="14"/>
      <c r="O2864" s="14" t="s">
        <v>6204</v>
      </c>
      <c r="P2864" s="14" t="str">
        <f>HYPERLINK("https://ceds.ed.gov/cedselementdetails.aspx?termid=17710")</f>
        <v>https://ceds.ed.gov/cedselementdetails.aspx?termid=17710</v>
      </c>
      <c r="Q2864" s="14" t="str">
        <f>HYPERLINK("https://ceds.ed.gov/elementComment.aspx?elementName=Medical School Staff Status &amp;elementID=17710", "Click here to submit comment")</f>
        <v>Click here to submit comment</v>
      </c>
      <c r="R2864" s="14">
        <v>49158</v>
      </c>
    </row>
    <row r="2865" spans="1:18" ht="150" x14ac:dyDescent="0.25">
      <c r="A2865" s="14" t="s">
        <v>8974</v>
      </c>
      <c r="B2865" s="14" t="s">
        <v>9061</v>
      </c>
      <c r="C2865" s="14" t="s">
        <v>8693</v>
      </c>
      <c r="D2865" s="14" t="s">
        <v>8531</v>
      </c>
      <c r="E2865" s="14" t="s">
        <v>4895</v>
      </c>
      <c r="F2865" s="14" t="s">
        <v>4896</v>
      </c>
      <c r="G2865" s="14" t="s">
        <v>24</v>
      </c>
      <c r="H2865" s="14" t="s">
        <v>80</v>
      </c>
      <c r="I2865" s="14"/>
      <c r="J2865" s="14"/>
      <c r="K2865" s="14"/>
      <c r="L2865" s="14" t="s">
        <v>432</v>
      </c>
      <c r="M2865" s="14" t="s">
        <v>4897</v>
      </c>
      <c r="N2865" s="14"/>
      <c r="O2865" s="14" t="s">
        <v>4898</v>
      </c>
      <c r="P2865" s="14" t="str">
        <f>HYPERLINK("https://ceds.ed.gov/cedselementdetails.aspx?termid=17720")</f>
        <v>https://ceds.ed.gov/cedselementdetails.aspx?termid=17720</v>
      </c>
      <c r="Q2865" s="14" t="str">
        <f>HYPERLINK("https://ceds.ed.gov/elementComment.aspx?elementName=Graduate Assistant Status &amp;elementID=17720", "Click here to submit comment")</f>
        <v>Click here to submit comment</v>
      </c>
      <c r="R2865" s="14">
        <v>49167</v>
      </c>
    </row>
    <row r="2866" spans="1:18" ht="75" x14ac:dyDescent="0.25">
      <c r="A2866" s="14" t="s">
        <v>8974</v>
      </c>
      <c r="B2866" s="14" t="s">
        <v>9061</v>
      </c>
      <c r="C2866" s="14" t="s">
        <v>8693</v>
      </c>
      <c r="D2866" s="14" t="s">
        <v>8531</v>
      </c>
      <c r="E2866" s="14" t="s">
        <v>2808</v>
      </c>
      <c r="F2866" s="14" t="s">
        <v>2809</v>
      </c>
      <c r="G2866" s="8" t="s">
        <v>9065</v>
      </c>
      <c r="H2866" s="14" t="s">
        <v>80</v>
      </c>
      <c r="I2866" s="14"/>
      <c r="J2866" s="14"/>
      <c r="K2866" s="14"/>
      <c r="L2866" s="14" t="s">
        <v>2811</v>
      </c>
      <c r="M2866" s="14" t="s">
        <v>2812</v>
      </c>
      <c r="N2866" s="14"/>
      <c r="O2866" s="14" t="s">
        <v>2813</v>
      </c>
      <c r="P2866" s="14" t="str">
        <f>HYPERLINK("https://ceds.ed.gov/cedselementdetails.aspx?termid=17714")</f>
        <v>https://ceds.ed.gov/cedselementdetails.aspx?termid=17714</v>
      </c>
      <c r="Q2866" s="14" t="str">
        <f>HYPERLINK("https://ceds.ed.gov/elementComment.aspx?elementName=Contract Type &amp;elementID=17714", "Click here to submit comment")</f>
        <v>Click here to submit comment</v>
      </c>
      <c r="R2866" s="14">
        <v>49162</v>
      </c>
    </row>
    <row r="2867" spans="1:18" ht="135" x14ac:dyDescent="0.25">
      <c r="A2867" s="14" t="s">
        <v>8974</v>
      </c>
      <c r="B2867" s="14" t="s">
        <v>9061</v>
      </c>
      <c r="C2867" s="14" t="s">
        <v>8693</v>
      </c>
      <c r="D2867" s="14" t="s">
        <v>8531</v>
      </c>
      <c r="E2867" s="14" t="s">
        <v>73</v>
      </c>
      <c r="F2867" s="14" t="s">
        <v>74</v>
      </c>
      <c r="G2867" s="8" t="s">
        <v>9066</v>
      </c>
      <c r="H2867" s="14" t="s">
        <v>80</v>
      </c>
      <c r="I2867" s="14"/>
      <c r="J2867" s="14"/>
      <c r="K2867" s="14"/>
      <c r="L2867" s="14" t="s">
        <v>77</v>
      </c>
      <c r="M2867" s="14" t="s">
        <v>78</v>
      </c>
      <c r="N2867" s="14"/>
      <c r="O2867" s="14" t="s">
        <v>79</v>
      </c>
      <c r="P2867" s="14" t="str">
        <f>HYPERLINK("https://ceds.ed.gov/cedselementdetails.aspx?termid=17717")</f>
        <v>https://ceds.ed.gov/cedselementdetails.aspx?termid=17717</v>
      </c>
      <c r="Q2867" s="14" t="str">
        <f>HYPERLINK("https://ceds.ed.gov/elementComment.aspx?elementName=Academic Rank &amp;elementID=17717", "Click here to submit comment")</f>
        <v>Click here to submit comment</v>
      </c>
      <c r="R2867" s="14">
        <v>49165</v>
      </c>
    </row>
    <row r="2868" spans="1:18" ht="120" x14ac:dyDescent="0.25">
      <c r="A2868" s="14" t="s">
        <v>8974</v>
      </c>
      <c r="B2868" s="14" t="s">
        <v>9061</v>
      </c>
      <c r="C2868" s="14" t="s">
        <v>8693</v>
      </c>
      <c r="D2868" s="14" t="s">
        <v>8531</v>
      </c>
      <c r="E2868" s="14" t="s">
        <v>7940</v>
      </c>
      <c r="F2868" s="14" t="s">
        <v>7941</v>
      </c>
      <c r="G2868" s="14" t="s">
        <v>37</v>
      </c>
      <c r="H2868" s="14" t="s">
        <v>80</v>
      </c>
      <c r="I2868" s="14" t="s">
        <v>195</v>
      </c>
      <c r="J2868" s="14" t="s">
        <v>7943</v>
      </c>
      <c r="K2868" s="14" t="s">
        <v>2856</v>
      </c>
      <c r="L2868" s="14"/>
      <c r="M2868" s="14" t="s">
        <v>7944</v>
      </c>
      <c r="N2868" s="14"/>
      <c r="O2868" s="14" t="s">
        <v>7945</v>
      </c>
      <c r="P2868" s="14" t="str">
        <f>HYPERLINK("https://ceds.ed.gov/cedselementdetails.aspx?termid=17707")</f>
        <v>https://ceds.ed.gov/cedselementdetails.aspx?termid=17707</v>
      </c>
      <c r="Q2868" s="14" t="str">
        <f>HYPERLINK("https://ceds.ed.gov/elementComment.aspx?elementName=Standard Occupational Classification &amp;elementID=17707", "Click here to submit comment")</f>
        <v>Click here to submit comment</v>
      </c>
      <c r="R2868" s="14">
        <v>49155</v>
      </c>
    </row>
    <row r="2869" spans="1:18" ht="390" x14ac:dyDescent="0.25">
      <c r="A2869" s="14" t="s">
        <v>8974</v>
      </c>
      <c r="B2869" s="14" t="s">
        <v>9061</v>
      </c>
      <c r="C2869" s="14" t="s">
        <v>8693</v>
      </c>
      <c r="D2869" s="14" t="s">
        <v>8531</v>
      </c>
      <c r="E2869" s="14" t="s">
        <v>5656</v>
      </c>
      <c r="F2869" s="14" t="s">
        <v>5657</v>
      </c>
      <c r="G2869" s="8" t="s">
        <v>9067</v>
      </c>
      <c r="H2869" s="14" t="s">
        <v>80</v>
      </c>
      <c r="I2869" s="14"/>
      <c r="J2869" s="14"/>
      <c r="K2869" s="14"/>
      <c r="L2869" s="14" t="s">
        <v>5659</v>
      </c>
      <c r="M2869" s="14" t="s">
        <v>5660</v>
      </c>
      <c r="N2869" s="14"/>
      <c r="O2869" s="14" t="s">
        <v>5661</v>
      </c>
      <c r="P2869" s="14" t="str">
        <f>HYPERLINK("https://ceds.ed.gov/cedselementdetails.aspx?termid=17708")</f>
        <v>https://ceds.ed.gov/cedselementdetails.aspx?termid=17708</v>
      </c>
      <c r="Q2869" s="14" t="str">
        <f>HYPERLINK("https://ceds.ed.gov/elementComment.aspx?elementName=IPEDS Occupational Category &amp;elementID=17708", "Click here to submit comment")</f>
        <v>Click here to submit comment</v>
      </c>
      <c r="R2869" s="14">
        <v>49156</v>
      </c>
    </row>
    <row r="2870" spans="1:18" ht="195" x14ac:dyDescent="0.25">
      <c r="A2870" s="14" t="s">
        <v>8974</v>
      </c>
      <c r="B2870" s="14" t="s">
        <v>9061</v>
      </c>
      <c r="C2870" s="14" t="s">
        <v>8693</v>
      </c>
      <c r="D2870" s="14" t="s">
        <v>8531</v>
      </c>
      <c r="E2870" s="14" t="s">
        <v>4890</v>
      </c>
      <c r="F2870" s="14" t="s">
        <v>4891</v>
      </c>
      <c r="G2870" s="8" t="s">
        <v>9068</v>
      </c>
      <c r="H2870" s="14" t="s">
        <v>80</v>
      </c>
      <c r="I2870" s="14"/>
      <c r="J2870" s="14"/>
      <c r="K2870" s="14"/>
      <c r="L2870" s="14" t="s">
        <v>2811</v>
      </c>
      <c r="M2870" s="14" t="s">
        <v>4893</v>
      </c>
      <c r="N2870" s="14"/>
      <c r="O2870" s="14" t="s">
        <v>4894</v>
      </c>
      <c r="P2870" s="14" t="str">
        <f>HYPERLINK("https://ceds.ed.gov/cedselementdetails.aspx?termid=17721")</f>
        <v>https://ceds.ed.gov/cedselementdetails.aspx?termid=17721</v>
      </c>
      <c r="Q2870" s="14" t="str">
        <f>HYPERLINK("https://ceds.ed.gov/elementComment.aspx?elementName=Graduate Assistant IPEDS Occupation Category &amp;elementID=17721", "Click here to submit comment")</f>
        <v>Click here to submit comment</v>
      </c>
      <c r="R2870" s="14">
        <v>49168</v>
      </c>
    </row>
    <row r="2871" spans="1:18" ht="120" x14ac:dyDescent="0.25">
      <c r="A2871" s="14" t="s">
        <v>8974</v>
      </c>
      <c r="B2871" s="14" t="s">
        <v>9061</v>
      </c>
      <c r="C2871" s="14" t="s">
        <v>8693</v>
      </c>
      <c r="D2871" s="14" t="s">
        <v>8531</v>
      </c>
      <c r="E2871" s="14" t="s">
        <v>5495</v>
      </c>
      <c r="F2871" s="14" t="s">
        <v>5496</v>
      </c>
      <c r="G2871" s="8" t="s">
        <v>9069</v>
      </c>
      <c r="H2871" s="14" t="s">
        <v>80</v>
      </c>
      <c r="I2871" s="14"/>
      <c r="J2871" s="14"/>
      <c r="K2871" s="14"/>
      <c r="L2871" s="14" t="s">
        <v>5498</v>
      </c>
      <c r="M2871" s="14" t="s">
        <v>5499</v>
      </c>
      <c r="N2871" s="14"/>
      <c r="O2871" s="14" t="s">
        <v>5500</v>
      </c>
      <c r="P2871" s="14" t="str">
        <f>HYPERLINK("https://ceds.ed.gov/cedselementdetails.aspx?termid=17719")</f>
        <v>https://ceds.ed.gov/cedselementdetails.aspx?termid=17719</v>
      </c>
      <c r="Q2871" s="14" t="str">
        <f>HYPERLINK("https://ceds.ed.gov/elementComment.aspx?elementName=Instruction Credit Type &amp;elementID=17719", "Click here to submit comment")</f>
        <v>Click here to submit comment</v>
      </c>
      <c r="R2871" s="14">
        <v>49166</v>
      </c>
    </row>
    <row r="2872" spans="1:18" ht="45" x14ac:dyDescent="0.25">
      <c r="A2872" s="14" t="s">
        <v>8974</v>
      </c>
      <c r="B2872" s="14" t="s">
        <v>9061</v>
      </c>
      <c r="C2872" s="14" t="s">
        <v>8693</v>
      </c>
      <c r="D2872" s="14" t="s">
        <v>8531</v>
      </c>
      <c r="E2872" s="14" t="s">
        <v>430</v>
      </c>
      <c r="F2872" s="14" t="s">
        <v>431</v>
      </c>
      <c r="G2872" s="14" t="s">
        <v>37</v>
      </c>
      <c r="H2872" s="14" t="s">
        <v>80</v>
      </c>
      <c r="I2872" s="14"/>
      <c r="J2872" s="14" t="s">
        <v>370</v>
      </c>
      <c r="K2872" s="14"/>
      <c r="L2872" s="14" t="s">
        <v>432</v>
      </c>
      <c r="M2872" s="14" t="s">
        <v>433</v>
      </c>
      <c r="N2872" s="14"/>
      <c r="O2872" s="14" t="s">
        <v>434</v>
      </c>
      <c r="P2872" s="14" t="str">
        <f>HYPERLINK("https://ceds.ed.gov/cedselementdetails.aspx?termid=17722")</f>
        <v>https://ceds.ed.gov/cedselementdetails.aspx?termid=17722</v>
      </c>
      <c r="Q2872" s="14" t="str">
        <f>HYPERLINK("https://ceds.ed.gov/elementComment.aspx?elementName=Annual Base Contractual Salary &amp;elementID=17722", "Click here to submit comment")</f>
        <v>Click here to submit comment</v>
      </c>
      <c r="R2872" s="14">
        <v>49169</v>
      </c>
    </row>
    <row r="2873" spans="1:18" ht="405" x14ac:dyDescent="0.25">
      <c r="A2873" s="14" t="s">
        <v>8974</v>
      </c>
      <c r="B2873" s="14" t="s">
        <v>9061</v>
      </c>
      <c r="C2873" s="14" t="s">
        <v>8693</v>
      </c>
      <c r="D2873" s="14" t="s">
        <v>8541</v>
      </c>
      <c r="E2873" s="14" t="s">
        <v>4027</v>
      </c>
      <c r="F2873" s="14" t="s">
        <v>3763</v>
      </c>
      <c r="G2873" s="8" t="s">
        <v>8695</v>
      </c>
      <c r="H2873" s="14"/>
      <c r="I2873" s="14" t="s">
        <v>195</v>
      </c>
      <c r="J2873" s="14"/>
      <c r="K2873" s="14" t="s">
        <v>2856</v>
      </c>
      <c r="L2873" s="14"/>
      <c r="M2873" s="14" t="s">
        <v>4029</v>
      </c>
      <c r="N2873" s="14"/>
      <c r="O2873" s="14" t="s">
        <v>4030</v>
      </c>
      <c r="P2873" s="14" t="str">
        <f>HYPERLINK("https://ceds.ed.gov/cedselementdetails.aspx?termid=17613")</f>
        <v>https://ceds.ed.gov/cedselementdetails.aspx?termid=17613</v>
      </c>
      <c r="Q2873" s="14" t="str">
        <f>HYPERLINK("https://ceds.ed.gov/elementComment.aspx?elementName=Employment Separation Reason &amp;elementID=17613", "Click here to submit comment")</f>
        <v>Click here to submit comment</v>
      </c>
      <c r="R2873" s="14">
        <v>52421</v>
      </c>
    </row>
    <row r="2874" spans="1:18" ht="75" x14ac:dyDescent="0.25">
      <c r="A2874" s="14" t="s">
        <v>8974</v>
      </c>
      <c r="B2874" s="14" t="s">
        <v>9061</v>
      </c>
      <c r="C2874" s="14" t="s">
        <v>8701</v>
      </c>
      <c r="D2874" s="14" t="s">
        <v>8531</v>
      </c>
      <c r="E2874" s="14" t="s">
        <v>2165</v>
      </c>
      <c r="F2874" s="14" t="s">
        <v>2166</v>
      </c>
      <c r="G2874" s="14" t="s">
        <v>24</v>
      </c>
      <c r="H2874" s="14"/>
      <c r="I2874" s="14"/>
      <c r="J2874" s="14"/>
      <c r="K2874" s="14"/>
      <c r="L2874" s="14"/>
      <c r="M2874" s="14" t="s">
        <v>2168</v>
      </c>
      <c r="N2874" s="14" t="s">
        <v>2169</v>
      </c>
      <c r="O2874" s="14" t="s">
        <v>2170</v>
      </c>
      <c r="P2874" s="14" t="str">
        <f>HYPERLINK("https://ceds.ed.gov/cedselementdetails.aspx?termid=18284")</f>
        <v>https://ceds.ed.gov/cedselementdetails.aspx?termid=18284</v>
      </c>
      <c r="Q2874" s="14" t="str">
        <f>HYPERLINK("https://ceds.ed.gov/elementComment.aspx?elementName=Career and Technical Education Instructor Industry Certification &amp;elementID=18284", "Click here to submit comment")</f>
        <v>Click here to submit comment</v>
      </c>
      <c r="R2874" s="14">
        <v>50123</v>
      </c>
    </row>
    <row r="2875" spans="1:18" ht="90" x14ac:dyDescent="0.25">
      <c r="A2875" s="14" t="s">
        <v>8974</v>
      </c>
      <c r="B2875" s="14" t="s">
        <v>9061</v>
      </c>
      <c r="C2875" s="14" t="s">
        <v>8701</v>
      </c>
      <c r="D2875" s="14" t="s">
        <v>8531</v>
      </c>
      <c r="E2875" s="14" t="s">
        <v>3341</v>
      </c>
      <c r="F2875" s="14" t="s">
        <v>3342</v>
      </c>
      <c r="G2875" s="8" t="s">
        <v>8704</v>
      </c>
      <c r="H2875" s="14"/>
      <c r="I2875" s="14"/>
      <c r="J2875" s="14"/>
      <c r="K2875" s="14"/>
      <c r="L2875" s="14"/>
      <c r="M2875" s="14" t="s">
        <v>3345</v>
      </c>
      <c r="N2875" s="14"/>
      <c r="O2875" s="14" t="s">
        <v>3346</v>
      </c>
      <c r="P2875" s="14" t="str">
        <f>HYPERLINK("https://ceds.ed.gov/cedselementdetails.aspx?termid=17071")</f>
        <v>https://ceds.ed.gov/cedselementdetails.aspx?termid=17071</v>
      </c>
      <c r="Q2875" s="14" t="str">
        <f>HYPERLINK("https://ceds.ed.gov/elementComment.aspx?elementName=Credential Type &amp;elementID=17071", "Click here to submit comment")</f>
        <v>Click here to submit comment</v>
      </c>
      <c r="R2875" s="14">
        <v>50120</v>
      </c>
    </row>
    <row r="2876" spans="1:18" ht="90" x14ac:dyDescent="0.25">
      <c r="A2876" s="14" t="s">
        <v>8974</v>
      </c>
      <c r="B2876" s="14" t="s">
        <v>9061</v>
      </c>
      <c r="C2876" s="14" t="s">
        <v>8632</v>
      </c>
      <c r="D2876" s="14" t="s">
        <v>8541</v>
      </c>
      <c r="E2876" s="14" t="s">
        <v>5662</v>
      </c>
      <c r="F2876" s="14" t="s">
        <v>5663</v>
      </c>
      <c r="G2876" s="14" t="s">
        <v>8527</v>
      </c>
      <c r="H2876" s="14" t="s">
        <v>5668</v>
      </c>
      <c r="I2876" s="14" t="s">
        <v>195</v>
      </c>
      <c r="J2876" s="14"/>
      <c r="K2876" s="14" t="s">
        <v>5665</v>
      </c>
      <c r="L2876" s="6" t="s">
        <v>1087</v>
      </c>
      <c r="M2876" s="14" t="s">
        <v>5666</v>
      </c>
      <c r="N2876" s="14"/>
      <c r="O2876" s="14" t="s">
        <v>5667</v>
      </c>
      <c r="P2876" s="14" t="str">
        <f>HYPERLINK("https://ceds.ed.gov/cedselementdetails.aspx?termid=17317")</f>
        <v>https://ceds.ed.gov/cedselementdetails.aspx?termid=17317</v>
      </c>
      <c r="Q2876" s="14" t="str">
        <f>HYPERLINK("https://ceds.ed.gov/elementComment.aspx?elementName=ISO 639-2 Language Code &amp;elementID=17317", "Click here to submit comment")</f>
        <v>Click here to submit comment</v>
      </c>
      <c r="R2876" s="14">
        <v>52422</v>
      </c>
    </row>
    <row r="2877" spans="1:18" ht="105" x14ac:dyDescent="0.25">
      <c r="A2877" s="14" t="s">
        <v>8974</v>
      </c>
      <c r="B2877" s="14" t="s">
        <v>9061</v>
      </c>
      <c r="C2877" s="14" t="s">
        <v>8632</v>
      </c>
      <c r="D2877" s="14" t="s">
        <v>8541</v>
      </c>
      <c r="E2877" s="14" t="s">
        <v>5669</v>
      </c>
      <c r="F2877" s="14" t="s">
        <v>5663</v>
      </c>
      <c r="G2877" s="14" t="s">
        <v>8527</v>
      </c>
      <c r="H2877" s="14"/>
      <c r="I2877" s="14" t="s">
        <v>195</v>
      </c>
      <c r="J2877" s="14"/>
      <c r="K2877" s="14" t="s">
        <v>5670</v>
      </c>
      <c r="L2877" s="6" t="s">
        <v>5671</v>
      </c>
      <c r="M2877" s="14" t="s">
        <v>5672</v>
      </c>
      <c r="N2877" s="14"/>
      <c r="O2877" s="14" t="s">
        <v>5673</v>
      </c>
      <c r="P2877" s="14" t="str">
        <f>HYPERLINK("https://ceds.ed.gov/cedselementdetails.aspx?termid=18618")</f>
        <v>https://ceds.ed.gov/cedselementdetails.aspx?termid=18618</v>
      </c>
      <c r="Q2877" s="14" t="str">
        <f>HYPERLINK("https://ceds.ed.gov/elementComment.aspx?elementName=ISO 639-3 Language Code &amp;elementID=18618", "Click here to submit comment")</f>
        <v>Click here to submit comment</v>
      </c>
      <c r="R2877" s="14">
        <v>52423</v>
      </c>
    </row>
    <row r="2878" spans="1:18" ht="409.5" x14ac:dyDescent="0.25">
      <c r="A2878" s="14" t="s">
        <v>8974</v>
      </c>
      <c r="B2878" s="14" t="s">
        <v>9061</v>
      </c>
      <c r="C2878" s="14" t="s">
        <v>8632</v>
      </c>
      <c r="D2878" s="14" t="s">
        <v>8541</v>
      </c>
      <c r="E2878" s="14" t="s">
        <v>5674</v>
      </c>
      <c r="F2878" s="14" t="s">
        <v>5675</v>
      </c>
      <c r="G2878" s="8" t="s">
        <v>8634</v>
      </c>
      <c r="H2878" s="14"/>
      <c r="I2878" s="14" t="s">
        <v>195</v>
      </c>
      <c r="J2878" s="14"/>
      <c r="K2878" s="14" t="s">
        <v>2856</v>
      </c>
      <c r="L2878" s="6" t="s">
        <v>5677</v>
      </c>
      <c r="M2878" s="14" t="s">
        <v>5678</v>
      </c>
      <c r="N2878" s="14"/>
      <c r="O2878" s="14" t="s">
        <v>5679</v>
      </c>
      <c r="P2878" s="14" t="str">
        <f>HYPERLINK("https://ceds.ed.gov/cedselementdetails.aspx?termid=18619")</f>
        <v>https://ceds.ed.gov/cedselementdetails.aspx?termid=18619</v>
      </c>
      <c r="Q2878" s="14" t="str">
        <f>HYPERLINK("https://ceds.ed.gov/elementComment.aspx?elementName=ISO 639-5 Language Family &amp;elementID=18619", "Click here to submit comment")</f>
        <v>Click here to submit comment</v>
      </c>
      <c r="R2878" s="14">
        <v>52424</v>
      </c>
    </row>
    <row r="2879" spans="1:18" ht="135" x14ac:dyDescent="0.25">
      <c r="A2879" s="14" t="s">
        <v>8974</v>
      </c>
      <c r="B2879" s="14" t="s">
        <v>9061</v>
      </c>
      <c r="C2879" s="14" t="s">
        <v>8632</v>
      </c>
      <c r="D2879" s="14" t="s">
        <v>8541</v>
      </c>
      <c r="E2879" s="14" t="s">
        <v>5717</v>
      </c>
      <c r="F2879" s="14" t="s">
        <v>5718</v>
      </c>
      <c r="G2879" s="8" t="s">
        <v>8633</v>
      </c>
      <c r="H2879" s="14" t="s">
        <v>5668</v>
      </c>
      <c r="I2879" s="14" t="s">
        <v>195</v>
      </c>
      <c r="J2879" s="14"/>
      <c r="K2879" s="14" t="s">
        <v>2856</v>
      </c>
      <c r="L2879" s="14"/>
      <c r="M2879" s="14" t="s">
        <v>5721</v>
      </c>
      <c r="N2879" s="14"/>
      <c r="O2879" s="14" t="s">
        <v>5722</v>
      </c>
      <c r="P2879" s="14" t="str">
        <f>HYPERLINK("https://ceds.ed.gov/cedselementdetails.aspx?termid=17316")</f>
        <v>https://ceds.ed.gov/cedselementdetails.aspx?termid=17316</v>
      </c>
      <c r="Q2879" s="14" t="str">
        <f>HYPERLINK("https://ceds.ed.gov/elementComment.aspx?elementName=Language Type &amp;elementID=17316", "Click here to submit comment")</f>
        <v>Click here to submit comment</v>
      </c>
      <c r="R2879" s="14">
        <v>52425</v>
      </c>
    </row>
    <row r="2880" spans="1:18" ht="75" x14ac:dyDescent="0.25">
      <c r="A2880" s="14" t="s">
        <v>8974</v>
      </c>
      <c r="B2880" s="14" t="s">
        <v>8944</v>
      </c>
      <c r="C2880" s="14"/>
      <c r="D2880" s="14" t="s">
        <v>8531</v>
      </c>
      <c r="E2880" s="14" t="s">
        <v>3079</v>
      </c>
      <c r="F2880" s="14" t="s">
        <v>3080</v>
      </c>
      <c r="G2880" s="14" t="s">
        <v>37</v>
      </c>
      <c r="H2880" s="14"/>
      <c r="I2880" s="14"/>
      <c r="J2880" s="14" t="s">
        <v>97</v>
      </c>
      <c r="K2880" s="14"/>
      <c r="L2880" s="14"/>
      <c r="M2880" s="14" t="s">
        <v>3081</v>
      </c>
      <c r="N2880" s="14"/>
      <c r="O2880" s="14" t="s">
        <v>3082</v>
      </c>
      <c r="P2880" s="14" t="str">
        <f>HYPERLINK("https://ceds.ed.gov/cedselementdetails.aspx?termid=18281")</f>
        <v>https://ceds.ed.gov/cedselementdetails.aspx?termid=18281</v>
      </c>
      <c r="Q2880" s="14" t="str">
        <f>HYPERLINK("https://ceds.ed.gov/elementComment.aspx?elementName=Course Section Number &amp;elementID=18281", "Click here to submit comment")</f>
        <v>Click here to submit comment</v>
      </c>
      <c r="R2880" s="14">
        <v>50118</v>
      </c>
    </row>
    <row r="2881" spans="1:18" ht="90" x14ac:dyDescent="0.25">
      <c r="A2881" s="14" t="s">
        <v>8974</v>
      </c>
      <c r="B2881" s="14" t="s">
        <v>8944</v>
      </c>
      <c r="C2881" s="14"/>
      <c r="D2881" s="14" t="s">
        <v>8531</v>
      </c>
      <c r="E2881" s="14" t="s">
        <v>3006</v>
      </c>
      <c r="F2881" s="14" t="s">
        <v>3007</v>
      </c>
      <c r="G2881" s="14" t="s">
        <v>37</v>
      </c>
      <c r="H2881" s="14"/>
      <c r="I2881" s="14"/>
      <c r="J2881" s="14" t="s">
        <v>97</v>
      </c>
      <c r="K2881" s="14"/>
      <c r="L2881" s="14"/>
      <c r="M2881" s="14" t="s">
        <v>3009</v>
      </c>
      <c r="N2881" s="14"/>
      <c r="O2881" s="14" t="s">
        <v>3010</v>
      </c>
      <c r="P2881" s="14" t="str">
        <f>HYPERLINK("https://ceds.ed.gov/cedselementdetails.aspx?termid=18280")</f>
        <v>https://ceds.ed.gov/cedselementdetails.aspx?termid=18280</v>
      </c>
      <c r="Q2881" s="14" t="str">
        <f>HYPERLINK("https://ceds.ed.gov/elementComment.aspx?elementName=Course Number &amp;elementID=18280", "Click here to submit comment")</f>
        <v>Click here to submit comment</v>
      </c>
      <c r="R2881" s="14">
        <v>50116</v>
      </c>
    </row>
    <row r="2882" spans="1:18" ht="45" x14ac:dyDescent="0.25">
      <c r="A2882" s="14" t="s">
        <v>8974</v>
      </c>
      <c r="B2882" s="14" t="s">
        <v>8944</v>
      </c>
      <c r="C2882" s="14"/>
      <c r="D2882" s="14" t="s">
        <v>8531</v>
      </c>
      <c r="E2882" s="14" t="s">
        <v>6628</v>
      </c>
      <c r="F2882" s="14" t="s">
        <v>6629</v>
      </c>
      <c r="G2882" s="14" t="s">
        <v>37</v>
      </c>
      <c r="H2882" s="14"/>
      <c r="I2882" s="14"/>
      <c r="J2882" s="14" t="s">
        <v>97</v>
      </c>
      <c r="K2882" s="14"/>
      <c r="L2882" s="14"/>
      <c r="M2882" s="14" t="s">
        <v>6630</v>
      </c>
      <c r="N2882" s="14"/>
      <c r="O2882" s="14" t="s">
        <v>6631</v>
      </c>
      <c r="P2882" s="14" t="str">
        <f>HYPERLINK("https://ceds.ed.gov/cedselementdetails.aspx?termid=18391")</f>
        <v>https://ceds.ed.gov/cedselementdetails.aspx?termid=18391</v>
      </c>
      <c r="Q2882" s="14" t="str">
        <f>HYPERLINK("https://ceds.ed.gov/elementComment.aspx?elementName=Override School Course Number &amp;elementID=18391", "Click here to submit comment")</f>
        <v>Click here to submit comment</v>
      </c>
      <c r="R2882" s="14">
        <v>50306</v>
      </c>
    </row>
    <row r="2883" spans="1:18" ht="105" x14ac:dyDescent="0.25">
      <c r="A2883" s="16" t="s">
        <v>8974</v>
      </c>
      <c r="B2883" s="16" t="s">
        <v>8944</v>
      </c>
      <c r="C2883" s="16"/>
      <c r="D2883" s="16" t="s">
        <v>8531</v>
      </c>
      <c r="E2883" s="16" t="s">
        <v>6582</v>
      </c>
      <c r="F2883" s="16" t="s">
        <v>6583</v>
      </c>
      <c r="G2883" s="16" t="s">
        <v>37</v>
      </c>
      <c r="H2883" s="16"/>
      <c r="I2883" s="16"/>
      <c r="J2883" s="16" t="s">
        <v>149</v>
      </c>
      <c r="K2883" s="16"/>
      <c r="L2883" s="14" t="s">
        <v>150</v>
      </c>
      <c r="M2883" s="16" t="s">
        <v>6584</v>
      </c>
      <c r="N2883" s="16"/>
      <c r="O2883" s="16" t="s">
        <v>6585</v>
      </c>
      <c r="P2883" s="16" t="str">
        <f>HYPERLINK("https://ceds.ed.gov/cedselementdetails.aspx?termid=18389")</f>
        <v>https://ceds.ed.gov/cedselementdetails.aspx?termid=18389</v>
      </c>
      <c r="Q2883" s="16" t="str">
        <f>HYPERLINK("https://ceds.ed.gov/elementComment.aspx?elementName=Original Course Identifier &amp;elementID=18389", "Click here to submit comment")</f>
        <v>Click here to submit comment</v>
      </c>
      <c r="R2883" s="16">
        <v>50302</v>
      </c>
    </row>
    <row r="2884" spans="1:18" x14ac:dyDescent="0.25">
      <c r="A2884" s="16"/>
      <c r="B2884" s="16"/>
      <c r="C2884" s="16"/>
      <c r="D2884" s="16"/>
      <c r="E2884" s="16"/>
      <c r="F2884" s="16"/>
      <c r="G2884" s="16"/>
      <c r="H2884" s="16"/>
      <c r="I2884" s="16"/>
      <c r="J2884" s="16"/>
      <c r="K2884" s="16"/>
      <c r="L2884" s="14"/>
      <c r="M2884" s="16"/>
      <c r="N2884" s="16"/>
      <c r="O2884" s="16"/>
      <c r="P2884" s="16"/>
      <c r="Q2884" s="16"/>
      <c r="R2884" s="16"/>
    </row>
    <row r="2885" spans="1:18" ht="90" x14ac:dyDescent="0.25">
      <c r="A2885" s="16"/>
      <c r="B2885" s="16"/>
      <c r="C2885" s="16"/>
      <c r="D2885" s="16"/>
      <c r="E2885" s="16"/>
      <c r="F2885" s="16"/>
      <c r="G2885" s="16"/>
      <c r="H2885" s="16"/>
      <c r="I2885" s="16"/>
      <c r="J2885" s="16"/>
      <c r="K2885" s="16"/>
      <c r="L2885" s="14" t="s">
        <v>153</v>
      </c>
      <c r="M2885" s="16"/>
      <c r="N2885" s="16"/>
      <c r="O2885" s="16"/>
      <c r="P2885" s="16"/>
      <c r="Q2885" s="16"/>
      <c r="R2885" s="16"/>
    </row>
    <row r="2886" spans="1:18" ht="409.5" x14ac:dyDescent="0.25">
      <c r="A2886" s="14" t="s">
        <v>8974</v>
      </c>
      <c r="B2886" s="14" t="s">
        <v>8944</v>
      </c>
      <c r="C2886" s="14"/>
      <c r="D2886" s="14" t="s">
        <v>8531</v>
      </c>
      <c r="E2886" s="14" t="s">
        <v>355</v>
      </c>
      <c r="F2886" s="14" t="s">
        <v>356</v>
      </c>
      <c r="G2886" s="8" t="s">
        <v>8941</v>
      </c>
      <c r="H2886" s="14"/>
      <c r="I2886" s="14"/>
      <c r="J2886" s="14" t="s">
        <v>175</v>
      </c>
      <c r="K2886" s="14"/>
      <c r="L2886" s="14"/>
      <c r="M2886" s="14" t="s">
        <v>359</v>
      </c>
      <c r="N2886" s="14" t="s">
        <v>360</v>
      </c>
      <c r="O2886" s="14" t="s">
        <v>361</v>
      </c>
      <c r="P2886" s="14" t="str">
        <f>HYPERLINK("https://ceds.ed.gov/cedselementdetails.aspx?termid=18244")</f>
        <v>https://ceds.ed.gov/cedselementdetails.aspx?termid=18244</v>
      </c>
      <c r="Q2886" s="14" t="str">
        <f>HYPERLINK("https://ceds.ed.gov/elementComment.aspx?elementName=Advanced Placement Course Code &amp;elementID=18244", "Click here to submit comment")</f>
        <v>Click here to submit comment</v>
      </c>
      <c r="R2886" s="14">
        <v>50061</v>
      </c>
    </row>
    <row r="2887" spans="1:18" ht="45" x14ac:dyDescent="0.25">
      <c r="A2887" s="14" t="s">
        <v>8974</v>
      </c>
      <c r="B2887" s="14" t="s">
        <v>8944</v>
      </c>
      <c r="C2887" s="14"/>
      <c r="D2887" s="14" t="s">
        <v>8531</v>
      </c>
      <c r="E2887" s="14" t="s">
        <v>2976</v>
      </c>
      <c r="F2887" s="14" t="s">
        <v>2977</v>
      </c>
      <c r="G2887" s="14" t="s">
        <v>37</v>
      </c>
      <c r="H2887" s="14"/>
      <c r="I2887" s="14"/>
      <c r="J2887" s="14" t="s">
        <v>175</v>
      </c>
      <c r="K2887" s="14"/>
      <c r="L2887" s="14"/>
      <c r="M2887" s="14" t="s">
        <v>2978</v>
      </c>
      <c r="N2887" s="14"/>
      <c r="O2887" s="14" t="s">
        <v>2979</v>
      </c>
      <c r="P2887" s="14" t="str">
        <f>HYPERLINK("https://ceds.ed.gov/cedselementdetails.aspx?termid=18275")</f>
        <v>https://ceds.ed.gov/cedselementdetails.aspx?termid=18275</v>
      </c>
      <c r="Q2887" s="14" t="str">
        <f>HYPERLINK("https://ceds.ed.gov/elementComment.aspx?elementName=Course Instruction Site Name &amp;elementID=18275", "Click here to submit comment")</f>
        <v>Click here to submit comment</v>
      </c>
      <c r="R2887" s="14">
        <v>50110</v>
      </c>
    </row>
    <row r="2888" spans="1:18" ht="180" x14ac:dyDescent="0.25">
      <c r="A2888" s="14" t="s">
        <v>8974</v>
      </c>
      <c r="B2888" s="14" t="s">
        <v>8944</v>
      </c>
      <c r="C2888" s="14"/>
      <c r="D2888" s="14" t="s">
        <v>8531</v>
      </c>
      <c r="E2888" s="14" t="s">
        <v>2980</v>
      </c>
      <c r="F2888" s="14" t="s">
        <v>2981</v>
      </c>
      <c r="G2888" s="8" t="s">
        <v>9070</v>
      </c>
      <c r="H2888" s="14"/>
      <c r="I2888" s="14"/>
      <c r="J2888" s="14"/>
      <c r="K2888" s="14"/>
      <c r="L2888" s="14"/>
      <c r="M2888" s="14" t="s">
        <v>2983</v>
      </c>
      <c r="N2888" s="14"/>
      <c r="O2888" s="14" t="s">
        <v>2984</v>
      </c>
      <c r="P2888" s="14" t="str">
        <f>HYPERLINK("https://ceds.ed.gov/cedselementdetails.aspx?termid=18276")</f>
        <v>https://ceds.ed.gov/cedselementdetails.aspx?termid=18276</v>
      </c>
      <c r="Q2888" s="14" t="str">
        <f>HYPERLINK("https://ceds.ed.gov/elementComment.aspx?elementName=Course Instruction Site Type &amp;elementID=18276", "Click here to submit comment")</f>
        <v>Click here to submit comment</v>
      </c>
      <c r="R2888" s="14">
        <v>50111</v>
      </c>
    </row>
    <row r="2889" spans="1:18" ht="45" x14ac:dyDescent="0.25">
      <c r="A2889" s="14" t="s">
        <v>8974</v>
      </c>
      <c r="B2889" s="14" t="s">
        <v>8944</v>
      </c>
      <c r="C2889" s="14"/>
      <c r="D2889" s="14" t="s">
        <v>8531</v>
      </c>
      <c r="E2889" s="14" t="s">
        <v>3075</v>
      </c>
      <c r="F2889" s="14" t="s">
        <v>3076</v>
      </c>
      <c r="G2889" s="14" t="s">
        <v>37</v>
      </c>
      <c r="H2889" s="14"/>
      <c r="I2889" s="14"/>
      <c r="J2889" s="14" t="s">
        <v>370</v>
      </c>
      <c r="K2889" s="14"/>
      <c r="L2889" s="14"/>
      <c r="M2889" s="14" t="s">
        <v>3077</v>
      </c>
      <c r="N2889" s="14"/>
      <c r="O2889" s="14" t="s">
        <v>3078</v>
      </c>
      <c r="P2889" s="14" t="str">
        <f>HYPERLINK("https://ceds.ed.gov/cedselementdetails.aspx?termid=18636")</f>
        <v>https://ceds.ed.gov/cedselementdetails.aspx?termid=18636</v>
      </c>
      <c r="Q2889" s="14" t="str">
        <f>HYPERLINK("https://ceds.ed.gov/elementComment.aspx?elementName=Course Section Maximum Capacity &amp;elementID=18636", "Click here to submit comment")</f>
        <v>Click here to submit comment</v>
      </c>
      <c r="R2889" s="14">
        <v>51351</v>
      </c>
    </row>
    <row r="2890" spans="1:18" ht="390" x14ac:dyDescent="0.25">
      <c r="A2890" s="14" t="s">
        <v>8974</v>
      </c>
      <c r="B2890" s="14" t="s">
        <v>8944</v>
      </c>
      <c r="C2890" s="14"/>
      <c r="D2890" s="14" t="s">
        <v>8531</v>
      </c>
      <c r="E2890" s="14" t="s">
        <v>2996</v>
      </c>
      <c r="F2890" s="14" t="s">
        <v>2997</v>
      </c>
      <c r="G2890" s="8" t="s">
        <v>8948</v>
      </c>
      <c r="H2890" s="14"/>
      <c r="I2890" s="14"/>
      <c r="J2890" s="14"/>
      <c r="K2890" s="14"/>
      <c r="L2890" s="14"/>
      <c r="M2890" s="14" t="s">
        <v>3000</v>
      </c>
      <c r="N2890" s="14"/>
      <c r="O2890" s="14" t="s">
        <v>3001</v>
      </c>
      <c r="P2890" s="14" t="str">
        <f>HYPERLINK("https://ceds.ed.gov/cedselementdetails.aspx?termid=18278")</f>
        <v>https://ceds.ed.gov/cedselementdetails.aspx?termid=18278</v>
      </c>
      <c r="Q2890" s="14" t="str">
        <f>HYPERLINK("https://ceds.ed.gov/elementComment.aspx?elementName=Course Level Type &amp;elementID=18278", "Click here to submit comment")</f>
        <v>Click here to submit comment</v>
      </c>
      <c r="R2890" s="14">
        <v>50114</v>
      </c>
    </row>
    <row r="2891" spans="1:18" ht="45" x14ac:dyDescent="0.25">
      <c r="A2891" s="14" t="s">
        <v>8974</v>
      </c>
      <c r="B2891" s="14" t="s">
        <v>8944</v>
      </c>
      <c r="C2891" s="14"/>
      <c r="D2891" s="14" t="s">
        <v>8531</v>
      </c>
      <c r="E2891" s="14" t="s">
        <v>2961</v>
      </c>
      <c r="F2891" s="14" t="s">
        <v>2962</v>
      </c>
      <c r="G2891" s="8" t="s">
        <v>9071</v>
      </c>
      <c r="H2891" s="14"/>
      <c r="I2891" s="14"/>
      <c r="J2891" s="14"/>
      <c r="K2891" s="14"/>
      <c r="L2891" s="14"/>
      <c r="M2891" s="14" t="s">
        <v>2964</v>
      </c>
      <c r="N2891" s="14"/>
      <c r="O2891" s="14" t="s">
        <v>2965</v>
      </c>
      <c r="P2891" s="14" t="str">
        <f>HYPERLINK("https://ceds.ed.gov/cedselementdetails.aspx?termid=18273")</f>
        <v>https://ceds.ed.gov/cedselementdetails.aspx?termid=18273</v>
      </c>
      <c r="Q2891" s="14" t="str">
        <f>HYPERLINK("https://ceds.ed.gov/elementComment.aspx?elementName=Course Honors Type &amp;elementID=18273", "Click here to submit comment")</f>
        <v>Click here to submit comment</v>
      </c>
      <c r="R2891" s="14">
        <v>50107</v>
      </c>
    </row>
    <row r="2892" spans="1:18" ht="409.5" x14ac:dyDescent="0.25">
      <c r="A2892" s="14" t="s">
        <v>8974</v>
      </c>
      <c r="B2892" s="14" t="s">
        <v>8944</v>
      </c>
      <c r="C2892" s="14"/>
      <c r="D2892" s="14" t="s">
        <v>8531</v>
      </c>
      <c r="E2892" s="14" t="s">
        <v>2915</v>
      </c>
      <c r="F2892" s="14" t="s">
        <v>2916</v>
      </c>
      <c r="G2892" s="8" t="s">
        <v>9072</v>
      </c>
      <c r="H2892" s="14"/>
      <c r="I2892" s="14"/>
      <c r="J2892" s="14"/>
      <c r="K2892" s="14"/>
      <c r="L2892" s="14"/>
      <c r="M2892" s="14" t="s">
        <v>2918</v>
      </c>
      <c r="N2892" s="14"/>
      <c r="O2892" s="14" t="s">
        <v>2919</v>
      </c>
      <c r="P2892" s="14" t="str">
        <f>HYPERLINK("https://ceds.ed.gov/cedselementdetails.aspx?termid=18269")</f>
        <v>https://ceds.ed.gov/cedselementdetails.aspx?termid=18269</v>
      </c>
      <c r="Q2892" s="14" t="str">
        <f>HYPERLINK("https://ceds.ed.gov/elementComment.aspx?elementName=Course Credit Basis Type &amp;elementID=18269", "Click here to submit comment")</f>
        <v>Click here to submit comment</v>
      </c>
      <c r="R2892" s="14">
        <v>50100</v>
      </c>
    </row>
    <row r="2893" spans="1:18" ht="255" x14ac:dyDescent="0.25">
      <c r="A2893" s="14" t="s">
        <v>8974</v>
      </c>
      <c r="B2893" s="14" t="s">
        <v>8944</v>
      </c>
      <c r="C2893" s="14"/>
      <c r="D2893" s="14" t="s">
        <v>8531</v>
      </c>
      <c r="E2893" s="14" t="s">
        <v>2920</v>
      </c>
      <c r="F2893" s="14" t="s">
        <v>2921</v>
      </c>
      <c r="G2893" s="8" t="s">
        <v>9073</v>
      </c>
      <c r="H2893" s="14"/>
      <c r="I2893" s="14"/>
      <c r="J2893" s="14"/>
      <c r="K2893" s="14"/>
      <c r="L2893" s="14"/>
      <c r="M2893" s="14" t="s">
        <v>2923</v>
      </c>
      <c r="N2893" s="14"/>
      <c r="O2893" s="14" t="s">
        <v>2924</v>
      </c>
      <c r="P2893" s="14" t="str">
        <f>HYPERLINK("https://ceds.ed.gov/cedselementdetails.aspx?termid=18270")</f>
        <v>https://ceds.ed.gov/cedselementdetails.aspx?termid=18270</v>
      </c>
      <c r="Q2893" s="14" t="str">
        <f>HYPERLINK("https://ceds.ed.gov/elementComment.aspx?elementName=Course Credit Level Type &amp;elementID=18270", "Click here to submit comment")</f>
        <v>Click here to submit comment</v>
      </c>
      <c r="R2893" s="14">
        <v>50101</v>
      </c>
    </row>
    <row r="2894" spans="1:18" ht="120" x14ac:dyDescent="0.25">
      <c r="A2894" s="14" t="s">
        <v>8974</v>
      </c>
      <c r="B2894" s="14" t="s">
        <v>8944</v>
      </c>
      <c r="C2894" s="14"/>
      <c r="D2894" s="14" t="s">
        <v>8531</v>
      </c>
      <c r="E2894" s="14" t="s">
        <v>2954</v>
      </c>
      <c r="F2894" s="14" t="s">
        <v>2955</v>
      </c>
      <c r="G2894" s="8" t="s">
        <v>8936</v>
      </c>
      <c r="H2894" s="14" t="s">
        <v>1713</v>
      </c>
      <c r="I2894" s="14"/>
      <c r="J2894" s="14"/>
      <c r="K2894" s="14"/>
      <c r="L2894" s="14"/>
      <c r="M2894" s="14" t="s">
        <v>2958</v>
      </c>
      <c r="N2894" s="14" t="s">
        <v>2959</v>
      </c>
      <c r="O2894" s="14" t="s">
        <v>2960</v>
      </c>
      <c r="P2894" s="14" t="str">
        <f>HYPERLINK("https://ceds.ed.gov/cedselementdetails.aspx?termid=17060")</f>
        <v>https://ceds.ed.gov/cedselementdetails.aspx?termid=17060</v>
      </c>
      <c r="Q2894" s="14" t="str">
        <f>HYPERLINK("https://ceds.ed.gov/elementComment.aspx?elementName=Course Grade Point Average Applicability &amp;elementID=17060", "Click here to submit comment")</f>
        <v>Click here to submit comment</v>
      </c>
      <c r="R2894" s="14">
        <v>50106</v>
      </c>
    </row>
    <row r="2895" spans="1:18" ht="409.5" x14ac:dyDescent="0.25">
      <c r="A2895" s="14" t="s">
        <v>8974</v>
      </c>
      <c r="B2895" s="14" t="s">
        <v>8944</v>
      </c>
      <c r="C2895" s="14"/>
      <c r="D2895" s="14" t="s">
        <v>8531</v>
      </c>
      <c r="E2895" s="14" t="s">
        <v>2971</v>
      </c>
      <c r="F2895" s="14" t="s">
        <v>2972</v>
      </c>
      <c r="G2895" s="8" t="s">
        <v>9074</v>
      </c>
      <c r="H2895" s="14"/>
      <c r="I2895" s="14"/>
      <c r="J2895" s="14"/>
      <c r="K2895" s="14"/>
      <c r="L2895" s="14"/>
      <c r="M2895" s="14" t="s">
        <v>2974</v>
      </c>
      <c r="N2895" s="14"/>
      <c r="O2895" s="14" t="s">
        <v>2975</v>
      </c>
      <c r="P2895" s="14" t="str">
        <f>HYPERLINK("https://ceds.ed.gov/cedselementdetails.aspx?termid=18274")</f>
        <v>https://ceds.ed.gov/cedselementdetails.aspx?termid=18274</v>
      </c>
      <c r="Q2895" s="14" t="str">
        <f>HYPERLINK("https://ceds.ed.gov/elementComment.aspx?elementName=Course Instruction Method &amp;elementID=18274", "Click here to submit comment")</f>
        <v>Click here to submit comment</v>
      </c>
      <c r="R2895" s="14">
        <v>50109</v>
      </c>
    </row>
    <row r="2896" spans="1:18" ht="90" x14ac:dyDescent="0.25">
      <c r="A2896" s="14" t="s">
        <v>8974</v>
      </c>
      <c r="B2896" s="14" t="s">
        <v>8944</v>
      </c>
      <c r="C2896" s="14"/>
      <c r="D2896" s="14" t="s">
        <v>8531</v>
      </c>
      <c r="E2896" s="14" t="s">
        <v>3002</v>
      </c>
      <c r="F2896" s="14" t="s">
        <v>3003</v>
      </c>
      <c r="G2896" s="14" t="s">
        <v>37</v>
      </c>
      <c r="H2896" s="14"/>
      <c r="I2896" s="14"/>
      <c r="J2896" s="14" t="s">
        <v>382</v>
      </c>
      <c r="K2896" s="14"/>
      <c r="L2896" s="14"/>
      <c r="M2896" s="14" t="s">
        <v>3004</v>
      </c>
      <c r="N2896" s="14"/>
      <c r="O2896" s="14" t="s">
        <v>3005</v>
      </c>
      <c r="P2896" s="14" t="str">
        <f>HYPERLINK("https://ceds.ed.gov/cedselementdetails.aspx?termid=18279")</f>
        <v>https://ceds.ed.gov/cedselementdetails.aspx?termid=18279</v>
      </c>
      <c r="Q2896" s="14" t="str">
        <f>HYPERLINK("https://ceds.ed.gov/elementComment.aspx?elementName=Course Narrative Explanation Grade &amp;elementID=18279", "Click here to submit comment")</f>
        <v>Click here to submit comment</v>
      </c>
      <c r="R2896" s="14">
        <v>50115</v>
      </c>
    </row>
    <row r="2897" spans="1:18" ht="210" x14ac:dyDescent="0.25">
      <c r="A2897" s="14" t="s">
        <v>8974</v>
      </c>
      <c r="B2897" s="14" t="s">
        <v>8944</v>
      </c>
      <c r="C2897" s="14"/>
      <c r="D2897" s="14" t="s">
        <v>8531</v>
      </c>
      <c r="E2897" s="14" t="s">
        <v>3019</v>
      </c>
      <c r="F2897" s="14" t="s">
        <v>3020</v>
      </c>
      <c r="G2897" s="8" t="s">
        <v>8835</v>
      </c>
      <c r="H2897" s="14" t="s">
        <v>72</v>
      </c>
      <c r="I2897" s="14"/>
      <c r="J2897" s="14"/>
      <c r="K2897" s="14"/>
      <c r="L2897" s="14"/>
      <c r="M2897" s="14" t="s">
        <v>3023</v>
      </c>
      <c r="N2897" s="14"/>
      <c r="O2897" s="14" t="s">
        <v>3024</v>
      </c>
      <c r="P2897" s="14" t="str">
        <f>HYPERLINK("https://ceds.ed.gov/cedselementdetails.aspx?termid=17065")</f>
        <v>https://ceds.ed.gov/cedselementdetails.aspx?termid=17065</v>
      </c>
      <c r="Q2897" s="14" t="str">
        <f>HYPERLINK("https://ceds.ed.gov/elementComment.aspx?elementName=Course Repeat Code &amp;elementID=17065", "Click here to submit comment")</f>
        <v>Click here to submit comment</v>
      </c>
      <c r="R2897" s="14">
        <v>50117</v>
      </c>
    </row>
    <row r="2898" spans="1:18" ht="150" x14ac:dyDescent="0.25">
      <c r="A2898" s="14" t="s">
        <v>8974</v>
      </c>
      <c r="B2898" s="14" t="s">
        <v>8944</v>
      </c>
      <c r="C2898" s="14"/>
      <c r="D2898" s="14" t="s">
        <v>8531</v>
      </c>
      <c r="E2898" s="14" t="s">
        <v>2873</v>
      </c>
      <c r="F2898" s="14" t="s">
        <v>2874</v>
      </c>
      <c r="G2898" s="14" t="s">
        <v>37</v>
      </c>
      <c r="H2898" s="14"/>
      <c r="I2898" s="14"/>
      <c r="J2898" s="14" t="s">
        <v>2876</v>
      </c>
      <c r="K2898" s="14"/>
      <c r="L2898" s="14" t="s">
        <v>2877</v>
      </c>
      <c r="M2898" s="14" t="s">
        <v>2878</v>
      </c>
      <c r="N2898" s="14"/>
      <c r="O2898" s="14" t="s">
        <v>2879</v>
      </c>
      <c r="P2898" s="14" t="str">
        <f>HYPERLINK("https://ceds.ed.gov/cedselementdetails.aspx?termid=18264")</f>
        <v>https://ceds.ed.gov/cedselementdetails.aspx?termid=18264</v>
      </c>
      <c r="Q2898" s="14" t="str">
        <f>HYPERLINK("https://ceds.ed.gov/elementComment.aspx?elementName=Course Academic Grade Scale Code &amp;elementID=18264", "Click here to submit comment")</f>
        <v>Click here to submit comment</v>
      </c>
      <c r="R2898" s="14">
        <v>50093</v>
      </c>
    </row>
    <row r="2899" spans="1:18" ht="165" x14ac:dyDescent="0.25">
      <c r="A2899" s="14" t="s">
        <v>8974</v>
      </c>
      <c r="B2899" s="14" t="s">
        <v>8944</v>
      </c>
      <c r="C2899" s="14"/>
      <c r="D2899" s="14" t="s">
        <v>8531</v>
      </c>
      <c r="E2899" s="14" t="s">
        <v>3531</v>
      </c>
      <c r="F2899" s="14" t="s">
        <v>3532</v>
      </c>
      <c r="G2899" s="8" t="s">
        <v>9030</v>
      </c>
      <c r="H2899" s="14" t="s">
        <v>3530</v>
      </c>
      <c r="I2899" s="14"/>
      <c r="J2899" s="14"/>
      <c r="K2899" s="14"/>
      <c r="L2899" s="14"/>
      <c r="M2899" s="14" t="s">
        <v>3535</v>
      </c>
      <c r="N2899" s="14"/>
      <c r="O2899" s="14" t="s">
        <v>3536</v>
      </c>
      <c r="P2899" s="14" t="str">
        <f>HYPERLINK("https://ceds.ed.gov/cedselementdetails.aspx?termid=18568")</f>
        <v>https://ceds.ed.gov/cedselementdetails.aspx?termid=18568</v>
      </c>
      <c r="Q2899" s="14" t="str">
        <f>HYPERLINK("https://ceds.ed.gov/elementComment.aspx?elementName=Developmental Education Type &amp;elementID=18568", "Click here to submit comment")</f>
        <v>Click here to submit comment</v>
      </c>
      <c r="R2899" s="14">
        <v>51058</v>
      </c>
    </row>
    <row r="2900" spans="1:18" ht="240" x14ac:dyDescent="0.25">
      <c r="A2900" s="14" t="s">
        <v>8974</v>
      </c>
      <c r="B2900" s="14" t="s">
        <v>8944</v>
      </c>
      <c r="C2900" s="14"/>
      <c r="D2900" s="14" t="s">
        <v>8531</v>
      </c>
      <c r="E2900" s="14" t="s">
        <v>8492</v>
      </c>
      <c r="F2900" s="14" t="s">
        <v>8493</v>
      </c>
      <c r="G2900" s="8" t="s">
        <v>8916</v>
      </c>
      <c r="H2900" s="14"/>
      <c r="I2900" s="14"/>
      <c r="J2900" s="14"/>
      <c r="K2900" s="14"/>
      <c r="L2900" s="14"/>
      <c r="M2900" s="14" t="s">
        <v>8496</v>
      </c>
      <c r="N2900" s="14"/>
      <c r="O2900" s="14" t="s">
        <v>8497</v>
      </c>
      <c r="P2900" s="14" t="str">
        <f>HYPERLINK("https://ceds.ed.gov/cedselementdetails.aspx?termid=18471")</f>
        <v>https://ceds.ed.gov/cedselementdetails.aspx?termid=18471</v>
      </c>
      <c r="Q2900" s="14" t="str">
        <f>HYPERLINK("https://ceds.ed.gov/elementComment.aspx?elementName=Work-based Learning Opportunity Type &amp;elementID=18471", "Click here to submit comment")</f>
        <v>Click here to submit comment</v>
      </c>
      <c r="R2900" s="14">
        <v>51033</v>
      </c>
    </row>
    <row r="2901" spans="1:18" ht="105" x14ac:dyDescent="0.25">
      <c r="A2901" s="16" t="s">
        <v>8974</v>
      </c>
      <c r="B2901" s="16" t="s">
        <v>8944</v>
      </c>
      <c r="C2901" s="16" t="s">
        <v>8949</v>
      </c>
      <c r="D2901" s="16" t="s">
        <v>8531</v>
      </c>
      <c r="E2901" s="16" t="s">
        <v>374</v>
      </c>
      <c r="F2901" s="16" t="s">
        <v>375</v>
      </c>
      <c r="G2901" s="16" t="s">
        <v>37</v>
      </c>
      <c r="H2901" s="16"/>
      <c r="I2901" s="16"/>
      <c r="J2901" s="16" t="s">
        <v>149</v>
      </c>
      <c r="K2901" s="16"/>
      <c r="L2901" s="14" t="s">
        <v>150</v>
      </c>
      <c r="M2901" s="16" t="s">
        <v>377</v>
      </c>
      <c r="N2901" s="16"/>
      <c r="O2901" s="16" t="s">
        <v>378</v>
      </c>
      <c r="P2901" s="16" t="str">
        <f>HYPERLINK("https://ceds.ed.gov/cedselementdetails.aspx?termid=18246")</f>
        <v>https://ceds.ed.gov/cedselementdetails.aspx?termid=18246</v>
      </c>
      <c r="Q2901" s="16" t="str">
        <f>HYPERLINK("https://ceds.ed.gov/elementComment.aspx?elementName=Agency Course Identifier &amp;elementID=18246", "Click here to submit comment")</f>
        <v>Click here to submit comment</v>
      </c>
      <c r="R2901" s="16">
        <v>50063</v>
      </c>
    </row>
    <row r="2902" spans="1:18" x14ac:dyDescent="0.25">
      <c r="A2902" s="16"/>
      <c r="B2902" s="16"/>
      <c r="C2902" s="16"/>
      <c r="D2902" s="16"/>
      <c r="E2902" s="16"/>
      <c r="F2902" s="16"/>
      <c r="G2902" s="16"/>
      <c r="H2902" s="16"/>
      <c r="I2902" s="16"/>
      <c r="J2902" s="16"/>
      <c r="K2902" s="16"/>
      <c r="L2902" s="14"/>
      <c r="M2902" s="16"/>
      <c r="N2902" s="16"/>
      <c r="O2902" s="16"/>
      <c r="P2902" s="16"/>
      <c r="Q2902" s="16"/>
      <c r="R2902" s="16"/>
    </row>
    <row r="2903" spans="1:18" ht="90" x14ac:dyDescent="0.25">
      <c r="A2903" s="16"/>
      <c r="B2903" s="16"/>
      <c r="C2903" s="16"/>
      <c r="D2903" s="16"/>
      <c r="E2903" s="16"/>
      <c r="F2903" s="16"/>
      <c r="G2903" s="16"/>
      <c r="H2903" s="16"/>
      <c r="I2903" s="16"/>
      <c r="J2903" s="16"/>
      <c r="K2903" s="16"/>
      <c r="L2903" s="14" t="s">
        <v>153</v>
      </c>
      <c r="M2903" s="16"/>
      <c r="N2903" s="16"/>
      <c r="O2903" s="16"/>
      <c r="P2903" s="16"/>
      <c r="Q2903" s="16"/>
      <c r="R2903" s="16"/>
    </row>
    <row r="2904" spans="1:18" ht="75" x14ac:dyDescent="0.25">
      <c r="A2904" s="14" t="s">
        <v>8974</v>
      </c>
      <c r="B2904" s="14" t="s">
        <v>8944</v>
      </c>
      <c r="C2904" s="14" t="s">
        <v>8949</v>
      </c>
      <c r="D2904" s="14" t="s">
        <v>8531</v>
      </c>
      <c r="E2904" s="14" t="s">
        <v>2365</v>
      </c>
      <c r="F2904" s="14" t="s">
        <v>2366</v>
      </c>
      <c r="G2904" s="14" t="s">
        <v>8526</v>
      </c>
      <c r="H2904" s="14" t="s">
        <v>48</v>
      </c>
      <c r="I2904" s="14"/>
      <c r="J2904" s="14"/>
      <c r="K2904" s="14"/>
      <c r="L2904" s="14"/>
      <c r="M2904" s="14" t="s">
        <v>2368</v>
      </c>
      <c r="N2904" s="14" t="s">
        <v>2369</v>
      </c>
      <c r="O2904" s="14" t="s">
        <v>2370</v>
      </c>
      <c r="P2904" s="14" t="str">
        <f>HYPERLINK("https://ceds.ed.gov/cedselementdetails.aspx?termid=17043")</f>
        <v>https://ceds.ed.gov/cedselementdetails.aspx?termid=17043</v>
      </c>
      <c r="Q2904" s="14" t="str">
        <f>HYPERLINK("https://ceds.ed.gov/elementComment.aspx?elementName=Classification of Instructional Program Code &amp;elementID=17043", "Click here to submit comment")</f>
        <v>Click here to submit comment</v>
      </c>
      <c r="R2904" s="14">
        <v>50953</v>
      </c>
    </row>
    <row r="2905" spans="1:18" ht="90" x14ac:dyDescent="0.25">
      <c r="A2905" s="14" t="s">
        <v>8974</v>
      </c>
      <c r="B2905" s="14" t="s">
        <v>8944</v>
      </c>
      <c r="C2905" s="14" t="s">
        <v>8949</v>
      </c>
      <c r="D2905" s="14" t="s">
        <v>8531</v>
      </c>
      <c r="E2905" s="14" t="s">
        <v>2378</v>
      </c>
      <c r="F2905" s="14" t="s">
        <v>2379</v>
      </c>
      <c r="G2905" s="8" t="s">
        <v>8998</v>
      </c>
      <c r="H2905" s="14" t="s">
        <v>225</v>
      </c>
      <c r="I2905" s="14"/>
      <c r="J2905" s="14"/>
      <c r="K2905" s="14"/>
      <c r="L2905" s="14"/>
      <c r="M2905" s="14" t="s">
        <v>2382</v>
      </c>
      <c r="N2905" s="14" t="s">
        <v>2383</v>
      </c>
      <c r="O2905" s="14" t="s">
        <v>2384</v>
      </c>
      <c r="P2905" s="14" t="str">
        <f>HYPERLINK("https://ceds.ed.gov/cedselementdetails.aspx?termid=17045")</f>
        <v>https://ceds.ed.gov/cedselementdetails.aspx?termid=17045</v>
      </c>
      <c r="Q2905" s="14" t="str">
        <f>HYPERLINK("https://ceds.ed.gov/elementComment.aspx?elementName=Classification of Instructional Program Version &amp;elementID=17045", "Click here to submit comment")</f>
        <v>Click here to submit comment</v>
      </c>
      <c r="R2905" s="14">
        <v>50961</v>
      </c>
    </row>
    <row r="2906" spans="1:18" ht="45" x14ac:dyDescent="0.25">
      <c r="A2906" s="14" t="s">
        <v>8974</v>
      </c>
      <c r="B2906" s="14" t="s">
        <v>8944</v>
      </c>
      <c r="C2906" s="14" t="s">
        <v>8949</v>
      </c>
      <c r="D2906" s="14" t="s">
        <v>8531</v>
      </c>
      <c r="E2906" s="14" t="s">
        <v>6383</v>
      </c>
      <c r="F2906" s="14" t="s">
        <v>6384</v>
      </c>
      <c r="G2906" s="14" t="s">
        <v>6385</v>
      </c>
      <c r="H2906" s="14"/>
      <c r="I2906" s="14"/>
      <c r="J2906" s="14"/>
      <c r="K2906" s="14"/>
      <c r="L2906" s="14"/>
      <c r="M2906" s="14" t="s">
        <v>6386</v>
      </c>
      <c r="N2906" s="14"/>
      <c r="O2906" s="14" t="s">
        <v>6387</v>
      </c>
      <c r="P2906" s="14" t="str">
        <f>HYPERLINK("https://ceds.ed.gov/cedselementdetails.aspx?termid=18383")</f>
        <v>https://ceds.ed.gov/cedselementdetails.aspx?termid=18383</v>
      </c>
      <c r="Q2906" s="14" t="str">
        <f>HYPERLINK("https://ceds.ed.gov/elementComment.aspx?elementName=NCES College Course Map Code &amp;elementID=18383", "Click here to submit comment")</f>
        <v>Click here to submit comment</v>
      </c>
      <c r="R2906" s="14">
        <v>50295</v>
      </c>
    </row>
    <row r="2907" spans="1:18" ht="60" x14ac:dyDescent="0.25">
      <c r="A2907" s="14" t="s">
        <v>8974</v>
      </c>
      <c r="B2907" s="14" t="s">
        <v>8944</v>
      </c>
      <c r="C2907" s="14" t="s">
        <v>8949</v>
      </c>
      <c r="D2907" s="14" t="s">
        <v>8531</v>
      </c>
      <c r="E2907" s="14" t="s">
        <v>3094</v>
      </c>
      <c r="F2907" s="14" t="s">
        <v>3095</v>
      </c>
      <c r="G2907" s="14" t="s">
        <v>37</v>
      </c>
      <c r="H2907" s="14" t="s">
        <v>65</v>
      </c>
      <c r="I2907" s="14"/>
      <c r="J2907" s="14" t="s">
        <v>3096</v>
      </c>
      <c r="K2907" s="14"/>
      <c r="L2907" s="14"/>
      <c r="M2907" s="14" t="s">
        <v>3097</v>
      </c>
      <c r="N2907" s="14"/>
      <c r="O2907" s="14" t="s">
        <v>3098</v>
      </c>
      <c r="P2907" s="14" t="str">
        <f>HYPERLINK("https://ceds.ed.gov/cedselementdetails.aspx?termid=17066")</f>
        <v>https://ceds.ed.gov/cedselementdetails.aspx?termid=17066</v>
      </c>
      <c r="Q2907" s="14" t="str">
        <f>HYPERLINK("https://ceds.ed.gov/elementComment.aspx?elementName=Course Subject Abbreviation &amp;elementID=17066", "Click here to submit comment")</f>
        <v>Click here to submit comment</v>
      </c>
      <c r="R2907" s="14">
        <v>48167</v>
      </c>
    </row>
    <row r="2908" spans="1:18" ht="45" x14ac:dyDescent="0.25">
      <c r="A2908" s="14" t="s">
        <v>8974</v>
      </c>
      <c r="B2908" s="14" t="s">
        <v>8944</v>
      </c>
      <c r="C2908" s="14" t="s">
        <v>8949</v>
      </c>
      <c r="D2908" s="14" t="s">
        <v>8531</v>
      </c>
      <c r="E2908" s="14" t="s">
        <v>6768</v>
      </c>
      <c r="F2908" s="14" t="s">
        <v>6769</v>
      </c>
      <c r="G2908" s="14" t="s">
        <v>37</v>
      </c>
      <c r="H2908" s="14" t="s">
        <v>65</v>
      </c>
      <c r="I2908" s="14"/>
      <c r="J2908" s="14" t="s">
        <v>175</v>
      </c>
      <c r="K2908" s="14"/>
      <c r="L2908" s="14"/>
      <c r="M2908" s="14" t="s">
        <v>6770</v>
      </c>
      <c r="N2908" s="14"/>
      <c r="O2908" s="14" t="s">
        <v>6771</v>
      </c>
      <c r="P2908" s="14" t="str">
        <f>HYPERLINK("https://ceds.ed.gov/cedselementdetails.aspx?termid=17068")</f>
        <v>https://ceds.ed.gov/cedselementdetails.aspx?termid=17068</v>
      </c>
      <c r="Q2908" s="14" t="str">
        <f>HYPERLINK("https://ceds.ed.gov/elementComment.aspx?elementName=Postsecondary Course Title &amp;elementID=17068", "Click here to submit comment")</f>
        <v>Click here to submit comment</v>
      </c>
      <c r="R2908" s="14">
        <v>48168</v>
      </c>
    </row>
    <row r="2909" spans="1:18" ht="165" x14ac:dyDescent="0.25">
      <c r="A2909" s="14" t="s">
        <v>8974</v>
      </c>
      <c r="B2909" s="14" t="s">
        <v>8944</v>
      </c>
      <c r="C2909" s="14" t="s">
        <v>8949</v>
      </c>
      <c r="D2909" s="14" t="s">
        <v>8531</v>
      </c>
      <c r="E2909" s="14" t="s">
        <v>2925</v>
      </c>
      <c r="F2909" s="14" t="s">
        <v>2926</v>
      </c>
      <c r="G2909" s="8" t="s">
        <v>8706</v>
      </c>
      <c r="H2909" s="14" t="s">
        <v>65</v>
      </c>
      <c r="I2909" s="14"/>
      <c r="J2909" s="14"/>
      <c r="K2909" s="14"/>
      <c r="L2909" s="14"/>
      <c r="M2909" s="14" t="s">
        <v>2929</v>
      </c>
      <c r="N2909" s="14"/>
      <c r="O2909" s="14" t="s">
        <v>2930</v>
      </c>
      <c r="P2909" s="14" t="str">
        <f>HYPERLINK("https://ceds.ed.gov/cedselementdetails.aspx?termid=17057")</f>
        <v>https://ceds.ed.gov/cedselementdetails.aspx?termid=17057</v>
      </c>
      <c r="Q2909" s="14" t="str">
        <f>HYPERLINK("https://ceds.ed.gov/elementComment.aspx?elementName=Course Credit Units &amp;elementID=17057", "Click here to submit comment")</f>
        <v>Click here to submit comment</v>
      </c>
      <c r="R2909" s="14">
        <v>48161</v>
      </c>
    </row>
    <row r="2910" spans="1:18" ht="105" x14ac:dyDescent="0.25">
      <c r="A2910" s="14" t="s">
        <v>8974</v>
      </c>
      <c r="B2910" s="14" t="s">
        <v>8944</v>
      </c>
      <c r="C2910" s="14" t="s">
        <v>8949</v>
      </c>
      <c r="D2910" s="14" t="s">
        <v>8531</v>
      </c>
      <c r="E2910" s="14" t="s">
        <v>3359</v>
      </c>
      <c r="F2910" s="14" t="s">
        <v>3360</v>
      </c>
      <c r="G2910" s="14" t="s">
        <v>37</v>
      </c>
      <c r="H2910" s="14" t="s">
        <v>65</v>
      </c>
      <c r="I2910" s="14"/>
      <c r="J2910" s="14" t="s">
        <v>1710</v>
      </c>
      <c r="K2910" s="14"/>
      <c r="L2910" s="14" t="s">
        <v>3362</v>
      </c>
      <c r="M2910" s="14" t="s">
        <v>3363</v>
      </c>
      <c r="N2910" s="14"/>
      <c r="O2910" s="14" t="s">
        <v>3364</v>
      </c>
      <c r="P2910" s="14" t="str">
        <f>HYPERLINK("https://ceds.ed.gov/cedselementdetails.aspx?termid=17058")</f>
        <v>https://ceds.ed.gov/cedselementdetails.aspx?termid=17058</v>
      </c>
      <c r="Q2910" s="14" t="str">
        <f>HYPERLINK("https://ceds.ed.gov/elementComment.aspx?elementName=Credit Value &amp;elementID=17058", "Click here to submit comment")</f>
        <v>Click here to submit comment</v>
      </c>
      <c r="R2910" s="14">
        <v>48162</v>
      </c>
    </row>
    <row r="2911" spans="1:18" ht="45" x14ac:dyDescent="0.25">
      <c r="A2911" s="14" t="s">
        <v>8974</v>
      </c>
      <c r="B2911" s="14" t="s">
        <v>8944</v>
      </c>
      <c r="C2911" s="14" t="s">
        <v>8949</v>
      </c>
      <c r="D2911" s="14" t="s">
        <v>8531</v>
      </c>
      <c r="E2911" s="14" t="s">
        <v>2901</v>
      </c>
      <c r="F2911" s="14" t="s">
        <v>2902</v>
      </c>
      <c r="G2911" s="14" t="s">
        <v>37</v>
      </c>
      <c r="H2911" s="14" t="s">
        <v>2232</v>
      </c>
      <c r="I2911" s="14"/>
      <c r="J2911" s="14" t="s">
        <v>135</v>
      </c>
      <c r="K2911" s="14"/>
      <c r="L2911" s="14"/>
      <c r="M2911" s="14" t="s">
        <v>2903</v>
      </c>
      <c r="N2911" s="14"/>
      <c r="O2911" s="14" t="s">
        <v>2904</v>
      </c>
      <c r="P2911" s="14" t="str">
        <f>HYPERLINK("https://ceds.ed.gov/cedselementdetails.aspx?termid=17054")</f>
        <v>https://ceds.ed.gov/cedselementdetails.aspx?termid=17054</v>
      </c>
      <c r="Q2911" s="14" t="str">
        <f>HYPERLINK("https://ceds.ed.gov/elementComment.aspx?elementName=Course Begin Date &amp;elementID=17054", "Click here to submit comment")</f>
        <v>Click here to submit comment</v>
      </c>
      <c r="R2911" s="14">
        <v>48159</v>
      </c>
    </row>
    <row r="2912" spans="1:18" ht="75" x14ac:dyDescent="0.25">
      <c r="A2912" s="14" t="s">
        <v>8974</v>
      </c>
      <c r="B2912" s="14" t="s">
        <v>8944</v>
      </c>
      <c r="C2912" s="14" t="s">
        <v>8949</v>
      </c>
      <c r="D2912" s="14" t="s">
        <v>8531</v>
      </c>
      <c r="E2912" s="14" t="s">
        <v>2945</v>
      </c>
      <c r="F2912" s="14" t="s">
        <v>2946</v>
      </c>
      <c r="G2912" s="14" t="s">
        <v>37</v>
      </c>
      <c r="H2912" s="14" t="s">
        <v>2232</v>
      </c>
      <c r="I2912" s="14"/>
      <c r="J2912" s="14" t="s">
        <v>135</v>
      </c>
      <c r="K2912" s="14"/>
      <c r="L2912" s="14" t="s">
        <v>160</v>
      </c>
      <c r="M2912" s="14" t="s">
        <v>2947</v>
      </c>
      <c r="N2912" s="14"/>
      <c r="O2912" s="14" t="s">
        <v>2948</v>
      </c>
      <c r="P2912" s="14" t="str">
        <f>HYPERLINK("https://ceds.ed.gov/cedselementdetails.aspx?termid=17059")</f>
        <v>https://ceds.ed.gov/cedselementdetails.aspx?termid=17059</v>
      </c>
      <c r="Q2912" s="14" t="str">
        <f>HYPERLINK("https://ceds.ed.gov/elementComment.aspx?elementName=Course End Date &amp;elementID=17059", "Click here to submit comment")</f>
        <v>Click here to submit comment</v>
      </c>
      <c r="R2912" s="14">
        <v>48163</v>
      </c>
    </row>
    <row r="2913" spans="1:18" ht="105" x14ac:dyDescent="0.25">
      <c r="A2913" s="16" t="s">
        <v>8974</v>
      </c>
      <c r="B2913" s="16" t="s">
        <v>8944</v>
      </c>
      <c r="C2913" s="16" t="s">
        <v>8635</v>
      </c>
      <c r="D2913" s="16" t="s">
        <v>8531</v>
      </c>
      <c r="E2913" s="16" t="s">
        <v>8072</v>
      </c>
      <c r="F2913" s="16" t="s">
        <v>8073</v>
      </c>
      <c r="G2913" s="16" t="s">
        <v>37</v>
      </c>
      <c r="H2913" s="16" t="s">
        <v>8071</v>
      </c>
      <c r="I2913" s="16"/>
      <c r="J2913" s="16" t="s">
        <v>149</v>
      </c>
      <c r="K2913" s="16"/>
      <c r="L2913" s="14" t="s">
        <v>150</v>
      </c>
      <c r="M2913" s="16" t="s">
        <v>8074</v>
      </c>
      <c r="N2913" s="16"/>
      <c r="O2913" s="16" t="s">
        <v>8075</v>
      </c>
      <c r="P2913" s="16" t="str">
        <f>HYPERLINK("https://ceds.ed.gov/cedselementdetails.aspx?termid=17157")</f>
        <v>https://ceds.ed.gov/cedselementdetails.aspx?termid=17157</v>
      </c>
      <c r="Q2913" s="16" t="str">
        <f>HYPERLINK("https://ceds.ed.gov/elementComment.aspx?elementName=Student Identifier &amp;elementID=17157", "Click here to submit comment")</f>
        <v>Click here to submit comment</v>
      </c>
      <c r="R2913" s="16">
        <v>48170</v>
      </c>
    </row>
    <row r="2914" spans="1:18" x14ac:dyDescent="0.25">
      <c r="A2914" s="16"/>
      <c r="B2914" s="16"/>
      <c r="C2914" s="16"/>
      <c r="D2914" s="16"/>
      <c r="E2914" s="16"/>
      <c r="F2914" s="16"/>
      <c r="G2914" s="16"/>
      <c r="H2914" s="16"/>
      <c r="I2914" s="16"/>
      <c r="J2914" s="16"/>
      <c r="K2914" s="16"/>
      <c r="L2914" s="14"/>
      <c r="M2914" s="16"/>
      <c r="N2914" s="16"/>
      <c r="O2914" s="16"/>
      <c r="P2914" s="16"/>
      <c r="Q2914" s="16"/>
      <c r="R2914" s="16"/>
    </row>
    <row r="2915" spans="1:18" ht="90" x14ac:dyDescent="0.25">
      <c r="A2915" s="16"/>
      <c r="B2915" s="16"/>
      <c r="C2915" s="16"/>
      <c r="D2915" s="16"/>
      <c r="E2915" s="16"/>
      <c r="F2915" s="16"/>
      <c r="G2915" s="16"/>
      <c r="H2915" s="16"/>
      <c r="I2915" s="16"/>
      <c r="J2915" s="16"/>
      <c r="K2915" s="16"/>
      <c r="L2915" s="14" t="s">
        <v>153</v>
      </c>
      <c r="M2915" s="16"/>
      <c r="N2915" s="16"/>
      <c r="O2915" s="16"/>
      <c r="P2915" s="16"/>
      <c r="Q2915" s="16"/>
      <c r="R2915" s="16"/>
    </row>
    <row r="2916" spans="1:18" ht="210" x14ac:dyDescent="0.25">
      <c r="A2916" s="14" t="s">
        <v>8974</v>
      </c>
      <c r="B2916" s="14" t="s">
        <v>8944</v>
      </c>
      <c r="C2916" s="14" t="s">
        <v>8635</v>
      </c>
      <c r="D2916" s="14" t="s">
        <v>8531</v>
      </c>
      <c r="E2916" s="14" t="s">
        <v>8065</v>
      </c>
      <c r="F2916" s="14" t="s">
        <v>8066</v>
      </c>
      <c r="G2916" s="8" t="s">
        <v>8814</v>
      </c>
      <c r="H2916" s="14" t="s">
        <v>8071</v>
      </c>
      <c r="I2916" s="14"/>
      <c r="J2916" s="14"/>
      <c r="K2916" s="14"/>
      <c r="L2916" s="14"/>
      <c r="M2916" s="14" t="s">
        <v>8069</v>
      </c>
      <c r="N2916" s="14"/>
      <c r="O2916" s="14" t="s">
        <v>8070</v>
      </c>
      <c r="P2916" s="14" t="str">
        <f>HYPERLINK("https://ceds.ed.gov/cedselementdetails.aspx?termid=17163")</f>
        <v>https://ceds.ed.gov/cedselementdetails.aspx?termid=17163</v>
      </c>
      <c r="Q2916" s="14" t="str">
        <f>HYPERLINK("https://ceds.ed.gov/elementComment.aspx?elementName=Student Identification System &amp;elementID=17163", "Click here to submit comment")</f>
        <v>Click here to submit comment</v>
      </c>
      <c r="R2916" s="14">
        <v>49025</v>
      </c>
    </row>
    <row r="2917" spans="1:18" ht="45" x14ac:dyDescent="0.25">
      <c r="A2917" s="14" t="s">
        <v>8974</v>
      </c>
      <c r="B2917" s="14" t="s">
        <v>8944</v>
      </c>
      <c r="C2917" s="14" t="s">
        <v>8635</v>
      </c>
      <c r="D2917" s="14" t="s">
        <v>8531</v>
      </c>
      <c r="E2917" s="14" t="s">
        <v>2886</v>
      </c>
      <c r="F2917" s="14" t="s">
        <v>2887</v>
      </c>
      <c r="G2917" s="14" t="s">
        <v>37</v>
      </c>
      <c r="H2917" s="14"/>
      <c r="I2917" s="14"/>
      <c r="J2917" s="14" t="s">
        <v>135</v>
      </c>
      <c r="K2917" s="14"/>
      <c r="L2917" s="14"/>
      <c r="M2917" s="14" t="s">
        <v>2888</v>
      </c>
      <c r="N2917" s="14"/>
      <c r="O2917" s="14" t="s">
        <v>2889</v>
      </c>
      <c r="P2917" s="14" t="str">
        <f>HYPERLINK("https://ceds.ed.gov/cedselementdetails.aspx?termid=18266")</f>
        <v>https://ceds.ed.gov/cedselementdetails.aspx?termid=18266</v>
      </c>
      <c r="Q2917" s="14" t="str">
        <f>HYPERLINK("https://ceds.ed.gov/elementComment.aspx?elementName=Course Add Date &amp;elementID=18266", "Click here to submit comment")</f>
        <v>Click here to submit comment</v>
      </c>
      <c r="R2917" s="14">
        <v>50095</v>
      </c>
    </row>
    <row r="2918" spans="1:18" ht="45" x14ac:dyDescent="0.25">
      <c r="A2918" s="14" t="s">
        <v>8974</v>
      </c>
      <c r="B2918" s="14" t="s">
        <v>8944</v>
      </c>
      <c r="C2918" s="14" t="s">
        <v>8635</v>
      </c>
      <c r="D2918" s="14" t="s">
        <v>8531</v>
      </c>
      <c r="E2918" s="14" t="s">
        <v>2940</v>
      </c>
      <c r="F2918" s="14" t="s">
        <v>2941</v>
      </c>
      <c r="G2918" s="14" t="s">
        <v>37</v>
      </c>
      <c r="H2918" s="14" t="s">
        <v>2944</v>
      </c>
      <c r="I2918" s="14"/>
      <c r="J2918" s="14" t="s">
        <v>135</v>
      </c>
      <c r="K2918" s="14"/>
      <c r="L2918" s="14"/>
      <c r="M2918" s="14" t="s">
        <v>2942</v>
      </c>
      <c r="N2918" s="14"/>
      <c r="O2918" s="14" t="s">
        <v>2943</v>
      </c>
      <c r="P2918" s="14" t="str">
        <f>HYPERLINK("https://ceds.ed.gov/cedselementdetails.aspx?termid=18271")</f>
        <v>https://ceds.ed.gov/cedselementdetails.aspx?termid=18271</v>
      </c>
      <c r="Q2918" s="14" t="str">
        <f>HYPERLINK("https://ceds.ed.gov/elementComment.aspx?elementName=Course Drop Date &amp;elementID=18271", "Click here to submit comment")</f>
        <v>Click here to submit comment</v>
      </c>
      <c r="R2918" s="14">
        <v>50103</v>
      </c>
    </row>
    <row r="2919" spans="1:18" ht="45" x14ac:dyDescent="0.25">
      <c r="A2919" s="14" t="s">
        <v>8974</v>
      </c>
      <c r="B2919" s="14" t="s">
        <v>8944</v>
      </c>
      <c r="C2919" s="14" t="s">
        <v>8635</v>
      </c>
      <c r="D2919" s="14" t="s">
        <v>8531</v>
      </c>
      <c r="E2919" s="14" t="s">
        <v>3011</v>
      </c>
      <c r="F2919" s="14" t="s">
        <v>3012</v>
      </c>
      <c r="G2919" s="14" t="s">
        <v>37</v>
      </c>
      <c r="H2919" s="14" t="s">
        <v>65</v>
      </c>
      <c r="I2919" s="14"/>
      <c r="J2919" s="14" t="s">
        <v>62</v>
      </c>
      <c r="K2919" s="14"/>
      <c r="L2919" s="14"/>
      <c r="M2919" s="14" t="s">
        <v>3013</v>
      </c>
      <c r="N2919" s="14"/>
      <c r="O2919" s="14" t="s">
        <v>3014</v>
      </c>
      <c r="P2919" s="14" t="str">
        <f>HYPERLINK("https://ceds.ed.gov/cedselementdetails.aspx?termid=17063")</f>
        <v>https://ceds.ed.gov/cedselementdetails.aspx?termid=17063</v>
      </c>
      <c r="Q2919" s="14" t="str">
        <f>HYPERLINK("https://ceds.ed.gov/elementComment.aspx?elementName=Course Override School &amp;elementID=17063", "Click here to submit comment")</f>
        <v>Click here to submit comment</v>
      </c>
      <c r="R2919" s="14">
        <v>48165</v>
      </c>
    </row>
    <row r="2920" spans="1:18" ht="45" x14ac:dyDescent="0.25">
      <c r="A2920" s="14" t="s">
        <v>8974</v>
      </c>
      <c r="B2920" s="14" t="s">
        <v>8944</v>
      </c>
      <c r="C2920" s="14" t="s">
        <v>8635</v>
      </c>
      <c r="D2920" s="14" t="s">
        <v>8531</v>
      </c>
      <c r="E2920" s="14" t="s">
        <v>3465</v>
      </c>
      <c r="F2920" s="14" t="s">
        <v>3466</v>
      </c>
      <c r="G2920" s="14" t="s">
        <v>24</v>
      </c>
      <c r="H2920" s="14" t="s">
        <v>65</v>
      </c>
      <c r="I2920" s="14"/>
      <c r="J2920" s="14"/>
      <c r="K2920" s="14"/>
      <c r="L2920" s="14"/>
      <c r="M2920" s="14" t="s">
        <v>3467</v>
      </c>
      <c r="N2920" s="14"/>
      <c r="O2920" s="14" t="s">
        <v>3468</v>
      </c>
      <c r="P2920" s="14" t="str">
        <f>HYPERLINK("https://ceds.ed.gov/cedselementdetails.aspx?termid=17077")</f>
        <v>https://ceds.ed.gov/cedselementdetails.aspx?termid=17077</v>
      </c>
      <c r="Q2920" s="14" t="str">
        <f>HYPERLINK("https://ceds.ed.gov/elementComment.aspx?elementName=Degree Applicability &amp;elementID=17077", "Click here to submit comment")</f>
        <v>Click here to submit comment</v>
      </c>
      <c r="R2920" s="14">
        <v>48169</v>
      </c>
    </row>
    <row r="2921" spans="1:18" ht="45" x14ac:dyDescent="0.25">
      <c r="A2921" s="14" t="s">
        <v>8974</v>
      </c>
      <c r="B2921" s="14" t="s">
        <v>8944</v>
      </c>
      <c r="C2921" s="14" t="s">
        <v>8635</v>
      </c>
      <c r="D2921" s="14" t="s">
        <v>8531</v>
      </c>
      <c r="E2921" s="14" t="s">
        <v>2867</v>
      </c>
      <c r="F2921" s="14" t="s">
        <v>2868</v>
      </c>
      <c r="G2921" s="14" t="s">
        <v>37</v>
      </c>
      <c r="H2921" s="14" t="s">
        <v>2232</v>
      </c>
      <c r="I2921" s="14"/>
      <c r="J2921" s="14" t="s">
        <v>2870</v>
      </c>
      <c r="K2921" s="14"/>
      <c r="L2921" s="14"/>
      <c r="M2921" s="14" t="s">
        <v>2871</v>
      </c>
      <c r="N2921" s="14"/>
      <c r="O2921" s="14" t="s">
        <v>2872</v>
      </c>
      <c r="P2921" s="14" t="str">
        <f>HYPERLINK("https://ceds.ed.gov/cedselementdetails.aspx?termid=17053")</f>
        <v>https://ceds.ed.gov/cedselementdetails.aspx?termid=17053</v>
      </c>
      <c r="Q2921" s="14" t="str">
        <f>HYPERLINK("https://ceds.ed.gov/elementComment.aspx?elementName=Course Academic Grade &amp;elementID=17053", "Click here to submit comment")</f>
        <v>Click here to submit comment</v>
      </c>
      <c r="R2921" s="14">
        <v>48158</v>
      </c>
    </row>
    <row r="2922" spans="1:18" ht="120" x14ac:dyDescent="0.25">
      <c r="A2922" s="14" t="s">
        <v>8974</v>
      </c>
      <c r="B2922" s="14" t="s">
        <v>8944</v>
      </c>
      <c r="C2922" s="14" t="s">
        <v>8635</v>
      </c>
      <c r="D2922" s="14" t="s">
        <v>8531</v>
      </c>
      <c r="E2922" s="14" t="s">
        <v>6436</v>
      </c>
      <c r="F2922" s="14" t="s">
        <v>6437</v>
      </c>
      <c r="G2922" s="14" t="s">
        <v>37</v>
      </c>
      <c r="H2922" s="14" t="s">
        <v>6137</v>
      </c>
      <c r="I2922" s="14"/>
      <c r="J2922" s="14" t="s">
        <v>1710</v>
      </c>
      <c r="K2922" s="14"/>
      <c r="L2922" s="14"/>
      <c r="M2922" s="14" t="s">
        <v>6439</v>
      </c>
      <c r="N2922" s="14"/>
      <c r="O2922" s="14" t="s">
        <v>6440</v>
      </c>
      <c r="P2922" s="14" t="str">
        <f>HYPERLINK("https://ceds.ed.gov/cedselementdetails.aspx?termid=17200")</f>
        <v>https://ceds.ed.gov/cedselementdetails.aspx?termid=17200</v>
      </c>
      <c r="Q2922" s="14" t="str">
        <f>HYPERLINK("https://ceds.ed.gov/elementComment.aspx?elementName=Number of Credits Earned &amp;elementID=17200", "Click here to submit comment")</f>
        <v>Click here to submit comment</v>
      </c>
      <c r="R2922" s="14">
        <v>48171</v>
      </c>
    </row>
    <row r="2923" spans="1:18" ht="60" x14ac:dyDescent="0.25">
      <c r="A2923" s="14" t="s">
        <v>8974</v>
      </c>
      <c r="B2923" s="14" t="s">
        <v>8944</v>
      </c>
      <c r="C2923" s="14" t="s">
        <v>8635</v>
      </c>
      <c r="D2923" s="14" t="s">
        <v>8531</v>
      </c>
      <c r="E2923" s="14" t="s">
        <v>3015</v>
      </c>
      <c r="F2923" s="14" t="s">
        <v>3016</v>
      </c>
      <c r="G2923" s="14" t="s">
        <v>37</v>
      </c>
      <c r="H2923" s="14" t="s">
        <v>65</v>
      </c>
      <c r="I2923" s="14"/>
      <c r="J2923" s="14" t="s">
        <v>1710</v>
      </c>
      <c r="K2923" s="14"/>
      <c r="L2923" s="14"/>
      <c r="M2923" s="14" t="s">
        <v>3017</v>
      </c>
      <c r="N2923" s="14"/>
      <c r="O2923" s="14" t="s">
        <v>3018</v>
      </c>
      <c r="P2923" s="14" t="str">
        <f>HYPERLINK("https://ceds.ed.gov/cedselementdetails.aspx?termid=17064")</f>
        <v>https://ceds.ed.gov/cedselementdetails.aspx?termid=17064</v>
      </c>
      <c r="Q2923" s="14" t="str">
        <f>HYPERLINK("https://ceds.ed.gov/elementComment.aspx?elementName=Course Quality Points Earned &amp;elementID=17064", "Click here to submit comment")</f>
        <v>Click here to submit comment</v>
      </c>
      <c r="R2923" s="14">
        <v>48166</v>
      </c>
    </row>
    <row r="2924" spans="1:18" ht="90" x14ac:dyDescent="0.25">
      <c r="A2924" s="14" t="s">
        <v>8974</v>
      </c>
      <c r="B2924" s="14" t="s">
        <v>8944</v>
      </c>
      <c r="C2924" s="14" t="s">
        <v>8635</v>
      </c>
      <c r="D2924" s="14" t="s">
        <v>8531</v>
      </c>
      <c r="E2924" s="14" t="s">
        <v>8046</v>
      </c>
      <c r="F2924" s="14" t="s">
        <v>8047</v>
      </c>
      <c r="G2924" s="14" t="s">
        <v>37</v>
      </c>
      <c r="H2924" s="14" t="s">
        <v>72</v>
      </c>
      <c r="I2924" s="14"/>
      <c r="J2924" s="14" t="s">
        <v>2870</v>
      </c>
      <c r="K2924" s="14"/>
      <c r="L2924" s="14"/>
      <c r="M2924" s="14" t="s">
        <v>8049</v>
      </c>
      <c r="N2924" s="14"/>
      <c r="O2924" s="14" t="s">
        <v>8050</v>
      </c>
      <c r="P2924" s="14" t="str">
        <f>HYPERLINK("https://ceds.ed.gov/cedselementdetails.aspx?termid=17124")</f>
        <v>https://ceds.ed.gov/cedselementdetails.aspx?termid=17124</v>
      </c>
      <c r="Q2924" s="14" t="str">
        <f>HYPERLINK("https://ceds.ed.gov/elementComment.aspx?elementName=Student Course Section Grade Earned &amp;elementID=17124", "Click here to submit comment")</f>
        <v>Click here to submit comment</v>
      </c>
      <c r="R2924" s="14">
        <v>50923</v>
      </c>
    </row>
    <row r="2925" spans="1:18" ht="45" x14ac:dyDescent="0.25">
      <c r="A2925" s="14" t="s">
        <v>8974</v>
      </c>
      <c r="B2925" s="14" t="s">
        <v>8944</v>
      </c>
      <c r="C2925" s="14" t="s">
        <v>8635</v>
      </c>
      <c r="D2925" s="14" t="s">
        <v>8531</v>
      </c>
      <c r="E2925" s="14" t="s">
        <v>8051</v>
      </c>
      <c r="F2925" s="14" t="s">
        <v>8052</v>
      </c>
      <c r="G2925" s="14" t="s">
        <v>37</v>
      </c>
      <c r="H2925" s="14"/>
      <c r="I2925" s="14"/>
      <c r="J2925" s="14" t="s">
        <v>129</v>
      </c>
      <c r="K2925" s="14"/>
      <c r="L2925" s="14"/>
      <c r="M2925" s="14" t="s">
        <v>8054</v>
      </c>
      <c r="N2925" s="14"/>
      <c r="O2925" s="14" t="s">
        <v>8055</v>
      </c>
      <c r="P2925" s="14" t="str">
        <f>HYPERLINK("https://ceds.ed.gov/cedselementdetails.aspx?termid=18552")</f>
        <v>https://ceds.ed.gov/cedselementdetails.aspx?termid=18552</v>
      </c>
      <c r="Q2925" s="14" t="str">
        <f>HYPERLINK("https://ceds.ed.gov/elementComment.aspx?elementName=Student Course Section Grade Narrative &amp;elementID=18552", "Click here to submit comment")</f>
        <v>Click here to submit comment</v>
      </c>
      <c r="R2925" s="14">
        <v>50926</v>
      </c>
    </row>
    <row r="2926" spans="1:18" ht="90" x14ac:dyDescent="0.25">
      <c r="A2926" s="14" t="s">
        <v>8974</v>
      </c>
      <c r="B2926" s="14" t="s">
        <v>8944</v>
      </c>
      <c r="C2926" s="14" t="s">
        <v>8954</v>
      </c>
      <c r="D2926" s="14" t="s">
        <v>8531</v>
      </c>
      <c r="E2926" s="14" t="s">
        <v>6186</v>
      </c>
      <c r="F2926" s="14" t="s">
        <v>6187</v>
      </c>
      <c r="G2926" s="14" t="s">
        <v>37</v>
      </c>
      <c r="H2926" s="14" t="s">
        <v>72</v>
      </c>
      <c r="I2926" s="14"/>
      <c r="J2926" s="14" t="s">
        <v>97</v>
      </c>
      <c r="K2926" s="14"/>
      <c r="L2926" s="14"/>
      <c r="M2926" s="14" t="s">
        <v>6189</v>
      </c>
      <c r="N2926" s="14"/>
      <c r="O2926" s="14" t="s">
        <v>6190</v>
      </c>
      <c r="P2926" s="14" t="str">
        <f>HYPERLINK("https://ceds.ed.gov/cedselementdetails.aspx?termid=17182")</f>
        <v>https://ceds.ed.gov/cedselementdetails.aspx?termid=17182</v>
      </c>
      <c r="Q2926" s="14" t="str">
        <f>HYPERLINK("https://ceds.ed.gov/elementComment.aspx?elementName=Marking Period Name &amp;elementID=17182", "Click here to submit comment")</f>
        <v>Click here to submit comment</v>
      </c>
      <c r="R2926" s="14">
        <v>51462</v>
      </c>
    </row>
    <row r="2927" spans="1:18" ht="45" x14ac:dyDescent="0.25">
      <c r="A2927" s="14" t="s">
        <v>8974</v>
      </c>
      <c r="B2927" s="14" t="s">
        <v>8944</v>
      </c>
      <c r="C2927" s="14" t="s">
        <v>8954</v>
      </c>
      <c r="D2927" s="14" t="s">
        <v>8531</v>
      </c>
      <c r="E2927" s="14" t="s">
        <v>8056</v>
      </c>
      <c r="F2927" s="14" t="s">
        <v>8057</v>
      </c>
      <c r="G2927" s="14" t="s">
        <v>24</v>
      </c>
      <c r="H2927" s="14"/>
      <c r="I2927" s="14"/>
      <c r="J2927" s="14"/>
      <c r="K2927" s="14"/>
      <c r="L2927" s="14"/>
      <c r="M2927" s="14" t="s">
        <v>8058</v>
      </c>
      <c r="N2927" s="14"/>
      <c r="O2927" s="14" t="s">
        <v>8059</v>
      </c>
      <c r="P2927" s="14" t="str">
        <f>HYPERLINK("https://ceds.ed.gov/cedselementdetails.aspx?termid=18191")</f>
        <v>https://ceds.ed.gov/cedselementdetails.aspx?termid=18191</v>
      </c>
      <c r="Q2927" s="14" t="str">
        <f>HYPERLINK("https://ceds.ed.gov/elementComment.aspx?elementName=Student Course Section Mark Final Indicator &amp;elementID=18191", "Click here to submit comment")</f>
        <v>Click here to submit comment</v>
      </c>
      <c r="R2927" s="14">
        <v>51463</v>
      </c>
    </row>
    <row r="2928" spans="1:18" ht="90" x14ac:dyDescent="0.25">
      <c r="A2928" s="14" t="s">
        <v>8974</v>
      </c>
      <c r="B2928" s="14" t="s">
        <v>8944</v>
      </c>
      <c r="C2928" s="14" t="s">
        <v>8954</v>
      </c>
      <c r="D2928" s="14" t="s">
        <v>8531</v>
      </c>
      <c r="E2928" s="14" t="s">
        <v>6219</v>
      </c>
      <c r="F2928" s="14" t="s">
        <v>6220</v>
      </c>
      <c r="G2928" s="14" t="s">
        <v>37</v>
      </c>
      <c r="H2928" s="14" t="s">
        <v>72</v>
      </c>
      <c r="I2928" s="14"/>
      <c r="J2928" s="14" t="s">
        <v>2870</v>
      </c>
      <c r="K2928" s="14"/>
      <c r="L2928" s="14"/>
      <c r="M2928" s="14" t="s">
        <v>6221</v>
      </c>
      <c r="N2928" s="14"/>
      <c r="O2928" s="14" t="s">
        <v>6222</v>
      </c>
      <c r="P2928" s="14" t="str">
        <f>HYPERLINK("https://ceds.ed.gov/cedselementdetails.aspx?termid=17183")</f>
        <v>https://ceds.ed.gov/cedselementdetails.aspx?termid=17183</v>
      </c>
      <c r="Q2928" s="14" t="str">
        <f>HYPERLINK("https://ceds.ed.gov/elementComment.aspx?elementName=Mid Term Mark &amp;elementID=17183", "Click here to submit comment")</f>
        <v>Click here to submit comment</v>
      </c>
      <c r="R2928" s="14">
        <v>51465</v>
      </c>
    </row>
    <row r="2929" spans="1:18" ht="90" x14ac:dyDescent="0.25">
      <c r="A2929" s="14" t="s">
        <v>8974</v>
      </c>
      <c r="B2929" s="14" t="s">
        <v>8944</v>
      </c>
      <c r="C2929" s="14" t="s">
        <v>8954</v>
      </c>
      <c r="D2929" s="14" t="s">
        <v>8531</v>
      </c>
      <c r="E2929" s="14" t="s">
        <v>8046</v>
      </c>
      <c r="F2929" s="14" t="s">
        <v>8047</v>
      </c>
      <c r="G2929" s="14" t="s">
        <v>37</v>
      </c>
      <c r="H2929" s="14" t="s">
        <v>72</v>
      </c>
      <c r="I2929" s="14"/>
      <c r="J2929" s="14" t="s">
        <v>2870</v>
      </c>
      <c r="K2929" s="14"/>
      <c r="L2929" s="14"/>
      <c r="M2929" s="14" t="s">
        <v>8049</v>
      </c>
      <c r="N2929" s="14"/>
      <c r="O2929" s="14" t="s">
        <v>8050</v>
      </c>
      <c r="P2929" s="14" t="str">
        <f>HYPERLINK("https://ceds.ed.gov/cedselementdetails.aspx?termid=17124")</f>
        <v>https://ceds.ed.gov/cedselementdetails.aspx?termid=17124</v>
      </c>
      <c r="Q2929" s="14" t="str">
        <f>HYPERLINK("https://ceds.ed.gov/elementComment.aspx?elementName=Student Course Section Grade Earned &amp;elementID=17124", "Click here to submit comment")</f>
        <v>Click here to submit comment</v>
      </c>
      <c r="R2929" s="14">
        <v>51464</v>
      </c>
    </row>
    <row r="2930" spans="1:18" ht="135" x14ac:dyDescent="0.25">
      <c r="A2930" s="14" t="s">
        <v>8974</v>
      </c>
      <c r="B2930" s="14" t="s">
        <v>8944</v>
      </c>
      <c r="C2930" s="14" t="s">
        <v>8954</v>
      </c>
      <c r="D2930" s="14" t="s">
        <v>8531</v>
      </c>
      <c r="E2930" s="14" t="s">
        <v>4878</v>
      </c>
      <c r="F2930" s="14" t="s">
        <v>4879</v>
      </c>
      <c r="G2930" s="14" t="s">
        <v>37</v>
      </c>
      <c r="H2930" s="14"/>
      <c r="I2930" s="14"/>
      <c r="J2930" s="14" t="s">
        <v>874</v>
      </c>
      <c r="K2930" s="14"/>
      <c r="L2930" s="14" t="s">
        <v>4881</v>
      </c>
      <c r="M2930" s="14" t="s">
        <v>4882</v>
      </c>
      <c r="N2930" s="14"/>
      <c r="O2930" s="14" t="s">
        <v>4883</v>
      </c>
      <c r="P2930" s="14" t="str">
        <f>HYPERLINK("https://ceds.ed.gov/cedselementdetails.aspx?termid=17609")</f>
        <v>https://ceds.ed.gov/cedselementdetails.aspx?termid=17609</v>
      </c>
      <c r="Q2930" s="14" t="str">
        <f>HYPERLINK("https://ceds.ed.gov/elementComment.aspx?elementName=Grade Value Qualifier &amp;elementID=17609", "Click here to submit comment")</f>
        <v>Click here to submit comment</v>
      </c>
      <c r="R2930" s="14">
        <v>51466</v>
      </c>
    </row>
    <row r="2931" spans="1:18" ht="285" x14ac:dyDescent="0.25">
      <c r="A2931" s="14" t="s">
        <v>8974</v>
      </c>
      <c r="B2931" s="14" t="s">
        <v>8944</v>
      </c>
      <c r="C2931" s="14" t="s">
        <v>8954</v>
      </c>
      <c r="D2931" s="14" t="s">
        <v>8531</v>
      </c>
      <c r="E2931" s="14" t="s">
        <v>2880</v>
      </c>
      <c r="F2931" s="14" t="s">
        <v>2881</v>
      </c>
      <c r="G2931" s="8" t="s">
        <v>9075</v>
      </c>
      <c r="H2931" s="14"/>
      <c r="I2931" s="14"/>
      <c r="J2931" s="14"/>
      <c r="K2931" s="14"/>
      <c r="L2931" s="14"/>
      <c r="M2931" s="14" t="s">
        <v>2884</v>
      </c>
      <c r="N2931" s="14"/>
      <c r="O2931" s="14" t="s">
        <v>2885</v>
      </c>
      <c r="P2931" s="14" t="str">
        <f>HYPERLINK("https://ceds.ed.gov/cedselementdetails.aspx?termid=18265")</f>
        <v>https://ceds.ed.gov/cedselementdetails.aspx?termid=18265</v>
      </c>
      <c r="Q2931" s="14" t="str">
        <f>HYPERLINK("https://ceds.ed.gov/elementComment.aspx?elementName=Course Academic Grade Status Code &amp;elementID=18265", "Click here to submit comment")</f>
        <v>Click here to submit comment</v>
      </c>
      <c r="R2931" s="14">
        <v>50094</v>
      </c>
    </row>
    <row r="2932" spans="1:18" ht="105" x14ac:dyDescent="0.25">
      <c r="A2932" s="16" t="s">
        <v>8974</v>
      </c>
      <c r="B2932" s="16" t="s">
        <v>8944</v>
      </c>
      <c r="C2932" s="16" t="s">
        <v>8955</v>
      </c>
      <c r="D2932" s="16" t="s">
        <v>8531</v>
      </c>
      <c r="E2932" s="16" t="s">
        <v>7927</v>
      </c>
      <c r="F2932" s="16" t="s">
        <v>7928</v>
      </c>
      <c r="G2932" s="16" t="s">
        <v>37</v>
      </c>
      <c r="H2932" s="16" t="s">
        <v>7931</v>
      </c>
      <c r="I2932" s="16"/>
      <c r="J2932" s="16" t="s">
        <v>149</v>
      </c>
      <c r="K2932" s="16"/>
      <c r="L2932" s="14" t="s">
        <v>150</v>
      </c>
      <c r="M2932" s="16" t="s">
        <v>7929</v>
      </c>
      <c r="N2932" s="16"/>
      <c r="O2932" s="16" t="s">
        <v>7930</v>
      </c>
      <c r="P2932" s="16" t="str">
        <f>HYPERLINK("https://ceds.ed.gov/cedselementdetails.aspx?termid=17156")</f>
        <v>https://ceds.ed.gov/cedselementdetails.aspx?termid=17156</v>
      </c>
      <c r="Q2932" s="16" t="str">
        <f>HYPERLINK("https://ceds.ed.gov/elementComment.aspx?elementName=Staff Member Identifier &amp;elementID=17156", "Click here to submit comment")</f>
        <v>Click here to submit comment</v>
      </c>
      <c r="R2932" s="16">
        <v>50464</v>
      </c>
    </row>
    <row r="2933" spans="1:18" x14ac:dyDescent="0.25">
      <c r="A2933" s="16"/>
      <c r="B2933" s="16"/>
      <c r="C2933" s="16"/>
      <c r="D2933" s="16"/>
      <c r="E2933" s="16"/>
      <c r="F2933" s="16"/>
      <c r="G2933" s="16"/>
      <c r="H2933" s="16"/>
      <c r="I2933" s="16"/>
      <c r="J2933" s="16"/>
      <c r="K2933" s="16"/>
      <c r="L2933" s="14"/>
      <c r="M2933" s="16"/>
      <c r="N2933" s="16"/>
      <c r="O2933" s="16"/>
      <c r="P2933" s="16"/>
      <c r="Q2933" s="16"/>
      <c r="R2933" s="16"/>
    </row>
    <row r="2934" spans="1:18" ht="90" x14ac:dyDescent="0.25">
      <c r="A2934" s="16"/>
      <c r="B2934" s="16"/>
      <c r="C2934" s="16"/>
      <c r="D2934" s="16"/>
      <c r="E2934" s="16"/>
      <c r="F2934" s="16"/>
      <c r="G2934" s="16"/>
      <c r="H2934" s="16"/>
      <c r="I2934" s="16"/>
      <c r="J2934" s="16"/>
      <c r="K2934" s="16"/>
      <c r="L2934" s="14" t="s">
        <v>153</v>
      </c>
      <c r="M2934" s="16"/>
      <c r="N2934" s="16"/>
      <c r="O2934" s="16"/>
      <c r="P2934" s="16"/>
      <c r="Q2934" s="16"/>
      <c r="R2934" s="16"/>
    </row>
    <row r="2935" spans="1:18" ht="345" x14ac:dyDescent="0.25">
      <c r="A2935" s="14" t="s">
        <v>8974</v>
      </c>
      <c r="B2935" s="14" t="s">
        <v>8944</v>
      </c>
      <c r="C2935" s="14" t="s">
        <v>8955</v>
      </c>
      <c r="D2935" s="14" t="s">
        <v>8531</v>
      </c>
      <c r="E2935" s="14" t="s">
        <v>7920</v>
      </c>
      <c r="F2935" s="14" t="s">
        <v>7921</v>
      </c>
      <c r="G2935" s="8" t="s">
        <v>8687</v>
      </c>
      <c r="H2935" s="14" t="s">
        <v>7926</v>
      </c>
      <c r="I2935" s="14"/>
      <c r="J2935" s="14"/>
      <c r="K2935" s="14"/>
      <c r="L2935" s="14"/>
      <c r="M2935" s="14" t="s">
        <v>7924</v>
      </c>
      <c r="N2935" s="14"/>
      <c r="O2935" s="14" t="s">
        <v>7925</v>
      </c>
      <c r="P2935" s="14" t="str">
        <f>HYPERLINK("https://ceds.ed.gov/cedselementdetails.aspx?termid=17162")</f>
        <v>https://ceds.ed.gov/cedselementdetails.aspx?termid=17162</v>
      </c>
      <c r="Q2935" s="14" t="str">
        <f>HYPERLINK("https://ceds.ed.gov/elementComment.aspx?elementName=Staff Member Identification System &amp;elementID=17162", "Click here to submit comment")</f>
        <v>Click here to submit comment</v>
      </c>
      <c r="R2935" s="14">
        <v>50463</v>
      </c>
    </row>
    <row r="2936" spans="1:18" ht="45" x14ac:dyDescent="0.25">
      <c r="A2936" s="14" t="s">
        <v>8974</v>
      </c>
      <c r="B2936" s="14" t="s">
        <v>8944</v>
      </c>
      <c r="C2936" s="14" t="s">
        <v>8955</v>
      </c>
      <c r="D2936" s="14" t="s">
        <v>8531</v>
      </c>
      <c r="E2936" s="14" t="s">
        <v>1626</v>
      </c>
      <c r="F2936" s="14" t="s">
        <v>1627</v>
      </c>
      <c r="G2936" s="14" t="s">
        <v>37</v>
      </c>
      <c r="H2936" s="14"/>
      <c r="I2936" s="14"/>
      <c r="J2936" s="14" t="s">
        <v>135</v>
      </c>
      <c r="K2936" s="14"/>
      <c r="L2936" s="14"/>
      <c r="M2936" s="14" t="s">
        <v>1628</v>
      </c>
      <c r="N2936" s="14"/>
      <c r="O2936" s="14" t="s">
        <v>1629</v>
      </c>
      <c r="P2936" s="14" t="str">
        <f>HYPERLINK("https://ceds.ed.gov/cedselementdetails.aspx?termid=17517")</f>
        <v>https://ceds.ed.gov/cedselementdetails.aspx?termid=17517</v>
      </c>
      <c r="Q2936" s="14" t="str">
        <f>HYPERLINK("https://ceds.ed.gov/elementComment.aspx?elementName=Assignment Start Date &amp;elementID=17517", "Click here to submit comment")</f>
        <v>Click here to submit comment</v>
      </c>
      <c r="R2936" s="14">
        <v>51487</v>
      </c>
    </row>
    <row r="2937" spans="1:18" ht="75" x14ac:dyDescent="0.25">
      <c r="A2937" s="14" t="s">
        <v>8974</v>
      </c>
      <c r="B2937" s="14" t="s">
        <v>8944</v>
      </c>
      <c r="C2937" s="14" t="s">
        <v>8955</v>
      </c>
      <c r="D2937" s="14" t="s">
        <v>8531</v>
      </c>
      <c r="E2937" s="14" t="s">
        <v>1621</v>
      </c>
      <c r="F2937" s="14" t="s">
        <v>1622</v>
      </c>
      <c r="G2937" s="14" t="s">
        <v>37</v>
      </c>
      <c r="H2937" s="14"/>
      <c r="I2937" s="14"/>
      <c r="J2937" s="14" t="s">
        <v>135</v>
      </c>
      <c r="K2937" s="14"/>
      <c r="L2937" s="14" t="s">
        <v>160</v>
      </c>
      <c r="M2937" s="14" t="s">
        <v>1624</v>
      </c>
      <c r="N2937" s="14"/>
      <c r="O2937" s="14" t="s">
        <v>1625</v>
      </c>
      <c r="P2937" s="14" t="str">
        <f>HYPERLINK("https://ceds.ed.gov/cedselementdetails.aspx?termid=17518")</f>
        <v>https://ceds.ed.gov/cedselementdetails.aspx?termid=17518</v>
      </c>
      <c r="Q2937" s="14" t="str">
        <f>HYPERLINK("https://ceds.ed.gov/elementComment.aspx?elementName=Assignment End Date &amp;elementID=17518", "Click here to submit comment")</f>
        <v>Click here to submit comment</v>
      </c>
      <c r="R2937" s="14">
        <v>51488</v>
      </c>
    </row>
    <row r="2938" spans="1:18" ht="195" x14ac:dyDescent="0.25">
      <c r="A2938" s="14" t="s">
        <v>9076</v>
      </c>
      <c r="B2938" s="14" t="s">
        <v>9077</v>
      </c>
      <c r="C2938" s="14" t="s">
        <v>8597</v>
      </c>
      <c r="D2938" s="14" t="s">
        <v>8531</v>
      </c>
      <c r="E2938" s="14" t="s">
        <v>4667</v>
      </c>
      <c r="F2938" s="14" t="s">
        <v>4668</v>
      </c>
      <c r="G2938" s="14" t="s">
        <v>37</v>
      </c>
      <c r="H2938" s="14" t="s">
        <v>4673</v>
      </c>
      <c r="I2938" s="14"/>
      <c r="J2938" s="14" t="s">
        <v>1468</v>
      </c>
      <c r="K2938" s="14"/>
      <c r="L2938" s="14" t="s">
        <v>4670</v>
      </c>
      <c r="M2938" s="14" t="s">
        <v>4671</v>
      </c>
      <c r="N2938" s="14"/>
      <c r="O2938" s="14" t="s">
        <v>4672</v>
      </c>
      <c r="P2938" s="14" t="str">
        <f>HYPERLINK("https://ceds.ed.gov/cedselementdetails.aspx?termid=17115")</f>
        <v>https://ceds.ed.gov/cedselementdetails.aspx?termid=17115</v>
      </c>
      <c r="Q2938" s="14" t="str">
        <f>HYPERLINK("https://ceds.ed.gov/elementComment.aspx?elementName=First Name &amp;elementID=17115", "Click here to submit comment")</f>
        <v>Click here to submit comment</v>
      </c>
      <c r="R2938" s="14">
        <v>49857</v>
      </c>
    </row>
    <row r="2939" spans="1:18" x14ac:dyDescent="0.25">
      <c r="A2939" s="16" t="s">
        <v>9076</v>
      </c>
      <c r="B2939" s="16" t="s">
        <v>9077</v>
      </c>
      <c r="C2939" s="16" t="s">
        <v>8597</v>
      </c>
      <c r="D2939" s="16" t="s">
        <v>8531</v>
      </c>
      <c r="E2939" s="16" t="s">
        <v>6223</v>
      </c>
      <c r="F2939" s="16" t="s">
        <v>6224</v>
      </c>
      <c r="G2939" s="16" t="s">
        <v>37</v>
      </c>
      <c r="H2939" s="16" t="s">
        <v>4673</v>
      </c>
      <c r="I2939" s="16"/>
      <c r="J2939" s="16" t="s">
        <v>1468</v>
      </c>
      <c r="K2939" s="16"/>
      <c r="L2939" s="14" t="s">
        <v>4746</v>
      </c>
      <c r="M2939" s="16" t="s">
        <v>6226</v>
      </c>
      <c r="N2939" s="16"/>
      <c r="O2939" s="16" t="s">
        <v>6227</v>
      </c>
      <c r="P2939" s="16" t="str">
        <f>HYPERLINK("https://ceds.ed.gov/cedselementdetails.aspx?termid=17184")</f>
        <v>https://ceds.ed.gov/cedselementdetails.aspx?termid=17184</v>
      </c>
      <c r="Q2939" s="16" t="str">
        <f>HYPERLINK("https://ceds.ed.gov/elementComment.aspx?elementName=Middle Name &amp;elementID=17184", "Click here to submit comment")</f>
        <v>Click here to submit comment</v>
      </c>
      <c r="R2939" s="16">
        <v>49858</v>
      </c>
    </row>
    <row r="2940" spans="1:18" ht="90" x14ac:dyDescent="0.25">
      <c r="A2940" s="16"/>
      <c r="B2940" s="16"/>
      <c r="C2940" s="16"/>
      <c r="D2940" s="16"/>
      <c r="E2940" s="16"/>
      <c r="F2940" s="16"/>
      <c r="G2940" s="16"/>
      <c r="H2940" s="16"/>
      <c r="I2940" s="16"/>
      <c r="J2940" s="16"/>
      <c r="K2940" s="16"/>
      <c r="L2940" s="14" t="s">
        <v>4750</v>
      </c>
      <c r="M2940" s="16"/>
      <c r="N2940" s="16"/>
      <c r="O2940" s="16"/>
      <c r="P2940" s="16"/>
      <c r="Q2940" s="16"/>
      <c r="R2940" s="16"/>
    </row>
    <row r="2941" spans="1:18" x14ac:dyDescent="0.25">
      <c r="A2941" s="16" t="s">
        <v>9076</v>
      </c>
      <c r="B2941" s="16" t="s">
        <v>9077</v>
      </c>
      <c r="C2941" s="16" t="s">
        <v>8597</v>
      </c>
      <c r="D2941" s="16" t="s">
        <v>8531</v>
      </c>
      <c r="E2941" s="16" t="s">
        <v>5727</v>
      </c>
      <c r="F2941" s="16" t="s">
        <v>5728</v>
      </c>
      <c r="G2941" s="16" t="s">
        <v>37</v>
      </c>
      <c r="H2941" s="16" t="s">
        <v>4673</v>
      </c>
      <c r="I2941" s="16"/>
      <c r="J2941" s="16" t="s">
        <v>1468</v>
      </c>
      <c r="K2941" s="16"/>
      <c r="L2941" s="14" t="s">
        <v>4746</v>
      </c>
      <c r="M2941" s="16" t="s">
        <v>5729</v>
      </c>
      <c r="N2941" s="16" t="s">
        <v>5730</v>
      </c>
      <c r="O2941" s="16" t="s">
        <v>5731</v>
      </c>
      <c r="P2941" s="16" t="str">
        <f>HYPERLINK("https://ceds.ed.gov/cedselementdetails.aspx?termid=17172")</f>
        <v>https://ceds.ed.gov/cedselementdetails.aspx?termid=17172</v>
      </c>
      <c r="Q2941" s="16" t="str">
        <f>HYPERLINK("https://ceds.ed.gov/elementComment.aspx?elementName=Last or Surname &amp;elementID=17172", "Click here to submit comment")</f>
        <v>Click here to submit comment</v>
      </c>
      <c r="R2941" s="16">
        <v>49859</v>
      </c>
    </row>
    <row r="2942" spans="1:18" ht="90" x14ac:dyDescent="0.25">
      <c r="A2942" s="16"/>
      <c r="B2942" s="16"/>
      <c r="C2942" s="16"/>
      <c r="D2942" s="16"/>
      <c r="E2942" s="16"/>
      <c r="F2942" s="16"/>
      <c r="G2942" s="16"/>
      <c r="H2942" s="16"/>
      <c r="I2942" s="16"/>
      <c r="J2942" s="16"/>
      <c r="K2942" s="16"/>
      <c r="L2942" s="14" t="s">
        <v>4750</v>
      </c>
      <c r="M2942" s="16"/>
      <c r="N2942" s="16"/>
      <c r="O2942" s="16"/>
      <c r="P2942" s="16"/>
      <c r="Q2942" s="16"/>
      <c r="R2942" s="16"/>
    </row>
    <row r="2943" spans="1:18" x14ac:dyDescent="0.25">
      <c r="A2943" s="16" t="s">
        <v>9076</v>
      </c>
      <c r="B2943" s="16" t="s">
        <v>9077</v>
      </c>
      <c r="C2943" s="16" t="s">
        <v>8597</v>
      </c>
      <c r="D2943" s="16" t="s">
        <v>8531</v>
      </c>
      <c r="E2943" s="16" t="s">
        <v>4743</v>
      </c>
      <c r="F2943" s="16" t="s">
        <v>4744</v>
      </c>
      <c r="G2943" s="16" t="s">
        <v>37</v>
      </c>
      <c r="H2943" s="16" t="s">
        <v>4749</v>
      </c>
      <c r="I2943" s="16"/>
      <c r="J2943" s="16" t="s">
        <v>3096</v>
      </c>
      <c r="K2943" s="16"/>
      <c r="L2943" s="14" t="s">
        <v>4746</v>
      </c>
      <c r="M2943" s="16" t="s">
        <v>4747</v>
      </c>
      <c r="N2943" s="16"/>
      <c r="O2943" s="16" t="s">
        <v>4748</v>
      </c>
      <c r="P2943" s="16" t="str">
        <f>HYPERLINK("https://ceds.ed.gov/cedselementdetails.aspx?termid=17121")</f>
        <v>https://ceds.ed.gov/cedselementdetails.aspx?termid=17121</v>
      </c>
      <c r="Q2943" s="16" t="str">
        <f>HYPERLINK("https://ceds.ed.gov/elementComment.aspx?elementName=Generation Code or Suffix &amp;elementID=17121", "Click here to submit comment")</f>
        <v>Click here to submit comment</v>
      </c>
      <c r="R2943" s="16">
        <v>49860</v>
      </c>
    </row>
    <row r="2944" spans="1:18" ht="90" x14ac:dyDescent="0.25">
      <c r="A2944" s="16"/>
      <c r="B2944" s="16"/>
      <c r="C2944" s="16"/>
      <c r="D2944" s="16"/>
      <c r="E2944" s="16"/>
      <c r="F2944" s="16"/>
      <c r="G2944" s="16"/>
      <c r="H2944" s="16"/>
      <c r="I2944" s="16"/>
      <c r="J2944" s="16"/>
      <c r="K2944" s="16"/>
      <c r="L2944" s="14" t="s">
        <v>4750</v>
      </c>
      <c r="M2944" s="16"/>
      <c r="N2944" s="16"/>
      <c r="O2944" s="16"/>
      <c r="P2944" s="16"/>
      <c r="Q2944" s="16"/>
      <c r="R2944" s="16"/>
    </row>
    <row r="2945" spans="1:18" ht="105" x14ac:dyDescent="0.25">
      <c r="A2945" s="14" t="s">
        <v>9076</v>
      </c>
      <c r="B2945" s="14" t="s">
        <v>9077</v>
      </c>
      <c r="C2945" s="14" t="s">
        <v>8597</v>
      </c>
      <c r="D2945" s="14" t="s">
        <v>8531</v>
      </c>
      <c r="E2945" s="14" t="s">
        <v>6741</v>
      </c>
      <c r="F2945" s="14" t="s">
        <v>6742</v>
      </c>
      <c r="G2945" s="14" t="s">
        <v>37</v>
      </c>
      <c r="H2945" s="14" t="s">
        <v>6747</v>
      </c>
      <c r="I2945" s="14"/>
      <c r="J2945" s="14" t="s">
        <v>97</v>
      </c>
      <c r="K2945" s="14"/>
      <c r="L2945" s="14"/>
      <c r="M2945" s="14" t="s">
        <v>6744</v>
      </c>
      <c r="N2945" s="14" t="s">
        <v>6745</v>
      </c>
      <c r="O2945" s="14" t="s">
        <v>6746</v>
      </c>
      <c r="P2945" s="14" t="str">
        <f>HYPERLINK("https://ceds.ed.gov/cedselementdetails.aspx?termid=17212")</f>
        <v>https://ceds.ed.gov/cedselementdetails.aspx?termid=17212</v>
      </c>
      <c r="Q2945" s="14" t="str">
        <f>HYPERLINK("https://ceds.ed.gov/elementComment.aspx?elementName=Personal Title or Prefix &amp;elementID=17212", "Click here to submit comment")</f>
        <v>Click here to submit comment</v>
      </c>
      <c r="R2945" s="14">
        <v>49861</v>
      </c>
    </row>
    <row r="2946" spans="1:18" ht="45" x14ac:dyDescent="0.25">
      <c r="A2946" s="14" t="s">
        <v>9076</v>
      </c>
      <c r="B2946" s="14" t="s">
        <v>9077</v>
      </c>
      <c r="C2946" s="14" t="s">
        <v>8598</v>
      </c>
      <c r="D2946" s="14" t="s">
        <v>8531</v>
      </c>
      <c r="E2946" s="14" t="s">
        <v>6586</v>
      </c>
      <c r="F2946" s="14" t="s">
        <v>6587</v>
      </c>
      <c r="G2946" s="14" t="s">
        <v>37</v>
      </c>
      <c r="H2946" s="14"/>
      <c r="I2946" s="14"/>
      <c r="J2946" s="14" t="s">
        <v>1468</v>
      </c>
      <c r="K2946" s="14"/>
      <c r="L2946" s="14" t="s">
        <v>6589</v>
      </c>
      <c r="M2946" s="14" t="s">
        <v>6590</v>
      </c>
      <c r="N2946" s="14"/>
      <c r="O2946" s="14" t="s">
        <v>6591</v>
      </c>
      <c r="P2946" s="14" t="str">
        <f>HYPERLINK("https://ceds.ed.gov/cedselementdetails.aspx?termid=18486")</f>
        <v>https://ceds.ed.gov/cedselementdetails.aspx?termid=18486</v>
      </c>
      <c r="Q2946" s="14" t="str">
        <f>HYPERLINK("https://ceds.ed.gov/elementComment.aspx?elementName=Other First Name &amp;elementID=18486", "Click here to submit comment")</f>
        <v>Click here to submit comment</v>
      </c>
      <c r="R2946" s="14">
        <v>50635</v>
      </c>
    </row>
    <row r="2947" spans="1:18" ht="45" x14ac:dyDescent="0.25">
      <c r="A2947" s="14" t="s">
        <v>9076</v>
      </c>
      <c r="B2947" s="14" t="s">
        <v>9077</v>
      </c>
      <c r="C2947" s="14" t="s">
        <v>8598</v>
      </c>
      <c r="D2947" s="14" t="s">
        <v>8531</v>
      </c>
      <c r="E2947" s="14" t="s">
        <v>6592</v>
      </c>
      <c r="F2947" s="14" t="s">
        <v>6593</v>
      </c>
      <c r="G2947" s="14" t="s">
        <v>37</v>
      </c>
      <c r="H2947" s="14"/>
      <c r="I2947" s="14"/>
      <c r="J2947" s="14" t="s">
        <v>1468</v>
      </c>
      <c r="K2947" s="14"/>
      <c r="L2947" s="14" t="s">
        <v>6594</v>
      </c>
      <c r="M2947" s="14" t="s">
        <v>6595</v>
      </c>
      <c r="N2947" s="14"/>
      <c r="O2947" s="14" t="s">
        <v>6596</v>
      </c>
      <c r="P2947" s="14" t="str">
        <f>HYPERLINK("https://ceds.ed.gov/cedselementdetails.aspx?termid=18485")</f>
        <v>https://ceds.ed.gov/cedselementdetails.aspx?termid=18485</v>
      </c>
      <c r="Q2947" s="14" t="str">
        <f>HYPERLINK("https://ceds.ed.gov/elementComment.aspx?elementName=Other Last Name &amp;elementID=18485", "Click here to submit comment")</f>
        <v>Click here to submit comment</v>
      </c>
      <c r="R2947" s="14">
        <v>50619</v>
      </c>
    </row>
    <row r="2948" spans="1:18" ht="45" x14ac:dyDescent="0.25">
      <c r="A2948" s="14" t="s">
        <v>9076</v>
      </c>
      <c r="B2948" s="14" t="s">
        <v>9077</v>
      </c>
      <c r="C2948" s="14" t="s">
        <v>8598</v>
      </c>
      <c r="D2948" s="14" t="s">
        <v>8531</v>
      </c>
      <c r="E2948" s="14" t="s">
        <v>6597</v>
      </c>
      <c r="F2948" s="14" t="s">
        <v>6598</v>
      </c>
      <c r="G2948" s="14" t="s">
        <v>37</v>
      </c>
      <c r="H2948" s="14"/>
      <c r="I2948" s="14"/>
      <c r="J2948" s="14" t="s">
        <v>1468</v>
      </c>
      <c r="K2948" s="14"/>
      <c r="L2948" s="14" t="s">
        <v>6599</v>
      </c>
      <c r="M2948" s="14" t="s">
        <v>6600</v>
      </c>
      <c r="N2948" s="14"/>
      <c r="O2948" s="14" t="s">
        <v>6601</v>
      </c>
      <c r="P2948" s="14" t="str">
        <f>HYPERLINK("https://ceds.ed.gov/cedselementdetails.aspx?termid=18487")</f>
        <v>https://ceds.ed.gov/cedselementdetails.aspx?termid=18487</v>
      </c>
      <c r="Q2948" s="14" t="str">
        <f>HYPERLINK("https://ceds.ed.gov/elementComment.aspx?elementName=Other Middle Name &amp;elementID=18487", "Click here to submit comment")</f>
        <v>Click here to submit comment</v>
      </c>
      <c r="R2948" s="14">
        <v>50651</v>
      </c>
    </row>
    <row r="2949" spans="1:18" ht="150" x14ac:dyDescent="0.25">
      <c r="A2949" s="14" t="s">
        <v>9076</v>
      </c>
      <c r="B2949" s="14" t="s">
        <v>9077</v>
      </c>
      <c r="C2949" s="14" t="s">
        <v>8598</v>
      </c>
      <c r="D2949" s="14" t="s">
        <v>8531</v>
      </c>
      <c r="E2949" s="14" t="s">
        <v>6602</v>
      </c>
      <c r="F2949" s="14" t="s">
        <v>6603</v>
      </c>
      <c r="G2949" s="14" t="s">
        <v>37</v>
      </c>
      <c r="H2949" s="14" t="s">
        <v>4749</v>
      </c>
      <c r="I2949" s="14"/>
      <c r="J2949" s="14" t="s">
        <v>149</v>
      </c>
      <c r="K2949" s="14"/>
      <c r="L2949" s="14"/>
      <c r="M2949" s="14" t="s">
        <v>6604</v>
      </c>
      <c r="N2949" s="14"/>
      <c r="O2949" s="14" t="s">
        <v>6605</v>
      </c>
      <c r="P2949" s="14" t="str">
        <f>HYPERLINK("https://ceds.ed.gov/cedselementdetails.aspx?termid=17206")</f>
        <v>https://ceds.ed.gov/cedselementdetails.aspx?termid=17206</v>
      </c>
      <c r="Q2949" s="14" t="str">
        <f>HYPERLINK("https://ceds.ed.gov/elementComment.aspx?elementName=Other Name &amp;elementID=17206", "Click here to submit comment")</f>
        <v>Click here to submit comment</v>
      </c>
      <c r="R2949" s="14">
        <v>49862</v>
      </c>
    </row>
    <row r="2950" spans="1:18" ht="165" x14ac:dyDescent="0.25">
      <c r="A2950" s="14" t="s">
        <v>9076</v>
      </c>
      <c r="B2950" s="14" t="s">
        <v>9077</v>
      </c>
      <c r="C2950" s="14" t="s">
        <v>8598</v>
      </c>
      <c r="D2950" s="14" t="s">
        <v>8531</v>
      </c>
      <c r="E2950" s="14" t="s">
        <v>6606</v>
      </c>
      <c r="F2950" s="14" t="s">
        <v>6607</v>
      </c>
      <c r="G2950" s="8" t="s">
        <v>8554</v>
      </c>
      <c r="H2950" s="14" t="s">
        <v>6612</v>
      </c>
      <c r="I2950" s="14"/>
      <c r="J2950" s="14" t="s">
        <v>97</v>
      </c>
      <c r="K2950" s="14"/>
      <c r="L2950" s="14"/>
      <c r="M2950" s="14" t="s">
        <v>6610</v>
      </c>
      <c r="N2950" s="14"/>
      <c r="O2950" s="14" t="s">
        <v>6611</v>
      </c>
      <c r="P2950" s="14" t="str">
        <f>HYPERLINK("https://ceds.ed.gov/cedselementdetails.aspx?termid=17627")</f>
        <v>https://ceds.ed.gov/cedselementdetails.aspx?termid=17627</v>
      </c>
      <c r="Q2950" s="14" t="str">
        <f>HYPERLINK("https://ceds.ed.gov/elementComment.aspx?elementName=Other Name Type &amp;elementID=17627", "Click here to submit comment")</f>
        <v>Click here to submit comment</v>
      </c>
      <c r="R2950" s="14">
        <v>49863</v>
      </c>
    </row>
    <row r="2951" spans="1:18" ht="105" x14ac:dyDescent="0.25">
      <c r="A2951" s="16" t="s">
        <v>9076</v>
      </c>
      <c r="B2951" s="16" t="s">
        <v>9077</v>
      </c>
      <c r="C2951" s="16" t="s">
        <v>8599</v>
      </c>
      <c r="D2951" s="16" t="s">
        <v>8531</v>
      </c>
      <c r="E2951" s="16" t="s">
        <v>8072</v>
      </c>
      <c r="F2951" s="16" t="s">
        <v>8073</v>
      </c>
      <c r="G2951" s="16" t="s">
        <v>37</v>
      </c>
      <c r="H2951" s="16" t="s">
        <v>8071</v>
      </c>
      <c r="I2951" s="16"/>
      <c r="J2951" s="16" t="s">
        <v>149</v>
      </c>
      <c r="K2951" s="16"/>
      <c r="L2951" s="14" t="s">
        <v>150</v>
      </c>
      <c r="M2951" s="16" t="s">
        <v>8074</v>
      </c>
      <c r="N2951" s="16"/>
      <c r="O2951" s="16" t="s">
        <v>8075</v>
      </c>
      <c r="P2951" s="16" t="str">
        <f>HYPERLINK("https://ceds.ed.gov/cedselementdetails.aspx?termid=17157")</f>
        <v>https://ceds.ed.gov/cedselementdetails.aspx?termid=17157</v>
      </c>
      <c r="Q2951" s="16" t="str">
        <f>HYPERLINK("https://ceds.ed.gov/elementComment.aspx?elementName=Student Identifier &amp;elementID=17157", "Click here to submit comment")</f>
        <v>Click here to submit comment</v>
      </c>
      <c r="R2951" s="16">
        <v>49883</v>
      </c>
    </row>
    <row r="2952" spans="1:18" x14ac:dyDescent="0.25">
      <c r="A2952" s="16"/>
      <c r="B2952" s="16"/>
      <c r="C2952" s="16"/>
      <c r="D2952" s="16"/>
      <c r="E2952" s="16"/>
      <c r="F2952" s="16"/>
      <c r="G2952" s="16"/>
      <c r="H2952" s="16"/>
      <c r="I2952" s="16"/>
      <c r="J2952" s="16"/>
      <c r="K2952" s="16"/>
      <c r="L2952" s="14"/>
      <c r="M2952" s="16"/>
      <c r="N2952" s="16"/>
      <c r="O2952" s="16"/>
      <c r="P2952" s="16"/>
      <c r="Q2952" s="16"/>
      <c r="R2952" s="16"/>
    </row>
    <row r="2953" spans="1:18" ht="90" x14ac:dyDescent="0.25">
      <c r="A2953" s="16"/>
      <c r="B2953" s="16"/>
      <c r="C2953" s="16"/>
      <c r="D2953" s="16"/>
      <c r="E2953" s="16"/>
      <c r="F2953" s="16"/>
      <c r="G2953" s="16"/>
      <c r="H2953" s="16"/>
      <c r="I2953" s="16"/>
      <c r="J2953" s="16"/>
      <c r="K2953" s="16"/>
      <c r="L2953" s="14" t="s">
        <v>153</v>
      </c>
      <c r="M2953" s="16"/>
      <c r="N2953" s="16"/>
      <c r="O2953" s="16"/>
      <c r="P2953" s="16"/>
      <c r="Q2953" s="16"/>
      <c r="R2953" s="16"/>
    </row>
    <row r="2954" spans="1:18" ht="210" x14ac:dyDescent="0.25">
      <c r="A2954" s="14" t="s">
        <v>9076</v>
      </c>
      <c r="B2954" s="14" t="s">
        <v>9077</v>
      </c>
      <c r="C2954" s="14" t="s">
        <v>8599</v>
      </c>
      <c r="D2954" s="14" t="s">
        <v>8531</v>
      </c>
      <c r="E2954" s="14" t="s">
        <v>8065</v>
      </c>
      <c r="F2954" s="14" t="s">
        <v>8066</v>
      </c>
      <c r="G2954" s="8" t="s">
        <v>8814</v>
      </c>
      <c r="H2954" s="14" t="s">
        <v>8071</v>
      </c>
      <c r="I2954" s="14"/>
      <c r="J2954" s="14"/>
      <c r="K2954" s="14"/>
      <c r="L2954" s="14"/>
      <c r="M2954" s="14" t="s">
        <v>8069</v>
      </c>
      <c r="N2954" s="14"/>
      <c r="O2954" s="14" t="s">
        <v>8070</v>
      </c>
      <c r="P2954" s="14" t="str">
        <f>HYPERLINK("https://ceds.ed.gov/cedselementdetails.aspx?termid=17163")</f>
        <v>https://ceds.ed.gov/cedselementdetails.aspx?termid=17163</v>
      </c>
      <c r="Q2954" s="14" t="str">
        <f>HYPERLINK("https://ceds.ed.gov/elementComment.aspx?elementName=Student Identification System &amp;elementID=17163", "Click here to submit comment")</f>
        <v>Click here to submit comment</v>
      </c>
      <c r="R2954" s="14">
        <v>49884</v>
      </c>
    </row>
    <row r="2955" spans="1:18" ht="255" x14ac:dyDescent="0.25">
      <c r="A2955" s="14" t="s">
        <v>9076</v>
      </c>
      <c r="B2955" s="14" t="s">
        <v>9077</v>
      </c>
      <c r="C2955" s="14" t="s">
        <v>8599</v>
      </c>
      <c r="D2955" s="14" t="s">
        <v>8531</v>
      </c>
      <c r="E2955" s="14" t="s">
        <v>6735</v>
      </c>
      <c r="F2955" s="14" t="s">
        <v>6736</v>
      </c>
      <c r="G2955" s="8" t="s">
        <v>8601</v>
      </c>
      <c r="H2955" s="14"/>
      <c r="I2955" s="14"/>
      <c r="J2955" s="14"/>
      <c r="K2955" s="14"/>
      <c r="L2955" s="14"/>
      <c r="M2955" s="14" t="s">
        <v>6739</v>
      </c>
      <c r="N2955" s="14"/>
      <c r="O2955" s="14" t="s">
        <v>6740</v>
      </c>
      <c r="P2955" s="14" t="str">
        <f>HYPERLINK("https://ceds.ed.gov/cedselementdetails.aspx?termid=17611")</f>
        <v>https://ceds.ed.gov/cedselementdetails.aspx?termid=17611</v>
      </c>
      <c r="Q2955" s="14" t="str">
        <f>HYPERLINK("https://ceds.ed.gov/elementComment.aspx?elementName=Personal Information Verification &amp;elementID=17611", "Click here to submit comment")</f>
        <v>Click here to submit comment</v>
      </c>
      <c r="R2955" s="14">
        <v>49219</v>
      </c>
    </row>
    <row r="2956" spans="1:18" ht="210" x14ac:dyDescent="0.25">
      <c r="A2956" s="14" t="s">
        <v>9076</v>
      </c>
      <c r="B2956" s="14" t="s">
        <v>9077</v>
      </c>
      <c r="C2956" s="14" t="s">
        <v>8547</v>
      </c>
      <c r="D2956" s="14" t="s">
        <v>8531</v>
      </c>
      <c r="E2956" s="14" t="s">
        <v>219</v>
      </c>
      <c r="F2956" s="14" t="s">
        <v>220</v>
      </c>
      <c r="G2956" s="8" t="s">
        <v>8602</v>
      </c>
      <c r="H2956" s="14" t="s">
        <v>225</v>
      </c>
      <c r="I2956" s="14"/>
      <c r="J2956" s="14" t="s">
        <v>97</v>
      </c>
      <c r="K2956" s="14"/>
      <c r="L2956" s="14"/>
      <c r="M2956" s="14" t="s">
        <v>223</v>
      </c>
      <c r="N2956" s="14"/>
      <c r="O2956" s="14" t="s">
        <v>224</v>
      </c>
      <c r="P2956" s="14" t="str">
        <f>HYPERLINK("https://ceds.ed.gov/cedselementdetails.aspx?termid=17358")</f>
        <v>https://ceds.ed.gov/cedselementdetails.aspx?termid=17358</v>
      </c>
      <c r="Q2956" s="14" t="str">
        <f>HYPERLINK("https://ceds.ed.gov/elementComment.aspx?elementName=Address Type for Learner or Family &amp;elementID=17358", "Click here to submit comment")</f>
        <v>Click here to submit comment</v>
      </c>
      <c r="R2956" s="14">
        <v>49872</v>
      </c>
    </row>
    <row r="2957" spans="1:18" ht="225" x14ac:dyDescent="0.25">
      <c r="A2957" s="14" t="s">
        <v>9076</v>
      </c>
      <c r="B2957" s="14" t="s">
        <v>9077</v>
      </c>
      <c r="C2957" s="14" t="s">
        <v>8547</v>
      </c>
      <c r="D2957" s="14" t="s">
        <v>8531</v>
      </c>
      <c r="E2957" s="14" t="s">
        <v>214</v>
      </c>
      <c r="F2957" s="14" t="s">
        <v>215</v>
      </c>
      <c r="G2957" s="14" t="s">
        <v>37</v>
      </c>
      <c r="H2957" s="14" t="s">
        <v>199</v>
      </c>
      <c r="I2957" s="14" t="s">
        <v>195</v>
      </c>
      <c r="J2957" s="14" t="s">
        <v>216</v>
      </c>
      <c r="K2957" s="14" t="s">
        <v>196</v>
      </c>
      <c r="L2957" s="14"/>
      <c r="M2957" s="14" t="s">
        <v>217</v>
      </c>
      <c r="N2957" s="14"/>
      <c r="O2957" s="14" t="s">
        <v>218</v>
      </c>
      <c r="P2957" s="14" t="str">
        <f>HYPERLINK("https://ceds.ed.gov/cedselementdetails.aspx?termid=17269")</f>
        <v>https://ceds.ed.gov/cedselementdetails.aspx?termid=17269</v>
      </c>
      <c r="Q2957" s="14" t="str">
        <f>HYPERLINK("https://ceds.ed.gov/elementComment.aspx?elementName=Address Street Number and Name &amp;elementID=17269", "Click here to submit comment")</f>
        <v>Click here to submit comment</v>
      </c>
      <c r="R2957" s="14">
        <v>49873</v>
      </c>
    </row>
    <row r="2958" spans="1:18" ht="225" x14ac:dyDescent="0.25">
      <c r="A2958" s="14" t="s">
        <v>9076</v>
      </c>
      <c r="B2958" s="14" t="s">
        <v>9077</v>
      </c>
      <c r="C2958" s="14" t="s">
        <v>8547</v>
      </c>
      <c r="D2958" s="14" t="s">
        <v>8531</v>
      </c>
      <c r="E2958" s="14" t="s">
        <v>192</v>
      </c>
      <c r="F2958" s="14" t="s">
        <v>193</v>
      </c>
      <c r="G2958" s="14" t="s">
        <v>37</v>
      </c>
      <c r="H2958" s="14" t="s">
        <v>199</v>
      </c>
      <c r="I2958" s="14" t="s">
        <v>195</v>
      </c>
      <c r="J2958" s="14" t="s">
        <v>175</v>
      </c>
      <c r="K2958" s="14" t="s">
        <v>196</v>
      </c>
      <c r="L2958" s="14"/>
      <c r="M2958" s="14" t="s">
        <v>197</v>
      </c>
      <c r="N2958" s="14"/>
      <c r="O2958" s="14" t="s">
        <v>198</v>
      </c>
      <c r="P2958" s="14" t="str">
        <f>HYPERLINK("https://ceds.ed.gov/cedselementdetails.aspx?termid=17019")</f>
        <v>https://ceds.ed.gov/cedselementdetails.aspx?termid=17019</v>
      </c>
      <c r="Q2958" s="14" t="str">
        <f>HYPERLINK("https://ceds.ed.gov/elementComment.aspx?elementName=Address Apartment Room or Suite Number &amp;elementID=17019", "Click here to submit comment")</f>
        <v>Click here to submit comment</v>
      </c>
      <c r="R2958" s="14">
        <v>49874</v>
      </c>
    </row>
    <row r="2959" spans="1:18" ht="225" x14ac:dyDescent="0.25">
      <c r="A2959" s="14" t="s">
        <v>9076</v>
      </c>
      <c r="B2959" s="14" t="s">
        <v>9077</v>
      </c>
      <c r="C2959" s="14" t="s">
        <v>8547</v>
      </c>
      <c r="D2959" s="14" t="s">
        <v>8531</v>
      </c>
      <c r="E2959" s="14" t="s">
        <v>200</v>
      </c>
      <c r="F2959" s="14" t="s">
        <v>201</v>
      </c>
      <c r="G2959" s="14" t="s">
        <v>37</v>
      </c>
      <c r="H2959" s="14" t="s">
        <v>199</v>
      </c>
      <c r="I2959" s="14"/>
      <c r="J2959" s="14" t="s">
        <v>97</v>
      </c>
      <c r="K2959" s="14"/>
      <c r="L2959" s="14"/>
      <c r="M2959" s="14" t="s">
        <v>202</v>
      </c>
      <c r="N2959" s="14"/>
      <c r="O2959" s="14" t="s">
        <v>203</v>
      </c>
      <c r="P2959" s="14" t="str">
        <f>HYPERLINK("https://ceds.ed.gov/cedselementdetails.aspx?termid=17040")</f>
        <v>https://ceds.ed.gov/cedselementdetails.aspx?termid=17040</v>
      </c>
      <c r="Q2959" s="14" t="str">
        <f>HYPERLINK("https://ceds.ed.gov/elementComment.aspx?elementName=Address City &amp;elementID=17040", "Click here to submit comment")</f>
        <v>Click here to submit comment</v>
      </c>
      <c r="R2959" s="14">
        <v>49875</v>
      </c>
    </row>
    <row r="2960" spans="1:18" ht="409.5" x14ac:dyDescent="0.25">
      <c r="A2960" s="14" t="s">
        <v>9076</v>
      </c>
      <c r="B2960" s="14" t="s">
        <v>9077</v>
      </c>
      <c r="C2960" s="14" t="s">
        <v>8547</v>
      </c>
      <c r="D2960" s="14" t="s">
        <v>8531</v>
      </c>
      <c r="E2960" s="14" t="s">
        <v>7960</v>
      </c>
      <c r="F2960" s="14" t="s">
        <v>7961</v>
      </c>
      <c r="G2960" s="8" t="s">
        <v>8540</v>
      </c>
      <c r="H2960" s="14" t="s">
        <v>7964</v>
      </c>
      <c r="I2960" s="14"/>
      <c r="J2960" s="14"/>
      <c r="K2960" s="14"/>
      <c r="L2960" s="14"/>
      <c r="M2960" s="14" t="s">
        <v>7962</v>
      </c>
      <c r="N2960" s="14"/>
      <c r="O2960" s="14" t="s">
        <v>7963</v>
      </c>
      <c r="P2960" s="14" t="str">
        <f>HYPERLINK("https://ceds.ed.gov/cedselementdetails.aspx?termid=17267")</f>
        <v>https://ceds.ed.gov/cedselementdetails.aspx?termid=17267</v>
      </c>
      <c r="Q2960" s="14" t="str">
        <f>HYPERLINK("https://ceds.ed.gov/elementComment.aspx?elementName=State Abbreviation &amp;elementID=17267", "Click here to submit comment")</f>
        <v>Click here to submit comment</v>
      </c>
      <c r="R2960" s="14">
        <v>49876</v>
      </c>
    </row>
    <row r="2961" spans="1:18" ht="225" x14ac:dyDescent="0.25">
      <c r="A2961" s="14" t="s">
        <v>9076</v>
      </c>
      <c r="B2961" s="14" t="s">
        <v>9077</v>
      </c>
      <c r="C2961" s="14" t="s">
        <v>8547</v>
      </c>
      <c r="D2961" s="14" t="s">
        <v>8531</v>
      </c>
      <c r="E2961" s="14" t="s">
        <v>209</v>
      </c>
      <c r="F2961" s="14" t="s">
        <v>210</v>
      </c>
      <c r="G2961" s="14" t="s">
        <v>37</v>
      </c>
      <c r="H2961" s="14" t="s">
        <v>199</v>
      </c>
      <c r="I2961" s="14"/>
      <c r="J2961" s="14" t="s">
        <v>211</v>
      </c>
      <c r="K2961" s="14"/>
      <c r="L2961" s="14"/>
      <c r="M2961" s="14" t="s">
        <v>212</v>
      </c>
      <c r="N2961" s="14"/>
      <c r="O2961" s="14" t="s">
        <v>213</v>
      </c>
      <c r="P2961" s="14" t="str">
        <f>HYPERLINK("https://ceds.ed.gov/cedselementdetails.aspx?termid=17214")</f>
        <v>https://ceds.ed.gov/cedselementdetails.aspx?termid=17214</v>
      </c>
      <c r="Q2961" s="14" t="str">
        <f>HYPERLINK("https://ceds.ed.gov/elementComment.aspx?elementName=Address Postal Code &amp;elementID=17214", "Click here to submit comment")</f>
        <v>Click here to submit comment</v>
      </c>
      <c r="R2961" s="14">
        <v>49877</v>
      </c>
    </row>
    <row r="2962" spans="1:18" ht="225" x14ac:dyDescent="0.25">
      <c r="A2962" s="14" t="s">
        <v>9076</v>
      </c>
      <c r="B2962" s="14" t="s">
        <v>9077</v>
      </c>
      <c r="C2962" s="14" t="s">
        <v>8547</v>
      </c>
      <c r="D2962" s="14" t="s">
        <v>8531</v>
      </c>
      <c r="E2962" s="14" t="s">
        <v>204</v>
      </c>
      <c r="F2962" s="14" t="s">
        <v>205</v>
      </c>
      <c r="G2962" s="14" t="s">
        <v>37</v>
      </c>
      <c r="H2962" s="14" t="s">
        <v>199</v>
      </c>
      <c r="I2962" s="14"/>
      <c r="J2962" s="14" t="s">
        <v>97</v>
      </c>
      <c r="K2962" s="14"/>
      <c r="L2962" s="14"/>
      <c r="M2962" s="14" t="s">
        <v>207</v>
      </c>
      <c r="N2962" s="14"/>
      <c r="O2962" s="14" t="s">
        <v>208</v>
      </c>
      <c r="P2962" s="14" t="str">
        <f>HYPERLINK("https://ceds.ed.gov/cedselementdetails.aspx?termid=17190")</f>
        <v>https://ceds.ed.gov/cedselementdetails.aspx?termid=17190</v>
      </c>
      <c r="Q2962" s="14" t="str">
        <f>HYPERLINK("https://ceds.ed.gov/elementComment.aspx?elementName=Address County Name &amp;elementID=17190", "Click here to submit comment")</f>
        <v>Click here to submit comment</v>
      </c>
      <c r="R2962" s="14">
        <v>49137</v>
      </c>
    </row>
    <row r="2963" spans="1:18" ht="409.5" x14ac:dyDescent="0.25">
      <c r="A2963" s="14" t="s">
        <v>9076</v>
      </c>
      <c r="B2963" s="14" t="s">
        <v>9077</v>
      </c>
      <c r="C2963" s="14" t="s">
        <v>8547</v>
      </c>
      <c r="D2963" s="14" t="s">
        <v>8531</v>
      </c>
      <c r="E2963" s="14" t="s">
        <v>2845</v>
      </c>
      <c r="F2963" s="14" t="s">
        <v>2846</v>
      </c>
      <c r="G2963" s="8" t="s">
        <v>8548</v>
      </c>
      <c r="H2963" s="14" t="s">
        <v>2852</v>
      </c>
      <c r="I2963" s="14"/>
      <c r="J2963" s="14"/>
      <c r="K2963" s="14"/>
      <c r="L2963" s="6" t="s">
        <v>2849</v>
      </c>
      <c r="M2963" s="14" t="s">
        <v>2850</v>
      </c>
      <c r="N2963" s="14"/>
      <c r="O2963" s="14" t="s">
        <v>2851</v>
      </c>
      <c r="P2963" s="14" t="str">
        <f>HYPERLINK("https://ceds.ed.gov/cedselementdetails.aspx?termid=17050")</f>
        <v>https://ceds.ed.gov/cedselementdetails.aspx?termid=17050</v>
      </c>
      <c r="Q2963" s="14" t="str">
        <f>HYPERLINK("https://ceds.ed.gov/elementComment.aspx?elementName=Country Code &amp;elementID=17050", "Click here to submit comment")</f>
        <v>Click here to submit comment</v>
      </c>
      <c r="R2963" s="14">
        <v>49136</v>
      </c>
    </row>
    <row r="2964" spans="1:18" ht="75" x14ac:dyDescent="0.25">
      <c r="A2964" s="14" t="s">
        <v>9076</v>
      </c>
      <c r="B2964" s="14" t="s">
        <v>9077</v>
      </c>
      <c r="C2964" s="14" t="s">
        <v>8547</v>
      </c>
      <c r="D2964" s="14" t="s">
        <v>8531</v>
      </c>
      <c r="E2964" s="14" t="s">
        <v>5736</v>
      </c>
      <c r="F2964" s="14" t="s">
        <v>5737</v>
      </c>
      <c r="G2964" s="14" t="s">
        <v>37</v>
      </c>
      <c r="H2964" s="14"/>
      <c r="I2964" s="14"/>
      <c r="J2964" s="14" t="s">
        <v>1307</v>
      </c>
      <c r="K2964" s="14"/>
      <c r="L2964" s="14"/>
      <c r="M2964" s="14" t="s">
        <v>5739</v>
      </c>
      <c r="N2964" s="14"/>
      <c r="O2964" s="14" t="s">
        <v>5736</v>
      </c>
      <c r="P2964" s="14" t="str">
        <f>HYPERLINK("https://ceds.ed.gov/cedselementdetails.aspx?termid=17599")</f>
        <v>https://ceds.ed.gov/cedselementdetails.aspx?termid=17599</v>
      </c>
      <c r="Q2964" s="14" t="str">
        <f>HYPERLINK("https://ceds.ed.gov/elementComment.aspx?elementName=Latitude &amp;elementID=17599", "Click here to submit comment")</f>
        <v>Click here to submit comment</v>
      </c>
      <c r="R2964" s="14">
        <v>51265</v>
      </c>
    </row>
    <row r="2965" spans="1:18" ht="75" x14ac:dyDescent="0.25">
      <c r="A2965" s="14" t="s">
        <v>9076</v>
      </c>
      <c r="B2965" s="14" t="s">
        <v>9077</v>
      </c>
      <c r="C2965" s="14" t="s">
        <v>8547</v>
      </c>
      <c r="D2965" s="14" t="s">
        <v>8531</v>
      </c>
      <c r="E2965" s="14" t="s">
        <v>6174</v>
      </c>
      <c r="F2965" s="14" t="s">
        <v>6175</v>
      </c>
      <c r="G2965" s="14" t="s">
        <v>37</v>
      </c>
      <c r="H2965" s="14"/>
      <c r="I2965" s="14"/>
      <c r="J2965" s="14" t="s">
        <v>1307</v>
      </c>
      <c r="K2965" s="14"/>
      <c r="L2965" s="14"/>
      <c r="M2965" s="14" t="s">
        <v>6176</v>
      </c>
      <c r="N2965" s="14"/>
      <c r="O2965" s="14" t="s">
        <v>6174</v>
      </c>
      <c r="P2965" s="14" t="str">
        <f>HYPERLINK("https://ceds.ed.gov/cedselementdetails.aspx?termid=17600")</f>
        <v>https://ceds.ed.gov/cedselementdetails.aspx?termid=17600</v>
      </c>
      <c r="Q2965" s="14" t="str">
        <f>HYPERLINK("https://ceds.ed.gov/elementComment.aspx?elementName=Longitude &amp;elementID=17600", "Click here to submit comment")</f>
        <v>Click here to submit comment</v>
      </c>
      <c r="R2965" s="14">
        <v>51288</v>
      </c>
    </row>
    <row r="2966" spans="1:18" ht="195" x14ac:dyDescent="0.25">
      <c r="A2966" s="14" t="s">
        <v>9076</v>
      </c>
      <c r="B2966" s="14" t="s">
        <v>9077</v>
      </c>
      <c r="C2966" s="14" t="s">
        <v>8547</v>
      </c>
      <c r="D2966" s="14" t="s">
        <v>8541</v>
      </c>
      <c r="E2966" s="14" t="s">
        <v>2860</v>
      </c>
      <c r="F2966" s="14" t="s">
        <v>2861</v>
      </c>
      <c r="G2966" s="14" t="s">
        <v>37</v>
      </c>
      <c r="H2966" s="14"/>
      <c r="I2966" s="14" t="s">
        <v>195</v>
      </c>
      <c r="J2966" s="14" t="s">
        <v>2863</v>
      </c>
      <c r="K2966" s="14" t="s">
        <v>2864</v>
      </c>
      <c r="L2966" s="14"/>
      <c r="M2966" s="14" t="s">
        <v>2865</v>
      </c>
      <c r="N2966" s="14"/>
      <c r="O2966" s="14" t="s">
        <v>2866</v>
      </c>
      <c r="P2966" s="14" t="str">
        <f>HYPERLINK("https://ceds.ed.gov/cedselementdetails.aspx?termid=18176")</f>
        <v>https://ceds.ed.gov/cedselementdetails.aspx?termid=18176</v>
      </c>
      <c r="Q2966" s="14" t="str">
        <f>HYPERLINK("https://ceds.ed.gov/elementComment.aspx?elementName=County ANSI Code &amp;elementID=18176", "Click here to submit comment")</f>
        <v>Click here to submit comment</v>
      </c>
      <c r="R2966" s="14">
        <v>52245</v>
      </c>
    </row>
    <row r="2967" spans="1:18" ht="60" x14ac:dyDescent="0.25">
      <c r="A2967" s="14" t="s">
        <v>9076</v>
      </c>
      <c r="B2967" s="14" t="s">
        <v>9077</v>
      </c>
      <c r="C2967" s="14" t="s">
        <v>8547</v>
      </c>
      <c r="D2967" s="14" t="s">
        <v>8541</v>
      </c>
      <c r="E2967" s="14" t="s">
        <v>3651</v>
      </c>
      <c r="F2967" s="14" t="s">
        <v>3652</v>
      </c>
      <c r="G2967" s="14" t="s">
        <v>3430</v>
      </c>
      <c r="H2967" s="14"/>
      <c r="I2967" s="14" t="s">
        <v>188</v>
      </c>
      <c r="J2967" s="14"/>
      <c r="K2967" s="14" t="s">
        <v>1721</v>
      </c>
      <c r="L2967" s="14"/>
      <c r="M2967" s="14" t="s">
        <v>3654</v>
      </c>
      <c r="N2967" s="14"/>
      <c r="O2967" s="14" t="s">
        <v>3655</v>
      </c>
      <c r="P2967" s="14" t="str">
        <f>HYPERLINK("https://ceds.ed.gov/cedselementdetails.aspx?termid=18905")</f>
        <v>https://ceds.ed.gov/cedselementdetails.aspx?termid=18905</v>
      </c>
      <c r="Q2967" s="14" t="str">
        <f>HYPERLINK("https://ceds.ed.gov/elementComment.aspx?elementName=Do Not Publish Indicator &amp;elementID=18905", "Click here to submit comment")</f>
        <v>Click here to submit comment</v>
      </c>
      <c r="R2967" s="14">
        <v>52246</v>
      </c>
    </row>
    <row r="2968" spans="1:18" ht="90" x14ac:dyDescent="0.25">
      <c r="A2968" s="14" t="s">
        <v>9076</v>
      </c>
      <c r="B2968" s="14" t="s">
        <v>9077</v>
      </c>
      <c r="C2968" s="14" t="s">
        <v>8549</v>
      </c>
      <c r="D2968" s="14" t="s">
        <v>8531</v>
      </c>
      <c r="E2968" s="14" t="s">
        <v>8217</v>
      </c>
      <c r="F2968" s="14" t="s">
        <v>8218</v>
      </c>
      <c r="G2968" s="14" t="s">
        <v>37</v>
      </c>
      <c r="H2968" s="14" t="s">
        <v>72</v>
      </c>
      <c r="I2968" s="14"/>
      <c r="J2968" s="14" t="s">
        <v>8220</v>
      </c>
      <c r="K2968" s="14"/>
      <c r="L2968" s="14"/>
      <c r="M2968" s="14" t="s">
        <v>8221</v>
      </c>
      <c r="N2968" s="14"/>
      <c r="O2968" s="14" t="s">
        <v>8222</v>
      </c>
      <c r="P2968" s="14" t="str">
        <f>HYPERLINK("https://ceds.ed.gov/cedselementdetails.aspx?termid=17279")</f>
        <v>https://ceds.ed.gov/cedselementdetails.aspx?termid=17279</v>
      </c>
      <c r="Q2968" s="14" t="str">
        <f>HYPERLINK("https://ceds.ed.gov/elementComment.aspx?elementName=Telephone Number &amp;elementID=17279", "Click here to submit comment")</f>
        <v>Click here to submit comment</v>
      </c>
      <c r="R2968" s="14">
        <v>49880</v>
      </c>
    </row>
    <row r="2969" spans="1:18" ht="90" x14ac:dyDescent="0.25">
      <c r="A2969" s="14" t="s">
        <v>9076</v>
      </c>
      <c r="B2969" s="14" t="s">
        <v>9077</v>
      </c>
      <c r="C2969" s="14" t="s">
        <v>8549</v>
      </c>
      <c r="D2969" s="14" t="s">
        <v>8531</v>
      </c>
      <c r="E2969" s="14" t="s">
        <v>8229</v>
      </c>
      <c r="F2969" s="14" t="s">
        <v>8230</v>
      </c>
      <c r="G2969" s="8" t="s">
        <v>8550</v>
      </c>
      <c r="H2969" s="14" t="s">
        <v>72</v>
      </c>
      <c r="I2969" s="14"/>
      <c r="J2969" s="14" t="s">
        <v>2870</v>
      </c>
      <c r="K2969" s="14"/>
      <c r="L2969" s="14"/>
      <c r="M2969" s="14" t="s">
        <v>8233</v>
      </c>
      <c r="N2969" s="14"/>
      <c r="O2969" s="14" t="s">
        <v>8234</v>
      </c>
      <c r="P2969" s="14" t="str">
        <f>HYPERLINK("https://ceds.ed.gov/cedselementdetails.aspx?termid=17280")</f>
        <v>https://ceds.ed.gov/cedselementdetails.aspx?termid=17280</v>
      </c>
      <c r="Q2969" s="14" t="str">
        <f>HYPERLINK("https://ceds.ed.gov/elementComment.aspx?elementName=Telephone Number Type &amp;elementID=17280", "Click here to submit comment")</f>
        <v>Click here to submit comment</v>
      </c>
      <c r="R2969" s="14">
        <v>49878</v>
      </c>
    </row>
    <row r="2970" spans="1:18" ht="90" x14ac:dyDescent="0.25">
      <c r="A2970" s="14" t="s">
        <v>9076</v>
      </c>
      <c r="B2970" s="14" t="s">
        <v>9077</v>
      </c>
      <c r="C2970" s="14" t="s">
        <v>8549</v>
      </c>
      <c r="D2970" s="14" t="s">
        <v>8531</v>
      </c>
      <c r="E2970" s="14" t="s">
        <v>6865</v>
      </c>
      <c r="F2970" s="14" t="s">
        <v>6866</v>
      </c>
      <c r="G2970" s="14" t="s">
        <v>24</v>
      </c>
      <c r="H2970" s="14" t="s">
        <v>72</v>
      </c>
      <c r="I2970" s="14"/>
      <c r="J2970" s="14"/>
      <c r="K2970" s="14"/>
      <c r="L2970" s="14"/>
      <c r="M2970" s="14" t="s">
        <v>6868</v>
      </c>
      <c r="N2970" s="14"/>
      <c r="O2970" s="14" t="s">
        <v>6869</v>
      </c>
      <c r="P2970" s="14" t="str">
        <f>HYPERLINK("https://ceds.ed.gov/cedselementdetails.aspx?termid=17219")</f>
        <v>https://ceds.ed.gov/cedselementdetails.aspx?termid=17219</v>
      </c>
      <c r="Q2970" s="14" t="str">
        <f>HYPERLINK("https://ceds.ed.gov/elementComment.aspx?elementName=Primary Telephone Number Indicator &amp;elementID=17219", "Click here to submit comment")</f>
        <v>Click here to submit comment</v>
      </c>
      <c r="R2970" s="14">
        <v>49879</v>
      </c>
    </row>
    <row r="2971" spans="1:18" ht="60" x14ac:dyDescent="0.25">
      <c r="A2971" s="14" t="s">
        <v>9076</v>
      </c>
      <c r="B2971" s="14" t="s">
        <v>9077</v>
      </c>
      <c r="C2971" s="14" t="s">
        <v>8549</v>
      </c>
      <c r="D2971" s="14" t="s">
        <v>8541</v>
      </c>
      <c r="E2971" s="14" t="s">
        <v>3651</v>
      </c>
      <c r="F2971" s="14" t="s">
        <v>3652</v>
      </c>
      <c r="G2971" s="14" t="s">
        <v>3430</v>
      </c>
      <c r="H2971" s="14"/>
      <c r="I2971" s="14" t="s">
        <v>188</v>
      </c>
      <c r="J2971" s="14"/>
      <c r="K2971" s="14" t="s">
        <v>1721</v>
      </c>
      <c r="L2971" s="14"/>
      <c r="M2971" s="14" t="s">
        <v>3654</v>
      </c>
      <c r="N2971" s="14"/>
      <c r="O2971" s="14" t="s">
        <v>3655</v>
      </c>
      <c r="P2971" s="14" t="str">
        <f>HYPERLINK("https://ceds.ed.gov/cedselementdetails.aspx?termid=18905")</f>
        <v>https://ceds.ed.gov/cedselementdetails.aspx?termid=18905</v>
      </c>
      <c r="Q2971" s="14" t="str">
        <f>HYPERLINK("https://ceds.ed.gov/elementComment.aspx?elementName=Do Not Publish Indicator &amp;elementID=18905", "Click here to submit comment")</f>
        <v>Click here to submit comment</v>
      </c>
      <c r="R2971" s="14">
        <v>52248</v>
      </c>
    </row>
    <row r="2972" spans="1:18" ht="60" x14ac:dyDescent="0.25">
      <c r="A2972" s="14" t="s">
        <v>9076</v>
      </c>
      <c r="B2972" s="14" t="s">
        <v>9077</v>
      </c>
      <c r="C2972" s="14" t="s">
        <v>8549</v>
      </c>
      <c r="D2972" s="14" t="s">
        <v>8541</v>
      </c>
      <c r="E2972" s="14" t="s">
        <v>8223</v>
      </c>
      <c r="F2972" s="14" t="s">
        <v>8224</v>
      </c>
      <c r="G2972" s="8" t="s">
        <v>8544</v>
      </c>
      <c r="H2972" s="14"/>
      <c r="I2972" s="14" t="s">
        <v>188</v>
      </c>
      <c r="J2972" s="14"/>
      <c r="K2972" s="14" t="s">
        <v>1721</v>
      </c>
      <c r="L2972" s="14"/>
      <c r="M2972" s="14" t="s">
        <v>8227</v>
      </c>
      <c r="N2972" s="14"/>
      <c r="O2972" s="14" t="s">
        <v>8228</v>
      </c>
      <c r="P2972" s="14" t="str">
        <f>HYPERLINK("https://ceds.ed.gov/cedselementdetails.aspx?termid=18911")</f>
        <v>https://ceds.ed.gov/cedselementdetails.aspx?termid=18911</v>
      </c>
      <c r="Q2972" s="14" t="str">
        <f>HYPERLINK("https://ceds.ed.gov/elementComment.aspx?elementName=Telephone Number Listed Status &amp;elementID=18911", "Click here to submit comment")</f>
        <v>Click here to submit comment</v>
      </c>
      <c r="R2972" s="14">
        <v>52249</v>
      </c>
    </row>
    <row r="2973" spans="1:18" ht="90" x14ac:dyDescent="0.25">
      <c r="A2973" s="14" t="s">
        <v>9076</v>
      </c>
      <c r="B2973" s="14" t="s">
        <v>9077</v>
      </c>
      <c r="C2973" s="14" t="s">
        <v>8551</v>
      </c>
      <c r="D2973" s="14" t="s">
        <v>8531</v>
      </c>
      <c r="E2973" s="14" t="s">
        <v>3931</v>
      </c>
      <c r="F2973" s="14" t="s">
        <v>3932</v>
      </c>
      <c r="G2973" s="14" t="s">
        <v>37</v>
      </c>
      <c r="H2973" s="14" t="s">
        <v>72</v>
      </c>
      <c r="I2973" s="14"/>
      <c r="J2973" s="14" t="s">
        <v>3934</v>
      </c>
      <c r="K2973" s="14"/>
      <c r="L2973" s="14"/>
      <c r="M2973" s="14" t="s">
        <v>3935</v>
      </c>
      <c r="N2973" s="14" t="s">
        <v>3936</v>
      </c>
      <c r="O2973" s="14" t="s">
        <v>3937</v>
      </c>
      <c r="P2973" s="14" t="str">
        <f>HYPERLINK("https://ceds.ed.gov/cedselementdetails.aspx?termid=17088")</f>
        <v>https://ceds.ed.gov/cedselementdetails.aspx?termid=17088</v>
      </c>
      <c r="Q2973" s="14" t="str">
        <f>HYPERLINK("https://ceds.ed.gov/elementComment.aspx?elementName=Electronic Mail Address &amp;elementID=17088", "Click here to submit comment")</f>
        <v>Click here to submit comment</v>
      </c>
      <c r="R2973" s="14">
        <v>49882</v>
      </c>
    </row>
    <row r="2974" spans="1:18" ht="90" x14ac:dyDescent="0.25">
      <c r="A2974" s="14" t="s">
        <v>9076</v>
      </c>
      <c r="B2974" s="14" t="s">
        <v>9077</v>
      </c>
      <c r="C2974" s="14" t="s">
        <v>8551</v>
      </c>
      <c r="D2974" s="14" t="s">
        <v>8531</v>
      </c>
      <c r="E2974" s="14" t="s">
        <v>3938</v>
      </c>
      <c r="F2974" s="14" t="s">
        <v>3939</v>
      </c>
      <c r="G2974" s="8" t="s">
        <v>8552</v>
      </c>
      <c r="H2974" s="14" t="s">
        <v>72</v>
      </c>
      <c r="I2974" s="14"/>
      <c r="J2974" s="14"/>
      <c r="K2974" s="14"/>
      <c r="L2974" s="14"/>
      <c r="M2974" s="14" t="s">
        <v>3941</v>
      </c>
      <c r="N2974" s="14" t="s">
        <v>3942</v>
      </c>
      <c r="O2974" s="14" t="s">
        <v>3943</v>
      </c>
      <c r="P2974" s="14" t="str">
        <f>HYPERLINK("https://ceds.ed.gov/cedselementdetails.aspx?termid=17089")</f>
        <v>https://ceds.ed.gov/cedselementdetails.aspx?termid=17089</v>
      </c>
      <c r="Q2974" s="14" t="str">
        <f>HYPERLINK("https://ceds.ed.gov/elementComment.aspx?elementName=Electronic Mail Address Type &amp;elementID=17089", "Click here to submit comment")</f>
        <v>Click here to submit comment</v>
      </c>
      <c r="R2974" s="14">
        <v>49881</v>
      </c>
    </row>
    <row r="2975" spans="1:18" ht="60" x14ac:dyDescent="0.25">
      <c r="A2975" s="14" t="s">
        <v>9076</v>
      </c>
      <c r="B2975" s="14" t="s">
        <v>9077</v>
      </c>
      <c r="C2975" s="14" t="s">
        <v>8551</v>
      </c>
      <c r="D2975" s="14" t="s">
        <v>8541</v>
      </c>
      <c r="E2975" s="14" t="s">
        <v>3651</v>
      </c>
      <c r="F2975" s="14" t="s">
        <v>3652</v>
      </c>
      <c r="G2975" s="14" t="s">
        <v>3430</v>
      </c>
      <c r="H2975" s="14"/>
      <c r="I2975" s="14" t="s">
        <v>188</v>
      </c>
      <c r="J2975" s="14"/>
      <c r="K2975" s="14" t="s">
        <v>1721</v>
      </c>
      <c r="L2975" s="14"/>
      <c r="M2975" s="14" t="s">
        <v>3654</v>
      </c>
      <c r="N2975" s="14"/>
      <c r="O2975" s="14" t="s">
        <v>3655</v>
      </c>
      <c r="P2975" s="14" t="str">
        <f>HYPERLINK("https://ceds.ed.gov/cedselementdetails.aspx?termid=18905")</f>
        <v>https://ceds.ed.gov/cedselementdetails.aspx?termid=18905</v>
      </c>
      <c r="Q2975" s="14" t="str">
        <f>HYPERLINK("https://ceds.ed.gov/elementComment.aspx?elementName=Do Not Publish Indicator &amp;elementID=18905", "Click here to submit comment")</f>
        <v>Click here to submit comment</v>
      </c>
      <c r="R2975" s="14">
        <v>52247</v>
      </c>
    </row>
    <row r="2976" spans="1:18" ht="240" x14ac:dyDescent="0.25">
      <c r="A2976" s="14" t="s">
        <v>9076</v>
      </c>
      <c r="B2976" s="14" t="s">
        <v>9077</v>
      </c>
      <c r="C2976" s="14" t="s">
        <v>8603</v>
      </c>
      <c r="D2976" s="14" t="s">
        <v>8531</v>
      </c>
      <c r="E2976" s="14" t="s">
        <v>1741</v>
      </c>
      <c r="F2976" s="14" t="s">
        <v>1742</v>
      </c>
      <c r="G2976" s="14" t="s">
        <v>37</v>
      </c>
      <c r="H2976" s="14" t="s">
        <v>1745</v>
      </c>
      <c r="I2976" s="14"/>
      <c r="J2976" s="14" t="s">
        <v>135</v>
      </c>
      <c r="K2976" s="14"/>
      <c r="L2976" s="14"/>
      <c r="M2976" s="14" t="s">
        <v>1744</v>
      </c>
      <c r="N2976" s="14"/>
      <c r="O2976" s="14" t="s">
        <v>1741</v>
      </c>
      <c r="P2976" s="14" t="str">
        <f>HYPERLINK("https://ceds.ed.gov/cedselementdetails.aspx?termid=17033")</f>
        <v>https://ceds.ed.gov/cedselementdetails.aspx?termid=17033</v>
      </c>
      <c r="Q2976" s="14" t="str">
        <f>HYPERLINK("https://ceds.ed.gov/elementComment.aspx?elementName=Birthdate &amp;elementID=17033", "Click here to submit comment")</f>
        <v>Click here to submit comment</v>
      </c>
      <c r="R2976" s="14">
        <v>49864</v>
      </c>
    </row>
    <row r="2977" spans="1:18" ht="255" x14ac:dyDescent="0.25">
      <c r="A2977" s="14" t="s">
        <v>9076</v>
      </c>
      <c r="B2977" s="14" t="s">
        <v>9077</v>
      </c>
      <c r="C2977" s="14" t="s">
        <v>8603</v>
      </c>
      <c r="D2977" s="14" t="s">
        <v>8531</v>
      </c>
      <c r="E2977" s="14" t="s">
        <v>7756</v>
      </c>
      <c r="F2977" s="14" t="s">
        <v>7757</v>
      </c>
      <c r="G2977" s="8" t="s">
        <v>8604</v>
      </c>
      <c r="H2977" s="14" t="s">
        <v>7761</v>
      </c>
      <c r="I2977" s="14"/>
      <c r="J2977" s="14"/>
      <c r="K2977" s="14"/>
      <c r="L2977" s="14" t="s">
        <v>7759</v>
      </c>
      <c r="M2977" s="14" t="s">
        <v>7760</v>
      </c>
      <c r="N2977" s="14"/>
      <c r="O2977" s="14" t="s">
        <v>7756</v>
      </c>
      <c r="P2977" s="14" t="str">
        <f>HYPERLINK("https://ceds.ed.gov/cedselementdetails.aspx?termid=17255")</f>
        <v>https://ceds.ed.gov/cedselementdetails.aspx?termid=17255</v>
      </c>
      <c r="Q2977" s="14" t="str">
        <f>HYPERLINK("https://ceds.ed.gov/elementComment.aspx?elementName=Sex &amp;elementID=17255", "Click here to submit comment")</f>
        <v>Click here to submit comment</v>
      </c>
      <c r="R2977" s="14">
        <v>49865</v>
      </c>
    </row>
    <row r="2978" spans="1:18" ht="30" x14ac:dyDescent="0.25">
      <c r="A2978" s="16" t="s">
        <v>9076</v>
      </c>
      <c r="B2978" s="16" t="s">
        <v>9077</v>
      </c>
      <c r="C2978" s="16" t="s">
        <v>8603</v>
      </c>
      <c r="D2978" s="16" t="s">
        <v>8531</v>
      </c>
      <c r="E2978" s="16" t="s">
        <v>418</v>
      </c>
      <c r="F2978" s="16" t="s">
        <v>419</v>
      </c>
      <c r="G2978" s="18" t="s">
        <v>8605</v>
      </c>
      <c r="H2978" s="16" t="s">
        <v>426</v>
      </c>
      <c r="I2978" s="16"/>
      <c r="J2978" s="16"/>
      <c r="K2978" s="16"/>
      <c r="L2978" s="14" t="s">
        <v>422</v>
      </c>
      <c r="M2978" s="16" t="s">
        <v>423</v>
      </c>
      <c r="N2978" s="16" t="s">
        <v>424</v>
      </c>
      <c r="O2978" s="16" t="s">
        <v>425</v>
      </c>
      <c r="P2978" s="16" t="str">
        <f>HYPERLINK("https://ceds.ed.gov/cedselementdetails.aspx?termid=17655")</f>
        <v>https://ceds.ed.gov/cedselementdetails.aspx?termid=17655</v>
      </c>
      <c r="Q2978" s="16" t="str">
        <f>HYPERLINK("https://ceds.ed.gov/elementComment.aspx?elementName=American Indian or Alaska Native &amp;elementID=17655", "Click here to submit comment")</f>
        <v>Click here to submit comment</v>
      </c>
      <c r="R2978" s="16">
        <v>49866</v>
      </c>
    </row>
    <row r="2979" spans="1:18" x14ac:dyDescent="0.25">
      <c r="A2979" s="16"/>
      <c r="B2979" s="16"/>
      <c r="C2979" s="16"/>
      <c r="D2979" s="16"/>
      <c r="E2979" s="16"/>
      <c r="F2979" s="16"/>
      <c r="G2979" s="16"/>
      <c r="H2979" s="16"/>
      <c r="I2979" s="16"/>
      <c r="J2979" s="16"/>
      <c r="K2979" s="16"/>
      <c r="L2979" s="14"/>
      <c r="M2979" s="16"/>
      <c r="N2979" s="16"/>
      <c r="O2979" s="16"/>
      <c r="P2979" s="16"/>
      <c r="Q2979" s="16"/>
      <c r="R2979" s="16"/>
    </row>
    <row r="2980" spans="1:18" x14ac:dyDescent="0.25">
      <c r="A2980" s="16"/>
      <c r="B2980" s="16"/>
      <c r="C2980" s="16"/>
      <c r="D2980" s="16"/>
      <c r="E2980" s="16"/>
      <c r="F2980" s="16"/>
      <c r="G2980" s="16"/>
      <c r="H2980" s="16"/>
      <c r="I2980" s="16"/>
      <c r="J2980" s="16"/>
      <c r="K2980" s="16"/>
      <c r="L2980" s="14" t="s">
        <v>427</v>
      </c>
      <c r="M2980" s="16"/>
      <c r="N2980" s="16"/>
      <c r="O2980" s="16"/>
      <c r="P2980" s="16"/>
      <c r="Q2980" s="16"/>
      <c r="R2980" s="16"/>
    </row>
    <row r="2981" spans="1:18" ht="30" x14ac:dyDescent="0.25">
      <c r="A2981" s="16"/>
      <c r="B2981" s="16"/>
      <c r="C2981" s="16"/>
      <c r="D2981" s="16"/>
      <c r="E2981" s="16"/>
      <c r="F2981" s="16"/>
      <c r="G2981" s="16"/>
      <c r="H2981" s="16"/>
      <c r="I2981" s="16"/>
      <c r="J2981" s="16"/>
      <c r="K2981" s="16"/>
      <c r="L2981" s="14" t="s">
        <v>428</v>
      </c>
      <c r="M2981" s="16"/>
      <c r="N2981" s="16"/>
      <c r="O2981" s="16"/>
      <c r="P2981" s="16"/>
      <c r="Q2981" s="16"/>
      <c r="R2981" s="16"/>
    </row>
    <row r="2982" spans="1:18" x14ac:dyDescent="0.25">
      <c r="A2982" s="16"/>
      <c r="B2982" s="16"/>
      <c r="C2982" s="16"/>
      <c r="D2982" s="16"/>
      <c r="E2982" s="16"/>
      <c r="F2982" s="16"/>
      <c r="G2982" s="16"/>
      <c r="H2982" s="16"/>
      <c r="I2982" s="16"/>
      <c r="J2982" s="16"/>
      <c r="K2982" s="16"/>
      <c r="L2982" s="14" t="s">
        <v>429</v>
      </c>
      <c r="M2982" s="16"/>
      <c r="N2982" s="16"/>
      <c r="O2982" s="16"/>
      <c r="P2982" s="16"/>
      <c r="Q2982" s="16"/>
      <c r="R2982" s="16"/>
    </row>
    <row r="2983" spans="1:18" ht="30" x14ac:dyDescent="0.25">
      <c r="A2983" s="16" t="s">
        <v>9076</v>
      </c>
      <c r="B2983" s="16" t="s">
        <v>9077</v>
      </c>
      <c r="C2983" s="16" t="s">
        <v>8603</v>
      </c>
      <c r="D2983" s="16" t="s">
        <v>8531</v>
      </c>
      <c r="E2983" s="16" t="s">
        <v>468</v>
      </c>
      <c r="F2983" s="16" t="s">
        <v>469</v>
      </c>
      <c r="G2983" s="18" t="s">
        <v>8605</v>
      </c>
      <c r="H2983" s="16" t="s">
        <v>426</v>
      </c>
      <c r="I2983" s="16"/>
      <c r="J2983" s="16"/>
      <c r="K2983" s="16"/>
      <c r="L2983" s="14" t="s">
        <v>422</v>
      </c>
      <c r="M2983" s="16" t="s">
        <v>470</v>
      </c>
      <c r="N2983" s="16" t="s">
        <v>471</v>
      </c>
      <c r="O2983" s="16" t="s">
        <v>468</v>
      </c>
      <c r="P2983" s="16" t="str">
        <f>HYPERLINK("https://ceds.ed.gov/cedselementdetails.aspx?termid=17656")</f>
        <v>https://ceds.ed.gov/cedselementdetails.aspx?termid=17656</v>
      </c>
      <c r="Q2983" s="16" t="str">
        <f>HYPERLINK("https://ceds.ed.gov/elementComment.aspx?elementName=Asian &amp;elementID=17656", "Click here to submit comment")</f>
        <v>Click here to submit comment</v>
      </c>
      <c r="R2983" s="16">
        <v>49867</v>
      </c>
    </row>
    <row r="2984" spans="1:18" x14ac:dyDescent="0.25">
      <c r="A2984" s="16"/>
      <c r="B2984" s="16"/>
      <c r="C2984" s="16"/>
      <c r="D2984" s="16"/>
      <c r="E2984" s="16"/>
      <c r="F2984" s="16"/>
      <c r="G2984" s="16"/>
      <c r="H2984" s="16"/>
      <c r="I2984" s="16"/>
      <c r="J2984" s="16"/>
      <c r="K2984" s="16"/>
      <c r="L2984" s="14"/>
      <c r="M2984" s="16"/>
      <c r="N2984" s="16"/>
      <c r="O2984" s="16"/>
      <c r="P2984" s="16"/>
      <c r="Q2984" s="16"/>
      <c r="R2984" s="16"/>
    </row>
    <row r="2985" spans="1:18" x14ac:dyDescent="0.25">
      <c r="A2985" s="16"/>
      <c r="B2985" s="16"/>
      <c r="C2985" s="16"/>
      <c r="D2985" s="16"/>
      <c r="E2985" s="16"/>
      <c r="F2985" s="16"/>
      <c r="G2985" s="16"/>
      <c r="H2985" s="16"/>
      <c r="I2985" s="16"/>
      <c r="J2985" s="16"/>
      <c r="K2985" s="16"/>
      <c r="L2985" s="14" t="s">
        <v>427</v>
      </c>
      <c r="M2985" s="16"/>
      <c r="N2985" s="16"/>
      <c r="O2985" s="16"/>
      <c r="P2985" s="16"/>
      <c r="Q2985" s="16"/>
      <c r="R2985" s="16"/>
    </row>
    <row r="2986" spans="1:18" ht="30" x14ac:dyDescent="0.25">
      <c r="A2986" s="16"/>
      <c r="B2986" s="16"/>
      <c r="C2986" s="16"/>
      <c r="D2986" s="16"/>
      <c r="E2986" s="16"/>
      <c r="F2986" s="16"/>
      <c r="G2986" s="16"/>
      <c r="H2986" s="16"/>
      <c r="I2986" s="16"/>
      <c r="J2986" s="16"/>
      <c r="K2986" s="16"/>
      <c r="L2986" s="14" t="s">
        <v>428</v>
      </c>
      <c r="M2986" s="16"/>
      <c r="N2986" s="16"/>
      <c r="O2986" s="16"/>
      <c r="P2986" s="16"/>
      <c r="Q2986" s="16"/>
      <c r="R2986" s="16"/>
    </row>
    <row r="2987" spans="1:18" x14ac:dyDescent="0.25">
      <c r="A2987" s="16"/>
      <c r="B2987" s="16"/>
      <c r="C2987" s="16"/>
      <c r="D2987" s="16"/>
      <c r="E2987" s="16"/>
      <c r="F2987" s="16"/>
      <c r="G2987" s="16"/>
      <c r="H2987" s="16"/>
      <c r="I2987" s="16"/>
      <c r="J2987" s="16"/>
      <c r="K2987" s="16"/>
      <c r="L2987" s="14" t="s">
        <v>429</v>
      </c>
      <c r="M2987" s="16"/>
      <c r="N2987" s="16"/>
      <c r="O2987" s="16"/>
      <c r="P2987" s="16"/>
      <c r="Q2987" s="16"/>
      <c r="R2987" s="16"/>
    </row>
    <row r="2988" spans="1:18" ht="30" x14ac:dyDescent="0.25">
      <c r="A2988" s="16" t="s">
        <v>9076</v>
      </c>
      <c r="B2988" s="16" t="s">
        <v>9077</v>
      </c>
      <c r="C2988" s="16" t="s">
        <v>8603</v>
      </c>
      <c r="D2988" s="16" t="s">
        <v>8531</v>
      </c>
      <c r="E2988" s="16" t="s">
        <v>1752</v>
      </c>
      <c r="F2988" s="16" t="s">
        <v>1753</v>
      </c>
      <c r="G2988" s="18" t="s">
        <v>8605</v>
      </c>
      <c r="H2988" s="16" t="s">
        <v>426</v>
      </c>
      <c r="I2988" s="16"/>
      <c r="J2988" s="16"/>
      <c r="K2988" s="16"/>
      <c r="L2988" s="14" t="s">
        <v>422</v>
      </c>
      <c r="M2988" s="16" t="s">
        <v>1754</v>
      </c>
      <c r="N2988" s="16" t="s">
        <v>1755</v>
      </c>
      <c r="O2988" s="16" t="s">
        <v>1756</v>
      </c>
      <c r="P2988" s="16" t="str">
        <f>HYPERLINK("https://ceds.ed.gov/cedselementdetails.aspx?termid=17657")</f>
        <v>https://ceds.ed.gov/cedselementdetails.aspx?termid=17657</v>
      </c>
      <c r="Q2988" s="16" t="str">
        <f>HYPERLINK("https://ceds.ed.gov/elementComment.aspx?elementName=Black or African American &amp;elementID=17657", "Click here to submit comment")</f>
        <v>Click here to submit comment</v>
      </c>
      <c r="R2988" s="16">
        <v>49868</v>
      </c>
    </row>
    <row r="2989" spans="1:18" x14ac:dyDescent="0.25">
      <c r="A2989" s="16"/>
      <c r="B2989" s="16"/>
      <c r="C2989" s="16"/>
      <c r="D2989" s="16"/>
      <c r="E2989" s="16"/>
      <c r="F2989" s="16"/>
      <c r="G2989" s="16"/>
      <c r="H2989" s="16"/>
      <c r="I2989" s="16"/>
      <c r="J2989" s="16"/>
      <c r="K2989" s="16"/>
      <c r="L2989" s="14"/>
      <c r="M2989" s="16"/>
      <c r="N2989" s="16"/>
      <c r="O2989" s="16"/>
      <c r="P2989" s="16"/>
      <c r="Q2989" s="16"/>
      <c r="R2989" s="16"/>
    </row>
    <row r="2990" spans="1:18" x14ac:dyDescent="0.25">
      <c r="A2990" s="16"/>
      <c r="B2990" s="16"/>
      <c r="C2990" s="16"/>
      <c r="D2990" s="16"/>
      <c r="E2990" s="16"/>
      <c r="F2990" s="16"/>
      <c r="G2990" s="16"/>
      <c r="H2990" s="16"/>
      <c r="I2990" s="16"/>
      <c r="J2990" s="16"/>
      <c r="K2990" s="16"/>
      <c r="L2990" s="14" t="s">
        <v>427</v>
      </c>
      <c r="M2990" s="16"/>
      <c r="N2990" s="16"/>
      <c r="O2990" s="16"/>
      <c r="P2990" s="16"/>
      <c r="Q2990" s="16"/>
      <c r="R2990" s="16"/>
    </row>
    <row r="2991" spans="1:18" ht="30" x14ac:dyDescent="0.25">
      <c r="A2991" s="16"/>
      <c r="B2991" s="16"/>
      <c r="C2991" s="16"/>
      <c r="D2991" s="16"/>
      <c r="E2991" s="16"/>
      <c r="F2991" s="16"/>
      <c r="G2991" s="16"/>
      <c r="H2991" s="16"/>
      <c r="I2991" s="16"/>
      <c r="J2991" s="16"/>
      <c r="K2991" s="16"/>
      <c r="L2991" s="14" t="s">
        <v>428</v>
      </c>
      <c r="M2991" s="16"/>
      <c r="N2991" s="16"/>
      <c r="O2991" s="16"/>
      <c r="P2991" s="16"/>
      <c r="Q2991" s="16"/>
      <c r="R2991" s="16"/>
    </row>
    <row r="2992" spans="1:18" x14ac:dyDescent="0.25">
      <c r="A2992" s="16"/>
      <c r="B2992" s="16"/>
      <c r="C2992" s="16"/>
      <c r="D2992" s="16"/>
      <c r="E2992" s="16"/>
      <c r="F2992" s="16"/>
      <c r="G2992" s="16"/>
      <c r="H2992" s="16"/>
      <c r="I2992" s="16"/>
      <c r="J2992" s="16"/>
      <c r="K2992" s="16"/>
      <c r="L2992" s="14" t="s">
        <v>429</v>
      </c>
      <c r="M2992" s="16"/>
      <c r="N2992" s="16"/>
      <c r="O2992" s="16"/>
      <c r="P2992" s="16"/>
      <c r="Q2992" s="16"/>
      <c r="R2992" s="16"/>
    </row>
    <row r="2993" spans="1:18" ht="30" x14ac:dyDescent="0.25">
      <c r="A2993" s="16" t="s">
        <v>9076</v>
      </c>
      <c r="B2993" s="16" t="s">
        <v>9077</v>
      </c>
      <c r="C2993" s="16" t="s">
        <v>8603</v>
      </c>
      <c r="D2993" s="16" t="s">
        <v>8531</v>
      </c>
      <c r="E2993" s="16" t="s">
        <v>6378</v>
      </c>
      <c r="F2993" s="16" t="s">
        <v>6379</v>
      </c>
      <c r="G2993" s="18" t="s">
        <v>8605</v>
      </c>
      <c r="H2993" s="16" t="s">
        <v>426</v>
      </c>
      <c r="I2993" s="16"/>
      <c r="J2993" s="16"/>
      <c r="K2993" s="16"/>
      <c r="L2993" s="14" t="s">
        <v>422</v>
      </c>
      <c r="M2993" s="16" t="s">
        <v>6380</v>
      </c>
      <c r="N2993" s="16" t="s">
        <v>6381</v>
      </c>
      <c r="O2993" s="16" t="s">
        <v>6382</v>
      </c>
      <c r="P2993" s="16" t="str">
        <f>HYPERLINK("https://ceds.ed.gov/cedselementdetails.aspx?termid=17658")</f>
        <v>https://ceds.ed.gov/cedselementdetails.aspx?termid=17658</v>
      </c>
      <c r="Q2993" s="16" t="str">
        <f>HYPERLINK("https://ceds.ed.gov/elementComment.aspx?elementName=Native Hawaiian or Other Pacific Islander &amp;elementID=17658", "Click here to submit comment")</f>
        <v>Click here to submit comment</v>
      </c>
      <c r="R2993" s="16">
        <v>49869</v>
      </c>
    </row>
    <row r="2994" spans="1:18" x14ac:dyDescent="0.25">
      <c r="A2994" s="16"/>
      <c r="B2994" s="16"/>
      <c r="C2994" s="16"/>
      <c r="D2994" s="16"/>
      <c r="E2994" s="16"/>
      <c r="F2994" s="16"/>
      <c r="G2994" s="16"/>
      <c r="H2994" s="16"/>
      <c r="I2994" s="16"/>
      <c r="J2994" s="16"/>
      <c r="K2994" s="16"/>
      <c r="L2994" s="14"/>
      <c r="M2994" s="16"/>
      <c r="N2994" s="16"/>
      <c r="O2994" s="16"/>
      <c r="P2994" s="16"/>
      <c r="Q2994" s="16"/>
      <c r="R2994" s="16"/>
    </row>
    <row r="2995" spans="1:18" x14ac:dyDescent="0.25">
      <c r="A2995" s="16"/>
      <c r="B2995" s="16"/>
      <c r="C2995" s="16"/>
      <c r="D2995" s="16"/>
      <c r="E2995" s="16"/>
      <c r="F2995" s="16"/>
      <c r="G2995" s="16"/>
      <c r="H2995" s="16"/>
      <c r="I2995" s="16"/>
      <c r="J2995" s="16"/>
      <c r="K2995" s="16"/>
      <c r="L2995" s="14" t="s">
        <v>427</v>
      </c>
      <c r="M2995" s="16"/>
      <c r="N2995" s="16"/>
      <c r="O2995" s="16"/>
      <c r="P2995" s="16"/>
      <c r="Q2995" s="16"/>
      <c r="R2995" s="16"/>
    </row>
    <row r="2996" spans="1:18" ht="30" x14ac:dyDescent="0.25">
      <c r="A2996" s="16"/>
      <c r="B2996" s="16"/>
      <c r="C2996" s="16"/>
      <c r="D2996" s="16"/>
      <c r="E2996" s="16"/>
      <c r="F2996" s="16"/>
      <c r="G2996" s="16"/>
      <c r="H2996" s="16"/>
      <c r="I2996" s="16"/>
      <c r="J2996" s="16"/>
      <c r="K2996" s="16"/>
      <c r="L2996" s="14" t="s">
        <v>428</v>
      </c>
      <c r="M2996" s="16"/>
      <c r="N2996" s="16"/>
      <c r="O2996" s="16"/>
      <c r="P2996" s="16"/>
      <c r="Q2996" s="16"/>
      <c r="R2996" s="16"/>
    </row>
    <row r="2997" spans="1:18" x14ac:dyDescent="0.25">
      <c r="A2997" s="16"/>
      <c r="B2997" s="16"/>
      <c r="C2997" s="16"/>
      <c r="D2997" s="16"/>
      <c r="E2997" s="16"/>
      <c r="F2997" s="16"/>
      <c r="G2997" s="16"/>
      <c r="H2997" s="16"/>
      <c r="I2997" s="16"/>
      <c r="J2997" s="16"/>
      <c r="K2997" s="16"/>
      <c r="L2997" s="14" t="s">
        <v>429</v>
      </c>
      <c r="M2997" s="16"/>
      <c r="N2997" s="16"/>
      <c r="O2997" s="16"/>
      <c r="P2997" s="16"/>
      <c r="Q2997" s="16"/>
      <c r="R2997" s="16"/>
    </row>
    <row r="2998" spans="1:18" ht="30" x14ac:dyDescent="0.25">
      <c r="A2998" s="16" t="s">
        <v>9076</v>
      </c>
      <c r="B2998" s="16" t="s">
        <v>9077</v>
      </c>
      <c r="C2998" s="16" t="s">
        <v>8603</v>
      </c>
      <c r="D2998" s="16" t="s">
        <v>8531</v>
      </c>
      <c r="E2998" s="16" t="s">
        <v>8488</v>
      </c>
      <c r="F2998" s="16" t="s">
        <v>8489</v>
      </c>
      <c r="G2998" s="18" t="s">
        <v>8605</v>
      </c>
      <c r="H2998" s="16" t="s">
        <v>426</v>
      </c>
      <c r="I2998" s="16"/>
      <c r="J2998" s="16"/>
      <c r="K2998" s="16"/>
      <c r="L2998" s="14" t="s">
        <v>422</v>
      </c>
      <c r="M2998" s="16" t="s">
        <v>8490</v>
      </c>
      <c r="N2998" s="16" t="s">
        <v>8491</v>
      </c>
      <c r="O2998" s="16" t="s">
        <v>8488</v>
      </c>
      <c r="P2998" s="16" t="str">
        <f>HYPERLINK("https://ceds.ed.gov/cedselementdetails.aspx?termid=17659")</f>
        <v>https://ceds.ed.gov/cedselementdetails.aspx?termid=17659</v>
      </c>
      <c r="Q2998" s="16" t="str">
        <f>HYPERLINK("https://ceds.ed.gov/elementComment.aspx?elementName=White &amp;elementID=17659", "Click here to submit comment")</f>
        <v>Click here to submit comment</v>
      </c>
      <c r="R2998" s="16">
        <v>49870</v>
      </c>
    </row>
    <row r="2999" spans="1:18" x14ac:dyDescent="0.25">
      <c r="A2999" s="16"/>
      <c r="B2999" s="16"/>
      <c r="C2999" s="16"/>
      <c r="D2999" s="16"/>
      <c r="E2999" s="16"/>
      <c r="F2999" s="16"/>
      <c r="G2999" s="16"/>
      <c r="H2999" s="16"/>
      <c r="I2999" s="16"/>
      <c r="J2999" s="16"/>
      <c r="K2999" s="16"/>
      <c r="L2999" s="14"/>
      <c r="M2999" s="16"/>
      <c r="N2999" s="16"/>
      <c r="O2999" s="16"/>
      <c r="P2999" s="16"/>
      <c r="Q2999" s="16"/>
      <c r="R2999" s="16"/>
    </row>
    <row r="3000" spans="1:18" x14ac:dyDescent="0.25">
      <c r="A3000" s="16"/>
      <c r="B3000" s="16"/>
      <c r="C3000" s="16"/>
      <c r="D3000" s="16"/>
      <c r="E3000" s="16"/>
      <c r="F3000" s="16"/>
      <c r="G3000" s="16"/>
      <c r="H3000" s="16"/>
      <c r="I3000" s="16"/>
      <c r="J3000" s="16"/>
      <c r="K3000" s="16"/>
      <c r="L3000" s="14" t="s">
        <v>427</v>
      </c>
      <c r="M3000" s="16"/>
      <c r="N3000" s="16"/>
      <c r="O3000" s="16"/>
      <c r="P3000" s="16"/>
      <c r="Q3000" s="16"/>
      <c r="R3000" s="16"/>
    </row>
    <row r="3001" spans="1:18" ht="30" x14ac:dyDescent="0.25">
      <c r="A3001" s="16"/>
      <c r="B3001" s="16"/>
      <c r="C3001" s="16"/>
      <c r="D3001" s="16"/>
      <c r="E3001" s="16"/>
      <c r="F3001" s="16"/>
      <c r="G3001" s="16"/>
      <c r="H3001" s="16"/>
      <c r="I3001" s="16"/>
      <c r="J3001" s="16"/>
      <c r="K3001" s="16"/>
      <c r="L3001" s="14" t="s">
        <v>428</v>
      </c>
      <c r="M3001" s="16"/>
      <c r="N3001" s="16"/>
      <c r="O3001" s="16"/>
      <c r="P3001" s="16"/>
      <c r="Q3001" s="16"/>
      <c r="R3001" s="16"/>
    </row>
    <row r="3002" spans="1:18" x14ac:dyDescent="0.25">
      <c r="A3002" s="16"/>
      <c r="B3002" s="16"/>
      <c r="C3002" s="16"/>
      <c r="D3002" s="16"/>
      <c r="E3002" s="16"/>
      <c r="F3002" s="16"/>
      <c r="G3002" s="16"/>
      <c r="H3002" s="16"/>
      <c r="I3002" s="16"/>
      <c r="J3002" s="16"/>
      <c r="K3002" s="16"/>
      <c r="L3002" s="14" t="s">
        <v>429</v>
      </c>
      <c r="M3002" s="16"/>
      <c r="N3002" s="16"/>
      <c r="O3002" s="16"/>
      <c r="P3002" s="16"/>
      <c r="Q3002" s="16"/>
      <c r="R3002" s="16"/>
    </row>
    <row r="3003" spans="1:18" ht="30" x14ac:dyDescent="0.25">
      <c r="A3003" s="16" t="s">
        <v>9076</v>
      </c>
      <c r="B3003" s="16" t="s">
        <v>9077</v>
      </c>
      <c r="C3003" s="16" t="s">
        <v>8603</v>
      </c>
      <c r="D3003" s="16" t="s">
        <v>8531</v>
      </c>
      <c r="E3003" s="16" t="s">
        <v>5008</v>
      </c>
      <c r="F3003" s="16" t="s">
        <v>5009</v>
      </c>
      <c r="G3003" s="18" t="s">
        <v>8605</v>
      </c>
      <c r="H3003" s="16" t="s">
        <v>426</v>
      </c>
      <c r="I3003" s="16"/>
      <c r="J3003" s="16"/>
      <c r="K3003" s="16"/>
      <c r="L3003" s="14" t="s">
        <v>422</v>
      </c>
      <c r="M3003" s="16" t="s">
        <v>5010</v>
      </c>
      <c r="N3003" s="16"/>
      <c r="O3003" s="16" t="s">
        <v>5011</v>
      </c>
      <c r="P3003" s="16" t="str">
        <f>HYPERLINK("https://ceds.ed.gov/cedselementdetails.aspx?termid=17144")</f>
        <v>https://ceds.ed.gov/cedselementdetails.aspx?termid=17144</v>
      </c>
      <c r="Q3003" s="16" t="str">
        <f>HYPERLINK("https://ceds.ed.gov/elementComment.aspx?elementName=Hispanic or Latino Ethnicity &amp;elementID=17144", "Click here to submit comment")</f>
        <v>Click here to submit comment</v>
      </c>
      <c r="R3003" s="16">
        <v>49871</v>
      </c>
    </row>
    <row r="3004" spans="1:18" x14ac:dyDescent="0.25">
      <c r="A3004" s="16"/>
      <c r="B3004" s="16"/>
      <c r="C3004" s="16"/>
      <c r="D3004" s="16"/>
      <c r="E3004" s="16"/>
      <c r="F3004" s="16"/>
      <c r="G3004" s="16"/>
      <c r="H3004" s="16"/>
      <c r="I3004" s="16"/>
      <c r="J3004" s="16"/>
      <c r="K3004" s="16"/>
      <c r="L3004" s="14"/>
      <c r="M3004" s="16"/>
      <c r="N3004" s="16"/>
      <c r="O3004" s="16"/>
      <c r="P3004" s="16"/>
      <c r="Q3004" s="16"/>
      <c r="R3004" s="16"/>
    </row>
    <row r="3005" spans="1:18" x14ac:dyDescent="0.25">
      <c r="A3005" s="16"/>
      <c r="B3005" s="16"/>
      <c r="C3005" s="16"/>
      <c r="D3005" s="16"/>
      <c r="E3005" s="16"/>
      <c r="F3005" s="16"/>
      <c r="G3005" s="16"/>
      <c r="H3005" s="16"/>
      <c r="I3005" s="16"/>
      <c r="J3005" s="16"/>
      <c r="K3005" s="16"/>
      <c r="L3005" s="14" t="s">
        <v>427</v>
      </c>
      <c r="M3005" s="16"/>
      <c r="N3005" s="16"/>
      <c r="O3005" s="16"/>
      <c r="P3005" s="16"/>
      <c r="Q3005" s="16"/>
      <c r="R3005" s="16"/>
    </row>
    <row r="3006" spans="1:18" ht="30" x14ac:dyDescent="0.25">
      <c r="A3006" s="16"/>
      <c r="B3006" s="16"/>
      <c r="C3006" s="16"/>
      <c r="D3006" s="16"/>
      <c r="E3006" s="16"/>
      <c r="F3006" s="16"/>
      <c r="G3006" s="16"/>
      <c r="H3006" s="16"/>
      <c r="I3006" s="16"/>
      <c r="J3006" s="16"/>
      <c r="K3006" s="16"/>
      <c r="L3006" s="14" t="s">
        <v>428</v>
      </c>
      <c r="M3006" s="16"/>
      <c r="N3006" s="16"/>
      <c r="O3006" s="16"/>
      <c r="P3006" s="16"/>
      <c r="Q3006" s="16"/>
      <c r="R3006" s="16"/>
    </row>
    <row r="3007" spans="1:18" x14ac:dyDescent="0.25">
      <c r="A3007" s="16"/>
      <c r="B3007" s="16"/>
      <c r="C3007" s="16"/>
      <c r="D3007" s="16"/>
      <c r="E3007" s="16"/>
      <c r="F3007" s="16"/>
      <c r="G3007" s="16"/>
      <c r="H3007" s="16"/>
      <c r="I3007" s="16"/>
      <c r="J3007" s="16"/>
      <c r="K3007" s="16"/>
      <c r="L3007" s="14" t="s">
        <v>429</v>
      </c>
      <c r="M3007" s="16"/>
      <c r="N3007" s="16"/>
      <c r="O3007" s="16"/>
      <c r="P3007" s="16"/>
      <c r="Q3007" s="16"/>
      <c r="R3007" s="16"/>
    </row>
    <row r="3008" spans="1:18" ht="75" x14ac:dyDescent="0.25">
      <c r="A3008" s="14" t="s">
        <v>9076</v>
      </c>
      <c r="B3008" s="14" t="s">
        <v>9077</v>
      </c>
      <c r="C3008" s="14" t="s">
        <v>8603</v>
      </c>
      <c r="D3008" s="14" t="s">
        <v>8531</v>
      </c>
      <c r="E3008" s="14" t="s">
        <v>3488</v>
      </c>
      <c r="F3008" s="14" t="s">
        <v>3489</v>
      </c>
      <c r="G3008" s="14" t="s">
        <v>24</v>
      </c>
      <c r="H3008" s="14"/>
      <c r="I3008" s="14"/>
      <c r="J3008" s="14"/>
      <c r="K3008" s="14"/>
      <c r="L3008" s="14" t="s">
        <v>3490</v>
      </c>
      <c r="M3008" s="14" t="s">
        <v>3491</v>
      </c>
      <c r="N3008" s="14"/>
      <c r="O3008" s="14" t="s">
        <v>3492</v>
      </c>
      <c r="P3008" s="14" t="str">
        <f>HYPERLINK("https://ceds.ed.gov/cedselementdetails.aspx?termid=17974")</f>
        <v>https://ceds.ed.gov/cedselementdetails.aspx?termid=17974</v>
      </c>
      <c r="Q3008" s="14" t="str">
        <f>HYPERLINK("https://ceds.ed.gov/elementComment.aspx?elementName=Demographic Race Two or More Races &amp;elementID=17974", "Click here to submit comment")</f>
        <v>Click here to submit comment</v>
      </c>
      <c r="R3008" s="14">
        <v>52158</v>
      </c>
    </row>
    <row r="3009" spans="1:18" ht="409.5" x14ac:dyDescent="0.25">
      <c r="A3009" s="14" t="s">
        <v>9076</v>
      </c>
      <c r="B3009" s="14" t="s">
        <v>9077</v>
      </c>
      <c r="C3009" s="14" t="s">
        <v>8603</v>
      </c>
      <c r="D3009" s="14" t="s">
        <v>8541</v>
      </c>
      <c r="E3009" s="14" t="s">
        <v>2853</v>
      </c>
      <c r="F3009" s="14" t="s">
        <v>2854</v>
      </c>
      <c r="G3009" s="8" t="s">
        <v>8548</v>
      </c>
      <c r="H3009" s="14" t="s">
        <v>2859</v>
      </c>
      <c r="I3009" s="14" t="s">
        <v>195</v>
      </c>
      <c r="J3009" s="14"/>
      <c r="K3009" s="14" t="s">
        <v>2856</v>
      </c>
      <c r="L3009" s="6" t="s">
        <v>2849</v>
      </c>
      <c r="M3009" s="14" t="s">
        <v>2857</v>
      </c>
      <c r="N3009" s="14"/>
      <c r="O3009" s="14" t="s">
        <v>2858</v>
      </c>
      <c r="P3009" s="14" t="str">
        <f>HYPERLINK("https://ceds.ed.gov/cedselementdetails.aspx?termid=17051")</f>
        <v>https://ceds.ed.gov/cedselementdetails.aspx?termid=17051</v>
      </c>
      <c r="Q3009" s="14" t="str">
        <f>HYPERLINK("https://ceds.ed.gov/elementComment.aspx?elementName=Country of Birth Code &amp;elementID=17051", "Click here to submit comment")</f>
        <v>Click here to submit comment</v>
      </c>
      <c r="R3009" s="14">
        <v>52250</v>
      </c>
    </row>
    <row r="3010" spans="1:18" ht="120" x14ac:dyDescent="0.25">
      <c r="A3010" s="14" t="s">
        <v>9076</v>
      </c>
      <c r="B3010" s="14" t="s">
        <v>9077</v>
      </c>
      <c r="C3010" s="14" t="s">
        <v>8603</v>
      </c>
      <c r="D3010" s="14" t="s">
        <v>8541</v>
      </c>
      <c r="E3010" s="14" t="s">
        <v>7940</v>
      </c>
      <c r="F3010" s="14" t="s">
        <v>7941</v>
      </c>
      <c r="G3010" s="14" t="s">
        <v>37</v>
      </c>
      <c r="H3010" s="14" t="s">
        <v>80</v>
      </c>
      <c r="I3010" s="14" t="s">
        <v>195</v>
      </c>
      <c r="J3010" s="14" t="s">
        <v>7943</v>
      </c>
      <c r="K3010" s="14" t="s">
        <v>2856</v>
      </c>
      <c r="L3010" s="14"/>
      <c r="M3010" s="14" t="s">
        <v>7944</v>
      </c>
      <c r="N3010" s="14"/>
      <c r="O3010" s="14" t="s">
        <v>7945</v>
      </c>
      <c r="P3010" s="14" t="str">
        <f>HYPERLINK("https://ceds.ed.gov/cedselementdetails.aspx?termid=17707")</f>
        <v>https://ceds.ed.gov/cedselementdetails.aspx?termid=17707</v>
      </c>
      <c r="Q3010" s="14" t="str">
        <f>HYPERLINK("https://ceds.ed.gov/elementComment.aspx?elementName=Standard Occupational Classification &amp;elementID=17707", "Click here to submit comment")</f>
        <v>Click here to submit comment</v>
      </c>
      <c r="R3010" s="14">
        <v>52251</v>
      </c>
    </row>
    <row r="3011" spans="1:18" ht="105" x14ac:dyDescent="0.25">
      <c r="A3011" s="14" t="s">
        <v>9076</v>
      </c>
      <c r="B3011" s="14" t="s">
        <v>9077</v>
      </c>
      <c r="C3011" s="14" t="s">
        <v>8603</v>
      </c>
      <c r="D3011" s="14" t="s">
        <v>8541</v>
      </c>
      <c r="E3011" s="14" t="s">
        <v>8363</v>
      </c>
      <c r="F3011" s="14" t="s">
        <v>8364</v>
      </c>
      <c r="G3011" s="14" t="s">
        <v>8527</v>
      </c>
      <c r="H3011" s="14"/>
      <c r="I3011" s="14" t="s">
        <v>195</v>
      </c>
      <c r="J3011" s="14"/>
      <c r="K3011" s="14" t="s">
        <v>8366</v>
      </c>
      <c r="L3011" s="14"/>
      <c r="M3011" s="14" t="s">
        <v>8367</v>
      </c>
      <c r="N3011" s="14"/>
      <c r="O3011" s="14" t="s">
        <v>8368</v>
      </c>
      <c r="P3011" s="14" t="str">
        <f>HYPERLINK("https://ceds.ed.gov/cedselementdetails.aspx?termid=18638")</f>
        <v>https://ceds.ed.gov/cedselementdetails.aspx?termid=18638</v>
      </c>
      <c r="Q3011" s="14" t="str">
        <f>HYPERLINK("https://ceds.ed.gov/elementComment.aspx?elementName=Tribal Affiliation &amp;elementID=18638", "Click here to submit comment")</f>
        <v>Click here to submit comment</v>
      </c>
      <c r="R3011" s="14">
        <v>52252</v>
      </c>
    </row>
    <row r="3012" spans="1:18" ht="405" x14ac:dyDescent="0.25">
      <c r="A3012" s="14" t="s">
        <v>9076</v>
      </c>
      <c r="B3012" s="14" t="s">
        <v>9077</v>
      </c>
      <c r="C3012" s="14" t="s">
        <v>8833</v>
      </c>
      <c r="D3012" s="14" t="s">
        <v>8531</v>
      </c>
      <c r="E3012" s="14" t="s">
        <v>3483</v>
      </c>
      <c r="F3012" s="14" t="s">
        <v>3484</v>
      </c>
      <c r="G3012" s="8" t="s">
        <v>8690</v>
      </c>
      <c r="H3012" s="14" t="s">
        <v>3474</v>
      </c>
      <c r="I3012" s="14"/>
      <c r="J3012" s="14"/>
      <c r="K3012" s="14"/>
      <c r="L3012" s="14"/>
      <c r="M3012" s="14" t="s">
        <v>3486</v>
      </c>
      <c r="N3012" s="14"/>
      <c r="O3012" s="14" t="s">
        <v>3487</v>
      </c>
      <c r="P3012" s="14" t="str">
        <f>HYPERLINK("https://ceds.ed.gov/cedselementdetails.aspx?termid=17342")</f>
        <v>https://ceds.ed.gov/cedselementdetails.aspx?termid=17342</v>
      </c>
      <c r="Q3012" s="14" t="str">
        <f>HYPERLINK("https://ceds.ed.gov/elementComment.aspx?elementName=Degree or Certificate Type &amp;elementID=17342", "Click here to submit comment")</f>
        <v>Click here to submit comment</v>
      </c>
      <c r="R3012" s="14">
        <v>49897</v>
      </c>
    </row>
    <row r="3013" spans="1:18" ht="60" x14ac:dyDescent="0.25">
      <c r="A3013" s="14" t="s">
        <v>9076</v>
      </c>
      <c r="B3013" s="14" t="s">
        <v>9077</v>
      </c>
      <c r="C3013" s="14" t="s">
        <v>8833</v>
      </c>
      <c r="D3013" s="14" t="s">
        <v>8531</v>
      </c>
      <c r="E3013" s="14" t="s">
        <v>3479</v>
      </c>
      <c r="F3013" s="14" t="s">
        <v>3480</v>
      </c>
      <c r="G3013" s="14" t="s">
        <v>37</v>
      </c>
      <c r="H3013" s="14" t="s">
        <v>3474</v>
      </c>
      <c r="I3013" s="14"/>
      <c r="J3013" s="14" t="s">
        <v>1510</v>
      </c>
      <c r="K3013" s="14"/>
      <c r="L3013" s="14"/>
      <c r="M3013" s="14" t="s">
        <v>3481</v>
      </c>
      <c r="N3013" s="14"/>
      <c r="O3013" s="14" t="s">
        <v>3482</v>
      </c>
      <c r="P3013" s="14" t="str">
        <f>HYPERLINK("https://ceds.ed.gov/cedselementdetails.aspx?termid=17341")</f>
        <v>https://ceds.ed.gov/cedselementdetails.aspx?termid=17341</v>
      </c>
      <c r="Q3013" s="14" t="str">
        <f>HYPERLINK("https://ceds.ed.gov/elementComment.aspx?elementName=Degree or Certificate Title or Subject &amp;elementID=17341", "Click here to submit comment")</f>
        <v>Click here to submit comment</v>
      </c>
      <c r="R3013" s="14">
        <v>49898</v>
      </c>
    </row>
    <row r="3014" spans="1:18" ht="60" x14ac:dyDescent="0.25">
      <c r="A3014" s="14" t="s">
        <v>9076</v>
      </c>
      <c r="B3014" s="14" t="s">
        <v>9077</v>
      </c>
      <c r="C3014" s="14" t="s">
        <v>8833</v>
      </c>
      <c r="D3014" s="14" t="s">
        <v>8531</v>
      </c>
      <c r="E3014" s="14" t="s">
        <v>3469</v>
      </c>
      <c r="F3014" s="14" t="s">
        <v>3470</v>
      </c>
      <c r="G3014" s="14" t="s">
        <v>37</v>
      </c>
      <c r="H3014" s="14" t="s">
        <v>3474</v>
      </c>
      <c r="I3014" s="14"/>
      <c r="J3014" s="14" t="s">
        <v>135</v>
      </c>
      <c r="K3014" s="14"/>
      <c r="L3014" s="14"/>
      <c r="M3014" s="14" t="s">
        <v>3472</v>
      </c>
      <c r="N3014" s="14"/>
      <c r="O3014" s="14" t="s">
        <v>3473</v>
      </c>
      <c r="P3014" s="14" t="str">
        <f>HYPERLINK("https://ceds.ed.gov/cedselementdetails.aspx?termid=17343")</f>
        <v>https://ceds.ed.gov/cedselementdetails.aspx?termid=17343</v>
      </c>
      <c r="Q3014" s="14" t="str">
        <f>HYPERLINK("https://ceds.ed.gov/elementComment.aspx?elementName=Degree or Certificate Conferring Date &amp;elementID=17343", "Click here to submit comment")</f>
        <v>Click here to submit comment</v>
      </c>
      <c r="R3014" s="14">
        <v>49899</v>
      </c>
    </row>
    <row r="3015" spans="1:18" ht="120" x14ac:dyDescent="0.25">
      <c r="A3015" s="14" t="s">
        <v>9076</v>
      </c>
      <c r="B3015" s="14" t="s">
        <v>9077</v>
      </c>
      <c r="C3015" s="14" t="s">
        <v>8833</v>
      </c>
      <c r="D3015" s="14" t="s">
        <v>8531</v>
      </c>
      <c r="E3015" s="14" t="s">
        <v>6436</v>
      </c>
      <c r="F3015" s="14" t="s">
        <v>6437</v>
      </c>
      <c r="G3015" s="14" t="s">
        <v>37</v>
      </c>
      <c r="H3015" s="14" t="s">
        <v>6137</v>
      </c>
      <c r="I3015" s="14"/>
      <c r="J3015" s="14" t="s">
        <v>1710</v>
      </c>
      <c r="K3015" s="14"/>
      <c r="L3015" s="14"/>
      <c r="M3015" s="14" t="s">
        <v>6439</v>
      </c>
      <c r="N3015" s="14"/>
      <c r="O3015" s="14" t="s">
        <v>6440</v>
      </c>
      <c r="P3015" s="14" t="str">
        <f>HYPERLINK("https://ceds.ed.gov/cedselementdetails.aspx?termid=17200")</f>
        <v>https://ceds.ed.gov/cedselementdetails.aspx?termid=17200</v>
      </c>
      <c r="Q3015" s="14" t="str">
        <f>HYPERLINK("https://ceds.ed.gov/elementComment.aspx?elementName=Number of Credits Earned &amp;elementID=17200", "Click here to submit comment")</f>
        <v>Click here to submit comment</v>
      </c>
      <c r="R3015" s="14">
        <v>50982</v>
      </c>
    </row>
    <row r="3016" spans="1:18" ht="90" x14ac:dyDescent="0.25">
      <c r="A3016" s="14" t="s">
        <v>9076</v>
      </c>
      <c r="B3016" s="14" t="s">
        <v>9077</v>
      </c>
      <c r="C3016" s="14" t="s">
        <v>8833</v>
      </c>
      <c r="D3016" s="14" t="s">
        <v>8531</v>
      </c>
      <c r="E3016" s="14" t="s">
        <v>2145</v>
      </c>
      <c r="F3016" s="14" t="s">
        <v>2146</v>
      </c>
      <c r="G3016" s="14" t="s">
        <v>24</v>
      </c>
      <c r="H3016" s="14" t="s">
        <v>72</v>
      </c>
      <c r="I3016" s="14"/>
      <c r="J3016" s="14"/>
      <c r="K3016" s="14"/>
      <c r="L3016" s="14"/>
      <c r="M3016" s="14" t="s">
        <v>2148</v>
      </c>
      <c r="N3016" s="14" t="s">
        <v>2149</v>
      </c>
      <c r="O3016" s="14" t="s">
        <v>2150</v>
      </c>
      <c r="P3016" s="14" t="str">
        <f>HYPERLINK("https://ceds.ed.gov/cedselementdetails.aspx?termid=17036")</f>
        <v>https://ceds.ed.gov/cedselementdetails.aspx?termid=17036</v>
      </c>
      <c r="Q3016" s="14" t="str">
        <f>HYPERLINK("https://ceds.ed.gov/elementComment.aspx?elementName=Career and Technical Education Completer &amp;elementID=17036", "Click here to submit comment")</f>
        <v>Click here to submit comment</v>
      </c>
      <c r="R3016" s="14">
        <v>49894</v>
      </c>
    </row>
    <row r="3017" spans="1:18" ht="90" x14ac:dyDescent="0.25">
      <c r="A3017" s="14" t="s">
        <v>9076</v>
      </c>
      <c r="B3017" s="14" t="s">
        <v>9077</v>
      </c>
      <c r="C3017" s="14" t="s">
        <v>8833</v>
      </c>
      <c r="D3017" s="14" t="s">
        <v>8531</v>
      </c>
      <c r="E3017" s="14" t="s">
        <v>2171</v>
      </c>
      <c r="F3017" s="14" t="s">
        <v>2172</v>
      </c>
      <c r="G3017" s="14" t="s">
        <v>24</v>
      </c>
      <c r="H3017" s="14" t="s">
        <v>258</v>
      </c>
      <c r="I3017" s="14"/>
      <c r="J3017" s="14"/>
      <c r="K3017" s="14"/>
      <c r="L3017" s="14"/>
      <c r="M3017" s="14" t="s">
        <v>2174</v>
      </c>
      <c r="N3017" s="14" t="s">
        <v>2175</v>
      </c>
      <c r="O3017" s="14" t="s">
        <v>2176</v>
      </c>
      <c r="P3017" s="14" t="str">
        <f>HYPERLINK("https://ceds.ed.gov/cedselementdetails.aspx?termid=17586")</f>
        <v>https://ceds.ed.gov/cedselementdetails.aspx?termid=17586</v>
      </c>
      <c r="Q3017" s="14" t="str">
        <f>HYPERLINK("https://ceds.ed.gov/elementComment.aspx?elementName=Career and Technical Education Nontraditional Completion &amp;elementID=17586", "Click here to submit comment")</f>
        <v>Click here to submit comment</v>
      </c>
      <c r="R3017" s="14">
        <v>49895</v>
      </c>
    </row>
    <row r="3018" spans="1:18" ht="105" x14ac:dyDescent="0.25">
      <c r="A3018" s="16" t="s">
        <v>9076</v>
      </c>
      <c r="B3018" s="16" t="s">
        <v>9077</v>
      </c>
      <c r="C3018" s="16" t="s">
        <v>8850</v>
      </c>
      <c r="D3018" s="16" t="s">
        <v>8531</v>
      </c>
      <c r="E3018" s="16" t="s">
        <v>7098</v>
      </c>
      <c r="F3018" s="16" t="s">
        <v>7099</v>
      </c>
      <c r="G3018" s="16" t="s">
        <v>37</v>
      </c>
      <c r="H3018" s="16" t="s">
        <v>2944</v>
      </c>
      <c r="I3018" s="16"/>
      <c r="J3018" s="16" t="s">
        <v>149</v>
      </c>
      <c r="K3018" s="16"/>
      <c r="L3018" s="14" t="s">
        <v>150</v>
      </c>
      <c r="M3018" s="16" t="s">
        <v>7101</v>
      </c>
      <c r="N3018" s="16"/>
      <c r="O3018" s="16" t="s">
        <v>7102</v>
      </c>
      <c r="P3018" s="16" t="str">
        <f>HYPERLINK("https://ceds.ed.gov/cedselementdetails.aspx?termid=17618")</f>
        <v>https://ceds.ed.gov/cedselementdetails.aspx?termid=17618</v>
      </c>
      <c r="Q3018" s="16" t="str">
        <f>HYPERLINK("https://ceds.ed.gov/elementComment.aspx?elementName=Program Identifier &amp;elementID=17618", "Click here to submit comment")</f>
        <v>Click here to submit comment</v>
      </c>
      <c r="R3018" s="16">
        <v>51682</v>
      </c>
    </row>
    <row r="3019" spans="1:18" x14ac:dyDescent="0.25">
      <c r="A3019" s="16"/>
      <c r="B3019" s="16"/>
      <c r="C3019" s="16"/>
      <c r="D3019" s="16"/>
      <c r="E3019" s="16"/>
      <c r="F3019" s="16"/>
      <c r="G3019" s="16"/>
      <c r="H3019" s="16"/>
      <c r="I3019" s="16"/>
      <c r="J3019" s="16"/>
      <c r="K3019" s="16"/>
      <c r="L3019" s="14"/>
      <c r="M3019" s="16"/>
      <c r="N3019" s="16"/>
      <c r="O3019" s="16"/>
      <c r="P3019" s="16"/>
      <c r="Q3019" s="16"/>
      <c r="R3019" s="16"/>
    </row>
    <row r="3020" spans="1:18" ht="90" x14ac:dyDescent="0.25">
      <c r="A3020" s="16"/>
      <c r="B3020" s="16"/>
      <c r="C3020" s="16"/>
      <c r="D3020" s="16"/>
      <c r="E3020" s="16"/>
      <c r="F3020" s="16"/>
      <c r="G3020" s="16"/>
      <c r="H3020" s="16"/>
      <c r="I3020" s="16"/>
      <c r="J3020" s="16"/>
      <c r="K3020" s="16"/>
      <c r="L3020" s="14" t="s">
        <v>153</v>
      </c>
      <c r="M3020" s="16"/>
      <c r="N3020" s="16"/>
      <c r="O3020" s="16"/>
      <c r="P3020" s="16"/>
      <c r="Q3020" s="16"/>
      <c r="R3020" s="16"/>
    </row>
    <row r="3021" spans="1:18" ht="75" x14ac:dyDescent="0.25">
      <c r="A3021" s="14" t="s">
        <v>9076</v>
      </c>
      <c r="B3021" s="14" t="s">
        <v>9077</v>
      </c>
      <c r="C3021" s="14" t="s">
        <v>8850</v>
      </c>
      <c r="D3021" s="14" t="s">
        <v>8531</v>
      </c>
      <c r="E3021" s="14" t="s">
        <v>2365</v>
      </c>
      <c r="F3021" s="14" t="s">
        <v>2366</v>
      </c>
      <c r="G3021" s="14" t="s">
        <v>8526</v>
      </c>
      <c r="H3021" s="14" t="s">
        <v>48</v>
      </c>
      <c r="I3021" s="14"/>
      <c r="J3021" s="14"/>
      <c r="K3021" s="14"/>
      <c r="L3021" s="14"/>
      <c r="M3021" s="14" t="s">
        <v>2368</v>
      </c>
      <c r="N3021" s="14" t="s">
        <v>2369</v>
      </c>
      <c r="O3021" s="14" t="s">
        <v>2370</v>
      </c>
      <c r="P3021" s="14" t="str">
        <f>HYPERLINK("https://ceds.ed.gov/cedselementdetails.aspx?termid=17043")</f>
        <v>https://ceds.ed.gov/cedselementdetails.aspx?termid=17043</v>
      </c>
      <c r="Q3021" s="14" t="str">
        <f>HYPERLINK("https://ceds.ed.gov/elementComment.aspx?elementName=Classification of Instructional Program Code &amp;elementID=17043", "Click here to submit comment")</f>
        <v>Click here to submit comment</v>
      </c>
      <c r="R3021" s="14">
        <v>51679</v>
      </c>
    </row>
    <row r="3022" spans="1:18" ht="45" x14ac:dyDescent="0.25">
      <c r="A3022" s="14" t="s">
        <v>9076</v>
      </c>
      <c r="B3022" s="14" t="s">
        <v>9077</v>
      </c>
      <c r="C3022" s="14" t="s">
        <v>8850</v>
      </c>
      <c r="D3022" s="14" t="s">
        <v>8531</v>
      </c>
      <c r="E3022" s="14" t="s">
        <v>60</v>
      </c>
      <c r="F3022" s="14" t="s">
        <v>61</v>
      </c>
      <c r="G3022" s="14" t="s">
        <v>37</v>
      </c>
      <c r="H3022" s="14" t="s">
        <v>65</v>
      </c>
      <c r="I3022" s="14"/>
      <c r="J3022" s="14" t="s">
        <v>62</v>
      </c>
      <c r="K3022" s="14"/>
      <c r="L3022" s="14"/>
      <c r="M3022" s="14" t="s">
        <v>63</v>
      </c>
      <c r="N3022" s="14"/>
      <c r="O3022" s="14" t="s">
        <v>64</v>
      </c>
      <c r="P3022" s="14" t="str">
        <f>HYPERLINK("https://ceds.ed.gov/cedselementdetails.aspx?termid=17003")</f>
        <v>https://ceds.ed.gov/cedselementdetails.aspx?termid=17003</v>
      </c>
      <c r="Q3022" s="14" t="str">
        <f>HYPERLINK("https://ceds.ed.gov/elementComment.aspx?elementName=Academic Award Title &amp;elementID=17003", "Click here to submit comment")</f>
        <v>Click here to submit comment</v>
      </c>
      <c r="R3022" s="14">
        <v>51678</v>
      </c>
    </row>
    <row r="3023" spans="1:18" ht="60" x14ac:dyDescent="0.25">
      <c r="A3023" s="14" t="s">
        <v>9076</v>
      </c>
      <c r="B3023" s="14" t="s">
        <v>9077</v>
      </c>
      <c r="C3023" s="14" t="s">
        <v>8850</v>
      </c>
      <c r="D3023" s="14" t="s">
        <v>8531</v>
      </c>
      <c r="E3023" s="14" t="s">
        <v>35</v>
      </c>
      <c r="F3023" s="14" t="s">
        <v>36</v>
      </c>
      <c r="G3023" s="14" t="s">
        <v>37</v>
      </c>
      <c r="H3023" s="14" t="s">
        <v>42</v>
      </c>
      <c r="I3023" s="14"/>
      <c r="J3023" s="14" t="s">
        <v>39</v>
      </c>
      <c r="K3023" s="14"/>
      <c r="L3023" s="14"/>
      <c r="M3023" s="14" t="s">
        <v>40</v>
      </c>
      <c r="N3023" s="14"/>
      <c r="O3023" s="14" t="s">
        <v>41</v>
      </c>
      <c r="P3023" s="14" t="str">
        <f>HYPERLINK("https://ceds.ed.gov/cedselementdetails.aspx?termid=17001")</f>
        <v>https://ceds.ed.gov/cedselementdetails.aspx?termid=17001</v>
      </c>
      <c r="Q3023" s="14" t="str">
        <f>HYPERLINK("https://ceds.ed.gov/elementComment.aspx?elementName=Academic Award Date &amp;elementID=17001", "Click here to submit comment")</f>
        <v>Click here to submit comment</v>
      </c>
      <c r="R3023" s="14">
        <v>51685</v>
      </c>
    </row>
    <row r="3024" spans="1:18" ht="135" x14ac:dyDescent="0.25">
      <c r="A3024" s="14" t="s">
        <v>9076</v>
      </c>
      <c r="B3024" s="14" t="s">
        <v>9077</v>
      </c>
      <c r="C3024" s="14" t="s">
        <v>8850</v>
      </c>
      <c r="D3024" s="14" t="s">
        <v>8531</v>
      </c>
      <c r="E3024" s="14" t="s">
        <v>3551</v>
      </c>
      <c r="F3024" s="14" t="s">
        <v>3552</v>
      </c>
      <c r="G3024" s="14" t="s">
        <v>37</v>
      </c>
      <c r="H3024" s="14" t="s">
        <v>3557</v>
      </c>
      <c r="I3024" s="14"/>
      <c r="J3024" s="14" t="s">
        <v>3554</v>
      </c>
      <c r="K3024" s="14"/>
      <c r="L3024" s="14"/>
      <c r="M3024" s="14" t="s">
        <v>3555</v>
      </c>
      <c r="N3024" s="14"/>
      <c r="O3024" s="14" t="s">
        <v>3556</v>
      </c>
      <c r="P3024" s="14" t="str">
        <f>HYPERLINK("https://ceds.ed.gov/cedselementdetails.aspx?termid=17081")</f>
        <v>https://ceds.ed.gov/cedselementdetails.aspx?termid=17081</v>
      </c>
      <c r="Q3024" s="14" t="str">
        <f>HYPERLINK("https://ceds.ed.gov/elementComment.aspx?elementName=Diploma or Credential Award Date &amp;elementID=17081", "Click here to submit comment")</f>
        <v>Click here to submit comment</v>
      </c>
      <c r="R3024" s="14">
        <v>50965</v>
      </c>
    </row>
    <row r="3025" spans="1:18" ht="270" x14ac:dyDescent="0.25">
      <c r="A3025" s="14" t="s">
        <v>9076</v>
      </c>
      <c r="B3025" s="14" t="s">
        <v>9077</v>
      </c>
      <c r="C3025" s="14" t="s">
        <v>8850</v>
      </c>
      <c r="D3025" s="14" t="s">
        <v>8531</v>
      </c>
      <c r="E3025" s="14" t="s">
        <v>4959</v>
      </c>
      <c r="F3025" s="14" t="s">
        <v>4960</v>
      </c>
      <c r="G3025" s="8" t="s">
        <v>8851</v>
      </c>
      <c r="H3025" s="14" t="s">
        <v>4966</v>
      </c>
      <c r="I3025" s="14"/>
      <c r="J3025" s="14"/>
      <c r="K3025" s="14"/>
      <c r="L3025" s="14" t="s">
        <v>4963</v>
      </c>
      <c r="M3025" s="14" t="s">
        <v>4964</v>
      </c>
      <c r="N3025" s="14"/>
      <c r="O3025" s="14" t="s">
        <v>4965</v>
      </c>
      <c r="P3025" s="14" t="str">
        <f>HYPERLINK("https://ceds.ed.gov/cedselementdetails.aspx?termid=17138")</f>
        <v>https://ceds.ed.gov/cedselementdetails.aspx?termid=17138</v>
      </c>
      <c r="Q3025" s="14" t="str">
        <f>HYPERLINK("https://ceds.ed.gov/elementComment.aspx?elementName=High School Diploma Type &amp;elementID=17138", "Click here to submit comment")</f>
        <v>Click here to submit comment</v>
      </c>
      <c r="R3025" s="14">
        <v>51719</v>
      </c>
    </row>
    <row r="3026" spans="1:18" ht="105" x14ac:dyDescent="0.25">
      <c r="A3026" s="14" t="s">
        <v>9076</v>
      </c>
      <c r="B3026" s="14" t="s">
        <v>9077</v>
      </c>
      <c r="C3026" s="14" t="s">
        <v>8850</v>
      </c>
      <c r="D3026" s="14" t="s">
        <v>8531</v>
      </c>
      <c r="E3026" s="14" t="s">
        <v>4953</v>
      </c>
      <c r="F3026" s="14" t="s">
        <v>4954</v>
      </c>
      <c r="G3026" s="8" t="s">
        <v>8852</v>
      </c>
      <c r="H3026" s="14"/>
      <c r="I3026" s="14"/>
      <c r="J3026" s="14"/>
      <c r="K3026" s="14"/>
      <c r="L3026" s="14"/>
      <c r="M3026" s="14" t="s">
        <v>4957</v>
      </c>
      <c r="N3026" s="14"/>
      <c r="O3026" s="14" t="s">
        <v>4958</v>
      </c>
      <c r="P3026" s="14" t="str">
        <f>HYPERLINK("https://ceds.ed.gov/cedselementdetails.aspx?termid=17689")</f>
        <v>https://ceds.ed.gov/cedselementdetails.aspx?termid=17689</v>
      </c>
      <c r="Q3026" s="14" t="str">
        <f>HYPERLINK("https://ceds.ed.gov/elementComment.aspx?elementName=High School Diploma Distinction Type &amp;elementID=17689", "Click here to submit comment")</f>
        <v>Click here to submit comment</v>
      </c>
      <c r="R3026" s="14">
        <v>51722</v>
      </c>
    </row>
    <row r="3027" spans="1:18" ht="75" x14ac:dyDescent="0.25">
      <c r="A3027" s="14" t="s">
        <v>9076</v>
      </c>
      <c r="B3027" s="14" t="s">
        <v>9077</v>
      </c>
      <c r="C3027" s="14" t="s">
        <v>8850</v>
      </c>
      <c r="D3027" s="14" t="s">
        <v>8531</v>
      </c>
      <c r="E3027" s="14" t="s">
        <v>6799</v>
      </c>
      <c r="F3027" s="14" t="s">
        <v>6800</v>
      </c>
      <c r="G3027" s="8" t="s">
        <v>9000</v>
      </c>
      <c r="H3027" s="14" t="s">
        <v>6804</v>
      </c>
      <c r="I3027" s="14"/>
      <c r="J3027" s="14"/>
      <c r="K3027" s="14"/>
      <c r="L3027" s="14"/>
      <c r="M3027" s="14" t="s">
        <v>6802</v>
      </c>
      <c r="N3027" s="14"/>
      <c r="O3027" s="14" t="s">
        <v>6803</v>
      </c>
      <c r="P3027" s="14" t="str">
        <f>HYPERLINK("https://ceds.ed.gov/cedselementdetails.aspx?termid=18595")</f>
        <v>https://ceds.ed.gov/cedselementdetails.aspx?termid=18595</v>
      </c>
      <c r="Q3027" s="14" t="str">
        <f>HYPERLINK("https://ceds.ed.gov/elementComment.aspx?elementName=Postsecondary Program Level &amp;elementID=18595", "Click here to submit comment")</f>
        <v>Click here to submit comment</v>
      </c>
      <c r="R3027" s="14">
        <v>51683</v>
      </c>
    </row>
    <row r="3028" spans="1:18" ht="285" x14ac:dyDescent="0.25">
      <c r="A3028" s="14" t="s">
        <v>9076</v>
      </c>
      <c r="B3028" s="14" t="s">
        <v>9077</v>
      </c>
      <c r="C3028" s="14" t="s">
        <v>8850</v>
      </c>
      <c r="D3028" s="14" t="s">
        <v>8531</v>
      </c>
      <c r="E3028" s="14" t="s">
        <v>43</v>
      </c>
      <c r="F3028" s="14" t="s">
        <v>44</v>
      </c>
      <c r="G3028" s="8" t="s">
        <v>8853</v>
      </c>
      <c r="H3028" s="14" t="s">
        <v>48</v>
      </c>
      <c r="I3028" s="14"/>
      <c r="J3028" s="14"/>
      <c r="K3028" s="14"/>
      <c r="L3028" s="14"/>
      <c r="M3028" s="14" t="s">
        <v>46</v>
      </c>
      <c r="N3028" s="14"/>
      <c r="O3028" s="14" t="s">
        <v>47</v>
      </c>
      <c r="P3028" s="14" t="str">
        <f>HYPERLINK("https://ceds.ed.gov/cedselementdetails.aspx?termid=17002")</f>
        <v>https://ceds.ed.gov/cedselementdetails.aspx?termid=17002</v>
      </c>
      <c r="Q3028" s="14" t="str">
        <f>HYPERLINK("https://ceds.ed.gov/elementComment.aspx?elementName=Academic Award Level Conferred &amp;elementID=17002", "Click here to submit comment")</f>
        <v>Click here to submit comment</v>
      </c>
      <c r="R3028" s="14">
        <v>51677</v>
      </c>
    </row>
    <row r="3029" spans="1:18" ht="135" x14ac:dyDescent="0.25">
      <c r="A3029" s="14" t="s">
        <v>9076</v>
      </c>
      <c r="B3029" s="14" t="s">
        <v>9077</v>
      </c>
      <c r="C3029" s="14" t="s">
        <v>8850</v>
      </c>
      <c r="D3029" s="14" t="s">
        <v>8531</v>
      </c>
      <c r="E3029" s="14" t="s">
        <v>2371</v>
      </c>
      <c r="F3029" s="14" t="s">
        <v>2372</v>
      </c>
      <c r="G3029" s="8" t="s">
        <v>8997</v>
      </c>
      <c r="H3029" s="14" t="s">
        <v>225</v>
      </c>
      <c r="I3029" s="14"/>
      <c r="J3029" s="14"/>
      <c r="K3029" s="14"/>
      <c r="L3029" s="14"/>
      <c r="M3029" s="14" t="s">
        <v>2375</v>
      </c>
      <c r="N3029" s="14" t="s">
        <v>2376</v>
      </c>
      <c r="O3029" s="14" t="s">
        <v>2377</v>
      </c>
      <c r="P3029" s="14" t="str">
        <f>HYPERLINK("https://ceds.ed.gov/cedselementdetails.aspx?termid=17044")</f>
        <v>https://ceds.ed.gov/cedselementdetails.aspx?termid=17044</v>
      </c>
      <c r="Q3029" s="14" t="str">
        <f>HYPERLINK("https://ceds.ed.gov/elementComment.aspx?elementName=Classification of Instructional Program Use &amp;elementID=17044", "Click here to submit comment")</f>
        <v>Click here to submit comment</v>
      </c>
      <c r="R3029" s="14">
        <v>51680</v>
      </c>
    </row>
    <row r="3030" spans="1:18" ht="90" x14ac:dyDescent="0.25">
      <c r="A3030" s="14" t="s">
        <v>9076</v>
      </c>
      <c r="B3030" s="14" t="s">
        <v>9077</v>
      </c>
      <c r="C3030" s="14" t="s">
        <v>8850</v>
      </c>
      <c r="D3030" s="14" t="s">
        <v>8531</v>
      </c>
      <c r="E3030" s="14" t="s">
        <v>2378</v>
      </c>
      <c r="F3030" s="14" t="s">
        <v>2379</v>
      </c>
      <c r="G3030" s="8" t="s">
        <v>8998</v>
      </c>
      <c r="H3030" s="14" t="s">
        <v>225</v>
      </c>
      <c r="I3030" s="14"/>
      <c r="J3030" s="14"/>
      <c r="K3030" s="14"/>
      <c r="L3030" s="14"/>
      <c r="M3030" s="14" t="s">
        <v>2382</v>
      </c>
      <c r="N3030" s="14" t="s">
        <v>2383</v>
      </c>
      <c r="O3030" s="14" t="s">
        <v>2384</v>
      </c>
      <c r="P3030" s="14" t="str">
        <f>HYPERLINK("https://ceds.ed.gov/cedselementdetails.aspx?termid=17045")</f>
        <v>https://ceds.ed.gov/cedselementdetails.aspx?termid=17045</v>
      </c>
      <c r="Q3030" s="14" t="str">
        <f>HYPERLINK("https://ceds.ed.gov/elementComment.aspx?elementName=Classification of Instructional Program Version &amp;elementID=17045", "Click here to submit comment")</f>
        <v>Click here to submit comment</v>
      </c>
      <c r="R3030" s="14">
        <v>51681</v>
      </c>
    </row>
    <row r="3031" spans="1:18" ht="195" x14ac:dyDescent="0.25">
      <c r="A3031" s="14" t="s">
        <v>9076</v>
      </c>
      <c r="B3031" s="14" t="s">
        <v>9077</v>
      </c>
      <c r="C3031" s="14" t="s">
        <v>8850</v>
      </c>
      <c r="D3031" s="14" t="s">
        <v>8531</v>
      </c>
      <c r="E3031" s="14" t="s">
        <v>7051</v>
      </c>
      <c r="F3031" s="14" t="s">
        <v>7052</v>
      </c>
      <c r="G3031" s="8" t="s">
        <v>8855</v>
      </c>
      <c r="H3031" s="14"/>
      <c r="I3031" s="14"/>
      <c r="J3031" s="14"/>
      <c r="K3031" s="14"/>
      <c r="L3031" s="14"/>
      <c r="M3031" s="14" t="s">
        <v>7055</v>
      </c>
      <c r="N3031" s="14"/>
      <c r="O3031" s="14" t="s">
        <v>7056</v>
      </c>
      <c r="P3031" s="14" t="str">
        <f>HYPERLINK("https://ceds.ed.gov/cedselementdetails.aspx?termid=17780")</f>
        <v>https://ceds.ed.gov/cedselementdetails.aspx?termid=17780</v>
      </c>
      <c r="Q3031" s="14" t="str">
        <f>HYPERLINK("https://ceds.ed.gov/elementComment.aspx?elementName=Professional or Technical Credential Conferred &amp;elementID=17780", "Click here to submit comment")</f>
        <v>Click here to submit comment</v>
      </c>
      <c r="R3031" s="14">
        <v>49896</v>
      </c>
    </row>
    <row r="3032" spans="1:18" ht="270" x14ac:dyDescent="0.25">
      <c r="A3032" s="14" t="s">
        <v>9076</v>
      </c>
      <c r="B3032" s="14" t="s">
        <v>9077</v>
      </c>
      <c r="C3032" s="14" t="s">
        <v>8850</v>
      </c>
      <c r="D3032" s="14" t="s">
        <v>8531</v>
      </c>
      <c r="E3032" s="14" t="s">
        <v>3347</v>
      </c>
      <c r="F3032" s="14" t="s">
        <v>3348</v>
      </c>
      <c r="G3032" s="8" t="s">
        <v>8854</v>
      </c>
      <c r="H3032" s="14"/>
      <c r="I3032" s="14"/>
      <c r="J3032" s="14"/>
      <c r="K3032" s="14"/>
      <c r="L3032" s="14"/>
      <c r="M3032" s="14" t="s">
        <v>3351</v>
      </c>
      <c r="N3032" s="14"/>
      <c r="O3032" s="14" t="s">
        <v>3352</v>
      </c>
      <c r="P3032" s="14" t="str">
        <f>HYPERLINK("https://ceds.ed.gov/cedselementdetails.aspx?termid=18283")</f>
        <v>https://ceds.ed.gov/cedselementdetails.aspx?termid=18283</v>
      </c>
      <c r="Q3032" s="14" t="str">
        <f>HYPERLINK("https://ceds.ed.gov/elementComment.aspx?elementName=Credit Hours Applied Other Program &amp;elementID=18283", "Click here to submit comment")</f>
        <v>Click here to submit comment</v>
      </c>
      <c r="R3032" s="14">
        <v>51676</v>
      </c>
    </row>
    <row r="3033" spans="1:18" ht="150" x14ac:dyDescent="0.25">
      <c r="A3033" s="14" t="s">
        <v>9076</v>
      </c>
      <c r="B3033" s="14" t="s">
        <v>9077</v>
      </c>
      <c r="C3033" s="14" t="s">
        <v>8850</v>
      </c>
      <c r="D3033" s="14" t="s">
        <v>8531</v>
      </c>
      <c r="E3033" s="14" t="s">
        <v>3675</v>
      </c>
      <c r="F3033" s="14" t="s">
        <v>3676</v>
      </c>
      <c r="G3033" s="8" t="s">
        <v>9035</v>
      </c>
      <c r="H3033" s="14"/>
      <c r="I3033" s="14"/>
      <c r="J3033" s="14"/>
      <c r="K3033" s="14"/>
      <c r="L3033" s="6" t="s">
        <v>3679</v>
      </c>
      <c r="M3033" s="14" t="s">
        <v>3680</v>
      </c>
      <c r="N3033" s="14"/>
      <c r="O3033" s="14" t="s">
        <v>3681</v>
      </c>
      <c r="P3033" s="14" t="str">
        <f>HYPERLINK("https://ceds.ed.gov/cedselementdetails.aspx?termid=18622")</f>
        <v>https://ceds.ed.gov/cedselementdetails.aspx?termid=18622</v>
      </c>
      <c r="Q3033" s="14" t="str">
        <f>HYPERLINK("https://ceds.ed.gov/elementComment.aspx?elementName=DQP Categories of Learning &amp;elementID=18622", "Click here to submit comment")</f>
        <v>Click here to submit comment</v>
      </c>
      <c r="R3033" s="14">
        <v>51684</v>
      </c>
    </row>
    <row r="3034" spans="1:18" ht="60" x14ac:dyDescent="0.25">
      <c r="A3034" s="14" t="s">
        <v>9076</v>
      </c>
      <c r="B3034" s="14" t="s">
        <v>9077</v>
      </c>
      <c r="C3034" s="14" t="s">
        <v>8640</v>
      </c>
      <c r="D3034" s="14" t="s">
        <v>8531</v>
      </c>
      <c r="E3034" s="14" t="s">
        <v>1724</v>
      </c>
      <c r="F3034" s="14" t="s">
        <v>1725</v>
      </c>
      <c r="G3034" s="14" t="s">
        <v>24</v>
      </c>
      <c r="H3034" s="14" t="s">
        <v>28</v>
      </c>
      <c r="I3034" s="14"/>
      <c r="J3034" s="14"/>
      <c r="K3034" s="14"/>
      <c r="L3034" s="14"/>
      <c r="M3034" s="14" t="s">
        <v>1727</v>
      </c>
      <c r="N3034" s="14"/>
      <c r="O3034" s="14" t="s">
        <v>1728</v>
      </c>
      <c r="P3034" s="14" t="str">
        <f>HYPERLINK("https://ceds.ed.gov/cedselementdetails.aspx?termid=17031")</f>
        <v>https://ceds.ed.gov/cedselementdetails.aspx?termid=17031</v>
      </c>
      <c r="Q3034" s="14" t="str">
        <f>HYPERLINK("https://ceds.ed.gov/elementComment.aspx?elementName=Awaiting Initial IDEA Evaluation Status &amp;elementID=17031", "Click here to submit comment")</f>
        <v>Click here to submit comment</v>
      </c>
      <c r="R3034" s="14">
        <v>51765</v>
      </c>
    </row>
    <row r="3035" spans="1:18" ht="285" x14ac:dyDescent="0.25">
      <c r="A3035" s="14" t="s">
        <v>9076</v>
      </c>
      <c r="B3035" s="14" t="s">
        <v>9077</v>
      </c>
      <c r="C3035" s="14" t="s">
        <v>8640</v>
      </c>
      <c r="D3035" s="14" t="s">
        <v>8531</v>
      </c>
      <c r="E3035" s="14" t="s">
        <v>5086</v>
      </c>
      <c r="F3035" s="14" t="s">
        <v>5087</v>
      </c>
      <c r="G3035" s="14" t="s">
        <v>24</v>
      </c>
      <c r="H3035" s="14" t="s">
        <v>5090</v>
      </c>
      <c r="I3035" s="14"/>
      <c r="J3035" s="14"/>
      <c r="K3035" s="14"/>
      <c r="L3035" s="14"/>
      <c r="M3035" s="14" t="s">
        <v>5088</v>
      </c>
      <c r="N3035" s="14"/>
      <c r="O3035" s="14" t="s">
        <v>5089</v>
      </c>
      <c r="P3035" s="14" t="str">
        <f>HYPERLINK("https://ceds.ed.gov/cedselementdetails.aspx?termid=17151")</f>
        <v>https://ceds.ed.gov/cedselementdetails.aspx?termid=17151</v>
      </c>
      <c r="Q3035" s="14" t="str">
        <f>HYPERLINK("https://ceds.ed.gov/elementComment.aspx?elementName=IDEA Indicator &amp;elementID=17151", "Click here to submit comment")</f>
        <v>Click here to submit comment</v>
      </c>
      <c r="R3035" s="14">
        <v>51761</v>
      </c>
    </row>
    <row r="3036" spans="1:18" ht="45" x14ac:dyDescent="0.25">
      <c r="A3036" s="14" t="s">
        <v>9076</v>
      </c>
      <c r="B3036" s="14" t="s">
        <v>9077</v>
      </c>
      <c r="C3036" s="14" t="s">
        <v>8640</v>
      </c>
      <c r="D3036" s="14" t="s">
        <v>8531</v>
      </c>
      <c r="E3036" s="14" t="s">
        <v>3584</v>
      </c>
      <c r="F3036" s="14" t="s">
        <v>3585</v>
      </c>
      <c r="G3036" s="14" t="s">
        <v>24</v>
      </c>
      <c r="H3036" s="14" t="s">
        <v>258</v>
      </c>
      <c r="I3036" s="14"/>
      <c r="J3036" s="14"/>
      <c r="K3036" s="14"/>
      <c r="L3036" s="14"/>
      <c r="M3036" s="14" t="s">
        <v>3587</v>
      </c>
      <c r="N3036" s="14"/>
      <c r="O3036" s="14" t="s">
        <v>3588</v>
      </c>
      <c r="P3036" s="14" t="str">
        <f>HYPERLINK("https://ceds.ed.gov/cedselementdetails.aspx?termid=17569")</f>
        <v>https://ceds.ed.gov/cedselementdetails.aspx?termid=17569</v>
      </c>
      <c r="Q3036" s="14" t="str">
        <f>HYPERLINK("https://ceds.ed.gov/elementComment.aspx?elementName=Disability Status &amp;elementID=17569", "Click here to submit comment")</f>
        <v>Click here to submit comment</v>
      </c>
      <c r="R3036" s="14">
        <v>51762</v>
      </c>
    </row>
    <row r="3037" spans="1:18" ht="90" x14ac:dyDescent="0.25">
      <c r="A3037" s="14" t="s">
        <v>9076</v>
      </c>
      <c r="B3037" s="14" t="s">
        <v>9077</v>
      </c>
      <c r="C3037" s="14" t="s">
        <v>8640</v>
      </c>
      <c r="D3037" s="14" t="s">
        <v>8531</v>
      </c>
      <c r="E3037" s="14" t="s">
        <v>7664</v>
      </c>
      <c r="F3037" s="14" t="s">
        <v>7665</v>
      </c>
      <c r="G3037" s="14" t="s">
        <v>24</v>
      </c>
      <c r="H3037" s="14" t="s">
        <v>5090</v>
      </c>
      <c r="I3037" s="14"/>
      <c r="J3037" s="14"/>
      <c r="K3037" s="14"/>
      <c r="L3037" s="14"/>
      <c r="M3037" s="14" t="s">
        <v>7667</v>
      </c>
      <c r="N3037" s="14"/>
      <c r="O3037" s="14" t="s">
        <v>7668</v>
      </c>
      <c r="P3037" s="14" t="str">
        <f>HYPERLINK("https://ceds.ed.gov/cedselementdetails.aspx?termid=17249")</f>
        <v>https://ceds.ed.gov/cedselementdetails.aspx?termid=17249</v>
      </c>
      <c r="Q3037" s="14" t="str">
        <f>HYPERLINK("https://ceds.ed.gov/elementComment.aspx?elementName=Section 504 Status &amp;elementID=17249", "Click here to submit comment")</f>
        <v>Click here to submit comment</v>
      </c>
      <c r="R3037" s="14">
        <v>51763</v>
      </c>
    </row>
    <row r="3038" spans="1:18" ht="210" x14ac:dyDescent="0.25">
      <c r="A3038" s="14" t="s">
        <v>9076</v>
      </c>
      <c r="B3038" s="14" t="s">
        <v>9077</v>
      </c>
      <c r="C3038" s="14" t="s">
        <v>8640</v>
      </c>
      <c r="D3038" s="14" t="s">
        <v>8531</v>
      </c>
      <c r="E3038" s="14" t="s">
        <v>6857</v>
      </c>
      <c r="F3038" s="14" t="s">
        <v>6858</v>
      </c>
      <c r="G3038" s="8" t="s">
        <v>8641</v>
      </c>
      <c r="H3038" s="14" t="s">
        <v>6864</v>
      </c>
      <c r="I3038" s="14"/>
      <c r="J3038" s="14"/>
      <c r="K3038" s="14"/>
      <c r="L3038" s="14" t="s">
        <v>6861</v>
      </c>
      <c r="M3038" s="14" t="s">
        <v>6862</v>
      </c>
      <c r="N3038" s="14"/>
      <c r="O3038" s="14" t="s">
        <v>6863</v>
      </c>
      <c r="P3038" s="14" t="str">
        <f>HYPERLINK("https://ceds.ed.gov/cedselementdetails.aspx?termid=17218")</f>
        <v>https://ceds.ed.gov/cedselementdetails.aspx?termid=17218</v>
      </c>
      <c r="Q3038" s="14" t="str">
        <f>HYPERLINK("https://ceds.ed.gov/elementComment.aspx?elementName=Primary Disability Type &amp;elementID=17218", "Click here to submit comment")</f>
        <v>Click here to submit comment</v>
      </c>
      <c r="R3038" s="14">
        <v>51764</v>
      </c>
    </row>
    <row r="3039" spans="1:18" ht="255" x14ac:dyDescent="0.25">
      <c r="A3039" s="14" t="s">
        <v>9076</v>
      </c>
      <c r="B3039" s="14" t="s">
        <v>9077</v>
      </c>
      <c r="C3039" s="14" t="s">
        <v>8640</v>
      </c>
      <c r="D3039" s="14" t="s">
        <v>8531</v>
      </c>
      <c r="E3039" s="14" t="s">
        <v>3571</v>
      </c>
      <c r="F3039" s="14" t="s">
        <v>3572</v>
      </c>
      <c r="G3039" s="8" t="s">
        <v>8642</v>
      </c>
      <c r="H3039" s="14"/>
      <c r="I3039" s="14"/>
      <c r="J3039" s="14"/>
      <c r="K3039" s="14"/>
      <c r="L3039" s="14" t="s">
        <v>3575</v>
      </c>
      <c r="M3039" s="14" t="s">
        <v>3576</v>
      </c>
      <c r="N3039" s="14"/>
      <c r="O3039" s="14" t="s">
        <v>3577</v>
      </c>
      <c r="P3039" s="14" t="str">
        <f>HYPERLINK("https://ceds.ed.gov/cedselementdetails.aspx?termid=18286")</f>
        <v>https://ceds.ed.gov/cedselementdetails.aspx?termid=18286</v>
      </c>
      <c r="Q3039" s="14" t="str">
        <f>HYPERLINK("https://ceds.ed.gov/elementComment.aspx?elementName=Disability Condition Type &amp;elementID=18286", "Click here to submit comment")</f>
        <v>Click here to submit comment</v>
      </c>
      <c r="R3039" s="14">
        <v>51767</v>
      </c>
    </row>
    <row r="3040" spans="1:18" ht="180" x14ac:dyDescent="0.25">
      <c r="A3040" s="14" t="s">
        <v>9076</v>
      </c>
      <c r="B3040" s="14" t="s">
        <v>9077</v>
      </c>
      <c r="C3040" s="14" t="s">
        <v>8640</v>
      </c>
      <c r="D3040" s="14" t="s">
        <v>8531</v>
      </c>
      <c r="E3040" s="14" t="s">
        <v>3578</v>
      </c>
      <c r="F3040" s="14" t="s">
        <v>3579</v>
      </c>
      <c r="G3040" s="8" t="s">
        <v>8643</v>
      </c>
      <c r="H3040" s="14"/>
      <c r="I3040" s="14"/>
      <c r="J3040" s="14"/>
      <c r="K3040" s="14"/>
      <c r="L3040" s="14" t="s">
        <v>3575</v>
      </c>
      <c r="M3040" s="14" t="s">
        <v>3582</v>
      </c>
      <c r="N3040" s="14"/>
      <c r="O3040" s="14" t="s">
        <v>3583</v>
      </c>
      <c r="P3040" s="14" t="str">
        <f>HYPERLINK("https://ceds.ed.gov/cedselementdetails.aspx?termid=18287")</f>
        <v>https://ceds.ed.gov/cedselementdetails.aspx?termid=18287</v>
      </c>
      <c r="Q3040" s="14" t="str">
        <f>HYPERLINK("https://ceds.ed.gov/elementComment.aspx?elementName=Disability Determination Source Type &amp;elementID=18287", "Click here to submit comment")</f>
        <v>Click here to submit comment</v>
      </c>
      <c r="R3040" s="14">
        <v>51768</v>
      </c>
    </row>
    <row r="3041" spans="1:18" ht="195" x14ac:dyDescent="0.25">
      <c r="A3041" s="14" t="s">
        <v>9076</v>
      </c>
      <c r="B3041" s="14" t="s">
        <v>9077</v>
      </c>
      <c r="C3041" s="14" t="s">
        <v>8640</v>
      </c>
      <c r="D3041" s="14" t="s">
        <v>8531</v>
      </c>
      <c r="E3041" s="14" t="s">
        <v>5069</v>
      </c>
      <c r="F3041" s="14" t="s">
        <v>5070</v>
      </c>
      <c r="G3041" s="8" t="s">
        <v>8856</v>
      </c>
      <c r="H3041" s="14" t="s">
        <v>258</v>
      </c>
      <c r="I3041" s="14"/>
      <c r="J3041" s="14"/>
      <c r="K3041" s="14"/>
      <c r="L3041" s="14"/>
      <c r="M3041" s="14" t="s">
        <v>5073</v>
      </c>
      <c r="N3041" s="14"/>
      <c r="O3041" s="14" t="s">
        <v>5074</v>
      </c>
      <c r="P3041" s="14" t="str">
        <f>HYPERLINK("https://ceds.ed.gov/cedselementdetails.aspx?termid=17526")</f>
        <v>https://ceds.ed.gov/cedselementdetails.aspx?termid=17526</v>
      </c>
      <c r="Q3041" s="14" t="str">
        <f>HYPERLINK("https://ceds.ed.gov/elementComment.aspx?elementName=IDEA Educational Environment for School Age &amp;elementID=17526", "Click here to submit comment")</f>
        <v>Click here to submit comment</v>
      </c>
      <c r="R3041" s="14">
        <v>51766</v>
      </c>
    </row>
    <row r="3042" spans="1:18" ht="75" x14ac:dyDescent="0.25">
      <c r="A3042" s="14" t="s">
        <v>9076</v>
      </c>
      <c r="B3042" s="14" t="s">
        <v>9077</v>
      </c>
      <c r="C3042" s="14" t="s">
        <v>9060</v>
      </c>
      <c r="D3042" s="14" t="s">
        <v>8531</v>
      </c>
      <c r="E3042" s="14" t="s">
        <v>2365</v>
      </c>
      <c r="F3042" s="14" t="s">
        <v>2366</v>
      </c>
      <c r="G3042" s="14" t="s">
        <v>8526</v>
      </c>
      <c r="H3042" s="14" t="s">
        <v>48</v>
      </c>
      <c r="I3042" s="14"/>
      <c r="J3042" s="14"/>
      <c r="K3042" s="14"/>
      <c r="L3042" s="14"/>
      <c r="M3042" s="14" t="s">
        <v>2368</v>
      </c>
      <c r="N3042" s="14" t="s">
        <v>2369</v>
      </c>
      <c r="O3042" s="14" t="s">
        <v>2370</v>
      </c>
      <c r="P3042" s="14" t="str">
        <f>HYPERLINK("https://ceds.ed.gov/cedselementdetails.aspx?termid=17043")</f>
        <v>https://ceds.ed.gov/cedselementdetails.aspx?termid=17043</v>
      </c>
      <c r="Q3042" s="14" t="str">
        <f>HYPERLINK("https://ceds.ed.gov/elementComment.aspx?elementName=Classification of Instructional Program Code &amp;elementID=17043", "Click here to submit comment")</f>
        <v>Click here to submit comment</v>
      </c>
      <c r="R3042" s="14">
        <v>50089</v>
      </c>
    </row>
    <row r="3043" spans="1:18" ht="360" x14ac:dyDescent="0.25">
      <c r="A3043" s="14" t="s">
        <v>9076</v>
      </c>
      <c r="B3043" s="14" t="s">
        <v>9077</v>
      </c>
      <c r="C3043" s="14" t="s">
        <v>9060</v>
      </c>
      <c r="D3043" s="14" t="s">
        <v>8531</v>
      </c>
      <c r="E3043" s="14" t="s">
        <v>2182</v>
      </c>
      <c r="F3043" s="14" t="s">
        <v>2183</v>
      </c>
      <c r="G3043" s="8" t="s">
        <v>8942</v>
      </c>
      <c r="H3043" s="14"/>
      <c r="I3043" s="14"/>
      <c r="J3043" s="14"/>
      <c r="K3043" s="14"/>
      <c r="L3043" s="14" t="s">
        <v>2186</v>
      </c>
      <c r="M3043" s="14" t="s">
        <v>2187</v>
      </c>
      <c r="N3043" s="14"/>
      <c r="O3043" s="14" t="s">
        <v>2188</v>
      </c>
      <c r="P3043" s="14" t="str">
        <f>HYPERLINK("https://ceds.ed.gov/cedselementdetails.aspx?termid=18254")</f>
        <v>https://ceds.ed.gov/cedselementdetails.aspx?termid=18254</v>
      </c>
      <c r="Q3043" s="14" t="str">
        <f>HYPERLINK("https://ceds.ed.gov/elementComment.aspx?elementName=Career Cluster &amp;elementID=18254", "Click here to submit comment")</f>
        <v>Click here to submit comment</v>
      </c>
      <c r="R3043" s="14">
        <v>50563</v>
      </c>
    </row>
    <row r="3044" spans="1:18" ht="60" x14ac:dyDescent="0.25">
      <c r="A3044" s="14" t="s">
        <v>9076</v>
      </c>
      <c r="B3044" s="14" t="s">
        <v>9077</v>
      </c>
      <c r="C3044" s="14" t="s">
        <v>9060</v>
      </c>
      <c r="D3044" s="14" t="s">
        <v>8531</v>
      </c>
      <c r="E3044" s="14" t="s">
        <v>7125</v>
      </c>
      <c r="F3044" s="14" t="s">
        <v>7126</v>
      </c>
      <c r="G3044" s="14" t="s">
        <v>37</v>
      </c>
      <c r="H3044" s="14" t="s">
        <v>7129</v>
      </c>
      <c r="I3044" s="14"/>
      <c r="J3044" s="14" t="s">
        <v>135</v>
      </c>
      <c r="K3044" s="14"/>
      <c r="L3044" s="14"/>
      <c r="M3044" s="14" t="s">
        <v>7127</v>
      </c>
      <c r="N3044" s="14"/>
      <c r="O3044" s="14" t="s">
        <v>7128</v>
      </c>
      <c r="P3044" s="14" t="str">
        <f>HYPERLINK("https://ceds.ed.gov/cedselementdetails.aspx?termid=17583")</f>
        <v>https://ceds.ed.gov/cedselementdetails.aspx?termid=17583</v>
      </c>
      <c r="Q3044" s="14" t="str">
        <f>HYPERLINK("https://ceds.ed.gov/elementComment.aspx?elementName=Program Participation Start Date &amp;elementID=17583", "Click here to submit comment")</f>
        <v>Click here to submit comment</v>
      </c>
      <c r="R3044" s="14">
        <v>49905</v>
      </c>
    </row>
    <row r="3045" spans="1:18" ht="75" x14ac:dyDescent="0.25">
      <c r="A3045" s="14" t="s">
        <v>9076</v>
      </c>
      <c r="B3045" s="14" t="s">
        <v>9077</v>
      </c>
      <c r="C3045" s="14" t="s">
        <v>9060</v>
      </c>
      <c r="D3045" s="14" t="s">
        <v>8531</v>
      </c>
      <c r="E3045" s="14" t="s">
        <v>7120</v>
      </c>
      <c r="F3045" s="14" t="s">
        <v>2201</v>
      </c>
      <c r="G3045" s="14" t="s">
        <v>37</v>
      </c>
      <c r="H3045" s="14" t="s">
        <v>7124</v>
      </c>
      <c r="I3045" s="14"/>
      <c r="J3045" s="14" t="s">
        <v>135</v>
      </c>
      <c r="K3045" s="14"/>
      <c r="L3045" s="14" t="s">
        <v>160</v>
      </c>
      <c r="M3045" s="14" t="s">
        <v>7122</v>
      </c>
      <c r="N3045" s="14"/>
      <c r="O3045" s="14" t="s">
        <v>7123</v>
      </c>
      <c r="P3045" s="14" t="str">
        <f>HYPERLINK("https://ceds.ed.gov/cedselementdetails.aspx?termid=17584")</f>
        <v>https://ceds.ed.gov/cedselementdetails.aspx?termid=17584</v>
      </c>
      <c r="Q3045" s="14" t="str">
        <f>HYPERLINK("https://ceds.ed.gov/elementComment.aspx?elementName=Program Participation Exit Date &amp;elementID=17584", "Click here to submit comment")</f>
        <v>Click here to submit comment</v>
      </c>
      <c r="R3045" s="14">
        <v>49906</v>
      </c>
    </row>
    <row r="3046" spans="1:18" ht="45" x14ac:dyDescent="0.25">
      <c r="A3046" s="14" t="s">
        <v>9076</v>
      </c>
      <c r="B3046" s="14" t="s">
        <v>9077</v>
      </c>
      <c r="C3046" s="14" t="s">
        <v>9060</v>
      </c>
      <c r="D3046" s="14" t="s">
        <v>8531</v>
      </c>
      <c r="E3046" s="14" t="s">
        <v>2209</v>
      </c>
      <c r="F3046" s="14" t="s">
        <v>2210</v>
      </c>
      <c r="G3046" s="14" t="s">
        <v>37</v>
      </c>
      <c r="H3046" s="14"/>
      <c r="I3046" s="14"/>
      <c r="J3046" s="14" t="s">
        <v>135</v>
      </c>
      <c r="K3046" s="14"/>
      <c r="L3046" s="14"/>
      <c r="M3046" s="14" t="s">
        <v>2211</v>
      </c>
      <c r="N3046" s="14"/>
      <c r="O3046" s="14" t="s">
        <v>2212</v>
      </c>
      <c r="P3046" s="14" t="str">
        <f>HYPERLINK("https://ceds.ed.gov/cedselementdetails.aspx?termid=18563")</f>
        <v>https://ceds.ed.gov/cedselementdetails.aspx?termid=18563</v>
      </c>
      <c r="Q3046" s="14" t="str">
        <f>HYPERLINK("https://ceds.ed.gov/elementComment.aspx?elementName=Career Pathways Program Participation Start Date &amp;elementID=18563", "Click here to submit comment")</f>
        <v>Click here to submit comment</v>
      </c>
      <c r="R3046" s="14">
        <v>51047</v>
      </c>
    </row>
    <row r="3047" spans="1:18" ht="75" x14ac:dyDescent="0.25">
      <c r="A3047" s="14" t="s">
        <v>9076</v>
      </c>
      <c r="B3047" s="14" t="s">
        <v>9077</v>
      </c>
      <c r="C3047" s="14" t="s">
        <v>9060</v>
      </c>
      <c r="D3047" s="14" t="s">
        <v>8531</v>
      </c>
      <c r="E3047" s="14" t="s">
        <v>2200</v>
      </c>
      <c r="F3047" s="14" t="s">
        <v>2201</v>
      </c>
      <c r="G3047" s="14" t="s">
        <v>37</v>
      </c>
      <c r="H3047" s="14"/>
      <c r="I3047" s="14"/>
      <c r="J3047" s="14" t="s">
        <v>135</v>
      </c>
      <c r="K3047" s="14"/>
      <c r="L3047" s="14" t="s">
        <v>160</v>
      </c>
      <c r="M3047" s="14" t="s">
        <v>2203</v>
      </c>
      <c r="N3047" s="14"/>
      <c r="O3047" s="14" t="s">
        <v>2204</v>
      </c>
      <c r="P3047" s="14" t="str">
        <f>HYPERLINK("https://ceds.ed.gov/cedselementdetails.aspx?termid=18562")</f>
        <v>https://ceds.ed.gov/cedselementdetails.aspx?termid=18562</v>
      </c>
      <c r="Q3047" s="14" t="str">
        <f>HYPERLINK("https://ceds.ed.gov/elementComment.aspx?elementName=Career Pathways Program Participation Exit Date &amp;elementID=18562", "Click here to submit comment")</f>
        <v>Click here to submit comment</v>
      </c>
      <c r="R3047" s="14">
        <v>51040</v>
      </c>
    </row>
    <row r="3048" spans="1:18" ht="75" x14ac:dyDescent="0.25">
      <c r="A3048" s="14" t="s">
        <v>9076</v>
      </c>
      <c r="B3048" s="14" t="s">
        <v>9077</v>
      </c>
      <c r="C3048" s="14" t="s">
        <v>9060</v>
      </c>
      <c r="D3048" s="14" t="s">
        <v>8531</v>
      </c>
      <c r="E3048" s="14" t="s">
        <v>2177</v>
      </c>
      <c r="F3048" s="14" t="s">
        <v>2178</v>
      </c>
      <c r="G3048" s="14" t="s">
        <v>24</v>
      </c>
      <c r="H3048" s="14" t="s">
        <v>258</v>
      </c>
      <c r="I3048" s="14"/>
      <c r="J3048" s="14"/>
      <c r="K3048" s="14"/>
      <c r="L3048" s="14"/>
      <c r="M3048" s="14" t="s">
        <v>2179</v>
      </c>
      <c r="N3048" s="14" t="s">
        <v>2180</v>
      </c>
      <c r="O3048" s="14" t="s">
        <v>2181</v>
      </c>
      <c r="P3048" s="14" t="str">
        <f>HYPERLINK("https://ceds.ed.gov/cedselementdetails.aspx?termid=17585")</f>
        <v>https://ceds.ed.gov/cedselementdetails.aspx?termid=17585</v>
      </c>
      <c r="Q3048" s="14" t="str">
        <f>HYPERLINK("https://ceds.ed.gov/elementComment.aspx?elementName=Career and Technical Education Participant &amp;elementID=17585", "Click here to submit comment")</f>
        <v>Click here to submit comment</v>
      </c>
      <c r="R3048" s="14">
        <v>49908</v>
      </c>
    </row>
    <row r="3049" spans="1:18" ht="105" x14ac:dyDescent="0.25">
      <c r="A3049" s="14" t="s">
        <v>9076</v>
      </c>
      <c r="B3049" s="14" t="s">
        <v>9077</v>
      </c>
      <c r="C3049" s="14" t="s">
        <v>9060</v>
      </c>
      <c r="D3049" s="14" t="s">
        <v>8531</v>
      </c>
      <c r="E3049" s="14" t="s">
        <v>2151</v>
      </c>
      <c r="F3049" s="14" t="s">
        <v>2152</v>
      </c>
      <c r="G3049" s="14" t="s">
        <v>24</v>
      </c>
      <c r="H3049" s="14" t="s">
        <v>2157</v>
      </c>
      <c r="I3049" s="14"/>
      <c r="J3049" s="14"/>
      <c r="K3049" s="14"/>
      <c r="L3049" s="14"/>
      <c r="M3049" s="14" t="s">
        <v>2154</v>
      </c>
      <c r="N3049" s="14" t="s">
        <v>2155</v>
      </c>
      <c r="O3049" s="14" t="s">
        <v>2156</v>
      </c>
      <c r="P3049" s="14" t="str">
        <f>HYPERLINK("https://ceds.ed.gov/cedselementdetails.aspx?termid=17037")</f>
        <v>https://ceds.ed.gov/cedselementdetails.aspx?termid=17037</v>
      </c>
      <c r="Q3049" s="14" t="str">
        <f>HYPERLINK("https://ceds.ed.gov/elementComment.aspx?elementName=Career and Technical Education Concentrator &amp;elementID=17037", "Click here to submit comment")</f>
        <v>Click here to submit comment</v>
      </c>
      <c r="R3049" s="14">
        <v>49907</v>
      </c>
    </row>
    <row r="3050" spans="1:18" ht="270" x14ac:dyDescent="0.25">
      <c r="A3050" s="14" t="s">
        <v>9076</v>
      </c>
      <c r="B3050" s="14" t="s">
        <v>9077</v>
      </c>
      <c r="C3050" s="14" t="s">
        <v>9060</v>
      </c>
      <c r="D3050" s="14" t="s">
        <v>8531</v>
      </c>
      <c r="E3050" s="14" t="s">
        <v>2220</v>
      </c>
      <c r="F3050" s="14" t="s">
        <v>2221</v>
      </c>
      <c r="G3050" s="14" t="s">
        <v>24</v>
      </c>
      <c r="H3050" s="14" t="s">
        <v>258</v>
      </c>
      <c r="I3050" s="14"/>
      <c r="J3050" s="14"/>
      <c r="K3050" s="14"/>
      <c r="L3050" s="14"/>
      <c r="M3050" s="14" t="s">
        <v>2223</v>
      </c>
      <c r="N3050" s="14" t="s">
        <v>2224</v>
      </c>
      <c r="O3050" s="14" t="s">
        <v>2225</v>
      </c>
      <c r="P3050" s="14" t="str">
        <f>HYPERLINK("https://ceds.ed.gov/cedselementdetails.aspx?termid=17084")</f>
        <v>https://ceds.ed.gov/cedselementdetails.aspx?termid=17084</v>
      </c>
      <c r="Q3050" s="14" t="str">
        <f>HYPERLINK("https://ceds.ed.gov/elementComment.aspx?elementName=Career-Technical-Adult Education Displaced Homemaker Indicator &amp;elementID=17084", "Click here to submit comment")</f>
        <v>Click here to submit comment</v>
      </c>
      <c r="R3050" s="14">
        <v>49909</v>
      </c>
    </row>
    <row r="3051" spans="1:18" ht="75" x14ac:dyDescent="0.25">
      <c r="A3051" s="14" t="s">
        <v>9076</v>
      </c>
      <c r="B3051" s="14" t="s">
        <v>9077</v>
      </c>
      <c r="C3051" s="14" t="s">
        <v>9060</v>
      </c>
      <c r="D3051" s="14" t="s">
        <v>8531</v>
      </c>
      <c r="E3051" s="14" t="s">
        <v>2205</v>
      </c>
      <c r="F3051" s="14" t="s">
        <v>2206</v>
      </c>
      <c r="G3051" s="14" t="s">
        <v>24</v>
      </c>
      <c r="H3051" s="14"/>
      <c r="I3051" s="14"/>
      <c r="J3051" s="14"/>
      <c r="K3051" s="14"/>
      <c r="L3051" s="14"/>
      <c r="M3051" s="14" t="s">
        <v>2207</v>
      </c>
      <c r="N3051" s="14"/>
      <c r="O3051" s="14" t="s">
        <v>2208</v>
      </c>
      <c r="P3051" s="14" t="str">
        <f>HYPERLINK("https://ceds.ed.gov/cedselementdetails.aspx?termid=18257")</f>
        <v>https://ceds.ed.gov/cedselementdetails.aspx?termid=18257</v>
      </c>
      <c r="Q3051" s="14" t="str">
        <f>HYPERLINK("https://ceds.ed.gov/elementComment.aspx?elementName=Career Pathways Program Participation Indicator &amp;elementID=18257", "Click here to submit comment")</f>
        <v>Click here to submit comment</v>
      </c>
      <c r="R3051" s="14">
        <v>51029</v>
      </c>
    </row>
    <row r="3052" spans="1:18" ht="105" x14ac:dyDescent="0.25">
      <c r="A3052" s="14" t="s">
        <v>9076</v>
      </c>
      <c r="B3052" s="14" t="s">
        <v>9077</v>
      </c>
      <c r="C3052" s="14" t="s">
        <v>9060</v>
      </c>
      <c r="D3052" s="14" t="s">
        <v>8531</v>
      </c>
      <c r="E3052" s="14" t="s">
        <v>7780</v>
      </c>
      <c r="F3052" s="14" t="s">
        <v>7781</v>
      </c>
      <c r="G3052" s="14" t="s">
        <v>24</v>
      </c>
      <c r="H3052" s="14" t="s">
        <v>2410</v>
      </c>
      <c r="I3052" s="14"/>
      <c r="J3052" s="14"/>
      <c r="K3052" s="14"/>
      <c r="L3052" s="14"/>
      <c r="M3052" s="14" t="s">
        <v>7783</v>
      </c>
      <c r="N3052" s="14"/>
      <c r="O3052" s="14" t="s">
        <v>7784</v>
      </c>
      <c r="P3052" s="14" t="str">
        <f>HYPERLINK("https://ceds.ed.gov/cedselementdetails.aspx?termid=17573")</f>
        <v>https://ceds.ed.gov/cedselementdetails.aspx?termid=17573</v>
      </c>
      <c r="Q3052" s="14" t="str">
        <f>HYPERLINK("https://ceds.ed.gov/elementComment.aspx?elementName=Single Parent or Single Pregnant Woman Status &amp;elementID=17573", "Click here to submit comment")</f>
        <v>Click here to submit comment</v>
      </c>
      <c r="R3052" s="14">
        <v>49910</v>
      </c>
    </row>
    <row r="3053" spans="1:18" ht="240" x14ac:dyDescent="0.25">
      <c r="A3053" s="14" t="s">
        <v>9076</v>
      </c>
      <c r="B3053" s="14" t="s">
        <v>9077</v>
      </c>
      <c r="C3053" s="14" t="s">
        <v>9060</v>
      </c>
      <c r="D3053" s="14" t="s">
        <v>8531</v>
      </c>
      <c r="E3053" s="14" t="s">
        <v>8492</v>
      </c>
      <c r="F3053" s="14" t="s">
        <v>8493</v>
      </c>
      <c r="G3053" s="8" t="s">
        <v>8916</v>
      </c>
      <c r="H3053" s="14"/>
      <c r="I3053" s="14"/>
      <c r="J3053" s="14"/>
      <c r="K3053" s="14"/>
      <c r="L3053" s="14"/>
      <c r="M3053" s="14" t="s">
        <v>8496</v>
      </c>
      <c r="N3053" s="14"/>
      <c r="O3053" s="14" t="s">
        <v>8497</v>
      </c>
      <c r="P3053" s="14" t="str">
        <f>HYPERLINK("https://ceds.ed.gov/cedselementdetails.aspx?termid=18471")</f>
        <v>https://ceds.ed.gov/cedselementdetails.aspx?termid=18471</v>
      </c>
      <c r="Q3053" s="14" t="str">
        <f>HYPERLINK("https://ceds.ed.gov/elementComment.aspx?elementName=Work-based Learning Opportunity Type &amp;elementID=18471", "Click here to submit comment")</f>
        <v>Click here to submit comment</v>
      </c>
      <c r="R3053" s="14">
        <v>50454</v>
      </c>
    </row>
    <row r="3054" spans="1:18" ht="270" x14ac:dyDescent="0.25">
      <c r="A3054" s="14" t="s">
        <v>9076</v>
      </c>
      <c r="B3054" s="14" t="s">
        <v>9077</v>
      </c>
      <c r="C3054" s="14" t="s">
        <v>9060</v>
      </c>
      <c r="D3054" s="14" t="s">
        <v>8541</v>
      </c>
      <c r="E3054" s="14" t="s">
        <v>6623</v>
      </c>
      <c r="F3054" s="14" t="s">
        <v>6624</v>
      </c>
      <c r="G3054" s="14" t="s">
        <v>3430</v>
      </c>
      <c r="H3054" s="14"/>
      <c r="I3054" s="14" t="s">
        <v>188</v>
      </c>
      <c r="J3054" s="14"/>
      <c r="K3054" s="14" t="s">
        <v>189</v>
      </c>
      <c r="L3054" s="14"/>
      <c r="M3054" s="14" t="s">
        <v>6626</v>
      </c>
      <c r="N3054" s="14"/>
      <c r="O3054" s="14" t="s">
        <v>6627</v>
      </c>
      <c r="P3054" s="14" t="str">
        <f>HYPERLINK("https://ceds.ed.gov/cedselementdetails.aspx?termid=18908")</f>
        <v>https://ceds.ed.gov/cedselementdetails.aspx?termid=18908</v>
      </c>
      <c r="Q3054" s="14" t="str">
        <f>HYPERLINK("https://ceds.ed.gov/elementComment.aspx?elementName=Out of Workforce Indicator &amp;elementID=18908", "Click here to submit comment")</f>
        <v>Click here to submit comment</v>
      </c>
      <c r="R3054" s="14">
        <v>52257</v>
      </c>
    </row>
    <row r="3055" spans="1:18" ht="45" x14ac:dyDescent="0.25">
      <c r="A3055" s="14" t="s">
        <v>9076</v>
      </c>
      <c r="B3055" s="14" t="s">
        <v>9077</v>
      </c>
      <c r="C3055" s="14" t="s">
        <v>9060</v>
      </c>
      <c r="D3055" s="14" t="s">
        <v>8541</v>
      </c>
      <c r="E3055" s="14" t="s">
        <v>7077</v>
      </c>
      <c r="F3055" s="14" t="s">
        <v>7078</v>
      </c>
      <c r="G3055" s="14" t="s">
        <v>37</v>
      </c>
      <c r="H3055" s="14"/>
      <c r="I3055" s="14" t="s">
        <v>188</v>
      </c>
      <c r="J3055" s="14" t="s">
        <v>129</v>
      </c>
      <c r="K3055" s="14" t="s">
        <v>1721</v>
      </c>
      <c r="L3055" s="14"/>
      <c r="M3055" s="14" t="s">
        <v>7080</v>
      </c>
      <c r="N3055" s="14"/>
      <c r="O3055" s="14" t="s">
        <v>7081</v>
      </c>
      <c r="P3055" s="14" t="str">
        <f>HYPERLINK("https://ceds.ed.gov/cedselementdetails.aspx?termid=18909")</f>
        <v>https://ceds.ed.gov/cedselementdetails.aspx?termid=18909</v>
      </c>
      <c r="Q3055" s="14" t="str">
        <f>HYPERLINK("https://ceds.ed.gov/elementComment.aspx?elementName=Program Entry Reason &amp;elementID=18909", "Click here to submit comment")</f>
        <v>Click here to submit comment</v>
      </c>
      <c r="R3055" s="14">
        <v>52258</v>
      </c>
    </row>
    <row r="3056" spans="1:18" ht="45" x14ac:dyDescent="0.25">
      <c r="A3056" s="14" t="s">
        <v>9076</v>
      </c>
      <c r="B3056" s="14" t="s">
        <v>9077</v>
      </c>
      <c r="C3056" s="14" t="s">
        <v>9078</v>
      </c>
      <c r="D3056" s="14" t="s">
        <v>8531</v>
      </c>
      <c r="E3056" s="14" t="s">
        <v>2189</v>
      </c>
      <c r="F3056" s="14" t="s">
        <v>2190</v>
      </c>
      <c r="G3056" s="14" t="s">
        <v>37</v>
      </c>
      <c r="H3056" s="14"/>
      <c r="I3056" s="14"/>
      <c r="J3056" s="14" t="s">
        <v>135</v>
      </c>
      <c r="K3056" s="14"/>
      <c r="L3056" s="14"/>
      <c r="M3056" s="14" t="s">
        <v>2192</v>
      </c>
      <c r="N3056" s="14"/>
      <c r="O3056" s="14" t="s">
        <v>2193</v>
      </c>
      <c r="P3056" s="14" t="str">
        <f>HYPERLINK("https://ceds.ed.gov/cedselementdetails.aspx?termid=18255")</f>
        <v>https://ceds.ed.gov/cedselementdetails.aspx?termid=18255</v>
      </c>
      <c r="Q3056" s="14" t="str">
        <f>HYPERLINK("https://ceds.ed.gov/elementComment.aspx?elementName=Career Education Plan Date &amp;elementID=18255", "Click here to submit comment")</f>
        <v>Click here to submit comment</v>
      </c>
      <c r="R3056" s="14">
        <v>50531</v>
      </c>
    </row>
    <row r="3057" spans="1:18" ht="75" x14ac:dyDescent="0.25">
      <c r="A3057" s="14" t="s">
        <v>9076</v>
      </c>
      <c r="B3057" s="14" t="s">
        <v>9077</v>
      </c>
      <c r="C3057" s="14" t="s">
        <v>9078</v>
      </c>
      <c r="D3057" s="14" t="s">
        <v>8531</v>
      </c>
      <c r="E3057" s="14" t="s">
        <v>2194</v>
      </c>
      <c r="F3057" s="14" t="s">
        <v>2195</v>
      </c>
      <c r="G3057" s="8" t="s">
        <v>8660</v>
      </c>
      <c r="H3057" s="14"/>
      <c r="I3057" s="14" t="s">
        <v>195</v>
      </c>
      <c r="J3057" s="14"/>
      <c r="K3057" s="14" t="s">
        <v>2197</v>
      </c>
      <c r="L3057" s="14"/>
      <c r="M3057" s="14" t="s">
        <v>2198</v>
      </c>
      <c r="N3057" s="14"/>
      <c r="O3057" s="14" t="s">
        <v>2199</v>
      </c>
      <c r="P3057" s="14" t="str">
        <f>HYPERLINK("https://ceds.ed.gov/cedselementdetails.aspx?termid=18256")</f>
        <v>https://ceds.ed.gov/cedselementdetails.aspx?termid=18256</v>
      </c>
      <c r="Q3057" s="14" t="str">
        <f>HYPERLINK("https://ceds.ed.gov/elementComment.aspx?elementName=Career Education Plan Type &amp;elementID=18256", "Click here to submit comment")</f>
        <v>Click here to submit comment</v>
      </c>
      <c r="R3057" s="14">
        <v>50532</v>
      </c>
    </row>
    <row r="3058" spans="1:18" ht="90" x14ac:dyDescent="0.25">
      <c r="A3058" s="14" t="s">
        <v>9076</v>
      </c>
      <c r="B3058" s="14" t="s">
        <v>9077</v>
      </c>
      <c r="C3058" s="14" t="s">
        <v>8632</v>
      </c>
      <c r="D3058" s="14" t="s">
        <v>8541</v>
      </c>
      <c r="E3058" s="14" t="s">
        <v>5662</v>
      </c>
      <c r="F3058" s="14" t="s">
        <v>5663</v>
      </c>
      <c r="G3058" s="14" t="s">
        <v>8527</v>
      </c>
      <c r="H3058" s="14" t="s">
        <v>5668</v>
      </c>
      <c r="I3058" s="14" t="s">
        <v>195</v>
      </c>
      <c r="J3058" s="14"/>
      <c r="K3058" s="14" t="s">
        <v>5665</v>
      </c>
      <c r="L3058" s="6" t="s">
        <v>1087</v>
      </c>
      <c r="M3058" s="14" t="s">
        <v>5666</v>
      </c>
      <c r="N3058" s="14"/>
      <c r="O3058" s="14" t="s">
        <v>5667</v>
      </c>
      <c r="P3058" s="14" t="str">
        <f>HYPERLINK("https://ceds.ed.gov/cedselementdetails.aspx?termid=17317")</f>
        <v>https://ceds.ed.gov/cedselementdetails.aspx?termid=17317</v>
      </c>
      <c r="Q3058" s="14" t="str">
        <f>HYPERLINK("https://ceds.ed.gov/elementComment.aspx?elementName=ISO 639-2 Language Code &amp;elementID=17317", "Click here to submit comment")</f>
        <v>Click here to submit comment</v>
      </c>
      <c r="R3058" s="14">
        <v>52253</v>
      </c>
    </row>
    <row r="3059" spans="1:18" ht="105" x14ac:dyDescent="0.25">
      <c r="A3059" s="14" t="s">
        <v>9076</v>
      </c>
      <c r="B3059" s="14" t="s">
        <v>9077</v>
      </c>
      <c r="C3059" s="14" t="s">
        <v>8632</v>
      </c>
      <c r="D3059" s="14" t="s">
        <v>8541</v>
      </c>
      <c r="E3059" s="14" t="s">
        <v>5669</v>
      </c>
      <c r="F3059" s="14" t="s">
        <v>5663</v>
      </c>
      <c r="G3059" s="14" t="s">
        <v>8527</v>
      </c>
      <c r="H3059" s="14"/>
      <c r="I3059" s="14" t="s">
        <v>195</v>
      </c>
      <c r="J3059" s="14"/>
      <c r="K3059" s="14" t="s">
        <v>5670</v>
      </c>
      <c r="L3059" s="6" t="s">
        <v>5671</v>
      </c>
      <c r="M3059" s="14" t="s">
        <v>5672</v>
      </c>
      <c r="N3059" s="14"/>
      <c r="O3059" s="14" t="s">
        <v>5673</v>
      </c>
      <c r="P3059" s="14" t="str">
        <f>HYPERLINK("https://ceds.ed.gov/cedselementdetails.aspx?termid=18618")</f>
        <v>https://ceds.ed.gov/cedselementdetails.aspx?termid=18618</v>
      </c>
      <c r="Q3059" s="14" t="str">
        <f>HYPERLINK("https://ceds.ed.gov/elementComment.aspx?elementName=ISO 639-3 Language Code &amp;elementID=18618", "Click here to submit comment")</f>
        <v>Click here to submit comment</v>
      </c>
      <c r="R3059" s="14">
        <v>52254</v>
      </c>
    </row>
    <row r="3060" spans="1:18" ht="409.5" x14ac:dyDescent="0.25">
      <c r="A3060" s="14" t="s">
        <v>9076</v>
      </c>
      <c r="B3060" s="14" t="s">
        <v>9077</v>
      </c>
      <c r="C3060" s="14" t="s">
        <v>8632</v>
      </c>
      <c r="D3060" s="14" t="s">
        <v>8541</v>
      </c>
      <c r="E3060" s="14" t="s">
        <v>5674</v>
      </c>
      <c r="F3060" s="14" t="s">
        <v>5675</v>
      </c>
      <c r="G3060" s="8" t="s">
        <v>8634</v>
      </c>
      <c r="H3060" s="14"/>
      <c r="I3060" s="14" t="s">
        <v>195</v>
      </c>
      <c r="J3060" s="14"/>
      <c r="K3060" s="14" t="s">
        <v>2856</v>
      </c>
      <c r="L3060" s="6" t="s">
        <v>5677</v>
      </c>
      <c r="M3060" s="14" t="s">
        <v>5678</v>
      </c>
      <c r="N3060" s="14"/>
      <c r="O3060" s="14" t="s">
        <v>5679</v>
      </c>
      <c r="P3060" s="14" t="str">
        <f>HYPERLINK("https://ceds.ed.gov/cedselementdetails.aspx?termid=18619")</f>
        <v>https://ceds.ed.gov/cedselementdetails.aspx?termid=18619</v>
      </c>
      <c r="Q3060" s="14" t="str">
        <f>HYPERLINK("https://ceds.ed.gov/elementComment.aspx?elementName=ISO 639-5 Language Family &amp;elementID=18619", "Click here to submit comment")</f>
        <v>Click here to submit comment</v>
      </c>
      <c r="R3060" s="14">
        <v>52255</v>
      </c>
    </row>
    <row r="3061" spans="1:18" ht="135" x14ac:dyDescent="0.25">
      <c r="A3061" s="14" t="s">
        <v>9076</v>
      </c>
      <c r="B3061" s="14" t="s">
        <v>9077</v>
      </c>
      <c r="C3061" s="14" t="s">
        <v>8632</v>
      </c>
      <c r="D3061" s="14" t="s">
        <v>8541</v>
      </c>
      <c r="E3061" s="14" t="s">
        <v>5717</v>
      </c>
      <c r="F3061" s="14" t="s">
        <v>5718</v>
      </c>
      <c r="G3061" s="8" t="s">
        <v>8633</v>
      </c>
      <c r="H3061" s="14" t="s">
        <v>5668</v>
      </c>
      <c r="I3061" s="14" t="s">
        <v>195</v>
      </c>
      <c r="J3061" s="14"/>
      <c r="K3061" s="14" t="s">
        <v>2856</v>
      </c>
      <c r="L3061" s="14"/>
      <c r="M3061" s="14" t="s">
        <v>5721</v>
      </c>
      <c r="N3061" s="14"/>
      <c r="O3061" s="14" t="s">
        <v>5722</v>
      </c>
      <c r="P3061" s="14" t="str">
        <f>HYPERLINK("https://ceds.ed.gov/cedselementdetails.aspx?termid=17316")</f>
        <v>https://ceds.ed.gov/cedselementdetails.aspx?termid=17316</v>
      </c>
      <c r="Q3061" s="14" t="str">
        <f>HYPERLINK("https://ceds.ed.gov/elementComment.aspx?elementName=Language Type &amp;elementID=17316", "Click here to submit comment")</f>
        <v>Click here to submit comment</v>
      </c>
      <c r="R3061" s="14">
        <v>52256</v>
      </c>
    </row>
    <row r="3062" spans="1:18" ht="409.5" x14ac:dyDescent="0.25">
      <c r="A3062" s="14" t="s">
        <v>9076</v>
      </c>
      <c r="B3062" s="14" t="s">
        <v>9077</v>
      </c>
      <c r="C3062" s="14" t="s">
        <v>8673</v>
      </c>
      <c r="D3062" s="14" t="s">
        <v>8541</v>
      </c>
      <c r="E3062" s="14" t="s">
        <v>6727</v>
      </c>
      <c r="F3062" s="14" t="s">
        <v>6728</v>
      </c>
      <c r="G3062" s="8" t="s">
        <v>8674</v>
      </c>
      <c r="H3062" s="14" t="s">
        <v>1751</v>
      </c>
      <c r="I3062" s="14" t="s">
        <v>195</v>
      </c>
      <c r="J3062" s="14"/>
      <c r="K3062" s="14" t="s">
        <v>6731</v>
      </c>
      <c r="L3062" s="14" t="s">
        <v>6732</v>
      </c>
      <c r="M3062" s="14" t="s">
        <v>6733</v>
      </c>
      <c r="N3062" s="14"/>
      <c r="O3062" s="14" t="s">
        <v>6734</v>
      </c>
      <c r="P3062" s="14" t="str">
        <f>HYPERLINK("https://ceds.ed.gov/cedselementdetails.aspx?termid=17415")</f>
        <v>https://ceds.ed.gov/cedselementdetails.aspx?termid=17415</v>
      </c>
      <c r="Q3062" s="14" t="str">
        <f>HYPERLINK("https://ceds.ed.gov/elementComment.aspx?elementName=Person Relationship Type &amp;elementID=17415", "Click here to submit comment")</f>
        <v>Click here to submit comment</v>
      </c>
      <c r="R3062" s="14">
        <v>52259</v>
      </c>
    </row>
    <row r="3063" spans="1:18" ht="45" x14ac:dyDescent="0.25">
      <c r="A3063" s="14" t="s">
        <v>9076</v>
      </c>
      <c r="B3063" s="14" t="s">
        <v>9077</v>
      </c>
      <c r="C3063" s="14" t="s">
        <v>4</v>
      </c>
      <c r="D3063" s="14" t="s">
        <v>8541</v>
      </c>
      <c r="E3063" s="14" t="s">
        <v>1719</v>
      </c>
      <c r="F3063" s="14" t="s">
        <v>1720</v>
      </c>
      <c r="G3063" s="14" t="s">
        <v>24</v>
      </c>
      <c r="H3063" s="14"/>
      <c r="I3063" s="14" t="s">
        <v>188</v>
      </c>
      <c r="J3063" s="14"/>
      <c r="K3063" s="14" t="s">
        <v>1721</v>
      </c>
      <c r="L3063" s="14"/>
      <c r="M3063" s="14" t="s">
        <v>1722</v>
      </c>
      <c r="N3063" s="14"/>
      <c r="O3063" s="14" t="s">
        <v>1723</v>
      </c>
      <c r="P3063" s="14" t="str">
        <f>HYPERLINK("https://ceds.ed.gov/cedselementdetails.aspx?termid=18903")</f>
        <v>https://ceds.ed.gov/cedselementdetails.aspx?termid=18903</v>
      </c>
      <c r="Q3063" s="14" t="str">
        <f>HYPERLINK("https://ceds.ed.gov/elementComment.aspx?elementName=Awaiting Foster Care Status &amp;elementID=18903", "Click here to submit comment")</f>
        <v>Click here to submit comment</v>
      </c>
      <c r="R3063" s="14">
        <v>52260</v>
      </c>
    </row>
    <row r="3064" spans="1:18" ht="75" x14ac:dyDescent="0.25">
      <c r="A3064" s="14" t="s">
        <v>9076</v>
      </c>
      <c r="B3064" s="14" t="s">
        <v>9077</v>
      </c>
      <c r="C3064" s="14" t="s">
        <v>4</v>
      </c>
      <c r="D3064" s="14" t="s">
        <v>8541</v>
      </c>
      <c r="E3064" s="14" t="s">
        <v>7201</v>
      </c>
      <c r="F3064" s="14" t="s">
        <v>7202</v>
      </c>
      <c r="G3064" s="14" t="s">
        <v>24</v>
      </c>
      <c r="H3064" s="14"/>
      <c r="I3064" s="14" t="s">
        <v>195</v>
      </c>
      <c r="J3064" s="14"/>
      <c r="K3064" s="14" t="s">
        <v>2856</v>
      </c>
      <c r="L3064" s="14"/>
      <c r="M3064" s="14" t="s">
        <v>7204</v>
      </c>
      <c r="N3064" s="14"/>
      <c r="O3064" s="14" t="s">
        <v>7205</v>
      </c>
      <c r="P3064" s="14" t="str">
        <f>HYPERLINK("https://ceds.ed.gov/cedselementdetails.aspx?termid=17760")</f>
        <v>https://ceds.ed.gov/cedselementdetails.aspx?termid=17760</v>
      </c>
      <c r="Q3064" s="14" t="str">
        <f>HYPERLINK("https://ceds.ed.gov/elementComment.aspx?elementName=Public Assistance Status &amp;elementID=17760", "Click here to submit comment")</f>
        <v>Click here to submit comment</v>
      </c>
      <c r="R3064" s="14">
        <v>52261</v>
      </c>
    </row>
    <row r="3065" spans="1:18" ht="195" x14ac:dyDescent="0.25">
      <c r="A3065" s="14" t="s">
        <v>9076</v>
      </c>
      <c r="B3065" s="14" t="s">
        <v>9079</v>
      </c>
      <c r="C3065" s="14" t="s">
        <v>8597</v>
      </c>
      <c r="D3065" s="14" t="s">
        <v>8531</v>
      </c>
      <c r="E3065" s="14" t="s">
        <v>4667</v>
      </c>
      <c r="F3065" s="14" t="s">
        <v>4668</v>
      </c>
      <c r="G3065" s="14" t="s">
        <v>37</v>
      </c>
      <c r="H3065" s="14" t="s">
        <v>4673</v>
      </c>
      <c r="I3065" s="14"/>
      <c r="J3065" s="14" t="s">
        <v>1468</v>
      </c>
      <c r="K3065" s="14"/>
      <c r="L3065" s="14" t="s">
        <v>4670</v>
      </c>
      <c r="M3065" s="14" t="s">
        <v>4671</v>
      </c>
      <c r="N3065" s="14"/>
      <c r="O3065" s="14" t="s">
        <v>4672</v>
      </c>
      <c r="P3065" s="14" t="str">
        <f>HYPERLINK("https://ceds.ed.gov/cedselementdetails.aspx?termid=17115")</f>
        <v>https://ceds.ed.gov/cedselementdetails.aspx?termid=17115</v>
      </c>
      <c r="Q3065" s="14" t="str">
        <f>HYPERLINK("https://ceds.ed.gov/elementComment.aspx?elementName=First Name &amp;elementID=17115", "Click here to submit comment")</f>
        <v>Click here to submit comment</v>
      </c>
      <c r="R3065" s="14">
        <v>50550</v>
      </c>
    </row>
    <row r="3066" spans="1:18" x14ac:dyDescent="0.25">
      <c r="A3066" s="16" t="s">
        <v>9076</v>
      </c>
      <c r="B3066" s="16" t="s">
        <v>9079</v>
      </c>
      <c r="C3066" s="16" t="s">
        <v>8597</v>
      </c>
      <c r="D3066" s="16" t="s">
        <v>8531</v>
      </c>
      <c r="E3066" s="16" t="s">
        <v>6223</v>
      </c>
      <c r="F3066" s="16" t="s">
        <v>6224</v>
      </c>
      <c r="G3066" s="16" t="s">
        <v>37</v>
      </c>
      <c r="H3066" s="16" t="s">
        <v>4673</v>
      </c>
      <c r="I3066" s="16"/>
      <c r="J3066" s="16" t="s">
        <v>1468</v>
      </c>
      <c r="K3066" s="16"/>
      <c r="L3066" s="14" t="s">
        <v>4746</v>
      </c>
      <c r="M3066" s="16" t="s">
        <v>6226</v>
      </c>
      <c r="N3066" s="16"/>
      <c r="O3066" s="16" t="s">
        <v>6227</v>
      </c>
      <c r="P3066" s="16" t="str">
        <f>HYPERLINK("https://ceds.ed.gov/cedselementdetails.aspx?termid=17184")</f>
        <v>https://ceds.ed.gov/cedselementdetails.aspx?termid=17184</v>
      </c>
      <c r="Q3066" s="16" t="str">
        <f>HYPERLINK("https://ceds.ed.gov/elementComment.aspx?elementName=Middle Name &amp;elementID=17184", "Click here to submit comment")</f>
        <v>Click here to submit comment</v>
      </c>
      <c r="R3066" s="16">
        <v>50551</v>
      </c>
    </row>
    <row r="3067" spans="1:18" ht="90" x14ac:dyDescent="0.25">
      <c r="A3067" s="16"/>
      <c r="B3067" s="16"/>
      <c r="C3067" s="16"/>
      <c r="D3067" s="16"/>
      <c r="E3067" s="16"/>
      <c r="F3067" s="16"/>
      <c r="G3067" s="16"/>
      <c r="H3067" s="16"/>
      <c r="I3067" s="16"/>
      <c r="J3067" s="16"/>
      <c r="K3067" s="16"/>
      <c r="L3067" s="14" t="s">
        <v>4750</v>
      </c>
      <c r="M3067" s="16"/>
      <c r="N3067" s="16"/>
      <c r="O3067" s="16"/>
      <c r="P3067" s="16"/>
      <c r="Q3067" s="16"/>
      <c r="R3067" s="16"/>
    </row>
    <row r="3068" spans="1:18" x14ac:dyDescent="0.25">
      <c r="A3068" s="16" t="s">
        <v>9076</v>
      </c>
      <c r="B3068" s="16" t="s">
        <v>9079</v>
      </c>
      <c r="C3068" s="16" t="s">
        <v>8597</v>
      </c>
      <c r="D3068" s="16" t="s">
        <v>8531</v>
      </c>
      <c r="E3068" s="16" t="s">
        <v>5727</v>
      </c>
      <c r="F3068" s="16" t="s">
        <v>5728</v>
      </c>
      <c r="G3068" s="16" t="s">
        <v>37</v>
      </c>
      <c r="H3068" s="16" t="s">
        <v>4673</v>
      </c>
      <c r="I3068" s="16"/>
      <c r="J3068" s="16" t="s">
        <v>1468</v>
      </c>
      <c r="K3068" s="16"/>
      <c r="L3068" s="14" t="s">
        <v>4746</v>
      </c>
      <c r="M3068" s="16" t="s">
        <v>5729</v>
      </c>
      <c r="N3068" s="16" t="s">
        <v>5730</v>
      </c>
      <c r="O3068" s="16" t="s">
        <v>5731</v>
      </c>
      <c r="P3068" s="16" t="str">
        <f>HYPERLINK("https://ceds.ed.gov/cedselementdetails.aspx?termid=17172")</f>
        <v>https://ceds.ed.gov/cedselementdetails.aspx?termid=17172</v>
      </c>
      <c r="Q3068" s="16" t="str">
        <f>HYPERLINK("https://ceds.ed.gov/elementComment.aspx?elementName=Last or Surname &amp;elementID=17172", "Click here to submit comment")</f>
        <v>Click here to submit comment</v>
      </c>
      <c r="R3068" s="16">
        <v>50552</v>
      </c>
    </row>
    <row r="3069" spans="1:18" ht="90" x14ac:dyDescent="0.25">
      <c r="A3069" s="16"/>
      <c r="B3069" s="16"/>
      <c r="C3069" s="16"/>
      <c r="D3069" s="16"/>
      <c r="E3069" s="16"/>
      <c r="F3069" s="16"/>
      <c r="G3069" s="16"/>
      <c r="H3069" s="16"/>
      <c r="I3069" s="16"/>
      <c r="J3069" s="16"/>
      <c r="K3069" s="16"/>
      <c r="L3069" s="14" t="s">
        <v>4750</v>
      </c>
      <c r="M3069" s="16"/>
      <c r="N3069" s="16"/>
      <c r="O3069" s="16"/>
      <c r="P3069" s="16"/>
      <c r="Q3069" s="16"/>
      <c r="R3069" s="16"/>
    </row>
    <row r="3070" spans="1:18" x14ac:dyDescent="0.25">
      <c r="A3070" s="16" t="s">
        <v>9076</v>
      </c>
      <c r="B3070" s="16" t="s">
        <v>9079</v>
      </c>
      <c r="C3070" s="16" t="s">
        <v>8597</v>
      </c>
      <c r="D3070" s="16" t="s">
        <v>8531</v>
      </c>
      <c r="E3070" s="16" t="s">
        <v>4743</v>
      </c>
      <c r="F3070" s="16" t="s">
        <v>4744</v>
      </c>
      <c r="G3070" s="16" t="s">
        <v>37</v>
      </c>
      <c r="H3070" s="16" t="s">
        <v>4749</v>
      </c>
      <c r="I3070" s="16"/>
      <c r="J3070" s="16" t="s">
        <v>3096</v>
      </c>
      <c r="K3070" s="16"/>
      <c r="L3070" s="14" t="s">
        <v>4746</v>
      </c>
      <c r="M3070" s="16" t="s">
        <v>4747</v>
      </c>
      <c r="N3070" s="16"/>
      <c r="O3070" s="16" t="s">
        <v>4748</v>
      </c>
      <c r="P3070" s="16" t="str">
        <f>HYPERLINK("https://ceds.ed.gov/cedselementdetails.aspx?termid=17121")</f>
        <v>https://ceds.ed.gov/cedselementdetails.aspx?termid=17121</v>
      </c>
      <c r="Q3070" s="16" t="str">
        <f>HYPERLINK("https://ceds.ed.gov/elementComment.aspx?elementName=Generation Code or Suffix &amp;elementID=17121", "Click here to submit comment")</f>
        <v>Click here to submit comment</v>
      </c>
      <c r="R3070" s="16">
        <v>50553</v>
      </c>
    </row>
    <row r="3071" spans="1:18" ht="90" x14ac:dyDescent="0.25">
      <c r="A3071" s="16"/>
      <c r="B3071" s="16"/>
      <c r="C3071" s="16"/>
      <c r="D3071" s="16"/>
      <c r="E3071" s="16"/>
      <c r="F3071" s="16"/>
      <c r="G3071" s="16"/>
      <c r="H3071" s="16"/>
      <c r="I3071" s="16"/>
      <c r="J3071" s="16"/>
      <c r="K3071" s="16"/>
      <c r="L3071" s="14" t="s">
        <v>4750</v>
      </c>
      <c r="M3071" s="16"/>
      <c r="N3071" s="16"/>
      <c r="O3071" s="16"/>
      <c r="P3071" s="16"/>
      <c r="Q3071" s="16"/>
      <c r="R3071" s="16"/>
    </row>
    <row r="3072" spans="1:18" ht="105" x14ac:dyDescent="0.25">
      <c r="A3072" s="14" t="s">
        <v>9076</v>
      </c>
      <c r="B3072" s="14" t="s">
        <v>9079</v>
      </c>
      <c r="C3072" s="14" t="s">
        <v>8597</v>
      </c>
      <c r="D3072" s="14" t="s">
        <v>8531</v>
      </c>
      <c r="E3072" s="14" t="s">
        <v>6741</v>
      </c>
      <c r="F3072" s="14" t="s">
        <v>6742</v>
      </c>
      <c r="G3072" s="14" t="s">
        <v>37</v>
      </c>
      <c r="H3072" s="14" t="s">
        <v>6747</v>
      </c>
      <c r="I3072" s="14"/>
      <c r="J3072" s="14" t="s">
        <v>97</v>
      </c>
      <c r="K3072" s="14"/>
      <c r="L3072" s="14"/>
      <c r="M3072" s="14" t="s">
        <v>6744</v>
      </c>
      <c r="N3072" s="14" t="s">
        <v>6745</v>
      </c>
      <c r="O3072" s="14" t="s">
        <v>6746</v>
      </c>
      <c r="P3072" s="14" t="str">
        <f>HYPERLINK("https://ceds.ed.gov/cedselementdetails.aspx?termid=17212")</f>
        <v>https://ceds.ed.gov/cedselementdetails.aspx?termid=17212</v>
      </c>
      <c r="Q3072" s="14" t="str">
        <f>HYPERLINK("https://ceds.ed.gov/elementComment.aspx?elementName=Personal Title or Prefix &amp;elementID=17212", "Click here to submit comment")</f>
        <v>Click here to submit comment</v>
      </c>
      <c r="R3072" s="14">
        <v>50554</v>
      </c>
    </row>
    <row r="3073" spans="1:18" ht="45" x14ac:dyDescent="0.25">
      <c r="A3073" s="14" t="s">
        <v>9076</v>
      </c>
      <c r="B3073" s="14" t="s">
        <v>9079</v>
      </c>
      <c r="C3073" s="14" t="s">
        <v>8598</v>
      </c>
      <c r="D3073" s="14" t="s">
        <v>8531</v>
      </c>
      <c r="E3073" s="14" t="s">
        <v>6586</v>
      </c>
      <c r="F3073" s="14" t="s">
        <v>6587</v>
      </c>
      <c r="G3073" s="14" t="s">
        <v>37</v>
      </c>
      <c r="H3073" s="14"/>
      <c r="I3073" s="14"/>
      <c r="J3073" s="14" t="s">
        <v>1468</v>
      </c>
      <c r="K3073" s="14"/>
      <c r="L3073" s="14" t="s">
        <v>6589</v>
      </c>
      <c r="M3073" s="14" t="s">
        <v>6590</v>
      </c>
      <c r="N3073" s="14"/>
      <c r="O3073" s="14" t="s">
        <v>6591</v>
      </c>
      <c r="P3073" s="14" t="str">
        <f>HYPERLINK("https://ceds.ed.gov/cedselementdetails.aspx?termid=18486")</f>
        <v>https://ceds.ed.gov/cedselementdetails.aspx?termid=18486</v>
      </c>
      <c r="Q3073" s="14" t="str">
        <f>HYPERLINK("https://ceds.ed.gov/elementComment.aspx?elementName=Other First Name &amp;elementID=18486", "Click here to submit comment")</f>
        <v>Click here to submit comment</v>
      </c>
      <c r="R3073" s="14">
        <v>50642</v>
      </c>
    </row>
    <row r="3074" spans="1:18" ht="45" x14ac:dyDescent="0.25">
      <c r="A3074" s="14" t="s">
        <v>9076</v>
      </c>
      <c r="B3074" s="14" t="s">
        <v>9079</v>
      </c>
      <c r="C3074" s="14" t="s">
        <v>8598</v>
      </c>
      <c r="D3074" s="14" t="s">
        <v>8531</v>
      </c>
      <c r="E3074" s="14" t="s">
        <v>6592</v>
      </c>
      <c r="F3074" s="14" t="s">
        <v>6593</v>
      </c>
      <c r="G3074" s="14" t="s">
        <v>37</v>
      </c>
      <c r="H3074" s="14"/>
      <c r="I3074" s="14"/>
      <c r="J3074" s="14" t="s">
        <v>1468</v>
      </c>
      <c r="K3074" s="14"/>
      <c r="L3074" s="14" t="s">
        <v>6594</v>
      </c>
      <c r="M3074" s="14" t="s">
        <v>6595</v>
      </c>
      <c r="N3074" s="14"/>
      <c r="O3074" s="14" t="s">
        <v>6596</v>
      </c>
      <c r="P3074" s="14" t="str">
        <f>HYPERLINK("https://ceds.ed.gov/cedselementdetails.aspx?termid=18485")</f>
        <v>https://ceds.ed.gov/cedselementdetails.aspx?termid=18485</v>
      </c>
      <c r="Q3074" s="14" t="str">
        <f>HYPERLINK("https://ceds.ed.gov/elementComment.aspx?elementName=Other Last Name &amp;elementID=18485", "Click here to submit comment")</f>
        <v>Click here to submit comment</v>
      </c>
      <c r="R3074" s="14">
        <v>50626</v>
      </c>
    </row>
    <row r="3075" spans="1:18" ht="45" x14ac:dyDescent="0.25">
      <c r="A3075" s="14" t="s">
        <v>9076</v>
      </c>
      <c r="B3075" s="14" t="s">
        <v>9079</v>
      </c>
      <c r="C3075" s="14" t="s">
        <v>8598</v>
      </c>
      <c r="D3075" s="14" t="s">
        <v>8531</v>
      </c>
      <c r="E3075" s="14" t="s">
        <v>6597</v>
      </c>
      <c r="F3075" s="14" t="s">
        <v>6598</v>
      </c>
      <c r="G3075" s="14" t="s">
        <v>37</v>
      </c>
      <c r="H3075" s="14"/>
      <c r="I3075" s="14"/>
      <c r="J3075" s="14" t="s">
        <v>1468</v>
      </c>
      <c r="K3075" s="14"/>
      <c r="L3075" s="14" t="s">
        <v>6599</v>
      </c>
      <c r="M3075" s="14" t="s">
        <v>6600</v>
      </c>
      <c r="N3075" s="14"/>
      <c r="O3075" s="14" t="s">
        <v>6601</v>
      </c>
      <c r="P3075" s="14" t="str">
        <f>HYPERLINK("https://ceds.ed.gov/cedselementdetails.aspx?termid=18487")</f>
        <v>https://ceds.ed.gov/cedselementdetails.aspx?termid=18487</v>
      </c>
      <c r="Q3075" s="14" t="str">
        <f>HYPERLINK("https://ceds.ed.gov/elementComment.aspx?elementName=Other Middle Name &amp;elementID=18487", "Click here to submit comment")</f>
        <v>Click here to submit comment</v>
      </c>
      <c r="R3075" s="14">
        <v>50658</v>
      </c>
    </row>
    <row r="3076" spans="1:18" ht="150" x14ac:dyDescent="0.25">
      <c r="A3076" s="14" t="s">
        <v>9076</v>
      </c>
      <c r="B3076" s="14" t="s">
        <v>9079</v>
      </c>
      <c r="C3076" s="14" t="s">
        <v>8598</v>
      </c>
      <c r="D3076" s="14" t="s">
        <v>8531</v>
      </c>
      <c r="E3076" s="14" t="s">
        <v>6602</v>
      </c>
      <c r="F3076" s="14" t="s">
        <v>6603</v>
      </c>
      <c r="G3076" s="14" t="s">
        <v>37</v>
      </c>
      <c r="H3076" s="14" t="s">
        <v>4749</v>
      </c>
      <c r="I3076" s="14"/>
      <c r="J3076" s="14" t="s">
        <v>149</v>
      </c>
      <c r="K3076" s="14"/>
      <c r="L3076" s="14"/>
      <c r="M3076" s="14" t="s">
        <v>6604</v>
      </c>
      <c r="N3076" s="14"/>
      <c r="O3076" s="14" t="s">
        <v>6605</v>
      </c>
      <c r="P3076" s="14" t="str">
        <f>HYPERLINK("https://ceds.ed.gov/cedselementdetails.aspx?termid=17206")</f>
        <v>https://ceds.ed.gov/cedselementdetails.aspx?termid=17206</v>
      </c>
      <c r="Q3076" s="14" t="str">
        <f>HYPERLINK("https://ceds.ed.gov/elementComment.aspx?elementName=Other Name &amp;elementID=17206", "Click here to submit comment")</f>
        <v>Click here to submit comment</v>
      </c>
      <c r="R3076" s="14">
        <v>50555</v>
      </c>
    </row>
    <row r="3077" spans="1:18" ht="165" x14ac:dyDescent="0.25">
      <c r="A3077" s="14" t="s">
        <v>9076</v>
      </c>
      <c r="B3077" s="14" t="s">
        <v>9079</v>
      </c>
      <c r="C3077" s="14" t="s">
        <v>8598</v>
      </c>
      <c r="D3077" s="14" t="s">
        <v>8531</v>
      </c>
      <c r="E3077" s="14" t="s">
        <v>6606</v>
      </c>
      <c r="F3077" s="14" t="s">
        <v>6607</v>
      </c>
      <c r="G3077" s="8" t="s">
        <v>8554</v>
      </c>
      <c r="H3077" s="14" t="s">
        <v>6612</v>
      </c>
      <c r="I3077" s="14"/>
      <c r="J3077" s="14" t="s">
        <v>97</v>
      </c>
      <c r="K3077" s="14"/>
      <c r="L3077" s="14"/>
      <c r="M3077" s="14" t="s">
        <v>6610</v>
      </c>
      <c r="N3077" s="14"/>
      <c r="O3077" s="14" t="s">
        <v>6611</v>
      </c>
      <c r="P3077" s="14" t="str">
        <f>HYPERLINK("https://ceds.ed.gov/cedselementdetails.aspx?termid=17627")</f>
        <v>https://ceds.ed.gov/cedselementdetails.aspx?termid=17627</v>
      </c>
      <c r="Q3077" s="14" t="str">
        <f>HYPERLINK("https://ceds.ed.gov/elementComment.aspx?elementName=Other Name Type &amp;elementID=17627", "Click here to submit comment")</f>
        <v>Click here to submit comment</v>
      </c>
      <c r="R3077" s="14">
        <v>50556</v>
      </c>
    </row>
    <row r="3078" spans="1:18" ht="105" x14ac:dyDescent="0.25">
      <c r="A3078" s="16" t="s">
        <v>9076</v>
      </c>
      <c r="B3078" s="16" t="s">
        <v>9079</v>
      </c>
      <c r="C3078" s="16" t="s">
        <v>8599</v>
      </c>
      <c r="D3078" s="16" t="s">
        <v>8531</v>
      </c>
      <c r="E3078" s="16" t="s">
        <v>7927</v>
      </c>
      <c r="F3078" s="16" t="s">
        <v>7928</v>
      </c>
      <c r="G3078" s="16" t="s">
        <v>37</v>
      </c>
      <c r="H3078" s="16" t="s">
        <v>7931</v>
      </c>
      <c r="I3078" s="16"/>
      <c r="J3078" s="16" t="s">
        <v>149</v>
      </c>
      <c r="K3078" s="16"/>
      <c r="L3078" s="14" t="s">
        <v>150</v>
      </c>
      <c r="M3078" s="16" t="s">
        <v>7929</v>
      </c>
      <c r="N3078" s="16"/>
      <c r="O3078" s="16" t="s">
        <v>7930</v>
      </c>
      <c r="P3078" s="16" t="str">
        <f>HYPERLINK("https://ceds.ed.gov/cedselementdetails.aspx?termid=17156")</f>
        <v>https://ceds.ed.gov/cedselementdetails.aspx?termid=17156</v>
      </c>
      <c r="Q3078" s="16" t="str">
        <f>HYPERLINK("https://ceds.ed.gov/elementComment.aspx?elementName=Staff Member Identifier &amp;elementID=17156", "Click here to submit comment")</f>
        <v>Click here to submit comment</v>
      </c>
      <c r="R3078" s="16">
        <v>50546</v>
      </c>
    </row>
    <row r="3079" spans="1:18" x14ac:dyDescent="0.25">
      <c r="A3079" s="16"/>
      <c r="B3079" s="16"/>
      <c r="C3079" s="16"/>
      <c r="D3079" s="16"/>
      <c r="E3079" s="16"/>
      <c r="F3079" s="16"/>
      <c r="G3079" s="16"/>
      <c r="H3079" s="16"/>
      <c r="I3079" s="16"/>
      <c r="J3079" s="16"/>
      <c r="K3079" s="16"/>
      <c r="L3079" s="14"/>
      <c r="M3079" s="16"/>
      <c r="N3079" s="16"/>
      <c r="O3079" s="16"/>
      <c r="P3079" s="16"/>
      <c r="Q3079" s="16"/>
      <c r="R3079" s="16"/>
    </row>
    <row r="3080" spans="1:18" ht="90" x14ac:dyDescent="0.25">
      <c r="A3080" s="16"/>
      <c r="B3080" s="16"/>
      <c r="C3080" s="16"/>
      <c r="D3080" s="16"/>
      <c r="E3080" s="16"/>
      <c r="F3080" s="16"/>
      <c r="G3080" s="16"/>
      <c r="H3080" s="16"/>
      <c r="I3080" s="16"/>
      <c r="J3080" s="16"/>
      <c r="K3080" s="16"/>
      <c r="L3080" s="14" t="s">
        <v>153</v>
      </c>
      <c r="M3080" s="16"/>
      <c r="N3080" s="16"/>
      <c r="O3080" s="16"/>
      <c r="P3080" s="16"/>
      <c r="Q3080" s="16"/>
      <c r="R3080" s="16"/>
    </row>
    <row r="3081" spans="1:18" ht="345" x14ac:dyDescent="0.25">
      <c r="A3081" s="14" t="s">
        <v>9076</v>
      </c>
      <c r="B3081" s="14" t="s">
        <v>9079</v>
      </c>
      <c r="C3081" s="14" t="s">
        <v>8599</v>
      </c>
      <c r="D3081" s="14" t="s">
        <v>8531</v>
      </c>
      <c r="E3081" s="14" t="s">
        <v>7920</v>
      </c>
      <c r="F3081" s="14" t="s">
        <v>7921</v>
      </c>
      <c r="G3081" s="8" t="s">
        <v>8687</v>
      </c>
      <c r="H3081" s="14" t="s">
        <v>7926</v>
      </c>
      <c r="I3081" s="14"/>
      <c r="J3081" s="14"/>
      <c r="K3081" s="14"/>
      <c r="L3081" s="14"/>
      <c r="M3081" s="14" t="s">
        <v>7924</v>
      </c>
      <c r="N3081" s="14"/>
      <c r="O3081" s="14" t="s">
        <v>7925</v>
      </c>
      <c r="P3081" s="14" t="str">
        <f>HYPERLINK("https://ceds.ed.gov/cedselementdetails.aspx?termid=17162")</f>
        <v>https://ceds.ed.gov/cedselementdetails.aspx?termid=17162</v>
      </c>
      <c r="Q3081" s="14" t="str">
        <f>HYPERLINK("https://ceds.ed.gov/elementComment.aspx?elementName=Staff Member Identification System &amp;elementID=17162", "Click here to submit comment")</f>
        <v>Click here to submit comment</v>
      </c>
      <c r="R3081" s="14">
        <v>50547</v>
      </c>
    </row>
    <row r="3082" spans="1:18" ht="255" x14ac:dyDescent="0.25">
      <c r="A3082" s="14" t="s">
        <v>9076</v>
      </c>
      <c r="B3082" s="14" t="s">
        <v>9079</v>
      </c>
      <c r="C3082" s="14" t="s">
        <v>8599</v>
      </c>
      <c r="D3082" s="14" t="s">
        <v>8531</v>
      </c>
      <c r="E3082" s="14" t="s">
        <v>6735</v>
      </c>
      <c r="F3082" s="14" t="s">
        <v>6736</v>
      </c>
      <c r="G3082" s="8" t="s">
        <v>8601</v>
      </c>
      <c r="H3082" s="14"/>
      <c r="I3082" s="14"/>
      <c r="J3082" s="14"/>
      <c r="K3082" s="14"/>
      <c r="L3082" s="14"/>
      <c r="M3082" s="14" t="s">
        <v>6739</v>
      </c>
      <c r="N3082" s="14"/>
      <c r="O3082" s="14" t="s">
        <v>6740</v>
      </c>
      <c r="P3082" s="14" t="str">
        <f>HYPERLINK("https://ceds.ed.gov/cedselementdetails.aspx?termid=17611")</f>
        <v>https://ceds.ed.gov/cedselementdetails.aspx?termid=17611</v>
      </c>
      <c r="Q3082" s="14" t="str">
        <f>HYPERLINK("https://ceds.ed.gov/elementComment.aspx?elementName=Personal Information Verification &amp;elementID=17611", "Click here to submit comment")</f>
        <v>Click here to submit comment</v>
      </c>
      <c r="R3082" s="14">
        <v>50549</v>
      </c>
    </row>
    <row r="3083" spans="1:18" ht="105" x14ac:dyDescent="0.25">
      <c r="A3083" s="14" t="s">
        <v>9076</v>
      </c>
      <c r="B3083" s="14" t="s">
        <v>9079</v>
      </c>
      <c r="C3083" s="14" t="s">
        <v>8547</v>
      </c>
      <c r="D3083" s="14" t="s">
        <v>8531</v>
      </c>
      <c r="E3083" s="14" t="s">
        <v>232</v>
      </c>
      <c r="F3083" s="14" t="s">
        <v>233</v>
      </c>
      <c r="G3083" s="8" t="s">
        <v>8688</v>
      </c>
      <c r="H3083" s="14" t="s">
        <v>238</v>
      </c>
      <c r="I3083" s="14"/>
      <c r="J3083" s="14" t="s">
        <v>97</v>
      </c>
      <c r="K3083" s="14"/>
      <c r="L3083" s="14"/>
      <c r="M3083" s="14" t="s">
        <v>236</v>
      </c>
      <c r="N3083" s="14"/>
      <c r="O3083" s="14" t="s">
        <v>237</v>
      </c>
      <c r="P3083" s="14" t="str">
        <f>HYPERLINK("https://ceds.ed.gov/cedselementdetails.aspx?termid=17698")</f>
        <v>https://ceds.ed.gov/cedselementdetails.aspx?termid=17698</v>
      </c>
      <c r="Q3083" s="14" t="str">
        <f>HYPERLINK("https://ceds.ed.gov/elementComment.aspx?elementName=Address Type for Staff &amp;elementID=17698", "Click here to submit comment")</f>
        <v>Click here to submit comment</v>
      </c>
      <c r="R3083" s="14">
        <v>50539</v>
      </c>
    </row>
    <row r="3084" spans="1:18" ht="225" x14ac:dyDescent="0.25">
      <c r="A3084" s="14" t="s">
        <v>9076</v>
      </c>
      <c r="B3084" s="14" t="s">
        <v>9079</v>
      </c>
      <c r="C3084" s="14" t="s">
        <v>8547</v>
      </c>
      <c r="D3084" s="14" t="s">
        <v>8531</v>
      </c>
      <c r="E3084" s="14" t="s">
        <v>214</v>
      </c>
      <c r="F3084" s="14" t="s">
        <v>215</v>
      </c>
      <c r="G3084" s="14" t="s">
        <v>37</v>
      </c>
      <c r="H3084" s="14" t="s">
        <v>199</v>
      </c>
      <c r="I3084" s="14" t="s">
        <v>195</v>
      </c>
      <c r="J3084" s="14" t="s">
        <v>216</v>
      </c>
      <c r="K3084" s="14" t="s">
        <v>196</v>
      </c>
      <c r="L3084" s="14"/>
      <c r="M3084" s="14" t="s">
        <v>217</v>
      </c>
      <c r="N3084" s="14"/>
      <c r="O3084" s="14" t="s">
        <v>218</v>
      </c>
      <c r="P3084" s="14" t="str">
        <f>HYPERLINK("https://ceds.ed.gov/cedselementdetails.aspx?termid=17269")</f>
        <v>https://ceds.ed.gov/cedselementdetails.aspx?termid=17269</v>
      </c>
      <c r="Q3084" s="14" t="str">
        <f>HYPERLINK("https://ceds.ed.gov/elementComment.aspx?elementName=Address Street Number and Name &amp;elementID=17269", "Click here to submit comment")</f>
        <v>Click here to submit comment</v>
      </c>
      <c r="R3084" s="14">
        <v>50533</v>
      </c>
    </row>
    <row r="3085" spans="1:18" ht="225" x14ac:dyDescent="0.25">
      <c r="A3085" s="14" t="s">
        <v>9076</v>
      </c>
      <c r="B3085" s="14" t="s">
        <v>9079</v>
      </c>
      <c r="C3085" s="14" t="s">
        <v>8547</v>
      </c>
      <c r="D3085" s="14" t="s">
        <v>8531</v>
      </c>
      <c r="E3085" s="14" t="s">
        <v>192</v>
      </c>
      <c r="F3085" s="14" t="s">
        <v>193</v>
      </c>
      <c r="G3085" s="14" t="s">
        <v>37</v>
      </c>
      <c r="H3085" s="14" t="s">
        <v>199</v>
      </c>
      <c r="I3085" s="14" t="s">
        <v>195</v>
      </c>
      <c r="J3085" s="14" t="s">
        <v>175</v>
      </c>
      <c r="K3085" s="14" t="s">
        <v>196</v>
      </c>
      <c r="L3085" s="14"/>
      <c r="M3085" s="14" t="s">
        <v>197</v>
      </c>
      <c r="N3085" s="14"/>
      <c r="O3085" s="14" t="s">
        <v>198</v>
      </c>
      <c r="P3085" s="14" t="str">
        <f>HYPERLINK("https://ceds.ed.gov/cedselementdetails.aspx?termid=17019")</f>
        <v>https://ceds.ed.gov/cedselementdetails.aspx?termid=17019</v>
      </c>
      <c r="Q3085" s="14" t="str">
        <f>HYPERLINK("https://ceds.ed.gov/elementComment.aspx?elementName=Address Apartment Room or Suite Number &amp;elementID=17019", "Click here to submit comment")</f>
        <v>Click here to submit comment</v>
      </c>
      <c r="R3085" s="14">
        <v>50534</v>
      </c>
    </row>
    <row r="3086" spans="1:18" ht="225" x14ac:dyDescent="0.25">
      <c r="A3086" s="14" t="s">
        <v>9076</v>
      </c>
      <c r="B3086" s="14" t="s">
        <v>9079</v>
      </c>
      <c r="C3086" s="14" t="s">
        <v>8547</v>
      </c>
      <c r="D3086" s="14" t="s">
        <v>8531</v>
      </c>
      <c r="E3086" s="14" t="s">
        <v>200</v>
      </c>
      <c r="F3086" s="14" t="s">
        <v>201</v>
      </c>
      <c r="G3086" s="14" t="s">
        <v>37</v>
      </c>
      <c r="H3086" s="14" t="s">
        <v>199</v>
      </c>
      <c r="I3086" s="14"/>
      <c r="J3086" s="14" t="s">
        <v>97</v>
      </c>
      <c r="K3086" s="14"/>
      <c r="L3086" s="14"/>
      <c r="M3086" s="14" t="s">
        <v>202</v>
      </c>
      <c r="N3086" s="14"/>
      <c r="O3086" s="14" t="s">
        <v>203</v>
      </c>
      <c r="P3086" s="14" t="str">
        <f>HYPERLINK("https://ceds.ed.gov/cedselementdetails.aspx?termid=17040")</f>
        <v>https://ceds.ed.gov/cedselementdetails.aspx?termid=17040</v>
      </c>
      <c r="Q3086" s="14" t="str">
        <f>HYPERLINK("https://ceds.ed.gov/elementComment.aspx?elementName=Address City &amp;elementID=17040", "Click here to submit comment")</f>
        <v>Click here to submit comment</v>
      </c>
      <c r="R3086" s="14">
        <v>50535</v>
      </c>
    </row>
    <row r="3087" spans="1:18" ht="409.5" x14ac:dyDescent="0.25">
      <c r="A3087" s="14" t="s">
        <v>9076</v>
      </c>
      <c r="B3087" s="14" t="s">
        <v>9079</v>
      </c>
      <c r="C3087" s="14" t="s">
        <v>8547</v>
      </c>
      <c r="D3087" s="14" t="s">
        <v>8531</v>
      </c>
      <c r="E3087" s="14" t="s">
        <v>7960</v>
      </c>
      <c r="F3087" s="14" t="s">
        <v>7961</v>
      </c>
      <c r="G3087" s="8" t="s">
        <v>8540</v>
      </c>
      <c r="H3087" s="14" t="s">
        <v>7964</v>
      </c>
      <c r="I3087" s="14"/>
      <c r="J3087" s="14"/>
      <c r="K3087" s="14"/>
      <c r="L3087" s="14"/>
      <c r="M3087" s="14" t="s">
        <v>7962</v>
      </c>
      <c r="N3087" s="14"/>
      <c r="O3087" s="14" t="s">
        <v>7963</v>
      </c>
      <c r="P3087" s="14" t="str">
        <f>HYPERLINK("https://ceds.ed.gov/cedselementdetails.aspx?termid=17267")</f>
        <v>https://ceds.ed.gov/cedselementdetails.aspx?termid=17267</v>
      </c>
      <c r="Q3087" s="14" t="str">
        <f>HYPERLINK("https://ceds.ed.gov/elementComment.aspx?elementName=State Abbreviation &amp;elementID=17267", "Click here to submit comment")</f>
        <v>Click here to submit comment</v>
      </c>
      <c r="R3087" s="14">
        <v>50537</v>
      </c>
    </row>
    <row r="3088" spans="1:18" ht="225" x14ac:dyDescent="0.25">
      <c r="A3088" s="14" t="s">
        <v>9076</v>
      </c>
      <c r="B3088" s="14" t="s">
        <v>9079</v>
      </c>
      <c r="C3088" s="14" t="s">
        <v>8547</v>
      </c>
      <c r="D3088" s="14" t="s">
        <v>8531</v>
      </c>
      <c r="E3088" s="14" t="s">
        <v>209</v>
      </c>
      <c r="F3088" s="14" t="s">
        <v>210</v>
      </c>
      <c r="G3088" s="14" t="s">
        <v>37</v>
      </c>
      <c r="H3088" s="14" t="s">
        <v>199</v>
      </c>
      <c r="I3088" s="14"/>
      <c r="J3088" s="14" t="s">
        <v>211</v>
      </c>
      <c r="K3088" s="14"/>
      <c r="L3088" s="14"/>
      <c r="M3088" s="14" t="s">
        <v>212</v>
      </c>
      <c r="N3088" s="14"/>
      <c r="O3088" s="14" t="s">
        <v>213</v>
      </c>
      <c r="P3088" s="14" t="str">
        <f>HYPERLINK("https://ceds.ed.gov/cedselementdetails.aspx?termid=17214")</f>
        <v>https://ceds.ed.gov/cedselementdetails.aspx?termid=17214</v>
      </c>
      <c r="Q3088" s="14" t="str">
        <f>HYPERLINK("https://ceds.ed.gov/elementComment.aspx?elementName=Address Postal Code &amp;elementID=17214", "Click here to submit comment")</f>
        <v>Click here to submit comment</v>
      </c>
      <c r="R3088" s="14">
        <v>50538</v>
      </c>
    </row>
    <row r="3089" spans="1:18" ht="225" x14ac:dyDescent="0.25">
      <c r="A3089" s="14" t="s">
        <v>9076</v>
      </c>
      <c r="B3089" s="14" t="s">
        <v>9079</v>
      </c>
      <c r="C3089" s="14" t="s">
        <v>8547</v>
      </c>
      <c r="D3089" s="14" t="s">
        <v>8531</v>
      </c>
      <c r="E3089" s="14" t="s">
        <v>204</v>
      </c>
      <c r="F3089" s="14" t="s">
        <v>205</v>
      </c>
      <c r="G3089" s="14" t="s">
        <v>37</v>
      </c>
      <c r="H3089" s="14" t="s">
        <v>199</v>
      </c>
      <c r="I3089" s="14"/>
      <c r="J3089" s="14" t="s">
        <v>97</v>
      </c>
      <c r="K3089" s="14"/>
      <c r="L3089" s="14"/>
      <c r="M3089" s="14" t="s">
        <v>207</v>
      </c>
      <c r="N3089" s="14"/>
      <c r="O3089" s="14" t="s">
        <v>208</v>
      </c>
      <c r="P3089" s="14" t="str">
        <f>HYPERLINK("https://ceds.ed.gov/cedselementdetails.aspx?termid=17190")</f>
        <v>https://ceds.ed.gov/cedselementdetails.aspx?termid=17190</v>
      </c>
      <c r="Q3089" s="14" t="str">
        <f>HYPERLINK("https://ceds.ed.gov/elementComment.aspx?elementName=Address County Name &amp;elementID=17190", "Click here to submit comment")</f>
        <v>Click here to submit comment</v>
      </c>
      <c r="R3089" s="14">
        <v>50536</v>
      </c>
    </row>
    <row r="3090" spans="1:18" ht="409.5" x14ac:dyDescent="0.25">
      <c r="A3090" s="14" t="s">
        <v>9076</v>
      </c>
      <c r="B3090" s="14" t="s">
        <v>9079</v>
      </c>
      <c r="C3090" s="14" t="s">
        <v>8547</v>
      </c>
      <c r="D3090" s="14" t="s">
        <v>8531</v>
      </c>
      <c r="E3090" s="14" t="s">
        <v>2845</v>
      </c>
      <c r="F3090" s="14" t="s">
        <v>2846</v>
      </c>
      <c r="G3090" s="8" t="s">
        <v>8548</v>
      </c>
      <c r="H3090" s="14" t="s">
        <v>2852</v>
      </c>
      <c r="I3090" s="14"/>
      <c r="J3090" s="14"/>
      <c r="K3090" s="14"/>
      <c r="L3090" s="6" t="s">
        <v>2849</v>
      </c>
      <c r="M3090" s="14" t="s">
        <v>2850</v>
      </c>
      <c r="N3090" s="14"/>
      <c r="O3090" s="14" t="s">
        <v>2851</v>
      </c>
      <c r="P3090" s="14" t="str">
        <f>HYPERLINK("https://ceds.ed.gov/cedselementdetails.aspx?termid=17050")</f>
        <v>https://ceds.ed.gov/cedselementdetails.aspx?termid=17050</v>
      </c>
      <c r="Q3090" s="14" t="str">
        <f>HYPERLINK("https://ceds.ed.gov/elementComment.aspx?elementName=Country Code &amp;elementID=17050", "Click here to submit comment")</f>
        <v>Click here to submit comment</v>
      </c>
      <c r="R3090" s="14">
        <v>50540</v>
      </c>
    </row>
    <row r="3091" spans="1:18" ht="75" x14ac:dyDescent="0.25">
      <c r="A3091" s="14" t="s">
        <v>9076</v>
      </c>
      <c r="B3091" s="14" t="s">
        <v>9079</v>
      </c>
      <c r="C3091" s="14" t="s">
        <v>8547</v>
      </c>
      <c r="D3091" s="14" t="s">
        <v>8531</v>
      </c>
      <c r="E3091" s="14" t="s">
        <v>5736</v>
      </c>
      <c r="F3091" s="14" t="s">
        <v>5737</v>
      </c>
      <c r="G3091" s="14" t="s">
        <v>37</v>
      </c>
      <c r="H3091" s="14"/>
      <c r="I3091" s="14"/>
      <c r="J3091" s="14" t="s">
        <v>1307</v>
      </c>
      <c r="K3091" s="14"/>
      <c r="L3091" s="14"/>
      <c r="M3091" s="14" t="s">
        <v>5739</v>
      </c>
      <c r="N3091" s="14"/>
      <c r="O3091" s="14" t="s">
        <v>5736</v>
      </c>
      <c r="P3091" s="14" t="str">
        <f>HYPERLINK("https://ceds.ed.gov/cedselementdetails.aspx?termid=17599")</f>
        <v>https://ceds.ed.gov/cedselementdetails.aspx?termid=17599</v>
      </c>
      <c r="Q3091" s="14" t="str">
        <f>HYPERLINK("https://ceds.ed.gov/elementComment.aspx?elementName=Latitude &amp;elementID=17599", "Click here to submit comment")</f>
        <v>Click here to submit comment</v>
      </c>
      <c r="R3091" s="14">
        <v>51270</v>
      </c>
    </row>
    <row r="3092" spans="1:18" ht="75" x14ac:dyDescent="0.25">
      <c r="A3092" s="14" t="s">
        <v>9076</v>
      </c>
      <c r="B3092" s="14" t="s">
        <v>9079</v>
      </c>
      <c r="C3092" s="14" t="s">
        <v>8547</v>
      </c>
      <c r="D3092" s="14" t="s">
        <v>8531</v>
      </c>
      <c r="E3092" s="14" t="s">
        <v>6174</v>
      </c>
      <c r="F3092" s="14" t="s">
        <v>6175</v>
      </c>
      <c r="G3092" s="14" t="s">
        <v>37</v>
      </c>
      <c r="H3092" s="14"/>
      <c r="I3092" s="14"/>
      <c r="J3092" s="14" t="s">
        <v>1307</v>
      </c>
      <c r="K3092" s="14"/>
      <c r="L3092" s="14"/>
      <c r="M3092" s="14" t="s">
        <v>6176</v>
      </c>
      <c r="N3092" s="14"/>
      <c r="O3092" s="14" t="s">
        <v>6174</v>
      </c>
      <c r="P3092" s="14" t="str">
        <f>HYPERLINK("https://ceds.ed.gov/cedselementdetails.aspx?termid=17600")</f>
        <v>https://ceds.ed.gov/cedselementdetails.aspx?termid=17600</v>
      </c>
      <c r="Q3092" s="14" t="str">
        <f>HYPERLINK("https://ceds.ed.gov/elementComment.aspx?elementName=Longitude &amp;elementID=17600", "Click here to submit comment")</f>
        <v>Click here to submit comment</v>
      </c>
      <c r="R3092" s="14">
        <v>51293</v>
      </c>
    </row>
    <row r="3093" spans="1:18" ht="195" x14ac:dyDescent="0.25">
      <c r="A3093" s="14" t="s">
        <v>9076</v>
      </c>
      <c r="B3093" s="14" t="s">
        <v>9079</v>
      </c>
      <c r="C3093" s="14" t="s">
        <v>8547</v>
      </c>
      <c r="D3093" s="14" t="s">
        <v>8541</v>
      </c>
      <c r="E3093" s="14" t="s">
        <v>2860</v>
      </c>
      <c r="F3093" s="14" t="s">
        <v>2861</v>
      </c>
      <c r="G3093" s="14" t="s">
        <v>37</v>
      </c>
      <c r="H3093" s="14"/>
      <c r="I3093" s="14" t="s">
        <v>195</v>
      </c>
      <c r="J3093" s="14" t="s">
        <v>2863</v>
      </c>
      <c r="K3093" s="14" t="s">
        <v>2864</v>
      </c>
      <c r="L3093" s="14"/>
      <c r="M3093" s="14" t="s">
        <v>2865</v>
      </c>
      <c r="N3093" s="14"/>
      <c r="O3093" s="14" t="s">
        <v>2866</v>
      </c>
      <c r="P3093" s="14" t="str">
        <f>HYPERLINK("https://ceds.ed.gov/cedselementdetails.aspx?termid=18176")</f>
        <v>https://ceds.ed.gov/cedselementdetails.aspx?termid=18176</v>
      </c>
      <c r="Q3093" s="14" t="str">
        <f>HYPERLINK("https://ceds.ed.gov/elementComment.aspx?elementName=County ANSI Code &amp;elementID=18176", "Click here to submit comment")</f>
        <v>Click here to submit comment</v>
      </c>
      <c r="R3093" s="14">
        <v>52230</v>
      </c>
    </row>
    <row r="3094" spans="1:18" ht="60" x14ac:dyDescent="0.25">
      <c r="A3094" s="14" t="s">
        <v>9076</v>
      </c>
      <c r="B3094" s="14" t="s">
        <v>9079</v>
      </c>
      <c r="C3094" s="14" t="s">
        <v>8547</v>
      </c>
      <c r="D3094" s="14" t="s">
        <v>8541</v>
      </c>
      <c r="E3094" s="14" t="s">
        <v>3651</v>
      </c>
      <c r="F3094" s="14" t="s">
        <v>3652</v>
      </c>
      <c r="G3094" s="14" t="s">
        <v>3430</v>
      </c>
      <c r="H3094" s="14"/>
      <c r="I3094" s="14" t="s">
        <v>188</v>
      </c>
      <c r="J3094" s="14"/>
      <c r="K3094" s="14" t="s">
        <v>1721</v>
      </c>
      <c r="L3094" s="14"/>
      <c r="M3094" s="14" t="s">
        <v>3654</v>
      </c>
      <c r="N3094" s="14"/>
      <c r="O3094" s="14" t="s">
        <v>3655</v>
      </c>
      <c r="P3094" s="14" t="str">
        <f>HYPERLINK("https://ceds.ed.gov/cedselementdetails.aspx?termid=18905")</f>
        <v>https://ceds.ed.gov/cedselementdetails.aspx?termid=18905</v>
      </c>
      <c r="Q3094" s="14" t="str">
        <f>HYPERLINK("https://ceds.ed.gov/elementComment.aspx?elementName=Do Not Publish Indicator &amp;elementID=18905", "Click here to submit comment")</f>
        <v>Click here to submit comment</v>
      </c>
      <c r="R3094" s="14">
        <v>52231</v>
      </c>
    </row>
    <row r="3095" spans="1:18" ht="90" x14ac:dyDescent="0.25">
      <c r="A3095" s="14" t="s">
        <v>9076</v>
      </c>
      <c r="B3095" s="14" t="s">
        <v>9079</v>
      </c>
      <c r="C3095" s="14" t="s">
        <v>8551</v>
      </c>
      <c r="D3095" s="14" t="s">
        <v>8531</v>
      </c>
      <c r="E3095" s="14" t="s">
        <v>3931</v>
      </c>
      <c r="F3095" s="14" t="s">
        <v>3932</v>
      </c>
      <c r="G3095" s="14" t="s">
        <v>37</v>
      </c>
      <c r="H3095" s="14" t="s">
        <v>72</v>
      </c>
      <c r="I3095" s="14"/>
      <c r="J3095" s="14" t="s">
        <v>3934</v>
      </c>
      <c r="K3095" s="14"/>
      <c r="L3095" s="14"/>
      <c r="M3095" s="14" t="s">
        <v>3935</v>
      </c>
      <c r="N3095" s="14" t="s">
        <v>3936</v>
      </c>
      <c r="O3095" s="14" t="s">
        <v>3937</v>
      </c>
      <c r="P3095" s="14" t="str">
        <f>HYPERLINK("https://ceds.ed.gov/cedselementdetails.aspx?termid=17088")</f>
        <v>https://ceds.ed.gov/cedselementdetails.aspx?termid=17088</v>
      </c>
      <c r="Q3095" s="14" t="str">
        <f>HYPERLINK("https://ceds.ed.gov/elementComment.aspx?elementName=Electronic Mail Address &amp;elementID=17088", "Click here to submit comment")</f>
        <v>Click here to submit comment</v>
      </c>
      <c r="R3095" s="14">
        <v>50541</v>
      </c>
    </row>
    <row r="3096" spans="1:18" ht="90" x14ac:dyDescent="0.25">
      <c r="A3096" s="14" t="s">
        <v>9076</v>
      </c>
      <c r="B3096" s="14" t="s">
        <v>9079</v>
      </c>
      <c r="C3096" s="14" t="s">
        <v>8551</v>
      </c>
      <c r="D3096" s="14" t="s">
        <v>8531</v>
      </c>
      <c r="E3096" s="14" t="s">
        <v>3938</v>
      </c>
      <c r="F3096" s="14" t="s">
        <v>3939</v>
      </c>
      <c r="G3096" s="8" t="s">
        <v>8552</v>
      </c>
      <c r="H3096" s="14" t="s">
        <v>72</v>
      </c>
      <c r="I3096" s="14"/>
      <c r="J3096" s="14"/>
      <c r="K3096" s="14"/>
      <c r="L3096" s="14"/>
      <c r="M3096" s="14" t="s">
        <v>3941</v>
      </c>
      <c r="N3096" s="14" t="s">
        <v>3942</v>
      </c>
      <c r="O3096" s="14" t="s">
        <v>3943</v>
      </c>
      <c r="P3096" s="14" t="str">
        <f>HYPERLINK("https://ceds.ed.gov/cedselementdetails.aspx?termid=17089")</f>
        <v>https://ceds.ed.gov/cedselementdetails.aspx?termid=17089</v>
      </c>
      <c r="Q3096" s="14" t="str">
        <f>HYPERLINK("https://ceds.ed.gov/elementComment.aspx?elementName=Electronic Mail Address Type &amp;elementID=17089", "Click here to submit comment")</f>
        <v>Click here to submit comment</v>
      </c>
      <c r="R3096" s="14">
        <v>50542</v>
      </c>
    </row>
    <row r="3097" spans="1:18" ht="60" x14ac:dyDescent="0.25">
      <c r="A3097" s="14" t="s">
        <v>9076</v>
      </c>
      <c r="B3097" s="14" t="s">
        <v>9079</v>
      </c>
      <c r="C3097" s="14" t="s">
        <v>8551</v>
      </c>
      <c r="D3097" s="14" t="s">
        <v>8541</v>
      </c>
      <c r="E3097" s="14" t="s">
        <v>3651</v>
      </c>
      <c r="F3097" s="14" t="s">
        <v>3652</v>
      </c>
      <c r="G3097" s="14" t="s">
        <v>3430</v>
      </c>
      <c r="H3097" s="14"/>
      <c r="I3097" s="14" t="s">
        <v>188</v>
      </c>
      <c r="J3097" s="14"/>
      <c r="K3097" s="14" t="s">
        <v>1721</v>
      </c>
      <c r="L3097" s="14"/>
      <c r="M3097" s="14" t="s">
        <v>3654</v>
      </c>
      <c r="N3097" s="14"/>
      <c r="O3097" s="14" t="s">
        <v>3655</v>
      </c>
      <c r="P3097" s="14" t="str">
        <f>HYPERLINK("https://ceds.ed.gov/cedselementdetails.aspx?termid=18905")</f>
        <v>https://ceds.ed.gov/cedselementdetails.aspx?termid=18905</v>
      </c>
      <c r="Q3097" s="14" t="str">
        <f>HYPERLINK("https://ceds.ed.gov/elementComment.aspx?elementName=Do Not Publish Indicator &amp;elementID=18905", "Click here to submit comment")</f>
        <v>Click here to submit comment</v>
      </c>
      <c r="R3097" s="14">
        <v>52232</v>
      </c>
    </row>
    <row r="3098" spans="1:18" ht="90" x14ac:dyDescent="0.25">
      <c r="A3098" s="14" t="s">
        <v>9076</v>
      </c>
      <c r="B3098" s="14" t="s">
        <v>9079</v>
      </c>
      <c r="C3098" s="14" t="s">
        <v>8549</v>
      </c>
      <c r="D3098" s="14" t="s">
        <v>8531</v>
      </c>
      <c r="E3098" s="14" t="s">
        <v>8217</v>
      </c>
      <c r="F3098" s="14" t="s">
        <v>8218</v>
      </c>
      <c r="G3098" s="14" t="s">
        <v>37</v>
      </c>
      <c r="H3098" s="14" t="s">
        <v>72</v>
      </c>
      <c r="I3098" s="14"/>
      <c r="J3098" s="14" t="s">
        <v>8220</v>
      </c>
      <c r="K3098" s="14"/>
      <c r="L3098" s="14"/>
      <c r="M3098" s="14" t="s">
        <v>8221</v>
      </c>
      <c r="N3098" s="14"/>
      <c r="O3098" s="14" t="s">
        <v>8222</v>
      </c>
      <c r="P3098" s="14" t="str">
        <f>HYPERLINK("https://ceds.ed.gov/cedselementdetails.aspx?termid=17279")</f>
        <v>https://ceds.ed.gov/cedselementdetails.aspx?termid=17279</v>
      </c>
      <c r="Q3098" s="14" t="str">
        <f>HYPERLINK("https://ceds.ed.gov/elementComment.aspx?elementName=Telephone Number &amp;elementID=17279", "Click here to submit comment")</f>
        <v>Click here to submit comment</v>
      </c>
      <c r="R3098" s="14">
        <v>50545</v>
      </c>
    </row>
    <row r="3099" spans="1:18" ht="90" x14ac:dyDescent="0.25">
      <c r="A3099" s="14" t="s">
        <v>9076</v>
      </c>
      <c r="B3099" s="14" t="s">
        <v>9079</v>
      </c>
      <c r="C3099" s="14" t="s">
        <v>8549</v>
      </c>
      <c r="D3099" s="14" t="s">
        <v>8531</v>
      </c>
      <c r="E3099" s="14" t="s">
        <v>8229</v>
      </c>
      <c r="F3099" s="14" t="s">
        <v>8230</v>
      </c>
      <c r="G3099" s="8" t="s">
        <v>8550</v>
      </c>
      <c r="H3099" s="14" t="s">
        <v>72</v>
      </c>
      <c r="I3099" s="14"/>
      <c r="J3099" s="14" t="s">
        <v>2870</v>
      </c>
      <c r="K3099" s="14"/>
      <c r="L3099" s="14"/>
      <c r="M3099" s="14" t="s">
        <v>8233</v>
      </c>
      <c r="N3099" s="14"/>
      <c r="O3099" s="14" t="s">
        <v>8234</v>
      </c>
      <c r="P3099" s="14" t="str">
        <f>HYPERLINK("https://ceds.ed.gov/cedselementdetails.aspx?termid=17280")</f>
        <v>https://ceds.ed.gov/cedselementdetails.aspx?termid=17280</v>
      </c>
      <c r="Q3099" s="14" t="str">
        <f>HYPERLINK("https://ceds.ed.gov/elementComment.aspx?elementName=Telephone Number Type &amp;elementID=17280", "Click here to submit comment")</f>
        <v>Click here to submit comment</v>
      </c>
      <c r="R3099" s="14">
        <v>50543</v>
      </c>
    </row>
    <row r="3100" spans="1:18" ht="90" x14ac:dyDescent="0.25">
      <c r="A3100" s="14" t="s">
        <v>9076</v>
      </c>
      <c r="B3100" s="14" t="s">
        <v>9079</v>
      </c>
      <c r="C3100" s="14" t="s">
        <v>8549</v>
      </c>
      <c r="D3100" s="14" t="s">
        <v>8531</v>
      </c>
      <c r="E3100" s="14" t="s">
        <v>6865</v>
      </c>
      <c r="F3100" s="14" t="s">
        <v>6866</v>
      </c>
      <c r="G3100" s="14" t="s">
        <v>24</v>
      </c>
      <c r="H3100" s="14" t="s">
        <v>72</v>
      </c>
      <c r="I3100" s="14"/>
      <c r="J3100" s="14"/>
      <c r="K3100" s="14"/>
      <c r="L3100" s="14"/>
      <c r="M3100" s="14" t="s">
        <v>6868</v>
      </c>
      <c r="N3100" s="14"/>
      <c r="O3100" s="14" t="s">
        <v>6869</v>
      </c>
      <c r="P3100" s="14" t="str">
        <f>HYPERLINK("https://ceds.ed.gov/cedselementdetails.aspx?termid=17219")</f>
        <v>https://ceds.ed.gov/cedselementdetails.aspx?termid=17219</v>
      </c>
      <c r="Q3100" s="14" t="str">
        <f>HYPERLINK("https://ceds.ed.gov/elementComment.aspx?elementName=Primary Telephone Number Indicator &amp;elementID=17219", "Click here to submit comment")</f>
        <v>Click here to submit comment</v>
      </c>
      <c r="R3100" s="14">
        <v>50544</v>
      </c>
    </row>
    <row r="3101" spans="1:18" ht="60" x14ac:dyDescent="0.25">
      <c r="A3101" s="14" t="s">
        <v>9076</v>
      </c>
      <c r="B3101" s="14" t="s">
        <v>9079</v>
      </c>
      <c r="C3101" s="14" t="s">
        <v>8549</v>
      </c>
      <c r="D3101" s="14" t="s">
        <v>8541</v>
      </c>
      <c r="E3101" s="14" t="s">
        <v>3651</v>
      </c>
      <c r="F3101" s="14" t="s">
        <v>3652</v>
      </c>
      <c r="G3101" s="14" t="s">
        <v>3430</v>
      </c>
      <c r="H3101" s="14"/>
      <c r="I3101" s="14" t="s">
        <v>188</v>
      </c>
      <c r="J3101" s="14"/>
      <c r="K3101" s="14" t="s">
        <v>1721</v>
      </c>
      <c r="L3101" s="14"/>
      <c r="M3101" s="14" t="s">
        <v>3654</v>
      </c>
      <c r="N3101" s="14"/>
      <c r="O3101" s="14" t="s">
        <v>3655</v>
      </c>
      <c r="P3101" s="14" t="str">
        <f>HYPERLINK("https://ceds.ed.gov/cedselementdetails.aspx?termid=18905")</f>
        <v>https://ceds.ed.gov/cedselementdetails.aspx?termid=18905</v>
      </c>
      <c r="Q3101" s="14" t="str">
        <f>HYPERLINK("https://ceds.ed.gov/elementComment.aspx?elementName=Do Not Publish Indicator &amp;elementID=18905", "Click here to submit comment")</f>
        <v>Click here to submit comment</v>
      </c>
      <c r="R3101" s="14">
        <v>52233</v>
      </c>
    </row>
    <row r="3102" spans="1:18" ht="60" x14ac:dyDescent="0.25">
      <c r="A3102" s="14" t="s">
        <v>9076</v>
      </c>
      <c r="B3102" s="14" t="s">
        <v>9079</v>
      </c>
      <c r="C3102" s="14" t="s">
        <v>8549</v>
      </c>
      <c r="D3102" s="14" t="s">
        <v>8541</v>
      </c>
      <c r="E3102" s="14" t="s">
        <v>8223</v>
      </c>
      <c r="F3102" s="14" t="s">
        <v>8224</v>
      </c>
      <c r="G3102" s="8" t="s">
        <v>8544</v>
      </c>
      <c r="H3102" s="14"/>
      <c r="I3102" s="14" t="s">
        <v>188</v>
      </c>
      <c r="J3102" s="14"/>
      <c r="K3102" s="14" t="s">
        <v>1721</v>
      </c>
      <c r="L3102" s="14"/>
      <c r="M3102" s="14" t="s">
        <v>8227</v>
      </c>
      <c r="N3102" s="14"/>
      <c r="O3102" s="14" t="s">
        <v>8228</v>
      </c>
      <c r="P3102" s="14" t="str">
        <f>HYPERLINK("https://ceds.ed.gov/cedselementdetails.aspx?termid=18911")</f>
        <v>https://ceds.ed.gov/cedselementdetails.aspx?termid=18911</v>
      </c>
      <c r="Q3102" s="14" t="str">
        <f>HYPERLINK("https://ceds.ed.gov/elementComment.aspx?elementName=Telephone Number Listed Status &amp;elementID=18911", "Click here to submit comment")</f>
        <v>Click here to submit comment</v>
      </c>
      <c r="R3102" s="14">
        <v>52234</v>
      </c>
    </row>
    <row r="3103" spans="1:18" ht="90" x14ac:dyDescent="0.25">
      <c r="A3103" s="14" t="s">
        <v>9076</v>
      </c>
      <c r="B3103" s="14" t="s">
        <v>9079</v>
      </c>
      <c r="C3103" s="14" t="s">
        <v>8701</v>
      </c>
      <c r="D3103" s="14" t="s">
        <v>8531</v>
      </c>
      <c r="E3103" s="14" t="s">
        <v>3341</v>
      </c>
      <c r="F3103" s="14" t="s">
        <v>3342</v>
      </c>
      <c r="G3103" s="8" t="s">
        <v>8704</v>
      </c>
      <c r="H3103" s="14"/>
      <c r="I3103" s="14"/>
      <c r="J3103" s="14"/>
      <c r="K3103" s="14"/>
      <c r="L3103" s="14"/>
      <c r="M3103" s="14" t="s">
        <v>3345</v>
      </c>
      <c r="N3103" s="14"/>
      <c r="O3103" s="14" t="s">
        <v>3346</v>
      </c>
      <c r="P3103" s="14" t="str">
        <f>HYPERLINK("https://ceds.ed.gov/cedselementdetails.aspx?termid=17071")</f>
        <v>https://ceds.ed.gov/cedselementdetails.aspx?termid=17071</v>
      </c>
      <c r="Q3103" s="14" t="str">
        <f>HYPERLINK("https://ceds.ed.gov/elementComment.aspx?elementName=Credential Type &amp;elementID=17071", "Click here to submit comment")</f>
        <v>Click here to submit comment</v>
      </c>
      <c r="R3103" s="14">
        <v>50557</v>
      </c>
    </row>
    <row r="3104" spans="1:18" ht="240" x14ac:dyDescent="0.25">
      <c r="A3104" s="14" t="s">
        <v>9076</v>
      </c>
      <c r="B3104" s="14" t="s">
        <v>9079</v>
      </c>
      <c r="C3104" s="14" t="s">
        <v>8701</v>
      </c>
      <c r="D3104" s="14" t="s">
        <v>8531</v>
      </c>
      <c r="E3104" s="14" t="s">
        <v>8182</v>
      </c>
      <c r="F3104" s="14" t="s">
        <v>8183</v>
      </c>
      <c r="G3104" s="8" t="s">
        <v>8928</v>
      </c>
      <c r="H3104" s="14" t="s">
        <v>412</v>
      </c>
      <c r="I3104" s="14"/>
      <c r="J3104" s="14"/>
      <c r="K3104" s="14"/>
      <c r="L3104" s="14"/>
      <c r="M3104" s="14" t="s">
        <v>8186</v>
      </c>
      <c r="N3104" s="14"/>
      <c r="O3104" s="14" t="s">
        <v>8187</v>
      </c>
      <c r="P3104" s="14" t="str">
        <f>HYPERLINK("https://ceds.ed.gov/cedselementdetails.aspx?termid=17277")</f>
        <v>https://ceds.ed.gov/cedselementdetails.aspx?termid=17277</v>
      </c>
      <c r="Q3104" s="14" t="str">
        <f>HYPERLINK("https://ceds.ed.gov/elementComment.aspx?elementName=Teaching Credential Basis &amp;elementID=17277", "Click here to submit comment")</f>
        <v>Click here to submit comment</v>
      </c>
      <c r="R3104" s="14">
        <v>50559</v>
      </c>
    </row>
    <row r="3105" spans="1:18" ht="75" x14ac:dyDescent="0.25">
      <c r="A3105" s="14" t="s">
        <v>9076</v>
      </c>
      <c r="B3105" s="14" t="s">
        <v>9079</v>
      </c>
      <c r="C3105" s="14" t="s">
        <v>8701</v>
      </c>
      <c r="D3105" s="14" t="s">
        <v>8531</v>
      </c>
      <c r="E3105" s="14" t="s">
        <v>2165</v>
      </c>
      <c r="F3105" s="14" t="s">
        <v>2166</v>
      </c>
      <c r="G3105" s="14" t="s">
        <v>24</v>
      </c>
      <c r="H3105" s="14"/>
      <c r="I3105" s="14"/>
      <c r="J3105" s="14"/>
      <c r="K3105" s="14"/>
      <c r="L3105" s="14"/>
      <c r="M3105" s="14" t="s">
        <v>2168</v>
      </c>
      <c r="N3105" s="14" t="s">
        <v>2169</v>
      </c>
      <c r="O3105" s="14" t="s">
        <v>2170</v>
      </c>
      <c r="P3105" s="14" t="str">
        <f>HYPERLINK("https://ceds.ed.gov/cedselementdetails.aspx?termid=18284")</f>
        <v>https://ceds.ed.gov/cedselementdetails.aspx?termid=18284</v>
      </c>
      <c r="Q3105" s="14" t="str">
        <f>HYPERLINK("https://ceds.ed.gov/elementComment.aspx?elementName=Career and Technical Education Instructor Industry Certification &amp;elementID=18284", "Click here to submit comment")</f>
        <v>Click here to submit comment</v>
      </c>
      <c r="R3105" s="14">
        <v>50558</v>
      </c>
    </row>
    <row r="3106" spans="1:18" ht="409.5" x14ac:dyDescent="0.25">
      <c r="A3106" s="14" t="s">
        <v>9076</v>
      </c>
      <c r="B3106" s="14" t="s">
        <v>9079</v>
      </c>
      <c r="C3106" s="14" t="s">
        <v>8603</v>
      </c>
      <c r="D3106" s="14" t="s">
        <v>8541</v>
      </c>
      <c r="E3106" s="14" t="s">
        <v>2853</v>
      </c>
      <c r="F3106" s="14" t="s">
        <v>2854</v>
      </c>
      <c r="G3106" s="8" t="s">
        <v>8548</v>
      </c>
      <c r="H3106" s="14" t="s">
        <v>2859</v>
      </c>
      <c r="I3106" s="14" t="s">
        <v>195</v>
      </c>
      <c r="J3106" s="14"/>
      <c r="K3106" s="14" t="s">
        <v>2856</v>
      </c>
      <c r="L3106" s="6" t="s">
        <v>2849</v>
      </c>
      <c r="M3106" s="14" t="s">
        <v>2857</v>
      </c>
      <c r="N3106" s="14"/>
      <c r="O3106" s="14" t="s">
        <v>2858</v>
      </c>
      <c r="P3106" s="14" t="str">
        <f>HYPERLINK("https://ceds.ed.gov/cedselementdetails.aspx?termid=17051")</f>
        <v>https://ceds.ed.gov/cedselementdetails.aspx?termid=17051</v>
      </c>
      <c r="Q3106" s="14" t="str">
        <f>HYPERLINK("https://ceds.ed.gov/elementComment.aspx?elementName=Country of Birth Code &amp;elementID=17051", "Click here to submit comment")</f>
        <v>Click here to submit comment</v>
      </c>
      <c r="R3106" s="14">
        <v>52235</v>
      </c>
    </row>
    <row r="3107" spans="1:18" ht="105" x14ac:dyDescent="0.25">
      <c r="A3107" s="14" t="s">
        <v>9076</v>
      </c>
      <c r="B3107" s="14" t="s">
        <v>9079</v>
      </c>
      <c r="C3107" s="14" t="s">
        <v>8603</v>
      </c>
      <c r="D3107" s="14" t="s">
        <v>8541</v>
      </c>
      <c r="E3107" s="14" t="s">
        <v>8363</v>
      </c>
      <c r="F3107" s="14" t="s">
        <v>8364</v>
      </c>
      <c r="G3107" s="14" t="s">
        <v>8527</v>
      </c>
      <c r="H3107" s="14"/>
      <c r="I3107" s="14" t="s">
        <v>195</v>
      </c>
      <c r="J3107" s="14"/>
      <c r="K3107" s="14" t="s">
        <v>8366</v>
      </c>
      <c r="L3107" s="14"/>
      <c r="M3107" s="14" t="s">
        <v>8367</v>
      </c>
      <c r="N3107" s="14"/>
      <c r="O3107" s="14" t="s">
        <v>8368</v>
      </c>
      <c r="P3107" s="14" t="str">
        <f>HYPERLINK("https://ceds.ed.gov/cedselementdetails.aspx?termid=18638")</f>
        <v>https://ceds.ed.gov/cedselementdetails.aspx?termid=18638</v>
      </c>
      <c r="Q3107" s="14" t="str">
        <f>HYPERLINK("https://ceds.ed.gov/elementComment.aspx?elementName=Tribal Affiliation &amp;elementID=18638", "Click here to submit comment")</f>
        <v>Click here to submit comment</v>
      </c>
      <c r="R3107" s="14">
        <v>52236</v>
      </c>
    </row>
    <row r="3108" spans="1:18" ht="405" x14ac:dyDescent="0.25">
      <c r="A3108" s="14" t="s">
        <v>9076</v>
      </c>
      <c r="B3108" s="14" t="s">
        <v>9079</v>
      </c>
      <c r="C3108" s="14" t="s">
        <v>8693</v>
      </c>
      <c r="D3108" s="14" t="s">
        <v>8541</v>
      </c>
      <c r="E3108" s="14" t="s">
        <v>4027</v>
      </c>
      <c r="F3108" s="14" t="s">
        <v>3763</v>
      </c>
      <c r="G3108" s="8" t="s">
        <v>8695</v>
      </c>
      <c r="H3108" s="14"/>
      <c r="I3108" s="14" t="s">
        <v>195</v>
      </c>
      <c r="J3108" s="14"/>
      <c r="K3108" s="14" t="s">
        <v>2856</v>
      </c>
      <c r="L3108" s="14"/>
      <c r="M3108" s="14" t="s">
        <v>4029</v>
      </c>
      <c r="N3108" s="14"/>
      <c r="O3108" s="14" t="s">
        <v>4030</v>
      </c>
      <c r="P3108" s="14" t="str">
        <f>HYPERLINK("https://ceds.ed.gov/cedselementdetails.aspx?termid=17613")</f>
        <v>https://ceds.ed.gov/cedselementdetails.aspx?termid=17613</v>
      </c>
      <c r="Q3108" s="14" t="str">
        <f>HYPERLINK("https://ceds.ed.gov/elementComment.aspx?elementName=Employment Separation Reason &amp;elementID=17613", "Click here to submit comment")</f>
        <v>Click here to submit comment</v>
      </c>
      <c r="R3108" s="14">
        <v>52237</v>
      </c>
    </row>
    <row r="3109" spans="1:18" ht="120" x14ac:dyDescent="0.25">
      <c r="A3109" s="14" t="s">
        <v>9076</v>
      </c>
      <c r="B3109" s="14" t="s">
        <v>9079</v>
      </c>
      <c r="C3109" s="14" t="s">
        <v>8693</v>
      </c>
      <c r="D3109" s="14" t="s">
        <v>8541</v>
      </c>
      <c r="E3109" s="14" t="s">
        <v>7940</v>
      </c>
      <c r="F3109" s="14" t="s">
        <v>7941</v>
      </c>
      <c r="G3109" s="14" t="s">
        <v>37</v>
      </c>
      <c r="H3109" s="14" t="s">
        <v>80</v>
      </c>
      <c r="I3109" s="14" t="s">
        <v>195</v>
      </c>
      <c r="J3109" s="14" t="s">
        <v>7943</v>
      </c>
      <c r="K3109" s="14" t="s">
        <v>2856</v>
      </c>
      <c r="L3109" s="14"/>
      <c r="M3109" s="14" t="s">
        <v>7944</v>
      </c>
      <c r="N3109" s="14"/>
      <c r="O3109" s="14" t="s">
        <v>7945</v>
      </c>
      <c r="P3109" s="14" t="str">
        <f>HYPERLINK("https://ceds.ed.gov/cedselementdetails.aspx?termid=17707")</f>
        <v>https://ceds.ed.gov/cedselementdetails.aspx?termid=17707</v>
      </c>
      <c r="Q3109" s="14" t="str">
        <f>HYPERLINK("https://ceds.ed.gov/elementComment.aspx?elementName=Standard Occupational Classification &amp;elementID=17707", "Click here to submit comment")</f>
        <v>Click here to submit comment</v>
      </c>
      <c r="R3109" s="14">
        <v>52238</v>
      </c>
    </row>
    <row r="3110" spans="1:18" ht="90" x14ac:dyDescent="0.25">
      <c r="A3110" s="14" t="s">
        <v>9076</v>
      </c>
      <c r="B3110" s="14" t="s">
        <v>9079</v>
      </c>
      <c r="C3110" s="14" t="s">
        <v>8632</v>
      </c>
      <c r="D3110" s="14" t="s">
        <v>8541</v>
      </c>
      <c r="E3110" s="14" t="s">
        <v>5662</v>
      </c>
      <c r="F3110" s="14" t="s">
        <v>5663</v>
      </c>
      <c r="G3110" s="14" t="s">
        <v>8527</v>
      </c>
      <c r="H3110" s="14" t="s">
        <v>5668</v>
      </c>
      <c r="I3110" s="14" t="s">
        <v>195</v>
      </c>
      <c r="J3110" s="14"/>
      <c r="K3110" s="14" t="s">
        <v>5665</v>
      </c>
      <c r="L3110" s="6" t="s">
        <v>1087</v>
      </c>
      <c r="M3110" s="14" t="s">
        <v>5666</v>
      </c>
      <c r="N3110" s="14"/>
      <c r="O3110" s="14" t="s">
        <v>5667</v>
      </c>
      <c r="P3110" s="14" t="str">
        <f>HYPERLINK("https://ceds.ed.gov/cedselementdetails.aspx?termid=17317")</f>
        <v>https://ceds.ed.gov/cedselementdetails.aspx?termid=17317</v>
      </c>
      <c r="Q3110" s="14" t="str">
        <f>HYPERLINK("https://ceds.ed.gov/elementComment.aspx?elementName=ISO 639-2 Language Code &amp;elementID=17317", "Click here to submit comment")</f>
        <v>Click here to submit comment</v>
      </c>
      <c r="R3110" s="14">
        <v>52239</v>
      </c>
    </row>
    <row r="3111" spans="1:18" ht="105" x14ac:dyDescent="0.25">
      <c r="A3111" s="14" t="s">
        <v>9076</v>
      </c>
      <c r="B3111" s="14" t="s">
        <v>9079</v>
      </c>
      <c r="C3111" s="14" t="s">
        <v>8632</v>
      </c>
      <c r="D3111" s="14" t="s">
        <v>8541</v>
      </c>
      <c r="E3111" s="14" t="s">
        <v>5669</v>
      </c>
      <c r="F3111" s="14" t="s">
        <v>5663</v>
      </c>
      <c r="G3111" s="14" t="s">
        <v>8527</v>
      </c>
      <c r="H3111" s="14"/>
      <c r="I3111" s="14" t="s">
        <v>195</v>
      </c>
      <c r="J3111" s="14"/>
      <c r="K3111" s="14" t="s">
        <v>5670</v>
      </c>
      <c r="L3111" s="6" t="s">
        <v>5671</v>
      </c>
      <c r="M3111" s="14" t="s">
        <v>5672</v>
      </c>
      <c r="N3111" s="14"/>
      <c r="O3111" s="14" t="s">
        <v>5673</v>
      </c>
      <c r="P3111" s="14" t="str">
        <f>HYPERLINK("https://ceds.ed.gov/cedselementdetails.aspx?termid=18618")</f>
        <v>https://ceds.ed.gov/cedselementdetails.aspx?termid=18618</v>
      </c>
      <c r="Q3111" s="14" t="str">
        <f>HYPERLINK("https://ceds.ed.gov/elementComment.aspx?elementName=ISO 639-3 Language Code &amp;elementID=18618", "Click here to submit comment")</f>
        <v>Click here to submit comment</v>
      </c>
      <c r="R3111" s="14">
        <v>52240</v>
      </c>
    </row>
    <row r="3112" spans="1:18" ht="409.5" x14ac:dyDescent="0.25">
      <c r="A3112" s="14" t="s">
        <v>9076</v>
      </c>
      <c r="B3112" s="14" t="s">
        <v>9079</v>
      </c>
      <c r="C3112" s="14" t="s">
        <v>8632</v>
      </c>
      <c r="D3112" s="14" t="s">
        <v>8541</v>
      </c>
      <c r="E3112" s="14" t="s">
        <v>5674</v>
      </c>
      <c r="F3112" s="14" t="s">
        <v>5675</v>
      </c>
      <c r="G3112" s="8" t="s">
        <v>8634</v>
      </c>
      <c r="H3112" s="14"/>
      <c r="I3112" s="14" t="s">
        <v>195</v>
      </c>
      <c r="J3112" s="14"/>
      <c r="K3112" s="14" t="s">
        <v>2856</v>
      </c>
      <c r="L3112" s="6" t="s">
        <v>5677</v>
      </c>
      <c r="M3112" s="14" t="s">
        <v>5678</v>
      </c>
      <c r="N3112" s="14"/>
      <c r="O3112" s="14" t="s">
        <v>5679</v>
      </c>
      <c r="P3112" s="14" t="str">
        <f>HYPERLINK("https://ceds.ed.gov/cedselementdetails.aspx?termid=18619")</f>
        <v>https://ceds.ed.gov/cedselementdetails.aspx?termid=18619</v>
      </c>
      <c r="Q3112" s="14" t="str">
        <f>HYPERLINK("https://ceds.ed.gov/elementComment.aspx?elementName=ISO 639-5 Language Family &amp;elementID=18619", "Click here to submit comment")</f>
        <v>Click here to submit comment</v>
      </c>
      <c r="R3112" s="14">
        <v>52241</v>
      </c>
    </row>
    <row r="3113" spans="1:18" ht="135" x14ac:dyDescent="0.25">
      <c r="A3113" s="14" t="s">
        <v>9076</v>
      </c>
      <c r="B3113" s="14" t="s">
        <v>9079</v>
      </c>
      <c r="C3113" s="14" t="s">
        <v>8632</v>
      </c>
      <c r="D3113" s="14" t="s">
        <v>8541</v>
      </c>
      <c r="E3113" s="14" t="s">
        <v>5717</v>
      </c>
      <c r="F3113" s="14" t="s">
        <v>5718</v>
      </c>
      <c r="G3113" s="8" t="s">
        <v>8633</v>
      </c>
      <c r="H3113" s="14" t="s">
        <v>5668</v>
      </c>
      <c r="I3113" s="14" t="s">
        <v>195</v>
      </c>
      <c r="J3113" s="14"/>
      <c r="K3113" s="14" t="s">
        <v>2856</v>
      </c>
      <c r="L3113" s="14"/>
      <c r="M3113" s="14" t="s">
        <v>5721</v>
      </c>
      <c r="N3113" s="14"/>
      <c r="O3113" s="14" t="s">
        <v>5722</v>
      </c>
      <c r="P3113" s="14" t="str">
        <f>HYPERLINK("https://ceds.ed.gov/cedselementdetails.aspx?termid=17316")</f>
        <v>https://ceds.ed.gov/cedselementdetails.aspx?termid=17316</v>
      </c>
      <c r="Q3113" s="14" t="str">
        <f>HYPERLINK("https://ceds.ed.gov/elementComment.aspx?elementName=Language Type &amp;elementID=17316", "Click here to submit comment")</f>
        <v>Click here to submit comment</v>
      </c>
      <c r="R3113" s="14">
        <v>52242</v>
      </c>
    </row>
    <row r="3114" spans="1:18" ht="409.5" x14ac:dyDescent="0.25">
      <c r="A3114" s="14" t="s">
        <v>9076</v>
      </c>
      <c r="B3114" s="14" t="s">
        <v>9079</v>
      </c>
      <c r="C3114" s="14" t="s">
        <v>8673</v>
      </c>
      <c r="D3114" s="14" t="s">
        <v>8541</v>
      </c>
      <c r="E3114" s="14" t="s">
        <v>6727</v>
      </c>
      <c r="F3114" s="14" t="s">
        <v>6728</v>
      </c>
      <c r="G3114" s="8" t="s">
        <v>8674</v>
      </c>
      <c r="H3114" s="14" t="s">
        <v>1751</v>
      </c>
      <c r="I3114" s="14" t="s">
        <v>195</v>
      </c>
      <c r="J3114" s="14"/>
      <c r="K3114" s="14" t="s">
        <v>6731</v>
      </c>
      <c r="L3114" s="14" t="s">
        <v>6732</v>
      </c>
      <c r="M3114" s="14" t="s">
        <v>6733</v>
      </c>
      <c r="N3114" s="14"/>
      <c r="O3114" s="14" t="s">
        <v>6734</v>
      </c>
      <c r="P3114" s="14" t="str">
        <f>HYPERLINK("https://ceds.ed.gov/cedselementdetails.aspx?termid=17415")</f>
        <v>https://ceds.ed.gov/cedselementdetails.aspx?termid=17415</v>
      </c>
      <c r="Q3114" s="14" t="str">
        <f>HYPERLINK("https://ceds.ed.gov/elementComment.aspx?elementName=Person Relationship Type &amp;elementID=17415", "Click here to submit comment")</f>
        <v>Click here to submit comment</v>
      </c>
      <c r="R3114" s="14">
        <v>52243</v>
      </c>
    </row>
    <row r="3115" spans="1:18" ht="75" x14ac:dyDescent="0.25">
      <c r="A3115" s="14" t="s">
        <v>9076</v>
      </c>
      <c r="B3115" s="14" t="s">
        <v>9079</v>
      </c>
      <c r="C3115" s="14" t="s">
        <v>4</v>
      </c>
      <c r="D3115" s="14" t="s">
        <v>8541</v>
      </c>
      <c r="E3115" s="14" t="s">
        <v>7201</v>
      </c>
      <c r="F3115" s="14" t="s">
        <v>7202</v>
      </c>
      <c r="G3115" s="14" t="s">
        <v>24</v>
      </c>
      <c r="H3115" s="14"/>
      <c r="I3115" s="14" t="s">
        <v>195</v>
      </c>
      <c r="J3115" s="14"/>
      <c r="K3115" s="14" t="s">
        <v>2856</v>
      </c>
      <c r="L3115" s="14"/>
      <c r="M3115" s="14" t="s">
        <v>7204</v>
      </c>
      <c r="N3115" s="14"/>
      <c r="O3115" s="14" t="s">
        <v>7205</v>
      </c>
      <c r="P3115" s="14" t="str">
        <f>HYPERLINK("https://ceds.ed.gov/cedselementdetails.aspx?termid=17760")</f>
        <v>https://ceds.ed.gov/cedselementdetails.aspx?termid=17760</v>
      </c>
      <c r="Q3115" s="14" t="str">
        <f>HYPERLINK("https://ceds.ed.gov/elementComment.aspx?elementName=Public Assistance Status &amp;elementID=17760", "Click here to submit comment")</f>
        <v>Click here to submit comment</v>
      </c>
      <c r="R3115" s="14">
        <v>52244</v>
      </c>
    </row>
    <row r="3116" spans="1:18" ht="105" x14ac:dyDescent="0.25">
      <c r="A3116" s="16" t="s">
        <v>9076</v>
      </c>
      <c r="B3116" s="16" t="s">
        <v>8949</v>
      </c>
      <c r="C3116" s="16"/>
      <c r="D3116" s="16" t="s">
        <v>8531</v>
      </c>
      <c r="E3116" s="16" t="s">
        <v>2966</v>
      </c>
      <c r="F3116" s="16" t="s">
        <v>2967</v>
      </c>
      <c r="G3116" s="16" t="s">
        <v>37</v>
      </c>
      <c r="H3116" s="16" t="s">
        <v>2970</v>
      </c>
      <c r="I3116" s="16"/>
      <c r="J3116" s="16" t="s">
        <v>149</v>
      </c>
      <c r="K3116" s="16"/>
      <c r="L3116" s="14" t="s">
        <v>150</v>
      </c>
      <c r="M3116" s="16" t="s">
        <v>2968</v>
      </c>
      <c r="N3116" s="16"/>
      <c r="O3116" s="16" t="s">
        <v>2969</v>
      </c>
      <c r="P3116" s="16" t="str">
        <f>HYPERLINK("https://ceds.ed.gov/cedselementdetails.aspx?termid=17055")</f>
        <v>https://ceds.ed.gov/cedselementdetails.aspx?termid=17055</v>
      </c>
      <c r="Q3116" s="16" t="str">
        <f>HYPERLINK("https://ceds.ed.gov/elementComment.aspx?elementName=Course Identifier &amp;elementID=17055", "Click here to submit comment")</f>
        <v>Click here to submit comment</v>
      </c>
      <c r="R3116" s="16">
        <v>49784</v>
      </c>
    </row>
    <row r="3117" spans="1:18" x14ac:dyDescent="0.25">
      <c r="A3117" s="16"/>
      <c r="B3117" s="16"/>
      <c r="C3117" s="16"/>
      <c r="D3117" s="16"/>
      <c r="E3117" s="16"/>
      <c r="F3117" s="16"/>
      <c r="G3117" s="16"/>
      <c r="H3117" s="16"/>
      <c r="I3117" s="16"/>
      <c r="J3117" s="16"/>
      <c r="K3117" s="16"/>
      <c r="L3117" s="14"/>
      <c r="M3117" s="16"/>
      <c r="N3117" s="16"/>
      <c r="O3117" s="16"/>
      <c r="P3117" s="16"/>
      <c r="Q3117" s="16"/>
      <c r="R3117" s="16"/>
    </row>
    <row r="3118" spans="1:18" ht="90" x14ac:dyDescent="0.25">
      <c r="A3118" s="16"/>
      <c r="B3118" s="16"/>
      <c r="C3118" s="16"/>
      <c r="D3118" s="16"/>
      <c r="E3118" s="16"/>
      <c r="F3118" s="16"/>
      <c r="G3118" s="16"/>
      <c r="H3118" s="16"/>
      <c r="I3118" s="16"/>
      <c r="J3118" s="16"/>
      <c r="K3118" s="16"/>
      <c r="L3118" s="14" t="s">
        <v>153</v>
      </c>
      <c r="M3118" s="16"/>
      <c r="N3118" s="16"/>
      <c r="O3118" s="16"/>
      <c r="P3118" s="16"/>
      <c r="Q3118" s="16"/>
      <c r="R3118" s="16"/>
    </row>
    <row r="3119" spans="1:18" ht="195" x14ac:dyDescent="0.25">
      <c r="A3119" s="14" t="s">
        <v>9076</v>
      </c>
      <c r="B3119" s="14" t="s">
        <v>8949</v>
      </c>
      <c r="C3119" s="14"/>
      <c r="D3119" s="14" t="s">
        <v>8531</v>
      </c>
      <c r="E3119" s="14" t="s">
        <v>2909</v>
      </c>
      <c r="F3119" s="14" t="s">
        <v>2910</v>
      </c>
      <c r="G3119" s="8" t="s">
        <v>8834</v>
      </c>
      <c r="H3119" s="14" t="s">
        <v>1713</v>
      </c>
      <c r="I3119" s="14"/>
      <c r="J3119" s="14"/>
      <c r="K3119" s="14"/>
      <c r="L3119" s="14"/>
      <c r="M3119" s="14" t="s">
        <v>2913</v>
      </c>
      <c r="N3119" s="14"/>
      <c r="O3119" s="14" t="s">
        <v>2914</v>
      </c>
      <c r="P3119" s="14" t="str">
        <f>HYPERLINK("https://ceds.ed.gov/cedselementdetails.aspx?termid=17056")</f>
        <v>https://ceds.ed.gov/cedselementdetails.aspx?termid=17056</v>
      </c>
      <c r="Q3119" s="14" t="str">
        <f>HYPERLINK("https://ceds.ed.gov/elementComment.aspx?elementName=Course Code System &amp;elementID=17056", "Click here to submit comment")</f>
        <v>Click here to submit comment</v>
      </c>
      <c r="R3119" s="14">
        <v>49785</v>
      </c>
    </row>
    <row r="3120" spans="1:18" ht="225" x14ac:dyDescent="0.25">
      <c r="A3120" s="14" t="s">
        <v>9076</v>
      </c>
      <c r="B3120" s="14" t="s">
        <v>8949</v>
      </c>
      <c r="C3120" s="14"/>
      <c r="D3120" s="14" t="s">
        <v>8531</v>
      </c>
      <c r="E3120" s="14" t="s">
        <v>3099</v>
      </c>
      <c r="F3120" s="14" t="s">
        <v>3100</v>
      </c>
      <c r="G3120" s="14" t="s">
        <v>37</v>
      </c>
      <c r="H3120" s="14" t="s">
        <v>1713</v>
      </c>
      <c r="I3120" s="14"/>
      <c r="J3120" s="14" t="s">
        <v>175</v>
      </c>
      <c r="K3120" s="14"/>
      <c r="L3120" s="14"/>
      <c r="M3120" s="14" t="s">
        <v>3101</v>
      </c>
      <c r="N3120" s="14"/>
      <c r="O3120" s="14" t="s">
        <v>3102</v>
      </c>
      <c r="P3120" s="14" t="str">
        <f>HYPERLINK("https://ceds.ed.gov/cedselementdetails.aspx?termid=17067")</f>
        <v>https://ceds.ed.gov/cedselementdetails.aspx?termid=17067</v>
      </c>
      <c r="Q3120" s="14" t="str">
        <f>HYPERLINK("https://ceds.ed.gov/elementComment.aspx?elementName=Course Title &amp;elementID=17067", "Click here to submit comment")</f>
        <v>Click here to submit comment</v>
      </c>
      <c r="R3120" s="14">
        <v>49788</v>
      </c>
    </row>
    <row r="3121" spans="1:18" ht="45" x14ac:dyDescent="0.25">
      <c r="A3121" s="14" t="s">
        <v>9076</v>
      </c>
      <c r="B3121" s="14" t="s">
        <v>8949</v>
      </c>
      <c r="C3121" s="14"/>
      <c r="D3121" s="14" t="s">
        <v>8531</v>
      </c>
      <c r="E3121" s="14" t="s">
        <v>2936</v>
      </c>
      <c r="F3121" s="14" t="s">
        <v>2937</v>
      </c>
      <c r="G3121" s="14" t="s">
        <v>37</v>
      </c>
      <c r="H3121" s="14"/>
      <c r="I3121" s="14"/>
      <c r="J3121" s="14" t="s">
        <v>175</v>
      </c>
      <c r="K3121" s="14"/>
      <c r="L3121" s="14"/>
      <c r="M3121" s="14" t="s">
        <v>2938</v>
      </c>
      <c r="N3121" s="14"/>
      <c r="O3121" s="14" t="s">
        <v>2939</v>
      </c>
      <c r="P3121" s="14" t="str">
        <f>HYPERLINK("https://ceds.ed.gov/cedselementdetails.aspx?termid=17508")</f>
        <v>https://ceds.ed.gov/cedselementdetails.aspx?termid=17508</v>
      </c>
      <c r="Q3121" s="14" t="str">
        <f>HYPERLINK("https://ceds.ed.gov/elementComment.aspx?elementName=Course Description &amp;elementID=17508", "Click here to submit comment")</f>
        <v>Click here to submit comment</v>
      </c>
      <c r="R3121" s="14">
        <v>49796</v>
      </c>
    </row>
    <row r="3122" spans="1:18" ht="45" x14ac:dyDescent="0.25">
      <c r="A3122" s="14" t="s">
        <v>9076</v>
      </c>
      <c r="B3122" s="14" t="s">
        <v>8949</v>
      </c>
      <c r="C3122" s="14"/>
      <c r="D3122" s="14" t="s">
        <v>8531</v>
      </c>
      <c r="E3122" s="14" t="s">
        <v>2931</v>
      </c>
      <c r="F3122" s="14" t="s">
        <v>2932</v>
      </c>
      <c r="G3122" s="14" t="s">
        <v>37</v>
      </c>
      <c r="H3122" s="14"/>
      <c r="I3122" s="14"/>
      <c r="J3122" s="14" t="s">
        <v>175</v>
      </c>
      <c r="K3122" s="14"/>
      <c r="L3122" s="14"/>
      <c r="M3122" s="14" t="s">
        <v>2934</v>
      </c>
      <c r="N3122" s="14"/>
      <c r="O3122" s="14" t="s">
        <v>2935</v>
      </c>
      <c r="P3122" s="14" t="str">
        <f>HYPERLINK("https://ceds.ed.gov/cedselementdetails.aspx?termid=18525")</f>
        <v>https://ceds.ed.gov/cedselementdetails.aspx?termid=18525</v>
      </c>
      <c r="Q3122" s="14" t="str">
        <f>HYPERLINK("https://ceds.ed.gov/elementComment.aspx?elementName=Course Department Name &amp;elementID=18525", "Click here to submit comment")</f>
        <v>Click here to submit comment</v>
      </c>
      <c r="R3122" s="14">
        <v>50832</v>
      </c>
    </row>
    <row r="3123" spans="1:18" ht="165" x14ac:dyDescent="0.25">
      <c r="A3123" s="14" t="s">
        <v>9076</v>
      </c>
      <c r="B3123" s="14" t="s">
        <v>8949</v>
      </c>
      <c r="C3123" s="14"/>
      <c r="D3123" s="14" t="s">
        <v>8531</v>
      </c>
      <c r="E3123" s="14" t="s">
        <v>2925</v>
      </c>
      <c r="F3123" s="14" t="s">
        <v>2926</v>
      </c>
      <c r="G3123" s="8" t="s">
        <v>8706</v>
      </c>
      <c r="H3123" s="14" t="s">
        <v>65</v>
      </c>
      <c r="I3123" s="14"/>
      <c r="J3123" s="14"/>
      <c r="K3123" s="14"/>
      <c r="L3123" s="14"/>
      <c r="M3123" s="14" t="s">
        <v>2929</v>
      </c>
      <c r="N3123" s="14"/>
      <c r="O3123" s="14" t="s">
        <v>2930</v>
      </c>
      <c r="P3123" s="14" t="str">
        <f>HYPERLINK("https://ceds.ed.gov/cedselementdetails.aspx?termid=17057")</f>
        <v>https://ceds.ed.gov/cedselementdetails.aspx?termid=17057</v>
      </c>
      <c r="Q3123" s="14" t="str">
        <f>HYPERLINK("https://ceds.ed.gov/elementComment.aspx?elementName=Course Credit Units &amp;elementID=17057", "Click here to submit comment")</f>
        <v>Click here to submit comment</v>
      </c>
      <c r="R3123" s="14">
        <v>49780</v>
      </c>
    </row>
    <row r="3124" spans="1:18" ht="360" x14ac:dyDescent="0.25">
      <c r="A3124" s="14" t="s">
        <v>9076</v>
      </c>
      <c r="B3124" s="14" t="s">
        <v>8949</v>
      </c>
      <c r="C3124" s="14"/>
      <c r="D3124" s="14" t="s">
        <v>8531</v>
      </c>
      <c r="E3124" s="14" t="s">
        <v>3353</v>
      </c>
      <c r="F3124" s="14" t="s">
        <v>3354</v>
      </c>
      <c r="G3124" s="8" t="s">
        <v>8836</v>
      </c>
      <c r="H3124" s="14" t="s">
        <v>72</v>
      </c>
      <c r="I3124" s="14"/>
      <c r="J3124" s="14"/>
      <c r="K3124" s="14"/>
      <c r="L3124" s="14"/>
      <c r="M3124" s="14" t="s">
        <v>3357</v>
      </c>
      <c r="N3124" s="14"/>
      <c r="O3124" s="14" t="s">
        <v>3358</v>
      </c>
      <c r="P3124" s="14" t="str">
        <f>HYPERLINK("https://ceds.ed.gov/cedselementdetails.aspx?termid=17072")</f>
        <v>https://ceds.ed.gov/cedselementdetails.aspx?termid=17072</v>
      </c>
      <c r="Q3124" s="14" t="str">
        <f>HYPERLINK("https://ceds.ed.gov/elementComment.aspx?elementName=Credit Unit Type &amp;elementID=17072", "Click here to submit comment")</f>
        <v>Click here to submit comment</v>
      </c>
      <c r="R3124" s="14">
        <v>49919</v>
      </c>
    </row>
    <row r="3125" spans="1:18" ht="105" x14ac:dyDescent="0.25">
      <c r="A3125" s="14" t="s">
        <v>9076</v>
      </c>
      <c r="B3125" s="14" t="s">
        <v>8949</v>
      </c>
      <c r="C3125" s="14"/>
      <c r="D3125" s="14" t="s">
        <v>8531</v>
      </c>
      <c r="E3125" s="14" t="s">
        <v>3359</v>
      </c>
      <c r="F3125" s="14" t="s">
        <v>3360</v>
      </c>
      <c r="G3125" s="14" t="s">
        <v>37</v>
      </c>
      <c r="H3125" s="14" t="s">
        <v>65</v>
      </c>
      <c r="I3125" s="14"/>
      <c r="J3125" s="14" t="s">
        <v>1710</v>
      </c>
      <c r="K3125" s="14"/>
      <c r="L3125" s="14" t="s">
        <v>3362</v>
      </c>
      <c r="M3125" s="14" t="s">
        <v>3363</v>
      </c>
      <c r="N3125" s="14"/>
      <c r="O3125" s="14" t="s">
        <v>3364</v>
      </c>
      <c r="P3125" s="14" t="str">
        <f>HYPERLINK("https://ceds.ed.gov/cedselementdetails.aspx?termid=17058")</f>
        <v>https://ceds.ed.gov/cedselementdetails.aspx?termid=17058</v>
      </c>
      <c r="Q3125" s="14" t="str">
        <f>HYPERLINK("https://ceds.ed.gov/elementComment.aspx?elementName=Credit Value &amp;elementID=17058", "Click here to submit comment")</f>
        <v>Click here to submit comment</v>
      </c>
      <c r="R3125" s="14">
        <v>49781</v>
      </c>
    </row>
    <row r="3126" spans="1:18" ht="255" x14ac:dyDescent="0.25">
      <c r="A3126" s="14" t="s">
        <v>9076</v>
      </c>
      <c r="B3126" s="14" t="s">
        <v>8949</v>
      </c>
      <c r="C3126" s="14"/>
      <c r="D3126" s="14" t="s">
        <v>8531</v>
      </c>
      <c r="E3126" s="14" t="s">
        <v>178</v>
      </c>
      <c r="F3126" s="14" t="s">
        <v>179</v>
      </c>
      <c r="G3126" s="8" t="s">
        <v>8935</v>
      </c>
      <c r="H3126" s="14"/>
      <c r="I3126" s="14"/>
      <c r="J3126" s="14"/>
      <c r="K3126" s="14"/>
      <c r="L3126" s="14"/>
      <c r="M3126" s="14" t="s">
        <v>182</v>
      </c>
      <c r="N3126" s="14"/>
      <c r="O3126" s="14" t="s">
        <v>183</v>
      </c>
      <c r="P3126" s="14" t="str">
        <f>HYPERLINK("https://ceds.ed.gov/cedselementdetails.aspx?termid=17589")</f>
        <v>https://ceds.ed.gov/cedselementdetails.aspx?termid=17589</v>
      </c>
      <c r="Q3126" s="14" t="str">
        <f>HYPERLINK("https://ceds.ed.gov/elementComment.aspx?elementName=Additional Credit Type &amp;elementID=17589", "Click here to submit comment")</f>
        <v>Click here to submit comment</v>
      </c>
      <c r="R3126" s="14">
        <v>49798</v>
      </c>
    </row>
    <row r="3127" spans="1:18" ht="150" x14ac:dyDescent="0.25">
      <c r="A3127" s="14" t="s">
        <v>9076</v>
      </c>
      <c r="B3127" s="14" t="s">
        <v>8949</v>
      </c>
      <c r="C3127" s="14"/>
      <c r="D3127" s="14" t="s">
        <v>8531</v>
      </c>
      <c r="E3127" s="14" t="s">
        <v>1707</v>
      </c>
      <c r="F3127" s="14" t="s">
        <v>1708</v>
      </c>
      <c r="G3127" s="14" t="s">
        <v>37</v>
      </c>
      <c r="H3127" s="14" t="s">
        <v>1713</v>
      </c>
      <c r="I3127" s="14"/>
      <c r="J3127" s="14" t="s">
        <v>1710</v>
      </c>
      <c r="K3127" s="14"/>
      <c r="L3127" s="14"/>
      <c r="M3127" s="14" t="s">
        <v>1711</v>
      </c>
      <c r="N3127" s="14"/>
      <c r="O3127" s="14" t="s">
        <v>1712</v>
      </c>
      <c r="P3127" s="14" t="str">
        <f>HYPERLINK("https://ceds.ed.gov/cedselementdetails.aspx?termid=17030")</f>
        <v>https://ceds.ed.gov/cedselementdetails.aspx?termid=17030</v>
      </c>
      <c r="Q3127" s="14" t="str">
        <f>HYPERLINK("https://ceds.ed.gov/elementComment.aspx?elementName=Available Carnegie Unit Credit &amp;elementID=17030", "Click here to submit comment")</f>
        <v>Click here to submit comment</v>
      </c>
      <c r="R3127" s="14">
        <v>49783</v>
      </c>
    </row>
    <row r="3128" spans="1:18" ht="120" x14ac:dyDescent="0.25">
      <c r="A3128" s="14" t="s">
        <v>9076</v>
      </c>
      <c r="B3128" s="14" t="s">
        <v>8949</v>
      </c>
      <c r="C3128" s="14"/>
      <c r="D3128" s="14" t="s">
        <v>8531</v>
      </c>
      <c r="E3128" s="14" t="s">
        <v>2954</v>
      </c>
      <c r="F3128" s="14" t="s">
        <v>2955</v>
      </c>
      <c r="G3128" s="8" t="s">
        <v>8936</v>
      </c>
      <c r="H3128" s="14" t="s">
        <v>1713</v>
      </c>
      <c r="I3128" s="14"/>
      <c r="J3128" s="14"/>
      <c r="K3128" s="14"/>
      <c r="L3128" s="14"/>
      <c r="M3128" s="14" t="s">
        <v>2958</v>
      </c>
      <c r="N3128" s="14" t="s">
        <v>2959</v>
      </c>
      <c r="O3128" s="14" t="s">
        <v>2960</v>
      </c>
      <c r="P3128" s="14" t="str">
        <f>HYPERLINK("https://ceds.ed.gov/cedselementdetails.aspx?termid=17060")</f>
        <v>https://ceds.ed.gov/cedselementdetails.aspx?termid=17060</v>
      </c>
      <c r="Q3128" s="14" t="str">
        <f>HYPERLINK("https://ceds.ed.gov/elementComment.aspx?elementName=Course Grade Point Average Applicability &amp;elementID=17060", "Click here to submit comment")</f>
        <v>Click here to submit comment</v>
      </c>
      <c r="R3128" s="14">
        <v>49786</v>
      </c>
    </row>
    <row r="3129" spans="1:18" ht="330" x14ac:dyDescent="0.25">
      <c r="A3129" s="14" t="s">
        <v>9076</v>
      </c>
      <c r="B3129" s="14" t="s">
        <v>8949</v>
      </c>
      <c r="C3129" s="14"/>
      <c r="D3129" s="14" t="s">
        <v>8531</v>
      </c>
      <c r="E3129" s="14" t="s">
        <v>2991</v>
      </c>
      <c r="F3129" s="14" t="s">
        <v>2992</v>
      </c>
      <c r="G3129" s="8" t="s">
        <v>8937</v>
      </c>
      <c r="H3129" s="14" t="s">
        <v>2970</v>
      </c>
      <c r="I3129" s="14"/>
      <c r="J3129" s="14"/>
      <c r="K3129" s="14"/>
      <c r="L3129" s="14"/>
      <c r="M3129" s="14" t="s">
        <v>2994</v>
      </c>
      <c r="N3129" s="14"/>
      <c r="O3129" s="14" t="s">
        <v>2995</v>
      </c>
      <c r="P3129" s="14" t="str">
        <f>HYPERLINK("https://ceds.ed.gov/cedselementdetails.aspx?termid=17061")</f>
        <v>https://ceds.ed.gov/cedselementdetails.aspx?termid=17061</v>
      </c>
      <c r="Q3129" s="14" t="str">
        <f>HYPERLINK("https://ceds.ed.gov/elementComment.aspx?elementName=Course Level Characteristic &amp;elementID=17061", "Click here to submit comment")</f>
        <v>Click here to submit comment</v>
      </c>
      <c r="R3129" s="14">
        <v>49787</v>
      </c>
    </row>
    <row r="3130" spans="1:18" ht="120" x14ac:dyDescent="0.25">
      <c r="A3130" s="14" t="s">
        <v>9076</v>
      </c>
      <c r="B3130" s="14" t="s">
        <v>8949</v>
      </c>
      <c r="C3130" s="14"/>
      <c r="D3130" s="14" t="s">
        <v>8531</v>
      </c>
      <c r="E3130" s="14" t="s">
        <v>4948</v>
      </c>
      <c r="F3130" s="14" t="s">
        <v>4949</v>
      </c>
      <c r="G3130" s="14" t="s">
        <v>24</v>
      </c>
      <c r="H3130" s="14" t="s">
        <v>1713</v>
      </c>
      <c r="I3130" s="14"/>
      <c r="J3130" s="14"/>
      <c r="K3130" s="14"/>
      <c r="L3130" s="14"/>
      <c r="M3130" s="14" t="s">
        <v>4951</v>
      </c>
      <c r="N3130" s="14"/>
      <c r="O3130" s="14" t="s">
        <v>4952</v>
      </c>
      <c r="P3130" s="14" t="str">
        <f>HYPERLINK("https://ceds.ed.gov/cedselementdetails.aspx?termid=17137")</f>
        <v>https://ceds.ed.gov/cedselementdetails.aspx?termid=17137</v>
      </c>
      <c r="Q3130" s="14" t="str">
        <f>HYPERLINK("https://ceds.ed.gov/elementComment.aspx?elementName=High School Course Requirement &amp;elementID=17137", "Click here to submit comment")</f>
        <v>Click here to submit comment</v>
      </c>
      <c r="R3130" s="14">
        <v>49790</v>
      </c>
    </row>
    <row r="3131" spans="1:18" ht="45" x14ac:dyDescent="0.25">
      <c r="A3131" s="14" t="s">
        <v>9076</v>
      </c>
      <c r="B3131" s="14" t="s">
        <v>8949</v>
      </c>
      <c r="C3131" s="14"/>
      <c r="D3131" s="14" t="s">
        <v>8531</v>
      </c>
      <c r="E3131" s="14" t="s">
        <v>3025</v>
      </c>
      <c r="F3131" s="14" t="s">
        <v>3026</v>
      </c>
      <c r="G3131" s="14" t="s">
        <v>37</v>
      </c>
      <c r="H3131" s="14"/>
      <c r="I3131" s="14"/>
      <c r="J3131" s="14" t="s">
        <v>1922</v>
      </c>
      <c r="K3131" s="14"/>
      <c r="L3131" s="14"/>
      <c r="M3131" s="14" t="s">
        <v>3027</v>
      </c>
      <c r="N3131" s="14"/>
      <c r="O3131" s="14" t="s">
        <v>3028</v>
      </c>
      <c r="P3131" s="14" t="str">
        <f>HYPERLINK("https://ceds.ed.gov/cedselementdetails.aspx?termid=18648")</f>
        <v>https://ceds.ed.gov/cedselementdetails.aspx?termid=18648</v>
      </c>
      <c r="Q3131" s="14" t="str">
        <f>HYPERLINK("https://ceds.ed.gov/elementComment.aspx?elementName=Course Repeatability Maximum Number &amp;elementID=18648", "Click here to submit comment")</f>
        <v>Click here to submit comment</v>
      </c>
      <c r="R3131" s="14">
        <v>51879</v>
      </c>
    </row>
    <row r="3132" spans="1:18" ht="150" x14ac:dyDescent="0.25">
      <c r="A3132" s="14" t="s">
        <v>9076</v>
      </c>
      <c r="B3132" s="14" t="s">
        <v>8949</v>
      </c>
      <c r="C3132" s="14"/>
      <c r="D3132" s="14" t="s">
        <v>8531</v>
      </c>
      <c r="E3132" s="14" t="s">
        <v>3423</v>
      </c>
      <c r="F3132" s="14" t="s">
        <v>3424</v>
      </c>
      <c r="G3132" s="8" t="s">
        <v>8940</v>
      </c>
      <c r="H3132" s="14"/>
      <c r="I3132" s="14"/>
      <c r="J3132" s="14"/>
      <c r="K3132" s="14"/>
      <c r="L3132" s="14"/>
      <c r="M3132" s="14" t="s">
        <v>3426</v>
      </c>
      <c r="N3132" s="14"/>
      <c r="O3132" s="14" t="s">
        <v>3427</v>
      </c>
      <c r="P3132" s="14" t="str">
        <f>HYPERLINK("https://ceds.ed.gov/cedselementdetails.aspx?termid=17688")</f>
        <v>https://ceds.ed.gov/cedselementdetails.aspx?termid=17688</v>
      </c>
      <c r="Q3132" s="14" t="str">
        <f>HYPERLINK("https://ceds.ed.gov/elementComment.aspx?elementName=Curriculum Framework Type &amp;elementID=17688", "Click here to submit comment")</f>
        <v>Click here to submit comment</v>
      </c>
      <c r="R3132" s="14">
        <v>49799</v>
      </c>
    </row>
    <row r="3133" spans="1:18" ht="45" x14ac:dyDescent="0.25">
      <c r="A3133" s="14" t="s">
        <v>9076</v>
      </c>
      <c r="B3133" s="14" t="s">
        <v>8949</v>
      </c>
      <c r="C3133" s="14"/>
      <c r="D3133" s="14" t="s">
        <v>8531</v>
      </c>
      <c r="E3133" s="14" t="s">
        <v>2819</v>
      </c>
      <c r="F3133" s="14" t="s">
        <v>2820</v>
      </c>
      <c r="G3133" s="14" t="s">
        <v>24</v>
      </c>
      <c r="H3133" s="14"/>
      <c r="I3133" s="14"/>
      <c r="J3133" s="14"/>
      <c r="K3133" s="14"/>
      <c r="L3133" s="14"/>
      <c r="M3133" s="14" t="s">
        <v>2822</v>
      </c>
      <c r="N3133" s="14"/>
      <c r="O3133" s="14" t="s">
        <v>2823</v>
      </c>
      <c r="P3133" s="14" t="str">
        <f>HYPERLINK("https://ceds.ed.gov/cedselementdetails.aspx?termid=17509")</f>
        <v>https://ceds.ed.gov/cedselementdetails.aspx?termid=17509</v>
      </c>
      <c r="Q3133" s="14" t="str">
        <f>HYPERLINK("https://ceds.ed.gov/elementComment.aspx?elementName=Core Academic Course &amp;elementID=17509", "Click here to submit comment")</f>
        <v>Click here to submit comment</v>
      </c>
      <c r="R3133" s="14">
        <v>49797</v>
      </c>
    </row>
    <row r="3134" spans="1:18" ht="45" x14ac:dyDescent="0.25">
      <c r="A3134" s="14" t="s">
        <v>9076</v>
      </c>
      <c r="B3134" s="14" t="s">
        <v>8949</v>
      </c>
      <c r="C3134" s="14"/>
      <c r="D3134" s="14" t="s">
        <v>8531</v>
      </c>
      <c r="E3134" s="14" t="s">
        <v>2890</v>
      </c>
      <c r="F3134" s="14" t="s">
        <v>2891</v>
      </c>
      <c r="G3134" s="14" t="s">
        <v>24</v>
      </c>
      <c r="H3134" s="14"/>
      <c r="I3134" s="14"/>
      <c r="J3134" s="14"/>
      <c r="K3134" s="14"/>
      <c r="L3134" s="14"/>
      <c r="M3134" s="14" t="s">
        <v>2892</v>
      </c>
      <c r="N3134" s="14"/>
      <c r="O3134" s="14" t="s">
        <v>2893</v>
      </c>
      <c r="P3134" s="14" t="str">
        <f>HYPERLINK("https://ceds.ed.gov/cedselementdetails.aspx?termid=17013")</f>
        <v>https://ceds.ed.gov/cedselementdetails.aspx?termid=17013</v>
      </c>
      <c r="Q3134" s="14" t="str">
        <f>HYPERLINK("https://ceds.ed.gov/elementComment.aspx?elementName=Course Aligned with Standards &amp;elementID=17013", "Click here to submit comment")</f>
        <v>Click here to submit comment</v>
      </c>
      <c r="R3134" s="14">
        <v>49782</v>
      </c>
    </row>
    <row r="3135" spans="1:18" ht="90" x14ac:dyDescent="0.25">
      <c r="A3135" s="14" t="s">
        <v>9076</v>
      </c>
      <c r="B3135" s="14" t="s">
        <v>8949</v>
      </c>
      <c r="C3135" s="14"/>
      <c r="D3135" s="14" t="s">
        <v>8531</v>
      </c>
      <c r="E3135" s="14" t="s">
        <v>5501</v>
      </c>
      <c r="F3135" s="14" t="s">
        <v>5502</v>
      </c>
      <c r="G3135" s="14" t="s">
        <v>8527</v>
      </c>
      <c r="H3135" s="14" t="s">
        <v>245</v>
      </c>
      <c r="I3135" s="14" t="s">
        <v>195</v>
      </c>
      <c r="J3135" s="14"/>
      <c r="K3135" s="14" t="s">
        <v>1086</v>
      </c>
      <c r="L3135" s="6" t="s">
        <v>1087</v>
      </c>
      <c r="M3135" s="14" t="s">
        <v>5503</v>
      </c>
      <c r="N3135" s="14"/>
      <c r="O3135" s="14" t="s">
        <v>5504</v>
      </c>
      <c r="P3135" s="14" t="str">
        <f>HYPERLINK("https://ceds.ed.gov/cedselementdetails.aspx?termid=17438")</f>
        <v>https://ceds.ed.gov/cedselementdetails.aspx?termid=17438</v>
      </c>
      <c r="Q3135" s="14" t="str">
        <f>HYPERLINK("https://ceds.ed.gov/elementComment.aspx?elementName=Instruction Language &amp;elementID=17438", "Click here to submit comment")</f>
        <v>Click here to submit comment</v>
      </c>
      <c r="R3135" s="14">
        <v>49795</v>
      </c>
    </row>
    <row r="3136" spans="1:18" ht="120" x14ac:dyDescent="0.25">
      <c r="A3136" s="14" t="s">
        <v>9076</v>
      </c>
      <c r="B3136" s="14" t="s">
        <v>8949</v>
      </c>
      <c r="C3136" s="14"/>
      <c r="D3136" s="14" t="s">
        <v>8531</v>
      </c>
      <c r="E3136" s="14" t="s">
        <v>7559</v>
      </c>
      <c r="F3136" s="14" t="s">
        <v>7560</v>
      </c>
      <c r="G3136" s="14" t="s">
        <v>8527</v>
      </c>
      <c r="H3136" s="14"/>
      <c r="I3136" s="14" t="s">
        <v>195</v>
      </c>
      <c r="J3136" s="14"/>
      <c r="K3136" s="14" t="s">
        <v>7562</v>
      </c>
      <c r="L3136" s="6" t="s">
        <v>7563</v>
      </c>
      <c r="M3136" s="14" t="s">
        <v>7564</v>
      </c>
      <c r="N3136" s="14" t="s">
        <v>7565</v>
      </c>
      <c r="O3136" s="14" t="s">
        <v>7566</v>
      </c>
      <c r="P3136" s="14" t="str">
        <f>HYPERLINK("https://ceds.ed.gov/cedselementdetails.aspx?termid=18490")</f>
        <v>https://ceds.ed.gov/cedselementdetails.aspx?termid=18490</v>
      </c>
      <c r="Q3136" s="14" t="str">
        <f>HYPERLINK("https://ceds.ed.gov/elementComment.aspx?elementName=School Courses for the Exchange of Data Course Code &amp;elementID=18490", "Click here to submit comment")</f>
        <v>Click here to submit comment</v>
      </c>
      <c r="R3136" s="14">
        <v>50745</v>
      </c>
    </row>
    <row r="3137" spans="1:18" ht="105" x14ac:dyDescent="0.25">
      <c r="A3137" s="14" t="s">
        <v>9076</v>
      </c>
      <c r="B3137" s="14" t="s">
        <v>8949</v>
      </c>
      <c r="C3137" s="14"/>
      <c r="D3137" s="14" t="s">
        <v>8531</v>
      </c>
      <c r="E3137" s="14" t="s">
        <v>7567</v>
      </c>
      <c r="F3137" s="14" t="s">
        <v>7568</v>
      </c>
      <c r="G3137" s="8" t="s">
        <v>8905</v>
      </c>
      <c r="H3137" s="14"/>
      <c r="I3137" s="14"/>
      <c r="J3137" s="14"/>
      <c r="K3137" s="14"/>
      <c r="L3137" s="14"/>
      <c r="M3137" s="14" t="s">
        <v>7570</v>
      </c>
      <c r="N3137" s="14" t="s">
        <v>7571</v>
      </c>
      <c r="O3137" s="14" t="s">
        <v>7572</v>
      </c>
      <c r="P3137" s="14" t="str">
        <f>HYPERLINK("https://ceds.ed.gov/cedselementdetails.aspx?termid=18488")</f>
        <v>https://ceds.ed.gov/cedselementdetails.aspx?termid=18488</v>
      </c>
      <c r="Q3137" s="14" t="str">
        <f>HYPERLINK("https://ceds.ed.gov/elementComment.aspx?elementName=School Courses for the Exchange of Data Course Level &amp;elementID=18488", "Click here to submit comment")</f>
        <v>Click here to submit comment</v>
      </c>
      <c r="R3137" s="14">
        <v>50746</v>
      </c>
    </row>
    <row r="3138" spans="1:18" ht="409.5" x14ac:dyDescent="0.25">
      <c r="A3138" s="14" t="s">
        <v>9076</v>
      </c>
      <c r="B3138" s="14" t="s">
        <v>8949</v>
      </c>
      <c r="C3138" s="14"/>
      <c r="D3138" s="14" t="s">
        <v>8531</v>
      </c>
      <c r="E3138" s="14" t="s">
        <v>7573</v>
      </c>
      <c r="F3138" s="14" t="s">
        <v>7574</v>
      </c>
      <c r="G3138" s="8" t="s">
        <v>8883</v>
      </c>
      <c r="H3138" s="14"/>
      <c r="I3138" s="14"/>
      <c r="J3138" s="14"/>
      <c r="K3138" s="14"/>
      <c r="L3138" s="14" t="s">
        <v>7577</v>
      </c>
      <c r="M3138" s="14" t="s">
        <v>7578</v>
      </c>
      <c r="N3138" s="14" t="s">
        <v>7579</v>
      </c>
      <c r="O3138" s="14" t="s">
        <v>7580</v>
      </c>
      <c r="P3138" s="14" t="str">
        <f>HYPERLINK("https://ceds.ed.gov/cedselementdetails.aspx?termid=18491")</f>
        <v>https://ceds.ed.gov/cedselementdetails.aspx?termid=18491</v>
      </c>
      <c r="Q3138" s="14" t="str">
        <f>HYPERLINK("https://ceds.ed.gov/elementComment.aspx?elementName=School Courses for the Exchange of Data Course Subject Area &amp;elementID=18491", "Click here to submit comment")</f>
        <v>Click here to submit comment</v>
      </c>
      <c r="R3138" s="14">
        <v>50747</v>
      </c>
    </row>
    <row r="3139" spans="1:18" ht="120" x14ac:dyDescent="0.25">
      <c r="A3139" s="14" t="s">
        <v>9076</v>
      </c>
      <c r="B3139" s="14" t="s">
        <v>8949</v>
      </c>
      <c r="C3139" s="14"/>
      <c r="D3139" s="14" t="s">
        <v>8531</v>
      </c>
      <c r="E3139" s="14" t="s">
        <v>7589</v>
      </c>
      <c r="F3139" s="14" t="s">
        <v>7590</v>
      </c>
      <c r="G3139" s="14" t="s">
        <v>37</v>
      </c>
      <c r="H3139" s="14" t="s">
        <v>1713</v>
      </c>
      <c r="I3139" s="14"/>
      <c r="J3139" s="14" t="s">
        <v>3096</v>
      </c>
      <c r="K3139" s="14"/>
      <c r="L3139" s="14" t="s">
        <v>7591</v>
      </c>
      <c r="M3139" s="14" t="s">
        <v>7592</v>
      </c>
      <c r="N3139" s="14" t="s">
        <v>7593</v>
      </c>
      <c r="O3139" s="14" t="s">
        <v>7594</v>
      </c>
      <c r="P3139" s="14" t="str">
        <f>HYPERLINK("https://ceds.ed.gov/cedselementdetails.aspx?termid=17250")</f>
        <v>https://ceds.ed.gov/cedselementdetails.aspx?termid=17250</v>
      </c>
      <c r="Q3139" s="14" t="str">
        <f>HYPERLINK("https://ceds.ed.gov/elementComment.aspx?elementName=School Courses for the Exchange of Data Sequence of Course &amp;elementID=17250", "Click here to submit comment")</f>
        <v>Click here to submit comment</v>
      </c>
      <c r="R3139" s="14">
        <v>49794</v>
      </c>
    </row>
    <row r="3140" spans="1:18" ht="105" x14ac:dyDescent="0.25">
      <c r="A3140" s="16" t="s">
        <v>9076</v>
      </c>
      <c r="B3140" s="16" t="s">
        <v>8944</v>
      </c>
      <c r="C3140" s="16"/>
      <c r="D3140" s="16" t="s">
        <v>8531</v>
      </c>
      <c r="E3140" s="16" t="s">
        <v>3066</v>
      </c>
      <c r="F3140" s="16" t="s">
        <v>3067</v>
      </c>
      <c r="G3140" s="16" t="s">
        <v>37</v>
      </c>
      <c r="H3140" s="16"/>
      <c r="I3140" s="16"/>
      <c r="J3140" s="16" t="s">
        <v>149</v>
      </c>
      <c r="K3140" s="16"/>
      <c r="L3140" s="14" t="s">
        <v>150</v>
      </c>
      <c r="M3140" s="16" t="s">
        <v>3068</v>
      </c>
      <c r="N3140" s="16"/>
      <c r="O3140" s="16" t="s">
        <v>3069</v>
      </c>
      <c r="P3140" s="16" t="str">
        <f>HYPERLINK("https://ceds.ed.gov/cedselementdetails.aspx?termid=17979")</f>
        <v>https://ceds.ed.gov/cedselementdetails.aspx?termid=17979</v>
      </c>
      <c r="Q3140" s="16" t="str">
        <f>HYPERLINK("https://ceds.ed.gov/elementComment.aspx?elementName=Course Section Identifier &amp;elementID=17979", "Click here to submit comment")</f>
        <v>Click here to submit comment</v>
      </c>
      <c r="R3140" s="16">
        <v>49814</v>
      </c>
    </row>
    <row r="3141" spans="1:18" x14ac:dyDescent="0.25">
      <c r="A3141" s="16"/>
      <c r="B3141" s="16"/>
      <c r="C3141" s="16"/>
      <c r="D3141" s="16"/>
      <c r="E3141" s="16"/>
      <c r="F3141" s="16"/>
      <c r="G3141" s="16"/>
      <c r="H3141" s="16"/>
      <c r="I3141" s="16"/>
      <c r="J3141" s="16"/>
      <c r="K3141" s="16"/>
      <c r="L3141" s="14"/>
      <c r="M3141" s="16"/>
      <c r="N3141" s="16"/>
      <c r="O3141" s="16"/>
      <c r="P3141" s="16"/>
      <c r="Q3141" s="16"/>
      <c r="R3141" s="16"/>
    </row>
    <row r="3142" spans="1:18" ht="90" x14ac:dyDescent="0.25">
      <c r="A3142" s="16"/>
      <c r="B3142" s="16"/>
      <c r="C3142" s="16"/>
      <c r="D3142" s="16"/>
      <c r="E3142" s="16"/>
      <c r="F3142" s="16"/>
      <c r="G3142" s="16"/>
      <c r="H3142" s="16"/>
      <c r="I3142" s="16"/>
      <c r="J3142" s="16"/>
      <c r="K3142" s="16"/>
      <c r="L3142" s="14" t="s">
        <v>153</v>
      </c>
      <c r="M3142" s="16"/>
      <c r="N3142" s="16"/>
      <c r="O3142" s="16"/>
      <c r="P3142" s="16"/>
      <c r="Q3142" s="16"/>
      <c r="R3142" s="16"/>
    </row>
    <row r="3143" spans="1:18" ht="75" x14ac:dyDescent="0.25">
      <c r="A3143" s="14" t="s">
        <v>9076</v>
      </c>
      <c r="B3143" s="14" t="s">
        <v>8944</v>
      </c>
      <c r="C3143" s="14"/>
      <c r="D3143" s="14" t="s">
        <v>8531</v>
      </c>
      <c r="E3143" s="14" t="s">
        <v>3079</v>
      </c>
      <c r="F3143" s="14" t="s">
        <v>3080</v>
      </c>
      <c r="G3143" s="14" t="s">
        <v>37</v>
      </c>
      <c r="H3143" s="14"/>
      <c r="I3143" s="14"/>
      <c r="J3143" s="14" t="s">
        <v>97</v>
      </c>
      <c r="K3143" s="14"/>
      <c r="L3143" s="14"/>
      <c r="M3143" s="14" t="s">
        <v>3081</v>
      </c>
      <c r="N3143" s="14"/>
      <c r="O3143" s="14" t="s">
        <v>3082</v>
      </c>
      <c r="P3143" s="14" t="str">
        <f>HYPERLINK("https://ceds.ed.gov/cedselementdetails.aspx?termid=18281")</f>
        <v>https://ceds.ed.gov/cedselementdetails.aspx?termid=18281</v>
      </c>
      <c r="Q3143" s="14" t="str">
        <f>HYPERLINK("https://ceds.ed.gov/elementComment.aspx?elementName=Course Section Number &amp;elementID=18281", "Click here to submit comment")</f>
        <v>Click here to submit comment</v>
      </c>
      <c r="R3143" s="14">
        <v>51535</v>
      </c>
    </row>
    <row r="3144" spans="1:18" ht="90" x14ac:dyDescent="0.25">
      <c r="A3144" s="14" t="s">
        <v>9076</v>
      </c>
      <c r="B3144" s="14" t="s">
        <v>8944</v>
      </c>
      <c r="C3144" s="14"/>
      <c r="D3144" s="14" t="s">
        <v>8531</v>
      </c>
      <c r="E3144" s="14" t="s">
        <v>3006</v>
      </c>
      <c r="F3144" s="14" t="s">
        <v>3007</v>
      </c>
      <c r="G3144" s="14" t="s">
        <v>37</v>
      </c>
      <c r="H3144" s="14"/>
      <c r="I3144" s="14"/>
      <c r="J3144" s="14" t="s">
        <v>97</v>
      </c>
      <c r="K3144" s="14"/>
      <c r="L3144" s="14"/>
      <c r="M3144" s="14" t="s">
        <v>3009</v>
      </c>
      <c r="N3144" s="14"/>
      <c r="O3144" s="14" t="s">
        <v>3010</v>
      </c>
      <c r="P3144" s="14" t="str">
        <f>HYPERLINK("https://ceds.ed.gov/cedselementdetails.aspx?termid=18280")</f>
        <v>https://ceds.ed.gov/cedselementdetails.aspx?termid=18280</v>
      </c>
      <c r="Q3144" s="14" t="str">
        <f>HYPERLINK("https://ceds.ed.gov/elementComment.aspx?elementName=Course Number &amp;elementID=18280", "Click here to submit comment")</f>
        <v>Click here to submit comment</v>
      </c>
      <c r="R3144" s="14">
        <v>51534</v>
      </c>
    </row>
    <row r="3145" spans="1:18" ht="105" x14ac:dyDescent="0.25">
      <c r="A3145" s="16" t="s">
        <v>9076</v>
      </c>
      <c r="B3145" s="16" t="s">
        <v>8944</v>
      </c>
      <c r="C3145" s="16"/>
      <c r="D3145" s="16" t="s">
        <v>8531</v>
      </c>
      <c r="E3145" s="16" t="s">
        <v>6582</v>
      </c>
      <c r="F3145" s="16" t="s">
        <v>6583</v>
      </c>
      <c r="G3145" s="16" t="s">
        <v>37</v>
      </c>
      <c r="H3145" s="16"/>
      <c r="I3145" s="16"/>
      <c r="J3145" s="16" t="s">
        <v>149</v>
      </c>
      <c r="K3145" s="16"/>
      <c r="L3145" s="14" t="s">
        <v>150</v>
      </c>
      <c r="M3145" s="16" t="s">
        <v>6584</v>
      </c>
      <c r="N3145" s="16"/>
      <c r="O3145" s="16" t="s">
        <v>6585</v>
      </c>
      <c r="P3145" s="16" t="str">
        <f>HYPERLINK("https://ceds.ed.gov/cedselementdetails.aspx?termid=18389")</f>
        <v>https://ceds.ed.gov/cedselementdetails.aspx?termid=18389</v>
      </c>
      <c r="Q3145" s="16" t="str">
        <f>HYPERLINK("https://ceds.ed.gov/elementComment.aspx?elementName=Original Course Identifier &amp;elementID=18389", "Click here to submit comment")</f>
        <v>Click here to submit comment</v>
      </c>
      <c r="R3145" s="16">
        <v>51536</v>
      </c>
    </row>
    <row r="3146" spans="1:18" x14ac:dyDescent="0.25">
      <c r="A3146" s="16"/>
      <c r="B3146" s="16"/>
      <c r="C3146" s="16"/>
      <c r="D3146" s="16"/>
      <c r="E3146" s="16"/>
      <c r="F3146" s="16"/>
      <c r="G3146" s="16"/>
      <c r="H3146" s="16"/>
      <c r="I3146" s="16"/>
      <c r="J3146" s="16"/>
      <c r="K3146" s="16"/>
      <c r="L3146" s="14"/>
      <c r="M3146" s="16"/>
      <c r="N3146" s="16"/>
      <c r="O3146" s="16"/>
      <c r="P3146" s="16"/>
      <c r="Q3146" s="16"/>
      <c r="R3146" s="16"/>
    </row>
    <row r="3147" spans="1:18" ht="90" x14ac:dyDescent="0.25">
      <c r="A3147" s="16"/>
      <c r="B3147" s="16"/>
      <c r="C3147" s="16"/>
      <c r="D3147" s="16"/>
      <c r="E3147" s="16"/>
      <c r="F3147" s="16"/>
      <c r="G3147" s="16"/>
      <c r="H3147" s="16"/>
      <c r="I3147" s="16"/>
      <c r="J3147" s="16"/>
      <c r="K3147" s="16"/>
      <c r="L3147" s="14" t="s">
        <v>153</v>
      </c>
      <c r="M3147" s="16"/>
      <c r="N3147" s="16"/>
      <c r="O3147" s="16"/>
      <c r="P3147" s="16"/>
      <c r="Q3147" s="16"/>
      <c r="R3147" s="16"/>
    </row>
    <row r="3148" spans="1:18" ht="45" x14ac:dyDescent="0.25">
      <c r="A3148" s="14" t="s">
        <v>9076</v>
      </c>
      <c r="B3148" s="14" t="s">
        <v>8944</v>
      </c>
      <c r="C3148" s="14"/>
      <c r="D3148" s="14" t="s">
        <v>8531</v>
      </c>
      <c r="E3148" s="14" t="s">
        <v>6628</v>
      </c>
      <c r="F3148" s="14" t="s">
        <v>6629</v>
      </c>
      <c r="G3148" s="14" t="s">
        <v>37</v>
      </c>
      <c r="H3148" s="14"/>
      <c r="I3148" s="14"/>
      <c r="J3148" s="14" t="s">
        <v>97</v>
      </c>
      <c r="K3148" s="14"/>
      <c r="L3148" s="14"/>
      <c r="M3148" s="14" t="s">
        <v>6630</v>
      </c>
      <c r="N3148" s="14"/>
      <c r="O3148" s="14" t="s">
        <v>6631</v>
      </c>
      <c r="P3148" s="14" t="str">
        <f>HYPERLINK("https://ceds.ed.gov/cedselementdetails.aspx?termid=18391")</f>
        <v>https://ceds.ed.gov/cedselementdetails.aspx?termid=18391</v>
      </c>
      <c r="Q3148" s="14" t="str">
        <f>HYPERLINK("https://ceds.ed.gov/elementComment.aspx?elementName=Override School Course Number &amp;elementID=18391", "Click here to submit comment")</f>
        <v>Click here to submit comment</v>
      </c>
      <c r="R3148" s="14">
        <v>51537</v>
      </c>
    </row>
    <row r="3149" spans="1:18" ht="120" x14ac:dyDescent="0.25">
      <c r="A3149" s="14" t="s">
        <v>9076</v>
      </c>
      <c r="B3149" s="14" t="s">
        <v>8944</v>
      </c>
      <c r="C3149" s="14"/>
      <c r="D3149" s="14" t="s">
        <v>8531</v>
      </c>
      <c r="E3149" s="14" t="s">
        <v>7712</v>
      </c>
      <c r="F3149" s="14" t="s">
        <v>7713</v>
      </c>
      <c r="G3149" s="14" t="s">
        <v>37</v>
      </c>
      <c r="H3149" s="14" t="s">
        <v>1713</v>
      </c>
      <c r="I3149" s="14"/>
      <c r="J3149" s="14" t="s">
        <v>135</v>
      </c>
      <c r="K3149" s="14"/>
      <c r="L3149" s="14"/>
      <c r="M3149" s="14" t="s">
        <v>7714</v>
      </c>
      <c r="N3149" s="14"/>
      <c r="O3149" s="14" t="s">
        <v>7715</v>
      </c>
      <c r="P3149" s="14" t="str">
        <f>HYPERLINK("https://ceds.ed.gov/cedselementdetails.aspx?termid=17251")</f>
        <v>https://ceds.ed.gov/cedselementdetails.aspx?termid=17251</v>
      </c>
      <c r="Q3149" s="14" t="str">
        <f>HYPERLINK("https://ceds.ed.gov/elementComment.aspx?elementName=Session Begin Date &amp;elementID=17251", "Click here to submit comment")</f>
        <v>Click here to submit comment</v>
      </c>
      <c r="R3149" s="14">
        <v>49801</v>
      </c>
    </row>
    <row r="3150" spans="1:18" ht="120" x14ac:dyDescent="0.25">
      <c r="A3150" s="14" t="s">
        <v>9076</v>
      </c>
      <c r="B3150" s="14" t="s">
        <v>8944</v>
      </c>
      <c r="C3150" s="14"/>
      <c r="D3150" s="14" t="s">
        <v>8531</v>
      </c>
      <c r="E3150" s="14" t="s">
        <v>7729</v>
      </c>
      <c r="F3150" s="14" t="s">
        <v>7730</v>
      </c>
      <c r="G3150" s="14" t="s">
        <v>37</v>
      </c>
      <c r="H3150" s="14" t="s">
        <v>1713</v>
      </c>
      <c r="I3150" s="14"/>
      <c r="J3150" s="14" t="s">
        <v>135</v>
      </c>
      <c r="K3150" s="14"/>
      <c r="L3150" s="14" t="s">
        <v>160</v>
      </c>
      <c r="M3150" s="14" t="s">
        <v>7731</v>
      </c>
      <c r="N3150" s="14"/>
      <c r="O3150" s="14" t="s">
        <v>7732</v>
      </c>
      <c r="P3150" s="14" t="str">
        <f>HYPERLINK("https://ceds.ed.gov/cedselementdetails.aspx?termid=17253")</f>
        <v>https://ceds.ed.gov/cedselementdetails.aspx?termid=17253</v>
      </c>
      <c r="Q3150" s="14" t="str">
        <f>HYPERLINK("https://ceds.ed.gov/elementComment.aspx?elementName=Session End Date &amp;elementID=17253", "Click here to submit comment")</f>
        <v>Click here to submit comment</v>
      </c>
      <c r="R3150" s="14">
        <v>49803</v>
      </c>
    </row>
    <row r="3151" spans="1:18" ht="45" x14ac:dyDescent="0.25">
      <c r="A3151" s="14" t="s">
        <v>9076</v>
      </c>
      <c r="B3151" s="14" t="s">
        <v>8944</v>
      </c>
      <c r="C3151" s="14"/>
      <c r="D3151" s="14" t="s">
        <v>8531</v>
      </c>
      <c r="E3151" s="14" t="s">
        <v>7724</v>
      </c>
      <c r="F3151" s="14" t="s">
        <v>7725</v>
      </c>
      <c r="G3151" s="14" t="s">
        <v>37</v>
      </c>
      <c r="H3151" s="14" t="s">
        <v>2232</v>
      </c>
      <c r="I3151" s="14"/>
      <c r="J3151" s="14" t="s">
        <v>3554</v>
      </c>
      <c r="K3151" s="14"/>
      <c r="L3151" s="14"/>
      <c r="M3151" s="14" t="s">
        <v>7727</v>
      </c>
      <c r="N3151" s="14"/>
      <c r="O3151" s="14" t="s">
        <v>7728</v>
      </c>
      <c r="P3151" s="14" t="str">
        <f>HYPERLINK("https://ceds.ed.gov/cedselementdetails.aspx?termid=17252")</f>
        <v>https://ceds.ed.gov/cedselementdetails.aspx?termid=17252</v>
      </c>
      <c r="Q3151" s="14" t="str">
        <f>HYPERLINK("https://ceds.ed.gov/elementComment.aspx?elementName=Session Designator &amp;elementID=17252", "Click here to submit comment")</f>
        <v>Click here to submit comment</v>
      </c>
      <c r="R3151" s="14">
        <v>49802</v>
      </c>
    </row>
    <row r="3152" spans="1:18" ht="180" x14ac:dyDescent="0.25">
      <c r="A3152" s="14" t="s">
        <v>9076</v>
      </c>
      <c r="B3152" s="14" t="s">
        <v>8944</v>
      </c>
      <c r="C3152" s="14"/>
      <c r="D3152" s="14" t="s">
        <v>8531</v>
      </c>
      <c r="E3152" s="14" t="s">
        <v>7750</v>
      </c>
      <c r="F3152" s="14" t="s">
        <v>7751</v>
      </c>
      <c r="G3152" s="8" t="s">
        <v>8787</v>
      </c>
      <c r="H3152" s="14" t="s">
        <v>1713</v>
      </c>
      <c r="I3152" s="14"/>
      <c r="J3152" s="14"/>
      <c r="K3152" s="14"/>
      <c r="L3152" s="14"/>
      <c r="M3152" s="14" t="s">
        <v>7754</v>
      </c>
      <c r="N3152" s="14"/>
      <c r="O3152" s="14" t="s">
        <v>7755</v>
      </c>
      <c r="P3152" s="14" t="str">
        <f>HYPERLINK("https://ceds.ed.gov/cedselementdetails.aspx?termid=17254")</f>
        <v>https://ceds.ed.gov/cedselementdetails.aspx?termid=17254</v>
      </c>
      <c r="Q3152" s="14" t="str">
        <f>HYPERLINK("https://ceds.ed.gov/elementComment.aspx?elementName=Session Type &amp;elementID=17254", "Click here to submit comment")</f>
        <v>Click here to submit comment</v>
      </c>
      <c r="R3152" s="14">
        <v>49804</v>
      </c>
    </row>
    <row r="3153" spans="1:18" ht="60" x14ac:dyDescent="0.25">
      <c r="A3153" s="14" t="s">
        <v>9076</v>
      </c>
      <c r="B3153" s="14" t="s">
        <v>8944</v>
      </c>
      <c r="C3153" s="14"/>
      <c r="D3153" s="14" t="s">
        <v>8531</v>
      </c>
      <c r="E3153" s="14" t="s">
        <v>7716</v>
      </c>
      <c r="F3153" s="14" t="s">
        <v>7717</v>
      </c>
      <c r="G3153" s="14" t="s">
        <v>37</v>
      </c>
      <c r="H3153" s="14"/>
      <c r="I3153" s="14"/>
      <c r="J3153" s="14" t="s">
        <v>97</v>
      </c>
      <c r="K3153" s="14"/>
      <c r="L3153" s="14"/>
      <c r="M3153" s="14" t="s">
        <v>7718</v>
      </c>
      <c r="N3153" s="14"/>
      <c r="O3153" s="14" t="s">
        <v>7719</v>
      </c>
      <c r="P3153" s="14" t="str">
        <f>HYPERLINK("https://ceds.ed.gov/cedselementdetails.aspx?termid=18236")</f>
        <v>https://ceds.ed.gov/cedselementdetails.aspx?termid=18236</v>
      </c>
      <c r="Q3153" s="14" t="str">
        <f>HYPERLINK("https://ceds.ed.gov/elementComment.aspx?elementName=Session Code &amp;elementID=18236", "Click here to submit comment")</f>
        <v>Click here to submit comment</v>
      </c>
      <c r="R3153" s="14">
        <v>51553</v>
      </c>
    </row>
    <row r="3154" spans="1:18" ht="45" x14ac:dyDescent="0.25">
      <c r="A3154" s="14" t="s">
        <v>9076</v>
      </c>
      <c r="B3154" s="14" t="s">
        <v>8944</v>
      </c>
      <c r="C3154" s="14"/>
      <c r="D3154" s="14" t="s">
        <v>8531</v>
      </c>
      <c r="E3154" s="14" t="s">
        <v>7720</v>
      </c>
      <c r="F3154" s="14" t="s">
        <v>7721</v>
      </c>
      <c r="G3154" s="14" t="s">
        <v>37</v>
      </c>
      <c r="H3154" s="14"/>
      <c r="I3154" s="14"/>
      <c r="J3154" s="14" t="s">
        <v>382</v>
      </c>
      <c r="K3154" s="14"/>
      <c r="L3154" s="14"/>
      <c r="M3154" s="14" t="s">
        <v>7722</v>
      </c>
      <c r="N3154" s="14"/>
      <c r="O3154" s="14" t="s">
        <v>7723</v>
      </c>
      <c r="P3154" s="14" t="str">
        <f>HYPERLINK("https://ceds.ed.gov/cedselementdetails.aspx?termid=18237")</f>
        <v>https://ceds.ed.gov/cedselementdetails.aspx?termid=18237</v>
      </c>
      <c r="Q3154" s="14" t="str">
        <f>HYPERLINK("https://ceds.ed.gov/elementComment.aspx?elementName=Session Description &amp;elementID=18237", "Click here to submit comment")</f>
        <v>Click here to submit comment</v>
      </c>
      <c r="R3154" s="14">
        <v>51554</v>
      </c>
    </row>
    <row r="3155" spans="1:18" ht="409.5" x14ac:dyDescent="0.25">
      <c r="A3155" s="14" t="s">
        <v>9076</v>
      </c>
      <c r="B3155" s="14" t="s">
        <v>8944</v>
      </c>
      <c r="C3155" s="14"/>
      <c r="D3155" s="14" t="s">
        <v>8531</v>
      </c>
      <c r="E3155" s="14" t="s">
        <v>355</v>
      </c>
      <c r="F3155" s="14" t="s">
        <v>356</v>
      </c>
      <c r="G3155" s="8" t="s">
        <v>8941</v>
      </c>
      <c r="H3155" s="14"/>
      <c r="I3155" s="14"/>
      <c r="J3155" s="14" t="s">
        <v>175</v>
      </c>
      <c r="K3155" s="14"/>
      <c r="L3155" s="14"/>
      <c r="M3155" s="14" t="s">
        <v>359</v>
      </c>
      <c r="N3155" s="14" t="s">
        <v>360</v>
      </c>
      <c r="O3155" s="14" t="s">
        <v>361</v>
      </c>
      <c r="P3155" s="14" t="str">
        <f>HYPERLINK("https://ceds.ed.gov/cedselementdetails.aspx?termid=18244")</f>
        <v>https://ceds.ed.gov/cedselementdetails.aspx?termid=18244</v>
      </c>
      <c r="Q3155" s="14" t="str">
        <f>HYPERLINK("https://ceds.ed.gov/elementComment.aspx?elementName=Advanced Placement Course Code &amp;elementID=18244", "Click here to submit comment")</f>
        <v>Click here to submit comment</v>
      </c>
      <c r="R3155" s="14">
        <v>51524</v>
      </c>
    </row>
    <row r="3156" spans="1:18" ht="45" x14ac:dyDescent="0.25">
      <c r="A3156" s="14" t="s">
        <v>9076</v>
      </c>
      <c r="B3156" s="14" t="s">
        <v>8944</v>
      </c>
      <c r="C3156" s="14"/>
      <c r="D3156" s="14" t="s">
        <v>8531</v>
      </c>
      <c r="E3156" s="14" t="s">
        <v>2936</v>
      </c>
      <c r="F3156" s="14" t="s">
        <v>2937</v>
      </c>
      <c r="G3156" s="14" t="s">
        <v>37</v>
      </c>
      <c r="H3156" s="14"/>
      <c r="I3156" s="14"/>
      <c r="J3156" s="14" t="s">
        <v>175</v>
      </c>
      <c r="K3156" s="14"/>
      <c r="L3156" s="14"/>
      <c r="M3156" s="14" t="s">
        <v>2938</v>
      </c>
      <c r="N3156" s="14"/>
      <c r="O3156" s="14" t="s">
        <v>2939</v>
      </c>
      <c r="P3156" s="14" t="str">
        <f>HYPERLINK("https://ceds.ed.gov/cedselementdetails.aspx?termid=17508")</f>
        <v>https://ceds.ed.gov/cedselementdetails.aspx?termid=17508</v>
      </c>
      <c r="Q3156" s="14" t="str">
        <f>HYPERLINK("https://ceds.ed.gov/elementComment.aspx?elementName=Course Description &amp;elementID=17508", "Click here to submit comment")</f>
        <v>Click here to submit comment</v>
      </c>
      <c r="R3156" s="14">
        <v>51541</v>
      </c>
    </row>
    <row r="3157" spans="1:18" ht="409.5" x14ac:dyDescent="0.25">
      <c r="A3157" s="14" t="s">
        <v>9076</v>
      </c>
      <c r="B3157" s="14" t="s">
        <v>8944</v>
      </c>
      <c r="C3157" s="14"/>
      <c r="D3157" s="14" t="s">
        <v>8531</v>
      </c>
      <c r="E3157" s="14" t="s">
        <v>2915</v>
      </c>
      <c r="F3157" s="14" t="s">
        <v>2916</v>
      </c>
      <c r="G3157" s="8" t="s">
        <v>9072</v>
      </c>
      <c r="H3157" s="14"/>
      <c r="I3157" s="14"/>
      <c r="J3157" s="14"/>
      <c r="K3157" s="14"/>
      <c r="L3157" s="14"/>
      <c r="M3157" s="14" t="s">
        <v>2918</v>
      </c>
      <c r="N3157" s="14"/>
      <c r="O3157" s="14" t="s">
        <v>2919</v>
      </c>
      <c r="P3157" s="14" t="str">
        <f>HYPERLINK("https://ceds.ed.gov/cedselementdetails.aspx?termid=18269")</f>
        <v>https://ceds.ed.gov/cedselementdetails.aspx?termid=18269</v>
      </c>
      <c r="Q3157" s="14" t="str">
        <f>HYPERLINK("https://ceds.ed.gov/elementComment.aspx?elementName=Course Credit Basis Type &amp;elementID=18269", "Click here to submit comment")</f>
        <v>Click here to submit comment</v>
      </c>
      <c r="R3157" s="14">
        <v>51526</v>
      </c>
    </row>
    <row r="3158" spans="1:18" ht="255" x14ac:dyDescent="0.25">
      <c r="A3158" s="14" t="s">
        <v>9076</v>
      </c>
      <c r="B3158" s="14" t="s">
        <v>8944</v>
      </c>
      <c r="C3158" s="14"/>
      <c r="D3158" s="14" t="s">
        <v>8531</v>
      </c>
      <c r="E3158" s="14" t="s">
        <v>2920</v>
      </c>
      <c r="F3158" s="14" t="s">
        <v>2921</v>
      </c>
      <c r="G3158" s="8" t="s">
        <v>9073</v>
      </c>
      <c r="H3158" s="14"/>
      <c r="I3158" s="14"/>
      <c r="J3158" s="14"/>
      <c r="K3158" s="14"/>
      <c r="L3158" s="14"/>
      <c r="M3158" s="14" t="s">
        <v>2923</v>
      </c>
      <c r="N3158" s="14"/>
      <c r="O3158" s="14" t="s">
        <v>2924</v>
      </c>
      <c r="P3158" s="14" t="str">
        <f>HYPERLINK("https://ceds.ed.gov/cedselementdetails.aspx?termid=18270")</f>
        <v>https://ceds.ed.gov/cedselementdetails.aspx?termid=18270</v>
      </c>
      <c r="Q3158" s="14" t="str">
        <f>HYPERLINK("https://ceds.ed.gov/elementComment.aspx?elementName=Course Credit Level Type &amp;elementID=18270", "Click here to submit comment")</f>
        <v>Click here to submit comment</v>
      </c>
      <c r="R3158" s="14">
        <v>51527</v>
      </c>
    </row>
    <row r="3159" spans="1:18" ht="409.5" x14ac:dyDescent="0.25">
      <c r="A3159" s="14" t="s">
        <v>9076</v>
      </c>
      <c r="B3159" s="14" t="s">
        <v>8944</v>
      </c>
      <c r="C3159" s="14"/>
      <c r="D3159" s="14" t="s">
        <v>8531</v>
      </c>
      <c r="E3159" s="14" t="s">
        <v>2894</v>
      </c>
      <c r="F3159" s="14" t="s">
        <v>2895</v>
      </c>
      <c r="G3159" s="8" t="s">
        <v>8938</v>
      </c>
      <c r="H3159" s="14"/>
      <c r="I3159" s="14"/>
      <c r="J3159" s="14"/>
      <c r="K3159" s="14"/>
      <c r="L3159" s="14" t="s">
        <v>2898</v>
      </c>
      <c r="M3159" s="14" t="s">
        <v>2899</v>
      </c>
      <c r="N3159" s="14"/>
      <c r="O3159" s="14" t="s">
        <v>2900</v>
      </c>
      <c r="P3159" s="14" t="str">
        <f>HYPERLINK("https://ceds.ed.gov/cedselementdetails.aspx?termid=18267")</f>
        <v>https://ceds.ed.gov/cedselementdetails.aspx?termid=18267</v>
      </c>
      <c r="Q3159" s="14" t="str">
        <f>HYPERLINK("https://ceds.ed.gov/elementComment.aspx?elementName=Course Applicable Education Level &amp;elementID=18267", "Click here to submit comment")</f>
        <v>Click here to submit comment</v>
      </c>
      <c r="R3159" s="14">
        <v>51546</v>
      </c>
    </row>
    <row r="3160" spans="1:18" ht="390" x14ac:dyDescent="0.25">
      <c r="A3160" s="14" t="s">
        <v>9076</v>
      </c>
      <c r="B3160" s="14" t="s">
        <v>8944</v>
      </c>
      <c r="C3160" s="14"/>
      <c r="D3160" s="14" t="s">
        <v>8531</v>
      </c>
      <c r="E3160" s="14" t="s">
        <v>2996</v>
      </c>
      <c r="F3160" s="14" t="s">
        <v>2997</v>
      </c>
      <c r="G3160" s="8" t="s">
        <v>8948</v>
      </c>
      <c r="H3160" s="14"/>
      <c r="I3160" s="14"/>
      <c r="J3160" s="14"/>
      <c r="K3160" s="14"/>
      <c r="L3160" s="14"/>
      <c r="M3160" s="14" t="s">
        <v>3000</v>
      </c>
      <c r="N3160" s="14"/>
      <c r="O3160" s="14" t="s">
        <v>3001</v>
      </c>
      <c r="P3160" s="14" t="str">
        <f>HYPERLINK("https://ceds.ed.gov/cedselementdetails.aspx?termid=18278")</f>
        <v>https://ceds.ed.gov/cedselementdetails.aspx?termid=18278</v>
      </c>
      <c r="Q3160" s="14" t="str">
        <f>HYPERLINK("https://ceds.ed.gov/elementComment.aspx?elementName=Course Level Type &amp;elementID=18278", "Click here to submit comment")</f>
        <v>Click here to submit comment</v>
      </c>
      <c r="R3160" s="14">
        <v>51532</v>
      </c>
    </row>
    <row r="3161" spans="1:18" ht="150" x14ac:dyDescent="0.25">
      <c r="A3161" s="14" t="s">
        <v>9076</v>
      </c>
      <c r="B3161" s="14" t="s">
        <v>8944</v>
      </c>
      <c r="C3161" s="14"/>
      <c r="D3161" s="14" t="s">
        <v>8531</v>
      </c>
      <c r="E3161" s="14" t="s">
        <v>2873</v>
      </c>
      <c r="F3161" s="14" t="s">
        <v>2874</v>
      </c>
      <c r="G3161" s="14" t="s">
        <v>37</v>
      </c>
      <c r="H3161" s="14"/>
      <c r="I3161" s="14"/>
      <c r="J3161" s="14" t="s">
        <v>2876</v>
      </c>
      <c r="K3161" s="14"/>
      <c r="L3161" s="14" t="s">
        <v>2877</v>
      </c>
      <c r="M3161" s="14" t="s">
        <v>2878</v>
      </c>
      <c r="N3161" s="14"/>
      <c r="O3161" s="14" t="s">
        <v>2879</v>
      </c>
      <c r="P3161" s="14" t="str">
        <f>HYPERLINK("https://ceds.ed.gov/cedselementdetails.aspx?termid=18264")</f>
        <v>https://ceds.ed.gov/cedselementdetails.aspx?termid=18264</v>
      </c>
      <c r="Q3161" s="14" t="str">
        <f>HYPERLINK("https://ceds.ed.gov/elementComment.aspx?elementName=Course Academic Grade Scale Code &amp;elementID=18264", "Click here to submit comment")</f>
        <v>Click here to submit comment</v>
      </c>
      <c r="R3161" s="14">
        <v>51525</v>
      </c>
    </row>
    <row r="3162" spans="1:18" ht="45" x14ac:dyDescent="0.25">
      <c r="A3162" s="14" t="s">
        <v>9076</v>
      </c>
      <c r="B3162" s="14" t="s">
        <v>8944</v>
      </c>
      <c r="C3162" s="14"/>
      <c r="D3162" s="14" t="s">
        <v>8531</v>
      </c>
      <c r="E3162" s="14" t="s">
        <v>2961</v>
      </c>
      <c r="F3162" s="14" t="s">
        <v>2962</v>
      </c>
      <c r="G3162" s="8" t="s">
        <v>9071</v>
      </c>
      <c r="H3162" s="14"/>
      <c r="I3162" s="14"/>
      <c r="J3162" s="14"/>
      <c r="K3162" s="14"/>
      <c r="L3162" s="14"/>
      <c r="M3162" s="14" t="s">
        <v>2964</v>
      </c>
      <c r="N3162" s="14"/>
      <c r="O3162" s="14" t="s">
        <v>2965</v>
      </c>
      <c r="P3162" s="14" t="str">
        <f>HYPERLINK("https://ceds.ed.gov/cedselementdetails.aspx?termid=18273")</f>
        <v>https://ceds.ed.gov/cedselementdetails.aspx?termid=18273</v>
      </c>
      <c r="Q3162" s="14" t="str">
        <f>HYPERLINK("https://ceds.ed.gov/elementComment.aspx?elementName=Course Honors Type &amp;elementID=18273", "Click here to submit comment")</f>
        <v>Click here to submit comment</v>
      </c>
      <c r="R3162" s="14">
        <v>51528</v>
      </c>
    </row>
    <row r="3163" spans="1:18" ht="360" x14ac:dyDescent="0.25">
      <c r="A3163" s="14" t="s">
        <v>9076</v>
      </c>
      <c r="B3163" s="14" t="s">
        <v>8944</v>
      </c>
      <c r="C3163" s="14"/>
      <c r="D3163" s="14" t="s">
        <v>8531</v>
      </c>
      <c r="E3163" s="14" t="s">
        <v>2182</v>
      </c>
      <c r="F3163" s="14" t="s">
        <v>2183</v>
      </c>
      <c r="G3163" s="8" t="s">
        <v>8942</v>
      </c>
      <c r="H3163" s="14"/>
      <c r="I3163" s="14"/>
      <c r="J3163" s="14"/>
      <c r="K3163" s="14"/>
      <c r="L3163" s="14" t="s">
        <v>2186</v>
      </c>
      <c r="M3163" s="14" t="s">
        <v>2187</v>
      </c>
      <c r="N3163" s="14"/>
      <c r="O3163" s="14" t="s">
        <v>2188</v>
      </c>
      <c r="P3163" s="14" t="str">
        <f>HYPERLINK("https://ceds.ed.gov/cedselementdetails.aspx?termid=18254")</f>
        <v>https://ceds.ed.gov/cedselementdetails.aspx?termid=18254</v>
      </c>
      <c r="Q3163" s="14" t="str">
        <f>HYPERLINK("https://ceds.ed.gov/elementComment.aspx?elementName=Career Cluster &amp;elementID=18254", "Click here to submit comment")</f>
        <v>Click here to submit comment</v>
      </c>
      <c r="R3163" s="14">
        <v>51545</v>
      </c>
    </row>
    <row r="3164" spans="1:18" ht="45" x14ac:dyDescent="0.25">
      <c r="A3164" s="14" t="s">
        <v>9076</v>
      </c>
      <c r="B3164" s="14" t="s">
        <v>8944</v>
      </c>
      <c r="C3164" s="14"/>
      <c r="D3164" s="14" t="s">
        <v>8531</v>
      </c>
      <c r="E3164" s="14" t="s">
        <v>2890</v>
      </c>
      <c r="F3164" s="14" t="s">
        <v>2891</v>
      </c>
      <c r="G3164" s="14" t="s">
        <v>24</v>
      </c>
      <c r="H3164" s="14"/>
      <c r="I3164" s="14"/>
      <c r="J3164" s="14"/>
      <c r="K3164" s="14"/>
      <c r="L3164" s="14"/>
      <c r="M3164" s="14" t="s">
        <v>2892</v>
      </c>
      <c r="N3164" s="14"/>
      <c r="O3164" s="14" t="s">
        <v>2893</v>
      </c>
      <c r="P3164" s="14" t="str">
        <f>HYPERLINK("https://ceds.ed.gov/cedselementdetails.aspx?termid=17013")</f>
        <v>https://ceds.ed.gov/cedselementdetails.aspx?termid=17013</v>
      </c>
      <c r="Q3164" s="14" t="str">
        <f>HYPERLINK("https://ceds.ed.gov/elementComment.aspx?elementName=Course Aligned with Standards &amp;elementID=17013", "Click here to submit comment")</f>
        <v>Click here to submit comment</v>
      </c>
      <c r="R3164" s="14">
        <v>49824</v>
      </c>
    </row>
    <row r="3165" spans="1:18" ht="45" x14ac:dyDescent="0.25">
      <c r="A3165" s="14" t="s">
        <v>9076</v>
      </c>
      <c r="B3165" s="14" t="s">
        <v>8944</v>
      </c>
      <c r="C3165" s="14"/>
      <c r="D3165" s="14" t="s">
        <v>8531</v>
      </c>
      <c r="E3165" s="14" t="s">
        <v>7738</v>
      </c>
      <c r="F3165" s="14" t="s">
        <v>7739</v>
      </c>
      <c r="G3165" s="14" t="s">
        <v>24</v>
      </c>
      <c r="H3165" s="14"/>
      <c r="I3165" s="14"/>
      <c r="J3165" s="14"/>
      <c r="K3165" s="14"/>
      <c r="L3165" s="14"/>
      <c r="M3165" s="14" t="s">
        <v>7740</v>
      </c>
      <c r="N3165" s="14"/>
      <c r="O3165" s="14" t="s">
        <v>7741</v>
      </c>
      <c r="P3165" s="14" t="str">
        <f>HYPERLINK("https://ceds.ed.gov/cedselementdetails.aspx?termid=18238")</f>
        <v>https://ceds.ed.gov/cedselementdetails.aspx?termid=18238</v>
      </c>
      <c r="Q3165" s="14" t="str">
        <f>HYPERLINK("https://ceds.ed.gov/elementComment.aspx?elementName=Session Marking Term Indicator &amp;elementID=18238", "Click here to submit comment")</f>
        <v>Click here to submit comment</v>
      </c>
      <c r="R3165" s="14">
        <v>51555</v>
      </c>
    </row>
    <row r="3166" spans="1:18" ht="45" x14ac:dyDescent="0.25">
      <c r="A3166" s="14" t="s">
        <v>9076</v>
      </c>
      <c r="B3166" s="14" t="s">
        <v>8944</v>
      </c>
      <c r="C3166" s="14"/>
      <c r="D3166" s="14" t="s">
        <v>8531</v>
      </c>
      <c r="E3166" s="14" t="s">
        <v>7742</v>
      </c>
      <c r="F3166" s="14" t="s">
        <v>7743</v>
      </c>
      <c r="G3166" s="14" t="s">
        <v>24</v>
      </c>
      <c r="H3166" s="14"/>
      <c r="I3166" s="14"/>
      <c r="J3166" s="14"/>
      <c r="K3166" s="14"/>
      <c r="L3166" s="14"/>
      <c r="M3166" s="14" t="s">
        <v>7744</v>
      </c>
      <c r="N3166" s="14"/>
      <c r="O3166" s="14" t="s">
        <v>7745</v>
      </c>
      <c r="P3166" s="14" t="str">
        <f>HYPERLINK("https://ceds.ed.gov/cedselementdetails.aspx?termid=18239")</f>
        <v>https://ceds.ed.gov/cedselementdetails.aspx?termid=18239</v>
      </c>
      <c r="Q3166" s="14" t="str">
        <f>HYPERLINK("https://ceds.ed.gov/elementComment.aspx?elementName=Session Scheduling Term Indicator &amp;elementID=18239", "Click here to submit comment")</f>
        <v>Click here to submit comment</v>
      </c>
      <c r="R3166" s="14">
        <v>51556</v>
      </c>
    </row>
    <row r="3167" spans="1:18" ht="45" x14ac:dyDescent="0.25">
      <c r="A3167" s="14" t="s">
        <v>9076</v>
      </c>
      <c r="B3167" s="14" t="s">
        <v>8944</v>
      </c>
      <c r="C3167" s="14"/>
      <c r="D3167" s="14" t="s">
        <v>8531</v>
      </c>
      <c r="E3167" s="14" t="s">
        <v>7707</v>
      </c>
      <c r="F3167" s="14" t="s">
        <v>7708</v>
      </c>
      <c r="G3167" s="14" t="s">
        <v>24</v>
      </c>
      <c r="H3167" s="14"/>
      <c r="I3167" s="14"/>
      <c r="J3167" s="14"/>
      <c r="K3167" s="14"/>
      <c r="L3167" s="14"/>
      <c r="M3167" s="14" t="s">
        <v>7710</v>
      </c>
      <c r="N3167" s="14"/>
      <c r="O3167" s="14" t="s">
        <v>7711</v>
      </c>
      <c r="P3167" s="14" t="str">
        <f>HYPERLINK("https://ceds.ed.gov/cedselementdetails.aspx?termid=18240")</f>
        <v>https://ceds.ed.gov/cedselementdetails.aspx?termid=18240</v>
      </c>
      <c r="Q3167" s="14" t="str">
        <f>HYPERLINK("https://ceds.ed.gov/elementComment.aspx?elementName=Session Attendance Term Indicator &amp;elementID=18240", "Click here to submit comment")</f>
        <v>Click here to submit comment</v>
      </c>
      <c r="R3167" s="14">
        <v>51557</v>
      </c>
    </row>
    <row r="3168" spans="1:18" ht="165" x14ac:dyDescent="0.25">
      <c r="A3168" s="14" t="s">
        <v>9076</v>
      </c>
      <c r="B3168" s="14" t="s">
        <v>8944</v>
      </c>
      <c r="C3168" s="14"/>
      <c r="D3168" s="14" t="s">
        <v>8531</v>
      </c>
      <c r="E3168" s="14" t="s">
        <v>3089</v>
      </c>
      <c r="F3168" s="14" t="s">
        <v>3090</v>
      </c>
      <c r="G3168" s="14" t="s">
        <v>37</v>
      </c>
      <c r="H3168" s="14" t="s">
        <v>3093</v>
      </c>
      <c r="I3168" s="14"/>
      <c r="J3168" s="14" t="s">
        <v>370</v>
      </c>
      <c r="K3168" s="14"/>
      <c r="L3168" s="14"/>
      <c r="M3168" s="14" t="s">
        <v>3091</v>
      </c>
      <c r="N3168" s="14"/>
      <c r="O3168" s="14" t="s">
        <v>3092</v>
      </c>
      <c r="P3168" s="14" t="str">
        <f>HYPERLINK("https://ceds.ed.gov/cedselementdetails.aspx?termid=17101")</f>
        <v>https://ceds.ed.gov/cedselementdetails.aspx?termid=17101</v>
      </c>
      <c r="Q3168" s="14" t="str">
        <f>HYPERLINK("https://ceds.ed.gov/elementComment.aspx?elementName=Course Section Time Required for Completion &amp;elementID=17101", "Click here to submit comment")</f>
        <v>Click here to submit comment</v>
      </c>
      <c r="R3168" s="14">
        <v>49817</v>
      </c>
    </row>
    <row r="3169" spans="1:18" ht="210" x14ac:dyDescent="0.25">
      <c r="A3169" s="14" t="s">
        <v>9076</v>
      </c>
      <c r="B3169" s="14" t="s">
        <v>8944</v>
      </c>
      <c r="C3169" s="14"/>
      <c r="D3169" s="14" t="s">
        <v>8531</v>
      </c>
      <c r="E3169" s="14" t="s">
        <v>3019</v>
      </c>
      <c r="F3169" s="14" t="s">
        <v>3020</v>
      </c>
      <c r="G3169" s="8" t="s">
        <v>8835</v>
      </c>
      <c r="H3169" s="14" t="s">
        <v>72</v>
      </c>
      <c r="I3169" s="14"/>
      <c r="J3169" s="14"/>
      <c r="K3169" s="14"/>
      <c r="L3169" s="14"/>
      <c r="M3169" s="14" t="s">
        <v>3023</v>
      </c>
      <c r="N3169" s="14"/>
      <c r="O3169" s="14" t="s">
        <v>3024</v>
      </c>
      <c r="P3169" s="14" t="str">
        <f>HYPERLINK("https://ceds.ed.gov/cedselementdetails.aspx?termid=17065")</f>
        <v>https://ceds.ed.gov/cedselementdetails.aspx?termid=17065</v>
      </c>
      <c r="Q3169" s="14" t="str">
        <f>HYPERLINK("https://ceds.ed.gov/elementComment.aspx?elementName=Course Repeat Code &amp;elementID=17065", "Click here to submit comment")</f>
        <v>Click here to submit comment</v>
      </c>
      <c r="R3169" s="14">
        <v>51523</v>
      </c>
    </row>
    <row r="3170" spans="1:18" ht="45" x14ac:dyDescent="0.25">
      <c r="A3170" s="14" t="s">
        <v>9076</v>
      </c>
      <c r="B3170" s="14" t="s">
        <v>8944</v>
      </c>
      <c r="C3170" s="14"/>
      <c r="D3170" s="14" t="s">
        <v>8531</v>
      </c>
      <c r="E3170" s="14" t="s">
        <v>2341</v>
      </c>
      <c r="F3170" s="14" t="s">
        <v>2342</v>
      </c>
      <c r="G3170" s="14" t="s">
        <v>37</v>
      </c>
      <c r="H3170" s="14" t="s">
        <v>2346</v>
      </c>
      <c r="I3170" s="14"/>
      <c r="J3170" s="14" t="s">
        <v>501</v>
      </c>
      <c r="K3170" s="14"/>
      <c r="L3170" s="14"/>
      <c r="M3170" s="14" t="s">
        <v>2344</v>
      </c>
      <c r="N3170" s="14"/>
      <c r="O3170" s="14" t="s">
        <v>2345</v>
      </c>
      <c r="P3170" s="14" t="str">
        <f>HYPERLINK("https://ceds.ed.gov/cedselementdetails.aspx?termid=17510")</f>
        <v>https://ceds.ed.gov/cedselementdetails.aspx?termid=17510</v>
      </c>
      <c r="Q3170" s="14" t="str">
        <f>HYPERLINK("https://ceds.ed.gov/elementComment.aspx?elementName=Class Beginning Time &amp;elementID=17510", "Click here to submit comment")</f>
        <v>Click here to submit comment</v>
      </c>
      <c r="R3170" s="14">
        <v>49808</v>
      </c>
    </row>
    <row r="3171" spans="1:18" ht="45" x14ac:dyDescent="0.25">
      <c r="A3171" s="14" t="s">
        <v>9076</v>
      </c>
      <c r="B3171" s="14" t="s">
        <v>8944</v>
      </c>
      <c r="C3171" s="14"/>
      <c r="D3171" s="14" t="s">
        <v>8531</v>
      </c>
      <c r="E3171" s="14" t="s">
        <v>2347</v>
      </c>
      <c r="F3171" s="14" t="s">
        <v>2348</v>
      </c>
      <c r="G3171" s="14" t="s">
        <v>37</v>
      </c>
      <c r="H3171" s="14" t="s">
        <v>2346</v>
      </c>
      <c r="I3171" s="14"/>
      <c r="J3171" s="14" t="s">
        <v>501</v>
      </c>
      <c r="K3171" s="14"/>
      <c r="L3171" s="14"/>
      <c r="M3171" s="14" t="s">
        <v>2349</v>
      </c>
      <c r="N3171" s="14"/>
      <c r="O3171" s="14" t="s">
        <v>2350</v>
      </c>
      <c r="P3171" s="14" t="str">
        <f>HYPERLINK("https://ceds.ed.gov/cedselementdetails.aspx?termid=17511")</f>
        <v>https://ceds.ed.gov/cedselementdetails.aspx?termid=17511</v>
      </c>
      <c r="Q3171" s="14" t="str">
        <f>HYPERLINK("https://ceds.ed.gov/elementComment.aspx?elementName=Class Ending Time &amp;elementID=17511", "Click here to submit comment")</f>
        <v>Click here to submit comment</v>
      </c>
      <c r="R3171" s="14">
        <v>49809</v>
      </c>
    </row>
    <row r="3172" spans="1:18" ht="60" x14ac:dyDescent="0.25">
      <c r="A3172" s="14" t="s">
        <v>9076</v>
      </c>
      <c r="B3172" s="14" t="s">
        <v>8944</v>
      </c>
      <c r="C3172" s="14"/>
      <c r="D3172" s="14" t="s">
        <v>8531</v>
      </c>
      <c r="E3172" s="14" t="s">
        <v>2351</v>
      </c>
      <c r="F3172" s="14" t="s">
        <v>2352</v>
      </c>
      <c r="G3172" s="14" t="s">
        <v>37</v>
      </c>
      <c r="H3172" s="14"/>
      <c r="I3172" s="14"/>
      <c r="J3172" s="14" t="s">
        <v>175</v>
      </c>
      <c r="K3172" s="14"/>
      <c r="L3172" s="14"/>
      <c r="M3172" s="14" t="s">
        <v>2354</v>
      </c>
      <c r="N3172" s="14"/>
      <c r="O3172" s="14" t="s">
        <v>2355</v>
      </c>
      <c r="P3172" s="14" t="str">
        <f>HYPERLINK("https://ceds.ed.gov/cedselementdetails.aspx?termid=17512")</f>
        <v>https://ceds.ed.gov/cedselementdetails.aspx?termid=17512</v>
      </c>
      <c r="Q3172" s="14" t="str">
        <f>HYPERLINK("https://ceds.ed.gov/elementComment.aspx?elementName=Class Meeting Days &amp;elementID=17512", "Click here to submit comment")</f>
        <v>Click here to submit comment</v>
      </c>
      <c r="R3172" s="14">
        <v>49810</v>
      </c>
    </row>
    <row r="3173" spans="1:18" ht="75" x14ac:dyDescent="0.25">
      <c r="A3173" s="14" t="s">
        <v>9076</v>
      </c>
      <c r="B3173" s="14" t="s">
        <v>8944</v>
      </c>
      <c r="C3173" s="14"/>
      <c r="D3173" s="14" t="s">
        <v>8531</v>
      </c>
      <c r="E3173" s="14" t="s">
        <v>2356</v>
      </c>
      <c r="F3173" s="14" t="s">
        <v>2357</v>
      </c>
      <c r="G3173" s="14" t="s">
        <v>37</v>
      </c>
      <c r="H3173" s="14"/>
      <c r="I3173" s="14"/>
      <c r="J3173" s="14" t="s">
        <v>97</v>
      </c>
      <c r="K3173" s="14"/>
      <c r="L3173" s="14"/>
      <c r="M3173" s="14" t="s">
        <v>2358</v>
      </c>
      <c r="N3173" s="14"/>
      <c r="O3173" s="14" t="s">
        <v>2359</v>
      </c>
      <c r="P3173" s="14" t="str">
        <f>HYPERLINK("https://ceds.ed.gov/cedselementdetails.aspx?termid=17513")</f>
        <v>https://ceds.ed.gov/cedselementdetails.aspx?termid=17513</v>
      </c>
      <c r="Q3173" s="14" t="str">
        <f>HYPERLINK("https://ceds.ed.gov/elementComment.aspx?elementName=Class Period &amp;elementID=17513", "Click here to submit comment")</f>
        <v>Click here to submit comment</v>
      </c>
      <c r="R3173" s="14">
        <v>49811</v>
      </c>
    </row>
    <row r="3174" spans="1:18" ht="105" x14ac:dyDescent="0.25">
      <c r="A3174" s="16" t="s">
        <v>9076</v>
      </c>
      <c r="B3174" s="16" t="s">
        <v>8944</v>
      </c>
      <c r="C3174" s="16"/>
      <c r="D3174" s="16" t="s">
        <v>8531</v>
      </c>
      <c r="E3174" s="16" t="s">
        <v>8247</v>
      </c>
      <c r="F3174" s="16" t="s">
        <v>8248</v>
      </c>
      <c r="G3174" s="16" t="s">
        <v>37</v>
      </c>
      <c r="H3174" s="16"/>
      <c r="I3174" s="16"/>
      <c r="J3174" s="16" t="s">
        <v>149</v>
      </c>
      <c r="K3174" s="16"/>
      <c r="L3174" s="14" t="s">
        <v>150</v>
      </c>
      <c r="M3174" s="16" t="s">
        <v>8249</v>
      </c>
      <c r="N3174" s="16"/>
      <c r="O3174" s="16" t="s">
        <v>8250</v>
      </c>
      <c r="P3174" s="16" t="str">
        <f>HYPERLINK("https://ceds.ed.gov/cedselementdetails.aspx?termid=17514")</f>
        <v>https://ceds.ed.gov/cedselementdetails.aspx?termid=17514</v>
      </c>
      <c r="Q3174" s="16" t="str">
        <f>HYPERLINK("https://ceds.ed.gov/elementComment.aspx?elementName=Timetable Day Identifier &amp;elementID=17514", "Click here to submit comment")</f>
        <v>Click here to submit comment</v>
      </c>
      <c r="R3174" s="16">
        <v>49812</v>
      </c>
    </row>
    <row r="3175" spans="1:18" x14ac:dyDescent="0.25">
      <c r="A3175" s="16"/>
      <c r="B3175" s="16"/>
      <c r="C3175" s="16"/>
      <c r="D3175" s="16"/>
      <c r="E3175" s="16"/>
      <c r="F3175" s="16"/>
      <c r="G3175" s="16"/>
      <c r="H3175" s="16"/>
      <c r="I3175" s="16"/>
      <c r="J3175" s="16"/>
      <c r="K3175" s="16"/>
      <c r="L3175" s="14"/>
      <c r="M3175" s="16"/>
      <c r="N3175" s="16"/>
      <c r="O3175" s="16"/>
      <c r="P3175" s="16"/>
      <c r="Q3175" s="16"/>
      <c r="R3175" s="16"/>
    </row>
    <row r="3176" spans="1:18" ht="90" x14ac:dyDescent="0.25">
      <c r="A3176" s="16"/>
      <c r="B3176" s="16"/>
      <c r="C3176" s="16"/>
      <c r="D3176" s="16"/>
      <c r="E3176" s="16"/>
      <c r="F3176" s="16"/>
      <c r="G3176" s="16"/>
      <c r="H3176" s="16"/>
      <c r="I3176" s="16"/>
      <c r="J3176" s="16"/>
      <c r="K3176" s="16"/>
      <c r="L3176" s="14" t="s">
        <v>153</v>
      </c>
      <c r="M3176" s="16"/>
      <c r="N3176" s="16"/>
      <c r="O3176" s="16"/>
      <c r="P3176" s="16"/>
      <c r="Q3176" s="16"/>
      <c r="R3176" s="16"/>
    </row>
    <row r="3177" spans="1:18" ht="45" x14ac:dyDescent="0.25">
      <c r="A3177" s="14" t="s">
        <v>9076</v>
      </c>
      <c r="B3177" s="14" t="s">
        <v>8944</v>
      </c>
      <c r="C3177" s="14"/>
      <c r="D3177" s="14" t="s">
        <v>8531</v>
      </c>
      <c r="E3177" s="14" t="s">
        <v>3075</v>
      </c>
      <c r="F3177" s="14" t="s">
        <v>3076</v>
      </c>
      <c r="G3177" s="14" t="s">
        <v>37</v>
      </c>
      <c r="H3177" s="14"/>
      <c r="I3177" s="14"/>
      <c r="J3177" s="14" t="s">
        <v>370</v>
      </c>
      <c r="K3177" s="14"/>
      <c r="L3177" s="14"/>
      <c r="M3177" s="14" t="s">
        <v>3077</v>
      </c>
      <c r="N3177" s="14"/>
      <c r="O3177" s="14" t="s">
        <v>3078</v>
      </c>
      <c r="P3177" s="14" t="str">
        <f>HYPERLINK("https://ceds.ed.gov/cedselementdetails.aspx?termid=18636")</f>
        <v>https://ceds.ed.gov/cedselementdetails.aspx?termid=18636</v>
      </c>
      <c r="Q3177" s="14" t="str">
        <f>HYPERLINK("https://ceds.ed.gov/elementComment.aspx?elementName=Course Section Maximum Capacity &amp;elementID=18636", "Click here to submit comment")</f>
        <v>Click here to submit comment</v>
      </c>
      <c r="R3177" s="14">
        <v>51352</v>
      </c>
    </row>
    <row r="3178" spans="1:18" ht="409.5" x14ac:dyDescent="0.25">
      <c r="A3178" s="14" t="s">
        <v>9076</v>
      </c>
      <c r="B3178" s="14" t="s">
        <v>8944</v>
      </c>
      <c r="C3178" s="14"/>
      <c r="D3178" s="14" t="s">
        <v>8531</v>
      </c>
      <c r="E3178" s="14" t="s">
        <v>2971</v>
      </c>
      <c r="F3178" s="14" t="s">
        <v>2972</v>
      </c>
      <c r="G3178" s="8" t="s">
        <v>9074</v>
      </c>
      <c r="H3178" s="14"/>
      <c r="I3178" s="14"/>
      <c r="J3178" s="14"/>
      <c r="K3178" s="14"/>
      <c r="L3178" s="14"/>
      <c r="M3178" s="14" t="s">
        <v>2974</v>
      </c>
      <c r="N3178" s="14"/>
      <c r="O3178" s="14" t="s">
        <v>2975</v>
      </c>
      <c r="P3178" s="14" t="str">
        <f>HYPERLINK("https://ceds.ed.gov/cedselementdetails.aspx?termid=18274")</f>
        <v>https://ceds.ed.gov/cedselementdetails.aspx?termid=18274</v>
      </c>
      <c r="Q3178" s="14" t="str">
        <f>HYPERLINK("https://ceds.ed.gov/elementComment.aspx?elementName=Course Instruction Method &amp;elementID=18274", "Click here to submit comment")</f>
        <v>Click here to submit comment</v>
      </c>
      <c r="R3178" s="14">
        <v>51529</v>
      </c>
    </row>
    <row r="3179" spans="1:18" ht="90" x14ac:dyDescent="0.25">
      <c r="A3179" s="14" t="s">
        <v>9076</v>
      </c>
      <c r="B3179" s="14" t="s">
        <v>8944</v>
      </c>
      <c r="C3179" s="14"/>
      <c r="D3179" s="14" t="s">
        <v>8531</v>
      </c>
      <c r="E3179" s="14" t="s">
        <v>5501</v>
      </c>
      <c r="F3179" s="14" t="s">
        <v>5502</v>
      </c>
      <c r="G3179" s="14" t="s">
        <v>8527</v>
      </c>
      <c r="H3179" s="14" t="s">
        <v>245</v>
      </c>
      <c r="I3179" s="14" t="s">
        <v>195</v>
      </c>
      <c r="J3179" s="14"/>
      <c r="K3179" s="14" t="s">
        <v>1086</v>
      </c>
      <c r="L3179" s="6" t="s">
        <v>1087</v>
      </c>
      <c r="M3179" s="14" t="s">
        <v>5503</v>
      </c>
      <c r="N3179" s="14"/>
      <c r="O3179" s="14" t="s">
        <v>5504</v>
      </c>
      <c r="P3179" s="14" t="str">
        <f>HYPERLINK("https://ceds.ed.gov/cedselementdetails.aspx?termid=17438")</f>
        <v>https://ceds.ed.gov/cedselementdetails.aspx?termid=17438</v>
      </c>
      <c r="Q3179" s="14" t="str">
        <f>HYPERLINK("https://ceds.ed.gov/elementComment.aspx?elementName=Instruction Language &amp;elementID=17438", "Click here to submit comment")</f>
        <v>Click here to submit comment</v>
      </c>
      <c r="R3179" s="14">
        <v>49806</v>
      </c>
    </row>
    <row r="3180" spans="1:18" ht="105" x14ac:dyDescent="0.25">
      <c r="A3180" s="16" t="s">
        <v>9076</v>
      </c>
      <c r="B3180" s="16" t="s">
        <v>8944</v>
      </c>
      <c r="C3180" s="16"/>
      <c r="D3180" s="16" t="s">
        <v>8531</v>
      </c>
      <c r="E3180" s="16" t="s">
        <v>2385</v>
      </c>
      <c r="F3180" s="16" t="s">
        <v>2386</v>
      </c>
      <c r="G3180" s="16" t="s">
        <v>37</v>
      </c>
      <c r="H3180" s="16"/>
      <c r="I3180" s="16"/>
      <c r="J3180" s="16" t="s">
        <v>149</v>
      </c>
      <c r="K3180" s="16"/>
      <c r="L3180" s="14" t="s">
        <v>150</v>
      </c>
      <c r="M3180" s="16" t="s">
        <v>2387</v>
      </c>
      <c r="N3180" s="16"/>
      <c r="O3180" s="16" t="s">
        <v>2388</v>
      </c>
      <c r="P3180" s="16" t="str">
        <f>HYPERLINK("https://ceds.ed.gov/cedselementdetails.aspx?termid=17507")</f>
        <v>https://ceds.ed.gov/cedselementdetails.aspx?termid=17507</v>
      </c>
      <c r="Q3180" s="16" t="str">
        <f>HYPERLINK("https://ceds.ed.gov/elementComment.aspx?elementName=Classroom Identifier &amp;elementID=17507", "Click here to submit comment")</f>
        <v>Click here to submit comment</v>
      </c>
      <c r="R3180" s="16">
        <v>49807</v>
      </c>
    </row>
    <row r="3181" spans="1:18" x14ac:dyDescent="0.25">
      <c r="A3181" s="16"/>
      <c r="B3181" s="16"/>
      <c r="C3181" s="16"/>
      <c r="D3181" s="16"/>
      <c r="E3181" s="16"/>
      <c r="F3181" s="16"/>
      <c r="G3181" s="16"/>
      <c r="H3181" s="16"/>
      <c r="I3181" s="16"/>
      <c r="J3181" s="16"/>
      <c r="K3181" s="16"/>
      <c r="L3181" s="14"/>
      <c r="M3181" s="16"/>
      <c r="N3181" s="16"/>
      <c r="O3181" s="16"/>
      <c r="P3181" s="16"/>
      <c r="Q3181" s="16"/>
      <c r="R3181" s="16"/>
    </row>
    <row r="3182" spans="1:18" ht="90" x14ac:dyDescent="0.25">
      <c r="A3182" s="16"/>
      <c r="B3182" s="16"/>
      <c r="C3182" s="16"/>
      <c r="D3182" s="16"/>
      <c r="E3182" s="16"/>
      <c r="F3182" s="16"/>
      <c r="G3182" s="16"/>
      <c r="H3182" s="16"/>
      <c r="I3182" s="16"/>
      <c r="J3182" s="16"/>
      <c r="K3182" s="16"/>
      <c r="L3182" s="14" t="s">
        <v>153</v>
      </c>
      <c r="M3182" s="16"/>
      <c r="N3182" s="16"/>
      <c r="O3182" s="16"/>
      <c r="P3182" s="16"/>
      <c r="Q3182" s="16"/>
      <c r="R3182" s="16"/>
    </row>
    <row r="3183" spans="1:18" ht="180" x14ac:dyDescent="0.25">
      <c r="A3183" s="14" t="s">
        <v>9076</v>
      </c>
      <c r="B3183" s="14" t="s">
        <v>8944</v>
      </c>
      <c r="C3183" s="14"/>
      <c r="D3183" s="14" t="s">
        <v>8531</v>
      </c>
      <c r="E3183" s="14" t="s">
        <v>7309</v>
      </c>
      <c r="F3183" s="14" t="s">
        <v>7310</v>
      </c>
      <c r="G3183" s="8" t="s">
        <v>8945</v>
      </c>
      <c r="H3183" s="14"/>
      <c r="I3183" s="14"/>
      <c r="J3183" s="14"/>
      <c r="K3183" s="14"/>
      <c r="L3183" s="14"/>
      <c r="M3183" s="14" t="s">
        <v>7313</v>
      </c>
      <c r="N3183" s="14"/>
      <c r="O3183" s="14" t="s">
        <v>7314</v>
      </c>
      <c r="P3183" s="14" t="str">
        <f>HYPERLINK("https://ceds.ed.gov/cedselementdetails.aspx?termid=17515")</f>
        <v>https://ceds.ed.gov/cedselementdetails.aspx?termid=17515</v>
      </c>
      <c r="Q3183" s="14" t="str">
        <f>HYPERLINK("https://ceds.ed.gov/elementComment.aspx?elementName=Receiving Location of Instruction &amp;elementID=17515", "Click here to submit comment")</f>
        <v>Click here to submit comment</v>
      </c>
      <c r="R3183" s="14">
        <v>49813</v>
      </c>
    </row>
    <row r="3184" spans="1:18" ht="45" x14ac:dyDescent="0.25">
      <c r="A3184" s="14" t="s">
        <v>9076</v>
      </c>
      <c r="B3184" s="14" t="s">
        <v>8944</v>
      </c>
      <c r="C3184" s="14"/>
      <c r="D3184" s="14" t="s">
        <v>8531</v>
      </c>
      <c r="E3184" s="14" t="s">
        <v>2976</v>
      </c>
      <c r="F3184" s="14" t="s">
        <v>2977</v>
      </c>
      <c r="G3184" s="14" t="s">
        <v>37</v>
      </c>
      <c r="H3184" s="14"/>
      <c r="I3184" s="14"/>
      <c r="J3184" s="14" t="s">
        <v>175</v>
      </c>
      <c r="K3184" s="14"/>
      <c r="L3184" s="14"/>
      <c r="M3184" s="14" t="s">
        <v>2978</v>
      </c>
      <c r="N3184" s="14"/>
      <c r="O3184" s="14" t="s">
        <v>2979</v>
      </c>
      <c r="P3184" s="14" t="str">
        <f>HYPERLINK("https://ceds.ed.gov/cedselementdetails.aspx?termid=18275")</f>
        <v>https://ceds.ed.gov/cedselementdetails.aspx?termid=18275</v>
      </c>
      <c r="Q3184" s="14" t="str">
        <f>HYPERLINK("https://ceds.ed.gov/elementComment.aspx?elementName=Course Instruction Site Name &amp;elementID=18275", "Click here to submit comment")</f>
        <v>Click here to submit comment</v>
      </c>
      <c r="R3184" s="14">
        <v>51530</v>
      </c>
    </row>
    <row r="3185" spans="1:18" ht="180" x14ac:dyDescent="0.25">
      <c r="A3185" s="14" t="s">
        <v>9076</v>
      </c>
      <c r="B3185" s="14" t="s">
        <v>8944</v>
      </c>
      <c r="C3185" s="14"/>
      <c r="D3185" s="14" t="s">
        <v>8531</v>
      </c>
      <c r="E3185" s="14" t="s">
        <v>2980</v>
      </c>
      <c r="F3185" s="14" t="s">
        <v>2981</v>
      </c>
      <c r="G3185" s="8" t="s">
        <v>9070</v>
      </c>
      <c r="H3185" s="14"/>
      <c r="I3185" s="14"/>
      <c r="J3185" s="14"/>
      <c r="K3185" s="14"/>
      <c r="L3185" s="14"/>
      <c r="M3185" s="14" t="s">
        <v>2983</v>
      </c>
      <c r="N3185" s="14"/>
      <c r="O3185" s="14" t="s">
        <v>2984</v>
      </c>
      <c r="P3185" s="14" t="str">
        <f>HYPERLINK("https://ceds.ed.gov/cedselementdetails.aspx?termid=18276")</f>
        <v>https://ceds.ed.gov/cedselementdetails.aspx?termid=18276</v>
      </c>
      <c r="Q3185" s="14" t="str">
        <f>HYPERLINK("https://ceds.ed.gov/elementComment.aspx?elementName=Course Instruction Site Type &amp;elementID=18276", "Click here to submit comment")</f>
        <v>Click here to submit comment</v>
      </c>
      <c r="R3185" s="14">
        <v>51531</v>
      </c>
    </row>
    <row r="3186" spans="1:18" ht="270" x14ac:dyDescent="0.25">
      <c r="A3186" s="14" t="s">
        <v>9076</v>
      </c>
      <c r="B3186" s="14" t="s">
        <v>8944</v>
      </c>
      <c r="C3186" s="14"/>
      <c r="D3186" s="14" t="s">
        <v>8531</v>
      </c>
      <c r="E3186" s="14" t="s">
        <v>2389</v>
      </c>
      <c r="F3186" s="14" t="s">
        <v>2390</v>
      </c>
      <c r="G3186" s="8" t="s">
        <v>8922</v>
      </c>
      <c r="H3186" s="14"/>
      <c r="I3186" s="14"/>
      <c r="J3186" s="14"/>
      <c r="K3186" s="14"/>
      <c r="L3186" s="14"/>
      <c r="M3186" s="14" t="s">
        <v>2393</v>
      </c>
      <c r="N3186" s="14"/>
      <c r="O3186" s="14" t="s">
        <v>2394</v>
      </c>
      <c r="P3186" s="14" t="str">
        <f>HYPERLINK("https://ceds.ed.gov/cedselementdetails.aspx?termid=17615")</f>
        <v>https://ceds.ed.gov/cedselementdetails.aspx?termid=17615</v>
      </c>
      <c r="Q3186" s="14" t="str">
        <f>HYPERLINK("https://ceds.ed.gov/elementComment.aspx?elementName=Classroom Position Type &amp;elementID=17615", "Click here to submit comment")</f>
        <v>Click here to submit comment</v>
      </c>
      <c r="R3186" s="14">
        <v>51543</v>
      </c>
    </row>
    <row r="3187" spans="1:18" ht="105" x14ac:dyDescent="0.25">
      <c r="A3187" s="14" t="s">
        <v>9076</v>
      </c>
      <c r="B3187" s="14" t="s">
        <v>8944</v>
      </c>
      <c r="C3187" s="14"/>
      <c r="D3187" s="14" t="s">
        <v>8531</v>
      </c>
      <c r="E3187" s="14" t="s">
        <v>8423</v>
      </c>
      <c r="F3187" s="14" t="s">
        <v>8424</v>
      </c>
      <c r="G3187" s="14" t="s">
        <v>24</v>
      </c>
      <c r="H3187" s="14"/>
      <c r="I3187" s="14"/>
      <c r="J3187" s="14"/>
      <c r="K3187" s="14"/>
      <c r="L3187" s="14"/>
      <c r="M3187" s="14" t="s">
        <v>8426</v>
      </c>
      <c r="N3187" s="14"/>
      <c r="O3187" s="14" t="s">
        <v>8427</v>
      </c>
      <c r="P3187" s="14" t="str">
        <f>HYPERLINK("https://ceds.ed.gov/cedselementdetails.aspx?termid=18167")</f>
        <v>https://ceds.ed.gov/cedselementdetails.aspx?termid=18167</v>
      </c>
      <c r="Q3187" s="14" t="str">
        <f>HYPERLINK("https://ceds.ed.gov/elementComment.aspx?elementName=Virtual Indicator &amp;elementID=18167", "Click here to submit comment")</f>
        <v>Click here to submit comment</v>
      </c>
      <c r="R3187" s="14">
        <v>49815</v>
      </c>
    </row>
    <row r="3188" spans="1:18" ht="150" x14ac:dyDescent="0.25">
      <c r="A3188" s="14" t="s">
        <v>9076</v>
      </c>
      <c r="B3188" s="14" t="s">
        <v>8944</v>
      </c>
      <c r="C3188" s="14"/>
      <c r="D3188" s="14" t="s">
        <v>8531</v>
      </c>
      <c r="E3188" s="14" t="s">
        <v>3070</v>
      </c>
      <c r="F3188" s="14" t="s">
        <v>3071</v>
      </c>
      <c r="G3188" s="8" t="s">
        <v>8946</v>
      </c>
      <c r="H3188" s="14"/>
      <c r="I3188" s="14"/>
      <c r="J3188" s="14"/>
      <c r="K3188" s="14"/>
      <c r="L3188" s="14"/>
      <c r="M3188" s="14" t="s">
        <v>3073</v>
      </c>
      <c r="N3188" s="14"/>
      <c r="O3188" s="14" t="s">
        <v>3074</v>
      </c>
      <c r="P3188" s="14" t="str">
        <f>HYPERLINK("https://ceds.ed.gov/cedselementdetails.aspx?termid=18168")</f>
        <v>https://ceds.ed.gov/cedselementdetails.aspx?termid=18168</v>
      </c>
      <c r="Q3188" s="14" t="str">
        <f>HYPERLINK("https://ceds.ed.gov/elementComment.aspx?elementName=Course Section Instructional Delivery Mode &amp;elementID=18168", "Click here to submit comment")</f>
        <v>Click here to submit comment</v>
      </c>
      <c r="R3188" s="14">
        <v>49816</v>
      </c>
    </row>
    <row r="3189" spans="1:18" ht="165" x14ac:dyDescent="0.25">
      <c r="A3189" s="14" t="s">
        <v>9076</v>
      </c>
      <c r="B3189" s="14" t="s">
        <v>8944</v>
      </c>
      <c r="C3189" s="14"/>
      <c r="D3189" s="14" t="s">
        <v>8531</v>
      </c>
      <c r="E3189" s="14" t="s">
        <v>1757</v>
      </c>
      <c r="F3189" s="14" t="s">
        <v>1758</v>
      </c>
      <c r="G3189" s="8" t="s">
        <v>8748</v>
      </c>
      <c r="H3189" s="14"/>
      <c r="I3189" s="14" t="s">
        <v>195</v>
      </c>
      <c r="J3189" s="14"/>
      <c r="K3189" s="14" t="s">
        <v>1761</v>
      </c>
      <c r="L3189" s="14" t="s">
        <v>1762</v>
      </c>
      <c r="M3189" s="14" t="s">
        <v>1763</v>
      </c>
      <c r="N3189" s="14"/>
      <c r="O3189" s="14" t="s">
        <v>1764</v>
      </c>
      <c r="P3189" s="14" t="str">
        <f>HYPERLINK("https://ceds.ed.gov/cedselementdetails.aspx?termid=18253")</f>
        <v>https://ceds.ed.gov/cedselementdetails.aspx?termid=18253</v>
      </c>
      <c r="Q3189" s="14" t="str">
        <f>HYPERLINK("https://ceds.ed.gov/elementComment.aspx?elementName=Blended Learning Model Type &amp;elementID=18253", "Click here to submit comment")</f>
        <v>Click here to submit comment</v>
      </c>
      <c r="R3189" s="14">
        <v>51544</v>
      </c>
    </row>
    <row r="3190" spans="1:18" ht="45" x14ac:dyDescent="0.25">
      <c r="A3190" s="14" t="s">
        <v>9076</v>
      </c>
      <c r="B3190" s="14" t="s">
        <v>8944</v>
      </c>
      <c r="C3190" s="14"/>
      <c r="D3190" s="14" t="s">
        <v>8531</v>
      </c>
      <c r="E3190" s="14" t="s">
        <v>2985</v>
      </c>
      <c r="F3190" s="14" t="s">
        <v>2986</v>
      </c>
      <c r="G3190" s="8" t="s">
        <v>8943</v>
      </c>
      <c r="H3190" s="14"/>
      <c r="I3190" s="14"/>
      <c r="J3190" s="14"/>
      <c r="K3190" s="14"/>
      <c r="L3190" s="14" t="s">
        <v>2988</v>
      </c>
      <c r="M3190" s="14" t="s">
        <v>2989</v>
      </c>
      <c r="N3190" s="14"/>
      <c r="O3190" s="14" t="s">
        <v>2990</v>
      </c>
      <c r="P3190" s="14" t="str">
        <f>HYPERLINK("https://ceds.ed.gov/cedselementdetails.aspx?termid=18277")</f>
        <v>https://ceds.ed.gov/cedselementdetails.aspx?termid=18277</v>
      </c>
      <c r="Q3190" s="14" t="str">
        <f>HYPERLINK("https://ceds.ed.gov/elementComment.aspx?elementName=Course Interaction Mode &amp;elementID=18277", "Click here to submit comment")</f>
        <v>Click here to submit comment</v>
      </c>
      <c r="R3190" s="14">
        <v>51549</v>
      </c>
    </row>
    <row r="3191" spans="1:18" ht="240" x14ac:dyDescent="0.25">
      <c r="A3191" s="14" t="s">
        <v>9076</v>
      </c>
      <c r="B3191" s="14" t="s">
        <v>8944</v>
      </c>
      <c r="C3191" s="14"/>
      <c r="D3191" s="14" t="s">
        <v>8531</v>
      </c>
      <c r="E3191" s="14" t="s">
        <v>8492</v>
      </c>
      <c r="F3191" s="14" t="s">
        <v>8493</v>
      </c>
      <c r="G3191" s="8" t="s">
        <v>8916</v>
      </c>
      <c r="H3191" s="14"/>
      <c r="I3191" s="14"/>
      <c r="J3191" s="14"/>
      <c r="K3191" s="14"/>
      <c r="L3191" s="14"/>
      <c r="M3191" s="14" t="s">
        <v>8496</v>
      </c>
      <c r="N3191" s="14"/>
      <c r="O3191" s="14" t="s">
        <v>8497</v>
      </c>
      <c r="P3191" s="14" t="str">
        <f>HYPERLINK("https://ceds.ed.gov/cedselementdetails.aspx?termid=18471")</f>
        <v>https://ceds.ed.gov/cedselementdetails.aspx?termid=18471</v>
      </c>
      <c r="Q3191" s="14" t="str">
        <f>HYPERLINK("https://ceds.ed.gov/elementComment.aspx?elementName=Work-based Learning Opportunity Type &amp;elementID=18471", "Click here to submit comment")</f>
        <v>Click here to submit comment</v>
      </c>
      <c r="R3191" s="14">
        <v>51538</v>
      </c>
    </row>
    <row r="3192" spans="1:18" ht="60" x14ac:dyDescent="0.25">
      <c r="A3192" s="14" t="s">
        <v>9076</v>
      </c>
      <c r="B3192" s="14" t="s">
        <v>8944</v>
      </c>
      <c r="C3192" s="14"/>
      <c r="D3192" s="14" t="s">
        <v>8531</v>
      </c>
      <c r="E3192" s="14" t="s">
        <v>3083</v>
      </c>
      <c r="F3192" s="14" t="s">
        <v>3084</v>
      </c>
      <c r="G3192" s="8" t="s">
        <v>8947</v>
      </c>
      <c r="H3192" s="14" t="s">
        <v>3088</v>
      </c>
      <c r="I3192" s="14"/>
      <c r="J3192" s="14"/>
      <c r="K3192" s="14"/>
      <c r="L3192" s="14"/>
      <c r="M3192" s="14" t="s">
        <v>3086</v>
      </c>
      <c r="N3192" s="14"/>
      <c r="O3192" s="14" t="s">
        <v>3087</v>
      </c>
      <c r="P3192" s="14" t="str">
        <f>HYPERLINK("https://ceds.ed.gov/cedselementdetails.aspx?termid=17258")</f>
        <v>https://ceds.ed.gov/cedselementdetails.aspx?termid=17258</v>
      </c>
      <c r="Q3192" s="14" t="str">
        <f>HYPERLINK("https://ceds.ed.gov/elementComment.aspx?elementName=Course Section Single Sex Class Status &amp;elementID=17258", "Click here to submit comment")</f>
        <v>Click here to submit comment</v>
      </c>
      <c r="R3192" s="14">
        <v>49805</v>
      </c>
    </row>
    <row r="3193" spans="1:18" ht="75" x14ac:dyDescent="0.25">
      <c r="A3193" s="14" t="s">
        <v>9076</v>
      </c>
      <c r="B3193" s="14" t="s">
        <v>8944</v>
      </c>
      <c r="C3193" s="14"/>
      <c r="D3193" s="14" t="s">
        <v>8531</v>
      </c>
      <c r="E3193" s="14" t="s">
        <v>22</v>
      </c>
      <c r="F3193" s="14" t="s">
        <v>23</v>
      </c>
      <c r="G3193" s="14" t="s">
        <v>24</v>
      </c>
      <c r="H3193" s="14" t="s">
        <v>28</v>
      </c>
      <c r="I3193" s="14"/>
      <c r="J3193" s="14"/>
      <c r="K3193" s="14"/>
      <c r="L3193" s="14"/>
      <c r="M3193" s="14" t="s">
        <v>26</v>
      </c>
      <c r="N3193" s="14"/>
      <c r="O3193" s="14" t="s">
        <v>27</v>
      </c>
      <c r="P3193" s="14" t="str">
        <f>HYPERLINK("https://ceds.ed.gov/cedselementdetails.aspx?termid=17000")</f>
        <v>https://ceds.ed.gov/cedselementdetails.aspx?termid=17000</v>
      </c>
      <c r="Q3193" s="14" t="str">
        <f>HYPERLINK("https://ceds.ed.gov/elementComment.aspx?elementName=Ability Grouping Status &amp;elementID=17000", "Click here to submit comment")</f>
        <v>Click here to submit comment</v>
      </c>
      <c r="R3193" s="14">
        <v>51558</v>
      </c>
    </row>
    <row r="3194" spans="1:18" ht="120" x14ac:dyDescent="0.25">
      <c r="A3194" s="14" t="s">
        <v>9076</v>
      </c>
      <c r="B3194" s="14" t="s">
        <v>8944</v>
      </c>
      <c r="C3194" s="14"/>
      <c r="D3194" s="14" t="s">
        <v>8531</v>
      </c>
      <c r="E3194" s="14" t="s">
        <v>2954</v>
      </c>
      <c r="F3194" s="14" t="s">
        <v>2955</v>
      </c>
      <c r="G3194" s="8" t="s">
        <v>8936</v>
      </c>
      <c r="H3194" s="14" t="s">
        <v>1713</v>
      </c>
      <c r="I3194" s="14"/>
      <c r="J3194" s="14"/>
      <c r="K3194" s="14"/>
      <c r="L3194" s="14"/>
      <c r="M3194" s="14" t="s">
        <v>2958</v>
      </c>
      <c r="N3194" s="14" t="s">
        <v>2959</v>
      </c>
      <c r="O3194" s="14" t="s">
        <v>2960</v>
      </c>
      <c r="P3194" s="14" t="str">
        <f>HYPERLINK("https://ceds.ed.gov/cedselementdetails.aspx?termid=17060")</f>
        <v>https://ceds.ed.gov/cedselementdetails.aspx?termid=17060</v>
      </c>
      <c r="Q3194" s="14" t="str">
        <f>HYPERLINK("https://ceds.ed.gov/elementComment.aspx?elementName=Course Grade Point Average Applicability &amp;elementID=17060", "Click here to submit comment")</f>
        <v>Click here to submit comment</v>
      </c>
      <c r="R3194" s="14">
        <v>49828</v>
      </c>
    </row>
    <row r="3195" spans="1:18" ht="255" x14ac:dyDescent="0.25">
      <c r="A3195" s="14" t="s">
        <v>9076</v>
      </c>
      <c r="B3195" s="14" t="s">
        <v>8944</v>
      </c>
      <c r="C3195" s="14"/>
      <c r="D3195" s="14" t="s">
        <v>8531</v>
      </c>
      <c r="E3195" s="14" t="s">
        <v>178</v>
      </c>
      <c r="F3195" s="14" t="s">
        <v>179</v>
      </c>
      <c r="G3195" s="8" t="s">
        <v>8935</v>
      </c>
      <c r="H3195" s="14"/>
      <c r="I3195" s="14"/>
      <c r="J3195" s="14"/>
      <c r="K3195" s="14"/>
      <c r="L3195" s="14"/>
      <c r="M3195" s="14" t="s">
        <v>182</v>
      </c>
      <c r="N3195" s="14"/>
      <c r="O3195" s="14" t="s">
        <v>183</v>
      </c>
      <c r="P3195" s="14" t="str">
        <f>HYPERLINK("https://ceds.ed.gov/cedselementdetails.aspx?termid=17589")</f>
        <v>https://ceds.ed.gov/cedselementdetails.aspx?termid=17589</v>
      </c>
      <c r="Q3195" s="14" t="str">
        <f>HYPERLINK("https://ceds.ed.gov/elementComment.aspx?elementName=Additional Credit Type &amp;elementID=17589", "Click here to submit comment")</f>
        <v>Click here to submit comment</v>
      </c>
      <c r="R3195" s="14">
        <v>51542</v>
      </c>
    </row>
    <row r="3196" spans="1:18" ht="45" x14ac:dyDescent="0.25">
      <c r="A3196" s="14" t="s">
        <v>9076</v>
      </c>
      <c r="B3196" s="14" t="s">
        <v>8944</v>
      </c>
      <c r="C3196" s="14"/>
      <c r="D3196" s="14" t="s">
        <v>8531</v>
      </c>
      <c r="E3196" s="14" t="s">
        <v>2905</v>
      </c>
      <c r="F3196" s="14" t="s">
        <v>2906</v>
      </c>
      <c r="G3196" s="14" t="s">
        <v>37</v>
      </c>
      <c r="H3196" s="14"/>
      <c r="I3196" s="14"/>
      <c r="J3196" s="14" t="s">
        <v>129</v>
      </c>
      <c r="K3196" s="14"/>
      <c r="L3196" s="14"/>
      <c r="M3196" s="14" t="s">
        <v>2907</v>
      </c>
      <c r="N3196" s="14"/>
      <c r="O3196" s="14" t="s">
        <v>2908</v>
      </c>
      <c r="P3196" s="14" t="str">
        <f>HYPERLINK("https://ceds.ed.gov/cedselementdetails.aspx?termid=18268")</f>
        <v>https://ceds.ed.gov/cedselementdetails.aspx?termid=18268</v>
      </c>
      <c r="Q3196" s="14" t="str">
        <f>HYPERLINK("https://ceds.ed.gov/elementComment.aspx?elementName=Course Certification Description &amp;elementID=18268", "Click here to submit comment")</f>
        <v>Click here to submit comment</v>
      </c>
      <c r="R3196" s="14">
        <v>51547</v>
      </c>
    </row>
    <row r="3197" spans="1:18" ht="90" x14ac:dyDescent="0.25">
      <c r="A3197" s="14" t="s">
        <v>9076</v>
      </c>
      <c r="B3197" s="14" t="s">
        <v>8944</v>
      </c>
      <c r="C3197" s="14"/>
      <c r="D3197" s="14" t="s">
        <v>8531</v>
      </c>
      <c r="E3197" s="14" t="s">
        <v>3002</v>
      </c>
      <c r="F3197" s="14" t="s">
        <v>3003</v>
      </c>
      <c r="G3197" s="14" t="s">
        <v>37</v>
      </c>
      <c r="H3197" s="14"/>
      <c r="I3197" s="14"/>
      <c r="J3197" s="14" t="s">
        <v>382</v>
      </c>
      <c r="K3197" s="14"/>
      <c r="L3197" s="14"/>
      <c r="M3197" s="14" t="s">
        <v>3004</v>
      </c>
      <c r="N3197" s="14"/>
      <c r="O3197" s="14" t="s">
        <v>3005</v>
      </c>
      <c r="P3197" s="14" t="str">
        <f>HYPERLINK("https://ceds.ed.gov/cedselementdetails.aspx?termid=18279")</f>
        <v>https://ceds.ed.gov/cedselementdetails.aspx?termid=18279</v>
      </c>
      <c r="Q3197" s="14" t="str">
        <f>HYPERLINK("https://ceds.ed.gov/elementComment.aspx?elementName=Course Narrative Explanation Grade &amp;elementID=18279", "Click here to submit comment")</f>
        <v>Click here to submit comment</v>
      </c>
      <c r="R3197" s="14">
        <v>51533</v>
      </c>
    </row>
    <row r="3198" spans="1:18" ht="45" x14ac:dyDescent="0.25">
      <c r="A3198" s="14" t="s">
        <v>9076</v>
      </c>
      <c r="B3198" s="14" t="s">
        <v>8944</v>
      </c>
      <c r="C3198" s="14"/>
      <c r="D3198" s="14" t="s">
        <v>8531</v>
      </c>
      <c r="E3198" s="14" t="s">
        <v>4453</v>
      </c>
      <c r="F3198" s="14" t="s">
        <v>4454</v>
      </c>
      <c r="G3198" s="14" t="s">
        <v>24</v>
      </c>
      <c r="H3198" s="14"/>
      <c r="I3198" s="14"/>
      <c r="J3198" s="14"/>
      <c r="K3198" s="14"/>
      <c r="L3198" s="14"/>
      <c r="M3198" s="14" t="s">
        <v>4455</v>
      </c>
      <c r="N3198" s="14"/>
      <c r="O3198" s="14" t="s">
        <v>4456</v>
      </c>
      <c r="P3198" s="14" t="str">
        <f>HYPERLINK("https://ceds.ed.gov/cedselementdetails.aspx?termid=18311")</f>
        <v>https://ceds.ed.gov/cedselementdetails.aspx?termid=18311</v>
      </c>
      <c r="Q3198" s="14" t="str">
        <f>HYPERLINK("https://ceds.ed.gov/elementComment.aspx?elementName=Family and Consumer Sciences Course Indicator &amp;elementID=18311", "Click here to submit comment")</f>
        <v>Click here to submit comment</v>
      </c>
      <c r="R3198" s="14">
        <v>51550</v>
      </c>
    </row>
    <row r="3199" spans="1:18" ht="45" x14ac:dyDescent="0.25">
      <c r="A3199" s="14" t="s">
        <v>9076</v>
      </c>
      <c r="B3199" s="14" t="s">
        <v>8944</v>
      </c>
      <c r="C3199" s="14"/>
      <c r="D3199" s="14" t="s">
        <v>8531</v>
      </c>
      <c r="E3199" s="14" t="s">
        <v>6363</v>
      </c>
      <c r="F3199" s="14" t="s">
        <v>6364</v>
      </c>
      <c r="G3199" s="14" t="s">
        <v>24</v>
      </c>
      <c r="H3199" s="14"/>
      <c r="I3199" s="14"/>
      <c r="J3199" s="14"/>
      <c r="K3199" s="14"/>
      <c r="L3199" s="14"/>
      <c r="M3199" s="14" t="s">
        <v>6365</v>
      </c>
      <c r="N3199" s="14" t="s">
        <v>6366</v>
      </c>
      <c r="O3199" s="14" t="s">
        <v>6367</v>
      </c>
      <c r="P3199" s="14" t="str">
        <f>HYPERLINK("https://ceds.ed.gov/cedselementdetails.aspx?termid=18382")</f>
        <v>https://ceds.ed.gov/cedselementdetails.aspx?termid=18382</v>
      </c>
      <c r="Q3199" s="14" t="str">
        <f>HYPERLINK("https://ceds.ed.gov/elementComment.aspx?elementName=National Collegiate Athletic Association Eligibility &amp;elementID=18382", "Click here to submit comment")</f>
        <v>Click here to submit comment</v>
      </c>
      <c r="R3199" s="14">
        <v>51551</v>
      </c>
    </row>
    <row r="3200" spans="1:18" ht="90" x14ac:dyDescent="0.25">
      <c r="A3200" s="14" t="s">
        <v>9076</v>
      </c>
      <c r="B3200" s="14" t="s">
        <v>8944</v>
      </c>
      <c r="C3200" s="14"/>
      <c r="D3200" s="14" t="s">
        <v>8531</v>
      </c>
      <c r="E3200" s="14" t="s">
        <v>2949</v>
      </c>
      <c r="F3200" s="14" t="s">
        <v>2950</v>
      </c>
      <c r="G3200" s="14" t="s">
        <v>37</v>
      </c>
      <c r="H3200" s="14"/>
      <c r="I3200" s="14"/>
      <c r="J3200" s="14" t="s">
        <v>97</v>
      </c>
      <c r="K3200" s="14"/>
      <c r="L3200" s="14" t="s">
        <v>2951</v>
      </c>
      <c r="M3200" s="14" t="s">
        <v>2952</v>
      </c>
      <c r="N3200" s="14"/>
      <c r="O3200" s="14" t="s">
        <v>2953</v>
      </c>
      <c r="P3200" s="14" t="str">
        <f>HYPERLINK("https://ceds.ed.gov/cedselementdetails.aspx?termid=18272")</f>
        <v>https://ceds.ed.gov/cedselementdetails.aspx?termid=18272</v>
      </c>
      <c r="Q3200" s="14" t="str">
        <f>HYPERLINK("https://ceds.ed.gov/elementComment.aspx?elementName=Course Funding Program &amp;elementID=18272", "Click here to submit comment")</f>
        <v>Click here to submit comment</v>
      </c>
      <c r="R3200" s="14">
        <v>51548</v>
      </c>
    </row>
    <row r="3201" spans="1:18" ht="60" x14ac:dyDescent="0.25">
      <c r="A3201" s="14" t="s">
        <v>9076</v>
      </c>
      <c r="B3201" s="14" t="s">
        <v>8944</v>
      </c>
      <c r="C3201" s="14"/>
      <c r="D3201" s="14" t="s">
        <v>8531</v>
      </c>
      <c r="E3201" s="14" t="s">
        <v>8385</v>
      </c>
      <c r="F3201" s="14" t="s">
        <v>8386</v>
      </c>
      <c r="G3201" s="14" t="s">
        <v>24</v>
      </c>
      <c r="H3201" s="14"/>
      <c r="I3201" s="14"/>
      <c r="J3201" s="14"/>
      <c r="K3201" s="14"/>
      <c r="L3201" s="14" t="s">
        <v>8388</v>
      </c>
      <c r="M3201" s="14" t="s">
        <v>8389</v>
      </c>
      <c r="N3201" s="14"/>
      <c r="O3201" s="14" t="s">
        <v>8390</v>
      </c>
      <c r="P3201" s="14" t="str">
        <f>HYPERLINK("https://ceds.ed.gov/cedselementdetails.aspx?termid=18554")</f>
        <v>https://ceds.ed.gov/cedselementdetails.aspx?termid=18554</v>
      </c>
      <c r="Q3201" s="14" t="str">
        <f>HYPERLINK("https://ceds.ed.gov/elementComment.aspx?elementName=Tuition Funded &amp;elementID=18554", "Click here to submit comment")</f>
        <v>Click here to submit comment</v>
      </c>
      <c r="R3201" s="14">
        <v>51552</v>
      </c>
    </row>
    <row r="3202" spans="1:18" ht="165" x14ac:dyDescent="0.25">
      <c r="A3202" s="14" t="s">
        <v>9076</v>
      </c>
      <c r="B3202" s="14" t="s">
        <v>8944</v>
      </c>
      <c r="C3202" s="14"/>
      <c r="D3202" s="14" t="s">
        <v>8531</v>
      </c>
      <c r="E3202" s="14" t="s">
        <v>3531</v>
      </c>
      <c r="F3202" s="14" t="s">
        <v>3532</v>
      </c>
      <c r="G3202" s="8" t="s">
        <v>9030</v>
      </c>
      <c r="H3202" s="14" t="s">
        <v>3530</v>
      </c>
      <c r="I3202" s="14"/>
      <c r="J3202" s="14"/>
      <c r="K3202" s="14"/>
      <c r="L3202" s="14"/>
      <c r="M3202" s="14" t="s">
        <v>3535</v>
      </c>
      <c r="N3202" s="14"/>
      <c r="O3202" s="14" t="s">
        <v>3536</v>
      </c>
      <c r="P3202" s="14" t="str">
        <f>HYPERLINK("https://ceds.ed.gov/cedselementdetails.aspx?termid=18568")</f>
        <v>https://ceds.ed.gov/cedselementdetails.aspx?termid=18568</v>
      </c>
      <c r="Q3202" s="14" t="str">
        <f>HYPERLINK("https://ceds.ed.gov/elementComment.aspx?elementName=Developmental Education Type &amp;elementID=18568", "Click here to submit comment")</f>
        <v>Click here to submit comment</v>
      </c>
      <c r="R3202" s="14">
        <v>51539</v>
      </c>
    </row>
    <row r="3203" spans="1:18" ht="105" x14ac:dyDescent="0.25">
      <c r="A3203" s="16" t="s">
        <v>9076</v>
      </c>
      <c r="B3203" s="16" t="s">
        <v>8944</v>
      </c>
      <c r="C3203" s="16" t="s">
        <v>8949</v>
      </c>
      <c r="D3203" s="16" t="s">
        <v>8531</v>
      </c>
      <c r="E3203" s="16" t="s">
        <v>2966</v>
      </c>
      <c r="F3203" s="16" t="s">
        <v>2967</v>
      </c>
      <c r="G3203" s="16" t="s">
        <v>37</v>
      </c>
      <c r="H3203" s="16" t="s">
        <v>2970</v>
      </c>
      <c r="I3203" s="16"/>
      <c r="J3203" s="16" t="s">
        <v>149</v>
      </c>
      <c r="K3203" s="16"/>
      <c r="L3203" s="14" t="s">
        <v>150</v>
      </c>
      <c r="M3203" s="16" t="s">
        <v>2968</v>
      </c>
      <c r="N3203" s="16"/>
      <c r="O3203" s="16" t="s">
        <v>2969</v>
      </c>
      <c r="P3203" s="16" t="str">
        <f>HYPERLINK("https://ceds.ed.gov/cedselementdetails.aspx?termid=17055")</f>
        <v>https://ceds.ed.gov/cedselementdetails.aspx?termid=17055</v>
      </c>
      <c r="Q3203" s="16" t="str">
        <f>HYPERLINK("https://ceds.ed.gov/elementComment.aspx?elementName=Course Identifier &amp;elementID=17055", "Click here to submit comment")</f>
        <v>Click here to submit comment</v>
      </c>
      <c r="R3203" s="16">
        <v>49826</v>
      </c>
    </row>
    <row r="3204" spans="1:18" x14ac:dyDescent="0.25">
      <c r="A3204" s="16"/>
      <c r="B3204" s="16"/>
      <c r="C3204" s="16"/>
      <c r="D3204" s="16"/>
      <c r="E3204" s="16"/>
      <c r="F3204" s="16"/>
      <c r="G3204" s="16"/>
      <c r="H3204" s="16"/>
      <c r="I3204" s="16"/>
      <c r="J3204" s="16"/>
      <c r="K3204" s="16"/>
      <c r="L3204" s="14"/>
      <c r="M3204" s="16"/>
      <c r="N3204" s="16"/>
      <c r="O3204" s="16"/>
      <c r="P3204" s="16"/>
      <c r="Q3204" s="16"/>
      <c r="R3204" s="16"/>
    </row>
    <row r="3205" spans="1:18" ht="90" x14ac:dyDescent="0.25">
      <c r="A3205" s="16"/>
      <c r="B3205" s="16"/>
      <c r="C3205" s="16"/>
      <c r="D3205" s="16"/>
      <c r="E3205" s="16"/>
      <c r="F3205" s="16"/>
      <c r="G3205" s="16"/>
      <c r="H3205" s="16"/>
      <c r="I3205" s="16"/>
      <c r="J3205" s="16"/>
      <c r="K3205" s="16"/>
      <c r="L3205" s="14" t="s">
        <v>153</v>
      </c>
      <c r="M3205" s="16"/>
      <c r="N3205" s="16"/>
      <c r="O3205" s="16"/>
      <c r="P3205" s="16"/>
      <c r="Q3205" s="16"/>
      <c r="R3205" s="16"/>
    </row>
    <row r="3206" spans="1:18" ht="105" x14ac:dyDescent="0.25">
      <c r="A3206" s="16" t="s">
        <v>9076</v>
      </c>
      <c r="B3206" s="16" t="s">
        <v>8944</v>
      </c>
      <c r="C3206" s="16" t="s">
        <v>8949</v>
      </c>
      <c r="D3206" s="16" t="s">
        <v>8531</v>
      </c>
      <c r="E3206" s="16" t="s">
        <v>374</v>
      </c>
      <c r="F3206" s="16" t="s">
        <v>375</v>
      </c>
      <c r="G3206" s="16" t="s">
        <v>37</v>
      </c>
      <c r="H3206" s="16"/>
      <c r="I3206" s="16"/>
      <c r="J3206" s="16" t="s">
        <v>149</v>
      </c>
      <c r="K3206" s="16"/>
      <c r="L3206" s="14" t="s">
        <v>150</v>
      </c>
      <c r="M3206" s="16" t="s">
        <v>377</v>
      </c>
      <c r="N3206" s="16"/>
      <c r="O3206" s="16" t="s">
        <v>378</v>
      </c>
      <c r="P3206" s="16" t="str">
        <f>HYPERLINK("https://ceds.ed.gov/cedselementdetails.aspx?termid=18246")</f>
        <v>https://ceds.ed.gov/cedselementdetails.aspx?termid=18246</v>
      </c>
      <c r="Q3206" s="16" t="str">
        <f>HYPERLINK("https://ceds.ed.gov/elementComment.aspx?elementName=Agency Course Identifier &amp;elementID=18246", "Click here to submit comment")</f>
        <v>Click here to submit comment</v>
      </c>
      <c r="R3206" s="16">
        <v>51519</v>
      </c>
    </row>
    <row r="3207" spans="1:18" x14ac:dyDescent="0.25">
      <c r="A3207" s="16"/>
      <c r="B3207" s="16"/>
      <c r="C3207" s="16"/>
      <c r="D3207" s="16"/>
      <c r="E3207" s="16"/>
      <c r="F3207" s="16"/>
      <c r="G3207" s="16"/>
      <c r="H3207" s="16"/>
      <c r="I3207" s="16"/>
      <c r="J3207" s="16"/>
      <c r="K3207" s="16"/>
      <c r="L3207" s="14"/>
      <c r="M3207" s="16"/>
      <c r="N3207" s="16"/>
      <c r="O3207" s="16"/>
      <c r="P3207" s="16"/>
      <c r="Q3207" s="16"/>
      <c r="R3207" s="16"/>
    </row>
    <row r="3208" spans="1:18" ht="90" x14ac:dyDescent="0.25">
      <c r="A3208" s="16"/>
      <c r="B3208" s="16"/>
      <c r="C3208" s="16"/>
      <c r="D3208" s="16"/>
      <c r="E3208" s="16"/>
      <c r="F3208" s="16"/>
      <c r="G3208" s="16"/>
      <c r="H3208" s="16"/>
      <c r="I3208" s="16"/>
      <c r="J3208" s="16"/>
      <c r="K3208" s="16"/>
      <c r="L3208" s="14" t="s">
        <v>153</v>
      </c>
      <c r="M3208" s="16"/>
      <c r="N3208" s="16"/>
      <c r="O3208" s="16"/>
      <c r="P3208" s="16"/>
      <c r="Q3208" s="16"/>
      <c r="R3208" s="16"/>
    </row>
    <row r="3209" spans="1:18" ht="195" x14ac:dyDescent="0.25">
      <c r="A3209" s="14" t="s">
        <v>9076</v>
      </c>
      <c r="B3209" s="14" t="s">
        <v>8944</v>
      </c>
      <c r="C3209" s="14" t="s">
        <v>8949</v>
      </c>
      <c r="D3209" s="14" t="s">
        <v>8531</v>
      </c>
      <c r="E3209" s="14" t="s">
        <v>2909</v>
      </c>
      <c r="F3209" s="14" t="s">
        <v>2910</v>
      </c>
      <c r="G3209" s="8" t="s">
        <v>8834</v>
      </c>
      <c r="H3209" s="14" t="s">
        <v>1713</v>
      </c>
      <c r="I3209" s="14"/>
      <c r="J3209" s="14"/>
      <c r="K3209" s="14"/>
      <c r="L3209" s="14"/>
      <c r="M3209" s="14" t="s">
        <v>2913</v>
      </c>
      <c r="N3209" s="14"/>
      <c r="O3209" s="14" t="s">
        <v>2914</v>
      </c>
      <c r="P3209" s="14" t="str">
        <f>HYPERLINK("https://ceds.ed.gov/cedselementdetails.aspx?termid=17056")</f>
        <v>https://ceds.ed.gov/cedselementdetails.aspx?termid=17056</v>
      </c>
      <c r="Q3209" s="14" t="str">
        <f>HYPERLINK("https://ceds.ed.gov/elementComment.aspx?elementName=Course Code System &amp;elementID=17056", "Click here to submit comment")</f>
        <v>Click here to submit comment</v>
      </c>
      <c r="R3209" s="14">
        <v>49827</v>
      </c>
    </row>
    <row r="3210" spans="1:18" ht="45" x14ac:dyDescent="0.25">
      <c r="A3210" s="14" t="s">
        <v>9076</v>
      </c>
      <c r="B3210" s="14" t="s">
        <v>8944</v>
      </c>
      <c r="C3210" s="14" t="s">
        <v>8949</v>
      </c>
      <c r="D3210" s="14" t="s">
        <v>8531</v>
      </c>
      <c r="E3210" s="14" t="s">
        <v>6383</v>
      </c>
      <c r="F3210" s="14" t="s">
        <v>6384</v>
      </c>
      <c r="G3210" s="14" t="s">
        <v>6385</v>
      </c>
      <c r="H3210" s="14"/>
      <c r="I3210" s="14"/>
      <c r="J3210" s="14"/>
      <c r="K3210" s="14"/>
      <c r="L3210" s="14"/>
      <c r="M3210" s="14" t="s">
        <v>6386</v>
      </c>
      <c r="N3210" s="14"/>
      <c r="O3210" s="14" t="s">
        <v>6387</v>
      </c>
      <c r="P3210" s="14" t="str">
        <f>HYPERLINK("https://ceds.ed.gov/cedselementdetails.aspx?termid=18383")</f>
        <v>https://ceds.ed.gov/cedselementdetails.aspx?termid=18383</v>
      </c>
      <c r="Q3210" s="14" t="str">
        <f>HYPERLINK("https://ceds.ed.gov/elementComment.aspx?elementName=NCES College Course Map Code &amp;elementID=18383", "Click here to submit comment")</f>
        <v>Click here to submit comment</v>
      </c>
      <c r="R3210" s="14">
        <v>51520</v>
      </c>
    </row>
    <row r="3211" spans="1:18" ht="60" x14ac:dyDescent="0.25">
      <c r="A3211" s="14" t="s">
        <v>9076</v>
      </c>
      <c r="B3211" s="14" t="s">
        <v>8944</v>
      </c>
      <c r="C3211" s="14" t="s">
        <v>8949</v>
      </c>
      <c r="D3211" s="14" t="s">
        <v>8531</v>
      </c>
      <c r="E3211" s="14" t="s">
        <v>3094</v>
      </c>
      <c r="F3211" s="14" t="s">
        <v>3095</v>
      </c>
      <c r="G3211" s="14" t="s">
        <v>37</v>
      </c>
      <c r="H3211" s="14" t="s">
        <v>65</v>
      </c>
      <c r="I3211" s="14"/>
      <c r="J3211" s="14" t="s">
        <v>3096</v>
      </c>
      <c r="K3211" s="14"/>
      <c r="L3211" s="14"/>
      <c r="M3211" s="14" t="s">
        <v>3097</v>
      </c>
      <c r="N3211" s="14"/>
      <c r="O3211" s="14" t="s">
        <v>3098</v>
      </c>
      <c r="P3211" s="14" t="str">
        <f>HYPERLINK("https://ceds.ed.gov/cedselementdetails.aspx?termid=17066")</f>
        <v>https://ceds.ed.gov/cedselementdetails.aspx?termid=17066</v>
      </c>
      <c r="Q3211" s="14" t="str">
        <f>HYPERLINK("https://ceds.ed.gov/elementComment.aspx?elementName=Course Subject Abbreviation &amp;elementID=17066", "Click here to submit comment")</f>
        <v>Click here to submit comment</v>
      </c>
      <c r="R3211" s="14">
        <v>51517</v>
      </c>
    </row>
    <row r="3212" spans="1:18" ht="45" x14ac:dyDescent="0.25">
      <c r="A3212" s="14" t="s">
        <v>9076</v>
      </c>
      <c r="B3212" s="14" t="s">
        <v>8944</v>
      </c>
      <c r="C3212" s="14" t="s">
        <v>8949</v>
      </c>
      <c r="D3212" s="14" t="s">
        <v>8531</v>
      </c>
      <c r="E3212" s="14" t="s">
        <v>6768</v>
      </c>
      <c r="F3212" s="14" t="s">
        <v>6769</v>
      </c>
      <c r="G3212" s="14" t="s">
        <v>37</v>
      </c>
      <c r="H3212" s="14" t="s">
        <v>65</v>
      </c>
      <c r="I3212" s="14"/>
      <c r="J3212" s="14" t="s">
        <v>175</v>
      </c>
      <c r="K3212" s="14"/>
      <c r="L3212" s="14"/>
      <c r="M3212" s="14" t="s">
        <v>6770</v>
      </c>
      <c r="N3212" s="14"/>
      <c r="O3212" s="14" t="s">
        <v>6771</v>
      </c>
      <c r="P3212" s="14" t="str">
        <f>HYPERLINK("https://ceds.ed.gov/cedselementdetails.aspx?termid=17068")</f>
        <v>https://ceds.ed.gov/cedselementdetails.aspx?termid=17068</v>
      </c>
      <c r="Q3212" s="14" t="str">
        <f>HYPERLINK("https://ceds.ed.gov/elementComment.aspx?elementName=Postsecondary Course Title &amp;elementID=17068", "Click here to submit comment")</f>
        <v>Click here to submit comment</v>
      </c>
      <c r="R3212" s="14">
        <v>51518</v>
      </c>
    </row>
    <row r="3213" spans="1:18" ht="225" x14ac:dyDescent="0.25">
      <c r="A3213" s="14" t="s">
        <v>9076</v>
      </c>
      <c r="B3213" s="14" t="s">
        <v>8944</v>
      </c>
      <c r="C3213" s="14" t="s">
        <v>8949</v>
      </c>
      <c r="D3213" s="14" t="s">
        <v>8531</v>
      </c>
      <c r="E3213" s="14" t="s">
        <v>3099</v>
      </c>
      <c r="F3213" s="14" t="s">
        <v>3100</v>
      </c>
      <c r="G3213" s="14" t="s">
        <v>37</v>
      </c>
      <c r="H3213" s="14" t="s">
        <v>1713</v>
      </c>
      <c r="I3213" s="14"/>
      <c r="J3213" s="14" t="s">
        <v>175</v>
      </c>
      <c r="K3213" s="14"/>
      <c r="L3213" s="14"/>
      <c r="M3213" s="14" t="s">
        <v>3101</v>
      </c>
      <c r="N3213" s="14"/>
      <c r="O3213" s="14" t="s">
        <v>3102</v>
      </c>
      <c r="P3213" s="14" t="str">
        <f>HYPERLINK("https://ceds.ed.gov/cedselementdetails.aspx?termid=17067")</f>
        <v>https://ceds.ed.gov/cedselementdetails.aspx?termid=17067</v>
      </c>
      <c r="Q3213" s="14" t="str">
        <f>HYPERLINK("https://ceds.ed.gov/elementComment.aspx?elementName=Course Title &amp;elementID=17067", "Click here to submit comment")</f>
        <v>Click here to submit comment</v>
      </c>
      <c r="R3213" s="14">
        <v>49830</v>
      </c>
    </row>
    <row r="3214" spans="1:18" ht="45" x14ac:dyDescent="0.25">
      <c r="A3214" s="14" t="s">
        <v>9076</v>
      </c>
      <c r="B3214" s="14" t="s">
        <v>8944</v>
      </c>
      <c r="C3214" s="14" t="s">
        <v>8949</v>
      </c>
      <c r="D3214" s="14" t="s">
        <v>8531</v>
      </c>
      <c r="E3214" s="14" t="s">
        <v>7371</v>
      </c>
      <c r="F3214" s="14" t="s">
        <v>7372</v>
      </c>
      <c r="G3214" s="14" t="s">
        <v>37</v>
      </c>
      <c r="H3214" s="14"/>
      <c r="I3214" s="14"/>
      <c r="J3214" s="14" t="s">
        <v>175</v>
      </c>
      <c r="K3214" s="14"/>
      <c r="L3214" s="14"/>
      <c r="M3214" s="14" t="s">
        <v>7373</v>
      </c>
      <c r="N3214" s="14" t="s">
        <v>7374</v>
      </c>
      <c r="O3214" s="14" t="s">
        <v>7375</v>
      </c>
      <c r="P3214" s="14" t="str">
        <f>HYPERLINK("https://ceds.ed.gov/cedselementdetails.aspx?termid=17231")</f>
        <v>https://ceds.ed.gov/cedselementdetails.aspx?termid=17231</v>
      </c>
      <c r="Q3214" s="14" t="str">
        <f>HYPERLINK("https://ceds.ed.gov/elementComment.aspx?elementName=Related Competency Definitions &amp;elementID=17231", "Click here to submit comment")</f>
        <v>Click here to submit comment</v>
      </c>
      <c r="R3214" s="14">
        <v>49818</v>
      </c>
    </row>
    <row r="3215" spans="1:18" ht="45" x14ac:dyDescent="0.25">
      <c r="A3215" s="14" t="s">
        <v>9076</v>
      </c>
      <c r="B3215" s="14" t="s">
        <v>8944</v>
      </c>
      <c r="C3215" s="14" t="s">
        <v>8949</v>
      </c>
      <c r="D3215" s="14" t="s">
        <v>8531</v>
      </c>
      <c r="E3215" s="14" t="s">
        <v>2901</v>
      </c>
      <c r="F3215" s="14" t="s">
        <v>2902</v>
      </c>
      <c r="G3215" s="14" t="s">
        <v>37</v>
      </c>
      <c r="H3215" s="14" t="s">
        <v>2232</v>
      </c>
      <c r="I3215" s="14"/>
      <c r="J3215" s="14" t="s">
        <v>135</v>
      </c>
      <c r="K3215" s="14"/>
      <c r="L3215" s="14"/>
      <c r="M3215" s="14" t="s">
        <v>2903</v>
      </c>
      <c r="N3215" s="14"/>
      <c r="O3215" s="14" t="s">
        <v>2904</v>
      </c>
      <c r="P3215" s="14" t="str">
        <f>HYPERLINK("https://ceds.ed.gov/cedselementdetails.aspx?termid=17054")</f>
        <v>https://ceds.ed.gov/cedselementdetails.aspx?termid=17054</v>
      </c>
      <c r="Q3215" s="14" t="str">
        <f>HYPERLINK("https://ceds.ed.gov/elementComment.aspx?elementName=Course Begin Date &amp;elementID=17054", "Click here to submit comment")</f>
        <v>Click here to submit comment</v>
      </c>
      <c r="R3215" s="14">
        <v>51513</v>
      </c>
    </row>
    <row r="3216" spans="1:18" ht="75" x14ac:dyDescent="0.25">
      <c r="A3216" s="14" t="s">
        <v>9076</v>
      </c>
      <c r="B3216" s="14" t="s">
        <v>8944</v>
      </c>
      <c r="C3216" s="14" t="s">
        <v>8949</v>
      </c>
      <c r="D3216" s="14" t="s">
        <v>8531</v>
      </c>
      <c r="E3216" s="14" t="s">
        <v>2945</v>
      </c>
      <c r="F3216" s="14" t="s">
        <v>2946</v>
      </c>
      <c r="G3216" s="14" t="s">
        <v>37</v>
      </c>
      <c r="H3216" s="14" t="s">
        <v>2232</v>
      </c>
      <c r="I3216" s="14"/>
      <c r="J3216" s="14" t="s">
        <v>135</v>
      </c>
      <c r="K3216" s="14"/>
      <c r="L3216" s="14" t="s">
        <v>160</v>
      </c>
      <c r="M3216" s="14" t="s">
        <v>2947</v>
      </c>
      <c r="N3216" s="14"/>
      <c r="O3216" s="14" t="s">
        <v>2948</v>
      </c>
      <c r="P3216" s="14" t="str">
        <f>HYPERLINK("https://ceds.ed.gov/cedselementdetails.aspx?termid=17059")</f>
        <v>https://ceds.ed.gov/cedselementdetails.aspx?termid=17059</v>
      </c>
      <c r="Q3216" s="14" t="str">
        <f>HYPERLINK("https://ceds.ed.gov/elementComment.aspx?elementName=Course End Date &amp;elementID=17059", "Click here to submit comment")</f>
        <v>Click here to submit comment</v>
      </c>
      <c r="R3216" s="14">
        <v>51516</v>
      </c>
    </row>
    <row r="3217" spans="1:18" ht="45" x14ac:dyDescent="0.25">
      <c r="A3217" s="14" t="s">
        <v>9076</v>
      </c>
      <c r="B3217" s="14" t="s">
        <v>8944</v>
      </c>
      <c r="C3217" s="14" t="s">
        <v>8949</v>
      </c>
      <c r="D3217" s="14" t="s">
        <v>8531</v>
      </c>
      <c r="E3217" s="14" t="s">
        <v>2931</v>
      </c>
      <c r="F3217" s="14" t="s">
        <v>2932</v>
      </c>
      <c r="G3217" s="14" t="s">
        <v>37</v>
      </c>
      <c r="H3217" s="14"/>
      <c r="I3217" s="14"/>
      <c r="J3217" s="14" t="s">
        <v>175</v>
      </c>
      <c r="K3217" s="14"/>
      <c r="L3217" s="14"/>
      <c r="M3217" s="14" t="s">
        <v>2934</v>
      </c>
      <c r="N3217" s="14"/>
      <c r="O3217" s="14" t="s">
        <v>2935</v>
      </c>
      <c r="P3217" s="14" t="str">
        <f>HYPERLINK("https://ceds.ed.gov/cedselementdetails.aspx?termid=18525")</f>
        <v>https://ceds.ed.gov/cedselementdetails.aspx?termid=18525</v>
      </c>
      <c r="Q3217" s="14" t="str">
        <f>HYPERLINK("https://ceds.ed.gov/elementComment.aspx?elementName=Course Department Name &amp;elementID=18525", "Click here to submit comment")</f>
        <v>Click here to submit comment</v>
      </c>
      <c r="R3217" s="14">
        <v>50835</v>
      </c>
    </row>
    <row r="3218" spans="1:18" ht="75" x14ac:dyDescent="0.25">
      <c r="A3218" s="14" t="s">
        <v>9076</v>
      </c>
      <c r="B3218" s="14" t="s">
        <v>8944</v>
      </c>
      <c r="C3218" s="14" t="s">
        <v>8949</v>
      </c>
      <c r="D3218" s="14" t="s">
        <v>8531</v>
      </c>
      <c r="E3218" s="14" t="s">
        <v>2365</v>
      </c>
      <c r="F3218" s="14" t="s">
        <v>2366</v>
      </c>
      <c r="G3218" s="14" t="s">
        <v>8526</v>
      </c>
      <c r="H3218" s="14" t="s">
        <v>48</v>
      </c>
      <c r="I3218" s="14"/>
      <c r="J3218" s="14"/>
      <c r="K3218" s="14"/>
      <c r="L3218" s="14"/>
      <c r="M3218" s="14" t="s">
        <v>2368</v>
      </c>
      <c r="N3218" s="14" t="s">
        <v>2369</v>
      </c>
      <c r="O3218" s="14" t="s">
        <v>2370</v>
      </c>
      <c r="P3218" s="14" t="str">
        <f>HYPERLINK("https://ceds.ed.gov/cedselementdetails.aspx?termid=17043")</f>
        <v>https://ceds.ed.gov/cedselementdetails.aspx?termid=17043</v>
      </c>
      <c r="Q3218" s="14" t="str">
        <f>HYPERLINK("https://ceds.ed.gov/elementComment.aspx?elementName=Classification of Instructional Program Code &amp;elementID=17043", "Click here to submit comment")</f>
        <v>Click here to submit comment</v>
      </c>
      <c r="R3218" s="14">
        <v>51521</v>
      </c>
    </row>
    <row r="3219" spans="1:18" ht="90" x14ac:dyDescent="0.25">
      <c r="A3219" s="14" t="s">
        <v>9076</v>
      </c>
      <c r="B3219" s="14" t="s">
        <v>8944</v>
      </c>
      <c r="C3219" s="14" t="s">
        <v>8949</v>
      </c>
      <c r="D3219" s="14" t="s">
        <v>8531</v>
      </c>
      <c r="E3219" s="14" t="s">
        <v>2378</v>
      </c>
      <c r="F3219" s="14" t="s">
        <v>2379</v>
      </c>
      <c r="G3219" s="8" t="s">
        <v>8998</v>
      </c>
      <c r="H3219" s="14" t="s">
        <v>225</v>
      </c>
      <c r="I3219" s="14"/>
      <c r="J3219" s="14"/>
      <c r="K3219" s="14"/>
      <c r="L3219" s="14"/>
      <c r="M3219" s="14" t="s">
        <v>2382</v>
      </c>
      <c r="N3219" s="14" t="s">
        <v>2383</v>
      </c>
      <c r="O3219" s="14" t="s">
        <v>2384</v>
      </c>
      <c r="P3219" s="14" t="str">
        <f>HYPERLINK("https://ceds.ed.gov/cedselementdetails.aspx?termid=17045")</f>
        <v>https://ceds.ed.gov/cedselementdetails.aspx?termid=17045</v>
      </c>
      <c r="Q3219" s="14" t="str">
        <f>HYPERLINK("https://ceds.ed.gov/elementComment.aspx?elementName=Classification of Instructional Program Version &amp;elementID=17045", "Click here to submit comment")</f>
        <v>Click here to submit comment</v>
      </c>
      <c r="R3219" s="14">
        <v>51522</v>
      </c>
    </row>
    <row r="3220" spans="1:18" ht="409.5" x14ac:dyDescent="0.25">
      <c r="A3220" s="14" t="s">
        <v>9076</v>
      </c>
      <c r="B3220" s="14" t="s">
        <v>8944</v>
      </c>
      <c r="C3220" s="14" t="s">
        <v>8949</v>
      </c>
      <c r="D3220" s="14" t="s">
        <v>8531</v>
      </c>
      <c r="E3220" s="14" t="s">
        <v>3029</v>
      </c>
      <c r="F3220" s="14" t="s">
        <v>3030</v>
      </c>
      <c r="G3220" s="8" t="s">
        <v>8950</v>
      </c>
      <c r="H3220" s="14" t="s">
        <v>3034</v>
      </c>
      <c r="I3220" s="14"/>
      <c r="J3220" s="14"/>
      <c r="K3220" s="14"/>
      <c r="L3220" s="14"/>
      <c r="M3220" s="14" t="s">
        <v>3032</v>
      </c>
      <c r="N3220" s="14"/>
      <c r="O3220" s="14" t="s">
        <v>3033</v>
      </c>
      <c r="P3220" s="14" t="str">
        <f>HYPERLINK("https://ceds.ed.gov/cedselementdetails.aspx?termid=17027")</f>
        <v>https://ceds.ed.gov/cedselementdetails.aspx?termid=17027</v>
      </c>
      <c r="Q3220" s="14" t="str">
        <f>HYPERLINK("https://ceds.ed.gov/elementComment.aspx?elementName=Course Section Assessment Reporting Method &amp;elementID=17027", "Click here to submit comment")</f>
        <v>Click here to submit comment</v>
      </c>
      <c r="R3220" s="14">
        <v>49823</v>
      </c>
    </row>
    <row r="3221" spans="1:18" ht="165" x14ac:dyDescent="0.25">
      <c r="A3221" s="14" t="s">
        <v>9076</v>
      </c>
      <c r="B3221" s="14" t="s">
        <v>8944</v>
      </c>
      <c r="C3221" s="14" t="s">
        <v>8949</v>
      </c>
      <c r="D3221" s="14" t="s">
        <v>8531</v>
      </c>
      <c r="E3221" s="14" t="s">
        <v>2925</v>
      </c>
      <c r="F3221" s="14" t="s">
        <v>2926</v>
      </c>
      <c r="G3221" s="8" t="s">
        <v>8706</v>
      </c>
      <c r="H3221" s="14" t="s">
        <v>65</v>
      </c>
      <c r="I3221" s="14"/>
      <c r="J3221" s="14"/>
      <c r="K3221" s="14"/>
      <c r="L3221" s="14"/>
      <c r="M3221" s="14" t="s">
        <v>2929</v>
      </c>
      <c r="N3221" s="14"/>
      <c r="O3221" s="14" t="s">
        <v>2930</v>
      </c>
      <c r="P3221" s="14" t="str">
        <f>HYPERLINK("https://ceds.ed.gov/cedselementdetails.aspx?termid=17057")</f>
        <v>https://ceds.ed.gov/cedselementdetails.aspx?termid=17057</v>
      </c>
      <c r="Q3221" s="14" t="str">
        <f>HYPERLINK("https://ceds.ed.gov/elementComment.aspx?elementName=Course Credit Units &amp;elementID=17057", "Click here to submit comment")</f>
        <v>Click here to submit comment</v>
      </c>
      <c r="R3221" s="14">
        <v>51514</v>
      </c>
    </row>
    <row r="3222" spans="1:18" ht="360" x14ac:dyDescent="0.25">
      <c r="A3222" s="14" t="s">
        <v>9076</v>
      </c>
      <c r="B3222" s="14" t="s">
        <v>8944</v>
      </c>
      <c r="C3222" s="14" t="s">
        <v>8949</v>
      </c>
      <c r="D3222" s="14" t="s">
        <v>8531</v>
      </c>
      <c r="E3222" s="14" t="s">
        <v>3353</v>
      </c>
      <c r="F3222" s="14" t="s">
        <v>3354</v>
      </c>
      <c r="G3222" s="8" t="s">
        <v>8836</v>
      </c>
      <c r="H3222" s="14" t="s">
        <v>72</v>
      </c>
      <c r="I3222" s="14"/>
      <c r="J3222" s="14"/>
      <c r="K3222" s="14"/>
      <c r="L3222" s="14"/>
      <c r="M3222" s="14" t="s">
        <v>3357</v>
      </c>
      <c r="N3222" s="14"/>
      <c r="O3222" s="14" t="s">
        <v>3358</v>
      </c>
      <c r="P3222" s="14" t="str">
        <f>HYPERLINK("https://ceds.ed.gov/cedselementdetails.aspx?termid=17072")</f>
        <v>https://ceds.ed.gov/cedselementdetails.aspx?termid=17072</v>
      </c>
      <c r="Q3222" s="14" t="str">
        <f>HYPERLINK("https://ceds.ed.gov/elementComment.aspx?elementName=Credit Unit Type &amp;elementID=17072", "Click here to submit comment")</f>
        <v>Click here to submit comment</v>
      </c>
      <c r="R3222" s="14">
        <v>49831</v>
      </c>
    </row>
    <row r="3223" spans="1:18" ht="105" x14ac:dyDescent="0.25">
      <c r="A3223" s="14" t="s">
        <v>9076</v>
      </c>
      <c r="B3223" s="14" t="s">
        <v>8944</v>
      </c>
      <c r="C3223" s="14" t="s">
        <v>8949</v>
      </c>
      <c r="D3223" s="14" t="s">
        <v>8531</v>
      </c>
      <c r="E3223" s="14" t="s">
        <v>3359</v>
      </c>
      <c r="F3223" s="14" t="s">
        <v>3360</v>
      </c>
      <c r="G3223" s="14" t="s">
        <v>37</v>
      </c>
      <c r="H3223" s="14" t="s">
        <v>65</v>
      </c>
      <c r="I3223" s="14"/>
      <c r="J3223" s="14" t="s">
        <v>1710</v>
      </c>
      <c r="K3223" s="14"/>
      <c r="L3223" s="14" t="s">
        <v>3362</v>
      </c>
      <c r="M3223" s="14" t="s">
        <v>3363</v>
      </c>
      <c r="N3223" s="14"/>
      <c r="O3223" s="14" t="s">
        <v>3364</v>
      </c>
      <c r="P3223" s="14" t="str">
        <f>HYPERLINK("https://ceds.ed.gov/cedselementdetails.aspx?termid=17058")</f>
        <v>https://ceds.ed.gov/cedselementdetails.aspx?termid=17058</v>
      </c>
      <c r="Q3223" s="14" t="str">
        <f>HYPERLINK("https://ceds.ed.gov/elementComment.aspx?elementName=Credit Value &amp;elementID=17058", "Click here to submit comment")</f>
        <v>Click here to submit comment</v>
      </c>
      <c r="R3223" s="14">
        <v>51515</v>
      </c>
    </row>
    <row r="3224" spans="1:18" ht="150" x14ac:dyDescent="0.25">
      <c r="A3224" s="14" t="s">
        <v>9076</v>
      </c>
      <c r="B3224" s="14" t="s">
        <v>8944</v>
      </c>
      <c r="C3224" s="14" t="s">
        <v>8949</v>
      </c>
      <c r="D3224" s="14" t="s">
        <v>8531</v>
      </c>
      <c r="E3224" s="14" t="s">
        <v>1707</v>
      </c>
      <c r="F3224" s="14" t="s">
        <v>1708</v>
      </c>
      <c r="G3224" s="14" t="s">
        <v>37</v>
      </c>
      <c r="H3224" s="14" t="s">
        <v>1713</v>
      </c>
      <c r="I3224" s="14"/>
      <c r="J3224" s="14" t="s">
        <v>1710</v>
      </c>
      <c r="K3224" s="14"/>
      <c r="L3224" s="14"/>
      <c r="M3224" s="14" t="s">
        <v>1711</v>
      </c>
      <c r="N3224" s="14"/>
      <c r="O3224" s="14" t="s">
        <v>1712</v>
      </c>
      <c r="P3224" s="14" t="str">
        <f>HYPERLINK("https://ceds.ed.gov/cedselementdetails.aspx?termid=17030")</f>
        <v>https://ceds.ed.gov/cedselementdetails.aspx?termid=17030</v>
      </c>
      <c r="Q3224" s="14" t="str">
        <f>HYPERLINK("https://ceds.ed.gov/elementComment.aspx?elementName=Available Carnegie Unit Credit &amp;elementID=17030", "Click here to submit comment")</f>
        <v>Click here to submit comment</v>
      </c>
      <c r="R3224" s="14">
        <v>49825</v>
      </c>
    </row>
    <row r="3225" spans="1:18" ht="330" x14ac:dyDescent="0.25">
      <c r="A3225" s="14" t="s">
        <v>9076</v>
      </c>
      <c r="B3225" s="14" t="s">
        <v>8944</v>
      </c>
      <c r="C3225" s="14" t="s">
        <v>8949</v>
      </c>
      <c r="D3225" s="14" t="s">
        <v>8531</v>
      </c>
      <c r="E3225" s="14" t="s">
        <v>2991</v>
      </c>
      <c r="F3225" s="14" t="s">
        <v>2992</v>
      </c>
      <c r="G3225" s="8" t="s">
        <v>8937</v>
      </c>
      <c r="H3225" s="14" t="s">
        <v>2970</v>
      </c>
      <c r="I3225" s="14"/>
      <c r="J3225" s="14"/>
      <c r="K3225" s="14"/>
      <c r="L3225" s="14"/>
      <c r="M3225" s="14" t="s">
        <v>2994</v>
      </c>
      <c r="N3225" s="14"/>
      <c r="O3225" s="14" t="s">
        <v>2995</v>
      </c>
      <c r="P3225" s="14" t="str">
        <f>HYPERLINK("https://ceds.ed.gov/cedselementdetails.aspx?termid=17061")</f>
        <v>https://ceds.ed.gov/cedselementdetails.aspx?termid=17061</v>
      </c>
      <c r="Q3225" s="14" t="str">
        <f>HYPERLINK("https://ceds.ed.gov/elementComment.aspx?elementName=Course Level Characteristic &amp;elementID=17061", "Click here to submit comment")</f>
        <v>Click here to submit comment</v>
      </c>
      <c r="R3225" s="14">
        <v>49829</v>
      </c>
    </row>
    <row r="3226" spans="1:18" ht="120" x14ac:dyDescent="0.25">
      <c r="A3226" s="14" t="s">
        <v>9076</v>
      </c>
      <c r="B3226" s="14" t="s">
        <v>8944</v>
      </c>
      <c r="C3226" s="14" t="s">
        <v>8949</v>
      </c>
      <c r="D3226" s="14" t="s">
        <v>8531</v>
      </c>
      <c r="E3226" s="14" t="s">
        <v>4948</v>
      </c>
      <c r="F3226" s="14" t="s">
        <v>4949</v>
      </c>
      <c r="G3226" s="14" t="s">
        <v>24</v>
      </c>
      <c r="H3226" s="14" t="s">
        <v>1713</v>
      </c>
      <c r="I3226" s="14"/>
      <c r="J3226" s="14"/>
      <c r="K3226" s="14"/>
      <c r="L3226" s="14"/>
      <c r="M3226" s="14" t="s">
        <v>4951</v>
      </c>
      <c r="N3226" s="14"/>
      <c r="O3226" s="14" t="s">
        <v>4952</v>
      </c>
      <c r="P3226" s="14" t="str">
        <f>HYPERLINK("https://ceds.ed.gov/cedselementdetails.aspx?termid=17137")</f>
        <v>https://ceds.ed.gov/cedselementdetails.aspx?termid=17137</v>
      </c>
      <c r="Q3226" s="14" t="str">
        <f>HYPERLINK("https://ceds.ed.gov/elementComment.aspx?elementName=High School Course Requirement &amp;elementID=17137", "Click here to submit comment")</f>
        <v>Click here to submit comment</v>
      </c>
      <c r="R3226" s="14">
        <v>49833</v>
      </c>
    </row>
    <row r="3227" spans="1:18" ht="45" x14ac:dyDescent="0.25">
      <c r="A3227" s="14" t="s">
        <v>9076</v>
      </c>
      <c r="B3227" s="14" t="s">
        <v>8944</v>
      </c>
      <c r="C3227" s="14" t="s">
        <v>8949</v>
      </c>
      <c r="D3227" s="14" t="s">
        <v>8531</v>
      </c>
      <c r="E3227" s="14" t="s">
        <v>3025</v>
      </c>
      <c r="F3227" s="14" t="s">
        <v>3026</v>
      </c>
      <c r="G3227" s="14" t="s">
        <v>37</v>
      </c>
      <c r="H3227" s="14"/>
      <c r="I3227" s="14"/>
      <c r="J3227" s="14" t="s">
        <v>1922</v>
      </c>
      <c r="K3227" s="14"/>
      <c r="L3227" s="14"/>
      <c r="M3227" s="14" t="s">
        <v>3027</v>
      </c>
      <c r="N3227" s="14"/>
      <c r="O3227" s="14" t="s">
        <v>3028</v>
      </c>
      <c r="P3227" s="14" t="str">
        <f>HYPERLINK("https://ceds.ed.gov/cedselementdetails.aspx?termid=18648")</f>
        <v>https://ceds.ed.gov/cedselementdetails.aspx?termid=18648</v>
      </c>
      <c r="Q3227" s="14" t="str">
        <f>HYPERLINK("https://ceds.ed.gov/elementComment.aspx?elementName=Course Repeatability Maximum Number &amp;elementID=18648", "Click here to submit comment")</f>
        <v>Click here to submit comment</v>
      </c>
      <c r="R3227" s="14">
        <v>51880</v>
      </c>
    </row>
    <row r="3228" spans="1:18" ht="120" x14ac:dyDescent="0.25">
      <c r="A3228" s="14" t="s">
        <v>9076</v>
      </c>
      <c r="B3228" s="14" t="s">
        <v>8944</v>
      </c>
      <c r="C3228" s="14" t="s">
        <v>8949</v>
      </c>
      <c r="D3228" s="14" t="s">
        <v>8531</v>
      </c>
      <c r="E3228" s="14" t="s">
        <v>7589</v>
      </c>
      <c r="F3228" s="14" t="s">
        <v>7590</v>
      </c>
      <c r="G3228" s="14" t="s">
        <v>37</v>
      </c>
      <c r="H3228" s="14" t="s">
        <v>1713</v>
      </c>
      <c r="I3228" s="14"/>
      <c r="J3228" s="14" t="s">
        <v>3096</v>
      </c>
      <c r="K3228" s="14"/>
      <c r="L3228" s="14" t="s">
        <v>7591</v>
      </c>
      <c r="M3228" s="14" t="s">
        <v>7592</v>
      </c>
      <c r="N3228" s="14" t="s">
        <v>7593</v>
      </c>
      <c r="O3228" s="14" t="s">
        <v>7594</v>
      </c>
      <c r="P3228" s="14" t="str">
        <f>HYPERLINK("https://ceds.ed.gov/cedselementdetails.aspx?termid=17250")</f>
        <v>https://ceds.ed.gov/cedselementdetails.aspx?termid=17250</v>
      </c>
      <c r="Q3228" s="14" t="str">
        <f>HYPERLINK("https://ceds.ed.gov/elementComment.aspx?elementName=School Courses for the Exchange of Data Sequence of Course &amp;elementID=17250", "Click here to submit comment")</f>
        <v>Click here to submit comment</v>
      </c>
      <c r="R3228" s="14">
        <v>49822</v>
      </c>
    </row>
    <row r="3229" spans="1:18" ht="105" x14ac:dyDescent="0.25">
      <c r="A3229" s="16" t="s">
        <v>9076</v>
      </c>
      <c r="B3229" s="16" t="s">
        <v>8944</v>
      </c>
      <c r="C3229" s="16" t="s">
        <v>8635</v>
      </c>
      <c r="D3229" s="16" t="s">
        <v>8531</v>
      </c>
      <c r="E3229" s="16" t="s">
        <v>8072</v>
      </c>
      <c r="F3229" s="16" t="s">
        <v>8073</v>
      </c>
      <c r="G3229" s="16" t="s">
        <v>37</v>
      </c>
      <c r="H3229" s="16" t="s">
        <v>8071</v>
      </c>
      <c r="I3229" s="16"/>
      <c r="J3229" s="16" t="s">
        <v>149</v>
      </c>
      <c r="K3229" s="16"/>
      <c r="L3229" s="14" t="s">
        <v>150</v>
      </c>
      <c r="M3229" s="16" t="s">
        <v>8074</v>
      </c>
      <c r="N3229" s="16"/>
      <c r="O3229" s="16" t="s">
        <v>8075</v>
      </c>
      <c r="P3229" s="16" t="str">
        <f>HYPERLINK("https://ceds.ed.gov/cedselementdetails.aspx?termid=17157")</f>
        <v>https://ceds.ed.gov/cedselementdetails.aspx?termid=17157</v>
      </c>
      <c r="Q3229" s="16" t="str">
        <f>HYPERLINK("https://ceds.ed.gov/elementComment.aspx?elementName=Student Identifier &amp;elementID=17157", "Click here to submit comment")</f>
        <v>Click here to submit comment</v>
      </c>
      <c r="R3229" s="16">
        <v>51506</v>
      </c>
    </row>
    <row r="3230" spans="1:18" x14ac:dyDescent="0.25">
      <c r="A3230" s="16"/>
      <c r="B3230" s="16"/>
      <c r="C3230" s="16"/>
      <c r="D3230" s="16"/>
      <c r="E3230" s="16"/>
      <c r="F3230" s="16"/>
      <c r="G3230" s="16"/>
      <c r="H3230" s="16"/>
      <c r="I3230" s="16"/>
      <c r="J3230" s="16"/>
      <c r="K3230" s="16"/>
      <c r="L3230" s="14"/>
      <c r="M3230" s="16"/>
      <c r="N3230" s="16"/>
      <c r="O3230" s="16"/>
      <c r="P3230" s="16"/>
      <c r="Q3230" s="16"/>
      <c r="R3230" s="16"/>
    </row>
    <row r="3231" spans="1:18" ht="90" x14ac:dyDescent="0.25">
      <c r="A3231" s="16"/>
      <c r="B3231" s="16"/>
      <c r="C3231" s="16"/>
      <c r="D3231" s="16"/>
      <c r="E3231" s="16"/>
      <c r="F3231" s="16"/>
      <c r="G3231" s="16"/>
      <c r="H3231" s="16"/>
      <c r="I3231" s="16"/>
      <c r="J3231" s="16"/>
      <c r="K3231" s="16"/>
      <c r="L3231" s="14" t="s">
        <v>153</v>
      </c>
      <c r="M3231" s="16"/>
      <c r="N3231" s="16"/>
      <c r="O3231" s="16"/>
      <c r="P3231" s="16"/>
      <c r="Q3231" s="16"/>
      <c r="R3231" s="16"/>
    </row>
    <row r="3232" spans="1:18" ht="210" x14ac:dyDescent="0.25">
      <c r="A3232" s="14" t="s">
        <v>9076</v>
      </c>
      <c r="B3232" s="14" t="s">
        <v>8944</v>
      </c>
      <c r="C3232" s="14" t="s">
        <v>8635</v>
      </c>
      <c r="D3232" s="14" t="s">
        <v>8531</v>
      </c>
      <c r="E3232" s="14" t="s">
        <v>8065</v>
      </c>
      <c r="F3232" s="14" t="s">
        <v>8066</v>
      </c>
      <c r="G3232" s="8" t="s">
        <v>8814</v>
      </c>
      <c r="H3232" s="14" t="s">
        <v>8071</v>
      </c>
      <c r="I3232" s="14"/>
      <c r="J3232" s="14"/>
      <c r="K3232" s="14"/>
      <c r="L3232" s="14"/>
      <c r="M3232" s="14" t="s">
        <v>8069</v>
      </c>
      <c r="N3232" s="14"/>
      <c r="O3232" s="14" t="s">
        <v>8070</v>
      </c>
      <c r="P3232" s="14" t="str">
        <f>HYPERLINK("https://ceds.ed.gov/cedselementdetails.aspx?termid=17163")</f>
        <v>https://ceds.ed.gov/cedselementdetails.aspx?termid=17163</v>
      </c>
      <c r="Q3232" s="14" t="str">
        <f>HYPERLINK("https://ceds.ed.gov/elementComment.aspx?elementName=Student Identification System &amp;elementID=17163", "Click here to submit comment")</f>
        <v>Click here to submit comment</v>
      </c>
      <c r="R3232" s="14">
        <v>51507</v>
      </c>
    </row>
    <row r="3233" spans="1:18" ht="45" x14ac:dyDescent="0.25">
      <c r="A3233" s="14" t="s">
        <v>9076</v>
      </c>
      <c r="B3233" s="14" t="s">
        <v>8944</v>
      </c>
      <c r="C3233" s="14" t="s">
        <v>8635</v>
      </c>
      <c r="D3233" s="14" t="s">
        <v>8531</v>
      </c>
      <c r="E3233" s="14" t="s">
        <v>3011</v>
      </c>
      <c r="F3233" s="14" t="s">
        <v>3012</v>
      </c>
      <c r="G3233" s="14" t="s">
        <v>37</v>
      </c>
      <c r="H3233" s="14" t="s">
        <v>65</v>
      </c>
      <c r="I3233" s="14"/>
      <c r="J3233" s="14" t="s">
        <v>62</v>
      </c>
      <c r="K3233" s="14"/>
      <c r="L3233" s="14"/>
      <c r="M3233" s="14" t="s">
        <v>3013</v>
      </c>
      <c r="N3233" s="14"/>
      <c r="O3233" s="14" t="s">
        <v>3014</v>
      </c>
      <c r="P3233" s="14" t="str">
        <f>HYPERLINK("https://ceds.ed.gov/cedselementdetails.aspx?termid=17063")</f>
        <v>https://ceds.ed.gov/cedselementdetails.aspx?termid=17063</v>
      </c>
      <c r="Q3233" s="14" t="str">
        <f>HYPERLINK("https://ceds.ed.gov/elementComment.aspx?elementName=Course Override School &amp;elementID=17063", "Click here to submit comment")</f>
        <v>Click here to submit comment</v>
      </c>
      <c r="R3233" s="14">
        <v>51498</v>
      </c>
    </row>
    <row r="3234" spans="1:18" ht="45" x14ac:dyDescent="0.25">
      <c r="A3234" s="14" t="s">
        <v>9076</v>
      </c>
      <c r="B3234" s="14" t="s">
        <v>8944</v>
      </c>
      <c r="C3234" s="14" t="s">
        <v>8635</v>
      </c>
      <c r="D3234" s="14" t="s">
        <v>8531</v>
      </c>
      <c r="E3234" s="14" t="s">
        <v>2886</v>
      </c>
      <c r="F3234" s="14" t="s">
        <v>2887</v>
      </c>
      <c r="G3234" s="14" t="s">
        <v>37</v>
      </c>
      <c r="H3234" s="14"/>
      <c r="I3234" s="14"/>
      <c r="J3234" s="14" t="s">
        <v>135</v>
      </c>
      <c r="K3234" s="14"/>
      <c r="L3234" s="14"/>
      <c r="M3234" s="14" t="s">
        <v>2888</v>
      </c>
      <c r="N3234" s="14"/>
      <c r="O3234" s="14" t="s">
        <v>2889</v>
      </c>
      <c r="P3234" s="14" t="str">
        <f>HYPERLINK("https://ceds.ed.gov/cedselementdetails.aspx?termid=18266")</f>
        <v>https://ceds.ed.gov/cedselementdetails.aspx?termid=18266</v>
      </c>
      <c r="Q3234" s="14" t="str">
        <f>HYPERLINK("https://ceds.ed.gov/elementComment.aspx?elementName=Course Add Date &amp;elementID=18266", "Click here to submit comment")</f>
        <v>Click here to submit comment</v>
      </c>
      <c r="R3234" s="14">
        <v>51502</v>
      </c>
    </row>
    <row r="3235" spans="1:18" ht="45" x14ac:dyDescent="0.25">
      <c r="A3235" s="14" t="s">
        <v>9076</v>
      </c>
      <c r="B3235" s="14" t="s">
        <v>8944</v>
      </c>
      <c r="C3235" s="14" t="s">
        <v>8635</v>
      </c>
      <c r="D3235" s="14" t="s">
        <v>8531</v>
      </c>
      <c r="E3235" s="14" t="s">
        <v>2940</v>
      </c>
      <c r="F3235" s="14" t="s">
        <v>2941</v>
      </c>
      <c r="G3235" s="14" t="s">
        <v>37</v>
      </c>
      <c r="H3235" s="14" t="s">
        <v>2944</v>
      </c>
      <c r="I3235" s="14"/>
      <c r="J3235" s="14" t="s">
        <v>135</v>
      </c>
      <c r="K3235" s="14"/>
      <c r="L3235" s="14"/>
      <c r="M3235" s="14" t="s">
        <v>2942</v>
      </c>
      <c r="N3235" s="14"/>
      <c r="O3235" s="14" t="s">
        <v>2943</v>
      </c>
      <c r="P3235" s="14" t="str">
        <f>HYPERLINK("https://ceds.ed.gov/cedselementdetails.aspx?termid=18271")</f>
        <v>https://ceds.ed.gov/cedselementdetails.aspx?termid=18271</v>
      </c>
      <c r="Q3235" s="14" t="str">
        <f>HYPERLINK("https://ceds.ed.gov/elementComment.aspx?elementName=Course Drop Date &amp;elementID=18271", "Click here to submit comment")</f>
        <v>Click here to submit comment</v>
      </c>
      <c r="R3235" s="14">
        <v>51503</v>
      </c>
    </row>
    <row r="3236" spans="1:18" ht="45" x14ac:dyDescent="0.25">
      <c r="A3236" s="14" t="s">
        <v>9076</v>
      </c>
      <c r="B3236" s="14" t="s">
        <v>8944</v>
      </c>
      <c r="C3236" s="14" t="s">
        <v>8635</v>
      </c>
      <c r="D3236" s="14" t="s">
        <v>8531</v>
      </c>
      <c r="E3236" s="14" t="s">
        <v>3465</v>
      </c>
      <c r="F3236" s="14" t="s">
        <v>3466</v>
      </c>
      <c r="G3236" s="14" t="s">
        <v>24</v>
      </c>
      <c r="H3236" s="14" t="s">
        <v>65</v>
      </c>
      <c r="I3236" s="14"/>
      <c r="J3236" s="14"/>
      <c r="K3236" s="14"/>
      <c r="L3236" s="14"/>
      <c r="M3236" s="14" t="s">
        <v>3467</v>
      </c>
      <c r="N3236" s="14"/>
      <c r="O3236" s="14" t="s">
        <v>3468</v>
      </c>
      <c r="P3236" s="14" t="str">
        <f>HYPERLINK("https://ceds.ed.gov/cedselementdetails.aspx?termid=17077")</f>
        <v>https://ceds.ed.gov/cedselementdetails.aspx?termid=17077</v>
      </c>
      <c r="Q3236" s="14" t="str">
        <f>HYPERLINK("https://ceds.ed.gov/elementComment.aspx?elementName=Degree Applicability &amp;elementID=17077", "Click here to submit comment")</f>
        <v>Click here to submit comment</v>
      </c>
      <c r="R3236" s="14">
        <v>51501</v>
      </c>
    </row>
    <row r="3237" spans="1:18" ht="90" x14ac:dyDescent="0.25">
      <c r="A3237" s="14" t="s">
        <v>9076</v>
      </c>
      <c r="B3237" s="14" t="s">
        <v>8944</v>
      </c>
      <c r="C3237" s="14" t="s">
        <v>8635</v>
      </c>
      <c r="D3237" s="14" t="s">
        <v>8531</v>
      </c>
      <c r="E3237" s="14" t="s">
        <v>8046</v>
      </c>
      <c r="F3237" s="14" t="s">
        <v>8047</v>
      </c>
      <c r="G3237" s="14" t="s">
        <v>37</v>
      </c>
      <c r="H3237" s="14" t="s">
        <v>72</v>
      </c>
      <c r="I3237" s="14"/>
      <c r="J3237" s="14" t="s">
        <v>2870</v>
      </c>
      <c r="K3237" s="14"/>
      <c r="L3237" s="14"/>
      <c r="M3237" s="14" t="s">
        <v>8049</v>
      </c>
      <c r="N3237" s="14"/>
      <c r="O3237" s="14" t="s">
        <v>8050</v>
      </c>
      <c r="P3237" s="14" t="str">
        <f>HYPERLINK("https://ceds.ed.gov/cedselementdetails.aspx?termid=17124")</f>
        <v>https://ceds.ed.gov/cedselementdetails.aspx?termid=17124</v>
      </c>
      <c r="Q3237" s="14" t="str">
        <f>HYPERLINK("https://ceds.ed.gov/elementComment.aspx?elementName=Student Course Section Grade Earned &amp;elementID=17124", "Click here to submit comment")</f>
        <v>Click here to submit comment</v>
      </c>
      <c r="R3237" s="14">
        <v>51504</v>
      </c>
    </row>
    <row r="3238" spans="1:18" ht="45" x14ac:dyDescent="0.25">
      <c r="A3238" s="14" t="s">
        <v>9076</v>
      </c>
      <c r="B3238" s="14" t="s">
        <v>8944</v>
      </c>
      <c r="C3238" s="14" t="s">
        <v>8635</v>
      </c>
      <c r="D3238" s="14" t="s">
        <v>8531</v>
      </c>
      <c r="E3238" s="14" t="s">
        <v>2867</v>
      </c>
      <c r="F3238" s="14" t="s">
        <v>2868</v>
      </c>
      <c r="G3238" s="14" t="s">
        <v>37</v>
      </c>
      <c r="H3238" s="14" t="s">
        <v>2232</v>
      </c>
      <c r="I3238" s="14"/>
      <c r="J3238" s="14" t="s">
        <v>2870</v>
      </c>
      <c r="K3238" s="14"/>
      <c r="L3238" s="14"/>
      <c r="M3238" s="14" t="s">
        <v>2871</v>
      </c>
      <c r="N3238" s="14"/>
      <c r="O3238" s="14" t="s">
        <v>2872</v>
      </c>
      <c r="P3238" s="14" t="str">
        <f>HYPERLINK("https://ceds.ed.gov/cedselementdetails.aspx?termid=17053")</f>
        <v>https://ceds.ed.gov/cedselementdetails.aspx?termid=17053</v>
      </c>
      <c r="Q3238" s="14" t="str">
        <f>HYPERLINK("https://ceds.ed.gov/elementComment.aspx?elementName=Course Academic Grade &amp;elementID=17053", "Click here to submit comment")</f>
        <v>Click here to submit comment</v>
      </c>
      <c r="R3238" s="14">
        <v>51497</v>
      </c>
    </row>
    <row r="3239" spans="1:18" ht="120" x14ac:dyDescent="0.25">
      <c r="A3239" s="14" t="s">
        <v>9076</v>
      </c>
      <c r="B3239" s="14" t="s">
        <v>8944</v>
      </c>
      <c r="C3239" s="14" t="s">
        <v>8635</v>
      </c>
      <c r="D3239" s="14" t="s">
        <v>8531</v>
      </c>
      <c r="E3239" s="14" t="s">
        <v>6436</v>
      </c>
      <c r="F3239" s="14" t="s">
        <v>6437</v>
      </c>
      <c r="G3239" s="14" t="s">
        <v>37</v>
      </c>
      <c r="H3239" s="14" t="s">
        <v>6137</v>
      </c>
      <c r="I3239" s="14"/>
      <c r="J3239" s="14" t="s">
        <v>1710</v>
      </c>
      <c r="K3239" s="14"/>
      <c r="L3239" s="14"/>
      <c r="M3239" s="14" t="s">
        <v>6439</v>
      </c>
      <c r="N3239" s="14"/>
      <c r="O3239" s="14" t="s">
        <v>6440</v>
      </c>
      <c r="P3239" s="14" t="str">
        <f>HYPERLINK("https://ceds.ed.gov/cedselementdetails.aspx?termid=17200")</f>
        <v>https://ceds.ed.gov/cedselementdetails.aspx?termid=17200</v>
      </c>
      <c r="Q3239" s="14" t="str">
        <f>HYPERLINK("https://ceds.ed.gov/elementComment.aspx?elementName=Number of Credits Earned &amp;elementID=17200", "Click here to submit comment")</f>
        <v>Click here to submit comment</v>
      </c>
      <c r="R3239" s="14">
        <v>51508</v>
      </c>
    </row>
    <row r="3240" spans="1:18" ht="60" x14ac:dyDescent="0.25">
      <c r="A3240" s="14" t="s">
        <v>9076</v>
      </c>
      <c r="B3240" s="14" t="s">
        <v>8944</v>
      </c>
      <c r="C3240" s="14" t="s">
        <v>8635</v>
      </c>
      <c r="D3240" s="14" t="s">
        <v>8531</v>
      </c>
      <c r="E3240" s="14" t="s">
        <v>3015</v>
      </c>
      <c r="F3240" s="14" t="s">
        <v>3016</v>
      </c>
      <c r="G3240" s="14" t="s">
        <v>37</v>
      </c>
      <c r="H3240" s="14" t="s">
        <v>65</v>
      </c>
      <c r="I3240" s="14"/>
      <c r="J3240" s="14" t="s">
        <v>1710</v>
      </c>
      <c r="K3240" s="14"/>
      <c r="L3240" s="14"/>
      <c r="M3240" s="14" t="s">
        <v>3017</v>
      </c>
      <c r="N3240" s="14"/>
      <c r="O3240" s="14" t="s">
        <v>3018</v>
      </c>
      <c r="P3240" s="14" t="str">
        <f>HYPERLINK("https://ceds.ed.gov/cedselementdetails.aspx?termid=17064")</f>
        <v>https://ceds.ed.gov/cedselementdetails.aspx?termid=17064</v>
      </c>
      <c r="Q3240" s="14" t="str">
        <f>HYPERLINK("https://ceds.ed.gov/elementComment.aspx?elementName=Course Quality Points Earned &amp;elementID=17064", "Click here to submit comment")</f>
        <v>Click here to submit comment</v>
      </c>
      <c r="R3240" s="14">
        <v>51499</v>
      </c>
    </row>
    <row r="3241" spans="1:18" ht="45" x14ac:dyDescent="0.25">
      <c r="A3241" s="14" t="s">
        <v>9076</v>
      </c>
      <c r="B3241" s="14" t="s">
        <v>8944</v>
      </c>
      <c r="C3241" s="14" t="s">
        <v>8635</v>
      </c>
      <c r="D3241" s="14" t="s">
        <v>8531</v>
      </c>
      <c r="E3241" s="14" t="s">
        <v>8051</v>
      </c>
      <c r="F3241" s="14" t="s">
        <v>8052</v>
      </c>
      <c r="G3241" s="14" t="s">
        <v>37</v>
      </c>
      <c r="H3241" s="14"/>
      <c r="I3241" s="14"/>
      <c r="J3241" s="14" t="s">
        <v>129</v>
      </c>
      <c r="K3241" s="14"/>
      <c r="L3241" s="14"/>
      <c r="M3241" s="14" t="s">
        <v>8054</v>
      </c>
      <c r="N3241" s="14"/>
      <c r="O3241" s="14" t="s">
        <v>8055</v>
      </c>
      <c r="P3241" s="14" t="str">
        <f>HYPERLINK("https://ceds.ed.gov/cedselementdetails.aspx?termid=18552")</f>
        <v>https://ceds.ed.gov/cedselementdetails.aspx?termid=18552</v>
      </c>
      <c r="Q3241" s="14" t="str">
        <f>HYPERLINK("https://ceds.ed.gov/elementComment.aspx?elementName=Student Course Section Grade Narrative &amp;elementID=18552", "Click here to submit comment")</f>
        <v>Click here to submit comment</v>
      </c>
      <c r="R3241" s="14">
        <v>51505</v>
      </c>
    </row>
    <row r="3242" spans="1:18" ht="90" x14ac:dyDescent="0.25">
      <c r="A3242" s="14" t="s">
        <v>9076</v>
      </c>
      <c r="B3242" s="14" t="s">
        <v>8944</v>
      </c>
      <c r="C3242" s="14" t="s">
        <v>8954</v>
      </c>
      <c r="D3242" s="14" t="s">
        <v>8531</v>
      </c>
      <c r="E3242" s="14" t="s">
        <v>6186</v>
      </c>
      <c r="F3242" s="14" t="s">
        <v>6187</v>
      </c>
      <c r="G3242" s="14" t="s">
        <v>37</v>
      </c>
      <c r="H3242" s="14" t="s">
        <v>72</v>
      </c>
      <c r="I3242" s="14"/>
      <c r="J3242" s="14" t="s">
        <v>97</v>
      </c>
      <c r="K3242" s="14"/>
      <c r="L3242" s="14"/>
      <c r="M3242" s="14" t="s">
        <v>6189</v>
      </c>
      <c r="N3242" s="14"/>
      <c r="O3242" s="14" t="s">
        <v>6190</v>
      </c>
      <c r="P3242" s="14" t="str">
        <f>HYPERLINK("https://ceds.ed.gov/cedselementdetails.aspx?termid=17182")</f>
        <v>https://ceds.ed.gov/cedselementdetails.aspx?termid=17182</v>
      </c>
      <c r="Q3242" s="14" t="str">
        <f>HYPERLINK("https://ceds.ed.gov/elementComment.aspx?elementName=Marking Period Name &amp;elementID=17182", "Click here to submit comment")</f>
        <v>Click here to submit comment</v>
      </c>
      <c r="R3242" s="14">
        <v>51492</v>
      </c>
    </row>
    <row r="3243" spans="1:18" ht="90" x14ac:dyDescent="0.25">
      <c r="A3243" s="14" t="s">
        <v>9076</v>
      </c>
      <c r="B3243" s="14" t="s">
        <v>8944</v>
      </c>
      <c r="C3243" s="14" t="s">
        <v>8954</v>
      </c>
      <c r="D3243" s="14" t="s">
        <v>8531</v>
      </c>
      <c r="E3243" s="14" t="s">
        <v>6219</v>
      </c>
      <c r="F3243" s="14" t="s">
        <v>6220</v>
      </c>
      <c r="G3243" s="14" t="s">
        <v>37</v>
      </c>
      <c r="H3243" s="14" t="s">
        <v>72</v>
      </c>
      <c r="I3243" s="14"/>
      <c r="J3243" s="14" t="s">
        <v>2870</v>
      </c>
      <c r="K3243" s="14"/>
      <c r="L3243" s="14"/>
      <c r="M3243" s="14" t="s">
        <v>6221</v>
      </c>
      <c r="N3243" s="14"/>
      <c r="O3243" s="14" t="s">
        <v>6222</v>
      </c>
      <c r="P3243" s="14" t="str">
        <f>HYPERLINK("https://ceds.ed.gov/cedselementdetails.aspx?termid=17183")</f>
        <v>https://ceds.ed.gov/cedselementdetails.aspx?termid=17183</v>
      </c>
      <c r="Q3243" s="14" t="str">
        <f>HYPERLINK("https://ceds.ed.gov/elementComment.aspx?elementName=Mid Term Mark &amp;elementID=17183", "Click here to submit comment")</f>
        <v>Click here to submit comment</v>
      </c>
      <c r="R3243" s="14">
        <v>51495</v>
      </c>
    </row>
    <row r="3244" spans="1:18" ht="90" x14ac:dyDescent="0.25">
      <c r="A3244" s="14" t="s">
        <v>9076</v>
      </c>
      <c r="B3244" s="14" t="s">
        <v>8944</v>
      </c>
      <c r="C3244" s="14" t="s">
        <v>8954</v>
      </c>
      <c r="D3244" s="14" t="s">
        <v>8531</v>
      </c>
      <c r="E3244" s="14" t="s">
        <v>8046</v>
      </c>
      <c r="F3244" s="14" t="s">
        <v>8047</v>
      </c>
      <c r="G3244" s="14" t="s">
        <v>37</v>
      </c>
      <c r="H3244" s="14" t="s">
        <v>72</v>
      </c>
      <c r="I3244" s="14"/>
      <c r="J3244" s="14" t="s">
        <v>2870</v>
      </c>
      <c r="K3244" s="14"/>
      <c r="L3244" s="14"/>
      <c r="M3244" s="14" t="s">
        <v>8049</v>
      </c>
      <c r="N3244" s="14"/>
      <c r="O3244" s="14" t="s">
        <v>8050</v>
      </c>
      <c r="P3244" s="14" t="str">
        <f>HYPERLINK("https://ceds.ed.gov/cedselementdetails.aspx?termid=17124")</f>
        <v>https://ceds.ed.gov/cedselementdetails.aspx?termid=17124</v>
      </c>
      <c r="Q3244" s="14" t="str">
        <f>HYPERLINK("https://ceds.ed.gov/elementComment.aspx?elementName=Student Course Section Grade Earned &amp;elementID=17124", "Click here to submit comment")</f>
        <v>Click here to submit comment</v>
      </c>
      <c r="R3244" s="14">
        <v>51494</v>
      </c>
    </row>
    <row r="3245" spans="1:18" ht="45" x14ac:dyDescent="0.25">
      <c r="A3245" s="14" t="s">
        <v>9076</v>
      </c>
      <c r="B3245" s="14" t="s">
        <v>8944</v>
      </c>
      <c r="C3245" s="14" t="s">
        <v>8954</v>
      </c>
      <c r="D3245" s="14" t="s">
        <v>8531</v>
      </c>
      <c r="E3245" s="14" t="s">
        <v>8056</v>
      </c>
      <c r="F3245" s="14" t="s">
        <v>8057</v>
      </c>
      <c r="G3245" s="14" t="s">
        <v>24</v>
      </c>
      <c r="H3245" s="14"/>
      <c r="I3245" s="14"/>
      <c r="J3245" s="14"/>
      <c r="K3245" s="14"/>
      <c r="L3245" s="14"/>
      <c r="M3245" s="14" t="s">
        <v>8058</v>
      </c>
      <c r="N3245" s="14"/>
      <c r="O3245" s="14" t="s">
        <v>8059</v>
      </c>
      <c r="P3245" s="14" t="str">
        <f>HYPERLINK("https://ceds.ed.gov/cedselementdetails.aspx?termid=18191")</f>
        <v>https://ceds.ed.gov/cedselementdetails.aspx?termid=18191</v>
      </c>
      <c r="Q3245" s="14" t="str">
        <f>HYPERLINK("https://ceds.ed.gov/elementComment.aspx?elementName=Student Course Section Mark Final Indicator &amp;elementID=18191", "Click here to submit comment")</f>
        <v>Click here to submit comment</v>
      </c>
      <c r="R3245" s="14">
        <v>51493</v>
      </c>
    </row>
    <row r="3246" spans="1:18" ht="285" x14ac:dyDescent="0.25">
      <c r="A3246" s="14" t="s">
        <v>9076</v>
      </c>
      <c r="B3246" s="14" t="s">
        <v>8944</v>
      </c>
      <c r="C3246" s="14" t="s">
        <v>8954</v>
      </c>
      <c r="D3246" s="14" t="s">
        <v>8531</v>
      </c>
      <c r="E3246" s="14" t="s">
        <v>2880</v>
      </c>
      <c r="F3246" s="14" t="s">
        <v>2881</v>
      </c>
      <c r="G3246" s="8" t="s">
        <v>9075</v>
      </c>
      <c r="H3246" s="14"/>
      <c r="I3246" s="14"/>
      <c r="J3246" s="14"/>
      <c r="K3246" s="14"/>
      <c r="L3246" s="14"/>
      <c r="M3246" s="14" t="s">
        <v>2884</v>
      </c>
      <c r="N3246" s="14"/>
      <c r="O3246" s="14" t="s">
        <v>2885</v>
      </c>
      <c r="P3246" s="14" t="str">
        <f>HYPERLINK("https://ceds.ed.gov/cedselementdetails.aspx?termid=18265")</f>
        <v>https://ceds.ed.gov/cedselementdetails.aspx?termid=18265</v>
      </c>
      <c r="Q3246" s="14" t="str">
        <f>HYPERLINK("https://ceds.ed.gov/elementComment.aspx?elementName=Course Academic Grade Status Code &amp;elementID=18265", "Click here to submit comment")</f>
        <v>Click here to submit comment</v>
      </c>
      <c r="R3246" s="14">
        <v>51491</v>
      </c>
    </row>
    <row r="3247" spans="1:18" ht="135" x14ac:dyDescent="0.25">
      <c r="A3247" s="14" t="s">
        <v>9076</v>
      </c>
      <c r="B3247" s="14" t="s">
        <v>8944</v>
      </c>
      <c r="C3247" s="14" t="s">
        <v>8954</v>
      </c>
      <c r="D3247" s="14" t="s">
        <v>8531</v>
      </c>
      <c r="E3247" s="14" t="s">
        <v>4878</v>
      </c>
      <c r="F3247" s="14" t="s">
        <v>4879</v>
      </c>
      <c r="G3247" s="14" t="s">
        <v>37</v>
      </c>
      <c r="H3247" s="14"/>
      <c r="I3247" s="14"/>
      <c r="J3247" s="14" t="s">
        <v>874</v>
      </c>
      <c r="K3247" s="14"/>
      <c r="L3247" s="14" t="s">
        <v>4881</v>
      </c>
      <c r="M3247" s="14" t="s">
        <v>4882</v>
      </c>
      <c r="N3247" s="14"/>
      <c r="O3247" s="14" t="s">
        <v>4883</v>
      </c>
      <c r="P3247" s="14" t="str">
        <f>HYPERLINK("https://ceds.ed.gov/cedselementdetails.aspx?termid=17609")</f>
        <v>https://ceds.ed.gov/cedselementdetails.aspx?termid=17609</v>
      </c>
      <c r="Q3247" s="14" t="str">
        <f>HYPERLINK("https://ceds.ed.gov/elementComment.aspx?elementName=Grade Value Qualifier &amp;elementID=17609", "Click here to submit comment")</f>
        <v>Click here to submit comment</v>
      </c>
      <c r="R3247" s="14">
        <v>51496</v>
      </c>
    </row>
    <row r="3248" spans="1:18" ht="105" x14ac:dyDescent="0.25">
      <c r="A3248" s="16" t="s">
        <v>9076</v>
      </c>
      <c r="B3248" s="16" t="s">
        <v>8944</v>
      </c>
      <c r="C3248" s="16" t="s">
        <v>8955</v>
      </c>
      <c r="D3248" s="16" t="s">
        <v>8531</v>
      </c>
      <c r="E3248" s="16" t="s">
        <v>7927</v>
      </c>
      <c r="F3248" s="16" t="s">
        <v>7928</v>
      </c>
      <c r="G3248" s="16" t="s">
        <v>37</v>
      </c>
      <c r="H3248" s="16" t="s">
        <v>7931</v>
      </c>
      <c r="I3248" s="16"/>
      <c r="J3248" s="16" t="s">
        <v>149</v>
      </c>
      <c r="K3248" s="16"/>
      <c r="L3248" s="14" t="s">
        <v>150</v>
      </c>
      <c r="M3248" s="16" t="s">
        <v>7929</v>
      </c>
      <c r="N3248" s="16"/>
      <c r="O3248" s="16" t="s">
        <v>7930</v>
      </c>
      <c r="P3248" s="16" t="str">
        <f>HYPERLINK("https://ceds.ed.gov/cedselementdetails.aspx?termid=17156")</f>
        <v>https://ceds.ed.gov/cedselementdetails.aspx?termid=17156</v>
      </c>
      <c r="Q3248" s="16" t="str">
        <f>HYPERLINK("https://ceds.ed.gov/elementComment.aspx?elementName=Staff Member Identifier &amp;elementID=17156", "Click here to submit comment")</f>
        <v>Click here to submit comment</v>
      </c>
      <c r="R3248" s="16">
        <v>51511</v>
      </c>
    </row>
    <row r="3249" spans="1:18" x14ac:dyDescent="0.25">
      <c r="A3249" s="16"/>
      <c r="B3249" s="16"/>
      <c r="C3249" s="16"/>
      <c r="D3249" s="16"/>
      <c r="E3249" s="16"/>
      <c r="F3249" s="16"/>
      <c r="G3249" s="16"/>
      <c r="H3249" s="16"/>
      <c r="I3249" s="16"/>
      <c r="J3249" s="16"/>
      <c r="K3249" s="16"/>
      <c r="L3249" s="14"/>
      <c r="M3249" s="16"/>
      <c r="N3249" s="16"/>
      <c r="O3249" s="16"/>
      <c r="P3249" s="16"/>
      <c r="Q3249" s="16"/>
      <c r="R3249" s="16"/>
    </row>
    <row r="3250" spans="1:18" ht="90" x14ac:dyDescent="0.25">
      <c r="A3250" s="16"/>
      <c r="B3250" s="16"/>
      <c r="C3250" s="16"/>
      <c r="D3250" s="16"/>
      <c r="E3250" s="16"/>
      <c r="F3250" s="16"/>
      <c r="G3250" s="16"/>
      <c r="H3250" s="16"/>
      <c r="I3250" s="16"/>
      <c r="J3250" s="16"/>
      <c r="K3250" s="16"/>
      <c r="L3250" s="14" t="s">
        <v>153</v>
      </c>
      <c r="M3250" s="16"/>
      <c r="N3250" s="16"/>
      <c r="O3250" s="16"/>
      <c r="P3250" s="16"/>
      <c r="Q3250" s="16"/>
      <c r="R3250" s="16"/>
    </row>
    <row r="3251" spans="1:18" ht="345" x14ac:dyDescent="0.25">
      <c r="A3251" s="14" t="s">
        <v>9076</v>
      </c>
      <c r="B3251" s="14" t="s">
        <v>8944</v>
      </c>
      <c r="C3251" s="14" t="s">
        <v>8955</v>
      </c>
      <c r="D3251" s="14" t="s">
        <v>8531</v>
      </c>
      <c r="E3251" s="14" t="s">
        <v>7920</v>
      </c>
      <c r="F3251" s="14" t="s">
        <v>7921</v>
      </c>
      <c r="G3251" s="8" t="s">
        <v>8687</v>
      </c>
      <c r="H3251" s="14" t="s">
        <v>7926</v>
      </c>
      <c r="I3251" s="14"/>
      <c r="J3251" s="14"/>
      <c r="K3251" s="14"/>
      <c r="L3251" s="14"/>
      <c r="M3251" s="14" t="s">
        <v>7924</v>
      </c>
      <c r="N3251" s="14"/>
      <c r="O3251" s="14" t="s">
        <v>7925</v>
      </c>
      <c r="P3251" s="14" t="str">
        <f>HYPERLINK("https://ceds.ed.gov/cedselementdetails.aspx?termid=17162")</f>
        <v>https://ceds.ed.gov/cedselementdetails.aspx?termid=17162</v>
      </c>
      <c r="Q3251" s="14" t="str">
        <f>HYPERLINK("https://ceds.ed.gov/elementComment.aspx?elementName=Staff Member Identification System &amp;elementID=17162", "Click here to submit comment")</f>
        <v>Click here to submit comment</v>
      </c>
      <c r="R3251" s="14">
        <v>51512</v>
      </c>
    </row>
    <row r="3252" spans="1:18" ht="45" x14ac:dyDescent="0.25">
      <c r="A3252" s="14" t="s">
        <v>9076</v>
      </c>
      <c r="B3252" s="14" t="s">
        <v>8944</v>
      </c>
      <c r="C3252" s="14" t="s">
        <v>8955</v>
      </c>
      <c r="D3252" s="14" t="s">
        <v>8531</v>
      </c>
      <c r="E3252" s="14" t="s">
        <v>1626</v>
      </c>
      <c r="F3252" s="14" t="s">
        <v>1627</v>
      </c>
      <c r="G3252" s="14" t="s">
        <v>37</v>
      </c>
      <c r="H3252" s="14"/>
      <c r="I3252" s="14"/>
      <c r="J3252" s="14" t="s">
        <v>135</v>
      </c>
      <c r="K3252" s="14"/>
      <c r="L3252" s="14"/>
      <c r="M3252" s="14" t="s">
        <v>1628</v>
      </c>
      <c r="N3252" s="14"/>
      <c r="O3252" s="14" t="s">
        <v>1629</v>
      </c>
      <c r="P3252" s="14" t="str">
        <f>HYPERLINK("https://ceds.ed.gov/cedselementdetails.aspx?termid=17517")</f>
        <v>https://ceds.ed.gov/cedselementdetails.aspx?termid=17517</v>
      </c>
      <c r="Q3252" s="14" t="str">
        <f>HYPERLINK("https://ceds.ed.gov/elementComment.aspx?elementName=Assignment Start Date &amp;elementID=17517", "Click here to submit comment")</f>
        <v>Click here to submit comment</v>
      </c>
      <c r="R3252" s="14">
        <v>51509</v>
      </c>
    </row>
    <row r="3253" spans="1:18" ht="75" x14ac:dyDescent="0.25">
      <c r="A3253" s="14" t="s">
        <v>9076</v>
      </c>
      <c r="B3253" s="14" t="s">
        <v>8944</v>
      </c>
      <c r="C3253" s="14" t="s">
        <v>8955</v>
      </c>
      <c r="D3253" s="14" t="s">
        <v>8531</v>
      </c>
      <c r="E3253" s="14" t="s">
        <v>1621</v>
      </c>
      <c r="F3253" s="14" t="s">
        <v>1622</v>
      </c>
      <c r="G3253" s="14" t="s">
        <v>37</v>
      </c>
      <c r="H3253" s="14"/>
      <c r="I3253" s="14"/>
      <c r="J3253" s="14" t="s">
        <v>135</v>
      </c>
      <c r="K3253" s="14"/>
      <c r="L3253" s="14" t="s">
        <v>160</v>
      </c>
      <c r="M3253" s="14" t="s">
        <v>1624</v>
      </c>
      <c r="N3253" s="14"/>
      <c r="O3253" s="14" t="s">
        <v>1625</v>
      </c>
      <c r="P3253" s="14" t="str">
        <f>HYPERLINK("https://ceds.ed.gov/cedselementdetails.aspx?termid=17518")</f>
        <v>https://ceds.ed.gov/cedselementdetails.aspx?termid=17518</v>
      </c>
      <c r="Q3253" s="14" t="str">
        <f>HYPERLINK("https://ceds.ed.gov/elementComment.aspx?elementName=Assignment End Date &amp;elementID=17518", "Click here to submit comment")</f>
        <v>Click here to submit comment</v>
      </c>
      <c r="R3253" s="14">
        <v>51510</v>
      </c>
    </row>
    <row r="3254" spans="1:18" ht="60" x14ac:dyDescent="0.25">
      <c r="A3254" s="14" t="s">
        <v>9076</v>
      </c>
      <c r="B3254" s="14" t="s">
        <v>8944</v>
      </c>
      <c r="C3254" s="14" t="s">
        <v>8955</v>
      </c>
      <c r="D3254" s="14" t="s">
        <v>8531</v>
      </c>
      <c r="E3254" s="14" t="s">
        <v>8142</v>
      </c>
      <c r="F3254" s="14" t="s">
        <v>8143</v>
      </c>
      <c r="G3254" s="14" t="s">
        <v>24</v>
      </c>
      <c r="H3254" s="14" t="s">
        <v>8148</v>
      </c>
      <c r="I3254" s="14"/>
      <c r="J3254" s="14"/>
      <c r="K3254" s="14"/>
      <c r="L3254" s="14" t="s">
        <v>8145</v>
      </c>
      <c r="M3254" s="14" t="s">
        <v>8146</v>
      </c>
      <c r="N3254" s="14"/>
      <c r="O3254" s="14" t="s">
        <v>8147</v>
      </c>
      <c r="P3254" s="14" t="str">
        <f>HYPERLINK("https://ceds.ed.gov/cedselementdetails.aspx?termid=17649")</f>
        <v>https://ceds.ed.gov/cedselementdetails.aspx?termid=17649</v>
      </c>
      <c r="Q3254" s="14" t="str">
        <f>HYPERLINK("https://ceds.ed.gov/elementComment.aspx?elementName=Teacher of Record &amp;elementID=17649", "Click here to submit comment")</f>
        <v>Click here to submit comment</v>
      </c>
      <c r="R3254" s="14">
        <v>51560</v>
      </c>
    </row>
    <row r="3255" spans="1:18" ht="90" x14ac:dyDescent="0.25">
      <c r="A3255" s="14" t="s">
        <v>9076</v>
      </c>
      <c r="B3255" s="14" t="s">
        <v>8944</v>
      </c>
      <c r="C3255" s="14" t="s">
        <v>8955</v>
      </c>
      <c r="D3255" s="14" t="s">
        <v>8531</v>
      </c>
      <c r="E3255" s="14" t="s">
        <v>8173</v>
      </c>
      <c r="F3255" s="14" t="s">
        <v>8174</v>
      </c>
      <c r="G3255" s="8" t="s">
        <v>8956</v>
      </c>
      <c r="H3255" s="14" t="s">
        <v>8148</v>
      </c>
      <c r="I3255" s="14"/>
      <c r="J3255" s="14"/>
      <c r="K3255" s="14"/>
      <c r="L3255" s="14"/>
      <c r="M3255" s="14" t="s">
        <v>8176</v>
      </c>
      <c r="N3255" s="14"/>
      <c r="O3255" s="14" t="s">
        <v>8177</v>
      </c>
      <c r="P3255" s="14" t="str">
        <f>HYPERLINK("https://ceds.ed.gov/cedselementdetails.aspx?termid=17650")</f>
        <v>https://ceds.ed.gov/cedselementdetails.aspx?termid=17650</v>
      </c>
      <c r="Q3255" s="14" t="str">
        <f>HYPERLINK("https://ceds.ed.gov/elementComment.aspx?elementName=Teaching Assignment Role &amp;elementID=17650", "Click here to submit comment")</f>
        <v>Click here to submit comment</v>
      </c>
      <c r="R3255" s="14">
        <v>51561</v>
      </c>
    </row>
    <row r="3256" spans="1:18" ht="90" x14ac:dyDescent="0.25">
      <c r="A3256" s="14" t="s">
        <v>9076</v>
      </c>
      <c r="B3256" s="14" t="s">
        <v>8944</v>
      </c>
      <c r="C3256" s="14" t="s">
        <v>8955</v>
      </c>
      <c r="D3256" s="14" t="s">
        <v>8531</v>
      </c>
      <c r="E3256" s="14" t="s">
        <v>8164</v>
      </c>
      <c r="F3256" s="14" t="s">
        <v>8165</v>
      </c>
      <c r="G3256" s="14" t="s">
        <v>37</v>
      </c>
      <c r="H3256" s="14" t="s">
        <v>8148</v>
      </c>
      <c r="I3256" s="14"/>
      <c r="J3256" s="14" t="s">
        <v>869</v>
      </c>
      <c r="K3256" s="14"/>
      <c r="L3256" s="14"/>
      <c r="M3256" s="14" t="s">
        <v>8166</v>
      </c>
      <c r="N3256" s="14"/>
      <c r="O3256" s="14" t="s">
        <v>8167</v>
      </c>
      <c r="P3256" s="14" t="str">
        <f>HYPERLINK("https://ceds.ed.gov/cedselementdetails.aspx?termid=17651")</f>
        <v>https://ceds.ed.gov/cedselementdetails.aspx?termid=17651</v>
      </c>
      <c r="Q3256" s="14" t="str">
        <f>HYPERLINK("https://ceds.ed.gov/elementComment.aspx?elementName=Teaching Assignment Contribution Percentage &amp;elementID=17651", "Click here to submit comment")</f>
        <v>Click here to submit comment</v>
      </c>
      <c r="R3256" s="14">
        <v>51562</v>
      </c>
    </row>
    <row r="3257" spans="1:18" ht="270" x14ac:dyDescent="0.25">
      <c r="A3257" s="14" t="s">
        <v>9076</v>
      </c>
      <c r="B3257" s="14" t="s">
        <v>8944</v>
      </c>
      <c r="C3257" s="14" t="s">
        <v>8955</v>
      </c>
      <c r="D3257" s="14" t="s">
        <v>8531</v>
      </c>
      <c r="E3257" s="14" t="s">
        <v>2389</v>
      </c>
      <c r="F3257" s="14" t="s">
        <v>2390</v>
      </c>
      <c r="G3257" s="8" t="s">
        <v>8922</v>
      </c>
      <c r="H3257" s="14"/>
      <c r="I3257" s="14"/>
      <c r="J3257" s="14"/>
      <c r="K3257" s="14"/>
      <c r="L3257" s="14"/>
      <c r="M3257" s="14" t="s">
        <v>2393</v>
      </c>
      <c r="N3257" s="14"/>
      <c r="O3257" s="14" t="s">
        <v>2394</v>
      </c>
      <c r="P3257" s="14" t="str">
        <f>HYPERLINK("https://ceds.ed.gov/cedselementdetails.aspx?termid=17615")</f>
        <v>https://ceds.ed.gov/cedselementdetails.aspx?termid=17615</v>
      </c>
      <c r="Q3257" s="14" t="str">
        <f>HYPERLINK("https://ceds.ed.gov/elementComment.aspx?elementName=Classroom Position Type &amp;elementID=17615", "Click here to submit comment")</f>
        <v>Click here to submit comment</v>
      </c>
      <c r="R3257" s="14">
        <v>51559</v>
      </c>
    </row>
    <row r="3258" spans="1:18" ht="45" x14ac:dyDescent="0.25">
      <c r="A3258" s="14" t="s">
        <v>9076</v>
      </c>
      <c r="B3258" s="14" t="s">
        <v>8944</v>
      </c>
      <c r="C3258" s="14" t="s">
        <v>8828</v>
      </c>
      <c r="D3258" s="14" t="s">
        <v>8531</v>
      </c>
      <c r="E3258" s="14" t="s">
        <v>1630</v>
      </c>
      <c r="F3258" s="14" t="s">
        <v>1631</v>
      </c>
      <c r="G3258" s="14" t="s">
        <v>37</v>
      </c>
      <c r="H3258" s="14"/>
      <c r="I3258" s="14"/>
      <c r="J3258" s="14" t="s">
        <v>135</v>
      </c>
      <c r="K3258" s="14"/>
      <c r="L3258" s="14"/>
      <c r="M3258" s="14" t="s">
        <v>1633</v>
      </c>
      <c r="N3258" s="14"/>
      <c r="O3258" s="14" t="s">
        <v>1634</v>
      </c>
      <c r="P3258" s="14" t="str">
        <f>HYPERLINK("https://ceds.ed.gov/cedselementdetails.aspx?termid=18630")</f>
        <v>https://ceds.ed.gov/cedselementdetails.aspx?termid=18630</v>
      </c>
      <c r="Q3258" s="14" t="str">
        <f>HYPERLINK("https://ceds.ed.gov/elementComment.aspx?elementName=Attendance Event Date &amp;elementID=18630", "Click here to submit comment")</f>
        <v>Click here to submit comment</v>
      </c>
      <c r="R3258" s="14">
        <v>51565</v>
      </c>
    </row>
    <row r="3259" spans="1:18" ht="120" x14ac:dyDescent="0.25">
      <c r="A3259" s="14" t="s">
        <v>9076</v>
      </c>
      <c r="B3259" s="14" t="s">
        <v>8944</v>
      </c>
      <c r="C3259" s="14" t="s">
        <v>8828</v>
      </c>
      <c r="D3259" s="14" t="s">
        <v>8531</v>
      </c>
      <c r="E3259" s="14" t="s">
        <v>1635</v>
      </c>
      <c r="F3259" s="14" t="s">
        <v>1636</v>
      </c>
      <c r="G3259" s="8" t="s">
        <v>8831</v>
      </c>
      <c r="H3259" s="14"/>
      <c r="I3259" s="14"/>
      <c r="J3259" s="14"/>
      <c r="K3259" s="14"/>
      <c r="L3259" s="14"/>
      <c r="M3259" s="14" t="s">
        <v>1639</v>
      </c>
      <c r="N3259" s="14"/>
      <c r="O3259" s="14" t="s">
        <v>1640</v>
      </c>
      <c r="P3259" s="14" t="str">
        <f>HYPERLINK("https://ceds.ed.gov/cedselementdetails.aspx?termid=17594")</f>
        <v>https://ceds.ed.gov/cedselementdetails.aspx?termid=17594</v>
      </c>
      <c r="Q3259" s="14" t="str">
        <f>HYPERLINK("https://ceds.ed.gov/elementComment.aspx?elementName=Attendance Event Type &amp;elementID=17594", "Click here to submit comment")</f>
        <v>Click here to submit comment</v>
      </c>
      <c r="R3259" s="14">
        <v>51564</v>
      </c>
    </row>
    <row r="3260" spans="1:18" ht="105" x14ac:dyDescent="0.25">
      <c r="A3260" s="14" t="s">
        <v>9076</v>
      </c>
      <c r="B3260" s="14" t="s">
        <v>8944</v>
      </c>
      <c r="C3260" s="14" t="s">
        <v>8828</v>
      </c>
      <c r="D3260" s="14" t="s">
        <v>8531</v>
      </c>
      <c r="E3260" s="14" t="s">
        <v>1641</v>
      </c>
      <c r="F3260" s="14" t="s">
        <v>1642</v>
      </c>
      <c r="G3260" s="8" t="s">
        <v>8832</v>
      </c>
      <c r="H3260" s="14"/>
      <c r="I3260" s="14"/>
      <c r="J3260" s="14"/>
      <c r="K3260" s="14"/>
      <c r="L3260" s="14"/>
      <c r="M3260" s="14" t="s">
        <v>1644</v>
      </c>
      <c r="N3260" s="14"/>
      <c r="O3260" s="14" t="s">
        <v>1645</v>
      </c>
      <c r="P3260" s="14" t="str">
        <f>HYPERLINK("https://ceds.ed.gov/cedselementdetails.aspx?termid=17076")</f>
        <v>https://ceds.ed.gov/cedselementdetails.aspx?termid=17076</v>
      </c>
      <c r="Q3260" s="14" t="str">
        <f>HYPERLINK("https://ceds.ed.gov/elementComment.aspx?elementName=Attendance Status &amp;elementID=17076", "Click here to submit comment")</f>
        <v>Click here to submit comment</v>
      </c>
      <c r="R3260" s="14">
        <v>51563</v>
      </c>
    </row>
    <row r="3261" spans="1:18" ht="409.5" x14ac:dyDescent="0.25">
      <c r="A3261" s="14" t="s">
        <v>9076</v>
      </c>
      <c r="B3261" s="14" t="s">
        <v>8668</v>
      </c>
      <c r="C3261" s="14"/>
      <c r="D3261" s="14" t="s">
        <v>8531</v>
      </c>
      <c r="E3261" s="14" t="s">
        <v>7163</v>
      </c>
      <c r="F3261" s="14" t="s">
        <v>7164</v>
      </c>
      <c r="G3261" s="8" t="s">
        <v>8669</v>
      </c>
      <c r="H3261" s="14" t="s">
        <v>72</v>
      </c>
      <c r="I3261" s="14"/>
      <c r="J3261" s="14"/>
      <c r="K3261" s="14"/>
      <c r="L3261" s="14"/>
      <c r="M3261" s="14" t="s">
        <v>7167</v>
      </c>
      <c r="N3261" s="14"/>
      <c r="O3261" s="14" t="s">
        <v>7168</v>
      </c>
      <c r="P3261" s="14" t="str">
        <f>HYPERLINK("https://ceds.ed.gov/cedselementdetails.aspx?termid=17225")</f>
        <v>https://ceds.ed.gov/cedselementdetails.aspx?termid=17225</v>
      </c>
      <c r="Q3261" s="14" t="str">
        <f>HYPERLINK("https://ceds.ed.gov/elementComment.aspx?elementName=Program Type &amp;elementID=17225", "Click here to submit comment")</f>
        <v>Click here to submit comment</v>
      </c>
      <c r="R3261" s="14">
        <v>49917</v>
      </c>
    </row>
    <row r="3262" spans="1:18" ht="60" x14ac:dyDescent="0.25">
      <c r="A3262" s="14" t="s">
        <v>9076</v>
      </c>
      <c r="B3262" s="14" t="s">
        <v>8668</v>
      </c>
      <c r="C3262" s="14"/>
      <c r="D3262" s="14" t="s">
        <v>8531</v>
      </c>
      <c r="E3262" s="14" t="s">
        <v>7115</v>
      </c>
      <c r="F3262" s="14" t="s">
        <v>7116</v>
      </c>
      <c r="G3262" s="14" t="s">
        <v>37</v>
      </c>
      <c r="H3262" s="14" t="s">
        <v>2944</v>
      </c>
      <c r="I3262" s="14"/>
      <c r="J3262" s="14" t="s">
        <v>175</v>
      </c>
      <c r="K3262" s="14"/>
      <c r="L3262" s="14"/>
      <c r="M3262" s="14" t="s">
        <v>7118</v>
      </c>
      <c r="N3262" s="14"/>
      <c r="O3262" s="14" t="s">
        <v>7119</v>
      </c>
      <c r="P3262" s="14" t="str">
        <f>HYPERLINK("https://ceds.ed.gov/cedselementdetails.aspx?termid=17619")</f>
        <v>https://ceds.ed.gov/cedselementdetails.aspx?termid=17619</v>
      </c>
      <c r="Q3262" s="14" t="str">
        <f>HYPERLINK("https://ceds.ed.gov/elementComment.aspx?elementName=Program Name &amp;elementID=17619", "Click here to submit comment")</f>
        <v>Click here to submit comment</v>
      </c>
      <c r="R3262" s="14">
        <v>49918</v>
      </c>
    </row>
    <row r="3263" spans="1:18" ht="360" x14ac:dyDescent="0.25">
      <c r="A3263" s="14" t="s">
        <v>9076</v>
      </c>
      <c r="B3263" s="14" t="s">
        <v>8668</v>
      </c>
      <c r="C3263" s="14"/>
      <c r="D3263" s="14" t="s">
        <v>8531</v>
      </c>
      <c r="E3263" s="14" t="s">
        <v>2182</v>
      </c>
      <c r="F3263" s="14" t="s">
        <v>2183</v>
      </c>
      <c r="G3263" s="8" t="s">
        <v>8942</v>
      </c>
      <c r="H3263" s="14"/>
      <c r="I3263" s="14"/>
      <c r="J3263" s="14"/>
      <c r="K3263" s="14"/>
      <c r="L3263" s="14" t="s">
        <v>2186</v>
      </c>
      <c r="M3263" s="14" t="s">
        <v>2187</v>
      </c>
      <c r="N3263" s="14"/>
      <c r="O3263" s="14" t="s">
        <v>2188</v>
      </c>
      <c r="P3263" s="14" t="str">
        <f>HYPERLINK("https://ceds.ed.gov/cedselementdetails.aspx?termid=18254")</f>
        <v>https://ceds.ed.gov/cedselementdetails.aspx?termid=18254</v>
      </c>
      <c r="Q3263" s="14" t="str">
        <f>HYPERLINK("https://ceds.ed.gov/elementComment.aspx?elementName=Career Cluster &amp;elementID=18254", "Click here to submit comment")</f>
        <v>Click here to submit comment</v>
      </c>
      <c r="R3263" s="14">
        <v>50564</v>
      </c>
    </row>
    <row r="3264" spans="1:18" ht="270" x14ac:dyDescent="0.25">
      <c r="A3264" s="14" t="s">
        <v>9076</v>
      </c>
      <c r="B3264" s="14" t="s">
        <v>8668</v>
      </c>
      <c r="C3264" s="14"/>
      <c r="D3264" s="14" t="s">
        <v>8531</v>
      </c>
      <c r="E3264" s="14" t="s">
        <v>7153</v>
      </c>
      <c r="F3264" s="14" t="s">
        <v>7154</v>
      </c>
      <c r="G3264" s="8" t="s">
        <v>8931</v>
      </c>
      <c r="H3264" s="14"/>
      <c r="I3264" s="14"/>
      <c r="J3264" s="14"/>
      <c r="K3264" s="14"/>
      <c r="L3264" s="14"/>
      <c r="M3264" s="14" t="s">
        <v>7157</v>
      </c>
      <c r="N3264" s="14"/>
      <c r="O3264" s="14" t="s">
        <v>7158</v>
      </c>
      <c r="P3264" s="14" t="str">
        <f>HYPERLINK("https://ceds.ed.gov/cedselementdetails.aspx?termid=17692")</f>
        <v>https://ceds.ed.gov/cedselementdetails.aspx?termid=17692</v>
      </c>
      <c r="Q3264" s="14" t="str">
        <f>HYPERLINK("https://ceds.ed.gov/elementComment.aspx?elementName=Program Sponsor Type &amp;elementID=17692", "Click here to submit comment")</f>
        <v>Click here to submit comment</v>
      </c>
      <c r="R3264" s="14">
        <v>50522</v>
      </c>
    </row>
    <row r="3265" spans="1:18" ht="105" x14ac:dyDescent="0.25">
      <c r="A3265" s="16" t="s">
        <v>9080</v>
      </c>
      <c r="B3265" s="16" t="s">
        <v>9081</v>
      </c>
      <c r="C3265" s="16"/>
      <c r="D3265" s="16" t="s">
        <v>8531</v>
      </c>
      <c r="E3265" s="16" t="s">
        <v>325</v>
      </c>
      <c r="F3265" s="16" t="s">
        <v>326</v>
      </c>
      <c r="G3265" s="16" t="s">
        <v>37</v>
      </c>
      <c r="H3265" s="16"/>
      <c r="I3265" s="16"/>
      <c r="J3265" s="16" t="s">
        <v>149</v>
      </c>
      <c r="K3265" s="16"/>
      <c r="L3265" s="14" t="s">
        <v>150</v>
      </c>
      <c r="M3265" s="16" t="s">
        <v>327</v>
      </c>
      <c r="N3265" s="16"/>
      <c r="O3265" s="16" t="s">
        <v>328</v>
      </c>
      <c r="P3265" s="16" t="str">
        <f>HYPERLINK("https://ceds.ed.gov/cedselementdetails.aspx?termid=17777")</f>
        <v>https://ceds.ed.gov/cedselementdetails.aspx?termid=17777</v>
      </c>
      <c r="Q3265" s="16" t="str">
        <f>HYPERLINK("https://ceds.ed.gov/elementComment.aspx?elementName=Adult Education Service Provider Identifier &amp;elementID=17777", "Click here to submit comment")</f>
        <v>Click here to submit comment</v>
      </c>
      <c r="R3265" s="16">
        <v>48295</v>
      </c>
    </row>
    <row r="3266" spans="1:18" x14ac:dyDescent="0.25">
      <c r="A3266" s="16"/>
      <c r="B3266" s="16"/>
      <c r="C3266" s="16"/>
      <c r="D3266" s="16"/>
      <c r="E3266" s="16"/>
      <c r="F3266" s="16"/>
      <c r="G3266" s="16"/>
      <c r="H3266" s="16"/>
      <c r="I3266" s="16"/>
      <c r="J3266" s="16"/>
      <c r="K3266" s="16"/>
      <c r="L3266" s="14"/>
      <c r="M3266" s="16"/>
      <c r="N3266" s="16"/>
      <c r="O3266" s="16"/>
      <c r="P3266" s="16"/>
      <c r="Q3266" s="16"/>
      <c r="R3266" s="16"/>
    </row>
    <row r="3267" spans="1:18" ht="90" x14ac:dyDescent="0.25">
      <c r="A3267" s="16"/>
      <c r="B3267" s="16"/>
      <c r="C3267" s="16"/>
      <c r="D3267" s="16"/>
      <c r="E3267" s="16"/>
      <c r="F3267" s="16"/>
      <c r="G3267" s="16"/>
      <c r="H3267" s="16"/>
      <c r="I3267" s="16"/>
      <c r="J3267" s="16"/>
      <c r="K3267" s="16"/>
      <c r="L3267" s="14" t="s">
        <v>153</v>
      </c>
      <c r="M3267" s="16"/>
      <c r="N3267" s="16"/>
      <c r="O3267" s="16"/>
      <c r="P3267" s="16"/>
      <c r="Q3267" s="16"/>
      <c r="R3267" s="16"/>
    </row>
    <row r="3268" spans="1:18" ht="240" x14ac:dyDescent="0.25">
      <c r="A3268" s="14" t="s">
        <v>9080</v>
      </c>
      <c r="B3268" s="14" t="s">
        <v>9081</v>
      </c>
      <c r="C3268" s="14"/>
      <c r="D3268" s="14" t="s">
        <v>8531</v>
      </c>
      <c r="E3268" s="14" t="s">
        <v>319</v>
      </c>
      <c r="F3268" s="14" t="s">
        <v>320</v>
      </c>
      <c r="G3268" s="8" t="s">
        <v>9082</v>
      </c>
      <c r="H3268" s="14"/>
      <c r="I3268" s="14"/>
      <c r="J3268" s="14"/>
      <c r="K3268" s="14"/>
      <c r="L3268" s="14"/>
      <c r="M3268" s="14" t="s">
        <v>323</v>
      </c>
      <c r="N3268" s="14"/>
      <c r="O3268" s="14" t="s">
        <v>324</v>
      </c>
      <c r="P3268" s="14" t="str">
        <f>HYPERLINK("https://ceds.ed.gov/cedselementdetails.aspx?termid=17778")</f>
        <v>https://ceds.ed.gov/cedselementdetails.aspx?termid=17778</v>
      </c>
      <c r="Q3268" s="14" t="str">
        <f>HYPERLINK("https://ceds.ed.gov/elementComment.aspx?elementName=Adult Education Service Provider Identification System &amp;elementID=17778", "Click here to submit comment")</f>
        <v>Click here to submit comment</v>
      </c>
      <c r="R3268" s="14">
        <v>48296</v>
      </c>
    </row>
    <row r="3269" spans="1:18" ht="195" x14ac:dyDescent="0.25">
      <c r="A3269" s="14" t="s">
        <v>9080</v>
      </c>
      <c r="B3269" s="14" t="s">
        <v>9081</v>
      </c>
      <c r="C3269" s="14"/>
      <c r="D3269" s="14" t="s">
        <v>8531</v>
      </c>
      <c r="E3269" s="14" t="s">
        <v>313</v>
      </c>
      <c r="F3269" s="14" t="s">
        <v>314</v>
      </c>
      <c r="G3269" s="8" t="s">
        <v>9083</v>
      </c>
      <c r="H3269" s="14"/>
      <c r="I3269" s="14"/>
      <c r="J3269" s="14"/>
      <c r="K3269" s="14"/>
      <c r="L3269" s="14"/>
      <c r="M3269" s="14" t="s">
        <v>317</v>
      </c>
      <c r="N3269" s="14"/>
      <c r="O3269" s="14" t="s">
        <v>318</v>
      </c>
      <c r="P3269" s="14" t="str">
        <f>HYPERLINK("https://ceds.ed.gov/cedselementdetails.aspx?termid=17779")</f>
        <v>https://ceds.ed.gov/cedselementdetails.aspx?termid=17779</v>
      </c>
      <c r="Q3269" s="14" t="str">
        <f>HYPERLINK("https://ceds.ed.gov/elementComment.aspx?elementName=Adult Education Provider Type &amp;elementID=17779", "Click here to submit comment")</f>
        <v>Click here to submit comment</v>
      </c>
      <c r="R3269" s="14">
        <v>48297</v>
      </c>
    </row>
    <row r="3270" spans="1:18" ht="225" x14ac:dyDescent="0.25">
      <c r="A3270" s="14" t="s">
        <v>9080</v>
      </c>
      <c r="B3270" s="14" t="s">
        <v>9081</v>
      </c>
      <c r="C3270" s="14"/>
      <c r="D3270" s="14" t="s">
        <v>8531</v>
      </c>
      <c r="E3270" s="14" t="s">
        <v>6353</v>
      </c>
      <c r="F3270" s="14" t="s">
        <v>6354</v>
      </c>
      <c r="G3270" s="14" t="s">
        <v>37</v>
      </c>
      <c r="H3270" s="14" t="s">
        <v>6358</v>
      </c>
      <c r="I3270" s="14"/>
      <c r="J3270" s="14" t="s">
        <v>175</v>
      </c>
      <c r="K3270" s="14"/>
      <c r="L3270" s="14"/>
      <c r="M3270" s="14" t="s">
        <v>6356</v>
      </c>
      <c r="N3270" s="14"/>
      <c r="O3270" s="14" t="s">
        <v>6357</v>
      </c>
      <c r="P3270" s="14" t="str">
        <f>HYPERLINK("https://ceds.ed.gov/cedselementdetails.aspx?termid=17191")</f>
        <v>https://ceds.ed.gov/cedselementdetails.aspx?termid=17191</v>
      </c>
      <c r="Q3270" s="14" t="str">
        <f>HYPERLINK("https://ceds.ed.gov/elementComment.aspx?elementName=Name of Institution &amp;elementID=17191", "Click here to submit comment")</f>
        <v>Click here to submit comment</v>
      </c>
      <c r="R3270" s="14">
        <v>48342</v>
      </c>
    </row>
    <row r="3271" spans="1:18" ht="90" x14ac:dyDescent="0.25">
      <c r="A3271" s="14" t="s">
        <v>9080</v>
      </c>
      <c r="B3271" s="14" t="s">
        <v>9081</v>
      </c>
      <c r="C3271" s="14"/>
      <c r="D3271" s="14" t="s">
        <v>8531</v>
      </c>
      <c r="E3271" s="14" t="s">
        <v>7766</v>
      </c>
      <c r="F3271" s="14" t="s">
        <v>7767</v>
      </c>
      <c r="G3271" s="14" t="s">
        <v>37</v>
      </c>
      <c r="H3271" s="14"/>
      <c r="I3271" s="14"/>
      <c r="J3271" s="14" t="s">
        <v>97</v>
      </c>
      <c r="K3271" s="14"/>
      <c r="L3271" s="14" t="s">
        <v>7769</v>
      </c>
      <c r="M3271" s="14" t="s">
        <v>7770</v>
      </c>
      <c r="N3271" s="14"/>
      <c r="O3271" s="14" t="s">
        <v>7771</v>
      </c>
      <c r="P3271" s="14" t="str">
        <f>HYPERLINK("https://ceds.ed.gov/cedselementdetails.aspx?termid=18459")</f>
        <v>https://ceds.ed.gov/cedselementdetails.aspx?termid=18459</v>
      </c>
      <c r="Q3271" s="14" t="str">
        <f>HYPERLINK("https://ceds.ed.gov/elementComment.aspx?elementName=Short Name of Institution &amp;elementID=18459", "Click here to submit comment")</f>
        <v>Click here to submit comment</v>
      </c>
      <c r="R3271" s="14">
        <v>50424</v>
      </c>
    </row>
    <row r="3272" spans="1:18" ht="90" x14ac:dyDescent="0.25">
      <c r="A3272" s="14" t="s">
        <v>9080</v>
      </c>
      <c r="B3272" s="14" t="s">
        <v>9081</v>
      </c>
      <c r="C3272" s="14"/>
      <c r="D3272" s="14" t="s">
        <v>8531</v>
      </c>
      <c r="E3272" s="14" t="s">
        <v>6081</v>
      </c>
      <c r="F3272" s="14" t="s">
        <v>6082</v>
      </c>
      <c r="G3272" s="8" t="s">
        <v>8976</v>
      </c>
      <c r="H3272" s="14" t="s">
        <v>2232</v>
      </c>
      <c r="I3272" s="14"/>
      <c r="J3272" s="14"/>
      <c r="K3272" s="14"/>
      <c r="L3272" s="14"/>
      <c r="M3272" s="14" t="s">
        <v>6085</v>
      </c>
      <c r="N3272" s="14"/>
      <c r="O3272" s="14" t="s">
        <v>6086</v>
      </c>
      <c r="P3272" s="14" t="str">
        <f>HYPERLINK("https://ceds.ed.gov/cedselementdetails.aspx?termid=17178")</f>
        <v>https://ceds.ed.gov/cedselementdetails.aspx?termid=17178</v>
      </c>
      <c r="Q3272" s="14" t="str">
        <f>HYPERLINK("https://ceds.ed.gov/elementComment.aspx?elementName=Level of Institution &amp;elementID=17178", "Click here to submit comment")</f>
        <v>Click here to submit comment</v>
      </c>
      <c r="R3272" s="14">
        <v>48574</v>
      </c>
    </row>
    <row r="3273" spans="1:18" ht="195" x14ac:dyDescent="0.25">
      <c r="A3273" s="14" t="s">
        <v>9080</v>
      </c>
      <c r="B3273" s="14" t="s">
        <v>9084</v>
      </c>
      <c r="C3273" s="14" t="s">
        <v>8597</v>
      </c>
      <c r="D3273" s="14" t="s">
        <v>8531</v>
      </c>
      <c r="E3273" s="14" t="s">
        <v>4667</v>
      </c>
      <c r="F3273" s="14" t="s">
        <v>4668</v>
      </c>
      <c r="G3273" s="14" t="s">
        <v>37</v>
      </c>
      <c r="H3273" s="14" t="s">
        <v>4673</v>
      </c>
      <c r="I3273" s="14"/>
      <c r="J3273" s="14" t="s">
        <v>1468</v>
      </c>
      <c r="K3273" s="14"/>
      <c r="L3273" s="14" t="s">
        <v>4670</v>
      </c>
      <c r="M3273" s="14" t="s">
        <v>4671</v>
      </c>
      <c r="N3273" s="14"/>
      <c r="O3273" s="14" t="s">
        <v>4672</v>
      </c>
      <c r="P3273" s="14" t="str">
        <f>HYPERLINK("https://ceds.ed.gov/cedselementdetails.aspx?termid=17115")</f>
        <v>https://ceds.ed.gov/cedselementdetails.aspx?termid=17115</v>
      </c>
      <c r="Q3273" s="14" t="str">
        <f>HYPERLINK("https://ceds.ed.gov/elementComment.aspx?elementName=First Name &amp;elementID=17115", "Click here to submit comment")</f>
        <v>Click here to submit comment</v>
      </c>
      <c r="R3273" s="14">
        <v>48298</v>
      </c>
    </row>
    <row r="3274" spans="1:18" x14ac:dyDescent="0.25">
      <c r="A3274" s="16" t="s">
        <v>9080</v>
      </c>
      <c r="B3274" s="16" t="s">
        <v>9084</v>
      </c>
      <c r="C3274" s="16" t="s">
        <v>8597</v>
      </c>
      <c r="D3274" s="16" t="s">
        <v>8531</v>
      </c>
      <c r="E3274" s="16" t="s">
        <v>6223</v>
      </c>
      <c r="F3274" s="16" t="s">
        <v>6224</v>
      </c>
      <c r="G3274" s="16" t="s">
        <v>37</v>
      </c>
      <c r="H3274" s="16" t="s">
        <v>4673</v>
      </c>
      <c r="I3274" s="16"/>
      <c r="J3274" s="16" t="s">
        <v>1468</v>
      </c>
      <c r="K3274" s="16"/>
      <c r="L3274" s="14" t="s">
        <v>4746</v>
      </c>
      <c r="M3274" s="16" t="s">
        <v>6226</v>
      </c>
      <c r="N3274" s="16"/>
      <c r="O3274" s="16" t="s">
        <v>6227</v>
      </c>
      <c r="P3274" s="16" t="str">
        <f>HYPERLINK("https://ceds.ed.gov/cedselementdetails.aspx?termid=17184")</f>
        <v>https://ceds.ed.gov/cedselementdetails.aspx?termid=17184</v>
      </c>
      <c r="Q3274" s="16" t="str">
        <f>HYPERLINK("https://ceds.ed.gov/elementComment.aspx?elementName=Middle Name &amp;elementID=17184", "Click here to submit comment")</f>
        <v>Click here to submit comment</v>
      </c>
      <c r="R3274" s="16">
        <v>48300</v>
      </c>
    </row>
    <row r="3275" spans="1:18" ht="90" x14ac:dyDescent="0.25">
      <c r="A3275" s="16"/>
      <c r="B3275" s="16"/>
      <c r="C3275" s="16"/>
      <c r="D3275" s="16"/>
      <c r="E3275" s="16"/>
      <c r="F3275" s="16"/>
      <c r="G3275" s="16"/>
      <c r="H3275" s="16"/>
      <c r="I3275" s="16"/>
      <c r="J3275" s="16"/>
      <c r="K3275" s="16"/>
      <c r="L3275" s="14" t="s">
        <v>4750</v>
      </c>
      <c r="M3275" s="16"/>
      <c r="N3275" s="16"/>
      <c r="O3275" s="16"/>
      <c r="P3275" s="16"/>
      <c r="Q3275" s="16"/>
      <c r="R3275" s="16"/>
    </row>
    <row r="3276" spans="1:18" x14ac:dyDescent="0.25">
      <c r="A3276" s="16" t="s">
        <v>9080</v>
      </c>
      <c r="B3276" s="16" t="s">
        <v>9084</v>
      </c>
      <c r="C3276" s="16" t="s">
        <v>8597</v>
      </c>
      <c r="D3276" s="16" t="s">
        <v>8531</v>
      </c>
      <c r="E3276" s="16" t="s">
        <v>5727</v>
      </c>
      <c r="F3276" s="16" t="s">
        <v>5728</v>
      </c>
      <c r="G3276" s="16" t="s">
        <v>37</v>
      </c>
      <c r="H3276" s="16" t="s">
        <v>4673</v>
      </c>
      <c r="I3276" s="16"/>
      <c r="J3276" s="16" t="s">
        <v>1468</v>
      </c>
      <c r="K3276" s="16"/>
      <c r="L3276" s="14" t="s">
        <v>4746</v>
      </c>
      <c r="M3276" s="16" t="s">
        <v>5729</v>
      </c>
      <c r="N3276" s="16" t="s">
        <v>5730</v>
      </c>
      <c r="O3276" s="16" t="s">
        <v>5731</v>
      </c>
      <c r="P3276" s="16" t="str">
        <f>HYPERLINK("https://ceds.ed.gov/cedselementdetails.aspx?termid=17172")</f>
        <v>https://ceds.ed.gov/cedselementdetails.aspx?termid=17172</v>
      </c>
      <c r="Q3276" s="16" t="str">
        <f>HYPERLINK("https://ceds.ed.gov/elementComment.aspx?elementName=Last or Surname &amp;elementID=17172", "Click here to submit comment")</f>
        <v>Click here to submit comment</v>
      </c>
      <c r="R3276" s="16">
        <v>48302</v>
      </c>
    </row>
    <row r="3277" spans="1:18" ht="90" x14ac:dyDescent="0.25">
      <c r="A3277" s="16"/>
      <c r="B3277" s="16"/>
      <c r="C3277" s="16"/>
      <c r="D3277" s="16"/>
      <c r="E3277" s="16"/>
      <c r="F3277" s="16"/>
      <c r="G3277" s="16"/>
      <c r="H3277" s="16"/>
      <c r="I3277" s="16"/>
      <c r="J3277" s="16"/>
      <c r="K3277" s="16"/>
      <c r="L3277" s="14" t="s">
        <v>4750</v>
      </c>
      <c r="M3277" s="16"/>
      <c r="N3277" s="16"/>
      <c r="O3277" s="16"/>
      <c r="P3277" s="16"/>
      <c r="Q3277" s="16"/>
      <c r="R3277" s="16"/>
    </row>
    <row r="3278" spans="1:18" x14ac:dyDescent="0.25">
      <c r="A3278" s="16" t="s">
        <v>9080</v>
      </c>
      <c r="B3278" s="16" t="s">
        <v>9084</v>
      </c>
      <c r="C3278" s="16" t="s">
        <v>8597</v>
      </c>
      <c r="D3278" s="16" t="s">
        <v>8531</v>
      </c>
      <c r="E3278" s="16" t="s">
        <v>4743</v>
      </c>
      <c r="F3278" s="16" t="s">
        <v>4744</v>
      </c>
      <c r="G3278" s="16" t="s">
        <v>37</v>
      </c>
      <c r="H3278" s="16" t="s">
        <v>4749</v>
      </c>
      <c r="I3278" s="16"/>
      <c r="J3278" s="16" t="s">
        <v>3096</v>
      </c>
      <c r="K3278" s="16"/>
      <c r="L3278" s="14" t="s">
        <v>4746</v>
      </c>
      <c r="M3278" s="16" t="s">
        <v>4747</v>
      </c>
      <c r="N3278" s="16"/>
      <c r="O3278" s="16" t="s">
        <v>4748</v>
      </c>
      <c r="P3278" s="16" t="str">
        <f>HYPERLINK("https://ceds.ed.gov/cedselementdetails.aspx?termid=17121")</f>
        <v>https://ceds.ed.gov/cedselementdetails.aspx?termid=17121</v>
      </c>
      <c r="Q3278" s="16" t="str">
        <f>HYPERLINK("https://ceds.ed.gov/elementComment.aspx?elementName=Generation Code or Suffix &amp;elementID=17121", "Click here to submit comment")</f>
        <v>Click here to submit comment</v>
      </c>
      <c r="R3278" s="16">
        <v>49886</v>
      </c>
    </row>
    <row r="3279" spans="1:18" ht="90" x14ac:dyDescent="0.25">
      <c r="A3279" s="16"/>
      <c r="B3279" s="16"/>
      <c r="C3279" s="16"/>
      <c r="D3279" s="16"/>
      <c r="E3279" s="16"/>
      <c r="F3279" s="16"/>
      <c r="G3279" s="16"/>
      <c r="H3279" s="16"/>
      <c r="I3279" s="16"/>
      <c r="J3279" s="16"/>
      <c r="K3279" s="16"/>
      <c r="L3279" s="14" t="s">
        <v>4750</v>
      </c>
      <c r="M3279" s="16"/>
      <c r="N3279" s="16"/>
      <c r="O3279" s="16"/>
      <c r="P3279" s="16"/>
      <c r="Q3279" s="16"/>
      <c r="R3279" s="16"/>
    </row>
    <row r="3280" spans="1:18" ht="105" x14ac:dyDescent="0.25">
      <c r="A3280" s="14" t="s">
        <v>9080</v>
      </c>
      <c r="B3280" s="14" t="s">
        <v>9084</v>
      </c>
      <c r="C3280" s="14" t="s">
        <v>8597</v>
      </c>
      <c r="D3280" s="14" t="s">
        <v>8531</v>
      </c>
      <c r="E3280" s="14" t="s">
        <v>6741</v>
      </c>
      <c r="F3280" s="14" t="s">
        <v>6742</v>
      </c>
      <c r="G3280" s="14" t="s">
        <v>37</v>
      </c>
      <c r="H3280" s="14" t="s">
        <v>6747</v>
      </c>
      <c r="I3280" s="14"/>
      <c r="J3280" s="14" t="s">
        <v>97</v>
      </c>
      <c r="K3280" s="14"/>
      <c r="L3280" s="14"/>
      <c r="M3280" s="14" t="s">
        <v>6744</v>
      </c>
      <c r="N3280" s="14" t="s">
        <v>6745</v>
      </c>
      <c r="O3280" s="14" t="s">
        <v>6746</v>
      </c>
      <c r="P3280" s="14" t="str">
        <f>HYPERLINK("https://ceds.ed.gov/cedselementdetails.aspx?termid=17212")</f>
        <v>https://ceds.ed.gov/cedselementdetails.aspx?termid=17212</v>
      </c>
      <c r="Q3280" s="14" t="str">
        <f>HYPERLINK("https://ceds.ed.gov/elementComment.aspx?elementName=Personal Title or Prefix &amp;elementID=17212", "Click here to submit comment")</f>
        <v>Click here to submit comment</v>
      </c>
      <c r="R3280" s="14">
        <v>49887</v>
      </c>
    </row>
    <row r="3281" spans="1:18" ht="45" x14ac:dyDescent="0.25">
      <c r="A3281" s="14" t="s">
        <v>9080</v>
      </c>
      <c r="B3281" s="14" t="s">
        <v>9084</v>
      </c>
      <c r="C3281" s="14" t="s">
        <v>8598</v>
      </c>
      <c r="D3281" s="14" t="s">
        <v>8531</v>
      </c>
      <c r="E3281" s="14" t="s">
        <v>6586</v>
      </c>
      <c r="F3281" s="14" t="s">
        <v>6587</v>
      </c>
      <c r="G3281" s="14" t="s">
        <v>37</v>
      </c>
      <c r="H3281" s="14"/>
      <c r="I3281" s="14"/>
      <c r="J3281" s="14" t="s">
        <v>1468</v>
      </c>
      <c r="K3281" s="14"/>
      <c r="L3281" s="14" t="s">
        <v>6589</v>
      </c>
      <c r="M3281" s="14" t="s">
        <v>6590</v>
      </c>
      <c r="N3281" s="14"/>
      <c r="O3281" s="14" t="s">
        <v>6591</v>
      </c>
      <c r="P3281" s="14" t="str">
        <f>HYPERLINK("https://ceds.ed.gov/cedselementdetails.aspx?termid=18486")</f>
        <v>https://ceds.ed.gov/cedselementdetails.aspx?termid=18486</v>
      </c>
      <c r="Q3281" s="14" t="str">
        <f>HYPERLINK("https://ceds.ed.gov/elementComment.aspx?elementName=Other First Name &amp;elementID=18486", "Click here to submit comment")</f>
        <v>Click here to submit comment</v>
      </c>
      <c r="R3281" s="14">
        <v>50636</v>
      </c>
    </row>
    <row r="3282" spans="1:18" ht="45" x14ac:dyDescent="0.25">
      <c r="A3282" s="14" t="s">
        <v>9080</v>
      </c>
      <c r="B3282" s="14" t="s">
        <v>9084</v>
      </c>
      <c r="C3282" s="14" t="s">
        <v>8598</v>
      </c>
      <c r="D3282" s="14" t="s">
        <v>8531</v>
      </c>
      <c r="E3282" s="14" t="s">
        <v>6597</v>
      </c>
      <c r="F3282" s="14" t="s">
        <v>6598</v>
      </c>
      <c r="G3282" s="14" t="s">
        <v>37</v>
      </c>
      <c r="H3282" s="14"/>
      <c r="I3282" s="14"/>
      <c r="J3282" s="14" t="s">
        <v>1468</v>
      </c>
      <c r="K3282" s="14"/>
      <c r="L3282" s="14" t="s">
        <v>6599</v>
      </c>
      <c r="M3282" s="14" t="s">
        <v>6600</v>
      </c>
      <c r="N3282" s="14"/>
      <c r="O3282" s="14" t="s">
        <v>6601</v>
      </c>
      <c r="P3282" s="14" t="str">
        <f>HYPERLINK("https://ceds.ed.gov/cedselementdetails.aspx?termid=18487")</f>
        <v>https://ceds.ed.gov/cedselementdetails.aspx?termid=18487</v>
      </c>
      <c r="Q3282" s="14" t="str">
        <f>HYPERLINK("https://ceds.ed.gov/elementComment.aspx?elementName=Other Middle Name &amp;elementID=18487", "Click here to submit comment")</f>
        <v>Click here to submit comment</v>
      </c>
      <c r="R3282" s="14">
        <v>50652</v>
      </c>
    </row>
    <row r="3283" spans="1:18" ht="45" x14ac:dyDescent="0.25">
      <c r="A3283" s="14" t="s">
        <v>9080</v>
      </c>
      <c r="B3283" s="14" t="s">
        <v>9084</v>
      </c>
      <c r="C3283" s="14" t="s">
        <v>8598</v>
      </c>
      <c r="D3283" s="14" t="s">
        <v>8531</v>
      </c>
      <c r="E3283" s="14" t="s">
        <v>6592</v>
      </c>
      <c r="F3283" s="14" t="s">
        <v>6593</v>
      </c>
      <c r="G3283" s="14" t="s">
        <v>37</v>
      </c>
      <c r="H3283" s="14"/>
      <c r="I3283" s="14"/>
      <c r="J3283" s="14" t="s">
        <v>1468</v>
      </c>
      <c r="K3283" s="14"/>
      <c r="L3283" s="14" t="s">
        <v>6594</v>
      </c>
      <c r="M3283" s="14" t="s">
        <v>6595</v>
      </c>
      <c r="N3283" s="14"/>
      <c r="O3283" s="14" t="s">
        <v>6596</v>
      </c>
      <c r="P3283" s="14" t="str">
        <f>HYPERLINK("https://ceds.ed.gov/cedselementdetails.aspx?termid=18485")</f>
        <v>https://ceds.ed.gov/cedselementdetails.aspx?termid=18485</v>
      </c>
      <c r="Q3283" s="14" t="str">
        <f>HYPERLINK("https://ceds.ed.gov/elementComment.aspx?elementName=Other Last Name &amp;elementID=18485", "Click here to submit comment")</f>
        <v>Click here to submit comment</v>
      </c>
      <c r="R3283" s="14">
        <v>50620</v>
      </c>
    </row>
    <row r="3284" spans="1:18" ht="150" x14ac:dyDescent="0.25">
      <c r="A3284" s="14" t="s">
        <v>9080</v>
      </c>
      <c r="B3284" s="14" t="s">
        <v>9084</v>
      </c>
      <c r="C3284" s="14" t="s">
        <v>8598</v>
      </c>
      <c r="D3284" s="14" t="s">
        <v>8531</v>
      </c>
      <c r="E3284" s="14" t="s">
        <v>6602</v>
      </c>
      <c r="F3284" s="14" t="s">
        <v>6603</v>
      </c>
      <c r="G3284" s="14" t="s">
        <v>37</v>
      </c>
      <c r="H3284" s="14" t="s">
        <v>4749</v>
      </c>
      <c r="I3284" s="14"/>
      <c r="J3284" s="14" t="s">
        <v>149</v>
      </c>
      <c r="K3284" s="14"/>
      <c r="L3284" s="14"/>
      <c r="M3284" s="14" t="s">
        <v>6604</v>
      </c>
      <c r="N3284" s="14"/>
      <c r="O3284" s="14" t="s">
        <v>6605</v>
      </c>
      <c r="P3284" s="14" t="str">
        <f>HYPERLINK("https://ceds.ed.gov/cedselementdetails.aspx?termid=17206")</f>
        <v>https://ceds.ed.gov/cedselementdetails.aspx?termid=17206</v>
      </c>
      <c r="Q3284" s="14" t="str">
        <f>HYPERLINK("https://ceds.ed.gov/elementComment.aspx?elementName=Other Name &amp;elementID=17206", "Click here to submit comment")</f>
        <v>Click here to submit comment</v>
      </c>
      <c r="R3284" s="14">
        <v>49888</v>
      </c>
    </row>
    <row r="3285" spans="1:18" ht="165" x14ac:dyDescent="0.25">
      <c r="A3285" s="14" t="s">
        <v>9080</v>
      </c>
      <c r="B3285" s="14" t="s">
        <v>9084</v>
      </c>
      <c r="C3285" s="14" t="s">
        <v>8598</v>
      </c>
      <c r="D3285" s="14" t="s">
        <v>8531</v>
      </c>
      <c r="E3285" s="14" t="s">
        <v>6606</v>
      </c>
      <c r="F3285" s="14" t="s">
        <v>6607</v>
      </c>
      <c r="G3285" s="8" t="s">
        <v>8554</v>
      </c>
      <c r="H3285" s="14" t="s">
        <v>6612</v>
      </c>
      <c r="I3285" s="14"/>
      <c r="J3285" s="14" t="s">
        <v>97</v>
      </c>
      <c r="K3285" s="14"/>
      <c r="L3285" s="14"/>
      <c r="M3285" s="14" t="s">
        <v>6610</v>
      </c>
      <c r="N3285" s="14"/>
      <c r="O3285" s="14" t="s">
        <v>6611</v>
      </c>
      <c r="P3285" s="14" t="str">
        <f>HYPERLINK("https://ceds.ed.gov/cedselementdetails.aspx?termid=17627")</f>
        <v>https://ceds.ed.gov/cedselementdetails.aspx?termid=17627</v>
      </c>
      <c r="Q3285" s="14" t="str">
        <f>HYPERLINK("https://ceds.ed.gov/elementComment.aspx?elementName=Other Name Type &amp;elementID=17627", "Click here to submit comment")</f>
        <v>Click here to submit comment</v>
      </c>
      <c r="R3285" s="14">
        <v>49889</v>
      </c>
    </row>
    <row r="3286" spans="1:18" ht="105" x14ac:dyDescent="0.25">
      <c r="A3286" s="16" t="s">
        <v>9080</v>
      </c>
      <c r="B3286" s="16" t="s">
        <v>9084</v>
      </c>
      <c r="C3286" s="16" t="s">
        <v>8599</v>
      </c>
      <c r="D3286" s="16" t="s">
        <v>8531</v>
      </c>
      <c r="E3286" s="16" t="s">
        <v>8072</v>
      </c>
      <c r="F3286" s="16" t="s">
        <v>8073</v>
      </c>
      <c r="G3286" s="16" t="s">
        <v>37</v>
      </c>
      <c r="H3286" s="16" t="s">
        <v>8071</v>
      </c>
      <c r="I3286" s="16"/>
      <c r="J3286" s="16" t="s">
        <v>149</v>
      </c>
      <c r="K3286" s="16"/>
      <c r="L3286" s="14" t="s">
        <v>150</v>
      </c>
      <c r="M3286" s="16" t="s">
        <v>8074</v>
      </c>
      <c r="N3286" s="16"/>
      <c r="O3286" s="16" t="s">
        <v>8075</v>
      </c>
      <c r="P3286" s="16" t="str">
        <f>HYPERLINK("https://ceds.ed.gov/cedselementdetails.aspx?termid=17157")</f>
        <v>https://ceds.ed.gov/cedselementdetails.aspx?termid=17157</v>
      </c>
      <c r="Q3286" s="16" t="str">
        <f>HYPERLINK("https://ceds.ed.gov/elementComment.aspx?elementName=Student Identifier &amp;elementID=17157", "Click here to submit comment")</f>
        <v>Click here to submit comment</v>
      </c>
      <c r="R3286" s="16">
        <v>48339</v>
      </c>
    </row>
    <row r="3287" spans="1:18" x14ac:dyDescent="0.25">
      <c r="A3287" s="16"/>
      <c r="B3287" s="16"/>
      <c r="C3287" s="16"/>
      <c r="D3287" s="16"/>
      <c r="E3287" s="16"/>
      <c r="F3287" s="16"/>
      <c r="G3287" s="16"/>
      <c r="H3287" s="16"/>
      <c r="I3287" s="16"/>
      <c r="J3287" s="16"/>
      <c r="K3287" s="16"/>
      <c r="L3287" s="14"/>
      <c r="M3287" s="16"/>
      <c r="N3287" s="16"/>
      <c r="O3287" s="16"/>
      <c r="P3287" s="16"/>
      <c r="Q3287" s="16"/>
      <c r="R3287" s="16"/>
    </row>
    <row r="3288" spans="1:18" ht="90" x14ac:dyDescent="0.25">
      <c r="A3288" s="16"/>
      <c r="B3288" s="16"/>
      <c r="C3288" s="16"/>
      <c r="D3288" s="16"/>
      <c r="E3288" s="16"/>
      <c r="F3288" s="16"/>
      <c r="G3288" s="16"/>
      <c r="H3288" s="16"/>
      <c r="I3288" s="16"/>
      <c r="J3288" s="16"/>
      <c r="K3288" s="16"/>
      <c r="L3288" s="14" t="s">
        <v>153</v>
      </c>
      <c r="M3288" s="16"/>
      <c r="N3288" s="16"/>
      <c r="O3288" s="16"/>
      <c r="P3288" s="16"/>
      <c r="Q3288" s="16"/>
      <c r="R3288" s="16"/>
    </row>
    <row r="3289" spans="1:18" ht="210" x14ac:dyDescent="0.25">
      <c r="A3289" s="14" t="s">
        <v>9080</v>
      </c>
      <c r="B3289" s="14" t="s">
        <v>9084</v>
      </c>
      <c r="C3289" s="14" t="s">
        <v>8599</v>
      </c>
      <c r="D3289" s="14" t="s">
        <v>8531</v>
      </c>
      <c r="E3289" s="14" t="s">
        <v>8065</v>
      </c>
      <c r="F3289" s="14" t="s">
        <v>8066</v>
      </c>
      <c r="G3289" s="8" t="s">
        <v>8814</v>
      </c>
      <c r="H3289" s="14" t="s">
        <v>8071</v>
      </c>
      <c r="I3289" s="14"/>
      <c r="J3289" s="14"/>
      <c r="K3289" s="14"/>
      <c r="L3289" s="14"/>
      <c r="M3289" s="14" t="s">
        <v>8069</v>
      </c>
      <c r="N3289" s="14"/>
      <c r="O3289" s="14" t="s">
        <v>8070</v>
      </c>
      <c r="P3289" s="14" t="str">
        <f>HYPERLINK("https://ceds.ed.gov/cedselementdetails.aspx?termid=17163")</f>
        <v>https://ceds.ed.gov/cedselementdetails.aspx?termid=17163</v>
      </c>
      <c r="Q3289" s="14" t="str">
        <f>HYPERLINK("https://ceds.ed.gov/elementComment.aspx?elementName=Student Identification System &amp;elementID=17163", "Click here to submit comment")</f>
        <v>Click here to submit comment</v>
      </c>
      <c r="R3289" s="14">
        <v>48340</v>
      </c>
    </row>
    <row r="3290" spans="1:18" ht="255" x14ac:dyDescent="0.25">
      <c r="A3290" s="14" t="s">
        <v>9080</v>
      </c>
      <c r="B3290" s="14" t="s">
        <v>9084</v>
      </c>
      <c r="C3290" s="14" t="s">
        <v>8599</v>
      </c>
      <c r="D3290" s="14" t="s">
        <v>8531</v>
      </c>
      <c r="E3290" s="14" t="s">
        <v>6735</v>
      </c>
      <c r="F3290" s="14" t="s">
        <v>6736</v>
      </c>
      <c r="G3290" s="8" t="s">
        <v>8601</v>
      </c>
      <c r="H3290" s="14"/>
      <c r="I3290" s="14"/>
      <c r="J3290" s="14"/>
      <c r="K3290" s="14"/>
      <c r="L3290" s="14"/>
      <c r="M3290" s="14" t="s">
        <v>6739</v>
      </c>
      <c r="N3290" s="14"/>
      <c r="O3290" s="14" t="s">
        <v>6740</v>
      </c>
      <c r="P3290" s="14" t="str">
        <f>HYPERLINK("https://ceds.ed.gov/cedselementdetails.aspx?termid=17611")</f>
        <v>https://ceds.ed.gov/cedselementdetails.aspx?termid=17611</v>
      </c>
      <c r="Q3290" s="14" t="str">
        <f>HYPERLINK("https://ceds.ed.gov/elementComment.aspx?elementName=Personal Information Verification &amp;elementID=17611", "Click here to submit comment")</f>
        <v>Click here to submit comment</v>
      </c>
      <c r="R3290" s="14">
        <v>49220</v>
      </c>
    </row>
    <row r="3291" spans="1:18" ht="210" x14ac:dyDescent="0.25">
      <c r="A3291" s="14" t="s">
        <v>9080</v>
      </c>
      <c r="B3291" s="14" t="s">
        <v>9084</v>
      </c>
      <c r="C3291" s="14" t="s">
        <v>8547</v>
      </c>
      <c r="D3291" s="14" t="s">
        <v>8531</v>
      </c>
      <c r="E3291" s="14" t="s">
        <v>219</v>
      </c>
      <c r="F3291" s="14" t="s">
        <v>220</v>
      </c>
      <c r="G3291" s="8" t="s">
        <v>8602</v>
      </c>
      <c r="H3291" s="14" t="s">
        <v>225</v>
      </c>
      <c r="I3291" s="14"/>
      <c r="J3291" s="14" t="s">
        <v>97</v>
      </c>
      <c r="K3291" s="14"/>
      <c r="L3291" s="14"/>
      <c r="M3291" s="14" t="s">
        <v>223</v>
      </c>
      <c r="N3291" s="14"/>
      <c r="O3291" s="14" t="s">
        <v>224</v>
      </c>
      <c r="P3291" s="14" t="str">
        <f>HYPERLINK("https://ceds.ed.gov/cedselementdetails.aspx?termid=17358")</f>
        <v>https://ceds.ed.gov/cedselementdetails.aspx?termid=17358</v>
      </c>
      <c r="Q3291" s="14" t="str">
        <f>HYPERLINK("https://ceds.ed.gov/elementComment.aspx?elementName=Address Type for Learner or Family &amp;elementID=17358", "Click here to submit comment")</f>
        <v>Click here to submit comment</v>
      </c>
      <c r="R3291" s="14">
        <v>49890</v>
      </c>
    </row>
    <row r="3292" spans="1:18" ht="225" x14ac:dyDescent="0.25">
      <c r="A3292" s="14" t="s">
        <v>9080</v>
      </c>
      <c r="B3292" s="14" t="s">
        <v>9084</v>
      </c>
      <c r="C3292" s="14" t="s">
        <v>8547</v>
      </c>
      <c r="D3292" s="14" t="s">
        <v>8531</v>
      </c>
      <c r="E3292" s="14" t="s">
        <v>214</v>
      </c>
      <c r="F3292" s="14" t="s">
        <v>215</v>
      </c>
      <c r="G3292" s="14" t="s">
        <v>37</v>
      </c>
      <c r="H3292" s="14" t="s">
        <v>199</v>
      </c>
      <c r="I3292" s="14" t="s">
        <v>195</v>
      </c>
      <c r="J3292" s="14" t="s">
        <v>216</v>
      </c>
      <c r="K3292" s="14" t="s">
        <v>196</v>
      </c>
      <c r="L3292" s="14"/>
      <c r="M3292" s="14" t="s">
        <v>217</v>
      </c>
      <c r="N3292" s="14"/>
      <c r="O3292" s="14" t="s">
        <v>218</v>
      </c>
      <c r="P3292" s="14" t="str">
        <f>HYPERLINK("https://ceds.ed.gov/cedselementdetails.aspx?termid=17269")</f>
        <v>https://ceds.ed.gov/cedselementdetails.aspx?termid=17269</v>
      </c>
      <c r="Q3292" s="14" t="str">
        <f>HYPERLINK("https://ceds.ed.gov/elementComment.aspx?elementName=Address Street Number and Name &amp;elementID=17269", "Click here to submit comment")</f>
        <v>Click here to submit comment</v>
      </c>
      <c r="R3292" s="14">
        <v>48304</v>
      </c>
    </row>
    <row r="3293" spans="1:18" ht="225" x14ac:dyDescent="0.25">
      <c r="A3293" s="14" t="s">
        <v>9080</v>
      </c>
      <c r="B3293" s="14" t="s">
        <v>9084</v>
      </c>
      <c r="C3293" s="14" t="s">
        <v>8547</v>
      </c>
      <c r="D3293" s="14" t="s">
        <v>8531</v>
      </c>
      <c r="E3293" s="14" t="s">
        <v>192</v>
      </c>
      <c r="F3293" s="14" t="s">
        <v>193</v>
      </c>
      <c r="G3293" s="14" t="s">
        <v>37</v>
      </c>
      <c r="H3293" s="14" t="s">
        <v>199</v>
      </c>
      <c r="I3293" s="14" t="s">
        <v>195</v>
      </c>
      <c r="J3293" s="14" t="s">
        <v>175</v>
      </c>
      <c r="K3293" s="14" t="s">
        <v>196</v>
      </c>
      <c r="L3293" s="14"/>
      <c r="M3293" s="14" t="s">
        <v>197</v>
      </c>
      <c r="N3293" s="14"/>
      <c r="O3293" s="14" t="s">
        <v>198</v>
      </c>
      <c r="P3293" s="14" t="str">
        <f>HYPERLINK("https://ceds.ed.gov/cedselementdetails.aspx?termid=17019")</f>
        <v>https://ceds.ed.gov/cedselementdetails.aspx?termid=17019</v>
      </c>
      <c r="Q3293" s="14" t="str">
        <f>HYPERLINK("https://ceds.ed.gov/elementComment.aspx?elementName=Address Apartment Room or Suite Number &amp;elementID=17019", "Click here to submit comment")</f>
        <v>Click here to submit comment</v>
      </c>
      <c r="R3293" s="14">
        <v>48306</v>
      </c>
    </row>
    <row r="3294" spans="1:18" ht="225" x14ac:dyDescent="0.25">
      <c r="A3294" s="14" t="s">
        <v>9080</v>
      </c>
      <c r="B3294" s="14" t="s">
        <v>9084</v>
      </c>
      <c r="C3294" s="14" t="s">
        <v>8547</v>
      </c>
      <c r="D3294" s="14" t="s">
        <v>8531</v>
      </c>
      <c r="E3294" s="14" t="s">
        <v>200</v>
      </c>
      <c r="F3294" s="14" t="s">
        <v>201</v>
      </c>
      <c r="G3294" s="14" t="s">
        <v>37</v>
      </c>
      <c r="H3294" s="14" t="s">
        <v>199</v>
      </c>
      <c r="I3294" s="14"/>
      <c r="J3294" s="14" t="s">
        <v>97</v>
      </c>
      <c r="K3294" s="14"/>
      <c r="L3294" s="14"/>
      <c r="M3294" s="14" t="s">
        <v>202</v>
      </c>
      <c r="N3294" s="14"/>
      <c r="O3294" s="14" t="s">
        <v>203</v>
      </c>
      <c r="P3294" s="14" t="str">
        <f>HYPERLINK("https://ceds.ed.gov/cedselementdetails.aspx?termid=17040")</f>
        <v>https://ceds.ed.gov/cedselementdetails.aspx?termid=17040</v>
      </c>
      <c r="Q3294" s="14" t="str">
        <f>HYPERLINK("https://ceds.ed.gov/elementComment.aspx?elementName=Address City &amp;elementID=17040", "Click here to submit comment")</f>
        <v>Click here to submit comment</v>
      </c>
      <c r="R3294" s="14">
        <v>48308</v>
      </c>
    </row>
    <row r="3295" spans="1:18" ht="409.5" x14ac:dyDescent="0.25">
      <c r="A3295" s="14" t="s">
        <v>9080</v>
      </c>
      <c r="B3295" s="14" t="s">
        <v>9084</v>
      </c>
      <c r="C3295" s="14" t="s">
        <v>8547</v>
      </c>
      <c r="D3295" s="14" t="s">
        <v>8531</v>
      </c>
      <c r="E3295" s="14" t="s">
        <v>7960</v>
      </c>
      <c r="F3295" s="14" t="s">
        <v>7961</v>
      </c>
      <c r="G3295" s="8" t="s">
        <v>8540</v>
      </c>
      <c r="H3295" s="14" t="s">
        <v>7964</v>
      </c>
      <c r="I3295" s="14"/>
      <c r="J3295" s="14"/>
      <c r="K3295" s="14"/>
      <c r="L3295" s="14"/>
      <c r="M3295" s="14" t="s">
        <v>7962</v>
      </c>
      <c r="N3295" s="14"/>
      <c r="O3295" s="14" t="s">
        <v>7963</v>
      </c>
      <c r="P3295" s="14" t="str">
        <f>HYPERLINK("https://ceds.ed.gov/cedselementdetails.aspx?termid=17267")</f>
        <v>https://ceds.ed.gov/cedselementdetails.aspx?termid=17267</v>
      </c>
      <c r="Q3295" s="14" t="str">
        <f>HYPERLINK("https://ceds.ed.gov/elementComment.aspx?elementName=State Abbreviation &amp;elementID=17267", "Click here to submit comment")</f>
        <v>Click here to submit comment</v>
      </c>
      <c r="R3295" s="14">
        <v>48312</v>
      </c>
    </row>
    <row r="3296" spans="1:18" ht="225" x14ac:dyDescent="0.25">
      <c r="A3296" s="14" t="s">
        <v>9080</v>
      </c>
      <c r="B3296" s="14" t="s">
        <v>9084</v>
      </c>
      <c r="C3296" s="14" t="s">
        <v>8547</v>
      </c>
      <c r="D3296" s="14" t="s">
        <v>8531</v>
      </c>
      <c r="E3296" s="14" t="s">
        <v>209</v>
      </c>
      <c r="F3296" s="14" t="s">
        <v>210</v>
      </c>
      <c r="G3296" s="14" t="s">
        <v>37</v>
      </c>
      <c r="H3296" s="14" t="s">
        <v>199</v>
      </c>
      <c r="I3296" s="14"/>
      <c r="J3296" s="14" t="s">
        <v>211</v>
      </c>
      <c r="K3296" s="14"/>
      <c r="L3296" s="14"/>
      <c r="M3296" s="14" t="s">
        <v>212</v>
      </c>
      <c r="N3296" s="14"/>
      <c r="O3296" s="14" t="s">
        <v>213</v>
      </c>
      <c r="P3296" s="14" t="str">
        <f>HYPERLINK("https://ceds.ed.gov/cedselementdetails.aspx?termid=17214")</f>
        <v>https://ceds.ed.gov/cedselementdetails.aspx?termid=17214</v>
      </c>
      <c r="Q3296" s="14" t="str">
        <f>HYPERLINK("https://ceds.ed.gov/elementComment.aspx?elementName=Address Postal Code &amp;elementID=17214", "Click here to submit comment")</f>
        <v>Click here to submit comment</v>
      </c>
      <c r="R3296" s="14">
        <v>48314</v>
      </c>
    </row>
    <row r="3297" spans="1:18" ht="225" x14ac:dyDescent="0.25">
      <c r="A3297" s="14" t="s">
        <v>9080</v>
      </c>
      <c r="B3297" s="14" t="s">
        <v>9084</v>
      </c>
      <c r="C3297" s="14" t="s">
        <v>8547</v>
      </c>
      <c r="D3297" s="14" t="s">
        <v>8531</v>
      </c>
      <c r="E3297" s="14" t="s">
        <v>204</v>
      </c>
      <c r="F3297" s="14" t="s">
        <v>205</v>
      </c>
      <c r="G3297" s="14" t="s">
        <v>37</v>
      </c>
      <c r="H3297" s="14" t="s">
        <v>199</v>
      </c>
      <c r="I3297" s="14"/>
      <c r="J3297" s="14" t="s">
        <v>97</v>
      </c>
      <c r="K3297" s="14"/>
      <c r="L3297" s="14"/>
      <c r="M3297" s="14" t="s">
        <v>207</v>
      </c>
      <c r="N3297" s="14"/>
      <c r="O3297" s="14" t="s">
        <v>208</v>
      </c>
      <c r="P3297" s="14" t="str">
        <f>HYPERLINK("https://ceds.ed.gov/cedselementdetails.aspx?termid=17190")</f>
        <v>https://ceds.ed.gov/cedselementdetails.aspx?termid=17190</v>
      </c>
      <c r="Q3297" s="14" t="str">
        <f>HYPERLINK("https://ceds.ed.gov/elementComment.aspx?elementName=Address County Name &amp;elementID=17190", "Click here to submit comment")</f>
        <v>Click here to submit comment</v>
      </c>
      <c r="R3297" s="14">
        <v>48310</v>
      </c>
    </row>
    <row r="3298" spans="1:18" ht="409.5" x14ac:dyDescent="0.25">
      <c r="A3298" s="14" t="s">
        <v>9080</v>
      </c>
      <c r="B3298" s="14" t="s">
        <v>9084</v>
      </c>
      <c r="C3298" s="14" t="s">
        <v>8547</v>
      </c>
      <c r="D3298" s="14" t="s">
        <v>8531</v>
      </c>
      <c r="E3298" s="14" t="s">
        <v>2845</v>
      </c>
      <c r="F3298" s="14" t="s">
        <v>2846</v>
      </c>
      <c r="G3298" s="8" t="s">
        <v>8548</v>
      </c>
      <c r="H3298" s="14" t="s">
        <v>2852</v>
      </c>
      <c r="I3298" s="14"/>
      <c r="J3298" s="14"/>
      <c r="K3298" s="14"/>
      <c r="L3298" s="6" t="s">
        <v>2849</v>
      </c>
      <c r="M3298" s="14" t="s">
        <v>2850</v>
      </c>
      <c r="N3298" s="14"/>
      <c r="O3298" s="14" t="s">
        <v>2851</v>
      </c>
      <c r="P3298" s="14" t="str">
        <f>HYPERLINK("https://ceds.ed.gov/cedselementdetails.aspx?termid=17050")</f>
        <v>https://ceds.ed.gov/cedselementdetails.aspx?termid=17050</v>
      </c>
      <c r="Q3298" s="14" t="str">
        <f>HYPERLINK("https://ceds.ed.gov/elementComment.aspx?elementName=Country Code &amp;elementID=17050", "Click here to submit comment")</f>
        <v>Click here to submit comment</v>
      </c>
      <c r="R3298" s="14">
        <v>49138</v>
      </c>
    </row>
    <row r="3299" spans="1:18" ht="75" x14ac:dyDescent="0.25">
      <c r="A3299" s="14" t="s">
        <v>9080</v>
      </c>
      <c r="B3299" s="14" t="s">
        <v>9084</v>
      </c>
      <c r="C3299" s="14" t="s">
        <v>8547</v>
      </c>
      <c r="D3299" s="14" t="s">
        <v>8531</v>
      </c>
      <c r="E3299" s="14" t="s">
        <v>5736</v>
      </c>
      <c r="F3299" s="14" t="s">
        <v>5737</v>
      </c>
      <c r="G3299" s="14" t="s">
        <v>37</v>
      </c>
      <c r="H3299" s="14"/>
      <c r="I3299" s="14"/>
      <c r="J3299" s="14" t="s">
        <v>1307</v>
      </c>
      <c r="K3299" s="14"/>
      <c r="L3299" s="14"/>
      <c r="M3299" s="14" t="s">
        <v>5739</v>
      </c>
      <c r="N3299" s="14"/>
      <c r="O3299" s="14" t="s">
        <v>5736</v>
      </c>
      <c r="P3299" s="14" t="str">
        <f>HYPERLINK("https://ceds.ed.gov/cedselementdetails.aspx?termid=17599")</f>
        <v>https://ceds.ed.gov/cedselementdetails.aspx?termid=17599</v>
      </c>
      <c r="Q3299" s="14" t="str">
        <f>HYPERLINK("https://ceds.ed.gov/elementComment.aspx?elementName=Latitude &amp;elementID=17599", "Click here to submit comment")</f>
        <v>Click here to submit comment</v>
      </c>
      <c r="R3299" s="14">
        <v>51266</v>
      </c>
    </row>
    <row r="3300" spans="1:18" ht="75" x14ac:dyDescent="0.25">
      <c r="A3300" s="14" t="s">
        <v>9080</v>
      </c>
      <c r="B3300" s="14" t="s">
        <v>9084</v>
      </c>
      <c r="C3300" s="14" t="s">
        <v>8547</v>
      </c>
      <c r="D3300" s="14" t="s">
        <v>8531</v>
      </c>
      <c r="E3300" s="14" t="s">
        <v>6174</v>
      </c>
      <c r="F3300" s="14" t="s">
        <v>6175</v>
      </c>
      <c r="G3300" s="14" t="s">
        <v>37</v>
      </c>
      <c r="H3300" s="14"/>
      <c r="I3300" s="14"/>
      <c r="J3300" s="14" t="s">
        <v>1307</v>
      </c>
      <c r="K3300" s="14"/>
      <c r="L3300" s="14"/>
      <c r="M3300" s="14" t="s">
        <v>6176</v>
      </c>
      <c r="N3300" s="14"/>
      <c r="O3300" s="14" t="s">
        <v>6174</v>
      </c>
      <c r="P3300" s="14" t="str">
        <f>HYPERLINK("https://ceds.ed.gov/cedselementdetails.aspx?termid=17600")</f>
        <v>https://ceds.ed.gov/cedselementdetails.aspx?termid=17600</v>
      </c>
      <c r="Q3300" s="14" t="str">
        <f>HYPERLINK("https://ceds.ed.gov/elementComment.aspx?elementName=Longitude &amp;elementID=17600", "Click here to submit comment")</f>
        <v>Click here to submit comment</v>
      </c>
      <c r="R3300" s="14">
        <v>51289</v>
      </c>
    </row>
    <row r="3301" spans="1:18" ht="195" x14ac:dyDescent="0.25">
      <c r="A3301" s="14" t="s">
        <v>9080</v>
      </c>
      <c r="B3301" s="14" t="s">
        <v>9084</v>
      </c>
      <c r="C3301" s="14" t="s">
        <v>8547</v>
      </c>
      <c r="D3301" s="14" t="s">
        <v>8541</v>
      </c>
      <c r="E3301" s="14" t="s">
        <v>2860</v>
      </c>
      <c r="F3301" s="14" t="s">
        <v>2861</v>
      </c>
      <c r="G3301" s="14" t="s">
        <v>37</v>
      </c>
      <c r="H3301" s="14"/>
      <c r="I3301" s="14" t="s">
        <v>195</v>
      </c>
      <c r="J3301" s="14" t="s">
        <v>2863</v>
      </c>
      <c r="K3301" s="14" t="s">
        <v>2864</v>
      </c>
      <c r="L3301" s="14"/>
      <c r="M3301" s="14" t="s">
        <v>2865</v>
      </c>
      <c r="N3301" s="14"/>
      <c r="O3301" s="14" t="s">
        <v>2866</v>
      </c>
      <c r="P3301" s="14" t="str">
        <f>HYPERLINK("https://ceds.ed.gov/cedselementdetails.aspx?termid=18176")</f>
        <v>https://ceds.ed.gov/cedselementdetails.aspx?termid=18176</v>
      </c>
      <c r="Q3301" s="14" t="str">
        <f>HYPERLINK("https://ceds.ed.gov/elementComment.aspx?elementName=County ANSI Code &amp;elementID=18176", "Click here to submit comment")</f>
        <v>Click here to submit comment</v>
      </c>
      <c r="R3301" s="14">
        <v>52216</v>
      </c>
    </row>
    <row r="3302" spans="1:18" ht="60" x14ac:dyDescent="0.25">
      <c r="A3302" s="14" t="s">
        <v>9080</v>
      </c>
      <c r="B3302" s="14" t="s">
        <v>9084</v>
      </c>
      <c r="C3302" s="14" t="s">
        <v>8547</v>
      </c>
      <c r="D3302" s="14" t="s">
        <v>8541</v>
      </c>
      <c r="E3302" s="14" t="s">
        <v>3651</v>
      </c>
      <c r="F3302" s="14" t="s">
        <v>3652</v>
      </c>
      <c r="G3302" s="14" t="s">
        <v>3430</v>
      </c>
      <c r="H3302" s="14"/>
      <c r="I3302" s="14" t="s">
        <v>188</v>
      </c>
      <c r="J3302" s="14"/>
      <c r="K3302" s="14" t="s">
        <v>1721</v>
      </c>
      <c r="L3302" s="14"/>
      <c r="M3302" s="14" t="s">
        <v>3654</v>
      </c>
      <c r="N3302" s="14"/>
      <c r="O3302" s="14" t="s">
        <v>3655</v>
      </c>
      <c r="P3302" s="14" t="str">
        <f>HYPERLINK("https://ceds.ed.gov/cedselementdetails.aspx?termid=18905")</f>
        <v>https://ceds.ed.gov/cedselementdetails.aspx?termid=18905</v>
      </c>
      <c r="Q3302" s="14" t="str">
        <f>HYPERLINK("https://ceds.ed.gov/elementComment.aspx?elementName=Do Not Publish Indicator &amp;elementID=18905", "Click here to submit comment")</f>
        <v>Click here to submit comment</v>
      </c>
      <c r="R3302" s="14">
        <v>52217</v>
      </c>
    </row>
    <row r="3303" spans="1:18" ht="90" x14ac:dyDescent="0.25">
      <c r="A3303" s="14" t="s">
        <v>9080</v>
      </c>
      <c r="B3303" s="14" t="s">
        <v>9084</v>
      </c>
      <c r="C3303" s="14" t="s">
        <v>8549</v>
      </c>
      <c r="D3303" s="14" t="s">
        <v>8531</v>
      </c>
      <c r="E3303" s="14" t="s">
        <v>8229</v>
      </c>
      <c r="F3303" s="14" t="s">
        <v>8230</v>
      </c>
      <c r="G3303" s="8" t="s">
        <v>8550</v>
      </c>
      <c r="H3303" s="14" t="s">
        <v>72</v>
      </c>
      <c r="I3303" s="14"/>
      <c r="J3303" s="14" t="s">
        <v>2870</v>
      </c>
      <c r="K3303" s="14"/>
      <c r="L3303" s="14"/>
      <c r="M3303" s="14" t="s">
        <v>8233</v>
      </c>
      <c r="N3303" s="14"/>
      <c r="O3303" s="14" t="s">
        <v>8234</v>
      </c>
      <c r="P3303" s="14" t="str">
        <f>HYPERLINK("https://ceds.ed.gov/cedselementdetails.aspx?termid=17280")</f>
        <v>https://ceds.ed.gov/cedselementdetails.aspx?termid=17280</v>
      </c>
      <c r="Q3303" s="14" t="str">
        <f>HYPERLINK("https://ceds.ed.gov/elementComment.aspx?elementName=Telephone Number Type &amp;elementID=17280", "Click here to submit comment")</f>
        <v>Click here to submit comment</v>
      </c>
      <c r="R3303" s="14">
        <v>48320</v>
      </c>
    </row>
    <row r="3304" spans="1:18" ht="90" x14ac:dyDescent="0.25">
      <c r="A3304" s="14" t="s">
        <v>9080</v>
      </c>
      <c r="B3304" s="14" t="s">
        <v>9084</v>
      </c>
      <c r="C3304" s="14" t="s">
        <v>8549</v>
      </c>
      <c r="D3304" s="14" t="s">
        <v>8531</v>
      </c>
      <c r="E3304" s="14" t="s">
        <v>6865</v>
      </c>
      <c r="F3304" s="14" t="s">
        <v>6866</v>
      </c>
      <c r="G3304" s="14" t="s">
        <v>24</v>
      </c>
      <c r="H3304" s="14" t="s">
        <v>72</v>
      </c>
      <c r="I3304" s="14"/>
      <c r="J3304" s="14"/>
      <c r="K3304" s="14"/>
      <c r="L3304" s="14"/>
      <c r="M3304" s="14" t="s">
        <v>6868</v>
      </c>
      <c r="N3304" s="14"/>
      <c r="O3304" s="14" t="s">
        <v>6869</v>
      </c>
      <c r="P3304" s="14" t="str">
        <f>HYPERLINK("https://ceds.ed.gov/cedselementdetails.aspx?termid=17219")</f>
        <v>https://ceds.ed.gov/cedselementdetails.aspx?termid=17219</v>
      </c>
      <c r="Q3304" s="14" t="str">
        <f>HYPERLINK("https://ceds.ed.gov/elementComment.aspx?elementName=Primary Telephone Number Indicator &amp;elementID=17219", "Click here to submit comment")</f>
        <v>Click here to submit comment</v>
      </c>
      <c r="R3304" s="14">
        <v>48321</v>
      </c>
    </row>
    <row r="3305" spans="1:18" ht="90" x14ac:dyDescent="0.25">
      <c r="A3305" s="14" t="s">
        <v>9080</v>
      </c>
      <c r="B3305" s="14" t="s">
        <v>9084</v>
      </c>
      <c r="C3305" s="14" t="s">
        <v>8549</v>
      </c>
      <c r="D3305" s="14" t="s">
        <v>8531</v>
      </c>
      <c r="E3305" s="14" t="s">
        <v>8217</v>
      </c>
      <c r="F3305" s="14" t="s">
        <v>8218</v>
      </c>
      <c r="G3305" s="14" t="s">
        <v>37</v>
      </c>
      <c r="H3305" s="14" t="s">
        <v>72</v>
      </c>
      <c r="I3305" s="14"/>
      <c r="J3305" s="14" t="s">
        <v>8220</v>
      </c>
      <c r="K3305" s="14"/>
      <c r="L3305" s="14"/>
      <c r="M3305" s="14" t="s">
        <v>8221</v>
      </c>
      <c r="N3305" s="14"/>
      <c r="O3305" s="14" t="s">
        <v>8222</v>
      </c>
      <c r="P3305" s="14" t="str">
        <f>HYPERLINK("https://ceds.ed.gov/cedselementdetails.aspx?termid=17279")</f>
        <v>https://ceds.ed.gov/cedselementdetails.aspx?termid=17279</v>
      </c>
      <c r="Q3305" s="14" t="str">
        <f>HYPERLINK("https://ceds.ed.gov/elementComment.aspx?elementName=Telephone Number &amp;elementID=17279", "Click here to submit comment")</f>
        <v>Click here to submit comment</v>
      </c>
      <c r="R3305" s="14">
        <v>48319</v>
      </c>
    </row>
    <row r="3306" spans="1:18" ht="60" x14ac:dyDescent="0.25">
      <c r="A3306" s="14" t="s">
        <v>9080</v>
      </c>
      <c r="B3306" s="14" t="s">
        <v>9084</v>
      </c>
      <c r="C3306" s="14" t="s">
        <v>8549</v>
      </c>
      <c r="D3306" s="14" t="s">
        <v>8541</v>
      </c>
      <c r="E3306" s="14" t="s">
        <v>3651</v>
      </c>
      <c r="F3306" s="14" t="s">
        <v>3652</v>
      </c>
      <c r="G3306" s="14" t="s">
        <v>3430</v>
      </c>
      <c r="H3306" s="14"/>
      <c r="I3306" s="14" t="s">
        <v>188</v>
      </c>
      <c r="J3306" s="14"/>
      <c r="K3306" s="14" t="s">
        <v>1721</v>
      </c>
      <c r="L3306" s="14"/>
      <c r="M3306" s="14" t="s">
        <v>3654</v>
      </c>
      <c r="N3306" s="14"/>
      <c r="O3306" s="14" t="s">
        <v>3655</v>
      </c>
      <c r="P3306" s="14" t="str">
        <f>HYPERLINK("https://ceds.ed.gov/cedselementdetails.aspx?termid=18905")</f>
        <v>https://ceds.ed.gov/cedselementdetails.aspx?termid=18905</v>
      </c>
      <c r="Q3306" s="14" t="str">
        <f>HYPERLINK("https://ceds.ed.gov/elementComment.aspx?elementName=Do Not Publish Indicator &amp;elementID=18905", "Click here to submit comment")</f>
        <v>Click here to submit comment</v>
      </c>
      <c r="R3306" s="14">
        <v>52219</v>
      </c>
    </row>
    <row r="3307" spans="1:18" ht="60" x14ac:dyDescent="0.25">
      <c r="A3307" s="14" t="s">
        <v>9080</v>
      </c>
      <c r="B3307" s="14" t="s">
        <v>9084</v>
      </c>
      <c r="C3307" s="14" t="s">
        <v>8549</v>
      </c>
      <c r="D3307" s="14" t="s">
        <v>8541</v>
      </c>
      <c r="E3307" s="14" t="s">
        <v>8223</v>
      </c>
      <c r="F3307" s="14" t="s">
        <v>8224</v>
      </c>
      <c r="G3307" s="8" t="s">
        <v>8544</v>
      </c>
      <c r="H3307" s="14"/>
      <c r="I3307" s="14" t="s">
        <v>188</v>
      </c>
      <c r="J3307" s="14"/>
      <c r="K3307" s="14" t="s">
        <v>1721</v>
      </c>
      <c r="L3307" s="14"/>
      <c r="M3307" s="14" t="s">
        <v>8227</v>
      </c>
      <c r="N3307" s="14"/>
      <c r="O3307" s="14" t="s">
        <v>8228</v>
      </c>
      <c r="P3307" s="14" t="str">
        <f>HYPERLINK("https://ceds.ed.gov/cedselementdetails.aspx?termid=18911")</f>
        <v>https://ceds.ed.gov/cedselementdetails.aspx?termid=18911</v>
      </c>
      <c r="Q3307" s="14" t="str">
        <f>HYPERLINK("https://ceds.ed.gov/elementComment.aspx?elementName=Telephone Number Listed Status &amp;elementID=18911", "Click here to submit comment")</f>
        <v>Click here to submit comment</v>
      </c>
      <c r="R3307" s="14">
        <v>52220</v>
      </c>
    </row>
    <row r="3308" spans="1:18" ht="90" x14ac:dyDescent="0.25">
      <c r="A3308" s="14" t="s">
        <v>9080</v>
      </c>
      <c r="B3308" s="14" t="s">
        <v>9084</v>
      </c>
      <c r="C3308" s="14" t="s">
        <v>8551</v>
      </c>
      <c r="D3308" s="14" t="s">
        <v>8531</v>
      </c>
      <c r="E3308" s="14" t="s">
        <v>3938</v>
      </c>
      <c r="F3308" s="14" t="s">
        <v>3939</v>
      </c>
      <c r="G3308" s="8" t="s">
        <v>8552</v>
      </c>
      <c r="H3308" s="14" t="s">
        <v>72</v>
      </c>
      <c r="I3308" s="14"/>
      <c r="J3308" s="14"/>
      <c r="K3308" s="14"/>
      <c r="L3308" s="14"/>
      <c r="M3308" s="14" t="s">
        <v>3941</v>
      </c>
      <c r="N3308" s="14" t="s">
        <v>3942</v>
      </c>
      <c r="O3308" s="14" t="s">
        <v>3943</v>
      </c>
      <c r="P3308" s="14" t="str">
        <f>HYPERLINK("https://ceds.ed.gov/cedselementdetails.aspx?termid=17089")</f>
        <v>https://ceds.ed.gov/cedselementdetails.aspx?termid=17089</v>
      </c>
      <c r="Q3308" s="14" t="str">
        <f>HYPERLINK("https://ceds.ed.gov/elementComment.aspx?elementName=Electronic Mail Address Type &amp;elementID=17089", "Click here to submit comment")</f>
        <v>Click here to submit comment</v>
      </c>
      <c r="R3308" s="14">
        <v>48317</v>
      </c>
    </row>
    <row r="3309" spans="1:18" ht="90" x14ac:dyDescent="0.25">
      <c r="A3309" s="14" t="s">
        <v>9080</v>
      </c>
      <c r="B3309" s="14" t="s">
        <v>9084</v>
      </c>
      <c r="C3309" s="14" t="s">
        <v>8551</v>
      </c>
      <c r="D3309" s="14" t="s">
        <v>8531</v>
      </c>
      <c r="E3309" s="14" t="s">
        <v>3931</v>
      </c>
      <c r="F3309" s="14" t="s">
        <v>3932</v>
      </c>
      <c r="G3309" s="14" t="s">
        <v>37</v>
      </c>
      <c r="H3309" s="14" t="s">
        <v>72</v>
      </c>
      <c r="I3309" s="14"/>
      <c r="J3309" s="14" t="s">
        <v>3934</v>
      </c>
      <c r="K3309" s="14"/>
      <c r="L3309" s="14"/>
      <c r="M3309" s="14" t="s">
        <v>3935</v>
      </c>
      <c r="N3309" s="14" t="s">
        <v>3936</v>
      </c>
      <c r="O3309" s="14" t="s">
        <v>3937</v>
      </c>
      <c r="P3309" s="14" t="str">
        <f>HYPERLINK("https://ceds.ed.gov/cedselementdetails.aspx?termid=17088")</f>
        <v>https://ceds.ed.gov/cedselementdetails.aspx?termid=17088</v>
      </c>
      <c r="Q3309" s="14" t="str">
        <f>HYPERLINK("https://ceds.ed.gov/elementComment.aspx?elementName=Electronic Mail Address &amp;elementID=17088", "Click here to submit comment")</f>
        <v>Click here to submit comment</v>
      </c>
      <c r="R3309" s="14">
        <v>48315</v>
      </c>
    </row>
    <row r="3310" spans="1:18" ht="60" x14ac:dyDescent="0.25">
      <c r="A3310" s="14" t="s">
        <v>9080</v>
      </c>
      <c r="B3310" s="14" t="s">
        <v>9084</v>
      </c>
      <c r="C3310" s="14" t="s">
        <v>8551</v>
      </c>
      <c r="D3310" s="14" t="s">
        <v>8541</v>
      </c>
      <c r="E3310" s="14" t="s">
        <v>3651</v>
      </c>
      <c r="F3310" s="14" t="s">
        <v>3652</v>
      </c>
      <c r="G3310" s="14" t="s">
        <v>3430</v>
      </c>
      <c r="H3310" s="14"/>
      <c r="I3310" s="14" t="s">
        <v>188</v>
      </c>
      <c r="J3310" s="14"/>
      <c r="K3310" s="14" t="s">
        <v>1721</v>
      </c>
      <c r="L3310" s="14"/>
      <c r="M3310" s="14" t="s">
        <v>3654</v>
      </c>
      <c r="N3310" s="14"/>
      <c r="O3310" s="14" t="s">
        <v>3655</v>
      </c>
      <c r="P3310" s="14" t="str">
        <f>HYPERLINK("https://ceds.ed.gov/cedselementdetails.aspx?termid=18905")</f>
        <v>https://ceds.ed.gov/cedselementdetails.aspx?termid=18905</v>
      </c>
      <c r="Q3310" s="14" t="str">
        <f>HYPERLINK("https://ceds.ed.gov/elementComment.aspx?elementName=Do Not Publish Indicator &amp;elementID=18905", "Click here to submit comment")</f>
        <v>Click here to submit comment</v>
      </c>
      <c r="R3310" s="14">
        <v>52218</v>
      </c>
    </row>
    <row r="3311" spans="1:18" ht="240" x14ac:dyDescent="0.25">
      <c r="A3311" s="14" t="s">
        <v>9080</v>
      </c>
      <c r="B3311" s="14" t="s">
        <v>9084</v>
      </c>
      <c r="C3311" s="14" t="s">
        <v>8603</v>
      </c>
      <c r="D3311" s="14" t="s">
        <v>8531</v>
      </c>
      <c r="E3311" s="14" t="s">
        <v>1741</v>
      </c>
      <c r="F3311" s="14" t="s">
        <v>1742</v>
      </c>
      <c r="G3311" s="14" t="s">
        <v>37</v>
      </c>
      <c r="H3311" s="14" t="s">
        <v>1745</v>
      </c>
      <c r="I3311" s="14"/>
      <c r="J3311" s="14" t="s">
        <v>135</v>
      </c>
      <c r="K3311" s="14"/>
      <c r="L3311" s="14"/>
      <c r="M3311" s="14" t="s">
        <v>1744</v>
      </c>
      <c r="N3311" s="14"/>
      <c r="O3311" s="14" t="s">
        <v>1741</v>
      </c>
      <c r="P3311" s="14" t="str">
        <f>HYPERLINK("https://ceds.ed.gov/cedselementdetails.aspx?termid=17033")</f>
        <v>https://ceds.ed.gov/cedselementdetails.aspx?termid=17033</v>
      </c>
      <c r="Q3311" s="14" t="str">
        <f>HYPERLINK("https://ceds.ed.gov/elementComment.aspx?elementName=Birthdate &amp;elementID=17033", "Click here to submit comment")</f>
        <v>Click here to submit comment</v>
      </c>
      <c r="R3311" s="14">
        <v>48322</v>
      </c>
    </row>
    <row r="3312" spans="1:18" ht="255" x14ac:dyDescent="0.25">
      <c r="A3312" s="14" t="s">
        <v>9080</v>
      </c>
      <c r="B3312" s="14" t="s">
        <v>9084</v>
      </c>
      <c r="C3312" s="14" t="s">
        <v>8603</v>
      </c>
      <c r="D3312" s="14" t="s">
        <v>8531</v>
      </c>
      <c r="E3312" s="14" t="s">
        <v>7756</v>
      </c>
      <c r="F3312" s="14" t="s">
        <v>7757</v>
      </c>
      <c r="G3312" s="8" t="s">
        <v>8604</v>
      </c>
      <c r="H3312" s="14" t="s">
        <v>7761</v>
      </c>
      <c r="I3312" s="14"/>
      <c r="J3312" s="14"/>
      <c r="K3312" s="14"/>
      <c r="L3312" s="14" t="s">
        <v>7759</v>
      </c>
      <c r="M3312" s="14" t="s">
        <v>7760</v>
      </c>
      <c r="N3312" s="14"/>
      <c r="O3312" s="14" t="s">
        <v>7756</v>
      </c>
      <c r="P3312" s="14" t="str">
        <f>HYPERLINK("https://ceds.ed.gov/cedselementdetails.aspx?termid=17255")</f>
        <v>https://ceds.ed.gov/cedselementdetails.aspx?termid=17255</v>
      </c>
      <c r="Q3312" s="14" t="str">
        <f>HYPERLINK("https://ceds.ed.gov/elementComment.aspx?elementName=Sex &amp;elementID=17255", "Click here to submit comment")</f>
        <v>Click here to submit comment</v>
      </c>
      <c r="R3312" s="14">
        <v>48323</v>
      </c>
    </row>
    <row r="3313" spans="1:18" ht="30" x14ac:dyDescent="0.25">
      <c r="A3313" s="16" t="s">
        <v>9080</v>
      </c>
      <c r="B3313" s="16" t="s">
        <v>9084</v>
      </c>
      <c r="C3313" s="16" t="s">
        <v>8603</v>
      </c>
      <c r="D3313" s="16" t="s">
        <v>8531</v>
      </c>
      <c r="E3313" s="16" t="s">
        <v>418</v>
      </c>
      <c r="F3313" s="16" t="s">
        <v>419</v>
      </c>
      <c r="G3313" s="18" t="s">
        <v>8605</v>
      </c>
      <c r="H3313" s="16" t="s">
        <v>426</v>
      </c>
      <c r="I3313" s="16"/>
      <c r="J3313" s="16"/>
      <c r="K3313" s="16"/>
      <c r="L3313" s="14" t="s">
        <v>422</v>
      </c>
      <c r="M3313" s="16" t="s">
        <v>423</v>
      </c>
      <c r="N3313" s="16" t="s">
        <v>424</v>
      </c>
      <c r="O3313" s="16" t="s">
        <v>425</v>
      </c>
      <c r="P3313" s="16" t="str">
        <f>HYPERLINK("https://ceds.ed.gov/cedselementdetails.aspx?termid=17655")</f>
        <v>https://ceds.ed.gov/cedselementdetails.aspx?termid=17655</v>
      </c>
      <c r="Q3313" s="16" t="str">
        <f>HYPERLINK("https://ceds.ed.gov/elementComment.aspx?elementName=American Indian or Alaska Native &amp;elementID=17655", "Click here to submit comment")</f>
        <v>Click here to submit comment</v>
      </c>
      <c r="R3313" s="16">
        <v>48324</v>
      </c>
    </row>
    <row r="3314" spans="1:18" x14ac:dyDescent="0.25">
      <c r="A3314" s="16"/>
      <c r="B3314" s="16"/>
      <c r="C3314" s="16"/>
      <c r="D3314" s="16"/>
      <c r="E3314" s="16"/>
      <c r="F3314" s="16"/>
      <c r="G3314" s="16"/>
      <c r="H3314" s="16"/>
      <c r="I3314" s="16"/>
      <c r="J3314" s="16"/>
      <c r="K3314" s="16"/>
      <c r="L3314" s="14"/>
      <c r="M3314" s="16"/>
      <c r="N3314" s="16"/>
      <c r="O3314" s="16"/>
      <c r="P3314" s="16"/>
      <c r="Q3314" s="16"/>
      <c r="R3314" s="16"/>
    </row>
    <row r="3315" spans="1:18" x14ac:dyDescent="0.25">
      <c r="A3315" s="16"/>
      <c r="B3315" s="16"/>
      <c r="C3315" s="16"/>
      <c r="D3315" s="16"/>
      <c r="E3315" s="16"/>
      <c r="F3315" s="16"/>
      <c r="G3315" s="16"/>
      <c r="H3315" s="16"/>
      <c r="I3315" s="16"/>
      <c r="J3315" s="16"/>
      <c r="K3315" s="16"/>
      <c r="L3315" s="14" t="s">
        <v>427</v>
      </c>
      <c r="M3315" s="16"/>
      <c r="N3315" s="16"/>
      <c r="O3315" s="16"/>
      <c r="P3315" s="16"/>
      <c r="Q3315" s="16"/>
      <c r="R3315" s="16"/>
    </row>
    <row r="3316" spans="1:18" ht="30" x14ac:dyDescent="0.25">
      <c r="A3316" s="16"/>
      <c r="B3316" s="16"/>
      <c r="C3316" s="16"/>
      <c r="D3316" s="16"/>
      <c r="E3316" s="16"/>
      <c r="F3316" s="16"/>
      <c r="G3316" s="16"/>
      <c r="H3316" s="16"/>
      <c r="I3316" s="16"/>
      <c r="J3316" s="16"/>
      <c r="K3316" s="16"/>
      <c r="L3316" s="14" t="s">
        <v>428</v>
      </c>
      <c r="M3316" s="16"/>
      <c r="N3316" s="16"/>
      <c r="O3316" s="16"/>
      <c r="P3316" s="16"/>
      <c r="Q3316" s="16"/>
      <c r="R3316" s="16"/>
    </row>
    <row r="3317" spans="1:18" x14ac:dyDescent="0.25">
      <c r="A3317" s="16"/>
      <c r="B3317" s="16"/>
      <c r="C3317" s="16"/>
      <c r="D3317" s="16"/>
      <c r="E3317" s="16"/>
      <c r="F3317" s="16"/>
      <c r="G3317" s="16"/>
      <c r="H3317" s="16"/>
      <c r="I3317" s="16"/>
      <c r="J3317" s="16"/>
      <c r="K3317" s="16"/>
      <c r="L3317" s="14" t="s">
        <v>429</v>
      </c>
      <c r="M3317" s="16"/>
      <c r="N3317" s="16"/>
      <c r="O3317" s="16"/>
      <c r="P3317" s="16"/>
      <c r="Q3317" s="16"/>
      <c r="R3317" s="16"/>
    </row>
    <row r="3318" spans="1:18" ht="30" x14ac:dyDescent="0.25">
      <c r="A3318" s="16" t="s">
        <v>9080</v>
      </c>
      <c r="B3318" s="16" t="s">
        <v>9084</v>
      </c>
      <c r="C3318" s="16" t="s">
        <v>8603</v>
      </c>
      <c r="D3318" s="16" t="s">
        <v>8531</v>
      </c>
      <c r="E3318" s="16" t="s">
        <v>468</v>
      </c>
      <c r="F3318" s="16" t="s">
        <v>469</v>
      </c>
      <c r="G3318" s="18" t="s">
        <v>8605</v>
      </c>
      <c r="H3318" s="16" t="s">
        <v>426</v>
      </c>
      <c r="I3318" s="16"/>
      <c r="J3318" s="16"/>
      <c r="K3318" s="16"/>
      <c r="L3318" s="14" t="s">
        <v>422</v>
      </c>
      <c r="M3318" s="16" t="s">
        <v>470</v>
      </c>
      <c r="N3318" s="16" t="s">
        <v>471</v>
      </c>
      <c r="O3318" s="16" t="s">
        <v>468</v>
      </c>
      <c r="P3318" s="16" t="str">
        <f>HYPERLINK("https://ceds.ed.gov/cedselementdetails.aspx?termid=17656")</f>
        <v>https://ceds.ed.gov/cedselementdetails.aspx?termid=17656</v>
      </c>
      <c r="Q3318" s="16" t="str">
        <f>HYPERLINK("https://ceds.ed.gov/elementComment.aspx?elementName=Asian &amp;elementID=17656", "Click here to submit comment")</f>
        <v>Click here to submit comment</v>
      </c>
      <c r="R3318" s="16">
        <v>48325</v>
      </c>
    </row>
    <row r="3319" spans="1:18" x14ac:dyDescent="0.25">
      <c r="A3319" s="16"/>
      <c r="B3319" s="16"/>
      <c r="C3319" s="16"/>
      <c r="D3319" s="16"/>
      <c r="E3319" s="16"/>
      <c r="F3319" s="16"/>
      <c r="G3319" s="16"/>
      <c r="H3319" s="16"/>
      <c r="I3319" s="16"/>
      <c r="J3319" s="16"/>
      <c r="K3319" s="16"/>
      <c r="L3319" s="14"/>
      <c r="M3319" s="16"/>
      <c r="N3319" s="16"/>
      <c r="O3319" s="16"/>
      <c r="P3319" s="16"/>
      <c r="Q3319" s="16"/>
      <c r="R3319" s="16"/>
    </row>
    <row r="3320" spans="1:18" x14ac:dyDescent="0.25">
      <c r="A3320" s="16"/>
      <c r="B3320" s="16"/>
      <c r="C3320" s="16"/>
      <c r="D3320" s="16"/>
      <c r="E3320" s="16"/>
      <c r="F3320" s="16"/>
      <c r="G3320" s="16"/>
      <c r="H3320" s="16"/>
      <c r="I3320" s="16"/>
      <c r="J3320" s="16"/>
      <c r="K3320" s="16"/>
      <c r="L3320" s="14" t="s">
        <v>427</v>
      </c>
      <c r="M3320" s="16"/>
      <c r="N3320" s="16"/>
      <c r="O3320" s="16"/>
      <c r="P3320" s="16"/>
      <c r="Q3320" s="16"/>
      <c r="R3320" s="16"/>
    </row>
    <row r="3321" spans="1:18" ht="30" x14ac:dyDescent="0.25">
      <c r="A3321" s="16"/>
      <c r="B3321" s="16"/>
      <c r="C3321" s="16"/>
      <c r="D3321" s="16"/>
      <c r="E3321" s="16"/>
      <c r="F3321" s="16"/>
      <c r="G3321" s="16"/>
      <c r="H3321" s="16"/>
      <c r="I3321" s="16"/>
      <c r="J3321" s="16"/>
      <c r="K3321" s="16"/>
      <c r="L3321" s="14" t="s">
        <v>428</v>
      </c>
      <c r="M3321" s="16"/>
      <c r="N3321" s="16"/>
      <c r="O3321" s="16"/>
      <c r="P3321" s="16"/>
      <c r="Q3321" s="16"/>
      <c r="R3321" s="16"/>
    </row>
    <row r="3322" spans="1:18" x14ac:dyDescent="0.25">
      <c r="A3322" s="16"/>
      <c r="B3322" s="16"/>
      <c r="C3322" s="16"/>
      <c r="D3322" s="16"/>
      <c r="E3322" s="16"/>
      <c r="F3322" s="16"/>
      <c r="G3322" s="16"/>
      <c r="H3322" s="16"/>
      <c r="I3322" s="16"/>
      <c r="J3322" s="16"/>
      <c r="K3322" s="16"/>
      <c r="L3322" s="14" t="s">
        <v>429</v>
      </c>
      <c r="M3322" s="16"/>
      <c r="N3322" s="16"/>
      <c r="O3322" s="16"/>
      <c r="P3322" s="16"/>
      <c r="Q3322" s="16"/>
      <c r="R3322" s="16"/>
    </row>
    <row r="3323" spans="1:18" ht="30" x14ac:dyDescent="0.25">
      <c r="A3323" s="16" t="s">
        <v>9080</v>
      </c>
      <c r="B3323" s="16" t="s">
        <v>9084</v>
      </c>
      <c r="C3323" s="16" t="s">
        <v>8603</v>
      </c>
      <c r="D3323" s="16" t="s">
        <v>8531</v>
      </c>
      <c r="E3323" s="16" t="s">
        <v>1752</v>
      </c>
      <c r="F3323" s="16" t="s">
        <v>1753</v>
      </c>
      <c r="G3323" s="18" t="s">
        <v>8605</v>
      </c>
      <c r="H3323" s="16" t="s">
        <v>426</v>
      </c>
      <c r="I3323" s="16"/>
      <c r="J3323" s="16"/>
      <c r="K3323" s="16"/>
      <c r="L3323" s="14" t="s">
        <v>422</v>
      </c>
      <c r="M3323" s="16" t="s">
        <v>1754</v>
      </c>
      <c r="N3323" s="16" t="s">
        <v>1755</v>
      </c>
      <c r="O3323" s="16" t="s">
        <v>1756</v>
      </c>
      <c r="P3323" s="16" t="str">
        <f>HYPERLINK("https://ceds.ed.gov/cedselementdetails.aspx?termid=17657")</f>
        <v>https://ceds.ed.gov/cedselementdetails.aspx?termid=17657</v>
      </c>
      <c r="Q3323" s="16" t="str">
        <f>HYPERLINK("https://ceds.ed.gov/elementComment.aspx?elementName=Black or African American &amp;elementID=17657", "Click here to submit comment")</f>
        <v>Click here to submit comment</v>
      </c>
      <c r="R3323" s="16">
        <v>48326</v>
      </c>
    </row>
    <row r="3324" spans="1:18" x14ac:dyDescent="0.25">
      <c r="A3324" s="16"/>
      <c r="B3324" s="16"/>
      <c r="C3324" s="16"/>
      <c r="D3324" s="16"/>
      <c r="E3324" s="16"/>
      <c r="F3324" s="16"/>
      <c r="G3324" s="16"/>
      <c r="H3324" s="16"/>
      <c r="I3324" s="16"/>
      <c r="J3324" s="16"/>
      <c r="K3324" s="16"/>
      <c r="L3324" s="14"/>
      <c r="M3324" s="16"/>
      <c r="N3324" s="16"/>
      <c r="O3324" s="16"/>
      <c r="P3324" s="16"/>
      <c r="Q3324" s="16"/>
      <c r="R3324" s="16"/>
    </row>
    <row r="3325" spans="1:18" x14ac:dyDescent="0.25">
      <c r="A3325" s="16"/>
      <c r="B3325" s="16"/>
      <c r="C3325" s="16"/>
      <c r="D3325" s="16"/>
      <c r="E3325" s="16"/>
      <c r="F3325" s="16"/>
      <c r="G3325" s="16"/>
      <c r="H3325" s="16"/>
      <c r="I3325" s="16"/>
      <c r="J3325" s="16"/>
      <c r="K3325" s="16"/>
      <c r="L3325" s="14" t="s">
        <v>427</v>
      </c>
      <c r="M3325" s="16"/>
      <c r="N3325" s="16"/>
      <c r="O3325" s="16"/>
      <c r="P3325" s="16"/>
      <c r="Q3325" s="16"/>
      <c r="R3325" s="16"/>
    </row>
    <row r="3326" spans="1:18" ht="30" x14ac:dyDescent="0.25">
      <c r="A3326" s="16"/>
      <c r="B3326" s="16"/>
      <c r="C3326" s="16"/>
      <c r="D3326" s="16"/>
      <c r="E3326" s="16"/>
      <c r="F3326" s="16"/>
      <c r="G3326" s="16"/>
      <c r="H3326" s="16"/>
      <c r="I3326" s="16"/>
      <c r="J3326" s="16"/>
      <c r="K3326" s="16"/>
      <c r="L3326" s="14" t="s">
        <v>428</v>
      </c>
      <c r="M3326" s="16"/>
      <c r="N3326" s="16"/>
      <c r="O3326" s="16"/>
      <c r="P3326" s="16"/>
      <c r="Q3326" s="16"/>
      <c r="R3326" s="16"/>
    </row>
    <row r="3327" spans="1:18" x14ac:dyDescent="0.25">
      <c r="A3327" s="16"/>
      <c r="B3327" s="16"/>
      <c r="C3327" s="16"/>
      <c r="D3327" s="16"/>
      <c r="E3327" s="16"/>
      <c r="F3327" s="16"/>
      <c r="G3327" s="16"/>
      <c r="H3327" s="16"/>
      <c r="I3327" s="16"/>
      <c r="J3327" s="16"/>
      <c r="K3327" s="16"/>
      <c r="L3327" s="14" t="s">
        <v>429</v>
      </c>
      <c r="M3327" s="16"/>
      <c r="N3327" s="16"/>
      <c r="O3327" s="16"/>
      <c r="P3327" s="16"/>
      <c r="Q3327" s="16"/>
      <c r="R3327" s="16"/>
    </row>
    <row r="3328" spans="1:18" ht="30" x14ac:dyDescent="0.25">
      <c r="A3328" s="16" t="s">
        <v>9080</v>
      </c>
      <c r="B3328" s="16" t="s">
        <v>9084</v>
      </c>
      <c r="C3328" s="16" t="s">
        <v>8603</v>
      </c>
      <c r="D3328" s="16" t="s">
        <v>8531</v>
      </c>
      <c r="E3328" s="16" t="s">
        <v>6378</v>
      </c>
      <c r="F3328" s="16" t="s">
        <v>6379</v>
      </c>
      <c r="G3328" s="18" t="s">
        <v>8605</v>
      </c>
      <c r="H3328" s="16" t="s">
        <v>426</v>
      </c>
      <c r="I3328" s="16"/>
      <c r="J3328" s="16"/>
      <c r="K3328" s="16"/>
      <c r="L3328" s="14" t="s">
        <v>422</v>
      </c>
      <c r="M3328" s="16" t="s">
        <v>6380</v>
      </c>
      <c r="N3328" s="16" t="s">
        <v>6381</v>
      </c>
      <c r="O3328" s="16" t="s">
        <v>6382</v>
      </c>
      <c r="P3328" s="16" t="str">
        <f>HYPERLINK("https://ceds.ed.gov/cedselementdetails.aspx?termid=17658")</f>
        <v>https://ceds.ed.gov/cedselementdetails.aspx?termid=17658</v>
      </c>
      <c r="Q3328" s="16" t="str">
        <f>HYPERLINK("https://ceds.ed.gov/elementComment.aspx?elementName=Native Hawaiian or Other Pacific Islander &amp;elementID=17658", "Click here to submit comment")</f>
        <v>Click here to submit comment</v>
      </c>
      <c r="R3328" s="16">
        <v>48327</v>
      </c>
    </row>
    <row r="3329" spans="1:18" x14ac:dyDescent="0.25">
      <c r="A3329" s="16"/>
      <c r="B3329" s="16"/>
      <c r="C3329" s="16"/>
      <c r="D3329" s="16"/>
      <c r="E3329" s="16"/>
      <c r="F3329" s="16"/>
      <c r="G3329" s="16"/>
      <c r="H3329" s="16"/>
      <c r="I3329" s="16"/>
      <c r="J3329" s="16"/>
      <c r="K3329" s="16"/>
      <c r="L3329" s="14"/>
      <c r="M3329" s="16"/>
      <c r="N3329" s="16"/>
      <c r="O3329" s="16"/>
      <c r="P3329" s="16"/>
      <c r="Q3329" s="16"/>
      <c r="R3329" s="16"/>
    </row>
    <row r="3330" spans="1:18" x14ac:dyDescent="0.25">
      <c r="A3330" s="16"/>
      <c r="B3330" s="16"/>
      <c r="C3330" s="16"/>
      <c r="D3330" s="16"/>
      <c r="E3330" s="16"/>
      <c r="F3330" s="16"/>
      <c r="G3330" s="16"/>
      <c r="H3330" s="16"/>
      <c r="I3330" s="16"/>
      <c r="J3330" s="16"/>
      <c r="K3330" s="16"/>
      <c r="L3330" s="14" t="s">
        <v>427</v>
      </c>
      <c r="M3330" s="16"/>
      <c r="N3330" s="16"/>
      <c r="O3330" s="16"/>
      <c r="P3330" s="16"/>
      <c r="Q3330" s="16"/>
      <c r="R3330" s="16"/>
    </row>
    <row r="3331" spans="1:18" ht="30" x14ac:dyDescent="0.25">
      <c r="A3331" s="16"/>
      <c r="B3331" s="16"/>
      <c r="C3331" s="16"/>
      <c r="D3331" s="16"/>
      <c r="E3331" s="16"/>
      <c r="F3331" s="16"/>
      <c r="G3331" s="16"/>
      <c r="H3331" s="16"/>
      <c r="I3331" s="16"/>
      <c r="J3331" s="16"/>
      <c r="K3331" s="16"/>
      <c r="L3331" s="14" t="s">
        <v>428</v>
      </c>
      <c r="M3331" s="16"/>
      <c r="N3331" s="16"/>
      <c r="O3331" s="16"/>
      <c r="P3331" s="16"/>
      <c r="Q3331" s="16"/>
      <c r="R3331" s="16"/>
    </row>
    <row r="3332" spans="1:18" x14ac:dyDescent="0.25">
      <c r="A3332" s="16"/>
      <c r="B3332" s="16"/>
      <c r="C3332" s="16"/>
      <c r="D3332" s="16"/>
      <c r="E3332" s="16"/>
      <c r="F3332" s="16"/>
      <c r="G3332" s="16"/>
      <c r="H3332" s="16"/>
      <c r="I3332" s="16"/>
      <c r="J3332" s="16"/>
      <c r="K3332" s="16"/>
      <c r="L3332" s="14" t="s">
        <v>429</v>
      </c>
      <c r="M3332" s="16"/>
      <c r="N3332" s="16"/>
      <c r="O3332" s="16"/>
      <c r="P3332" s="16"/>
      <c r="Q3332" s="16"/>
      <c r="R3332" s="16"/>
    </row>
    <row r="3333" spans="1:18" ht="30" x14ac:dyDescent="0.25">
      <c r="A3333" s="16" t="s">
        <v>9080</v>
      </c>
      <c r="B3333" s="16" t="s">
        <v>9084</v>
      </c>
      <c r="C3333" s="16" t="s">
        <v>8603</v>
      </c>
      <c r="D3333" s="16" t="s">
        <v>8531</v>
      </c>
      <c r="E3333" s="16" t="s">
        <v>8488</v>
      </c>
      <c r="F3333" s="16" t="s">
        <v>8489</v>
      </c>
      <c r="G3333" s="18" t="s">
        <v>8605</v>
      </c>
      <c r="H3333" s="16" t="s">
        <v>426</v>
      </c>
      <c r="I3333" s="16"/>
      <c r="J3333" s="16"/>
      <c r="K3333" s="16"/>
      <c r="L3333" s="14" t="s">
        <v>422</v>
      </c>
      <c r="M3333" s="16" t="s">
        <v>8490</v>
      </c>
      <c r="N3333" s="16" t="s">
        <v>8491</v>
      </c>
      <c r="O3333" s="16" t="s">
        <v>8488</v>
      </c>
      <c r="P3333" s="16" t="str">
        <f>HYPERLINK("https://ceds.ed.gov/cedselementdetails.aspx?termid=17659")</f>
        <v>https://ceds.ed.gov/cedselementdetails.aspx?termid=17659</v>
      </c>
      <c r="Q3333" s="16" t="str">
        <f>HYPERLINK("https://ceds.ed.gov/elementComment.aspx?elementName=White &amp;elementID=17659", "Click here to submit comment")</f>
        <v>Click here to submit comment</v>
      </c>
      <c r="R3333" s="16">
        <v>48328</v>
      </c>
    </row>
    <row r="3334" spans="1:18" x14ac:dyDescent="0.25">
      <c r="A3334" s="16"/>
      <c r="B3334" s="16"/>
      <c r="C3334" s="16"/>
      <c r="D3334" s="16"/>
      <c r="E3334" s="16"/>
      <c r="F3334" s="16"/>
      <c r="G3334" s="16"/>
      <c r="H3334" s="16"/>
      <c r="I3334" s="16"/>
      <c r="J3334" s="16"/>
      <c r="K3334" s="16"/>
      <c r="L3334" s="14"/>
      <c r="M3334" s="16"/>
      <c r="N3334" s="16"/>
      <c r="O3334" s="16"/>
      <c r="P3334" s="16"/>
      <c r="Q3334" s="16"/>
      <c r="R3334" s="16"/>
    </row>
    <row r="3335" spans="1:18" x14ac:dyDescent="0.25">
      <c r="A3335" s="16"/>
      <c r="B3335" s="16"/>
      <c r="C3335" s="16"/>
      <c r="D3335" s="16"/>
      <c r="E3335" s="16"/>
      <c r="F3335" s="16"/>
      <c r="G3335" s="16"/>
      <c r="H3335" s="16"/>
      <c r="I3335" s="16"/>
      <c r="J3335" s="16"/>
      <c r="K3335" s="16"/>
      <c r="L3335" s="14" t="s">
        <v>427</v>
      </c>
      <c r="M3335" s="16"/>
      <c r="N3335" s="16"/>
      <c r="O3335" s="16"/>
      <c r="P3335" s="16"/>
      <c r="Q3335" s="16"/>
      <c r="R3335" s="16"/>
    </row>
    <row r="3336" spans="1:18" ht="30" x14ac:dyDescent="0.25">
      <c r="A3336" s="16"/>
      <c r="B3336" s="16"/>
      <c r="C3336" s="16"/>
      <c r="D3336" s="16"/>
      <c r="E3336" s="16"/>
      <c r="F3336" s="16"/>
      <c r="G3336" s="16"/>
      <c r="H3336" s="16"/>
      <c r="I3336" s="16"/>
      <c r="J3336" s="16"/>
      <c r="K3336" s="16"/>
      <c r="L3336" s="14" t="s">
        <v>428</v>
      </c>
      <c r="M3336" s="16"/>
      <c r="N3336" s="16"/>
      <c r="O3336" s="16"/>
      <c r="P3336" s="16"/>
      <c r="Q3336" s="16"/>
      <c r="R3336" s="16"/>
    </row>
    <row r="3337" spans="1:18" x14ac:dyDescent="0.25">
      <c r="A3337" s="16"/>
      <c r="B3337" s="16"/>
      <c r="C3337" s="16"/>
      <c r="D3337" s="16"/>
      <c r="E3337" s="16"/>
      <c r="F3337" s="16"/>
      <c r="G3337" s="16"/>
      <c r="H3337" s="16"/>
      <c r="I3337" s="16"/>
      <c r="J3337" s="16"/>
      <c r="K3337" s="16"/>
      <c r="L3337" s="14" t="s">
        <v>429</v>
      </c>
      <c r="M3337" s="16"/>
      <c r="N3337" s="16"/>
      <c r="O3337" s="16"/>
      <c r="P3337" s="16"/>
      <c r="Q3337" s="16"/>
      <c r="R3337" s="16"/>
    </row>
    <row r="3338" spans="1:18" ht="30" x14ac:dyDescent="0.25">
      <c r="A3338" s="16" t="s">
        <v>9080</v>
      </c>
      <c r="B3338" s="16" t="s">
        <v>9084</v>
      </c>
      <c r="C3338" s="16" t="s">
        <v>8603</v>
      </c>
      <c r="D3338" s="16" t="s">
        <v>8531</v>
      </c>
      <c r="E3338" s="16" t="s">
        <v>5008</v>
      </c>
      <c r="F3338" s="16" t="s">
        <v>5009</v>
      </c>
      <c r="G3338" s="18" t="s">
        <v>8605</v>
      </c>
      <c r="H3338" s="16" t="s">
        <v>426</v>
      </c>
      <c r="I3338" s="16"/>
      <c r="J3338" s="16"/>
      <c r="K3338" s="16"/>
      <c r="L3338" s="14" t="s">
        <v>422</v>
      </c>
      <c r="M3338" s="16" t="s">
        <v>5010</v>
      </c>
      <c r="N3338" s="16"/>
      <c r="O3338" s="16" t="s">
        <v>5011</v>
      </c>
      <c r="P3338" s="16" t="str">
        <f>HYPERLINK("https://ceds.ed.gov/cedselementdetails.aspx?termid=17144")</f>
        <v>https://ceds.ed.gov/cedselementdetails.aspx?termid=17144</v>
      </c>
      <c r="Q3338" s="16" t="str">
        <f>HYPERLINK("https://ceds.ed.gov/elementComment.aspx?elementName=Hispanic or Latino Ethnicity &amp;elementID=17144", "Click here to submit comment")</f>
        <v>Click here to submit comment</v>
      </c>
      <c r="R3338" s="16">
        <v>48329</v>
      </c>
    </row>
    <row r="3339" spans="1:18" x14ac:dyDescent="0.25">
      <c r="A3339" s="16"/>
      <c r="B3339" s="16"/>
      <c r="C3339" s="16"/>
      <c r="D3339" s="16"/>
      <c r="E3339" s="16"/>
      <c r="F3339" s="16"/>
      <c r="G3339" s="16"/>
      <c r="H3339" s="16"/>
      <c r="I3339" s="16"/>
      <c r="J3339" s="16"/>
      <c r="K3339" s="16"/>
      <c r="L3339" s="14"/>
      <c r="M3339" s="16"/>
      <c r="N3339" s="16"/>
      <c r="O3339" s="16"/>
      <c r="P3339" s="16"/>
      <c r="Q3339" s="16"/>
      <c r="R3339" s="16"/>
    </row>
    <row r="3340" spans="1:18" x14ac:dyDescent="0.25">
      <c r="A3340" s="16"/>
      <c r="B3340" s="16"/>
      <c r="C3340" s="16"/>
      <c r="D3340" s="16"/>
      <c r="E3340" s="16"/>
      <c r="F3340" s="16"/>
      <c r="G3340" s="16"/>
      <c r="H3340" s="16"/>
      <c r="I3340" s="16"/>
      <c r="J3340" s="16"/>
      <c r="K3340" s="16"/>
      <c r="L3340" s="14" t="s">
        <v>427</v>
      </c>
      <c r="M3340" s="16"/>
      <c r="N3340" s="16"/>
      <c r="O3340" s="16"/>
      <c r="P3340" s="16"/>
      <c r="Q3340" s="16"/>
      <c r="R3340" s="16"/>
    </row>
    <row r="3341" spans="1:18" ht="30" x14ac:dyDescent="0.25">
      <c r="A3341" s="16"/>
      <c r="B3341" s="16"/>
      <c r="C3341" s="16"/>
      <c r="D3341" s="16"/>
      <c r="E3341" s="16"/>
      <c r="F3341" s="16"/>
      <c r="G3341" s="16"/>
      <c r="H3341" s="16"/>
      <c r="I3341" s="16"/>
      <c r="J3341" s="16"/>
      <c r="K3341" s="16"/>
      <c r="L3341" s="14" t="s">
        <v>428</v>
      </c>
      <c r="M3341" s="16"/>
      <c r="N3341" s="16"/>
      <c r="O3341" s="16"/>
      <c r="P3341" s="16"/>
      <c r="Q3341" s="16"/>
      <c r="R3341" s="16"/>
    </row>
    <row r="3342" spans="1:18" x14ac:dyDescent="0.25">
      <c r="A3342" s="16"/>
      <c r="B3342" s="16"/>
      <c r="C3342" s="16"/>
      <c r="D3342" s="16"/>
      <c r="E3342" s="16"/>
      <c r="F3342" s="16"/>
      <c r="G3342" s="16"/>
      <c r="H3342" s="16"/>
      <c r="I3342" s="16"/>
      <c r="J3342" s="16"/>
      <c r="K3342" s="16"/>
      <c r="L3342" s="14" t="s">
        <v>429</v>
      </c>
      <c r="M3342" s="16"/>
      <c r="N3342" s="16"/>
      <c r="O3342" s="16"/>
      <c r="P3342" s="16"/>
      <c r="Q3342" s="16"/>
      <c r="R3342" s="16"/>
    </row>
    <row r="3343" spans="1:18" ht="105" x14ac:dyDescent="0.25">
      <c r="A3343" s="14" t="s">
        <v>9080</v>
      </c>
      <c r="B3343" s="14" t="s">
        <v>9084</v>
      </c>
      <c r="C3343" s="14" t="s">
        <v>8603</v>
      </c>
      <c r="D3343" s="14" t="s">
        <v>8531</v>
      </c>
      <c r="E3343" s="14" t="s">
        <v>6304</v>
      </c>
      <c r="F3343" s="14" t="s">
        <v>6305</v>
      </c>
      <c r="G3343" s="8" t="s">
        <v>8677</v>
      </c>
      <c r="H3343" s="14"/>
      <c r="I3343" s="14" t="s">
        <v>195</v>
      </c>
      <c r="J3343" s="14"/>
      <c r="K3343" s="14" t="s">
        <v>6308</v>
      </c>
      <c r="L3343" s="14"/>
      <c r="M3343" s="14" t="s">
        <v>6309</v>
      </c>
      <c r="N3343" s="14"/>
      <c r="O3343" s="14" t="s">
        <v>6310</v>
      </c>
      <c r="P3343" s="14" t="str">
        <f>HYPERLINK("https://ceds.ed.gov/cedselementdetails.aspx?termid=18621")</f>
        <v>https://ceds.ed.gov/cedselementdetails.aspx?termid=18621</v>
      </c>
      <c r="Q3343" s="14" t="str">
        <f>HYPERLINK("https://ceds.ed.gov/elementComment.aspx?elementName=Military Branch &amp;elementID=18621", "Click here to submit comment")</f>
        <v>Click here to submit comment</v>
      </c>
      <c r="R3343" s="14">
        <v>51311</v>
      </c>
    </row>
    <row r="3344" spans="1:18" ht="75" x14ac:dyDescent="0.25">
      <c r="A3344" s="14" t="s">
        <v>9080</v>
      </c>
      <c r="B3344" s="14" t="s">
        <v>9084</v>
      </c>
      <c r="C3344" s="14" t="s">
        <v>8603</v>
      </c>
      <c r="D3344" s="14" t="s">
        <v>8531</v>
      </c>
      <c r="E3344" s="14" t="s">
        <v>6298</v>
      </c>
      <c r="F3344" s="14" t="s">
        <v>6299</v>
      </c>
      <c r="G3344" s="8" t="s">
        <v>9012</v>
      </c>
      <c r="H3344" s="14"/>
      <c r="I3344" s="14"/>
      <c r="J3344" s="14"/>
      <c r="K3344" s="14"/>
      <c r="L3344" s="14"/>
      <c r="M3344" s="14" t="s">
        <v>6302</v>
      </c>
      <c r="N3344" s="14"/>
      <c r="O3344" s="14" t="s">
        <v>6303</v>
      </c>
      <c r="P3344" s="14" t="str">
        <f>HYPERLINK("https://ceds.ed.gov/cedselementdetails.aspx?termid=18556")</f>
        <v>https://ceds.ed.gov/cedselementdetails.aspx?termid=18556</v>
      </c>
      <c r="Q3344" s="14" t="str">
        <f>HYPERLINK("https://ceds.ed.gov/elementComment.aspx?elementName=Military Active Student Indicator &amp;elementID=18556", "Click here to submit comment")</f>
        <v>Click here to submit comment</v>
      </c>
      <c r="R3344" s="14">
        <v>50935</v>
      </c>
    </row>
    <row r="3345" spans="1:18" ht="75" x14ac:dyDescent="0.25">
      <c r="A3345" s="14" t="s">
        <v>9080</v>
      </c>
      <c r="B3345" s="14" t="s">
        <v>9084</v>
      </c>
      <c r="C3345" s="14" t="s">
        <v>8603</v>
      </c>
      <c r="D3345" s="14" t="s">
        <v>8531</v>
      </c>
      <c r="E3345" s="14" t="s">
        <v>6321</v>
      </c>
      <c r="F3345" s="14" t="s">
        <v>6322</v>
      </c>
      <c r="G3345" s="8" t="s">
        <v>9013</v>
      </c>
      <c r="H3345" s="14"/>
      <c r="I3345" s="14"/>
      <c r="J3345" s="14"/>
      <c r="K3345" s="14"/>
      <c r="L3345" s="14"/>
      <c r="M3345" s="14" t="s">
        <v>6324</v>
      </c>
      <c r="N3345" s="14"/>
      <c r="O3345" s="14" t="s">
        <v>6325</v>
      </c>
      <c r="P3345" s="14" t="str">
        <f>HYPERLINK("https://ceds.ed.gov/cedselementdetails.aspx?termid=18557")</f>
        <v>https://ceds.ed.gov/cedselementdetails.aspx?termid=18557</v>
      </c>
      <c r="Q3345" s="14" t="str">
        <f>HYPERLINK("https://ceds.ed.gov/elementComment.aspx?elementName=Military Veteran Student Indicator &amp;elementID=18557", "Click here to submit comment")</f>
        <v>Click here to submit comment</v>
      </c>
      <c r="R3345" s="14">
        <v>50937</v>
      </c>
    </row>
    <row r="3346" spans="1:18" ht="75" x14ac:dyDescent="0.25">
      <c r="A3346" s="14" t="s">
        <v>9080</v>
      </c>
      <c r="B3346" s="14" t="s">
        <v>9084</v>
      </c>
      <c r="C3346" s="14" t="s">
        <v>8603</v>
      </c>
      <c r="D3346" s="14" t="s">
        <v>8531</v>
      </c>
      <c r="E3346" s="14" t="s">
        <v>3488</v>
      </c>
      <c r="F3346" s="14" t="s">
        <v>3489</v>
      </c>
      <c r="G3346" s="14" t="s">
        <v>24</v>
      </c>
      <c r="H3346" s="14"/>
      <c r="I3346" s="14"/>
      <c r="J3346" s="14"/>
      <c r="K3346" s="14"/>
      <c r="L3346" s="14" t="s">
        <v>3490</v>
      </c>
      <c r="M3346" s="14" t="s">
        <v>3491</v>
      </c>
      <c r="N3346" s="14"/>
      <c r="O3346" s="14" t="s">
        <v>3492</v>
      </c>
      <c r="P3346" s="14" t="str">
        <f>HYPERLINK("https://ceds.ed.gov/cedselementdetails.aspx?termid=17974")</f>
        <v>https://ceds.ed.gov/cedselementdetails.aspx?termid=17974</v>
      </c>
      <c r="Q3346" s="14" t="str">
        <f>HYPERLINK("https://ceds.ed.gov/elementComment.aspx?elementName=Demographic Race Two or More Races &amp;elementID=17974", "Click here to submit comment")</f>
        <v>Click here to submit comment</v>
      </c>
      <c r="R3346" s="14">
        <v>52157</v>
      </c>
    </row>
    <row r="3347" spans="1:18" ht="409.5" x14ac:dyDescent="0.25">
      <c r="A3347" s="14" t="s">
        <v>9080</v>
      </c>
      <c r="B3347" s="14" t="s">
        <v>9084</v>
      </c>
      <c r="C3347" s="14" t="s">
        <v>8603</v>
      </c>
      <c r="D3347" s="14" t="s">
        <v>8541</v>
      </c>
      <c r="E3347" s="14" t="s">
        <v>2853</v>
      </c>
      <c r="F3347" s="14" t="s">
        <v>2854</v>
      </c>
      <c r="G3347" s="8" t="s">
        <v>8548</v>
      </c>
      <c r="H3347" s="14" t="s">
        <v>2859</v>
      </c>
      <c r="I3347" s="14" t="s">
        <v>195</v>
      </c>
      <c r="J3347" s="14"/>
      <c r="K3347" s="14" t="s">
        <v>2856</v>
      </c>
      <c r="L3347" s="6" t="s">
        <v>2849</v>
      </c>
      <c r="M3347" s="14" t="s">
        <v>2857</v>
      </c>
      <c r="N3347" s="14"/>
      <c r="O3347" s="14" t="s">
        <v>2858</v>
      </c>
      <c r="P3347" s="14" t="str">
        <f>HYPERLINK("https://ceds.ed.gov/cedselementdetails.aspx?termid=17051")</f>
        <v>https://ceds.ed.gov/cedselementdetails.aspx?termid=17051</v>
      </c>
      <c r="Q3347" s="14" t="str">
        <f>HYPERLINK("https://ceds.ed.gov/elementComment.aspx?elementName=Country of Birth Code &amp;elementID=17051", "Click here to submit comment")</f>
        <v>Click here to submit comment</v>
      </c>
      <c r="R3347" s="14">
        <v>52221</v>
      </c>
    </row>
    <row r="3348" spans="1:18" ht="105" x14ac:dyDescent="0.25">
      <c r="A3348" s="14" t="s">
        <v>9080</v>
      </c>
      <c r="B3348" s="14" t="s">
        <v>9084</v>
      </c>
      <c r="C3348" s="14" t="s">
        <v>8603</v>
      </c>
      <c r="D3348" s="14" t="s">
        <v>8541</v>
      </c>
      <c r="E3348" s="14" t="s">
        <v>8363</v>
      </c>
      <c r="F3348" s="14" t="s">
        <v>8364</v>
      </c>
      <c r="G3348" s="14" t="s">
        <v>8527</v>
      </c>
      <c r="H3348" s="14"/>
      <c r="I3348" s="14" t="s">
        <v>195</v>
      </c>
      <c r="J3348" s="14"/>
      <c r="K3348" s="14" t="s">
        <v>8366</v>
      </c>
      <c r="L3348" s="14"/>
      <c r="M3348" s="14" t="s">
        <v>8367</v>
      </c>
      <c r="N3348" s="14"/>
      <c r="O3348" s="14" t="s">
        <v>8368</v>
      </c>
      <c r="P3348" s="14" t="str">
        <f>HYPERLINK("https://ceds.ed.gov/cedselementdetails.aspx?termid=18638")</f>
        <v>https://ceds.ed.gov/cedselementdetails.aspx?termid=18638</v>
      </c>
      <c r="Q3348" s="14" t="str">
        <f>HYPERLINK("https://ceds.ed.gov/elementComment.aspx?elementName=Tribal Affiliation &amp;elementID=18638", "Click here to submit comment")</f>
        <v>Click here to submit comment</v>
      </c>
      <c r="R3348" s="14">
        <v>52222</v>
      </c>
    </row>
    <row r="3349" spans="1:18" ht="120" x14ac:dyDescent="0.25">
      <c r="A3349" s="14" t="s">
        <v>9080</v>
      </c>
      <c r="B3349" s="14" t="s">
        <v>9084</v>
      </c>
      <c r="C3349" s="14" t="s">
        <v>8833</v>
      </c>
      <c r="D3349" s="14" t="s">
        <v>8531</v>
      </c>
      <c r="E3349" s="14" t="s">
        <v>6436</v>
      </c>
      <c r="F3349" s="14" t="s">
        <v>6437</v>
      </c>
      <c r="G3349" s="14" t="s">
        <v>37</v>
      </c>
      <c r="H3349" s="14" t="s">
        <v>6137</v>
      </c>
      <c r="I3349" s="14"/>
      <c r="J3349" s="14" t="s">
        <v>1710</v>
      </c>
      <c r="K3349" s="14"/>
      <c r="L3349" s="14"/>
      <c r="M3349" s="14" t="s">
        <v>6439</v>
      </c>
      <c r="N3349" s="14"/>
      <c r="O3349" s="14" t="s">
        <v>6440</v>
      </c>
      <c r="P3349" s="14" t="str">
        <f>HYPERLINK("https://ceds.ed.gov/cedselementdetails.aspx?termid=17200")</f>
        <v>https://ceds.ed.gov/cedselementdetails.aspx?termid=17200</v>
      </c>
      <c r="Q3349" s="14" t="str">
        <f>HYPERLINK("https://ceds.ed.gov/elementComment.aspx?elementName=Number of Credits Earned &amp;elementID=17200", "Click here to submit comment")</f>
        <v>Click here to submit comment</v>
      </c>
      <c r="R3349" s="14">
        <v>50981</v>
      </c>
    </row>
    <row r="3350" spans="1:18" ht="409.5" x14ac:dyDescent="0.25">
      <c r="A3350" s="14" t="s">
        <v>9080</v>
      </c>
      <c r="B3350" s="14" t="s">
        <v>9084</v>
      </c>
      <c r="C3350" s="14" t="s">
        <v>8833</v>
      </c>
      <c r="D3350" s="14" t="s">
        <v>8531</v>
      </c>
      <c r="E3350" s="14" t="s">
        <v>4989</v>
      </c>
      <c r="F3350" s="14" t="s">
        <v>4990</v>
      </c>
      <c r="G3350" s="8" t="s">
        <v>8679</v>
      </c>
      <c r="H3350" s="14" t="s">
        <v>4994</v>
      </c>
      <c r="I3350" s="14"/>
      <c r="J3350" s="14"/>
      <c r="K3350" s="14"/>
      <c r="L3350" s="14"/>
      <c r="M3350" s="14" t="s">
        <v>4992</v>
      </c>
      <c r="N3350" s="14"/>
      <c r="O3350" s="14" t="s">
        <v>4993</v>
      </c>
      <c r="P3350" s="14" t="str">
        <f>HYPERLINK("https://ceds.ed.gov/cedselementdetails.aspx?termid=17141")</f>
        <v>https://ceds.ed.gov/cedselementdetails.aspx?termid=17141</v>
      </c>
      <c r="Q3350" s="14" t="str">
        <f>HYPERLINK("https://ceds.ed.gov/elementComment.aspx?elementName=Highest Level of Education Completed &amp;elementID=17141", "Click here to submit comment")</f>
        <v>Click here to submit comment</v>
      </c>
      <c r="R3350" s="14">
        <v>48343</v>
      </c>
    </row>
    <row r="3351" spans="1:18" ht="135" x14ac:dyDescent="0.25">
      <c r="A3351" s="14" t="s">
        <v>9080</v>
      </c>
      <c r="B3351" s="14" t="s">
        <v>9084</v>
      </c>
      <c r="C3351" s="14" t="s">
        <v>8850</v>
      </c>
      <c r="D3351" s="14" t="s">
        <v>8531</v>
      </c>
      <c r="E3351" s="14" t="s">
        <v>3551</v>
      </c>
      <c r="F3351" s="14" t="s">
        <v>3552</v>
      </c>
      <c r="G3351" s="14" t="s">
        <v>37</v>
      </c>
      <c r="H3351" s="14" t="s">
        <v>3557</v>
      </c>
      <c r="I3351" s="14"/>
      <c r="J3351" s="14" t="s">
        <v>3554</v>
      </c>
      <c r="K3351" s="14"/>
      <c r="L3351" s="14"/>
      <c r="M3351" s="14" t="s">
        <v>3555</v>
      </c>
      <c r="N3351" s="14"/>
      <c r="O3351" s="14" t="s">
        <v>3556</v>
      </c>
      <c r="P3351" s="14" t="str">
        <f>HYPERLINK("https://ceds.ed.gov/cedselementdetails.aspx?termid=17081")</f>
        <v>https://ceds.ed.gov/cedselementdetails.aspx?termid=17081</v>
      </c>
      <c r="Q3351" s="14" t="str">
        <f>HYPERLINK("https://ceds.ed.gov/elementComment.aspx?elementName=Diploma or Credential Award Date &amp;elementID=17081", "Click here to submit comment")</f>
        <v>Click here to submit comment</v>
      </c>
      <c r="R3351" s="14">
        <v>48336</v>
      </c>
    </row>
    <row r="3352" spans="1:18" ht="270" x14ac:dyDescent="0.25">
      <c r="A3352" s="14" t="s">
        <v>9080</v>
      </c>
      <c r="B3352" s="14" t="s">
        <v>9084</v>
      </c>
      <c r="C3352" s="14" t="s">
        <v>8850</v>
      </c>
      <c r="D3352" s="14" t="s">
        <v>8531</v>
      </c>
      <c r="E3352" s="14" t="s">
        <v>4959</v>
      </c>
      <c r="F3352" s="14" t="s">
        <v>4960</v>
      </c>
      <c r="G3352" s="8" t="s">
        <v>8851</v>
      </c>
      <c r="H3352" s="14" t="s">
        <v>4966</v>
      </c>
      <c r="I3352" s="14"/>
      <c r="J3352" s="14"/>
      <c r="K3352" s="14"/>
      <c r="L3352" s="14" t="s">
        <v>4963</v>
      </c>
      <c r="M3352" s="14" t="s">
        <v>4964</v>
      </c>
      <c r="N3352" s="14"/>
      <c r="O3352" s="14" t="s">
        <v>4965</v>
      </c>
      <c r="P3352" s="14" t="str">
        <f>HYPERLINK("https://ceds.ed.gov/cedselementdetails.aspx?termid=17138")</f>
        <v>https://ceds.ed.gov/cedselementdetails.aspx?termid=17138</v>
      </c>
      <c r="Q3352" s="14" t="str">
        <f>HYPERLINK("https://ceds.ed.gov/elementComment.aspx?elementName=High School Diploma Type &amp;elementID=17138", "Click here to submit comment")</f>
        <v>Click here to submit comment</v>
      </c>
      <c r="R3352" s="14">
        <v>48335</v>
      </c>
    </row>
    <row r="3353" spans="1:18" ht="105" x14ac:dyDescent="0.25">
      <c r="A3353" s="14" t="s">
        <v>9080</v>
      </c>
      <c r="B3353" s="14" t="s">
        <v>9084</v>
      </c>
      <c r="C3353" s="14" t="s">
        <v>8850</v>
      </c>
      <c r="D3353" s="14" t="s">
        <v>8531</v>
      </c>
      <c r="E3353" s="14" t="s">
        <v>4953</v>
      </c>
      <c r="F3353" s="14" t="s">
        <v>4954</v>
      </c>
      <c r="G3353" s="8" t="s">
        <v>8852</v>
      </c>
      <c r="H3353" s="14"/>
      <c r="I3353" s="14"/>
      <c r="J3353" s="14"/>
      <c r="K3353" s="14"/>
      <c r="L3353" s="14"/>
      <c r="M3353" s="14" t="s">
        <v>4957</v>
      </c>
      <c r="N3353" s="14"/>
      <c r="O3353" s="14" t="s">
        <v>4958</v>
      </c>
      <c r="P3353" s="14" t="str">
        <f>HYPERLINK("https://ceds.ed.gov/cedselementdetails.aspx?termid=17689")</f>
        <v>https://ceds.ed.gov/cedselementdetails.aspx?termid=17689</v>
      </c>
      <c r="Q3353" s="14" t="str">
        <f>HYPERLINK("https://ceds.ed.gov/elementComment.aspx?elementName=High School Diploma Distinction Type &amp;elementID=17689", "Click here to submit comment")</f>
        <v>Click here to submit comment</v>
      </c>
      <c r="R3353" s="14">
        <v>51721</v>
      </c>
    </row>
    <row r="3354" spans="1:18" ht="60" x14ac:dyDescent="0.25">
      <c r="A3354" s="14" t="s">
        <v>9080</v>
      </c>
      <c r="B3354" s="14" t="s">
        <v>9084</v>
      </c>
      <c r="C3354" s="14" t="s">
        <v>8850</v>
      </c>
      <c r="D3354" s="14" t="s">
        <v>8531</v>
      </c>
      <c r="E3354" s="14" t="s">
        <v>35</v>
      </c>
      <c r="F3354" s="14" t="s">
        <v>36</v>
      </c>
      <c r="G3354" s="14" t="s">
        <v>37</v>
      </c>
      <c r="H3354" s="14" t="s">
        <v>42</v>
      </c>
      <c r="I3354" s="14"/>
      <c r="J3354" s="14" t="s">
        <v>39</v>
      </c>
      <c r="K3354" s="14"/>
      <c r="L3354" s="14"/>
      <c r="M3354" s="14" t="s">
        <v>40</v>
      </c>
      <c r="N3354" s="14"/>
      <c r="O3354" s="14" t="s">
        <v>41</v>
      </c>
      <c r="P3354" s="14" t="str">
        <f>HYPERLINK("https://ceds.ed.gov/cedselementdetails.aspx?termid=17001")</f>
        <v>https://ceds.ed.gov/cedselementdetails.aspx?termid=17001</v>
      </c>
      <c r="Q3354" s="14" t="str">
        <f>HYPERLINK("https://ceds.ed.gov/elementComment.aspx?elementName=Academic Award Date &amp;elementID=17001", "Click here to submit comment")</f>
        <v>Click here to submit comment</v>
      </c>
      <c r="R3354" s="14">
        <v>51724</v>
      </c>
    </row>
    <row r="3355" spans="1:18" ht="285" x14ac:dyDescent="0.25">
      <c r="A3355" s="14" t="s">
        <v>9080</v>
      </c>
      <c r="B3355" s="14" t="s">
        <v>9084</v>
      </c>
      <c r="C3355" s="14" t="s">
        <v>8850</v>
      </c>
      <c r="D3355" s="14" t="s">
        <v>8531</v>
      </c>
      <c r="E3355" s="14" t="s">
        <v>43</v>
      </c>
      <c r="F3355" s="14" t="s">
        <v>44</v>
      </c>
      <c r="G3355" s="8" t="s">
        <v>8853</v>
      </c>
      <c r="H3355" s="14" t="s">
        <v>48</v>
      </c>
      <c r="I3355" s="14"/>
      <c r="J3355" s="14"/>
      <c r="K3355" s="14"/>
      <c r="L3355" s="14"/>
      <c r="M3355" s="14" t="s">
        <v>46</v>
      </c>
      <c r="N3355" s="14"/>
      <c r="O3355" s="14" t="s">
        <v>47</v>
      </c>
      <c r="P3355" s="14" t="str">
        <f>HYPERLINK("https://ceds.ed.gov/cedselementdetails.aspx?termid=17002")</f>
        <v>https://ceds.ed.gov/cedselementdetails.aspx?termid=17002</v>
      </c>
      <c r="Q3355" s="14" t="str">
        <f>HYPERLINK("https://ceds.ed.gov/elementComment.aspx?elementName=Academic Award Level Conferred &amp;elementID=17002", "Click here to submit comment")</f>
        <v>Click here to submit comment</v>
      </c>
      <c r="R3355" s="14">
        <v>50043</v>
      </c>
    </row>
    <row r="3356" spans="1:18" ht="45" x14ac:dyDescent="0.25">
      <c r="A3356" s="14" t="s">
        <v>9080</v>
      </c>
      <c r="B3356" s="14" t="s">
        <v>9084</v>
      </c>
      <c r="C3356" s="14" t="s">
        <v>8850</v>
      </c>
      <c r="D3356" s="14" t="s">
        <v>8531</v>
      </c>
      <c r="E3356" s="14" t="s">
        <v>60</v>
      </c>
      <c r="F3356" s="14" t="s">
        <v>61</v>
      </c>
      <c r="G3356" s="14" t="s">
        <v>37</v>
      </c>
      <c r="H3356" s="14" t="s">
        <v>65</v>
      </c>
      <c r="I3356" s="14"/>
      <c r="J3356" s="14" t="s">
        <v>62</v>
      </c>
      <c r="K3356" s="14"/>
      <c r="L3356" s="14"/>
      <c r="M3356" s="14" t="s">
        <v>63</v>
      </c>
      <c r="N3356" s="14"/>
      <c r="O3356" s="14" t="s">
        <v>64</v>
      </c>
      <c r="P3356" s="14" t="str">
        <f>HYPERLINK("https://ceds.ed.gov/cedselementdetails.aspx?termid=17003")</f>
        <v>https://ceds.ed.gov/cedselementdetails.aspx?termid=17003</v>
      </c>
      <c r="Q3356" s="14" t="str">
        <f>HYPERLINK("https://ceds.ed.gov/elementComment.aspx?elementName=Academic Award Title &amp;elementID=17003", "Click here to submit comment")</f>
        <v>Click here to submit comment</v>
      </c>
      <c r="R3356" s="14">
        <v>51725</v>
      </c>
    </row>
    <row r="3357" spans="1:18" ht="270" x14ac:dyDescent="0.25">
      <c r="A3357" s="14" t="s">
        <v>9080</v>
      </c>
      <c r="B3357" s="14" t="s">
        <v>9084</v>
      </c>
      <c r="C3357" s="14" t="s">
        <v>8850</v>
      </c>
      <c r="D3357" s="14" t="s">
        <v>8531</v>
      </c>
      <c r="E3357" s="14" t="s">
        <v>3347</v>
      </c>
      <c r="F3357" s="14" t="s">
        <v>3348</v>
      </c>
      <c r="G3357" s="8" t="s">
        <v>8854</v>
      </c>
      <c r="H3357" s="14"/>
      <c r="I3357" s="14"/>
      <c r="J3357" s="14"/>
      <c r="K3357" s="14"/>
      <c r="L3357" s="14"/>
      <c r="M3357" s="14" t="s">
        <v>3351</v>
      </c>
      <c r="N3357" s="14"/>
      <c r="O3357" s="14" t="s">
        <v>3352</v>
      </c>
      <c r="P3357" s="14" t="str">
        <f>HYPERLINK("https://ceds.ed.gov/cedselementdetails.aspx?termid=18283")</f>
        <v>https://ceds.ed.gov/cedselementdetails.aspx?termid=18283</v>
      </c>
      <c r="Q3357" s="14" t="str">
        <f>HYPERLINK("https://ceds.ed.gov/elementComment.aspx?elementName=Credit Hours Applied Other Program &amp;elementID=18283", "Click here to submit comment")</f>
        <v>Click here to submit comment</v>
      </c>
      <c r="R3357" s="14">
        <v>51730</v>
      </c>
    </row>
    <row r="3358" spans="1:18" ht="195" x14ac:dyDescent="0.25">
      <c r="A3358" s="14" t="s">
        <v>9080</v>
      </c>
      <c r="B3358" s="14" t="s">
        <v>9084</v>
      </c>
      <c r="C3358" s="14" t="s">
        <v>8850</v>
      </c>
      <c r="D3358" s="14" t="s">
        <v>8531</v>
      </c>
      <c r="E3358" s="14" t="s">
        <v>7051</v>
      </c>
      <c r="F3358" s="14" t="s">
        <v>7052</v>
      </c>
      <c r="G3358" s="8" t="s">
        <v>8855</v>
      </c>
      <c r="H3358" s="14"/>
      <c r="I3358" s="14"/>
      <c r="J3358" s="14"/>
      <c r="K3358" s="14"/>
      <c r="L3358" s="14"/>
      <c r="M3358" s="14" t="s">
        <v>7055</v>
      </c>
      <c r="N3358" s="14"/>
      <c r="O3358" s="14" t="s">
        <v>7056</v>
      </c>
      <c r="P3358" s="14" t="str">
        <f>HYPERLINK("https://ceds.ed.gov/cedselementdetails.aspx?termid=17780")</f>
        <v>https://ceds.ed.gov/cedselementdetails.aspx?termid=17780</v>
      </c>
      <c r="Q3358" s="14" t="str">
        <f>HYPERLINK("https://ceds.ed.gov/elementComment.aspx?elementName=Professional or Technical Credential Conferred &amp;elementID=17780", "Click here to submit comment")</f>
        <v>Click here to submit comment</v>
      </c>
      <c r="R3358" s="14">
        <v>49841</v>
      </c>
    </row>
    <row r="3359" spans="1:18" ht="105" x14ac:dyDescent="0.25">
      <c r="A3359" s="16" t="s">
        <v>9080</v>
      </c>
      <c r="B3359" s="16" t="s">
        <v>9084</v>
      </c>
      <c r="C3359" s="16" t="s">
        <v>8850</v>
      </c>
      <c r="D3359" s="16" t="s">
        <v>8531</v>
      </c>
      <c r="E3359" s="16" t="s">
        <v>7098</v>
      </c>
      <c r="F3359" s="16" t="s">
        <v>7099</v>
      </c>
      <c r="G3359" s="16" t="s">
        <v>37</v>
      </c>
      <c r="H3359" s="16" t="s">
        <v>2944</v>
      </c>
      <c r="I3359" s="16"/>
      <c r="J3359" s="16" t="s">
        <v>149</v>
      </c>
      <c r="K3359" s="16"/>
      <c r="L3359" s="14" t="s">
        <v>150</v>
      </c>
      <c r="M3359" s="16" t="s">
        <v>7101</v>
      </c>
      <c r="N3359" s="16"/>
      <c r="O3359" s="16" t="s">
        <v>7102</v>
      </c>
      <c r="P3359" s="16" t="str">
        <f>HYPERLINK("https://ceds.ed.gov/cedselementdetails.aspx?termid=17618")</f>
        <v>https://ceds.ed.gov/cedselementdetails.aspx?termid=17618</v>
      </c>
      <c r="Q3359" s="16" t="str">
        <f>HYPERLINK("https://ceds.ed.gov/elementComment.aspx?elementName=Program Identifier &amp;elementID=17618", "Click here to submit comment")</f>
        <v>Click here to submit comment</v>
      </c>
      <c r="R3359" s="16">
        <v>51729</v>
      </c>
    </row>
    <row r="3360" spans="1:18" x14ac:dyDescent="0.25">
      <c r="A3360" s="16"/>
      <c r="B3360" s="16"/>
      <c r="C3360" s="16"/>
      <c r="D3360" s="16"/>
      <c r="E3360" s="16"/>
      <c r="F3360" s="16"/>
      <c r="G3360" s="16"/>
      <c r="H3360" s="16"/>
      <c r="I3360" s="16"/>
      <c r="J3360" s="16"/>
      <c r="K3360" s="16"/>
      <c r="L3360" s="14"/>
      <c r="M3360" s="16"/>
      <c r="N3360" s="16"/>
      <c r="O3360" s="16"/>
      <c r="P3360" s="16"/>
      <c r="Q3360" s="16"/>
      <c r="R3360" s="16"/>
    </row>
    <row r="3361" spans="1:18" ht="90" x14ac:dyDescent="0.25">
      <c r="A3361" s="16"/>
      <c r="B3361" s="16"/>
      <c r="C3361" s="16"/>
      <c r="D3361" s="16"/>
      <c r="E3361" s="16"/>
      <c r="F3361" s="16"/>
      <c r="G3361" s="16"/>
      <c r="H3361" s="16"/>
      <c r="I3361" s="16"/>
      <c r="J3361" s="16"/>
      <c r="K3361" s="16"/>
      <c r="L3361" s="14" t="s">
        <v>153</v>
      </c>
      <c r="M3361" s="16"/>
      <c r="N3361" s="16"/>
      <c r="O3361" s="16"/>
      <c r="P3361" s="16"/>
      <c r="Q3361" s="16"/>
      <c r="R3361" s="16"/>
    </row>
    <row r="3362" spans="1:18" ht="150" x14ac:dyDescent="0.25">
      <c r="A3362" s="14" t="s">
        <v>9080</v>
      </c>
      <c r="B3362" s="14" t="s">
        <v>9084</v>
      </c>
      <c r="C3362" s="14" t="s">
        <v>8850</v>
      </c>
      <c r="D3362" s="14" t="s">
        <v>8531</v>
      </c>
      <c r="E3362" s="14" t="s">
        <v>3675</v>
      </c>
      <c r="F3362" s="14" t="s">
        <v>3676</v>
      </c>
      <c r="G3362" s="8" t="s">
        <v>9035</v>
      </c>
      <c r="H3362" s="14"/>
      <c r="I3362" s="14"/>
      <c r="J3362" s="14"/>
      <c r="K3362" s="14"/>
      <c r="L3362" s="6" t="s">
        <v>3679</v>
      </c>
      <c r="M3362" s="14" t="s">
        <v>3680</v>
      </c>
      <c r="N3362" s="14"/>
      <c r="O3362" s="14" t="s">
        <v>3681</v>
      </c>
      <c r="P3362" s="14" t="str">
        <f>HYPERLINK("https://ceds.ed.gov/cedselementdetails.aspx?termid=18622")</f>
        <v>https://ceds.ed.gov/cedselementdetails.aspx?termid=18622</v>
      </c>
      <c r="Q3362" s="14" t="str">
        <f>HYPERLINK("https://ceds.ed.gov/elementComment.aspx?elementName=DQP Categories of Learning &amp;elementID=18622", "Click here to submit comment")</f>
        <v>Click here to submit comment</v>
      </c>
      <c r="R3362" s="14">
        <v>51732</v>
      </c>
    </row>
    <row r="3363" spans="1:18" ht="75" x14ac:dyDescent="0.25">
      <c r="A3363" s="14" t="s">
        <v>9080</v>
      </c>
      <c r="B3363" s="14" t="s">
        <v>9084</v>
      </c>
      <c r="C3363" s="14" t="s">
        <v>8850</v>
      </c>
      <c r="D3363" s="14" t="s">
        <v>8531</v>
      </c>
      <c r="E3363" s="14" t="s">
        <v>6799</v>
      </c>
      <c r="F3363" s="14" t="s">
        <v>6800</v>
      </c>
      <c r="G3363" s="8" t="s">
        <v>9000</v>
      </c>
      <c r="H3363" s="14" t="s">
        <v>6804</v>
      </c>
      <c r="I3363" s="14"/>
      <c r="J3363" s="14"/>
      <c r="K3363" s="14"/>
      <c r="L3363" s="14"/>
      <c r="M3363" s="14" t="s">
        <v>6802</v>
      </c>
      <c r="N3363" s="14"/>
      <c r="O3363" s="14" t="s">
        <v>6803</v>
      </c>
      <c r="P3363" s="14" t="str">
        <f>HYPERLINK("https://ceds.ed.gov/cedselementdetails.aspx?termid=18595")</f>
        <v>https://ceds.ed.gov/cedselementdetails.aspx?termid=18595</v>
      </c>
      <c r="Q3363" s="14" t="str">
        <f>HYPERLINK("https://ceds.ed.gov/elementComment.aspx?elementName=Postsecondary Program Level &amp;elementID=18595", "Click here to submit comment")</f>
        <v>Click here to submit comment</v>
      </c>
      <c r="R3363" s="14">
        <v>51731</v>
      </c>
    </row>
    <row r="3364" spans="1:18" ht="75" x14ac:dyDescent="0.25">
      <c r="A3364" s="14" t="s">
        <v>9080</v>
      </c>
      <c r="B3364" s="14" t="s">
        <v>9084</v>
      </c>
      <c r="C3364" s="14" t="s">
        <v>8850</v>
      </c>
      <c r="D3364" s="14" t="s">
        <v>8531</v>
      </c>
      <c r="E3364" s="14" t="s">
        <v>2365</v>
      </c>
      <c r="F3364" s="14" t="s">
        <v>2366</v>
      </c>
      <c r="G3364" s="14" t="s">
        <v>8526</v>
      </c>
      <c r="H3364" s="14" t="s">
        <v>48</v>
      </c>
      <c r="I3364" s="14"/>
      <c r="J3364" s="14"/>
      <c r="K3364" s="14"/>
      <c r="L3364" s="14"/>
      <c r="M3364" s="14" t="s">
        <v>2368</v>
      </c>
      <c r="N3364" s="14" t="s">
        <v>2369</v>
      </c>
      <c r="O3364" s="14" t="s">
        <v>2370</v>
      </c>
      <c r="P3364" s="14" t="str">
        <f>HYPERLINK("https://ceds.ed.gov/cedselementdetails.aspx?termid=17043")</f>
        <v>https://ceds.ed.gov/cedselementdetails.aspx?termid=17043</v>
      </c>
      <c r="Q3364" s="14" t="str">
        <f>HYPERLINK("https://ceds.ed.gov/elementComment.aspx?elementName=Classification of Instructional Program Code &amp;elementID=17043", "Click here to submit comment")</f>
        <v>Click here to submit comment</v>
      </c>
      <c r="R3364" s="14">
        <v>51726</v>
      </c>
    </row>
    <row r="3365" spans="1:18" ht="135" x14ac:dyDescent="0.25">
      <c r="A3365" s="14" t="s">
        <v>9080</v>
      </c>
      <c r="B3365" s="14" t="s">
        <v>9084</v>
      </c>
      <c r="C3365" s="14" t="s">
        <v>8850</v>
      </c>
      <c r="D3365" s="14" t="s">
        <v>8531</v>
      </c>
      <c r="E3365" s="14" t="s">
        <v>2371</v>
      </c>
      <c r="F3365" s="14" t="s">
        <v>2372</v>
      </c>
      <c r="G3365" s="8" t="s">
        <v>8997</v>
      </c>
      <c r="H3365" s="14" t="s">
        <v>225</v>
      </c>
      <c r="I3365" s="14"/>
      <c r="J3365" s="14"/>
      <c r="K3365" s="14"/>
      <c r="L3365" s="14"/>
      <c r="M3365" s="14" t="s">
        <v>2375</v>
      </c>
      <c r="N3365" s="14" t="s">
        <v>2376</v>
      </c>
      <c r="O3365" s="14" t="s">
        <v>2377</v>
      </c>
      <c r="P3365" s="14" t="str">
        <f>HYPERLINK("https://ceds.ed.gov/cedselementdetails.aspx?termid=17044")</f>
        <v>https://ceds.ed.gov/cedselementdetails.aspx?termid=17044</v>
      </c>
      <c r="Q3365" s="14" t="str">
        <f>HYPERLINK("https://ceds.ed.gov/elementComment.aspx?elementName=Classification of Instructional Program Use &amp;elementID=17044", "Click here to submit comment")</f>
        <v>Click here to submit comment</v>
      </c>
      <c r="R3365" s="14">
        <v>51727</v>
      </c>
    </row>
    <row r="3366" spans="1:18" ht="90" x14ac:dyDescent="0.25">
      <c r="A3366" s="14" t="s">
        <v>9080</v>
      </c>
      <c r="B3366" s="14" t="s">
        <v>9084</v>
      </c>
      <c r="C3366" s="14" t="s">
        <v>8850</v>
      </c>
      <c r="D3366" s="14" t="s">
        <v>8531</v>
      </c>
      <c r="E3366" s="14" t="s">
        <v>2378</v>
      </c>
      <c r="F3366" s="14" t="s">
        <v>2379</v>
      </c>
      <c r="G3366" s="8" t="s">
        <v>8998</v>
      </c>
      <c r="H3366" s="14" t="s">
        <v>225</v>
      </c>
      <c r="I3366" s="14"/>
      <c r="J3366" s="14"/>
      <c r="K3366" s="14"/>
      <c r="L3366" s="14"/>
      <c r="M3366" s="14" t="s">
        <v>2382</v>
      </c>
      <c r="N3366" s="14" t="s">
        <v>2383</v>
      </c>
      <c r="O3366" s="14" t="s">
        <v>2384</v>
      </c>
      <c r="P3366" s="14" t="str">
        <f>HYPERLINK("https://ceds.ed.gov/cedselementdetails.aspx?termid=17045")</f>
        <v>https://ceds.ed.gov/cedselementdetails.aspx?termid=17045</v>
      </c>
      <c r="Q3366" s="14" t="str">
        <f>HYPERLINK("https://ceds.ed.gov/elementComment.aspx?elementName=Classification of Instructional Program Version &amp;elementID=17045", "Click here to submit comment")</f>
        <v>Click here to submit comment</v>
      </c>
      <c r="R3366" s="14">
        <v>51728</v>
      </c>
    </row>
    <row r="3367" spans="1:18" ht="90" x14ac:dyDescent="0.25">
      <c r="A3367" s="14" t="s">
        <v>9080</v>
      </c>
      <c r="B3367" s="14" t="s">
        <v>9084</v>
      </c>
      <c r="C3367" s="14" t="s">
        <v>8949</v>
      </c>
      <c r="D3367" s="14" t="s">
        <v>8531</v>
      </c>
      <c r="E3367" s="14" t="s">
        <v>3006</v>
      </c>
      <c r="F3367" s="14" t="s">
        <v>3007</v>
      </c>
      <c r="G3367" s="14" t="s">
        <v>37</v>
      </c>
      <c r="H3367" s="14"/>
      <c r="I3367" s="14"/>
      <c r="J3367" s="14" t="s">
        <v>97</v>
      </c>
      <c r="K3367" s="14"/>
      <c r="L3367" s="14"/>
      <c r="M3367" s="14" t="s">
        <v>3009</v>
      </c>
      <c r="N3367" s="14"/>
      <c r="O3367" s="14" t="s">
        <v>3010</v>
      </c>
      <c r="P3367" s="14" t="str">
        <f>HYPERLINK("https://ceds.ed.gov/cedselementdetails.aspx?termid=18280")</f>
        <v>https://ceds.ed.gov/cedselementdetails.aspx?termid=18280</v>
      </c>
      <c r="Q3367" s="14" t="str">
        <f>HYPERLINK("https://ceds.ed.gov/elementComment.aspx?elementName=Course Number &amp;elementID=18280", "Click here to submit comment")</f>
        <v>Click here to submit comment</v>
      </c>
      <c r="R3367" s="14">
        <v>51125</v>
      </c>
    </row>
    <row r="3368" spans="1:18" ht="285" x14ac:dyDescent="0.25">
      <c r="A3368" s="14" t="s">
        <v>9080</v>
      </c>
      <c r="B3368" s="14" t="s">
        <v>9084</v>
      </c>
      <c r="C3368" s="14" t="s">
        <v>8640</v>
      </c>
      <c r="D3368" s="14" t="s">
        <v>8531</v>
      </c>
      <c r="E3368" s="14" t="s">
        <v>5086</v>
      </c>
      <c r="F3368" s="14" t="s">
        <v>5087</v>
      </c>
      <c r="G3368" s="14" t="s">
        <v>24</v>
      </c>
      <c r="H3368" s="14" t="s">
        <v>5090</v>
      </c>
      <c r="I3368" s="14"/>
      <c r="J3368" s="14"/>
      <c r="K3368" s="14"/>
      <c r="L3368" s="14"/>
      <c r="M3368" s="14" t="s">
        <v>5088</v>
      </c>
      <c r="N3368" s="14"/>
      <c r="O3368" s="14" t="s">
        <v>5089</v>
      </c>
      <c r="P3368" s="14" t="str">
        <f>HYPERLINK("https://ceds.ed.gov/cedselementdetails.aspx?termid=17151")</f>
        <v>https://ceds.ed.gov/cedselementdetails.aspx?termid=17151</v>
      </c>
      <c r="Q3368" s="14" t="str">
        <f>HYPERLINK("https://ceds.ed.gov/elementComment.aspx?elementName=IDEA Indicator &amp;elementID=17151", "Click here to submit comment")</f>
        <v>Click here to submit comment</v>
      </c>
      <c r="R3368" s="14">
        <v>48331</v>
      </c>
    </row>
    <row r="3369" spans="1:18" ht="45" x14ac:dyDescent="0.25">
      <c r="A3369" s="14" t="s">
        <v>9080</v>
      </c>
      <c r="B3369" s="14" t="s">
        <v>9084</v>
      </c>
      <c r="C3369" s="14" t="s">
        <v>8640</v>
      </c>
      <c r="D3369" s="14" t="s">
        <v>8531</v>
      </c>
      <c r="E3369" s="14" t="s">
        <v>3584</v>
      </c>
      <c r="F3369" s="14" t="s">
        <v>3585</v>
      </c>
      <c r="G3369" s="14" t="s">
        <v>24</v>
      </c>
      <c r="H3369" s="14" t="s">
        <v>258</v>
      </c>
      <c r="I3369" s="14"/>
      <c r="J3369" s="14"/>
      <c r="K3369" s="14"/>
      <c r="L3369" s="14"/>
      <c r="M3369" s="14" t="s">
        <v>3587</v>
      </c>
      <c r="N3369" s="14"/>
      <c r="O3369" s="14" t="s">
        <v>3588</v>
      </c>
      <c r="P3369" s="14" t="str">
        <f>HYPERLINK("https://ceds.ed.gov/cedselementdetails.aspx?termid=17569")</f>
        <v>https://ceds.ed.gov/cedselementdetails.aspx?termid=17569</v>
      </c>
      <c r="Q3369" s="14" t="str">
        <f>HYPERLINK("https://ceds.ed.gov/elementComment.aspx?elementName=Disability Status &amp;elementID=17569", "Click here to submit comment")</f>
        <v>Click here to submit comment</v>
      </c>
      <c r="R3369" s="14">
        <v>48332</v>
      </c>
    </row>
    <row r="3370" spans="1:18" ht="180" x14ac:dyDescent="0.25">
      <c r="A3370" s="14" t="s">
        <v>9080</v>
      </c>
      <c r="B3370" s="14" t="s">
        <v>9084</v>
      </c>
      <c r="C3370" s="14" t="s">
        <v>8640</v>
      </c>
      <c r="D3370" s="14" t="s">
        <v>8531</v>
      </c>
      <c r="E3370" s="14" t="s">
        <v>3578</v>
      </c>
      <c r="F3370" s="14" t="s">
        <v>3579</v>
      </c>
      <c r="G3370" s="8" t="s">
        <v>8643</v>
      </c>
      <c r="H3370" s="14"/>
      <c r="I3370" s="14"/>
      <c r="J3370" s="14"/>
      <c r="K3370" s="14"/>
      <c r="L3370" s="14" t="s">
        <v>3575</v>
      </c>
      <c r="M3370" s="14" t="s">
        <v>3582</v>
      </c>
      <c r="N3370" s="14"/>
      <c r="O3370" s="14" t="s">
        <v>3583</v>
      </c>
      <c r="P3370" s="14" t="str">
        <f>HYPERLINK("https://ceds.ed.gov/cedselementdetails.aspx?termid=18287")</f>
        <v>https://ceds.ed.gov/cedselementdetails.aspx?termid=18287</v>
      </c>
      <c r="Q3370" s="14" t="str">
        <f>HYPERLINK("https://ceds.ed.gov/elementComment.aspx?elementName=Disability Determination Source Type &amp;elementID=18287", "Click here to submit comment")</f>
        <v>Click here to submit comment</v>
      </c>
      <c r="R3370" s="14">
        <v>51760</v>
      </c>
    </row>
    <row r="3371" spans="1:18" ht="180" x14ac:dyDescent="0.25">
      <c r="A3371" s="14" t="s">
        <v>9080</v>
      </c>
      <c r="B3371" s="14" t="s">
        <v>9084</v>
      </c>
      <c r="C3371" s="14" t="s">
        <v>4</v>
      </c>
      <c r="D3371" s="14" t="s">
        <v>8531</v>
      </c>
      <c r="E3371" s="14" t="s">
        <v>6177</v>
      </c>
      <c r="F3371" s="14" t="s">
        <v>6178</v>
      </c>
      <c r="G3371" s="14" t="s">
        <v>24</v>
      </c>
      <c r="H3371" s="14"/>
      <c r="I3371" s="14"/>
      <c r="J3371" s="14"/>
      <c r="K3371" s="14"/>
      <c r="L3371" s="14"/>
      <c r="M3371" s="14" t="s">
        <v>6179</v>
      </c>
      <c r="N3371" s="14"/>
      <c r="O3371" s="14" t="s">
        <v>6180</v>
      </c>
      <c r="P3371" s="14" t="str">
        <f>HYPERLINK("https://ceds.ed.gov/cedselementdetails.aspx?termid=17758")</f>
        <v>https://ceds.ed.gov/cedselementdetails.aspx?termid=17758</v>
      </c>
      <c r="Q3371" s="14" t="str">
        <f>HYPERLINK("https://ceds.ed.gov/elementComment.aspx?elementName=Low-income Status &amp;elementID=17758", "Click here to submit comment")</f>
        <v>Click here to submit comment</v>
      </c>
      <c r="R3371" s="14">
        <v>48279</v>
      </c>
    </row>
    <row r="3372" spans="1:18" ht="135" x14ac:dyDescent="0.25">
      <c r="A3372" s="14" t="s">
        <v>9080</v>
      </c>
      <c r="B3372" s="14" t="s">
        <v>9084</v>
      </c>
      <c r="C3372" s="14" t="s">
        <v>4</v>
      </c>
      <c r="D3372" s="14" t="s">
        <v>8531</v>
      </c>
      <c r="E3372" s="14" t="s">
        <v>3628</v>
      </c>
      <c r="F3372" s="14" t="s">
        <v>3629</v>
      </c>
      <c r="G3372" s="14" t="s">
        <v>24</v>
      </c>
      <c r="H3372" s="14"/>
      <c r="I3372" s="14"/>
      <c r="J3372" s="14"/>
      <c r="K3372" s="14"/>
      <c r="L3372" s="14"/>
      <c r="M3372" s="14" t="s">
        <v>3631</v>
      </c>
      <c r="N3372" s="14"/>
      <c r="O3372" s="14" t="s">
        <v>3632</v>
      </c>
      <c r="P3372" s="14" t="str">
        <f>HYPERLINK("https://ceds.ed.gov/cedselementdetails.aspx?termid=17759")</f>
        <v>https://ceds.ed.gov/cedselementdetails.aspx?termid=17759</v>
      </c>
      <c r="Q3372" s="14" t="str">
        <f>HYPERLINK("https://ceds.ed.gov/elementComment.aspx?elementName=Dislocated Worker Status &amp;elementID=17759", "Click here to submit comment")</f>
        <v>Click here to submit comment</v>
      </c>
      <c r="R3372" s="14">
        <v>48280</v>
      </c>
    </row>
    <row r="3373" spans="1:18" ht="75" x14ac:dyDescent="0.25">
      <c r="A3373" s="14" t="s">
        <v>9080</v>
      </c>
      <c r="B3373" s="14" t="s">
        <v>9084</v>
      </c>
      <c r="C3373" s="14" t="s">
        <v>4</v>
      </c>
      <c r="D3373" s="14" t="s">
        <v>8531</v>
      </c>
      <c r="E3373" s="14" t="s">
        <v>7201</v>
      </c>
      <c r="F3373" s="14" t="s">
        <v>7202</v>
      </c>
      <c r="G3373" s="14" t="s">
        <v>24</v>
      </c>
      <c r="H3373" s="14"/>
      <c r="I3373" s="14" t="s">
        <v>195</v>
      </c>
      <c r="J3373" s="14"/>
      <c r="K3373" s="14" t="s">
        <v>2856</v>
      </c>
      <c r="L3373" s="14"/>
      <c r="M3373" s="14" t="s">
        <v>7204</v>
      </c>
      <c r="N3373" s="14"/>
      <c r="O3373" s="14" t="s">
        <v>7205</v>
      </c>
      <c r="P3373" s="14" t="str">
        <f>HYPERLINK("https://ceds.ed.gov/cedselementdetails.aspx?termid=17760")</f>
        <v>https://ceds.ed.gov/cedselementdetails.aspx?termid=17760</v>
      </c>
      <c r="Q3373" s="14" t="str">
        <f>HYPERLINK("https://ceds.ed.gov/elementComment.aspx?elementName=Public Assistance Status &amp;elementID=17760", "Click here to submit comment")</f>
        <v>Click here to submit comment</v>
      </c>
      <c r="R3373" s="14">
        <v>48281</v>
      </c>
    </row>
    <row r="3374" spans="1:18" ht="90" x14ac:dyDescent="0.25">
      <c r="A3374" s="14" t="s">
        <v>9080</v>
      </c>
      <c r="B3374" s="14" t="s">
        <v>9084</v>
      </c>
      <c r="C3374" s="14" t="s">
        <v>4</v>
      </c>
      <c r="D3374" s="14" t="s">
        <v>8531</v>
      </c>
      <c r="E3374" s="14" t="s">
        <v>7498</v>
      </c>
      <c r="F3374" s="14" t="s">
        <v>7499</v>
      </c>
      <c r="G3374" s="14" t="s">
        <v>24</v>
      </c>
      <c r="H3374" s="14"/>
      <c r="I3374" s="14"/>
      <c r="J3374" s="14"/>
      <c r="K3374" s="14"/>
      <c r="L3374" s="14"/>
      <c r="M3374" s="14" t="s">
        <v>7500</v>
      </c>
      <c r="N3374" s="14"/>
      <c r="O3374" s="14" t="s">
        <v>7501</v>
      </c>
      <c r="P3374" s="14" t="str">
        <f>HYPERLINK("https://ceds.ed.gov/cedselementdetails.aspx?termid=17761")</f>
        <v>https://ceds.ed.gov/cedselementdetails.aspx?termid=17761</v>
      </c>
      <c r="Q3374" s="14" t="str">
        <f>HYPERLINK("https://ceds.ed.gov/elementComment.aspx?elementName=Rural Residency Status &amp;elementID=17761", "Click here to submit comment")</f>
        <v>Click here to submit comment</v>
      </c>
      <c r="R3374" s="14">
        <v>48282</v>
      </c>
    </row>
    <row r="3375" spans="1:18" ht="105" x14ac:dyDescent="0.25">
      <c r="A3375" s="14" t="s">
        <v>9080</v>
      </c>
      <c r="B3375" s="14" t="s">
        <v>9084</v>
      </c>
      <c r="C3375" s="14" t="s">
        <v>4</v>
      </c>
      <c r="D3375" s="14" t="s">
        <v>8531</v>
      </c>
      <c r="E3375" s="14" t="s">
        <v>7780</v>
      </c>
      <c r="F3375" s="14" t="s">
        <v>7781</v>
      </c>
      <c r="G3375" s="14" t="s">
        <v>24</v>
      </c>
      <c r="H3375" s="14" t="s">
        <v>2410</v>
      </c>
      <c r="I3375" s="14"/>
      <c r="J3375" s="14"/>
      <c r="K3375" s="14"/>
      <c r="L3375" s="14"/>
      <c r="M3375" s="14" t="s">
        <v>7783</v>
      </c>
      <c r="N3375" s="14"/>
      <c r="O3375" s="14" t="s">
        <v>7784</v>
      </c>
      <c r="P3375" s="14" t="str">
        <f>HYPERLINK("https://ceds.ed.gov/cedselementdetails.aspx?termid=17573")</f>
        <v>https://ceds.ed.gov/cedselementdetails.aspx?termid=17573</v>
      </c>
      <c r="Q3375" s="14" t="str">
        <f>HYPERLINK("https://ceds.ed.gov/elementComment.aspx?elementName=Single Parent or Single Pregnant Woman Status &amp;elementID=17573", "Click here to submit comment")</f>
        <v>Click here to submit comment</v>
      </c>
      <c r="R3375" s="14">
        <v>48330</v>
      </c>
    </row>
    <row r="3376" spans="1:18" ht="270" x14ac:dyDescent="0.25">
      <c r="A3376" s="14" t="s">
        <v>9080</v>
      </c>
      <c r="B3376" s="14" t="s">
        <v>9084</v>
      </c>
      <c r="C3376" s="14" t="s">
        <v>4</v>
      </c>
      <c r="D3376" s="14" t="s">
        <v>8531</v>
      </c>
      <c r="E3376" s="14" t="s">
        <v>2220</v>
      </c>
      <c r="F3376" s="14" t="s">
        <v>2221</v>
      </c>
      <c r="G3376" s="14" t="s">
        <v>24</v>
      </c>
      <c r="H3376" s="14" t="s">
        <v>258</v>
      </c>
      <c r="I3376" s="14"/>
      <c r="J3376" s="14"/>
      <c r="K3376" s="14"/>
      <c r="L3376" s="14"/>
      <c r="M3376" s="14" t="s">
        <v>2223</v>
      </c>
      <c r="N3376" s="14" t="s">
        <v>2224</v>
      </c>
      <c r="O3376" s="14" t="s">
        <v>2225</v>
      </c>
      <c r="P3376" s="14" t="str">
        <f>HYPERLINK("https://ceds.ed.gov/cedselementdetails.aspx?termid=17084")</f>
        <v>https://ceds.ed.gov/cedselementdetails.aspx?termid=17084</v>
      </c>
      <c r="Q3376" s="14" t="str">
        <f>HYPERLINK("https://ceds.ed.gov/elementComment.aspx?elementName=Career-Technical-Adult Education Displaced Homemaker Indicator &amp;elementID=17084", "Click here to submit comment")</f>
        <v>Click here to submit comment</v>
      </c>
      <c r="R3376" s="14">
        <v>48345</v>
      </c>
    </row>
    <row r="3377" spans="1:18" ht="270" x14ac:dyDescent="0.25">
      <c r="A3377" s="14" t="s">
        <v>9080</v>
      </c>
      <c r="B3377" s="14" t="s">
        <v>9084</v>
      </c>
      <c r="C3377" s="14" t="s">
        <v>4</v>
      </c>
      <c r="D3377" s="14" t="s">
        <v>8541</v>
      </c>
      <c r="E3377" s="14" t="s">
        <v>6623</v>
      </c>
      <c r="F3377" s="14" t="s">
        <v>6624</v>
      </c>
      <c r="G3377" s="14" t="s">
        <v>3430</v>
      </c>
      <c r="H3377" s="14"/>
      <c r="I3377" s="14" t="s">
        <v>188</v>
      </c>
      <c r="J3377" s="14"/>
      <c r="K3377" s="14" t="s">
        <v>189</v>
      </c>
      <c r="L3377" s="14"/>
      <c r="M3377" s="14" t="s">
        <v>6626</v>
      </c>
      <c r="N3377" s="14"/>
      <c r="O3377" s="14" t="s">
        <v>6627</v>
      </c>
      <c r="P3377" s="14" t="str">
        <f>HYPERLINK("https://ceds.ed.gov/cedselementdetails.aspx?termid=18908")</f>
        <v>https://ceds.ed.gov/cedselementdetails.aspx?termid=18908</v>
      </c>
      <c r="Q3377" s="14" t="str">
        <f>HYPERLINK("https://ceds.ed.gov/elementComment.aspx?elementName=Out of Workforce Indicator &amp;elementID=18908", "Click here to submit comment")</f>
        <v>Click here to submit comment</v>
      </c>
      <c r="R3377" s="14">
        <v>52229</v>
      </c>
    </row>
    <row r="3378" spans="1:18" ht="60" x14ac:dyDescent="0.25">
      <c r="A3378" s="14" t="s">
        <v>9080</v>
      </c>
      <c r="B3378" s="14" t="s">
        <v>9084</v>
      </c>
      <c r="C3378" s="14" t="s">
        <v>8693</v>
      </c>
      <c r="D3378" s="14" t="s">
        <v>8531</v>
      </c>
      <c r="E3378" s="14" t="s">
        <v>4006</v>
      </c>
      <c r="F3378" s="14" t="s">
        <v>4007</v>
      </c>
      <c r="G3378" s="14" t="s">
        <v>3259</v>
      </c>
      <c r="H3378" s="14"/>
      <c r="I3378" s="14"/>
      <c r="J3378" s="14" t="s">
        <v>3260</v>
      </c>
      <c r="K3378" s="14"/>
      <c r="L3378" s="14"/>
      <c r="M3378" s="14" t="s">
        <v>4009</v>
      </c>
      <c r="N3378" s="14"/>
      <c r="O3378" s="14" t="s">
        <v>4010</v>
      </c>
      <c r="P3378" s="14" t="str">
        <f>HYPERLINK("https://ceds.ed.gov/cedselementdetails.aspx?termid=18070")</f>
        <v>https://ceds.ed.gov/cedselementdetails.aspx?termid=18070</v>
      </c>
      <c r="Q3378" s="14" t="str">
        <f>HYPERLINK("https://ceds.ed.gov/elementComment.aspx?elementName=Employment NAICS Code &amp;elementID=18070", "Click here to submit comment")</f>
        <v>Click here to submit comment</v>
      </c>
      <c r="R3378" s="14">
        <v>48713</v>
      </c>
    </row>
    <row r="3379" spans="1:18" ht="225" x14ac:dyDescent="0.25">
      <c r="A3379" s="14" t="s">
        <v>9080</v>
      </c>
      <c r="B3379" s="14" t="s">
        <v>9084</v>
      </c>
      <c r="C3379" s="14" t="s">
        <v>8693</v>
      </c>
      <c r="D3379" s="14" t="s">
        <v>8531</v>
      </c>
      <c r="E3379" s="14" t="s">
        <v>3990</v>
      </c>
      <c r="F3379" s="14" t="s">
        <v>3991</v>
      </c>
      <c r="G3379" s="14" t="s">
        <v>3978</v>
      </c>
      <c r="H3379" s="14" t="s">
        <v>3983</v>
      </c>
      <c r="I3379" s="14"/>
      <c r="J3379" s="14"/>
      <c r="K3379" s="14"/>
      <c r="L3379" s="14" t="s">
        <v>3992</v>
      </c>
      <c r="M3379" s="14" t="s">
        <v>3993</v>
      </c>
      <c r="N3379" s="14"/>
      <c r="O3379" s="14" t="s">
        <v>3994</v>
      </c>
      <c r="P3379" s="14" t="str">
        <f>HYPERLINK("https://ceds.ed.gov/cedselementdetails.aspx?termid=17989")</f>
        <v>https://ceds.ed.gov/cedselementdetails.aspx?termid=17989</v>
      </c>
      <c r="Q3379" s="14" t="str">
        <f>HYPERLINK("https://ceds.ed.gov/elementComment.aspx?elementName=Employed While Enrolled &amp;elementID=17989", "Click here to submit comment")</f>
        <v>Click here to submit comment</v>
      </c>
      <c r="R3379" s="14">
        <v>48712</v>
      </c>
    </row>
    <row r="3380" spans="1:18" ht="270" x14ac:dyDescent="0.25">
      <c r="A3380" s="14" t="s">
        <v>9080</v>
      </c>
      <c r="B3380" s="14" t="s">
        <v>9084</v>
      </c>
      <c r="C3380" s="14" t="s">
        <v>8693</v>
      </c>
      <c r="D3380" s="14" t="s">
        <v>8531</v>
      </c>
      <c r="E3380" s="14" t="s">
        <v>3976</v>
      </c>
      <c r="F3380" s="14" t="s">
        <v>3977</v>
      </c>
      <c r="G3380" s="14" t="s">
        <v>3978</v>
      </c>
      <c r="H3380" s="14" t="s">
        <v>3983</v>
      </c>
      <c r="I3380" s="14"/>
      <c r="J3380" s="14"/>
      <c r="K3380" s="14"/>
      <c r="L3380" s="14" t="s">
        <v>3980</v>
      </c>
      <c r="M3380" s="14" t="s">
        <v>3981</v>
      </c>
      <c r="N3380" s="14"/>
      <c r="O3380" s="14" t="s">
        <v>3982</v>
      </c>
      <c r="P3380" s="14" t="str">
        <f>HYPERLINK("https://ceds.ed.gov/cedselementdetails.aspx?termid=17990")</f>
        <v>https://ceds.ed.gov/cedselementdetails.aspx?termid=17990</v>
      </c>
      <c r="Q3380" s="14" t="str">
        <f>HYPERLINK("https://ceds.ed.gov/elementComment.aspx?elementName=Employed After Exit &amp;elementID=17990", "Click here to submit comment")</f>
        <v>Click here to submit comment</v>
      </c>
      <c r="R3380" s="14">
        <v>48711</v>
      </c>
    </row>
    <row r="3381" spans="1:18" ht="60" x14ac:dyDescent="0.25">
      <c r="A3381" s="14" t="s">
        <v>9080</v>
      </c>
      <c r="B3381" s="14" t="s">
        <v>9084</v>
      </c>
      <c r="C3381" s="14" t="s">
        <v>8693</v>
      </c>
      <c r="D3381" s="14" t="s">
        <v>8531</v>
      </c>
      <c r="E3381" s="14" t="s">
        <v>4037</v>
      </c>
      <c r="F3381" s="14" t="s">
        <v>4038</v>
      </c>
      <c r="G3381" s="14" t="s">
        <v>37</v>
      </c>
      <c r="H3381" s="14" t="s">
        <v>4041</v>
      </c>
      <c r="I3381" s="14"/>
      <c r="J3381" s="14" t="s">
        <v>135</v>
      </c>
      <c r="K3381" s="14"/>
      <c r="L3381" s="14"/>
      <c r="M3381" s="14" t="s">
        <v>4039</v>
      </c>
      <c r="N3381" s="14"/>
      <c r="O3381" s="14" t="s">
        <v>4040</v>
      </c>
      <c r="P3381" s="14" t="str">
        <f>HYPERLINK("https://ceds.ed.gov/cedselementdetails.aspx?termid=17345")</f>
        <v>https://ceds.ed.gov/cedselementdetails.aspx?termid=17345</v>
      </c>
      <c r="Q3381" s="14" t="str">
        <f>HYPERLINK("https://ceds.ed.gov/elementComment.aspx?elementName=Employment Start Date &amp;elementID=17345", "Click here to submit comment")</f>
        <v>Click here to submit comment</v>
      </c>
      <c r="R3381" s="14">
        <v>50703</v>
      </c>
    </row>
    <row r="3382" spans="1:18" ht="75" x14ac:dyDescent="0.25">
      <c r="A3382" s="14" t="s">
        <v>9080</v>
      </c>
      <c r="B3382" s="14" t="s">
        <v>9084</v>
      </c>
      <c r="C3382" s="14" t="s">
        <v>8693</v>
      </c>
      <c r="D3382" s="14" t="s">
        <v>8531</v>
      </c>
      <c r="E3382" s="14" t="s">
        <v>3995</v>
      </c>
      <c r="F3382" s="14" t="s">
        <v>3996</v>
      </c>
      <c r="G3382" s="14" t="s">
        <v>37</v>
      </c>
      <c r="H3382" s="14" t="s">
        <v>238</v>
      </c>
      <c r="I3382" s="14"/>
      <c r="J3382" s="14" t="s">
        <v>135</v>
      </c>
      <c r="K3382" s="14"/>
      <c r="L3382" s="14" t="s">
        <v>160</v>
      </c>
      <c r="M3382" s="14" t="s">
        <v>3998</v>
      </c>
      <c r="N3382" s="14"/>
      <c r="O3382" s="14" t="s">
        <v>3999</v>
      </c>
      <c r="P3382" s="14" t="str">
        <f>HYPERLINK("https://ceds.ed.gov/cedselementdetails.aspx?termid=17794")</f>
        <v>https://ceds.ed.gov/cedselementdetails.aspx?termid=17794</v>
      </c>
      <c r="Q3382" s="14" t="str">
        <f>HYPERLINK("https://ceds.ed.gov/elementComment.aspx?elementName=Employment End Date &amp;elementID=17794", "Click here to submit comment")</f>
        <v>Click here to submit comment</v>
      </c>
      <c r="R3382" s="14">
        <v>50698</v>
      </c>
    </row>
    <row r="3383" spans="1:18" ht="75" x14ac:dyDescent="0.25">
      <c r="A3383" s="14" t="s">
        <v>9080</v>
      </c>
      <c r="B3383" s="14" t="s">
        <v>9084</v>
      </c>
      <c r="C3383" s="14" t="s">
        <v>9060</v>
      </c>
      <c r="D3383" s="14" t="s">
        <v>8531</v>
      </c>
      <c r="E3383" s="14" t="s">
        <v>298</v>
      </c>
      <c r="F3383" s="14" t="s">
        <v>299</v>
      </c>
      <c r="G3383" s="8" t="s">
        <v>9085</v>
      </c>
      <c r="H3383" s="14"/>
      <c r="I3383" s="14"/>
      <c r="J3383" s="14"/>
      <c r="K3383" s="14"/>
      <c r="L3383" s="14"/>
      <c r="M3383" s="14" t="s">
        <v>302</v>
      </c>
      <c r="N3383" s="14"/>
      <c r="O3383" s="14" t="s">
        <v>303</v>
      </c>
      <c r="P3383" s="14" t="str">
        <f>HYPERLINK("https://ceds.ed.gov/cedselementdetails.aspx?termid=17765")</f>
        <v>https://ceds.ed.gov/cedselementdetails.aspx?termid=17765</v>
      </c>
      <c r="Q3383" s="14" t="str">
        <f>HYPERLINK("https://ceds.ed.gov/elementComment.aspx?elementName=Adult Education Instructional Program Type &amp;elementID=17765", "Click here to submit comment")</f>
        <v>Click here to submit comment</v>
      </c>
      <c r="R3383" s="14">
        <v>48285</v>
      </c>
    </row>
    <row r="3384" spans="1:18" ht="165" x14ac:dyDescent="0.25">
      <c r="A3384" s="14" t="s">
        <v>9080</v>
      </c>
      <c r="B3384" s="14" t="s">
        <v>9084</v>
      </c>
      <c r="C3384" s="14" t="s">
        <v>9060</v>
      </c>
      <c r="D3384" s="14" t="s">
        <v>8531</v>
      </c>
      <c r="E3384" s="14" t="s">
        <v>329</v>
      </c>
      <c r="F3384" s="14" t="s">
        <v>330</v>
      </c>
      <c r="G3384" s="8" t="s">
        <v>9086</v>
      </c>
      <c r="H3384" s="14"/>
      <c r="I3384" s="14"/>
      <c r="J3384" s="14"/>
      <c r="K3384" s="14"/>
      <c r="L3384" s="14" t="s">
        <v>332</v>
      </c>
      <c r="M3384" s="14" t="s">
        <v>333</v>
      </c>
      <c r="N3384" s="14"/>
      <c r="O3384" s="14" t="s">
        <v>334</v>
      </c>
      <c r="P3384" s="14" t="str">
        <f>HYPERLINK("https://ceds.ed.gov/cedselementdetails.aspx?termid=17766")</f>
        <v>https://ceds.ed.gov/cedselementdetails.aspx?termid=17766</v>
      </c>
      <c r="Q3384" s="14" t="str">
        <f>HYPERLINK("https://ceds.ed.gov/elementComment.aspx?elementName=Adult Education Special Program Type &amp;elementID=17766", "Click here to submit comment")</f>
        <v>Click here to submit comment</v>
      </c>
      <c r="R3384" s="14">
        <v>48286</v>
      </c>
    </row>
    <row r="3385" spans="1:18" ht="270" x14ac:dyDescent="0.25">
      <c r="A3385" s="14" t="s">
        <v>9080</v>
      </c>
      <c r="B3385" s="14" t="s">
        <v>9084</v>
      </c>
      <c r="C3385" s="14" t="s">
        <v>9060</v>
      </c>
      <c r="D3385" s="14" t="s">
        <v>8531</v>
      </c>
      <c r="E3385" s="14" t="s">
        <v>346</v>
      </c>
      <c r="F3385" s="14" t="s">
        <v>347</v>
      </c>
      <c r="G3385" s="8" t="s">
        <v>9087</v>
      </c>
      <c r="H3385" s="14"/>
      <c r="I3385" s="14"/>
      <c r="J3385" s="14"/>
      <c r="K3385" s="14"/>
      <c r="L3385" s="14"/>
      <c r="M3385" s="14" t="s">
        <v>349</v>
      </c>
      <c r="N3385" s="14"/>
      <c r="O3385" s="14" t="s">
        <v>350</v>
      </c>
      <c r="P3385" s="14" t="str">
        <f>HYPERLINK("https://ceds.ed.gov/cedselementdetails.aspx?termid=17763")</f>
        <v>https://ceds.ed.gov/cedselementdetails.aspx?termid=17763</v>
      </c>
      <c r="Q3385" s="14" t="str">
        <f>HYPERLINK("https://ceds.ed.gov/elementComment.aspx?elementName=Adult Educational Functioning Level at Intake &amp;elementID=17763", "Click here to submit comment")</f>
        <v>Click here to submit comment</v>
      </c>
      <c r="R3385" s="14">
        <v>48283</v>
      </c>
    </row>
    <row r="3386" spans="1:18" ht="270" x14ac:dyDescent="0.25">
      <c r="A3386" s="14" t="s">
        <v>9080</v>
      </c>
      <c r="B3386" s="14" t="s">
        <v>9084</v>
      </c>
      <c r="C3386" s="14" t="s">
        <v>9060</v>
      </c>
      <c r="D3386" s="14" t="s">
        <v>8531</v>
      </c>
      <c r="E3386" s="14" t="s">
        <v>351</v>
      </c>
      <c r="F3386" s="14" t="s">
        <v>352</v>
      </c>
      <c r="G3386" s="8" t="s">
        <v>9087</v>
      </c>
      <c r="H3386" s="14"/>
      <c r="I3386" s="14"/>
      <c r="J3386" s="14"/>
      <c r="K3386" s="14"/>
      <c r="L3386" s="14"/>
      <c r="M3386" s="14" t="s">
        <v>353</v>
      </c>
      <c r="N3386" s="14"/>
      <c r="O3386" s="14" t="s">
        <v>354</v>
      </c>
      <c r="P3386" s="14" t="str">
        <f>HYPERLINK("https://ceds.ed.gov/cedselementdetails.aspx?termid=17764")</f>
        <v>https://ceds.ed.gov/cedselementdetails.aspx?termid=17764</v>
      </c>
      <c r="Q3386" s="14" t="str">
        <f>HYPERLINK("https://ceds.ed.gov/elementComment.aspx?elementName=Adult Educational Functioning Level at Posttest &amp;elementID=17764", "Click here to submit comment")</f>
        <v>Click here to submit comment</v>
      </c>
      <c r="R3386" s="14">
        <v>48284</v>
      </c>
    </row>
    <row r="3387" spans="1:18" ht="120" x14ac:dyDescent="0.25">
      <c r="A3387" s="14" t="s">
        <v>9080</v>
      </c>
      <c r="B3387" s="14" t="s">
        <v>9084</v>
      </c>
      <c r="C3387" s="14" t="s">
        <v>9060</v>
      </c>
      <c r="D3387" s="14" t="s">
        <v>8531</v>
      </c>
      <c r="E3387" s="14" t="s">
        <v>304</v>
      </c>
      <c r="F3387" s="14" t="s">
        <v>305</v>
      </c>
      <c r="G3387" s="8" t="s">
        <v>8844</v>
      </c>
      <c r="H3387" s="14"/>
      <c r="I3387" s="14"/>
      <c r="J3387" s="14"/>
      <c r="K3387" s="14"/>
      <c r="L3387" s="14"/>
      <c r="M3387" s="14" t="s">
        <v>307</v>
      </c>
      <c r="N3387" s="14"/>
      <c r="O3387" s="14" t="s">
        <v>308</v>
      </c>
      <c r="P3387" s="14" t="str">
        <f>HYPERLINK("https://ceds.ed.gov/cedselementdetails.aspx?termid=17768")</f>
        <v>https://ceds.ed.gov/cedselementdetails.aspx?termid=17768</v>
      </c>
      <c r="Q3387" s="14" t="str">
        <f>HYPERLINK("https://ceds.ed.gov/elementComment.aspx?elementName=Adult Education Postsecondary Transition Action &amp;elementID=17768", "Click here to submit comment")</f>
        <v>Click here to submit comment</v>
      </c>
      <c r="R3387" s="14">
        <v>48288</v>
      </c>
    </row>
    <row r="3388" spans="1:18" ht="75" x14ac:dyDescent="0.25">
      <c r="A3388" s="14" t="s">
        <v>9080</v>
      </c>
      <c r="B3388" s="14" t="s">
        <v>9084</v>
      </c>
      <c r="C3388" s="14" t="s">
        <v>9060</v>
      </c>
      <c r="D3388" s="14" t="s">
        <v>8531</v>
      </c>
      <c r="E3388" s="14" t="s">
        <v>309</v>
      </c>
      <c r="F3388" s="14" t="s">
        <v>310</v>
      </c>
      <c r="G3388" s="14" t="s">
        <v>37</v>
      </c>
      <c r="H3388" s="14"/>
      <c r="I3388" s="14"/>
      <c r="J3388" s="14" t="s">
        <v>135</v>
      </c>
      <c r="K3388" s="14"/>
      <c r="L3388" s="14"/>
      <c r="M3388" s="14" t="s">
        <v>311</v>
      </c>
      <c r="N3388" s="14"/>
      <c r="O3388" s="14" t="s">
        <v>312</v>
      </c>
      <c r="P3388" s="14" t="str">
        <f>HYPERLINK("https://ceds.ed.gov/cedselementdetails.aspx?termid=17769")</f>
        <v>https://ceds.ed.gov/cedselementdetails.aspx?termid=17769</v>
      </c>
      <c r="Q3388" s="14" t="str">
        <f>HYPERLINK("https://ceds.ed.gov/elementComment.aspx?elementName=Adult Education Postsecondary Transition Date &amp;elementID=17769", "Click here to submit comment")</f>
        <v>Click here to submit comment</v>
      </c>
      <c r="R3388" s="14">
        <v>48289</v>
      </c>
    </row>
    <row r="3389" spans="1:18" ht="45" x14ac:dyDescent="0.25">
      <c r="A3389" s="14" t="s">
        <v>9080</v>
      </c>
      <c r="B3389" s="14" t="s">
        <v>9084</v>
      </c>
      <c r="C3389" s="14" t="s">
        <v>9060</v>
      </c>
      <c r="D3389" s="14" t="s">
        <v>8531</v>
      </c>
      <c r="E3389" s="14" t="s">
        <v>4076</v>
      </c>
      <c r="F3389" s="14" t="s">
        <v>4077</v>
      </c>
      <c r="G3389" s="14" t="s">
        <v>37</v>
      </c>
      <c r="H3389" s="14" t="s">
        <v>467</v>
      </c>
      <c r="I3389" s="14"/>
      <c r="J3389" s="14" t="s">
        <v>135</v>
      </c>
      <c r="K3389" s="14"/>
      <c r="L3389" s="14"/>
      <c r="M3389" s="14" t="s">
        <v>4079</v>
      </c>
      <c r="N3389" s="14"/>
      <c r="O3389" s="14" t="s">
        <v>4080</v>
      </c>
      <c r="P3389" s="14" t="str">
        <f>HYPERLINK("https://ceds.ed.gov/cedselementdetails.aspx?termid=17324")</f>
        <v>https://ceds.ed.gov/cedselementdetails.aspx?termid=17324</v>
      </c>
      <c r="Q3389" s="14" t="str">
        <f>HYPERLINK("https://ceds.ed.gov/elementComment.aspx?elementName=Enrollment Date &amp;elementID=17324", "Click here to submit comment")</f>
        <v>Click here to submit comment</v>
      </c>
      <c r="R3389" s="14">
        <v>48333</v>
      </c>
    </row>
    <row r="3390" spans="1:18" ht="75" x14ac:dyDescent="0.25">
      <c r="A3390" s="14" t="s">
        <v>9080</v>
      </c>
      <c r="B3390" s="14" t="s">
        <v>9084</v>
      </c>
      <c r="C3390" s="14" t="s">
        <v>9060</v>
      </c>
      <c r="D3390" s="14" t="s">
        <v>8531</v>
      </c>
      <c r="E3390" s="14" t="s">
        <v>4087</v>
      </c>
      <c r="F3390" s="14" t="s">
        <v>4088</v>
      </c>
      <c r="G3390" s="14" t="s">
        <v>37</v>
      </c>
      <c r="H3390" s="14" t="s">
        <v>65</v>
      </c>
      <c r="I3390" s="14"/>
      <c r="J3390" s="14" t="s">
        <v>135</v>
      </c>
      <c r="K3390" s="14"/>
      <c r="L3390" s="14" t="s">
        <v>160</v>
      </c>
      <c r="M3390" s="14" t="s">
        <v>4090</v>
      </c>
      <c r="N3390" s="14"/>
      <c r="O3390" s="14" t="s">
        <v>4091</v>
      </c>
      <c r="P3390" s="14" t="str">
        <f>HYPERLINK("https://ceds.ed.gov/cedselementdetails.aspx?termid=17107")</f>
        <v>https://ceds.ed.gov/cedselementdetails.aspx?termid=17107</v>
      </c>
      <c r="Q3390" s="14" t="str">
        <f>HYPERLINK("https://ceds.ed.gov/elementComment.aspx?elementName=Enrollment Exit Date &amp;elementID=17107", "Click here to submit comment")</f>
        <v>Click here to submit comment</v>
      </c>
      <c r="R3390" s="14">
        <v>48334</v>
      </c>
    </row>
    <row r="3391" spans="1:18" ht="195" x14ac:dyDescent="0.25">
      <c r="A3391" s="14" t="s">
        <v>9080</v>
      </c>
      <c r="B3391" s="14" t="s">
        <v>9084</v>
      </c>
      <c r="C3391" s="14" t="s">
        <v>9060</v>
      </c>
      <c r="D3391" s="14" t="s">
        <v>8531</v>
      </c>
      <c r="E3391" s="14" t="s">
        <v>4819</v>
      </c>
      <c r="F3391" s="14" t="s">
        <v>4820</v>
      </c>
      <c r="G3391" s="8" t="s">
        <v>9088</v>
      </c>
      <c r="H3391" s="14"/>
      <c r="I3391" s="14"/>
      <c r="J3391" s="14"/>
      <c r="K3391" s="14"/>
      <c r="L3391" s="14"/>
      <c r="M3391" s="14" t="s">
        <v>4822</v>
      </c>
      <c r="N3391" s="14"/>
      <c r="O3391" s="14" t="s">
        <v>4823</v>
      </c>
      <c r="P3391" s="14" t="str">
        <f>HYPERLINK("https://ceds.ed.gov/cedselementdetails.aspx?termid=17767")</f>
        <v>https://ceds.ed.gov/cedselementdetails.aspx?termid=17767</v>
      </c>
      <c r="Q3391" s="14" t="str">
        <f>HYPERLINK("https://ceds.ed.gov/elementComment.aspx?elementName=Goals for Attending Adult Education &amp;elementID=17767", "Click here to submit comment")</f>
        <v>Click here to submit comment</v>
      </c>
      <c r="R3391" s="14">
        <v>48287</v>
      </c>
    </row>
    <row r="3392" spans="1:18" ht="45" x14ac:dyDescent="0.25">
      <c r="A3392" s="14" t="s">
        <v>9080</v>
      </c>
      <c r="B3392" s="14" t="s">
        <v>9084</v>
      </c>
      <c r="C3392" s="14" t="s">
        <v>9060</v>
      </c>
      <c r="D3392" s="14" t="s">
        <v>8531</v>
      </c>
      <c r="E3392" s="14" t="s">
        <v>7197</v>
      </c>
      <c r="F3392" s="14" t="s">
        <v>7198</v>
      </c>
      <c r="G3392" s="14" t="s">
        <v>37</v>
      </c>
      <c r="H3392" s="14"/>
      <c r="I3392" s="14"/>
      <c r="J3392" s="14" t="s">
        <v>4383</v>
      </c>
      <c r="K3392" s="14"/>
      <c r="L3392" s="14"/>
      <c r="M3392" s="14" t="s">
        <v>7199</v>
      </c>
      <c r="N3392" s="14"/>
      <c r="O3392" s="14" t="s">
        <v>7200</v>
      </c>
      <c r="P3392" s="14" t="str">
        <f>HYPERLINK("https://ceds.ed.gov/cedselementdetails.aspx?termid=17776")</f>
        <v>https://ceds.ed.gov/cedselementdetails.aspx?termid=17776</v>
      </c>
      <c r="Q3392" s="14" t="str">
        <f>HYPERLINK("https://ceds.ed.gov/elementComment.aspx?elementName=Proxy Contact Hours &amp;elementID=17776", "Click here to submit comment")</f>
        <v>Click here to submit comment</v>
      </c>
      <c r="R3392" s="14">
        <v>48294</v>
      </c>
    </row>
    <row r="3393" spans="1:18" ht="360" x14ac:dyDescent="0.25">
      <c r="A3393" s="14" t="s">
        <v>9080</v>
      </c>
      <c r="B3393" s="14" t="s">
        <v>9084</v>
      </c>
      <c r="C3393" s="14" t="s">
        <v>9060</v>
      </c>
      <c r="D3393" s="14" t="s">
        <v>8531</v>
      </c>
      <c r="E3393" s="14" t="s">
        <v>2182</v>
      </c>
      <c r="F3393" s="14" t="s">
        <v>2183</v>
      </c>
      <c r="G3393" s="8" t="s">
        <v>8942</v>
      </c>
      <c r="H3393" s="14"/>
      <c r="I3393" s="14"/>
      <c r="J3393" s="14"/>
      <c r="K3393" s="14"/>
      <c r="L3393" s="14" t="s">
        <v>2186</v>
      </c>
      <c r="M3393" s="14" t="s">
        <v>2187</v>
      </c>
      <c r="N3393" s="14"/>
      <c r="O3393" s="14" t="s">
        <v>2188</v>
      </c>
      <c r="P3393" s="14" t="str">
        <f>HYPERLINK("https://ceds.ed.gov/cedselementdetails.aspx?termid=18254")</f>
        <v>https://ceds.ed.gov/cedselementdetails.aspx?termid=18254</v>
      </c>
      <c r="Q3393" s="14" t="str">
        <f>HYPERLINK("https://ceds.ed.gov/elementComment.aspx?elementName=Career Cluster &amp;elementID=18254", "Click here to submit comment")</f>
        <v>Click here to submit comment</v>
      </c>
      <c r="R3393" s="14">
        <v>50077</v>
      </c>
    </row>
    <row r="3394" spans="1:18" ht="75" x14ac:dyDescent="0.25">
      <c r="A3394" s="14" t="s">
        <v>9080</v>
      </c>
      <c r="B3394" s="14" t="s">
        <v>9084</v>
      </c>
      <c r="C3394" s="14" t="s">
        <v>9060</v>
      </c>
      <c r="D3394" s="14" t="s">
        <v>8531</v>
      </c>
      <c r="E3394" s="14" t="s">
        <v>2205</v>
      </c>
      <c r="F3394" s="14" t="s">
        <v>2206</v>
      </c>
      <c r="G3394" s="14" t="s">
        <v>24</v>
      </c>
      <c r="H3394" s="14"/>
      <c r="I3394" s="14"/>
      <c r="J3394" s="14"/>
      <c r="K3394" s="14"/>
      <c r="L3394" s="14"/>
      <c r="M3394" s="14" t="s">
        <v>2207</v>
      </c>
      <c r="N3394" s="14"/>
      <c r="O3394" s="14" t="s">
        <v>2208</v>
      </c>
      <c r="P3394" s="14" t="str">
        <f>HYPERLINK("https://ceds.ed.gov/cedselementdetails.aspx?termid=18257")</f>
        <v>https://ceds.ed.gov/cedselementdetails.aspx?termid=18257</v>
      </c>
      <c r="Q3394" s="14" t="str">
        <f>HYPERLINK("https://ceds.ed.gov/elementComment.aspx?elementName=Career Pathways Program Participation Indicator &amp;elementID=18257", "Click here to submit comment")</f>
        <v>Click here to submit comment</v>
      </c>
      <c r="R3394" s="14">
        <v>50085</v>
      </c>
    </row>
    <row r="3395" spans="1:18" ht="45" x14ac:dyDescent="0.25">
      <c r="A3395" s="14" t="s">
        <v>9080</v>
      </c>
      <c r="B3395" s="14" t="s">
        <v>9084</v>
      </c>
      <c r="C3395" s="14" t="s">
        <v>9060</v>
      </c>
      <c r="D3395" s="14" t="s">
        <v>8531</v>
      </c>
      <c r="E3395" s="14" t="s">
        <v>2209</v>
      </c>
      <c r="F3395" s="14" t="s">
        <v>2210</v>
      </c>
      <c r="G3395" s="14" t="s">
        <v>37</v>
      </c>
      <c r="H3395" s="14"/>
      <c r="I3395" s="14"/>
      <c r="J3395" s="14" t="s">
        <v>135</v>
      </c>
      <c r="K3395" s="14"/>
      <c r="L3395" s="14"/>
      <c r="M3395" s="14" t="s">
        <v>2211</v>
      </c>
      <c r="N3395" s="14"/>
      <c r="O3395" s="14" t="s">
        <v>2212</v>
      </c>
      <c r="P3395" s="14" t="str">
        <f>HYPERLINK("https://ceds.ed.gov/cedselementdetails.aspx?termid=18563")</f>
        <v>https://ceds.ed.gov/cedselementdetails.aspx?termid=18563</v>
      </c>
      <c r="Q3395" s="14" t="str">
        <f>HYPERLINK("https://ceds.ed.gov/elementComment.aspx?elementName=Career Pathways Program Participation Start Date &amp;elementID=18563", "Click here to submit comment")</f>
        <v>Click here to submit comment</v>
      </c>
      <c r="R3395" s="14">
        <v>51043</v>
      </c>
    </row>
    <row r="3396" spans="1:18" ht="75" x14ac:dyDescent="0.25">
      <c r="A3396" s="14" t="s">
        <v>9080</v>
      </c>
      <c r="B3396" s="14" t="s">
        <v>9084</v>
      </c>
      <c r="C3396" s="14" t="s">
        <v>9060</v>
      </c>
      <c r="D3396" s="14" t="s">
        <v>8531</v>
      </c>
      <c r="E3396" s="14" t="s">
        <v>2200</v>
      </c>
      <c r="F3396" s="14" t="s">
        <v>2201</v>
      </c>
      <c r="G3396" s="14" t="s">
        <v>37</v>
      </c>
      <c r="H3396" s="14"/>
      <c r="I3396" s="14"/>
      <c r="J3396" s="14" t="s">
        <v>135</v>
      </c>
      <c r="K3396" s="14"/>
      <c r="L3396" s="14" t="s">
        <v>160</v>
      </c>
      <c r="M3396" s="14" t="s">
        <v>2203</v>
      </c>
      <c r="N3396" s="14"/>
      <c r="O3396" s="14" t="s">
        <v>2204</v>
      </c>
      <c r="P3396" s="14" t="str">
        <f>HYPERLINK("https://ceds.ed.gov/cedselementdetails.aspx?termid=18562")</f>
        <v>https://ceds.ed.gov/cedselementdetails.aspx?termid=18562</v>
      </c>
      <c r="Q3396" s="14" t="str">
        <f>HYPERLINK("https://ceds.ed.gov/elementComment.aspx?elementName=Career Pathways Program Participation Exit Date &amp;elementID=18562", "Click here to submit comment")</f>
        <v>Click here to submit comment</v>
      </c>
      <c r="R3396" s="14">
        <v>51038</v>
      </c>
    </row>
    <row r="3397" spans="1:18" ht="75" x14ac:dyDescent="0.25">
      <c r="A3397" s="14" t="s">
        <v>9080</v>
      </c>
      <c r="B3397" s="14" t="s">
        <v>9084</v>
      </c>
      <c r="C3397" s="14" t="s">
        <v>9060</v>
      </c>
      <c r="D3397" s="14" t="s">
        <v>8531</v>
      </c>
      <c r="E3397" s="14" t="s">
        <v>2829</v>
      </c>
      <c r="F3397" s="14" t="s">
        <v>2830</v>
      </c>
      <c r="G3397" s="14" t="s">
        <v>24</v>
      </c>
      <c r="H3397" s="14"/>
      <c r="I3397" s="14"/>
      <c r="J3397" s="14"/>
      <c r="K3397" s="14"/>
      <c r="L3397" s="14"/>
      <c r="M3397" s="14" t="s">
        <v>2831</v>
      </c>
      <c r="N3397" s="14"/>
      <c r="O3397" s="14" t="s">
        <v>2832</v>
      </c>
      <c r="P3397" s="14" t="str">
        <f>HYPERLINK("https://ceds.ed.gov/cedselementdetails.aspx?termid=18263")</f>
        <v>https://ceds.ed.gov/cedselementdetails.aspx?termid=18263</v>
      </c>
      <c r="Q3397" s="14" t="str">
        <f>HYPERLINK("https://ceds.ed.gov/elementComment.aspx?elementName=Correctional Education Reentry Services Participation Indicator &amp;elementID=18263", "Click here to submit comment")</f>
        <v>Click here to submit comment</v>
      </c>
      <c r="R3397" s="14">
        <v>50092</v>
      </c>
    </row>
    <row r="3398" spans="1:18" ht="120" x14ac:dyDescent="0.25">
      <c r="A3398" s="14" t="s">
        <v>9080</v>
      </c>
      <c r="B3398" s="14" t="s">
        <v>9084</v>
      </c>
      <c r="C3398" s="14" t="s">
        <v>9060</v>
      </c>
      <c r="D3398" s="14" t="s">
        <v>8531</v>
      </c>
      <c r="E3398" s="14" t="s">
        <v>2824</v>
      </c>
      <c r="F3398" s="14" t="s">
        <v>2825</v>
      </c>
      <c r="G3398" s="8" t="s">
        <v>9089</v>
      </c>
      <c r="H3398" s="14"/>
      <c r="I3398" s="14"/>
      <c r="J3398" s="14"/>
      <c r="K3398" s="14"/>
      <c r="L3398" s="14"/>
      <c r="M3398" s="14" t="s">
        <v>2827</v>
      </c>
      <c r="N3398" s="14"/>
      <c r="O3398" s="14" t="s">
        <v>2828</v>
      </c>
      <c r="P3398" s="14" t="str">
        <f>HYPERLINK("https://ceds.ed.gov/cedselementdetails.aspx?termid=18262")</f>
        <v>https://ceds.ed.gov/cedselementdetails.aspx?termid=18262</v>
      </c>
      <c r="Q3398" s="14" t="str">
        <f>HYPERLINK("https://ceds.ed.gov/elementComment.aspx?elementName=Correctional Education Facility Type &amp;elementID=18262", "Click here to submit comment")</f>
        <v>Click here to submit comment</v>
      </c>
      <c r="R3398" s="14">
        <v>50091</v>
      </c>
    </row>
    <row r="3399" spans="1:18" ht="345" x14ac:dyDescent="0.25">
      <c r="A3399" s="14" t="s">
        <v>9080</v>
      </c>
      <c r="B3399" s="14" t="s">
        <v>9084</v>
      </c>
      <c r="C3399" s="14" t="s">
        <v>9060</v>
      </c>
      <c r="D3399" s="14" t="s">
        <v>8531</v>
      </c>
      <c r="E3399" s="14" t="s">
        <v>4107</v>
      </c>
      <c r="F3399" s="14" t="s">
        <v>4108</v>
      </c>
      <c r="G3399" s="8" t="s">
        <v>8819</v>
      </c>
      <c r="H3399" s="14" t="s">
        <v>2157</v>
      </c>
      <c r="I3399" s="14" t="s">
        <v>195</v>
      </c>
      <c r="J3399" s="14"/>
      <c r="K3399" s="14" t="s">
        <v>2266</v>
      </c>
      <c r="L3399" s="14"/>
      <c r="M3399" s="14" t="s">
        <v>4111</v>
      </c>
      <c r="N3399" s="14"/>
      <c r="O3399" s="14" t="s">
        <v>4112</v>
      </c>
      <c r="P3399" s="14" t="str">
        <f>HYPERLINK("https://ceds.ed.gov/cedselementdetails.aspx?termid=17100")</f>
        <v>https://ceds.ed.gov/cedselementdetails.aspx?termid=17100</v>
      </c>
      <c r="Q3399" s="14" t="str">
        <f>HYPERLINK("https://ceds.ed.gov/elementComment.aspx?elementName=Entry Grade Level &amp;elementID=17100", "Click here to submit comment")</f>
        <v>Click here to submit comment</v>
      </c>
      <c r="R3399" s="14">
        <v>50157</v>
      </c>
    </row>
    <row r="3400" spans="1:18" ht="330" x14ac:dyDescent="0.25">
      <c r="A3400" s="14" t="s">
        <v>9080</v>
      </c>
      <c r="B3400" s="14" t="s">
        <v>9084</v>
      </c>
      <c r="C3400" s="14" t="s">
        <v>9060</v>
      </c>
      <c r="D3400" s="14" t="s">
        <v>8531</v>
      </c>
      <c r="E3400" s="14" t="s">
        <v>4118</v>
      </c>
      <c r="F3400" s="14" t="s">
        <v>4119</v>
      </c>
      <c r="G3400" s="8" t="s">
        <v>8821</v>
      </c>
      <c r="H3400" s="14"/>
      <c r="I3400" s="14"/>
      <c r="J3400" s="14"/>
      <c r="K3400" s="14"/>
      <c r="L3400" s="14"/>
      <c r="M3400" s="14" t="s">
        <v>4121</v>
      </c>
      <c r="N3400" s="14"/>
      <c r="O3400" s="14" t="s">
        <v>4122</v>
      </c>
      <c r="P3400" s="14" t="str">
        <f>HYPERLINK("https://ceds.ed.gov/cedselementdetails.aspx?termid=18177")</f>
        <v>https://ceds.ed.gov/cedselementdetails.aspx?termid=18177</v>
      </c>
      <c r="Q3400" s="14" t="str">
        <f>HYPERLINK("https://ceds.ed.gov/elementComment.aspx?elementName=Exit Grade Level &amp;elementID=18177", "Click here to submit comment")</f>
        <v>Click here to submit comment</v>
      </c>
      <c r="R3400" s="14">
        <v>50158</v>
      </c>
    </row>
    <row r="3401" spans="1:18" ht="45" x14ac:dyDescent="0.25">
      <c r="A3401" s="14" t="s">
        <v>9080</v>
      </c>
      <c r="B3401" s="14" t="s">
        <v>9084</v>
      </c>
      <c r="C3401" s="14" t="s">
        <v>9060</v>
      </c>
      <c r="D3401" s="14" t="s">
        <v>8531</v>
      </c>
      <c r="E3401" s="14" t="s">
        <v>5509</v>
      </c>
      <c r="F3401" s="14" t="s">
        <v>5510</v>
      </c>
      <c r="G3401" s="14" t="s">
        <v>37</v>
      </c>
      <c r="H3401" s="14" t="s">
        <v>5514</v>
      </c>
      <c r="I3401" s="14"/>
      <c r="J3401" s="14" t="s">
        <v>1710</v>
      </c>
      <c r="K3401" s="14"/>
      <c r="L3401" s="14"/>
      <c r="M3401" s="14" t="s">
        <v>5512</v>
      </c>
      <c r="N3401" s="14"/>
      <c r="O3401" s="14" t="s">
        <v>5513</v>
      </c>
      <c r="P3401" s="14" t="str">
        <f>HYPERLINK("https://ceds.ed.gov/cedselementdetails.aspx?termid=17361")</f>
        <v>https://ceds.ed.gov/cedselementdetails.aspx?termid=17361</v>
      </c>
      <c r="Q3401" s="14" t="str">
        <f>HYPERLINK("https://ceds.ed.gov/elementComment.aspx?elementName=Instructional Activity Hours Completed &amp;elementID=17361", "Click here to submit comment")</f>
        <v>Click here to submit comment</v>
      </c>
      <c r="R3401" s="14">
        <v>50230</v>
      </c>
    </row>
    <row r="3402" spans="1:18" ht="45" x14ac:dyDescent="0.25">
      <c r="A3402" s="14" t="s">
        <v>9080</v>
      </c>
      <c r="B3402" s="14" t="s">
        <v>9084</v>
      </c>
      <c r="C3402" s="14" t="s">
        <v>9060</v>
      </c>
      <c r="D3402" s="14" t="s">
        <v>8541</v>
      </c>
      <c r="E3402" s="14" t="s">
        <v>7077</v>
      </c>
      <c r="F3402" s="14" t="s">
        <v>7078</v>
      </c>
      <c r="G3402" s="14" t="s">
        <v>37</v>
      </c>
      <c r="H3402" s="14"/>
      <c r="I3402" s="14" t="s">
        <v>188</v>
      </c>
      <c r="J3402" s="14" t="s">
        <v>129</v>
      </c>
      <c r="K3402" s="14" t="s">
        <v>1721</v>
      </c>
      <c r="L3402" s="14"/>
      <c r="M3402" s="14" t="s">
        <v>7080</v>
      </c>
      <c r="N3402" s="14"/>
      <c r="O3402" s="14" t="s">
        <v>7081</v>
      </c>
      <c r="P3402" s="14" t="str">
        <f>HYPERLINK("https://ceds.ed.gov/cedselementdetails.aspx?termid=18909")</f>
        <v>https://ceds.ed.gov/cedselementdetails.aspx?termid=18909</v>
      </c>
      <c r="Q3402" s="14" t="str">
        <f>HYPERLINK("https://ceds.ed.gov/elementComment.aspx?elementName=Program Entry Reason &amp;elementID=18909", "Click here to submit comment")</f>
        <v>Click here to submit comment</v>
      </c>
      <c r="R3402" s="14">
        <v>52227</v>
      </c>
    </row>
    <row r="3403" spans="1:18" ht="90" x14ac:dyDescent="0.25">
      <c r="A3403" s="14" t="s">
        <v>9080</v>
      </c>
      <c r="B3403" s="14" t="s">
        <v>9084</v>
      </c>
      <c r="C3403" s="14" t="s">
        <v>8632</v>
      </c>
      <c r="D3403" s="14" t="s">
        <v>8541</v>
      </c>
      <c r="E3403" s="14" t="s">
        <v>5662</v>
      </c>
      <c r="F3403" s="14" t="s">
        <v>5663</v>
      </c>
      <c r="G3403" s="14" t="s">
        <v>8527</v>
      </c>
      <c r="H3403" s="14" t="s">
        <v>5668</v>
      </c>
      <c r="I3403" s="14" t="s">
        <v>195</v>
      </c>
      <c r="J3403" s="14"/>
      <c r="K3403" s="14" t="s">
        <v>5665</v>
      </c>
      <c r="L3403" s="6" t="s">
        <v>1087</v>
      </c>
      <c r="M3403" s="14" t="s">
        <v>5666</v>
      </c>
      <c r="N3403" s="14"/>
      <c r="O3403" s="14" t="s">
        <v>5667</v>
      </c>
      <c r="P3403" s="14" t="str">
        <f>HYPERLINK("https://ceds.ed.gov/cedselementdetails.aspx?termid=17317")</f>
        <v>https://ceds.ed.gov/cedselementdetails.aspx?termid=17317</v>
      </c>
      <c r="Q3403" s="14" t="str">
        <f>HYPERLINK("https://ceds.ed.gov/elementComment.aspx?elementName=ISO 639-2 Language Code &amp;elementID=17317", "Click here to submit comment")</f>
        <v>Click here to submit comment</v>
      </c>
      <c r="R3403" s="14">
        <v>52223</v>
      </c>
    </row>
    <row r="3404" spans="1:18" ht="105" x14ac:dyDescent="0.25">
      <c r="A3404" s="14" t="s">
        <v>9080</v>
      </c>
      <c r="B3404" s="14" t="s">
        <v>9084</v>
      </c>
      <c r="C3404" s="14" t="s">
        <v>8632</v>
      </c>
      <c r="D3404" s="14" t="s">
        <v>8541</v>
      </c>
      <c r="E3404" s="14" t="s">
        <v>5669</v>
      </c>
      <c r="F3404" s="14" t="s">
        <v>5663</v>
      </c>
      <c r="G3404" s="14" t="s">
        <v>8527</v>
      </c>
      <c r="H3404" s="14"/>
      <c r="I3404" s="14" t="s">
        <v>195</v>
      </c>
      <c r="J3404" s="14"/>
      <c r="K3404" s="14" t="s">
        <v>5670</v>
      </c>
      <c r="L3404" s="6" t="s">
        <v>5671</v>
      </c>
      <c r="M3404" s="14" t="s">
        <v>5672</v>
      </c>
      <c r="N3404" s="14"/>
      <c r="O3404" s="14" t="s">
        <v>5673</v>
      </c>
      <c r="P3404" s="14" t="str">
        <f>HYPERLINK("https://ceds.ed.gov/cedselementdetails.aspx?termid=18618")</f>
        <v>https://ceds.ed.gov/cedselementdetails.aspx?termid=18618</v>
      </c>
      <c r="Q3404" s="14" t="str">
        <f>HYPERLINK("https://ceds.ed.gov/elementComment.aspx?elementName=ISO 639-3 Language Code &amp;elementID=18618", "Click here to submit comment")</f>
        <v>Click here to submit comment</v>
      </c>
      <c r="R3404" s="14">
        <v>52224</v>
      </c>
    </row>
    <row r="3405" spans="1:18" ht="409.5" x14ac:dyDescent="0.25">
      <c r="A3405" s="14" t="s">
        <v>9080</v>
      </c>
      <c r="B3405" s="14" t="s">
        <v>9084</v>
      </c>
      <c r="C3405" s="14" t="s">
        <v>8632</v>
      </c>
      <c r="D3405" s="14" t="s">
        <v>8541</v>
      </c>
      <c r="E3405" s="14" t="s">
        <v>5674</v>
      </c>
      <c r="F3405" s="14" t="s">
        <v>5675</v>
      </c>
      <c r="G3405" s="8" t="s">
        <v>8634</v>
      </c>
      <c r="H3405" s="14"/>
      <c r="I3405" s="14" t="s">
        <v>195</v>
      </c>
      <c r="J3405" s="14"/>
      <c r="K3405" s="14" t="s">
        <v>2856</v>
      </c>
      <c r="L3405" s="6" t="s">
        <v>5677</v>
      </c>
      <c r="M3405" s="14" t="s">
        <v>5678</v>
      </c>
      <c r="N3405" s="14"/>
      <c r="O3405" s="14" t="s">
        <v>5679</v>
      </c>
      <c r="P3405" s="14" t="str">
        <f>HYPERLINK("https://ceds.ed.gov/cedselementdetails.aspx?termid=18619")</f>
        <v>https://ceds.ed.gov/cedselementdetails.aspx?termid=18619</v>
      </c>
      <c r="Q3405" s="14" t="str">
        <f>HYPERLINK("https://ceds.ed.gov/elementComment.aspx?elementName=ISO 639-5 Language Family &amp;elementID=18619", "Click here to submit comment")</f>
        <v>Click here to submit comment</v>
      </c>
      <c r="R3405" s="14">
        <v>52225</v>
      </c>
    </row>
    <row r="3406" spans="1:18" ht="135" x14ac:dyDescent="0.25">
      <c r="A3406" s="14" t="s">
        <v>9080</v>
      </c>
      <c r="B3406" s="14" t="s">
        <v>9084</v>
      </c>
      <c r="C3406" s="14" t="s">
        <v>8632</v>
      </c>
      <c r="D3406" s="14" t="s">
        <v>8541</v>
      </c>
      <c r="E3406" s="14" t="s">
        <v>5717</v>
      </c>
      <c r="F3406" s="14" t="s">
        <v>5718</v>
      </c>
      <c r="G3406" s="8" t="s">
        <v>8633</v>
      </c>
      <c r="H3406" s="14" t="s">
        <v>5668</v>
      </c>
      <c r="I3406" s="14" t="s">
        <v>195</v>
      </c>
      <c r="J3406" s="14"/>
      <c r="K3406" s="14" t="s">
        <v>2856</v>
      </c>
      <c r="L3406" s="14"/>
      <c r="M3406" s="14" t="s">
        <v>5721</v>
      </c>
      <c r="N3406" s="14"/>
      <c r="O3406" s="14" t="s">
        <v>5722</v>
      </c>
      <c r="P3406" s="14" t="str">
        <f>HYPERLINK("https://ceds.ed.gov/cedselementdetails.aspx?termid=17316")</f>
        <v>https://ceds.ed.gov/cedselementdetails.aspx?termid=17316</v>
      </c>
      <c r="Q3406" s="14" t="str">
        <f>HYPERLINK("https://ceds.ed.gov/elementComment.aspx?elementName=Language Type &amp;elementID=17316", "Click here to submit comment")</f>
        <v>Click here to submit comment</v>
      </c>
      <c r="R3406" s="14">
        <v>52226</v>
      </c>
    </row>
    <row r="3407" spans="1:18" ht="409.5" x14ac:dyDescent="0.25">
      <c r="A3407" s="14" t="s">
        <v>9080</v>
      </c>
      <c r="B3407" s="14" t="s">
        <v>9084</v>
      </c>
      <c r="C3407" s="14" t="s">
        <v>8673</v>
      </c>
      <c r="D3407" s="14" t="s">
        <v>8541</v>
      </c>
      <c r="E3407" s="14" t="s">
        <v>6727</v>
      </c>
      <c r="F3407" s="14" t="s">
        <v>6728</v>
      </c>
      <c r="G3407" s="8" t="s">
        <v>8674</v>
      </c>
      <c r="H3407" s="14" t="s">
        <v>1751</v>
      </c>
      <c r="I3407" s="14" t="s">
        <v>195</v>
      </c>
      <c r="J3407" s="14"/>
      <c r="K3407" s="14" t="s">
        <v>6731</v>
      </c>
      <c r="L3407" s="14" t="s">
        <v>6732</v>
      </c>
      <c r="M3407" s="14" t="s">
        <v>6733</v>
      </c>
      <c r="N3407" s="14"/>
      <c r="O3407" s="14" t="s">
        <v>6734</v>
      </c>
      <c r="P3407" s="14" t="str">
        <f>HYPERLINK("https://ceds.ed.gov/cedselementdetails.aspx?termid=17415")</f>
        <v>https://ceds.ed.gov/cedselementdetails.aspx?termid=17415</v>
      </c>
      <c r="Q3407" s="14" t="str">
        <f>HYPERLINK("https://ceds.ed.gov/elementComment.aspx?elementName=Person Relationship Type &amp;elementID=17415", "Click here to submit comment")</f>
        <v>Click here to submit comment</v>
      </c>
      <c r="R3407" s="14">
        <v>52228</v>
      </c>
    </row>
    <row r="3408" spans="1:18" ht="195" x14ac:dyDescent="0.25">
      <c r="A3408" s="14" t="s">
        <v>9080</v>
      </c>
      <c r="B3408" s="14" t="s">
        <v>9090</v>
      </c>
      <c r="C3408" s="14" t="s">
        <v>8597</v>
      </c>
      <c r="D3408" s="14" t="s">
        <v>8531</v>
      </c>
      <c r="E3408" s="14" t="s">
        <v>4667</v>
      </c>
      <c r="F3408" s="14" t="s">
        <v>4668</v>
      </c>
      <c r="G3408" s="14" t="s">
        <v>37</v>
      </c>
      <c r="H3408" s="14" t="s">
        <v>4673</v>
      </c>
      <c r="I3408" s="14"/>
      <c r="J3408" s="14" t="s">
        <v>1468</v>
      </c>
      <c r="K3408" s="14"/>
      <c r="L3408" s="14" t="s">
        <v>4670</v>
      </c>
      <c r="M3408" s="14" t="s">
        <v>4671</v>
      </c>
      <c r="N3408" s="14"/>
      <c r="O3408" s="14" t="s">
        <v>4672</v>
      </c>
      <c r="P3408" s="14" t="str">
        <f>HYPERLINK("https://ceds.ed.gov/cedselementdetails.aspx?termid=17115")</f>
        <v>https://ceds.ed.gov/cedselementdetails.aspx?termid=17115</v>
      </c>
      <c r="Q3408" s="14" t="str">
        <f>HYPERLINK("https://ceds.ed.gov/elementComment.aspx?elementName=First Name &amp;elementID=17115", "Click here to submit comment")</f>
        <v>Click here to submit comment</v>
      </c>
      <c r="R3408" s="14">
        <v>48299</v>
      </c>
    </row>
    <row r="3409" spans="1:18" x14ac:dyDescent="0.25">
      <c r="A3409" s="16" t="s">
        <v>9080</v>
      </c>
      <c r="B3409" s="16" t="s">
        <v>9090</v>
      </c>
      <c r="C3409" s="16" t="s">
        <v>8597</v>
      </c>
      <c r="D3409" s="16" t="s">
        <v>8531</v>
      </c>
      <c r="E3409" s="16" t="s">
        <v>6223</v>
      </c>
      <c r="F3409" s="16" t="s">
        <v>6224</v>
      </c>
      <c r="G3409" s="16" t="s">
        <v>37</v>
      </c>
      <c r="H3409" s="16" t="s">
        <v>4673</v>
      </c>
      <c r="I3409" s="16"/>
      <c r="J3409" s="16" t="s">
        <v>1468</v>
      </c>
      <c r="K3409" s="16"/>
      <c r="L3409" s="14" t="s">
        <v>4746</v>
      </c>
      <c r="M3409" s="16" t="s">
        <v>6226</v>
      </c>
      <c r="N3409" s="16"/>
      <c r="O3409" s="16" t="s">
        <v>6227</v>
      </c>
      <c r="P3409" s="16" t="str">
        <f>HYPERLINK("https://ceds.ed.gov/cedselementdetails.aspx?termid=17184")</f>
        <v>https://ceds.ed.gov/cedselementdetails.aspx?termid=17184</v>
      </c>
      <c r="Q3409" s="16" t="str">
        <f>HYPERLINK("https://ceds.ed.gov/elementComment.aspx?elementName=Middle Name &amp;elementID=17184", "Click here to submit comment")</f>
        <v>Click here to submit comment</v>
      </c>
      <c r="R3409" s="16">
        <v>48301</v>
      </c>
    </row>
    <row r="3410" spans="1:18" ht="90" x14ac:dyDescent="0.25">
      <c r="A3410" s="16"/>
      <c r="B3410" s="16"/>
      <c r="C3410" s="16"/>
      <c r="D3410" s="16"/>
      <c r="E3410" s="16"/>
      <c r="F3410" s="16"/>
      <c r="G3410" s="16"/>
      <c r="H3410" s="16"/>
      <c r="I3410" s="16"/>
      <c r="J3410" s="16"/>
      <c r="K3410" s="16"/>
      <c r="L3410" s="14" t="s">
        <v>4750</v>
      </c>
      <c r="M3410" s="16"/>
      <c r="N3410" s="16"/>
      <c r="O3410" s="16"/>
      <c r="P3410" s="16"/>
      <c r="Q3410" s="16"/>
      <c r="R3410" s="16"/>
    </row>
    <row r="3411" spans="1:18" x14ac:dyDescent="0.25">
      <c r="A3411" s="16" t="s">
        <v>9080</v>
      </c>
      <c r="B3411" s="16" t="s">
        <v>9090</v>
      </c>
      <c r="C3411" s="16" t="s">
        <v>8597</v>
      </c>
      <c r="D3411" s="16" t="s">
        <v>8531</v>
      </c>
      <c r="E3411" s="16" t="s">
        <v>5727</v>
      </c>
      <c r="F3411" s="16" t="s">
        <v>5728</v>
      </c>
      <c r="G3411" s="16" t="s">
        <v>37</v>
      </c>
      <c r="H3411" s="16" t="s">
        <v>4673</v>
      </c>
      <c r="I3411" s="16"/>
      <c r="J3411" s="16" t="s">
        <v>1468</v>
      </c>
      <c r="K3411" s="16"/>
      <c r="L3411" s="14" t="s">
        <v>4746</v>
      </c>
      <c r="M3411" s="16" t="s">
        <v>5729</v>
      </c>
      <c r="N3411" s="16" t="s">
        <v>5730</v>
      </c>
      <c r="O3411" s="16" t="s">
        <v>5731</v>
      </c>
      <c r="P3411" s="16" t="str">
        <f>HYPERLINK("https://ceds.ed.gov/cedselementdetails.aspx?termid=17172")</f>
        <v>https://ceds.ed.gov/cedselementdetails.aspx?termid=17172</v>
      </c>
      <c r="Q3411" s="16" t="str">
        <f>HYPERLINK("https://ceds.ed.gov/elementComment.aspx?elementName=Last or Surname &amp;elementID=17172", "Click here to submit comment")</f>
        <v>Click here to submit comment</v>
      </c>
      <c r="R3411" s="16">
        <v>48303</v>
      </c>
    </row>
    <row r="3412" spans="1:18" ht="90" x14ac:dyDescent="0.25">
      <c r="A3412" s="16"/>
      <c r="B3412" s="16"/>
      <c r="C3412" s="16"/>
      <c r="D3412" s="16"/>
      <c r="E3412" s="16"/>
      <c r="F3412" s="16"/>
      <c r="G3412" s="16"/>
      <c r="H3412" s="16"/>
      <c r="I3412" s="16"/>
      <c r="J3412" s="16"/>
      <c r="K3412" s="16"/>
      <c r="L3412" s="14" t="s">
        <v>4750</v>
      </c>
      <c r="M3412" s="16"/>
      <c r="N3412" s="16"/>
      <c r="O3412" s="16"/>
      <c r="P3412" s="16"/>
      <c r="Q3412" s="16"/>
      <c r="R3412" s="16"/>
    </row>
    <row r="3413" spans="1:18" x14ac:dyDescent="0.25">
      <c r="A3413" s="16" t="s">
        <v>9080</v>
      </c>
      <c r="B3413" s="16" t="s">
        <v>9090</v>
      </c>
      <c r="C3413" s="16" t="s">
        <v>8597</v>
      </c>
      <c r="D3413" s="16" t="s">
        <v>8531</v>
      </c>
      <c r="E3413" s="16" t="s">
        <v>4743</v>
      </c>
      <c r="F3413" s="16" t="s">
        <v>4744</v>
      </c>
      <c r="G3413" s="16" t="s">
        <v>37</v>
      </c>
      <c r="H3413" s="16" t="s">
        <v>4749</v>
      </c>
      <c r="I3413" s="16"/>
      <c r="J3413" s="16" t="s">
        <v>3096</v>
      </c>
      <c r="K3413" s="16"/>
      <c r="L3413" s="14" t="s">
        <v>4746</v>
      </c>
      <c r="M3413" s="16" t="s">
        <v>4747</v>
      </c>
      <c r="N3413" s="16"/>
      <c r="O3413" s="16" t="s">
        <v>4748</v>
      </c>
      <c r="P3413" s="16" t="str">
        <f>HYPERLINK("https://ceds.ed.gov/cedselementdetails.aspx?termid=17121")</f>
        <v>https://ceds.ed.gov/cedselementdetails.aspx?termid=17121</v>
      </c>
      <c r="Q3413" s="16" t="str">
        <f>HYPERLINK("https://ceds.ed.gov/elementComment.aspx?elementName=Generation Code or Suffix &amp;elementID=17121", "Click here to submit comment")</f>
        <v>Click here to submit comment</v>
      </c>
      <c r="R3413" s="16">
        <v>49039</v>
      </c>
    </row>
    <row r="3414" spans="1:18" ht="90" x14ac:dyDescent="0.25">
      <c r="A3414" s="16"/>
      <c r="B3414" s="16"/>
      <c r="C3414" s="16"/>
      <c r="D3414" s="16"/>
      <c r="E3414" s="16"/>
      <c r="F3414" s="16"/>
      <c r="G3414" s="16"/>
      <c r="H3414" s="16"/>
      <c r="I3414" s="16"/>
      <c r="J3414" s="16"/>
      <c r="K3414" s="16"/>
      <c r="L3414" s="14" t="s">
        <v>4750</v>
      </c>
      <c r="M3414" s="16"/>
      <c r="N3414" s="16"/>
      <c r="O3414" s="16"/>
      <c r="P3414" s="16"/>
      <c r="Q3414" s="16"/>
      <c r="R3414" s="16"/>
    </row>
    <row r="3415" spans="1:18" ht="105" x14ac:dyDescent="0.25">
      <c r="A3415" s="14" t="s">
        <v>9080</v>
      </c>
      <c r="B3415" s="14" t="s">
        <v>9090</v>
      </c>
      <c r="C3415" s="14" t="s">
        <v>8597</v>
      </c>
      <c r="D3415" s="14" t="s">
        <v>8531</v>
      </c>
      <c r="E3415" s="14" t="s">
        <v>6741</v>
      </c>
      <c r="F3415" s="14" t="s">
        <v>6742</v>
      </c>
      <c r="G3415" s="14" t="s">
        <v>37</v>
      </c>
      <c r="H3415" s="14" t="s">
        <v>6747</v>
      </c>
      <c r="I3415" s="14"/>
      <c r="J3415" s="14" t="s">
        <v>97</v>
      </c>
      <c r="K3415" s="14"/>
      <c r="L3415" s="14"/>
      <c r="M3415" s="14" t="s">
        <v>6744</v>
      </c>
      <c r="N3415" s="14" t="s">
        <v>6745</v>
      </c>
      <c r="O3415" s="14" t="s">
        <v>6746</v>
      </c>
      <c r="P3415" s="14" t="str">
        <f>HYPERLINK("https://ceds.ed.gov/cedselementdetails.aspx?termid=17212")</f>
        <v>https://ceds.ed.gov/cedselementdetails.aspx?termid=17212</v>
      </c>
      <c r="Q3415" s="14" t="str">
        <f>HYPERLINK("https://ceds.ed.gov/elementComment.aspx?elementName=Personal Title or Prefix &amp;elementID=17212", "Click here to submit comment")</f>
        <v>Click here to submit comment</v>
      </c>
      <c r="R3415" s="14">
        <v>49040</v>
      </c>
    </row>
    <row r="3416" spans="1:18" ht="45" x14ac:dyDescent="0.25">
      <c r="A3416" s="14" t="s">
        <v>9080</v>
      </c>
      <c r="B3416" s="14" t="s">
        <v>9090</v>
      </c>
      <c r="C3416" s="14" t="s">
        <v>8598</v>
      </c>
      <c r="D3416" s="14" t="s">
        <v>8531</v>
      </c>
      <c r="E3416" s="14" t="s">
        <v>6586</v>
      </c>
      <c r="F3416" s="14" t="s">
        <v>6587</v>
      </c>
      <c r="G3416" s="14" t="s">
        <v>37</v>
      </c>
      <c r="H3416" s="14"/>
      <c r="I3416" s="14"/>
      <c r="J3416" s="14" t="s">
        <v>1468</v>
      </c>
      <c r="K3416" s="14"/>
      <c r="L3416" s="14" t="s">
        <v>6589</v>
      </c>
      <c r="M3416" s="14" t="s">
        <v>6590</v>
      </c>
      <c r="N3416" s="14"/>
      <c r="O3416" s="14" t="s">
        <v>6591</v>
      </c>
      <c r="P3416" s="14" t="str">
        <f>HYPERLINK("https://ceds.ed.gov/cedselementdetails.aspx?termid=18486")</f>
        <v>https://ceds.ed.gov/cedselementdetails.aspx?termid=18486</v>
      </c>
      <c r="Q3416" s="14" t="str">
        <f>HYPERLINK("https://ceds.ed.gov/elementComment.aspx?elementName=Other First Name &amp;elementID=18486", "Click here to submit comment")</f>
        <v>Click here to submit comment</v>
      </c>
      <c r="R3416" s="14">
        <v>50638</v>
      </c>
    </row>
    <row r="3417" spans="1:18" ht="45" x14ac:dyDescent="0.25">
      <c r="A3417" s="14" t="s">
        <v>9080</v>
      </c>
      <c r="B3417" s="14" t="s">
        <v>9090</v>
      </c>
      <c r="C3417" s="14" t="s">
        <v>8598</v>
      </c>
      <c r="D3417" s="14" t="s">
        <v>8531</v>
      </c>
      <c r="E3417" s="14" t="s">
        <v>6597</v>
      </c>
      <c r="F3417" s="14" t="s">
        <v>6598</v>
      </c>
      <c r="G3417" s="14" t="s">
        <v>37</v>
      </c>
      <c r="H3417" s="14"/>
      <c r="I3417" s="14"/>
      <c r="J3417" s="14" t="s">
        <v>1468</v>
      </c>
      <c r="K3417" s="14"/>
      <c r="L3417" s="14" t="s">
        <v>6599</v>
      </c>
      <c r="M3417" s="14" t="s">
        <v>6600</v>
      </c>
      <c r="N3417" s="14"/>
      <c r="O3417" s="14" t="s">
        <v>6601</v>
      </c>
      <c r="P3417" s="14" t="str">
        <f>HYPERLINK("https://ceds.ed.gov/cedselementdetails.aspx?termid=18487")</f>
        <v>https://ceds.ed.gov/cedselementdetails.aspx?termid=18487</v>
      </c>
      <c r="Q3417" s="14" t="str">
        <f>HYPERLINK("https://ceds.ed.gov/elementComment.aspx?elementName=Other Middle Name &amp;elementID=18487", "Click here to submit comment")</f>
        <v>Click here to submit comment</v>
      </c>
      <c r="R3417" s="14">
        <v>50654</v>
      </c>
    </row>
    <row r="3418" spans="1:18" ht="45" x14ac:dyDescent="0.25">
      <c r="A3418" s="14" t="s">
        <v>9080</v>
      </c>
      <c r="B3418" s="14" t="s">
        <v>9090</v>
      </c>
      <c r="C3418" s="14" t="s">
        <v>8598</v>
      </c>
      <c r="D3418" s="14" t="s">
        <v>8531</v>
      </c>
      <c r="E3418" s="14" t="s">
        <v>6592</v>
      </c>
      <c r="F3418" s="14" t="s">
        <v>6593</v>
      </c>
      <c r="G3418" s="14" t="s">
        <v>37</v>
      </c>
      <c r="H3418" s="14"/>
      <c r="I3418" s="14"/>
      <c r="J3418" s="14" t="s">
        <v>1468</v>
      </c>
      <c r="K3418" s="14"/>
      <c r="L3418" s="14" t="s">
        <v>6594</v>
      </c>
      <c r="M3418" s="14" t="s">
        <v>6595</v>
      </c>
      <c r="N3418" s="14"/>
      <c r="O3418" s="14" t="s">
        <v>6596</v>
      </c>
      <c r="P3418" s="14" t="str">
        <f>HYPERLINK("https://ceds.ed.gov/cedselementdetails.aspx?termid=18485")</f>
        <v>https://ceds.ed.gov/cedselementdetails.aspx?termid=18485</v>
      </c>
      <c r="Q3418" s="14" t="str">
        <f>HYPERLINK("https://ceds.ed.gov/elementComment.aspx?elementName=Other Last Name &amp;elementID=18485", "Click here to submit comment")</f>
        <v>Click here to submit comment</v>
      </c>
      <c r="R3418" s="14">
        <v>50622</v>
      </c>
    </row>
    <row r="3419" spans="1:18" ht="150" x14ac:dyDescent="0.25">
      <c r="A3419" s="14" t="s">
        <v>9080</v>
      </c>
      <c r="B3419" s="14" t="s">
        <v>9090</v>
      </c>
      <c r="C3419" s="14" t="s">
        <v>8598</v>
      </c>
      <c r="D3419" s="14" t="s">
        <v>8531</v>
      </c>
      <c r="E3419" s="14" t="s">
        <v>6602</v>
      </c>
      <c r="F3419" s="14" t="s">
        <v>6603</v>
      </c>
      <c r="G3419" s="14" t="s">
        <v>37</v>
      </c>
      <c r="H3419" s="14" t="s">
        <v>4749</v>
      </c>
      <c r="I3419" s="14"/>
      <c r="J3419" s="14" t="s">
        <v>149</v>
      </c>
      <c r="K3419" s="14"/>
      <c r="L3419" s="14"/>
      <c r="M3419" s="14" t="s">
        <v>6604</v>
      </c>
      <c r="N3419" s="14"/>
      <c r="O3419" s="14" t="s">
        <v>6605</v>
      </c>
      <c r="P3419" s="14" t="str">
        <f>HYPERLINK("https://ceds.ed.gov/cedselementdetails.aspx?termid=17206")</f>
        <v>https://ceds.ed.gov/cedselementdetails.aspx?termid=17206</v>
      </c>
      <c r="Q3419" s="14" t="str">
        <f>HYPERLINK("https://ceds.ed.gov/elementComment.aspx?elementName=Other Name &amp;elementID=17206", "Click here to submit comment")</f>
        <v>Click here to submit comment</v>
      </c>
      <c r="R3419" s="14">
        <v>49041</v>
      </c>
    </row>
    <row r="3420" spans="1:18" ht="165" x14ac:dyDescent="0.25">
      <c r="A3420" s="14" t="s">
        <v>9080</v>
      </c>
      <c r="B3420" s="14" t="s">
        <v>9090</v>
      </c>
      <c r="C3420" s="14" t="s">
        <v>8598</v>
      </c>
      <c r="D3420" s="14" t="s">
        <v>8531</v>
      </c>
      <c r="E3420" s="14" t="s">
        <v>6606</v>
      </c>
      <c r="F3420" s="14" t="s">
        <v>6607</v>
      </c>
      <c r="G3420" s="8" t="s">
        <v>8554</v>
      </c>
      <c r="H3420" s="14" t="s">
        <v>6612</v>
      </c>
      <c r="I3420" s="14"/>
      <c r="J3420" s="14" t="s">
        <v>97</v>
      </c>
      <c r="K3420" s="14"/>
      <c r="L3420" s="14"/>
      <c r="M3420" s="14" t="s">
        <v>6610</v>
      </c>
      <c r="N3420" s="14"/>
      <c r="O3420" s="14" t="s">
        <v>6611</v>
      </c>
      <c r="P3420" s="14" t="str">
        <f>HYPERLINK("https://ceds.ed.gov/cedselementdetails.aspx?termid=17627")</f>
        <v>https://ceds.ed.gov/cedselementdetails.aspx?termid=17627</v>
      </c>
      <c r="Q3420" s="14" t="str">
        <f>HYPERLINK("https://ceds.ed.gov/elementComment.aspx?elementName=Other Name Type &amp;elementID=17627", "Click here to submit comment")</f>
        <v>Click here to submit comment</v>
      </c>
      <c r="R3420" s="14">
        <v>49042</v>
      </c>
    </row>
    <row r="3421" spans="1:18" ht="105" x14ac:dyDescent="0.25">
      <c r="A3421" s="16" t="s">
        <v>9080</v>
      </c>
      <c r="B3421" s="16" t="s">
        <v>9090</v>
      </c>
      <c r="C3421" s="16" t="s">
        <v>8599</v>
      </c>
      <c r="D3421" s="16" t="s">
        <v>8531</v>
      </c>
      <c r="E3421" s="16" t="s">
        <v>7927</v>
      </c>
      <c r="F3421" s="16" t="s">
        <v>7928</v>
      </c>
      <c r="G3421" s="16" t="s">
        <v>37</v>
      </c>
      <c r="H3421" s="16" t="s">
        <v>7931</v>
      </c>
      <c r="I3421" s="16"/>
      <c r="J3421" s="16" t="s">
        <v>149</v>
      </c>
      <c r="K3421" s="16"/>
      <c r="L3421" s="14" t="s">
        <v>150</v>
      </c>
      <c r="M3421" s="16" t="s">
        <v>7929</v>
      </c>
      <c r="N3421" s="16"/>
      <c r="O3421" s="16" t="s">
        <v>7930</v>
      </c>
      <c r="P3421" s="16" t="str">
        <f>HYPERLINK("https://ceds.ed.gov/cedselementdetails.aspx?termid=17156")</f>
        <v>https://ceds.ed.gov/cedselementdetails.aspx?termid=17156</v>
      </c>
      <c r="Q3421" s="16" t="str">
        <f>HYPERLINK("https://ceds.ed.gov/elementComment.aspx?elementName=Staff Member Identifier &amp;elementID=17156", "Click here to submit comment")</f>
        <v>Click here to submit comment</v>
      </c>
      <c r="R3421" s="16">
        <v>48337</v>
      </c>
    </row>
    <row r="3422" spans="1:18" x14ac:dyDescent="0.25">
      <c r="A3422" s="16"/>
      <c r="B3422" s="16"/>
      <c r="C3422" s="16"/>
      <c r="D3422" s="16"/>
      <c r="E3422" s="16"/>
      <c r="F3422" s="16"/>
      <c r="G3422" s="16"/>
      <c r="H3422" s="16"/>
      <c r="I3422" s="16"/>
      <c r="J3422" s="16"/>
      <c r="K3422" s="16"/>
      <c r="L3422" s="14"/>
      <c r="M3422" s="16"/>
      <c r="N3422" s="16"/>
      <c r="O3422" s="16"/>
      <c r="P3422" s="16"/>
      <c r="Q3422" s="16"/>
      <c r="R3422" s="16"/>
    </row>
    <row r="3423" spans="1:18" ht="90" x14ac:dyDescent="0.25">
      <c r="A3423" s="16"/>
      <c r="B3423" s="16"/>
      <c r="C3423" s="16"/>
      <c r="D3423" s="16"/>
      <c r="E3423" s="16"/>
      <c r="F3423" s="16"/>
      <c r="G3423" s="16"/>
      <c r="H3423" s="16"/>
      <c r="I3423" s="16"/>
      <c r="J3423" s="16"/>
      <c r="K3423" s="16"/>
      <c r="L3423" s="14" t="s">
        <v>153</v>
      </c>
      <c r="M3423" s="16"/>
      <c r="N3423" s="16"/>
      <c r="O3423" s="16"/>
      <c r="P3423" s="16"/>
      <c r="Q3423" s="16"/>
      <c r="R3423" s="16"/>
    </row>
    <row r="3424" spans="1:18" ht="345" x14ac:dyDescent="0.25">
      <c r="A3424" s="14" t="s">
        <v>9080</v>
      </c>
      <c r="B3424" s="14" t="s">
        <v>9090</v>
      </c>
      <c r="C3424" s="14" t="s">
        <v>8599</v>
      </c>
      <c r="D3424" s="14" t="s">
        <v>8531</v>
      </c>
      <c r="E3424" s="14" t="s">
        <v>7920</v>
      </c>
      <c r="F3424" s="14" t="s">
        <v>7921</v>
      </c>
      <c r="G3424" s="8" t="s">
        <v>8687</v>
      </c>
      <c r="H3424" s="14" t="s">
        <v>7926</v>
      </c>
      <c r="I3424" s="14"/>
      <c r="J3424" s="14"/>
      <c r="K3424" s="14"/>
      <c r="L3424" s="14"/>
      <c r="M3424" s="14" t="s">
        <v>7924</v>
      </c>
      <c r="N3424" s="14"/>
      <c r="O3424" s="14" t="s">
        <v>7925</v>
      </c>
      <c r="P3424" s="14" t="str">
        <f>HYPERLINK("https://ceds.ed.gov/cedselementdetails.aspx?termid=17162")</f>
        <v>https://ceds.ed.gov/cedselementdetails.aspx?termid=17162</v>
      </c>
      <c r="Q3424" s="14" t="str">
        <f>HYPERLINK("https://ceds.ed.gov/elementComment.aspx?elementName=Staff Member Identification System &amp;elementID=17162", "Click here to submit comment")</f>
        <v>Click here to submit comment</v>
      </c>
      <c r="R3424" s="14">
        <v>48338</v>
      </c>
    </row>
    <row r="3425" spans="1:18" ht="255" x14ac:dyDescent="0.25">
      <c r="A3425" s="14" t="s">
        <v>9080</v>
      </c>
      <c r="B3425" s="14" t="s">
        <v>9090</v>
      </c>
      <c r="C3425" s="14" t="s">
        <v>8599</v>
      </c>
      <c r="D3425" s="14" t="s">
        <v>8531</v>
      </c>
      <c r="E3425" s="14" t="s">
        <v>6735</v>
      </c>
      <c r="F3425" s="14" t="s">
        <v>6736</v>
      </c>
      <c r="G3425" s="8" t="s">
        <v>8601</v>
      </c>
      <c r="H3425" s="14"/>
      <c r="I3425" s="14"/>
      <c r="J3425" s="14"/>
      <c r="K3425" s="14"/>
      <c r="L3425" s="14"/>
      <c r="M3425" s="14" t="s">
        <v>6739</v>
      </c>
      <c r="N3425" s="14"/>
      <c r="O3425" s="14" t="s">
        <v>6740</v>
      </c>
      <c r="P3425" s="14" t="str">
        <f>HYPERLINK("https://ceds.ed.gov/cedselementdetails.aspx?termid=17611")</f>
        <v>https://ceds.ed.gov/cedselementdetails.aspx?termid=17611</v>
      </c>
      <c r="Q3425" s="14" t="str">
        <f>HYPERLINK("https://ceds.ed.gov/elementComment.aspx?elementName=Personal Information Verification &amp;elementID=17611", "Click here to submit comment")</f>
        <v>Click here to submit comment</v>
      </c>
      <c r="R3425" s="14">
        <v>49222</v>
      </c>
    </row>
    <row r="3426" spans="1:18" ht="105" x14ac:dyDescent="0.25">
      <c r="A3426" s="14" t="s">
        <v>9080</v>
      </c>
      <c r="B3426" s="14" t="s">
        <v>9090</v>
      </c>
      <c r="C3426" s="14" t="s">
        <v>8547</v>
      </c>
      <c r="D3426" s="14" t="s">
        <v>8531</v>
      </c>
      <c r="E3426" s="14" t="s">
        <v>232</v>
      </c>
      <c r="F3426" s="14" t="s">
        <v>233</v>
      </c>
      <c r="G3426" s="8" t="s">
        <v>8688</v>
      </c>
      <c r="H3426" s="14" t="s">
        <v>238</v>
      </c>
      <c r="I3426" s="14"/>
      <c r="J3426" s="14" t="s">
        <v>97</v>
      </c>
      <c r="K3426" s="14"/>
      <c r="L3426" s="14"/>
      <c r="M3426" s="14" t="s">
        <v>236</v>
      </c>
      <c r="N3426" s="14"/>
      <c r="O3426" s="14" t="s">
        <v>237</v>
      </c>
      <c r="P3426" s="14" t="str">
        <f>HYPERLINK("https://ceds.ed.gov/cedselementdetails.aspx?termid=17698")</f>
        <v>https://ceds.ed.gov/cedselementdetails.aspx?termid=17698</v>
      </c>
      <c r="Q3426" s="14" t="str">
        <f>HYPERLINK("https://ceds.ed.gov/elementComment.aspx?elementName=Address Type for Staff &amp;elementID=17698", "Click here to submit comment")</f>
        <v>Click here to submit comment</v>
      </c>
      <c r="R3426" s="14">
        <v>49043</v>
      </c>
    </row>
    <row r="3427" spans="1:18" ht="225" x14ac:dyDescent="0.25">
      <c r="A3427" s="14" t="s">
        <v>9080</v>
      </c>
      <c r="B3427" s="14" t="s">
        <v>9090</v>
      </c>
      <c r="C3427" s="14" t="s">
        <v>8547</v>
      </c>
      <c r="D3427" s="14" t="s">
        <v>8531</v>
      </c>
      <c r="E3427" s="14" t="s">
        <v>214</v>
      </c>
      <c r="F3427" s="14" t="s">
        <v>215</v>
      </c>
      <c r="G3427" s="14" t="s">
        <v>37</v>
      </c>
      <c r="H3427" s="14" t="s">
        <v>199</v>
      </c>
      <c r="I3427" s="14" t="s">
        <v>195</v>
      </c>
      <c r="J3427" s="14" t="s">
        <v>216</v>
      </c>
      <c r="K3427" s="14" t="s">
        <v>196</v>
      </c>
      <c r="L3427" s="14"/>
      <c r="M3427" s="14" t="s">
        <v>217</v>
      </c>
      <c r="N3427" s="14"/>
      <c r="O3427" s="14" t="s">
        <v>218</v>
      </c>
      <c r="P3427" s="14" t="str">
        <f>HYPERLINK("https://ceds.ed.gov/cedselementdetails.aspx?termid=17269")</f>
        <v>https://ceds.ed.gov/cedselementdetails.aspx?termid=17269</v>
      </c>
      <c r="Q3427" s="14" t="str">
        <f>HYPERLINK("https://ceds.ed.gov/elementComment.aspx?elementName=Address Street Number and Name &amp;elementID=17269", "Click here to submit comment")</f>
        <v>Click here to submit comment</v>
      </c>
      <c r="R3427" s="14">
        <v>48305</v>
      </c>
    </row>
    <row r="3428" spans="1:18" ht="225" x14ac:dyDescent="0.25">
      <c r="A3428" s="14" t="s">
        <v>9080</v>
      </c>
      <c r="B3428" s="14" t="s">
        <v>9090</v>
      </c>
      <c r="C3428" s="14" t="s">
        <v>8547</v>
      </c>
      <c r="D3428" s="14" t="s">
        <v>8531</v>
      </c>
      <c r="E3428" s="14" t="s">
        <v>192</v>
      </c>
      <c r="F3428" s="14" t="s">
        <v>193</v>
      </c>
      <c r="G3428" s="14" t="s">
        <v>37</v>
      </c>
      <c r="H3428" s="14" t="s">
        <v>199</v>
      </c>
      <c r="I3428" s="14" t="s">
        <v>195</v>
      </c>
      <c r="J3428" s="14" t="s">
        <v>175</v>
      </c>
      <c r="K3428" s="14" t="s">
        <v>196</v>
      </c>
      <c r="L3428" s="14"/>
      <c r="M3428" s="14" t="s">
        <v>197</v>
      </c>
      <c r="N3428" s="14"/>
      <c r="O3428" s="14" t="s">
        <v>198</v>
      </c>
      <c r="P3428" s="14" t="str">
        <f>HYPERLINK("https://ceds.ed.gov/cedselementdetails.aspx?termid=17019")</f>
        <v>https://ceds.ed.gov/cedselementdetails.aspx?termid=17019</v>
      </c>
      <c r="Q3428" s="14" t="str">
        <f>HYPERLINK("https://ceds.ed.gov/elementComment.aspx?elementName=Address Apartment Room or Suite Number &amp;elementID=17019", "Click here to submit comment")</f>
        <v>Click here to submit comment</v>
      </c>
      <c r="R3428" s="14">
        <v>48307</v>
      </c>
    </row>
    <row r="3429" spans="1:18" ht="225" x14ac:dyDescent="0.25">
      <c r="A3429" s="14" t="s">
        <v>9080</v>
      </c>
      <c r="B3429" s="14" t="s">
        <v>9090</v>
      </c>
      <c r="C3429" s="14" t="s">
        <v>8547</v>
      </c>
      <c r="D3429" s="14" t="s">
        <v>8531</v>
      </c>
      <c r="E3429" s="14" t="s">
        <v>200</v>
      </c>
      <c r="F3429" s="14" t="s">
        <v>201</v>
      </c>
      <c r="G3429" s="14" t="s">
        <v>37</v>
      </c>
      <c r="H3429" s="14" t="s">
        <v>199</v>
      </c>
      <c r="I3429" s="14"/>
      <c r="J3429" s="14" t="s">
        <v>97</v>
      </c>
      <c r="K3429" s="14"/>
      <c r="L3429" s="14"/>
      <c r="M3429" s="14" t="s">
        <v>202</v>
      </c>
      <c r="N3429" s="14"/>
      <c r="O3429" s="14" t="s">
        <v>203</v>
      </c>
      <c r="P3429" s="14" t="str">
        <f>HYPERLINK("https://ceds.ed.gov/cedselementdetails.aspx?termid=17040")</f>
        <v>https://ceds.ed.gov/cedselementdetails.aspx?termid=17040</v>
      </c>
      <c r="Q3429" s="14" t="str">
        <f>HYPERLINK("https://ceds.ed.gov/elementComment.aspx?elementName=Address City &amp;elementID=17040", "Click here to submit comment")</f>
        <v>Click here to submit comment</v>
      </c>
      <c r="R3429" s="14">
        <v>48309</v>
      </c>
    </row>
    <row r="3430" spans="1:18" ht="409.5" x14ac:dyDescent="0.25">
      <c r="A3430" s="14" t="s">
        <v>9080</v>
      </c>
      <c r="B3430" s="14" t="s">
        <v>9090</v>
      </c>
      <c r="C3430" s="14" t="s">
        <v>8547</v>
      </c>
      <c r="D3430" s="14" t="s">
        <v>8531</v>
      </c>
      <c r="E3430" s="14" t="s">
        <v>7960</v>
      </c>
      <c r="F3430" s="14" t="s">
        <v>7961</v>
      </c>
      <c r="G3430" s="8" t="s">
        <v>8540</v>
      </c>
      <c r="H3430" s="14" t="s">
        <v>7964</v>
      </c>
      <c r="I3430" s="14"/>
      <c r="J3430" s="14"/>
      <c r="K3430" s="14"/>
      <c r="L3430" s="14"/>
      <c r="M3430" s="14" t="s">
        <v>7962</v>
      </c>
      <c r="N3430" s="14"/>
      <c r="O3430" s="14" t="s">
        <v>7963</v>
      </c>
      <c r="P3430" s="14" t="str">
        <f>HYPERLINK("https://ceds.ed.gov/cedselementdetails.aspx?termid=17267")</f>
        <v>https://ceds.ed.gov/cedselementdetails.aspx?termid=17267</v>
      </c>
      <c r="Q3430" s="14" t="str">
        <f>HYPERLINK("https://ceds.ed.gov/elementComment.aspx?elementName=State Abbreviation &amp;elementID=17267", "Click here to submit comment")</f>
        <v>Click here to submit comment</v>
      </c>
      <c r="R3430" s="14">
        <v>48313</v>
      </c>
    </row>
    <row r="3431" spans="1:18" ht="225" x14ac:dyDescent="0.25">
      <c r="A3431" s="14" t="s">
        <v>9080</v>
      </c>
      <c r="B3431" s="14" t="s">
        <v>9090</v>
      </c>
      <c r="C3431" s="14" t="s">
        <v>8547</v>
      </c>
      <c r="D3431" s="14" t="s">
        <v>8531</v>
      </c>
      <c r="E3431" s="14" t="s">
        <v>209</v>
      </c>
      <c r="F3431" s="14" t="s">
        <v>210</v>
      </c>
      <c r="G3431" s="14" t="s">
        <v>37</v>
      </c>
      <c r="H3431" s="14" t="s">
        <v>199</v>
      </c>
      <c r="I3431" s="14"/>
      <c r="J3431" s="14" t="s">
        <v>211</v>
      </c>
      <c r="K3431" s="14"/>
      <c r="L3431" s="14"/>
      <c r="M3431" s="14" t="s">
        <v>212</v>
      </c>
      <c r="N3431" s="14"/>
      <c r="O3431" s="14" t="s">
        <v>213</v>
      </c>
      <c r="P3431" s="14" t="str">
        <f>HYPERLINK("https://ceds.ed.gov/cedselementdetails.aspx?termid=17214")</f>
        <v>https://ceds.ed.gov/cedselementdetails.aspx?termid=17214</v>
      </c>
      <c r="Q3431" s="14" t="str">
        <f>HYPERLINK("https://ceds.ed.gov/elementComment.aspx?elementName=Address Postal Code &amp;elementID=17214", "Click here to submit comment")</f>
        <v>Click here to submit comment</v>
      </c>
      <c r="R3431" s="14">
        <v>48439</v>
      </c>
    </row>
    <row r="3432" spans="1:18" ht="225" x14ac:dyDescent="0.25">
      <c r="A3432" s="14" t="s">
        <v>9080</v>
      </c>
      <c r="B3432" s="14" t="s">
        <v>9090</v>
      </c>
      <c r="C3432" s="14" t="s">
        <v>8547</v>
      </c>
      <c r="D3432" s="14" t="s">
        <v>8531</v>
      </c>
      <c r="E3432" s="14" t="s">
        <v>204</v>
      </c>
      <c r="F3432" s="14" t="s">
        <v>205</v>
      </c>
      <c r="G3432" s="14" t="s">
        <v>37</v>
      </c>
      <c r="H3432" s="14" t="s">
        <v>199</v>
      </c>
      <c r="I3432" s="14"/>
      <c r="J3432" s="14" t="s">
        <v>97</v>
      </c>
      <c r="K3432" s="14"/>
      <c r="L3432" s="14"/>
      <c r="M3432" s="14" t="s">
        <v>207</v>
      </c>
      <c r="N3432" s="14"/>
      <c r="O3432" s="14" t="s">
        <v>208</v>
      </c>
      <c r="P3432" s="14" t="str">
        <f>HYPERLINK("https://ceds.ed.gov/cedselementdetails.aspx?termid=17190")</f>
        <v>https://ceds.ed.gov/cedselementdetails.aspx?termid=17190</v>
      </c>
      <c r="Q3432" s="14" t="str">
        <f>HYPERLINK("https://ceds.ed.gov/elementComment.aspx?elementName=Address County Name &amp;elementID=17190", "Click here to submit comment")</f>
        <v>Click here to submit comment</v>
      </c>
      <c r="R3432" s="14">
        <v>48311</v>
      </c>
    </row>
    <row r="3433" spans="1:18" ht="409.5" x14ac:dyDescent="0.25">
      <c r="A3433" s="14" t="s">
        <v>9080</v>
      </c>
      <c r="B3433" s="14" t="s">
        <v>9090</v>
      </c>
      <c r="C3433" s="14" t="s">
        <v>8547</v>
      </c>
      <c r="D3433" s="14" t="s">
        <v>8531</v>
      </c>
      <c r="E3433" s="14" t="s">
        <v>2845</v>
      </c>
      <c r="F3433" s="14" t="s">
        <v>2846</v>
      </c>
      <c r="G3433" s="8" t="s">
        <v>8548</v>
      </c>
      <c r="H3433" s="14" t="s">
        <v>2852</v>
      </c>
      <c r="I3433" s="14"/>
      <c r="J3433" s="14"/>
      <c r="K3433" s="14"/>
      <c r="L3433" s="6" t="s">
        <v>2849</v>
      </c>
      <c r="M3433" s="14" t="s">
        <v>2850</v>
      </c>
      <c r="N3433" s="14"/>
      <c r="O3433" s="14" t="s">
        <v>2851</v>
      </c>
      <c r="P3433" s="14" t="str">
        <f>HYPERLINK("https://ceds.ed.gov/cedselementdetails.aspx?termid=17050")</f>
        <v>https://ceds.ed.gov/cedselementdetails.aspx?termid=17050</v>
      </c>
      <c r="Q3433" s="14" t="str">
        <f>HYPERLINK("https://ceds.ed.gov/elementComment.aspx?elementName=Country Code &amp;elementID=17050", "Click here to submit comment")</f>
        <v>Click here to submit comment</v>
      </c>
      <c r="R3433" s="14">
        <v>49139</v>
      </c>
    </row>
    <row r="3434" spans="1:18" ht="75" x14ac:dyDescent="0.25">
      <c r="A3434" s="14" t="s">
        <v>9080</v>
      </c>
      <c r="B3434" s="14" t="s">
        <v>9090</v>
      </c>
      <c r="C3434" s="14" t="s">
        <v>8547</v>
      </c>
      <c r="D3434" s="14" t="s">
        <v>8531</v>
      </c>
      <c r="E3434" s="14" t="s">
        <v>5736</v>
      </c>
      <c r="F3434" s="14" t="s">
        <v>5737</v>
      </c>
      <c r="G3434" s="14" t="s">
        <v>37</v>
      </c>
      <c r="H3434" s="14"/>
      <c r="I3434" s="14"/>
      <c r="J3434" s="14" t="s">
        <v>1307</v>
      </c>
      <c r="K3434" s="14"/>
      <c r="L3434" s="14"/>
      <c r="M3434" s="14" t="s">
        <v>5739</v>
      </c>
      <c r="N3434" s="14"/>
      <c r="O3434" s="14" t="s">
        <v>5736</v>
      </c>
      <c r="P3434" s="14" t="str">
        <f>HYPERLINK("https://ceds.ed.gov/cedselementdetails.aspx?termid=17599")</f>
        <v>https://ceds.ed.gov/cedselementdetails.aspx?termid=17599</v>
      </c>
      <c r="Q3434" s="14" t="str">
        <f>HYPERLINK("https://ceds.ed.gov/elementComment.aspx?elementName=Latitude &amp;elementID=17599", "Click here to submit comment")</f>
        <v>Click here to submit comment</v>
      </c>
      <c r="R3434" s="14">
        <v>51267</v>
      </c>
    </row>
    <row r="3435" spans="1:18" ht="75" x14ac:dyDescent="0.25">
      <c r="A3435" s="14" t="s">
        <v>9080</v>
      </c>
      <c r="B3435" s="14" t="s">
        <v>9090</v>
      </c>
      <c r="C3435" s="14" t="s">
        <v>8547</v>
      </c>
      <c r="D3435" s="14" t="s">
        <v>8531</v>
      </c>
      <c r="E3435" s="14" t="s">
        <v>6174</v>
      </c>
      <c r="F3435" s="14" t="s">
        <v>6175</v>
      </c>
      <c r="G3435" s="14" t="s">
        <v>37</v>
      </c>
      <c r="H3435" s="14"/>
      <c r="I3435" s="14"/>
      <c r="J3435" s="14" t="s">
        <v>1307</v>
      </c>
      <c r="K3435" s="14"/>
      <c r="L3435" s="14"/>
      <c r="M3435" s="14" t="s">
        <v>6176</v>
      </c>
      <c r="N3435" s="14"/>
      <c r="O3435" s="14" t="s">
        <v>6174</v>
      </c>
      <c r="P3435" s="14" t="str">
        <f>HYPERLINK("https://ceds.ed.gov/cedselementdetails.aspx?termid=17600")</f>
        <v>https://ceds.ed.gov/cedselementdetails.aspx?termid=17600</v>
      </c>
      <c r="Q3435" s="14" t="str">
        <f>HYPERLINK("https://ceds.ed.gov/elementComment.aspx?elementName=Longitude &amp;elementID=17600", "Click here to submit comment")</f>
        <v>Click here to submit comment</v>
      </c>
      <c r="R3435" s="14">
        <v>51290</v>
      </c>
    </row>
    <row r="3436" spans="1:18" ht="195" x14ac:dyDescent="0.25">
      <c r="A3436" s="14" t="s">
        <v>9080</v>
      </c>
      <c r="B3436" s="14" t="s">
        <v>9090</v>
      </c>
      <c r="C3436" s="14" t="s">
        <v>8547</v>
      </c>
      <c r="D3436" s="14" t="s">
        <v>8541</v>
      </c>
      <c r="E3436" s="14" t="s">
        <v>2860</v>
      </c>
      <c r="F3436" s="14" t="s">
        <v>2861</v>
      </c>
      <c r="G3436" s="14" t="s">
        <v>37</v>
      </c>
      <c r="H3436" s="14"/>
      <c r="I3436" s="14" t="s">
        <v>195</v>
      </c>
      <c r="J3436" s="14" t="s">
        <v>2863</v>
      </c>
      <c r="K3436" s="14" t="s">
        <v>2864</v>
      </c>
      <c r="L3436" s="14"/>
      <c r="M3436" s="14" t="s">
        <v>2865</v>
      </c>
      <c r="N3436" s="14"/>
      <c r="O3436" s="14" t="s">
        <v>2866</v>
      </c>
      <c r="P3436" s="14" t="str">
        <f>HYPERLINK("https://ceds.ed.gov/cedselementdetails.aspx?termid=18176")</f>
        <v>https://ceds.ed.gov/cedselementdetails.aspx?termid=18176</v>
      </c>
      <c r="Q3436" s="14" t="str">
        <f>HYPERLINK("https://ceds.ed.gov/elementComment.aspx?elementName=County ANSI Code &amp;elementID=18176", "Click here to submit comment")</f>
        <v>Click here to submit comment</v>
      </c>
      <c r="R3436" s="14">
        <v>52201</v>
      </c>
    </row>
    <row r="3437" spans="1:18" ht="60" x14ac:dyDescent="0.25">
      <c r="A3437" s="14" t="s">
        <v>9080</v>
      </c>
      <c r="B3437" s="14" t="s">
        <v>9090</v>
      </c>
      <c r="C3437" s="14" t="s">
        <v>8547</v>
      </c>
      <c r="D3437" s="14" t="s">
        <v>8541</v>
      </c>
      <c r="E3437" s="14" t="s">
        <v>3651</v>
      </c>
      <c r="F3437" s="14" t="s">
        <v>3652</v>
      </c>
      <c r="G3437" s="14" t="s">
        <v>3430</v>
      </c>
      <c r="H3437" s="14"/>
      <c r="I3437" s="14" t="s">
        <v>188</v>
      </c>
      <c r="J3437" s="14"/>
      <c r="K3437" s="14" t="s">
        <v>1721</v>
      </c>
      <c r="L3437" s="14"/>
      <c r="M3437" s="14" t="s">
        <v>3654</v>
      </c>
      <c r="N3437" s="14"/>
      <c r="O3437" s="14" t="s">
        <v>3655</v>
      </c>
      <c r="P3437" s="14" t="str">
        <f>HYPERLINK("https://ceds.ed.gov/cedselementdetails.aspx?termid=18905")</f>
        <v>https://ceds.ed.gov/cedselementdetails.aspx?termid=18905</v>
      </c>
      <c r="Q3437" s="14" t="str">
        <f>HYPERLINK("https://ceds.ed.gov/elementComment.aspx?elementName=Do Not Publish Indicator &amp;elementID=18905", "Click here to submit comment")</f>
        <v>Click here to submit comment</v>
      </c>
      <c r="R3437" s="14">
        <v>52202</v>
      </c>
    </row>
    <row r="3438" spans="1:18" ht="90" x14ac:dyDescent="0.25">
      <c r="A3438" s="14" t="s">
        <v>9080</v>
      </c>
      <c r="B3438" s="14" t="s">
        <v>9090</v>
      </c>
      <c r="C3438" s="14" t="s">
        <v>8549</v>
      </c>
      <c r="D3438" s="14" t="s">
        <v>8531</v>
      </c>
      <c r="E3438" s="14" t="s">
        <v>8229</v>
      </c>
      <c r="F3438" s="14" t="s">
        <v>8230</v>
      </c>
      <c r="G3438" s="8" t="s">
        <v>8550</v>
      </c>
      <c r="H3438" s="14" t="s">
        <v>72</v>
      </c>
      <c r="I3438" s="14"/>
      <c r="J3438" s="14" t="s">
        <v>2870</v>
      </c>
      <c r="K3438" s="14"/>
      <c r="L3438" s="14"/>
      <c r="M3438" s="14" t="s">
        <v>8233</v>
      </c>
      <c r="N3438" s="14"/>
      <c r="O3438" s="14" t="s">
        <v>8234</v>
      </c>
      <c r="P3438" s="14" t="str">
        <f>HYPERLINK("https://ceds.ed.gov/cedselementdetails.aspx?termid=17280")</f>
        <v>https://ceds.ed.gov/cedselementdetails.aspx?termid=17280</v>
      </c>
      <c r="Q3438" s="14" t="str">
        <f>HYPERLINK("https://ceds.ed.gov/elementComment.aspx?elementName=Telephone Number Type &amp;elementID=17280", "Click here to submit comment")</f>
        <v>Click here to submit comment</v>
      </c>
      <c r="R3438" s="14">
        <v>49044</v>
      </c>
    </row>
    <row r="3439" spans="1:18" ht="90" x14ac:dyDescent="0.25">
      <c r="A3439" s="14" t="s">
        <v>9080</v>
      </c>
      <c r="B3439" s="14" t="s">
        <v>9090</v>
      </c>
      <c r="C3439" s="14" t="s">
        <v>8549</v>
      </c>
      <c r="D3439" s="14" t="s">
        <v>8531</v>
      </c>
      <c r="E3439" s="14" t="s">
        <v>6865</v>
      </c>
      <c r="F3439" s="14" t="s">
        <v>6866</v>
      </c>
      <c r="G3439" s="14" t="s">
        <v>24</v>
      </c>
      <c r="H3439" s="14" t="s">
        <v>72</v>
      </c>
      <c r="I3439" s="14"/>
      <c r="J3439" s="14"/>
      <c r="K3439" s="14"/>
      <c r="L3439" s="14"/>
      <c r="M3439" s="14" t="s">
        <v>6868</v>
      </c>
      <c r="N3439" s="14"/>
      <c r="O3439" s="14" t="s">
        <v>6869</v>
      </c>
      <c r="P3439" s="14" t="str">
        <f>HYPERLINK("https://ceds.ed.gov/cedselementdetails.aspx?termid=17219")</f>
        <v>https://ceds.ed.gov/cedselementdetails.aspx?termid=17219</v>
      </c>
      <c r="Q3439" s="14" t="str">
        <f>HYPERLINK("https://ceds.ed.gov/elementComment.aspx?elementName=Primary Telephone Number Indicator &amp;elementID=17219", "Click here to submit comment")</f>
        <v>Click here to submit comment</v>
      </c>
      <c r="R3439" s="14">
        <v>49045</v>
      </c>
    </row>
    <row r="3440" spans="1:18" ht="90" x14ac:dyDescent="0.25">
      <c r="A3440" s="14" t="s">
        <v>9080</v>
      </c>
      <c r="B3440" s="14" t="s">
        <v>9090</v>
      </c>
      <c r="C3440" s="14" t="s">
        <v>8549</v>
      </c>
      <c r="D3440" s="14" t="s">
        <v>8531</v>
      </c>
      <c r="E3440" s="14" t="s">
        <v>8217</v>
      </c>
      <c r="F3440" s="14" t="s">
        <v>8218</v>
      </c>
      <c r="G3440" s="14" t="s">
        <v>37</v>
      </c>
      <c r="H3440" s="14" t="s">
        <v>72</v>
      </c>
      <c r="I3440" s="14"/>
      <c r="J3440" s="14" t="s">
        <v>8220</v>
      </c>
      <c r="K3440" s="14"/>
      <c r="L3440" s="14"/>
      <c r="M3440" s="14" t="s">
        <v>8221</v>
      </c>
      <c r="N3440" s="14"/>
      <c r="O3440" s="14" t="s">
        <v>8222</v>
      </c>
      <c r="P3440" s="14" t="str">
        <f>HYPERLINK("https://ceds.ed.gov/cedselementdetails.aspx?termid=17279")</f>
        <v>https://ceds.ed.gov/cedselementdetails.aspx?termid=17279</v>
      </c>
      <c r="Q3440" s="14" t="str">
        <f>HYPERLINK("https://ceds.ed.gov/elementComment.aspx?elementName=Telephone Number &amp;elementID=17279", "Click here to submit comment")</f>
        <v>Click here to submit comment</v>
      </c>
      <c r="R3440" s="14">
        <v>49046</v>
      </c>
    </row>
    <row r="3441" spans="1:18" ht="60" x14ac:dyDescent="0.25">
      <c r="A3441" s="14" t="s">
        <v>9080</v>
      </c>
      <c r="B3441" s="14" t="s">
        <v>9090</v>
      </c>
      <c r="C3441" s="14" t="s">
        <v>8549</v>
      </c>
      <c r="D3441" s="14" t="s">
        <v>8541</v>
      </c>
      <c r="E3441" s="14" t="s">
        <v>3651</v>
      </c>
      <c r="F3441" s="14" t="s">
        <v>3652</v>
      </c>
      <c r="G3441" s="14" t="s">
        <v>3430</v>
      </c>
      <c r="H3441" s="14"/>
      <c r="I3441" s="14" t="s">
        <v>188</v>
      </c>
      <c r="J3441" s="14"/>
      <c r="K3441" s="14" t="s">
        <v>1721</v>
      </c>
      <c r="L3441" s="14"/>
      <c r="M3441" s="14" t="s">
        <v>3654</v>
      </c>
      <c r="N3441" s="14"/>
      <c r="O3441" s="14" t="s">
        <v>3655</v>
      </c>
      <c r="P3441" s="14" t="str">
        <f>HYPERLINK("https://ceds.ed.gov/cedselementdetails.aspx?termid=18905")</f>
        <v>https://ceds.ed.gov/cedselementdetails.aspx?termid=18905</v>
      </c>
      <c r="Q3441" s="14" t="str">
        <f>HYPERLINK("https://ceds.ed.gov/elementComment.aspx?elementName=Do Not Publish Indicator &amp;elementID=18905", "Click here to submit comment")</f>
        <v>Click here to submit comment</v>
      </c>
      <c r="R3441" s="14">
        <v>52204</v>
      </c>
    </row>
    <row r="3442" spans="1:18" ht="60" x14ac:dyDescent="0.25">
      <c r="A3442" s="14" t="s">
        <v>9080</v>
      </c>
      <c r="B3442" s="14" t="s">
        <v>9090</v>
      </c>
      <c r="C3442" s="14" t="s">
        <v>8549</v>
      </c>
      <c r="D3442" s="14" t="s">
        <v>8541</v>
      </c>
      <c r="E3442" s="14" t="s">
        <v>8223</v>
      </c>
      <c r="F3442" s="14" t="s">
        <v>8224</v>
      </c>
      <c r="G3442" s="8" t="s">
        <v>8544</v>
      </c>
      <c r="H3442" s="14"/>
      <c r="I3442" s="14" t="s">
        <v>188</v>
      </c>
      <c r="J3442" s="14"/>
      <c r="K3442" s="14" t="s">
        <v>1721</v>
      </c>
      <c r="L3442" s="14"/>
      <c r="M3442" s="14" t="s">
        <v>8227</v>
      </c>
      <c r="N3442" s="14"/>
      <c r="O3442" s="14" t="s">
        <v>8228</v>
      </c>
      <c r="P3442" s="14" t="str">
        <f>HYPERLINK("https://ceds.ed.gov/cedselementdetails.aspx?termid=18911")</f>
        <v>https://ceds.ed.gov/cedselementdetails.aspx?termid=18911</v>
      </c>
      <c r="Q3442" s="14" t="str">
        <f>HYPERLINK("https://ceds.ed.gov/elementComment.aspx?elementName=Telephone Number Listed Status &amp;elementID=18911", "Click here to submit comment")</f>
        <v>Click here to submit comment</v>
      </c>
      <c r="R3442" s="14">
        <v>52205</v>
      </c>
    </row>
    <row r="3443" spans="1:18" ht="90" x14ac:dyDescent="0.25">
      <c r="A3443" s="14" t="s">
        <v>9080</v>
      </c>
      <c r="B3443" s="14" t="s">
        <v>9090</v>
      </c>
      <c r="C3443" s="14" t="s">
        <v>8551</v>
      </c>
      <c r="D3443" s="14" t="s">
        <v>8531</v>
      </c>
      <c r="E3443" s="14" t="s">
        <v>3938</v>
      </c>
      <c r="F3443" s="14" t="s">
        <v>3939</v>
      </c>
      <c r="G3443" s="8" t="s">
        <v>8552</v>
      </c>
      <c r="H3443" s="14" t="s">
        <v>72</v>
      </c>
      <c r="I3443" s="14"/>
      <c r="J3443" s="14"/>
      <c r="K3443" s="14"/>
      <c r="L3443" s="14"/>
      <c r="M3443" s="14" t="s">
        <v>3941</v>
      </c>
      <c r="N3443" s="14" t="s">
        <v>3942</v>
      </c>
      <c r="O3443" s="14" t="s">
        <v>3943</v>
      </c>
      <c r="P3443" s="14" t="str">
        <f>HYPERLINK("https://ceds.ed.gov/cedselementdetails.aspx?termid=17089")</f>
        <v>https://ceds.ed.gov/cedselementdetails.aspx?termid=17089</v>
      </c>
      <c r="Q3443" s="14" t="str">
        <f>HYPERLINK("https://ceds.ed.gov/elementComment.aspx?elementName=Electronic Mail Address Type &amp;elementID=17089", "Click here to submit comment")</f>
        <v>Click here to submit comment</v>
      </c>
      <c r="R3443" s="14">
        <v>48318</v>
      </c>
    </row>
    <row r="3444" spans="1:18" ht="90" x14ac:dyDescent="0.25">
      <c r="A3444" s="14" t="s">
        <v>9080</v>
      </c>
      <c r="B3444" s="14" t="s">
        <v>9090</v>
      </c>
      <c r="C3444" s="14" t="s">
        <v>8551</v>
      </c>
      <c r="D3444" s="14" t="s">
        <v>8531</v>
      </c>
      <c r="E3444" s="14" t="s">
        <v>3931</v>
      </c>
      <c r="F3444" s="14" t="s">
        <v>3932</v>
      </c>
      <c r="G3444" s="14" t="s">
        <v>37</v>
      </c>
      <c r="H3444" s="14" t="s">
        <v>72</v>
      </c>
      <c r="I3444" s="14"/>
      <c r="J3444" s="14" t="s">
        <v>3934</v>
      </c>
      <c r="K3444" s="14"/>
      <c r="L3444" s="14"/>
      <c r="M3444" s="14" t="s">
        <v>3935</v>
      </c>
      <c r="N3444" s="14" t="s">
        <v>3936</v>
      </c>
      <c r="O3444" s="14" t="s">
        <v>3937</v>
      </c>
      <c r="P3444" s="14" t="str">
        <f>HYPERLINK("https://ceds.ed.gov/cedselementdetails.aspx?termid=17088")</f>
        <v>https://ceds.ed.gov/cedselementdetails.aspx?termid=17088</v>
      </c>
      <c r="Q3444" s="14" t="str">
        <f>HYPERLINK("https://ceds.ed.gov/elementComment.aspx?elementName=Electronic Mail Address &amp;elementID=17088", "Click here to submit comment")</f>
        <v>Click here to submit comment</v>
      </c>
      <c r="R3444" s="14">
        <v>48316</v>
      </c>
    </row>
    <row r="3445" spans="1:18" ht="60" x14ac:dyDescent="0.25">
      <c r="A3445" s="14" t="s">
        <v>9080</v>
      </c>
      <c r="B3445" s="14" t="s">
        <v>9090</v>
      </c>
      <c r="C3445" s="14" t="s">
        <v>8551</v>
      </c>
      <c r="D3445" s="14" t="s">
        <v>8541</v>
      </c>
      <c r="E3445" s="14" t="s">
        <v>3651</v>
      </c>
      <c r="F3445" s="14" t="s">
        <v>3652</v>
      </c>
      <c r="G3445" s="14" t="s">
        <v>3430</v>
      </c>
      <c r="H3445" s="14"/>
      <c r="I3445" s="14" t="s">
        <v>188</v>
      </c>
      <c r="J3445" s="14"/>
      <c r="K3445" s="14" t="s">
        <v>1721</v>
      </c>
      <c r="L3445" s="14"/>
      <c r="M3445" s="14" t="s">
        <v>3654</v>
      </c>
      <c r="N3445" s="14"/>
      <c r="O3445" s="14" t="s">
        <v>3655</v>
      </c>
      <c r="P3445" s="14" t="str">
        <f>HYPERLINK("https://ceds.ed.gov/cedselementdetails.aspx?termid=18905")</f>
        <v>https://ceds.ed.gov/cedselementdetails.aspx?termid=18905</v>
      </c>
      <c r="Q3445" s="14" t="str">
        <f>HYPERLINK("https://ceds.ed.gov/elementComment.aspx?elementName=Do Not Publish Indicator &amp;elementID=18905", "Click here to submit comment")</f>
        <v>Click here to submit comment</v>
      </c>
      <c r="R3445" s="14">
        <v>52203</v>
      </c>
    </row>
    <row r="3446" spans="1:18" ht="150" x14ac:dyDescent="0.25">
      <c r="A3446" s="14" t="s">
        <v>9080</v>
      </c>
      <c r="B3446" s="14" t="s">
        <v>9090</v>
      </c>
      <c r="C3446" s="14" t="s">
        <v>9091</v>
      </c>
      <c r="D3446" s="14" t="s">
        <v>8531</v>
      </c>
      <c r="E3446" s="14" t="s">
        <v>292</v>
      </c>
      <c r="F3446" s="14" t="s">
        <v>293</v>
      </c>
      <c r="G3446" s="8" t="s">
        <v>9092</v>
      </c>
      <c r="H3446" s="14"/>
      <c r="I3446" s="14"/>
      <c r="J3446" s="14"/>
      <c r="K3446" s="14"/>
      <c r="L3446" s="14"/>
      <c r="M3446" s="14" t="s">
        <v>296</v>
      </c>
      <c r="N3446" s="14"/>
      <c r="O3446" s="14" t="s">
        <v>297</v>
      </c>
      <c r="P3446" s="14" t="str">
        <f>HYPERLINK("https://ceds.ed.gov/cedselementdetails.aspx?termid=17775")</f>
        <v>https://ceds.ed.gov/cedselementdetails.aspx?termid=17775</v>
      </c>
      <c r="Q3446" s="14" t="str">
        <f>HYPERLINK("https://ceds.ed.gov/elementComment.aspx?elementName=Adult Education Certification Type &amp;elementID=17775", "Click here to submit comment")</f>
        <v>Click here to submit comment</v>
      </c>
      <c r="R3446" s="14">
        <v>48293</v>
      </c>
    </row>
    <row r="3447" spans="1:18" ht="409.5" x14ac:dyDescent="0.25">
      <c r="A3447" s="14" t="s">
        <v>9080</v>
      </c>
      <c r="B3447" s="14" t="s">
        <v>9090</v>
      </c>
      <c r="C3447" s="14" t="s">
        <v>9093</v>
      </c>
      <c r="D3447" s="14" t="s">
        <v>8531</v>
      </c>
      <c r="E3447" s="14" t="s">
        <v>4989</v>
      </c>
      <c r="F3447" s="14" t="s">
        <v>4990</v>
      </c>
      <c r="G3447" s="8" t="s">
        <v>8679</v>
      </c>
      <c r="H3447" s="14" t="s">
        <v>4994</v>
      </c>
      <c r="I3447" s="14"/>
      <c r="J3447" s="14"/>
      <c r="K3447" s="14"/>
      <c r="L3447" s="14"/>
      <c r="M3447" s="14" t="s">
        <v>4992</v>
      </c>
      <c r="N3447" s="14"/>
      <c r="O3447" s="14" t="s">
        <v>4993</v>
      </c>
      <c r="P3447" s="14" t="str">
        <f>HYPERLINK("https://ceds.ed.gov/cedselementdetails.aspx?termid=17141")</f>
        <v>https://ceds.ed.gov/cedselementdetails.aspx?termid=17141</v>
      </c>
      <c r="Q3447" s="14" t="str">
        <f>HYPERLINK("https://ceds.ed.gov/elementComment.aspx?elementName=Highest Level of Education Completed &amp;elementID=17141", "Click here to submit comment")</f>
        <v>Click here to submit comment</v>
      </c>
      <c r="R3447" s="14">
        <v>50212</v>
      </c>
    </row>
    <row r="3448" spans="1:18" ht="60" x14ac:dyDescent="0.25">
      <c r="A3448" s="14" t="s">
        <v>9080</v>
      </c>
      <c r="B3448" s="14" t="s">
        <v>9090</v>
      </c>
      <c r="C3448" s="14" t="s">
        <v>9094</v>
      </c>
      <c r="D3448" s="14" t="s">
        <v>8531</v>
      </c>
      <c r="E3448" s="14" t="s">
        <v>8514</v>
      </c>
      <c r="F3448" s="14" t="s">
        <v>8515</v>
      </c>
      <c r="G3448" s="14" t="s">
        <v>37</v>
      </c>
      <c r="H3448" s="14"/>
      <c r="I3448" s="14"/>
      <c r="J3448" s="14" t="s">
        <v>1710</v>
      </c>
      <c r="K3448" s="14"/>
      <c r="L3448" s="14"/>
      <c r="M3448" s="14" t="s">
        <v>8517</v>
      </c>
      <c r="N3448" s="14"/>
      <c r="O3448" s="14" t="s">
        <v>8518</v>
      </c>
      <c r="P3448" s="14" t="str">
        <f>HYPERLINK("https://ceds.ed.gov/cedselementdetails.aspx?termid=17774")</f>
        <v>https://ceds.ed.gov/cedselementdetails.aspx?termid=17774</v>
      </c>
      <c r="Q3448" s="14" t="str">
        <f>HYPERLINK("https://ceds.ed.gov/elementComment.aspx?elementName=Years of Prior Adult Education Teaching Experience &amp;elementID=17774", "Click here to submit comment")</f>
        <v>Click here to submit comment</v>
      </c>
      <c r="R3448" s="14">
        <v>48292</v>
      </c>
    </row>
    <row r="3449" spans="1:18" ht="240" x14ac:dyDescent="0.25">
      <c r="A3449" s="14" t="s">
        <v>9080</v>
      </c>
      <c r="B3449" s="14" t="s">
        <v>9090</v>
      </c>
      <c r="C3449" s="14" t="s">
        <v>8693</v>
      </c>
      <c r="D3449" s="14" t="s">
        <v>8531</v>
      </c>
      <c r="E3449" s="14" t="s">
        <v>335</v>
      </c>
      <c r="F3449" s="14" t="s">
        <v>336</v>
      </c>
      <c r="G3449" s="8" t="s">
        <v>9095</v>
      </c>
      <c r="H3449" s="14"/>
      <c r="I3449" s="14"/>
      <c r="J3449" s="14"/>
      <c r="K3449" s="14"/>
      <c r="L3449" s="14"/>
      <c r="M3449" s="14" t="s">
        <v>339</v>
      </c>
      <c r="N3449" s="14"/>
      <c r="O3449" s="14" t="s">
        <v>340</v>
      </c>
      <c r="P3449" s="14" t="str">
        <f>HYPERLINK("https://ceds.ed.gov/cedselementdetails.aspx?termid=17770")</f>
        <v>https://ceds.ed.gov/cedselementdetails.aspx?termid=17770</v>
      </c>
      <c r="Q3449" s="14" t="str">
        <f>HYPERLINK("https://ceds.ed.gov/elementComment.aspx?elementName=Adult Education Staff Classification &amp;elementID=17770", "Click here to submit comment")</f>
        <v>Click here to submit comment</v>
      </c>
      <c r="R3449" s="14">
        <v>48290</v>
      </c>
    </row>
    <row r="3450" spans="1:18" ht="105" x14ac:dyDescent="0.25">
      <c r="A3450" s="14" t="s">
        <v>9080</v>
      </c>
      <c r="B3450" s="14" t="s">
        <v>9090</v>
      </c>
      <c r="C3450" s="14" t="s">
        <v>8693</v>
      </c>
      <c r="D3450" s="14" t="s">
        <v>8531</v>
      </c>
      <c r="E3450" s="14" t="s">
        <v>341</v>
      </c>
      <c r="F3450" s="14" t="s">
        <v>342</v>
      </c>
      <c r="G3450" s="8" t="s">
        <v>9096</v>
      </c>
      <c r="H3450" s="14"/>
      <c r="I3450" s="14"/>
      <c r="J3450" s="14"/>
      <c r="K3450" s="14"/>
      <c r="L3450" s="14"/>
      <c r="M3450" s="14" t="s">
        <v>344</v>
      </c>
      <c r="N3450" s="14"/>
      <c r="O3450" s="14" t="s">
        <v>345</v>
      </c>
      <c r="P3450" s="14" t="str">
        <f>HYPERLINK("https://ceds.ed.gov/cedselementdetails.aspx?termid=17771")</f>
        <v>https://ceds.ed.gov/cedselementdetails.aspx?termid=17771</v>
      </c>
      <c r="Q3450" s="14" t="str">
        <f>HYPERLINK("https://ceds.ed.gov/elementComment.aspx?elementName=Adult Education Staff Employment Status &amp;elementID=17771", "Click here to submit comment")</f>
        <v>Click here to submit comment</v>
      </c>
      <c r="R3450" s="14">
        <v>48291</v>
      </c>
    </row>
    <row r="3451" spans="1:18" ht="60" x14ac:dyDescent="0.25">
      <c r="A3451" s="14" t="s">
        <v>9080</v>
      </c>
      <c r="B3451" s="14" t="s">
        <v>9090</v>
      </c>
      <c r="C3451" s="14" t="s">
        <v>8693</v>
      </c>
      <c r="D3451" s="14" t="s">
        <v>8531</v>
      </c>
      <c r="E3451" s="14" t="s">
        <v>4037</v>
      </c>
      <c r="F3451" s="14" t="s">
        <v>4038</v>
      </c>
      <c r="G3451" s="14" t="s">
        <v>37</v>
      </c>
      <c r="H3451" s="14" t="s">
        <v>4041</v>
      </c>
      <c r="I3451" s="14"/>
      <c r="J3451" s="14" t="s">
        <v>135</v>
      </c>
      <c r="K3451" s="14"/>
      <c r="L3451" s="14"/>
      <c r="M3451" s="14" t="s">
        <v>4039</v>
      </c>
      <c r="N3451" s="14"/>
      <c r="O3451" s="14" t="s">
        <v>4040</v>
      </c>
      <c r="P3451" s="14" t="str">
        <f>HYPERLINK("https://ceds.ed.gov/cedselementdetails.aspx?termid=17345")</f>
        <v>https://ceds.ed.gov/cedselementdetails.aspx?termid=17345</v>
      </c>
      <c r="Q3451" s="14" t="str">
        <f>HYPERLINK("https://ceds.ed.gov/elementComment.aspx?elementName=Employment Start Date &amp;elementID=17345", "Click here to submit comment")</f>
        <v>Click here to submit comment</v>
      </c>
      <c r="R3451" s="14">
        <v>50155</v>
      </c>
    </row>
    <row r="3452" spans="1:18" ht="75" x14ac:dyDescent="0.25">
      <c r="A3452" s="14" t="s">
        <v>9080</v>
      </c>
      <c r="B3452" s="14" t="s">
        <v>9090</v>
      </c>
      <c r="C3452" s="14" t="s">
        <v>8693</v>
      </c>
      <c r="D3452" s="14" t="s">
        <v>8531</v>
      </c>
      <c r="E3452" s="14" t="s">
        <v>3995</v>
      </c>
      <c r="F3452" s="14" t="s">
        <v>3996</v>
      </c>
      <c r="G3452" s="14" t="s">
        <v>37</v>
      </c>
      <c r="H3452" s="14" t="s">
        <v>238</v>
      </c>
      <c r="I3452" s="14"/>
      <c r="J3452" s="14" t="s">
        <v>135</v>
      </c>
      <c r="K3452" s="14"/>
      <c r="L3452" s="14" t="s">
        <v>160</v>
      </c>
      <c r="M3452" s="14" t="s">
        <v>3998</v>
      </c>
      <c r="N3452" s="14"/>
      <c r="O3452" s="14" t="s">
        <v>3999</v>
      </c>
      <c r="P3452" s="14" t="str">
        <f>HYPERLINK("https://ceds.ed.gov/cedselementdetails.aspx?termid=17794")</f>
        <v>https://ceds.ed.gov/cedselementdetails.aspx?termid=17794</v>
      </c>
      <c r="Q3452" s="14" t="str">
        <f>HYPERLINK("https://ceds.ed.gov/elementComment.aspx?elementName=Employment End Date &amp;elementID=17794", "Click here to submit comment")</f>
        <v>Click here to submit comment</v>
      </c>
      <c r="R3452" s="14">
        <v>50153</v>
      </c>
    </row>
    <row r="3453" spans="1:18" ht="210" x14ac:dyDescent="0.25">
      <c r="A3453" s="14" t="s">
        <v>9080</v>
      </c>
      <c r="B3453" s="14" t="s">
        <v>9090</v>
      </c>
      <c r="C3453" s="14" t="s">
        <v>8693</v>
      </c>
      <c r="D3453" s="14" t="s">
        <v>8531</v>
      </c>
      <c r="E3453" s="14" t="s">
        <v>5001</v>
      </c>
      <c r="F3453" s="14" t="s">
        <v>5002</v>
      </c>
      <c r="G3453" s="14" t="s">
        <v>37</v>
      </c>
      <c r="H3453" s="14" t="s">
        <v>5007</v>
      </c>
      <c r="I3453" s="14"/>
      <c r="J3453" s="14" t="s">
        <v>135</v>
      </c>
      <c r="K3453" s="14"/>
      <c r="L3453" s="14" t="s">
        <v>5004</v>
      </c>
      <c r="M3453" s="14" t="s">
        <v>5005</v>
      </c>
      <c r="N3453" s="14"/>
      <c r="O3453" s="14" t="s">
        <v>5006</v>
      </c>
      <c r="P3453" s="14" t="str">
        <f>HYPERLINK("https://ceds.ed.gov/cedselementdetails.aspx?termid=17143")</f>
        <v>https://ceds.ed.gov/cedselementdetails.aspx?termid=17143</v>
      </c>
      <c r="Q3453" s="14" t="str">
        <f>HYPERLINK("https://ceds.ed.gov/elementComment.aspx?elementName=Hire Date &amp;elementID=17143", "Click here to submit comment")</f>
        <v>Click here to submit comment</v>
      </c>
      <c r="R3453" s="14">
        <v>50213</v>
      </c>
    </row>
    <row r="3454" spans="1:18" ht="405" x14ac:dyDescent="0.25">
      <c r="A3454" s="14" t="s">
        <v>9080</v>
      </c>
      <c r="B3454" s="14" t="s">
        <v>9090</v>
      </c>
      <c r="C3454" s="14" t="s">
        <v>8693</v>
      </c>
      <c r="D3454" s="14" t="s">
        <v>8541</v>
      </c>
      <c r="E3454" s="14" t="s">
        <v>4027</v>
      </c>
      <c r="F3454" s="14" t="s">
        <v>3763</v>
      </c>
      <c r="G3454" s="8" t="s">
        <v>8695</v>
      </c>
      <c r="H3454" s="14"/>
      <c r="I3454" s="14" t="s">
        <v>195</v>
      </c>
      <c r="J3454" s="14"/>
      <c r="K3454" s="14" t="s">
        <v>2856</v>
      </c>
      <c r="L3454" s="14"/>
      <c r="M3454" s="14" t="s">
        <v>4029</v>
      </c>
      <c r="N3454" s="14"/>
      <c r="O3454" s="14" t="s">
        <v>4030</v>
      </c>
      <c r="P3454" s="14" t="str">
        <f>HYPERLINK("https://ceds.ed.gov/cedselementdetails.aspx?termid=17613")</f>
        <v>https://ceds.ed.gov/cedselementdetails.aspx?termid=17613</v>
      </c>
      <c r="Q3454" s="14" t="str">
        <f>HYPERLINK("https://ceds.ed.gov/elementComment.aspx?elementName=Employment Separation Reason &amp;elementID=17613", "Click here to submit comment")</f>
        <v>Click here to submit comment</v>
      </c>
      <c r="R3454" s="14">
        <v>52209</v>
      </c>
    </row>
    <row r="3455" spans="1:18" ht="105" x14ac:dyDescent="0.25">
      <c r="A3455" s="16" t="s">
        <v>9080</v>
      </c>
      <c r="B3455" s="16" t="s">
        <v>9090</v>
      </c>
      <c r="C3455" s="16" t="s">
        <v>8920</v>
      </c>
      <c r="D3455" s="16" t="s">
        <v>8531</v>
      </c>
      <c r="E3455" s="16" t="s">
        <v>325</v>
      </c>
      <c r="F3455" s="16" t="s">
        <v>326</v>
      </c>
      <c r="G3455" s="16" t="s">
        <v>37</v>
      </c>
      <c r="H3455" s="16"/>
      <c r="I3455" s="16"/>
      <c r="J3455" s="16" t="s">
        <v>149</v>
      </c>
      <c r="K3455" s="16"/>
      <c r="L3455" s="14" t="s">
        <v>150</v>
      </c>
      <c r="M3455" s="16" t="s">
        <v>327</v>
      </c>
      <c r="N3455" s="16"/>
      <c r="O3455" s="16" t="s">
        <v>328</v>
      </c>
      <c r="P3455" s="16" t="str">
        <f>HYPERLINK("https://ceds.ed.gov/cedselementdetails.aspx?termid=17777")</f>
        <v>https://ceds.ed.gov/cedselementdetails.aspx?termid=17777</v>
      </c>
      <c r="Q3455" s="16" t="str">
        <f>HYPERLINK("https://ceds.ed.gov/elementComment.aspx?elementName=Adult Education Service Provider Identifier &amp;elementID=17777", "Click here to submit comment")</f>
        <v>Click here to submit comment</v>
      </c>
      <c r="R3455" s="16">
        <v>50059</v>
      </c>
    </row>
    <row r="3456" spans="1:18" x14ac:dyDescent="0.25">
      <c r="A3456" s="16"/>
      <c r="B3456" s="16"/>
      <c r="C3456" s="16"/>
      <c r="D3456" s="16"/>
      <c r="E3456" s="16"/>
      <c r="F3456" s="16"/>
      <c r="G3456" s="16"/>
      <c r="H3456" s="16"/>
      <c r="I3456" s="16"/>
      <c r="J3456" s="16"/>
      <c r="K3456" s="16"/>
      <c r="L3456" s="14"/>
      <c r="M3456" s="16"/>
      <c r="N3456" s="16"/>
      <c r="O3456" s="16"/>
      <c r="P3456" s="16"/>
      <c r="Q3456" s="16"/>
      <c r="R3456" s="16"/>
    </row>
    <row r="3457" spans="1:18" ht="90" x14ac:dyDescent="0.25">
      <c r="A3457" s="16"/>
      <c r="B3457" s="16"/>
      <c r="C3457" s="16"/>
      <c r="D3457" s="16"/>
      <c r="E3457" s="16"/>
      <c r="F3457" s="16"/>
      <c r="G3457" s="16"/>
      <c r="H3457" s="16"/>
      <c r="I3457" s="16"/>
      <c r="J3457" s="16"/>
      <c r="K3457" s="16"/>
      <c r="L3457" s="14" t="s">
        <v>153</v>
      </c>
      <c r="M3457" s="16"/>
      <c r="N3457" s="16"/>
      <c r="O3457" s="16"/>
      <c r="P3457" s="16"/>
      <c r="Q3457" s="16"/>
      <c r="R3457" s="16"/>
    </row>
    <row r="3458" spans="1:18" ht="240" x14ac:dyDescent="0.25">
      <c r="A3458" s="14" t="s">
        <v>9080</v>
      </c>
      <c r="B3458" s="14" t="s">
        <v>9090</v>
      </c>
      <c r="C3458" s="14" t="s">
        <v>8920</v>
      </c>
      <c r="D3458" s="14" t="s">
        <v>8531</v>
      </c>
      <c r="E3458" s="14" t="s">
        <v>319</v>
      </c>
      <c r="F3458" s="14" t="s">
        <v>320</v>
      </c>
      <c r="G3458" s="8" t="s">
        <v>9082</v>
      </c>
      <c r="H3458" s="14"/>
      <c r="I3458" s="14"/>
      <c r="J3458" s="14"/>
      <c r="K3458" s="14"/>
      <c r="L3458" s="14"/>
      <c r="M3458" s="14" t="s">
        <v>323</v>
      </c>
      <c r="N3458" s="14"/>
      <c r="O3458" s="14" t="s">
        <v>324</v>
      </c>
      <c r="P3458" s="14" t="str">
        <f>HYPERLINK("https://ceds.ed.gov/cedselementdetails.aspx?termid=17778")</f>
        <v>https://ceds.ed.gov/cedselementdetails.aspx?termid=17778</v>
      </c>
      <c r="Q3458" s="14" t="str">
        <f>HYPERLINK("https://ceds.ed.gov/elementComment.aspx?elementName=Adult Education Service Provider Identification System &amp;elementID=17778", "Click here to submit comment")</f>
        <v>Click here to submit comment</v>
      </c>
      <c r="R3458" s="14">
        <v>50060</v>
      </c>
    </row>
    <row r="3459" spans="1:18" ht="409.5" x14ac:dyDescent="0.25">
      <c r="A3459" s="14" t="s">
        <v>9080</v>
      </c>
      <c r="B3459" s="14" t="s">
        <v>9090</v>
      </c>
      <c r="C3459" s="14" t="s">
        <v>8678</v>
      </c>
      <c r="D3459" s="14" t="s">
        <v>8531</v>
      </c>
      <c r="E3459" s="14" t="s">
        <v>4989</v>
      </c>
      <c r="F3459" s="14" t="s">
        <v>4990</v>
      </c>
      <c r="G3459" s="8" t="s">
        <v>8679</v>
      </c>
      <c r="H3459" s="14" t="s">
        <v>4994</v>
      </c>
      <c r="I3459" s="14"/>
      <c r="J3459" s="14"/>
      <c r="K3459" s="14"/>
      <c r="L3459" s="14"/>
      <c r="M3459" s="14" t="s">
        <v>4992</v>
      </c>
      <c r="N3459" s="14"/>
      <c r="O3459" s="14" t="s">
        <v>4993</v>
      </c>
      <c r="P3459" s="14" t="str">
        <f>HYPERLINK("https://ceds.ed.gov/cedselementdetails.aspx?termid=17141")</f>
        <v>https://ceds.ed.gov/cedselementdetails.aspx?termid=17141</v>
      </c>
      <c r="Q3459" s="14" t="str">
        <f>HYPERLINK("https://ceds.ed.gov/elementComment.aspx?elementName=Highest Level of Education Completed &amp;elementID=17141", "Click here to submit comment")</f>
        <v>Click here to submit comment</v>
      </c>
      <c r="R3459" s="14">
        <v>51748</v>
      </c>
    </row>
    <row r="3460" spans="1:18" ht="225" x14ac:dyDescent="0.25">
      <c r="A3460" s="14" t="s">
        <v>9080</v>
      </c>
      <c r="B3460" s="14" t="s">
        <v>9090</v>
      </c>
      <c r="C3460" s="14" t="s">
        <v>8678</v>
      </c>
      <c r="D3460" s="14" t="s">
        <v>8531</v>
      </c>
      <c r="E3460" s="14" t="s">
        <v>6353</v>
      </c>
      <c r="F3460" s="14" t="s">
        <v>6354</v>
      </c>
      <c r="G3460" s="14" t="s">
        <v>37</v>
      </c>
      <c r="H3460" s="14" t="s">
        <v>6358</v>
      </c>
      <c r="I3460" s="14"/>
      <c r="J3460" s="14" t="s">
        <v>175</v>
      </c>
      <c r="K3460" s="14"/>
      <c r="L3460" s="14"/>
      <c r="M3460" s="14" t="s">
        <v>6356</v>
      </c>
      <c r="N3460" s="14"/>
      <c r="O3460" s="14" t="s">
        <v>6357</v>
      </c>
      <c r="P3460" s="14" t="str">
        <f>HYPERLINK("https://ceds.ed.gov/cedselementdetails.aspx?termid=17191")</f>
        <v>https://ceds.ed.gov/cedselementdetails.aspx?termid=17191</v>
      </c>
      <c r="Q3460" s="14" t="str">
        <f>HYPERLINK("https://ceds.ed.gov/elementComment.aspx?elementName=Name of Institution &amp;elementID=17191", "Click here to submit comment")</f>
        <v>Click here to submit comment</v>
      </c>
      <c r="R3460" s="14">
        <v>51734</v>
      </c>
    </row>
    <row r="3461" spans="1:18" ht="90" x14ac:dyDescent="0.25">
      <c r="A3461" s="14" t="s">
        <v>9080</v>
      </c>
      <c r="B3461" s="14" t="s">
        <v>9090</v>
      </c>
      <c r="C3461" s="14" t="s">
        <v>8678</v>
      </c>
      <c r="D3461" s="14" t="s">
        <v>8531</v>
      </c>
      <c r="E3461" s="14" t="s">
        <v>7766</v>
      </c>
      <c r="F3461" s="14" t="s">
        <v>7767</v>
      </c>
      <c r="G3461" s="14" t="s">
        <v>37</v>
      </c>
      <c r="H3461" s="14"/>
      <c r="I3461" s="14"/>
      <c r="J3461" s="14" t="s">
        <v>97</v>
      </c>
      <c r="K3461" s="14"/>
      <c r="L3461" s="14" t="s">
        <v>7769</v>
      </c>
      <c r="M3461" s="14" t="s">
        <v>7770</v>
      </c>
      <c r="N3461" s="14"/>
      <c r="O3461" s="14" t="s">
        <v>7771</v>
      </c>
      <c r="P3461" s="14" t="str">
        <f>HYPERLINK("https://ceds.ed.gov/cedselementdetails.aspx?termid=18459")</f>
        <v>https://ceds.ed.gov/cedselementdetails.aspx?termid=18459</v>
      </c>
      <c r="Q3461" s="14" t="str">
        <f>HYPERLINK("https://ceds.ed.gov/elementComment.aspx?elementName=Short Name of Institution &amp;elementID=18459", "Click here to submit comment")</f>
        <v>Click here to submit comment</v>
      </c>
      <c r="R3461" s="14">
        <v>51752</v>
      </c>
    </row>
    <row r="3462" spans="1:18" ht="120" x14ac:dyDescent="0.25">
      <c r="A3462" s="14" t="s">
        <v>9080</v>
      </c>
      <c r="B3462" s="14" t="s">
        <v>9090</v>
      </c>
      <c r="C3462" s="14" t="s">
        <v>8678</v>
      </c>
      <c r="D3462" s="14" t="s">
        <v>8531</v>
      </c>
      <c r="E3462" s="14" t="s">
        <v>4984</v>
      </c>
      <c r="F3462" s="14" t="s">
        <v>4985</v>
      </c>
      <c r="G3462" s="8" t="s">
        <v>8691</v>
      </c>
      <c r="H3462" s="14" t="s">
        <v>238</v>
      </c>
      <c r="I3462" s="14"/>
      <c r="J3462" s="14"/>
      <c r="K3462" s="14"/>
      <c r="L3462" s="14"/>
      <c r="M3462" s="14" t="s">
        <v>4987</v>
      </c>
      <c r="N3462" s="14"/>
      <c r="O3462" s="14" t="s">
        <v>4988</v>
      </c>
      <c r="P3462" s="14" t="str">
        <f>HYPERLINK("https://ceds.ed.gov/cedselementdetails.aspx?termid=17817")</f>
        <v>https://ceds.ed.gov/cedselementdetails.aspx?termid=17817</v>
      </c>
      <c r="Q3462" s="14" t="str">
        <f>HYPERLINK("https://ceds.ed.gov/elementComment.aspx?elementName=Higher Education Institution Accreditation Status &amp;elementID=17817", "Click here to submit comment")</f>
        <v>Click here to submit comment</v>
      </c>
      <c r="R3462" s="14">
        <v>51750</v>
      </c>
    </row>
    <row r="3463" spans="1:18" ht="60" x14ac:dyDescent="0.25">
      <c r="A3463" s="14" t="s">
        <v>9080</v>
      </c>
      <c r="B3463" s="14" t="s">
        <v>9090</v>
      </c>
      <c r="C3463" s="14" t="s">
        <v>8678</v>
      </c>
      <c r="D3463" s="14" t="s">
        <v>8531</v>
      </c>
      <c r="E3463" s="14" t="s">
        <v>3479</v>
      </c>
      <c r="F3463" s="14" t="s">
        <v>3480</v>
      </c>
      <c r="G3463" s="14" t="s">
        <v>37</v>
      </c>
      <c r="H3463" s="14" t="s">
        <v>3474</v>
      </c>
      <c r="I3463" s="14"/>
      <c r="J3463" s="14" t="s">
        <v>1510</v>
      </c>
      <c r="K3463" s="14"/>
      <c r="L3463" s="14"/>
      <c r="M3463" s="14" t="s">
        <v>3481</v>
      </c>
      <c r="N3463" s="14"/>
      <c r="O3463" s="14" t="s">
        <v>3482</v>
      </c>
      <c r="P3463" s="14" t="str">
        <f>HYPERLINK("https://ceds.ed.gov/cedselementdetails.aspx?termid=17341")</f>
        <v>https://ceds.ed.gov/cedselementdetails.aspx?termid=17341</v>
      </c>
      <c r="Q3463" s="14" t="str">
        <f>HYPERLINK("https://ceds.ed.gov/elementComment.aspx?elementName=Degree or Certificate Title or Subject &amp;elementID=17341", "Click here to submit comment")</f>
        <v>Click here to submit comment</v>
      </c>
      <c r="R3463" s="14">
        <v>51736</v>
      </c>
    </row>
    <row r="3464" spans="1:18" ht="405" x14ac:dyDescent="0.25">
      <c r="A3464" s="14" t="s">
        <v>9080</v>
      </c>
      <c r="B3464" s="14" t="s">
        <v>9090</v>
      </c>
      <c r="C3464" s="14" t="s">
        <v>8678</v>
      </c>
      <c r="D3464" s="14" t="s">
        <v>8531</v>
      </c>
      <c r="E3464" s="14" t="s">
        <v>3483</v>
      </c>
      <c r="F3464" s="14" t="s">
        <v>3484</v>
      </c>
      <c r="G3464" s="8" t="s">
        <v>8690</v>
      </c>
      <c r="H3464" s="14" t="s">
        <v>3474</v>
      </c>
      <c r="I3464" s="14"/>
      <c r="J3464" s="14"/>
      <c r="K3464" s="14"/>
      <c r="L3464" s="14"/>
      <c r="M3464" s="14" t="s">
        <v>3486</v>
      </c>
      <c r="N3464" s="14"/>
      <c r="O3464" s="14" t="s">
        <v>3487</v>
      </c>
      <c r="P3464" s="14" t="str">
        <f>HYPERLINK("https://ceds.ed.gov/cedselementdetails.aspx?termid=17342")</f>
        <v>https://ceds.ed.gov/cedselementdetails.aspx?termid=17342</v>
      </c>
      <c r="Q3464" s="14" t="str">
        <f>HYPERLINK("https://ceds.ed.gov/elementComment.aspx?elementName=Degree or Certificate Type &amp;elementID=17342", "Click here to submit comment")</f>
        <v>Click here to submit comment</v>
      </c>
      <c r="R3464" s="14">
        <v>51738</v>
      </c>
    </row>
    <row r="3465" spans="1:18" ht="60" x14ac:dyDescent="0.25">
      <c r="A3465" s="14" t="s">
        <v>9080</v>
      </c>
      <c r="B3465" s="14" t="s">
        <v>9090</v>
      </c>
      <c r="C3465" s="14" t="s">
        <v>8678</v>
      </c>
      <c r="D3465" s="14" t="s">
        <v>8531</v>
      </c>
      <c r="E3465" s="14" t="s">
        <v>3469</v>
      </c>
      <c r="F3465" s="14" t="s">
        <v>3470</v>
      </c>
      <c r="G3465" s="14" t="s">
        <v>37</v>
      </c>
      <c r="H3465" s="14" t="s">
        <v>3474</v>
      </c>
      <c r="I3465" s="14"/>
      <c r="J3465" s="14" t="s">
        <v>135</v>
      </c>
      <c r="K3465" s="14"/>
      <c r="L3465" s="14"/>
      <c r="M3465" s="14" t="s">
        <v>3472</v>
      </c>
      <c r="N3465" s="14"/>
      <c r="O3465" s="14" t="s">
        <v>3473</v>
      </c>
      <c r="P3465" s="14" t="str">
        <f>HYPERLINK("https://ceds.ed.gov/cedselementdetails.aspx?termid=17343")</f>
        <v>https://ceds.ed.gov/cedselementdetails.aspx?termid=17343</v>
      </c>
      <c r="Q3465" s="14" t="str">
        <f>HYPERLINK("https://ceds.ed.gov/elementComment.aspx?elementName=Degree or Certificate Conferring Date &amp;elementID=17343", "Click here to submit comment")</f>
        <v>Click here to submit comment</v>
      </c>
      <c r="R3465" s="14">
        <v>51740</v>
      </c>
    </row>
    <row r="3466" spans="1:18" ht="75" x14ac:dyDescent="0.25">
      <c r="A3466" s="14" t="s">
        <v>9080</v>
      </c>
      <c r="B3466" s="14" t="s">
        <v>9090</v>
      </c>
      <c r="C3466" s="14" t="s">
        <v>8678</v>
      </c>
      <c r="D3466" s="14" t="s">
        <v>8531</v>
      </c>
      <c r="E3466" s="14" t="s">
        <v>6488</v>
      </c>
      <c r="F3466" s="14" t="s">
        <v>6489</v>
      </c>
      <c r="G3466" s="14" t="s">
        <v>37</v>
      </c>
      <c r="H3466" s="14" t="s">
        <v>238</v>
      </c>
      <c r="I3466" s="14"/>
      <c r="J3466" s="14" t="s">
        <v>1710</v>
      </c>
      <c r="K3466" s="14"/>
      <c r="L3466" s="14"/>
      <c r="M3466" s="14" t="s">
        <v>6490</v>
      </c>
      <c r="N3466" s="14"/>
      <c r="O3466" s="14" t="s">
        <v>6491</v>
      </c>
      <c r="P3466" s="14" t="str">
        <f>HYPERLINK("https://ceds.ed.gov/cedselementdetails.aspx?termid=17815")</f>
        <v>https://ceds.ed.gov/cedselementdetails.aspx?termid=17815</v>
      </c>
      <c r="Q3466" s="14" t="str">
        <f>HYPERLINK("https://ceds.ed.gov/elementComment.aspx?elementName=Number of School-age Education Postsecondary Credit Hours &amp;elementID=17815", "Click here to submit comment")</f>
        <v>Click here to submit comment</v>
      </c>
      <c r="R3466" s="14">
        <v>51742</v>
      </c>
    </row>
    <row r="3467" spans="1:18" ht="75" x14ac:dyDescent="0.25">
      <c r="A3467" s="14" t="s">
        <v>9080</v>
      </c>
      <c r="B3467" s="14" t="s">
        <v>9090</v>
      </c>
      <c r="C3467" s="14" t="s">
        <v>8678</v>
      </c>
      <c r="D3467" s="14" t="s">
        <v>8531</v>
      </c>
      <c r="E3467" s="14" t="s">
        <v>7889</v>
      </c>
      <c r="F3467" s="14" t="s">
        <v>7890</v>
      </c>
      <c r="G3467" s="14" t="s">
        <v>37</v>
      </c>
      <c r="H3467" s="14" t="s">
        <v>238</v>
      </c>
      <c r="I3467" s="14"/>
      <c r="J3467" s="14" t="s">
        <v>135</v>
      </c>
      <c r="K3467" s="14"/>
      <c r="L3467" s="14"/>
      <c r="M3467" s="14" t="s">
        <v>7891</v>
      </c>
      <c r="N3467" s="14"/>
      <c r="O3467" s="14" t="s">
        <v>7892</v>
      </c>
      <c r="P3467" s="14" t="str">
        <f>HYPERLINK("https://ceds.ed.gov/cedselementdetails.aspx?termid=17792")</f>
        <v>https://ceds.ed.gov/cedselementdetails.aspx?termid=17792</v>
      </c>
      <c r="Q3467" s="14" t="str">
        <f>HYPERLINK("https://ceds.ed.gov/elementComment.aspx?elementName=Staff Education Entry Date &amp;elementID=17792", "Click here to submit comment")</f>
        <v>Click here to submit comment</v>
      </c>
      <c r="R3467" s="14">
        <v>51744</v>
      </c>
    </row>
    <row r="3468" spans="1:18" ht="75" x14ac:dyDescent="0.25">
      <c r="A3468" s="14" t="s">
        <v>9080</v>
      </c>
      <c r="B3468" s="14" t="s">
        <v>9090</v>
      </c>
      <c r="C3468" s="14" t="s">
        <v>8678</v>
      </c>
      <c r="D3468" s="14" t="s">
        <v>8531</v>
      </c>
      <c r="E3468" s="14" t="s">
        <v>7893</v>
      </c>
      <c r="F3468" s="14" t="s">
        <v>7894</v>
      </c>
      <c r="G3468" s="14" t="s">
        <v>37</v>
      </c>
      <c r="H3468" s="14" t="s">
        <v>238</v>
      </c>
      <c r="I3468" s="14"/>
      <c r="J3468" s="14" t="s">
        <v>135</v>
      </c>
      <c r="K3468" s="14"/>
      <c r="L3468" s="14"/>
      <c r="M3468" s="14" t="s">
        <v>7895</v>
      </c>
      <c r="N3468" s="14"/>
      <c r="O3468" s="14" t="s">
        <v>7896</v>
      </c>
      <c r="P3468" s="14" t="str">
        <f>HYPERLINK("https://ceds.ed.gov/cedselementdetails.aspx?termid=17793")</f>
        <v>https://ceds.ed.gov/cedselementdetails.aspx?termid=17793</v>
      </c>
      <c r="Q3468" s="14" t="str">
        <f>HYPERLINK("https://ceds.ed.gov/elementComment.aspx?elementName=Staff Education Withdrawal Date &amp;elementID=17793", "Click here to submit comment")</f>
        <v>Click here to submit comment</v>
      </c>
      <c r="R3468" s="14">
        <v>51746</v>
      </c>
    </row>
    <row r="3469" spans="1:18" ht="90" x14ac:dyDescent="0.25">
      <c r="A3469" s="14" t="s">
        <v>9080</v>
      </c>
      <c r="B3469" s="14" t="s">
        <v>9090</v>
      </c>
      <c r="C3469" s="14" t="s">
        <v>8678</v>
      </c>
      <c r="D3469" s="14" t="s">
        <v>8531</v>
      </c>
      <c r="E3469" s="14" t="s">
        <v>3921</v>
      </c>
      <c r="F3469" s="14" t="s">
        <v>3922</v>
      </c>
      <c r="G3469" s="8" t="s">
        <v>8692</v>
      </c>
      <c r="H3469" s="14"/>
      <c r="I3469" s="14"/>
      <c r="J3469" s="14"/>
      <c r="K3469" s="14"/>
      <c r="L3469" s="14"/>
      <c r="M3469" s="14" t="s">
        <v>3925</v>
      </c>
      <c r="N3469" s="14"/>
      <c r="O3469" s="14" t="s">
        <v>3926</v>
      </c>
      <c r="P3469" s="14" t="str">
        <f>HYPERLINK("https://ceds.ed.gov/cedselementdetails.aspx?termid=18586")</f>
        <v>https://ceds.ed.gov/cedselementdetails.aspx?termid=18586</v>
      </c>
      <c r="Q3469" s="14" t="str">
        <f>HYPERLINK("https://ceds.ed.gov/elementComment.aspx?elementName=Education Verification Method &amp;elementID=18586", "Click here to submit comment")</f>
        <v>Click here to submit comment</v>
      </c>
      <c r="R3469" s="14">
        <v>51754</v>
      </c>
    </row>
    <row r="3470" spans="1:18" ht="409.5" x14ac:dyDescent="0.25">
      <c r="A3470" s="14" t="s">
        <v>9080</v>
      </c>
      <c r="B3470" s="14" t="s">
        <v>9090</v>
      </c>
      <c r="C3470" s="14" t="s">
        <v>8603</v>
      </c>
      <c r="D3470" s="14" t="s">
        <v>8541</v>
      </c>
      <c r="E3470" s="14" t="s">
        <v>2853</v>
      </c>
      <c r="F3470" s="14" t="s">
        <v>2854</v>
      </c>
      <c r="G3470" s="8" t="s">
        <v>8548</v>
      </c>
      <c r="H3470" s="14" t="s">
        <v>2859</v>
      </c>
      <c r="I3470" s="14" t="s">
        <v>195</v>
      </c>
      <c r="J3470" s="14"/>
      <c r="K3470" s="14" t="s">
        <v>2856</v>
      </c>
      <c r="L3470" s="6" t="s">
        <v>2849</v>
      </c>
      <c r="M3470" s="14" t="s">
        <v>2857</v>
      </c>
      <c r="N3470" s="14"/>
      <c r="O3470" s="14" t="s">
        <v>2858</v>
      </c>
      <c r="P3470" s="14" t="str">
        <f>HYPERLINK("https://ceds.ed.gov/cedselementdetails.aspx?termid=17051")</f>
        <v>https://ceds.ed.gov/cedselementdetails.aspx?termid=17051</v>
      </c>
      <c r="Q3470" s="14" t="str">
        <f>HYPERLINK("https://ceds.ed.gov/elementComment.aspx?elementName=Country of Birth Code &amp;elementID=17051", "Click here to submit comment")</f>
        <v>Click here to submit comment</v>
      </c>
      <c r="R3470" s="14">
        <v>52206</v>
      </c>
    </row>
    <row r="3471" spans="1:18" ht="105" x14ac:dyDescent="0.25">
      <c r="A3471" s="14" t="s">
        <v>9080</v>
      </c>
      <c r="B3471" s="14" t="s">
        <v>9090</v>
      </c>
      <c r="C3471" s="14" t="s">
        <v>8603</v>
      </c>
      <c r="D3471" s="14" t="s">
        <v>8541</v>
      </c>
      <c r="E3471" s="14" t="s">
        <v>6304</v>
      </c>
      <c r="F3471" s="14" t="s">
        <v>6305</v>
      </c>
      <c r="G3471" s="8" t="s">
        <v>8677</v>
      </c>
      <c r="H3471" s="14"/>
      <c r="I3471" s="14" t="s">
        <v>195</v>
      </c>
      <c r="J3471" s="14"/>
      <c r="K3471" s="14" t="s">
        <v>6308</v>
      </c>
      <c r="L3471" s="14"/>
      <c r="M3471" s="14" t="s">
        <v>6309</v>
      </c>
      <c r="N3471" s="14"/>
      <c r="O3471" s="14" t="s">
        <v>6310</v>
      </c>
      <c r="P3471" s="14" t="str">
        <f>HYPERLINK("https://ceds.ed.gov/cedselementdetails.aspx?termid=18621")</f>
        <v>https://ceds.ed.gov/cedselementdetails.aspx?termid=18621</v>
      </c>
      <c r="Q3471" s="14" t="str">
        <f>HYPERLINK("https://ceds.ed.gov/elementComment.aspx?elementName=Military Branch &amp;elementID=18621", "Click here to submit comment")</f>
        <v>Click here to submit comment</v>
      </c>
      <c r="R3471" s="14">
        <v>52207</v>
      </c>
    </row>
    <row r="3472" spans="1:18" ht="105" x14ac:dyDescent="0.25">
      <c r="A3472" s="14" t="s">
        <v>9080</v>
      </c>
      <c r="B3472" s="14" t="s">
        <v>9090</v>
      </c>
      <c r="C3472" s="14" t="s">
        <v>8603</v>
      </c>
      <c r="D3472" s="14" t="s">
        <v>8541</v>
      </c>
      <c r="E3472" s="14" t="s">
        <v>8363</v>
      </c>
      <c r="F3472" s="14" t="s">
        <v>8364</v>
      </c>
      <c r="G3472" s="14" t="s">
        <v>8527</v>
      </c>
      <c r="H3472" s="14"/>
      <c r="I3472" s="14" t="s">
        <v>195</v>
      </c>
      <c r="J3472" s="14"/>
      <c r="K3472" s="14" t="s">
        <v>8366</v>
      </c>
      <c r="L3472" s="14"/>
      <c r="M3472" s="14" t="s">
        <v>8367</v>
      </c>
      <c r="N3472" s="14"/>
      <c r="O3472" s="14" t="s">
        <v>8368</v>
      </c>
      <c r="P3472" s="14" t="str">
        <f>HYPERLINK("https://ceds.ed.gov/cedselementdetails.aspx?termid=18638")</f>
        <v>https://ceds.ed.gov/cedselementdetails.aspx?termid=18638</v>
      </c>
      <c r="Q3472" s="14" t="str">
        <f>HYPERLINK("https://ceds.ed.gov/elementComment.aspx?elementName=Tribal Affiliation &amp;elementID=18638", "Click here to submit comment")</f>
        <v>Click here to submit comment</v>
      </c>
      <c r="R3472" s="14">
        <v>52208</v>
      </c>
    </row>
    <row r="3473" spans="1:18" ht="90" x14ac:dyDescent="0.25">
      <c r="A3473" s="14" t="s">
        <v>9080</v>
      </c>
      <c r="B3473" s="14" t="s">
        <v>9090</v>
      </c>
      <c r="C3473" s="14" t="s">
        <v>8632</v>
      </c>
      <c r="D3473" s="14" t="s">
        <v>8541</v>
      </c>
      <c r="E3473" s="14" t="s">
        <v>5662</v>
      </c>
      <c r="F3473" s="14" t="s">
        <v>5663</v>
      </c>
      <c r="G3473" s="14" t="s">
        <v>8527</v>
      </c>
      <c r="H3473" s="14" t="s">
        <v>5668</v>
      </c>
      <c r="I3473" s="14" t="s">
        <v>195</v>
      </c>
      <c r="J3473" s="14"/>
      <c r="K3473" s="14" t="s">
        <v>5665</v>
      </c>
      <c r="L3473" s="6" t="s">
        <v>1087</v>
      </c>
      <c r="M3473" s="14" t="s">
        <v>5666</v>
      </c>
      <c r="N3473" s="14"/>
      <c r="O3473" s="14" t="s">
        <v>5667</v>
      </c>
      <c r="P3473" s="14" t="str">
        <f>HYPERLINK("https://ceds.ed.gov/cedselementdetails.aspx?termid=17317")</f>
        <v>https://ceds.ed.gov/cedselementdetails.aspx?termid=17317</v>
      </c>
      <c r="Q3473" s="14" t="str">
        <f>HYPERLINK("https://ceds.ed.gov/elementComment.aspx?elementName=ISO 639-2 Language Code &amp;elementID=17317", "Click here to submit comment")</f>
        <v>Click here to submit comment</v>
      </c>
      <c r="R3473" s="14">
        <v>52210</v>
      </c>
    </row>
    <row r="3474" spans="1:18" ht="105" x14ac:dyDescent="0.25">
      <c r="A3474" s="14" t="s">
        <v>9080</v>
      </c>
      <c r="B3474" s="14" t="s">
        <v>9090</v>
      </c>
      <c r="C3474" s="14" t="s">
        <v>8632</v>
      </c>
      <c r="D3474" s="14" t="s">
        <v>8541</v>
      </c>
      <c r="E3474" s="14" t="s">
        <v>5669</v>
      </c>
      <c r="F3474" s="14" t="s">
        <v>5663</v>
      </c>
      <c r="G3474" s="14" t="s">
        <v>8527</v>
      </c>
      <c r="H3474" s="14"/>
      <c r="I3474" s="14" t="s">
        <v>195</v>
      </c>
      <c r="J3474" s="14"/>
      <c r="K3474" s="14" t="s">
        <v>5670</v>
      </c>
      <c r="L3474" s="6" t="s">
        <v>5671</v>
      </c>
      <c r="M3474" s="14" t="s">
        <v>5672</v>
      </c>
      <c r="N3474" s="14"/>
      <c r="O3474" s="14" t="s">
        <v>5673</v>
      </c>
      <c r="P3474" s="14" t="str">
        <f>HYPERLINK("https://ceds.ed.gov/cedselementdetails.aspx?termid=18618")</f>
        <v>https://ceds.ed.gov/cedselementdetails.aspx?termid=18618</v>
      </c>
      <c r="Q3474" s="14" t="str">
        <f>HYPERLINK("https://ceds.ed.gov/elementComment.aspx?elementName=ISO 639-3 Language Code &amp;elementID=18618", "Click here to submit comment")</f>
        <v>Click here to submit comment</v>
      </c>
      <c r="R3474" s="14">
        <v>52211</v>
      </c>
    </row>
    <row r="3475" spans="1:18" ht="409.5" x14ac:dyDescent="0.25">
      <c r="A3475" s="14" t="s">
        <v>9080</v>
      </c>
      <c r="B3475" s="14" t="s">
        <v>9090</v>
      </c>
      <c r="C3475" s="14" t="s">
        <v>8632</v>
      </c>
      <c r="D3475" s="14" t="s">
        <v>8541</v>
      </c>
      <c r="E3475" s="14" t="s">
        <v>5674</v>
      </c>
      <c r="F3475" s="14" t="s">
        <v>5675</v>
      </c>
      <c r="G3475" s="8" t="s">
        <v>8634</v>
      </c>
      <c r="H3475" s="14"/>
      <c r="I3475" s="14" t="s">
        <v>195</v>
      </c>
      <c r="J3475" s="14"/>
      <c r="K3475" s="14" t="s">
        <v>2856</v>
      </c>
      <c r="L3475" s="6" t="s">
        <v>5677</v>
      </c>
      <c r="M3475" s="14" t="s">
        <v>5678</v>
      </c>
      <c r="N3475" s="14"/>
      <c r="O3475" s="14" t="s">
        <v>5679</v>
      </c>
      <c r="P3475" s="14" t="str">
        <f>HYPERLINK("https://ceds.ed.gov/cedselementdetails.aspx?termid=18619")</f>
        <v>https://ceds.ed.gov/cedselementdetails.aspx?termid=18619</v>
      </c>
      <c r="Q3475" s="14" t="str">
        <f>HYPERLINK("https://ceds.ed.gov/elementComment.aspx?elementName=ISO 639-5 Language Family &amp;elementID=18619", "Click here to submit comment")</f>
        <v>Click here to submit comment</v>
      </c>
      <c r="R3475" s="14">
        <v>52212</v>
      </c>
    </row>
    <row r="3476" spans="1:18" ht="135" x14ac:dyDescent="0.25">
      <c r="A3476" s="14" t="s">
        <v>9080</v>
      </c>
      <c r="B3476" s="14" t="s">
        <v>9090</v>
      </c>
      <c r="C3476" s="14" t="s">
        <v>8632</v>
      </c>
      <c r="D3476" s="14" t="s">
        <v>8541</v>
      </c>
      <c r="E3476" s="14" t="s">
        <v>5717</v>
      </c>
      <c r="F3476" s="14" t="s">
        <v>5718</v>
      </c>
      <c r="G3476" s="8" t="s">
        <v>8633</v>
      </c>
      <c r="H3476" s="14" t="s">
        <v>5668</v>
      </c>
      <c r="I3476" s="14" t="s">
        <v>195</v>
      </c>
      <c r="J3476" s="14"/>
      <c r="K3476" s="14" t="s">
        <v>2856</v>
      </c>
      <c r="L3476" s="14"/>
      <c r="M3476" s="14" t="s">
        <v>5721</v>
      </c>
      <c r="N3476" s="14"/>
      <c r="O3476" s="14" t="s">
        <v>5722</v>
      </c>
      <c r="P3476" s="14" t="str">
        <f>HYPERLINK("https://ceds.ed.gov/cedselementdetails.aspx?termid=17316")</f>
        <v>https://ceds.ed.gov/cedselementdetails.aspx?termid=17316</v>
      </c>
      <c r="Q3476" s="14" t="str">
        <f>HYPERLINK("https://ceds.ed.gov/elementComment.aspx?elementName=Language Type &amp;elementID=17316", "Click here to submit comment")</f>
        <v>Click here to submit comment</v>
      </c>
      <c r="R3476" s="14">
        <v>52213</v>
      </c>
    </row>
    <row r="3477" spans="1:18" ht="409.5" x14ac:dyDescent="0.25">
      <c r="A3477" s="14" t="s">
        <v>9080</v>
      </c>
      <c r="B3477" s="14" t="s">
        <v>9090</v>
      </c>
      <c r="C3477" s="14" t="s">
        <v>8673</v>
      </c>
      <c r="D3477" s="14" t="s">
        <v>8541</v>
      </c>
      <c r="E3477" s="14" t="s">
        <v>6727</v>
      </c>
      <c r="F3477" s="14" t="s">
        <v>6728</v>
      </c>
      <c r="G3477" s="8" t="s">
        <v>8674</v>
      </c>
      <c r="H3477" s="14" t="s">
        <v>1751</v>
      </c>
      <c r="I3477" s="14" t="s">
        <v>195</v>
      </c>
      <c r="J3477" s="14"/>
      <c r="K3477" s="14" t="s">
        <v>6731</v>
      </c>
      <c r="L3477" s="14" t="s">
        <v>6732</v>
      </c>
      <c r="M3477" s="14" t="s">
        <v>6733</v>
      </c>
      <c r="N3477" s="14"/>
      <c r="O3477" s="14" t="s">
        <v>6734</v>
      </c>
      <c r="P3477" s="14" t="str">
        <f>HYPERLINK("https://ceds.ed.gov/cedselementdetails.aspx?termid=17415")</f>
        <v>https://ceds.ed.gov/cedselementdetails.aspx?termid=17415</v>
      </c>
      <c r="Q3477" s="14" t="str">
        <f>HYPERLINK("https://ceds.ed.gov/elementComment.aspx?elementName=Person Relationship Type &amp;elementID=17415", "Click here to submit comment")</f>
        <v>Click here to submit comment</v>
      </c>
      <c r="R3477" s="14">
        <v>52214</v>
      </c>
    </row>
    <row r="3478" spans="1:18" ht="75" x14ac:dyDescent="0.25">
      <c r="A3478" s="14" t="s">
        <v>9080</v>
      </c>
      <c r="B3478" s="14" t="s">
        <v>9090</v>
      </c>
      <c r="C3478" s="14" t="s">
        <v>4</v>
      </c>
      <c r="D3478" s="14" t="s">
        <v>8541</v>
      </c>
      <c r="E3478" s="14" t="s">
        <v>7201</v>
      </c>
      <c r="F3478" s="14" t="s">
        <v>7202</v>
      </c>
      <c r="G3478" s="14" t="s">
        <v>24</v>
      </c>
      <c r="H3478" s="14"/>
      <c r="I3478" s="14" t="s">
        <v>195</v>
      </c>
      <c r="J3478" s="14"/>
      <c r="K3478" s="14" t="s">
        <v>2856</v>
      </c>
      <c r="L3478" s="14"/>
      <c r="M3478" s="14" t="s">
        <v>7204</v>
      </c>
      <c r="N3478" s="14"/>
      <c r="O3478" s="14" t="s">
        <v>7205</v>
      </c>
      <c r="P3478" s="14" t="str">
        <f>HYPERLINK("https://ceds.ed.gov/cedselementdetails.aspx?termid=17760")</f>
        <v>https://ceds.ed.gov/cedselementdetails.aspx?termid=17760</v>
      </c>
      <c r="Q3478" s="14" t="str">
        <f>HYPERLINK("https://ceds.ed.gov/elementComment.aspx?elementName=Public Assistance Status &amp;elementID=17760", "Click here to submit comment")</f>
        <v>Click here to submit comment</v>
      </c>
      <c r="R3478" s="14">
        <v>52215</v>
      </c>
    </row>
    <row r="3479" spans="1:18" ht="105" x14ac:dyDescent="0.25">
      <c r="A3479" s="16" t="s">
        <v>9080</v>
      </c>
      <c r="B3479" s="16" t="s">
        <v>8944</v>
      </c>
      <c r="C3479" s="16"/>
      <c r="D3479" s="16" t="s">
        <v>8531</v>
      </c>
      <c r="E3479" s="16" t="s">
        <v>3066</v>
      </c>
      <c r="F3479" s="16" t="s">
        <v>3067</v>
      </c>
      <c r="G3479" s="16" t="s">
        <v>37</v>
      </c>
      <c r="H3479" s="16"/>
      <c r="I3479" s="16"/>
      <c r="J3479" s="16" t="s">
        <v>149</v>
      </c>
      <c r="K3479" s="16"/>
      <c r="L3479" s="14" t="s">
        <v>150</v>
      </c>
      <c r="M3479" s="16" t="s">
        <v>3068</v>
      </c>
      <c r="N3479" s="16"/>
      <c r="O3479" s="16" t="s">
        <v>3069</v>
      </c>
      <c r="P3479" s="16" t="str">
        <f>HYPERLINK("https://ceds.ed.gov/cedselementdetails.aspx?termid=17979")</f>
        <v>https://ceds.ed.gov/cedselementdetails.aspx?termid=17979</v>
      </c>
      <c r="Q3479" s="16" t="str">
        <f>HYPERLINK("https://ceds.ed.gov/elementComment.aspx?elementName=Course Section Identifier &amp;elementID=17979", "Click here to submit comment")</f>
        <v>Click here to submit comment</v>
      </c>
      <c r="R3479" s="16">
        <v>51665</v>
      </c>
    </row>
    <row r="3480" spans="1:18" x14ac:dyDescent="0.25">
      <c r="A3480" s="16"/>
      <c r="B3480" s="16"/>
      <c r="C3480" s="16"/>
      <c r="D3480" s="16"/>
      <c r="E3480" s="16"/>
      <c r="F3480" s="16"/>
      <c r="G3480" s="16"/>
      <c r="H3480" s="16"/>
      <c r="I3480" s="16"/>
      <c r="J3480" s="16"/>
      <c r="K3480" s="16"/>
      <c r="L3480" s="14"/>
      <c r="M3480" s="16"/>
      <c r="N3480" s="16"/>
      <c r="O3480" s="16"/>
      <c r="P3480" s="16"/>
      <c r="Q3480" s="16"/>
      <c r="R3480" s="16"/>
    </row>
    <row r="3481" spans="1:18" ht="90" x14ac:dyDescent="0.25">
      <c r="A3481" s="16"/>
      <c r="B3481" s="16"/>
      <c r="C3481" s="16"/>
      <c r="D3481" s="16"/>
      <c r="E3481" s="16"/>
      <c r="F3481" s="16"/>
      <c r="G3481" s="16"/>
      <c r="H3481" s="16"/>
      <c r="I3481" s="16"/>
      <c r="J3481" s="16"/>
      <c r="K3481" s="16"/>
      <c r="L3481" s="14" t="s">
        <v>153</v>
      </c>
      <c r="M3481" s="16"/>
      <c r="N3481" s="16"/>
      <c r="O3481" s="16"/>
      <c r="P3481" s="16"/>
      <c r="Q3481" s="16"/>
      <c r="R3481" s="16"/>
    </row>
    <row r="3482" spans="1:18" ht="120" x14ac:dyDescent="0.25">
      <c r="A3482" s="14" t="s">
        <v>9080</v>
      </c>
      <c r="B3482" s="14" t="s">
        <v>8944</v>
      </c>
      <c r="C3482" s="14"/>
      <c r="D3482" s="14" t="s">
        <v>8531</v>
      </c>
      <c r="E3482" s="14" t="s">
        <v>7712</v>
      </c>
      <c r="F3482" s="14" t="s">
        <v>7713</v>
      </c>
      <c r="G3482" s="14" t="s">
        <v>37</v>
      </c>
      <c r="H3482" s="14" t="s">
        <v>1713</v>
      </c>
      <c r="I3482" s="14"/>
      <c r="J3482" s="14" t="s">
        <v>135</v>
      </c>
      <c r="K3482" s="14"/>
      <c r="L3482" s="14"/>
      <c r="M3482" s="14" t="s">
        <v>7714</v>
      </c>
      <c r="N3482" s="14"/>
      <c r="O3482" s="14" t="s">
        <v>7715</v>
      </c>
      <c r="P3482" s="14" t="str">
        <f>HYPERLINK("https://ceds.ed.gov/cedselementdetails.aspx?termid=17251")</f>
        <v>https://ceds.ed.gov/cedselementdetails.aspx?termid=17251</v>
      </c>
      <c r="Q3482" s="14" t="str">
        <f>HYPERLINK("https://ceds.ed.gov/elementComment.aspx?elementName=Session Begin Date &amp;elementID=17251", "Click here to submit comment")</f>
        <v>Click here to submit comment</v>
      </c>
      <c r="R3482" s="14">
        <v>51617</v>
      </c>
    </row>
    <row r="3483" spans="1:18" ht="120" x14ac:dyDescent="0.25">
      <c r="A3483" s="14" t="s">
        <v>9080</v>
      </c>
      <c r="B3483" s="14" t="s">
        <v>8944</v>
      </c>
      <c r="C3483" s="14"/>
      <c r="D3483" s="14" t="s">
        <v>8531</v>
      </c>
      <c r="E3483" s="14" t="s">
        <v>7729</v>
      </c>
      <c r="F3483" s="14" t="s">
        <v>7730</v>
      </c>
      <c r="G3483" s="14" t="s">
        <v>37</v>
      </c>
      <c r="H3483" s="14" t="s">
        <v>1713</v>
      </c>
      <c r="I3483" s="14"/>
      <c r="J3483" s="14" t="s">
        <v>135</v>
      </c>
      <c r="K3483" s="14"/>
      <c r="L3483" s="14" t="s">
        <v>160</v>
      </c>
      <c r="M3483" s="14" t="s">
        <v>7731</v>
      </c>
      <c r="N3483" s="14"/>
      <c r="O3483" s="14" t="s">
        <v>7732</v>
      </c>
      <c r="P3483" s="14" t="str">
        <f>HYPERLINK("https://ceds.ed.gov/cedselementdetails.aspx?termid=17253")</f>
        <v>https://ceds.ed.gov/cedselementdetails.aspx?termid=17253</v>
      </c>
      <c r="Q3483" s="14" t="str">
        <f>HYPERLINK("https://ceds.ed.gov/elementComment.aspx?elementName=Session End Date &amp;elementID=17253", "Click here to submit comment")</f>
        <v>Click here to submit comment</v>
      </c>
      <c r="R3483" s="14">
        <v>51619</v>
      </c>
    </row>
    <row r="3484" spans="1:18" ht="45" x14ac:dyDescent="0.25">
      <c r="A3484" s="14" t="s">
        <v>9080</v>
      </c>
      <c r="B3484" s="14" t="s">
        <v>8944</v>
      </c>
      <c r="C3484" s="14"/>
      <c r="D3484" s="14" t="s">
        <v>8531</v>
      </c>
      <c r="E3484" s="14" t="s">
        <v>7724</v>
      </c>
      <c r="F3484" s="14" t="s">
        <v>7725</v>
      </c>
      <c r="G3484" s="14" t="s">
        <v>37</v>
      </c>
      <c r="H3484" s="14" t="s">
        <v>2232</v>
      </c>
      <c r="I3484" s="14"/>
      <c r="J3484" s="14" t="s">
        <v>3554</v>
      </c>
      <c r="K3484" s="14"/>
      <c r="L3484" s="14"/>
      <c r="M3484" s="14" t="s">
        <v>7727</v>
      </c>
      <c r="N3484" s="14"/>
      <c r="O3484" s="14" t="s">
        <v>7728</v>
      </c>
      <c r="P3484" s="14" t="str">
        <f>HYPERLINK("https://ceds.ed.gov/cedselementdetails.aspx?termid=17252")</f>
        <v>https://ceds.ed.gov/cedselementdetails.aspx?termid=17252</v>
      </c>
      <c r="Q3484" s="14" t="str">
        <f>HYPERLINK("https://ceds.ed.gov/elementComment.aspx?elementName=Session Designator &amp;elementID=17252", "Click here to submit comment")</f>
        <v>Click here to submit comment</v>
      </c>
      <c r="R3484" s="14">
        <v>51618</v>
      </c>
    </row>
    <row r="3485" spans="1:18" ht="60" x14ac:dyDescent="0.25">
      <c r="A3485" s="14" t="s">
        <v>9080</v>
      </c>
      <c r="B3485" s="14" t="s">
        <v>8944</v>
      </c>
      <c r="C3485" s="14"/>
      <c r="D3485" s="14" t="s">
        <v>8531</v>
      </c>
      <c r="E3485" s="14" t="s">
        <v>7716</v>
      </c>
      <c r="F3485" s="14" t="s">
        <v>7717</v>
      </c>
      <c r="G3485" s="14" t="s">
        <v>37</v>
      </c>
      <c r="H3485" s="14"/>
      <c r="I3485" s="14"/>
      <c r="J3485" s="14" t="s">
        <v>97</v>
      </c>
      <c r="K3485" s="14"/>
      <c r="L3485" s="14"/>
      <c r="M3485" s="14" t="s">
        <v>7718</v>
      </c>
      <c r="N3485" s="14"/>
      <c r="O3485" s="14" t="s">
        <v>7719</v>
      </c>
      <c r="P3485" s="14" t="str">
        <f>HYPERLINK("https://ceds.ed.gov/cedselementdetails.aspx?termid=18236")</f>
        <v>https://ceds.ed.gov/cedselementdetails.aspx?termid=18236</v>
      </c>
      <c r="Q3485" s="14" t="str">
        <f>HYPERLINK("https://ceds.ed.gov/elementComment.aspx?elementName=Session Code &amp;elementID=18236", "Click here to submit comment")</f>
        <v>Click here to submit comment</v>
      </c>
      <c r="R3485" s="14">
        <v>51659</v>
      </c>
    </row>
    <row r="3486" spans="1:18" ht="180" x14ac:dyDescent="0.25">
      <c r="A3486" s="14" t="s">
        <v>9080</v>
      </c>
      <c r="B3486" s="14" t="s">
        <v>8944</v>
      </c>
      <c r="C3486" s="14"/>
      <c r="D3486" s="14" t="s">
        <v>8531</v>
      </c>
      <c r="E3486" s="14" t="s">
        <v>7750</v>
      </c>
      <c r="F3486" s="14" t="s">
        <v>7751</v>
      </c>
      <c r="G3486" s="8" t="s">
        <v>8787</v>
      </c>
      <c r="H3486" s="14" t="s">
        <v>1713</v>
      </c>
      <c r="I3486" s="14"/>
      <c r="J3486" s="14"/>
      <c r="K3486" s="14"/>
      <c r="L3486" s="14"/>
      <c r="M3486" s="14" t="s">
        <v>7754</v>
      </c>
      <c r="N3486" s="14"/>
      <c r="O3486" s="14" t="s">
        <v>7755</v>
      </c>
      <c r="P3486" s="14" t="str">
        <f>HYPERLINK("https://ceds.ed.gov/cedselementdetails.aspx?termid=17254")</f>
        <v>https://ceds.ed.gov/cedselementdetails.aspx?termid=17254</v>
      </c>
      <c r="Q3486" s="14" t="str">
        <f>HYPERLINK("https://ceds.ed.gov/elementComment.aspx?elementName=Session Type &amp;elementID=17254", "Click here to submit comment")</f>
        <v>Click here to submit comment</v>
      </c>
      <c r="R3486" s="14">
        <v>51620</v>
      </c>
    </row>
    <row r="3487" spans="1:18" ht="45" x14ac:dyDescent="0.25">
      <c r="A3487" s="14" t="s">
        <v>9080</v>
      </c>
      <c r="B3487" s="14" t="s">
        <v>8944</v>
      </c>
      <c r="C3487" s="14"/>
      <c r="D3487" s="14" t="s">
        <v>8531</v>
      </c>
      <c r="E3487" s="14" t="s">
        <v>7720</v>
      </c>
      <c r="F3487" s="14" t="s">
        <v>7721</v>
      </c>
      <c r="G3487" s="14" t="s">
        <v>37</v>
      </c>
      <c r="H3487" s="14"/>
      <c r="I3487" s="14"/>
      <c r="J3487" s="14" t="s">
        <v>382</v>
      </c>
      <c r="K3487" s="14"/>
      <c r="L3487" s="14"/>
      <c r="M3487" s="14" t="s">
        <v>7722</v>
      </c>
      <c r="N3487" s="14"/>
      <c r="O3487" s="14" t="s">
        <v>7723</v>
      </c>
      <c r="P3487" s="14" t="str">
        <f>HYPERLINK("https://ceds.ed.gov/cedselementdetails.aspx?termid=18237")</f>
        <v>https://ceds.ed.gov/cedselementdetails.aspx?termid=18237</v>
      </c>
      <c r="Q3487" s="14" t="str">
        <f>HYPERLINK("https://ceds.ed.gov/elementComment.aspx?elementName=Session Description &amp;elementID=18237", "Click here to submit comment")</f>
        <v>Click here to submit comment</v>
      </c>
      <c r="R3487" s="14">
        <v>51660</v>
      </c>
    </row>
    <row r="3488" spans="1:18" ht="409.5" x14ac:dyDescent="0.25">
      <c r="A3488" s="14" t="s">
        <v>9080</v>
      </c>
      <c r="B3488" s="14" t="s">
        <v>8944</v>
      </c>
      <c r="C3488" s="14"/>
      <c r="D3488" s="14" t="s">
        <v>8531</v>
      </c>
      <c r="E3488" s="14" t="s">
        <v>355</v>
      </c>
      <c r="F3488" s="14" t="s">
        <v>356</v>
      </c>
      <c r="G3488" s="8" t="s">
        <v>8941</v>
      </c>
      <c r="H3488" s="14"/>
      <c r="I3488" s="14"/>
      <c r="J3488" s="14" t="s">
        <v>175</v>
      </c>
      <c r="K3488" s="14"/>
      <c r="L3488" s="14"/>
      <c r="M3488" s="14" t="s">
        <v>359</v>
      </c>
      <c r="N3488" s="14" t="s">
        <v>360</v>
      </c>
      <c r="O3488" s="14" t="s">
        <v>361</v>
      </c>
      <c r="P3488" s="14" t="str">
        <f>HYPERLINK("https://ceds.ed.gov/cedselementdetails.aspx?termid=18244")</f>
        <v>https://ceds.ed.gov/cedselementdetails.aspx?termid=18244</v>
      </c>
      <c r="Q3488" s="14" t="str">
        <f>HYPERLINK("https://ceds.ed.gov/elementComment.aspx?elementName=Advanced Placement Course Code &amp;elementID=18244", "Click here to submit comment")</f>
        <v>Click here to submit comment</v>
      </c>
      <c r="R3488" s="14">
        <v>51623</v>
      </c>
    </row>
    <row r="3489" spans="1:18" ht="45" x14ac:dyDescent="0.25">
      <c r="A3489" s="14" t="s">
        <v>9080</v>
      </c>
      <c r="B3489" s="14" t="s">
        <v>8944</v>
      </c>
      <c r="C3489" s="14"/>
      <c r="D3489" s="14" t="s">
        <v>8531</v>
      </c>
      <c r="E3489" s="14" t="s">
        <v>2936</v>
      </c>
      <c r="F3489" s="14" t="s">
        <v>2937</v>
      </c>
      <c r="G3489" s="14" t="s">
        <v>37</v>
      </c>
      <c r="H3489" s="14"/>
      <c r="I3489" s="14"/>
      <c r="J3489" s="14" t="s">
        <v>175</v>
      </c>
      <c r="K3489" s="14"/>
      <c r="L3489" s="14"/>
      <c r="M3489" s="14" t="s">
        <v>2938</v>
      </c>
      <c r="N3489" s="14"/>
      <c r="O3489" s="14" t="s">
        <v>2939</v>
      </c>
      <c r="P3489" s="14" t="str">
        <f>HYPERLINK("https://ceds.ed.gov/cedselementdetails.aspx?termid=17508")</f>
        <v>https://ceds.ed.gov/cedselementdetails.aspx?termid=17508</v>
      </c>
      <c r="Q3489" s="14" t="str">
        <f>HYPERLINK("https://ceds.ed.gov/elementComment.aspx?elementName=Course Description &amp;elementID=17508", "Click here to submit comment")</f>
        <v>Click here to submit comment</v>
      </c>
      <c r="R3489" s="14">
        <v>51647</v>
      </c>
    </row>
    <row r="3490" spans="1:18" ht="409.5" x14ac:dyDescent="0.25">
      <c r="A3490" s="14" t="s">
        <v>9080</v>
      </c>
      <c r="B3490" s="14" t="s">
        <v>8944</v>
      </c>
      <c r="C3490" s="14"/>
      <c r="D3490" s="14" t="s">
        <v>8531</v>
      </c>
      <c r="E3490" s="14" t="s">
        <v>2894</v>
      </c>
      <c r="F3490" s="14" t="s">
        <v>2895</v>
      </c>
      <c r="G3490" s="8" t="s">
        <v>8938</v>
      </c>
      <c r="H3490" s="14"/>
      <c r="I3490" s="14"/>
      <c r="J3490" s="14"/>
      <c r="K3490" s="14"/>
      <c r="L3490" s="14" t="s">
        <v>2898</v>
      </c>
      <c r="M3490" s="14" t="s">
        <v>2899</v>
      </c>
      <c r="N3490" s="14"/>
      <c r="O3490" s="14" t="s">
        <v>2900</v>
      </c>
      <c r="P3490" s="14" t="str">
        <f>HYPERLINK("https://ceds.ed.gov/cedselementdetails.aspx?termid=18267")</f>
        <v>https://ceds.ed.gov/cedselementdetails.aspx?termid=18267</v>
      </c>
      <c r="Q3490" s="14" t="str">
        <f>HYPERLINK("https://ceds.ed.gov/elementComment.aspx?elementName=Course Applicable Education Level &amp;elementID=18267", "Click here to submit comment")</f>
        <v>Click here to submit comment</v>
      </c>
      <c r="R3490" s="14">
        <v>51652</v>
      </c>
    </row>
    <row r="3491" spans="1:18" ht="360" x14ac:dyDescent="0.25">
      <c r="A3491" s="14" t="s">
        <v>9080</v>
      </c>
      <c r="B3491" s="14" t="s">
        <v>8944</v>
      </c>
      <c r="C3491" s="14"/>
      <c r="D3491" s="14" t="s">
        <v>8531</v>
      </c>
      <c r="E3491" s="14" t="s">
        <v>2182</v>
      </c>
      <c r="F3491" s="14" t="s">
        <v>2183</v>
      </c>
      <c r="G3491" s="8" t="s">
        <v>8942</v>
      </c>
      <c r="H3491" s="14"/>
      <c r="I3491" s="14"/>
      <c r="J3491" s="14"/>
      <c r="K3491" s="14"/>
      <c r="L3491" s="14" t="s">
        <v>2186</v>
      </c>
      <c r="M3491" s="14" t="s">
        <v>2187</v>
      </c>
      <c r="N3491" s="14"/>
      <c r="O3491" s="14" t="s">
        <v>2188</v>
      </c>
      <c r="P3491" s="14" t="str">
        <f>HYPERLINK("https://ceds.ed.gov/cedselementdetails.aspx?termid=18254")</f>
        <v>https://ceds.ed.gov/cedselementdetails.aspx?termid=18254</v>
      </c>
      <c r="Q3491" s="14" t="str">
        <f>HYPERLINK("https://ceds.ed.gov/elementComment.aspx?elementName=Career Cluster &amp;elementID=18254", "Click here to submit comment")</f>
        <v>Click here to submit comment</v>
      </c>
      <c r="R3491" s="14">
        <v>51651</v>
      </c>
    </row>
    <row r="3492" spans="1:18" ht="45" x14ac:dyDescent="0.25">
      <c r="A3492" s="14" t="s">
        <v>9080</v>
      </c>
      <c r="B3492" s="14" t="s">
        <v>8944</v>
      </c>
      <c r="C3492" s="14"/>
      <c r="D3492" s="14" t="s">
        <v>8531</v>
      </c>
      <c r="E3492" s="14" t="s">
        <v>2890</v>
      </c>
      <c r="F3492" s="14" t="s">
        <v>2891</v>
      </c>
      <c r="G3492" s="14" t="s">
        <v>24</v>
      </c>
      <c r="H3492" s="14"/>
      <c r="I3492" s="14"/>
      <c r="J3492" s="14"/>
      <c r="K3492" s="14"/>
      <c r="L3492" s="14"/>
      <c r="M3492" s="14" t="s">
        <v>2892</v>
      </c>
      <c r="N3492" s="14"/>
      <c r="O3492" s="14" t="s">
        <v>2893</v>
      </c>
      <c r="P3492" s="14" t="str">
        <f>HYPERLINK("https://ceds.ed.gov/cedselementdetails.aspx?termid=17013")</f>
        <v>https://ceds.ed.gov/cedselementdetails.aspx?termid=17013</v>
      </c>
      <c r="Q3492" s="14" t="str">
        <f>HYPERLINK("https://ceds.ed.gov/elementComment.aspx?elementName=Course Aligned with Standards &amp;elementID=17013", "Click here to submit comment")</f>
        <v>Click here to submit comment</v>
      </c>
      <c r="R3492" s="14">
        <v>51668</v>
      </c>
    </row>
    <row r="3493" spans="1:18" ht="45" x14ac:dyDescent="0.25">
      <c r="A3493" s="14" t="s">
        <v>9080</v>
      </c>
      <c r="B3493" s="14" t="s">
        <v>8944</v>
      </c>
      <c r="C3493" s="14"/>
      <c r="D3493" s="14" t="s">
        <v>8531</v>
      </c>
      <c r="E3493" s="14" t="s">
        <v>7738</v>
      </c>
      <c r="F3493" s="14" t="s">
        <v>7739</v>
      </c>
      <c r="G3493" s="14" t="s">
        <v>24</v>
      </c>
      <c r="H3493" s="14"/>
      <c r="I3493" s="14"/>
      <c r="J3493" s="14"/>
      <c r="K3493" s="14"/>
      <c r="L3493" s="14"/>
      <c r="M3493" s="14" t="s">
        <v>7740</v>
      </c>
      <c r="N3493" s="14"/>
      <c r="O3493" s="14" t="s">
        <v>7741</v>
      </c>
      <c r="P3493" s="14" t="str">
        <f>HYPERLINK("https://ceds.ed.gov/cedselementdetails.aspx?termid=18238")</f>
        <v>https://ceds.ed.gov/cedselementdetails.aspx?termid=18238</v>
      </c>
      <c r="Q3493" s="14" t="str">
        <f>HYPERLINK("https://ceds.ed.gov/elementComment.aspx?elementName=Session Marking Term Indicator &amp;elementID=18238", "Click here to submit comment")</f>
        <v>Click here to submit comment</v>
      </c>
      <c r="R3493" s="14">
        <v>51661</v>
      </c>
    </row>
    <row r="3494" spans="1:18" ht="45" x14ac:dyDescent="0.25">
      <c r="A3494" s="14" t="s">
        <v>9080</v>
      </c>
      <c r="B3494" s="14" t="s">
        <v>8944</v>
      </c>
      <c r="C3494" s="14"/>
      <c r="D3494" s="14" t="s">
        <v>8531</v>
      </c>
      <c r="E3494" s="14" t="s">
        <v>7742</v>
      </c>
      <c r="F3494" s="14" t="s">
        <v>7743</v>
      </c>
      <c r="G3494" s="14" t="s">
        <v>24</v>
      </c>
      <c r="H3494" s="14"/>
      <c r="I3494" s="14"/>
      <c r="J3494" s="14"/>
      <c r="K3494" s="14"/>
      <c r="L3494" s="14"/>
      <c r="M3494" s="14" t="s">
        <v>7744</v>
      </c>
      <c r="N3494" s="14"/>
      <c r="O3494" s="14" t="s">
        <v>7745</v>
      </c>
      <c r="P3494" s="14" t="str">
        <f>HYPERLINK("https://ceds.ed.gov/cedselementdetails.aspx?termid=18239")</f>
        <v>https://ceds.ed.gov/cedselementdetails.aspx?termid=18239</v>
      </c>
      <c r="Q3494" s="14" t="str">
        <f>HYPERLINK("https://ceds.ed.gov/elementComment.aspx?elementName=Session Scheduling Term Indicator &amp;elementID=18239", "Click here to submit comment")</f>
        <v>Click here to submit comment</v>
      </c>
      <c r="R3494" s="14">
        <v>51662</v>
      </c>
    </row>
    <row r="3495" spans="1:18" ht="45" x14ac:dyDescent="0.25">
      <c r="A3495" s="14" t="s">
        <v>9080</v>
      </c>
      <c r="B3495" s="14" t="s">
        <v>8944</v>
      </c>
      <c r="C3495" s="14"/>
      <c r="D3495" s="14" t="s">
        <v>8531</v>
      </c>
      <c r="E3495" s="14" t="s">
        <v>7707</v>
      </c>
      <c r="F3495" s="14" t="s">
        <v>7708</v>
      </c>
      <c r="G3495" s="14" t="s">
        <v>24</v>
      </c>
      <c r="H3495" s="14"/>
      <c r="I3495" s="14"/>
      <c r="J3495" s="14"/>
      <c r="K3495" s="14"/>
      <c r="L3495" s="14"/>
      <c r="M3495" s="14" t="s">
        <v>7710</v>
      </c>
      <c r="N3495" s="14"/>
      <c r="O3495" s="14" t="s">
        <v>7711</v>
      </c>
      <c r="P3495" s="14" t="str">
        <f>HYPERLINK("https://ceds.ed.gov/cedselementdetails.aspx?termid=18240")</f>
        <v>https://ceds.ed.gov/cedselementdetails.aspx?termid=18240</v>
      </c>
      <c r="Q3495" s="14" t="str">
        <f>HYPERLINK("https://ceds.ed.gov/elementComment.aspx?elementName=Session Attendance Term Indicator &amp;elementID=18240", "Click here to submit comment")</f>
        <v>Click here to submit comment</v>
      </c>
      <c r="R3495" s="14">
        <v>51663</v>
      </c>
    </row>
    <row r="3496" spans="1:18" ht="150" x14ac:dyDescent="0.25">
      <c r="A3496" s="14" t="s">
        <v>9080</v>
      </c>
      <c r="B3496" s="14" t="s">
        <v>8944</v>
      </c>
      <c r="C3496" s="14"/>
      <c r="D3496" s="14" t="s">
        <v>8531</v>
      </c>
      <c r="E3496" s="14" t="s">
        <v>2873</v>
      </c>
      <c r="F3496" s="14" t="s">
        <v>2874</v>
      </c>
      <c r="G3496" s="14" t="s">
        <v>37</v>
      </c>
      <c r="H3496" s="14"/>
      <c r="I3496" s="14"/>
      <c r="J3496" s="14" t="s">
        <v>2876</v>
      </c>
      <c r="K3496" s="14"/>
      <c r="L3496" s="14" t="s">
        <v>2877</v>
      </c>
      <c r="M3496" s="14" t="s">
        <v>2878</v>
      </c>
      <c r="N3496" s="14"/>
      <c r="O3496" s="14" t="s">
        <v>2879</v>
      </c>
      <c r="P3496" s="14" t="str">
        <f>HYPERLINK("https://ceds.ed.gov/cedselementdetails.aspx?termid=18264")</f>
        <v>https://ceds.ed.gov/cedselementdetails.aspx?termid=18264</v>
      </c>
      <c r="Q3496" s="14" t="str">
        <f>HYPERLINK("https://ceds.ed.gov/elementComment.aspx?elementName=Course Academic Grade Scale Code &amp;elementID=18264", "Click here to submit comment")</f>
        <v>Click here to submit comment</v>
      </c>
      <c r="R3496" s="14">
        <v>51624</v>
      </c>
    </row>
    <row r="3497" spans="1:18" ht="75" x14ac:dyDescent="0.25">
      <c r="A3497" s="14" t="s">
        <v>9080</v>
      </c>
      <c r="B3497" s="14" t="s">
        <v>8944</v>
      </c>
      <c r="C3497" s="14"/>
      <c r="D3497" s="14" t="s">
        <v>8531</v>
      </c>
      <c r="E3497" s="14" t="s">
        <v>3079</v>
      </c>
      <c r="F3497" s="14" t="s">
        <v>3080</v>
      </c>
      <c r="G3497" s="14" t="s">
        <v>37</v>
      </c>
      <c r="H3497" s="14"/>
      <c r="I3497" s="14"/>
      <c r="J3497" s="14" t="s">
        <v>97</v>
      </c>
      <c r="K3497" s="14"/>
      <c r="L3497" s="14"/>
      <c r="M3497" s="14" t="s">
        <v>3081</v>
      </c>
      <c r="N3497" s="14"/>
      <c r="O3497" s="14" t="s">
        <v>3082</v>
      </c>
      <c r="P3497" s="14" t="str">
        <f>HYPERLINK("https://ceds.ed.gov/cedselementdetails.aspx?termid=18281")</f>
        <v>https://ceds.ed.gov/cedselementdetails.aspx?termid=18281</v>
      </c>
      <c r="Q3497" s="14" t="str">
        <f>HYPERLINK("https://ceds.ed.gov/elementComment.aspx?elementName=Course Section Number &amp;elementID=18281", "Click here to submit comment")</f>
        <v>Click here to submit comment</v>
      </c>
      <c r="R3497" s="14">
        <v>51633</v>
      </c>
    </row>
    <row r="3498" spans="1:18" ht="165" x14ac:dyDescent="0.25">
      <c r="A3498" s="14" t="s">
        <v>9080</v>
      </c>
      <c r="B3498" s="14" t="s">
        <v>8944</v>
      </c>
      <c r="C3498" s="14"/>
      <c r="D3498" s="14" t="s">
        <v>8531</v>
      </c>
      <c r="E3498" s="14" t="s">
        <v>3089</v>
      </c>
      <c r="F3498" s="14" t="s">
        <v>3090</v>
      </c>
      <c r="G3498" s="14" t="s">
        <v>37</v>
      </c>
      <c r="H3498" s="14" t="s">
        <v>3093</v>
      </c>
      <c r="I3498" s="14"/>
      <c r="J3498" s="14" t="s">
        <v>370</v>
      </c>
      <c r="K3498" s="14"/>
      <c r="L3498" s="14"/>
      <c r="M3498" s="14" t="s">
        <v>3091</v>
      </c>
      <c r="N3498" s="14"/>
      <c r="O3498" s="14" t="s">
        <v>3092</v>
      </c>
      <c r="P3498" s="14" t="str">
        <f>HYPERLINK("https://ceds.ed.gov/cedselementdetails.aspx?termid=17101")</f>
        <v>https://ceds.ed.gov/cedselementdetails.aspx?termid=17101</v>
      </c>
      <c r="Q3498" s="14" t="str">
        <f>HYPERLINK("https://ceds.ed.gov/elementComment.aspx?elementName=Course Section Time Required for Completion &amp;elementID=17101", "Click here to submit comment")</f>
        <v>Click here to submit comment</v>
      </c>
      <c r="R3498" s="14">
        <v>51669</v>
      </c>
    </row>
    <row r="3499" spans="1:18" ht="45" x14ac:dyDescent="0.25">
      <c r="A3499" s="14" t="s">
        <v>9080</v>
      </c>
      <c r="B3499" s="14" t="s">
        <v>8944</v>
      </c>
      <c r="C3499" s="14"/>
      <c r="D3499" s="14" t="s">
        <v>8531</v>
      </c>
      <c r="E3499" s="14" t="s">
        <v>2341</v>
      </c>
      <c r="F3499" s="14" t="s">
        <v>2342</v>
      </c>
      <c r="G3499" s="14" t="s">
        <v>37</v>
      </c>
      <c r="H3499" s="14" t="s">
        <v>2346</v>
      </c>
      <c r="I3499" s="14"/>
      <c r="J3499" s="14" t="s">
        <v>501</v>
      </c>
      <c r="K3499" s="14"/>
      <c r="L3499" s="14"/>
      <c r="M3499" s="14" t="s">
        <v>2344</v>
      </c>
      <c r="N3499" s="14"/>
      <c r="O3499" s="14" t="s">
        <v>2345</v>
      </c>
      <c r="P3499" s="14" t="str">
        <f>HYPERLINK("https://ceds.ed.gov/cedselementdetails.aspx?termid=17510")</f>
        <v>https://ceds.ed.gov/cedselementdetails.aspx?termid=17510</v>
      </c>
      <c r="Q3499" s="14" t="str">
        <f>HYPERLINK("https://ceds.ed.gov/elementComment.aspx?elementName=Class Beginning Time &amp;elementID=17510", "Click here to submit comment")</f>
        <v>Click here to submit comment</v>
      </c>
      <c r="R3499" s="14">
        <v>51639</v>
      </c>
    </row>
    <row r="3500" spans="1:18" ht="45" x14ac:dyDescent="0.25">
      <c r="A3500" s="14" t="s">
        <v>9080</v>
      </c>
      <c r="B3500" s="14" t="s">
        <v>8944</v>
      </c>
      <c r="C3500" s="14"/>
      <c r="D3500" s="14" t="s">
        <v>8531</v>
      </c>
      <c r="E3500" s="14" t="s">
        <v>2347</v>
      </c>
      <c r="F3500" s="14" t="s">
        <v>2348</v>
      </c>
      <c r="G3500" s="14" t="s">
        <v>37</v>
      </c>
      <c r="H3500" s="14" t="s">
        <v>2346</v>
      </c>
      <c r="I3500" s="14"/>
      <c r="J3500" s="14" t="s">
        <v>501</v>
      </c>
      <c r="K3500" s="14"/>
      <c r="L3500" s="14"/>
      <c r="M3500" s="14" t="s">
        <v>2349</v>
      </c>
      <c r="N3500" s="14"/>
      <c r="O3500" s="14" t="s">
        <v>2350</v>
      </c>
      <c r="P3500" s="14" t="str">
        <f>HYPERLINK("https://ceds.ed.gov/cedselementdetails.aspx?termid=17511")</f>
        <v>https://ceds.ed.gov/cedselementdetails.aspx?termid=17511</v>
      </c>
      <c r="Q3500" s="14" t="str">
        <f>HYPERLINK("https://ceds.ed.gov/elementComment.aspx?elementName=Class Ending Time &amp;elementID=17511", "Click here to submit comment")</f>
        <v>Click here to submit comment</v>
      </c>
      <c r="R3500" s="14">
        <v>51640</v>
      </c>
    </row>
    <row r="3501" spans="1:18" ht="60" x14ac:dyDescent="0.25">
      <c r="A3501" s="14" t="s">
        <v>9080</v>
      </c>
      <c r="B3501" s="14" t="s">
        <v>8944</v>
      </c>
      <c r="C3501" s="14"/>
      <c r="D3501" s="14" t="s">
        <v>8531</v>
      </c>
      <c r="E3501" s="14" t="s">
        <v>2351</v>
      </c>
      <c r="F3501" s="14" t="s">
        <v>2352</v>
      </c>
      <c r="G3501" s="14" t="s">
        <v>37</v>
      </c>
      <c r="H3501" s="14"/>
      <c r="I3501" s="14"/>
      <c r="J3501" s="14" t="s">
        <v>175</v>
      </c>
      <c r="K3501" s="14"/>
      <c r="L3501" s="14"/>
      <c r="M3501" s="14" t="s">
        <v>2354</v>
      </c>
      <c r="N3501" s="14"/>
      <c r="O3501" s="14" t="s">
        <v>2355</v>
      </c>
      <c r="P3501" s="14" t="str">
        <f>HYPERLINK("https://ceds.ed.gov/cedselementdetails.aspx?termid=17512")</f>
        <v>https://ceds.ed.gov/cedselementdetails.aspx?termid=17512</v>
      </c>
      <c r="Q3501" s="14" t="str">
        <f>HYPERLINK("https://ceds.ed.gov/elementComment.aspx?elementName=Class Meeting Days &amp;elementID=17512", "Click here to submit comment")</f>
        <v>Click here to submit comment</v>
      </c>
      <c r="R3501" s="14">
        <v>51641</v>
      </c>
    </row>
    <row r="3502" spans="1:18" ht="75" x14ac:dyDescent="0.25">
      <c r="A3502" s="14" t="s">
        <v>9080</v>
      </c>
      <c r="B3502" s="14" t="s">
        <v>8944</v>
      </c>
      <c r="C3502" s="14"/>
      <c r="D3502" s="14" t="s">
        <v>8531</v>
      </c>
      <c r="E3502" s="14" t="s">
        <v>2356</v>
      </c>
      <c r="F3502" s="14" t="s">
        <v>2357</v>
      </c>
      <c r="G3502" s="14" t="s">
        <v>37</v>
      </c>
      <c r="H3502" s="14"/>
      <c r="I3502" s="14"/>
      <c r="J3502" s="14" t="s">
        <v>97</v>
      </c>
      <c r="K3502" s="14"/>
      <c r="L3502" s="14"/>
      <c r="M3502" s="14" t="s">
        <v>2358</v>
      </c>
      <c r="N3502" s="14"/>
      <c r="O3502" s="14" t="s">
        <v>2359</v>
      </c>
      <c r="P3502" s="14" t="str">
        <f>HYPERLINK("https://ceds.ed.gov/cedselementdetails.aspx?termid=17513")</f>
        <v>https://ceds.ed.gov/cedselementdetails.aspx?termid=17513</v>
      </c>
      <c r="Q3502" s="14" t="str">
        <f>HYPERLINK("https://ceds.ed.gov/elementComment.aspx?elementName=Class Period &amp;elementID=17513", "Click here to submit comment")</f>
        <v>Click here to submit comment</v>
      </c>
      <c r="R3502" s="14">
        <v>51642</v>
      </c>
    </row>
    <row r="3503" spans="1:18" ht="105" x14ac:dyDescent="0.25">
      <c r="A3503" s="16" t="s">
        <v>9080</v>
      </c>
      <c r="B3503" s="16" t="s">
        <v>8944</v>
      </c>
      <c r="C3503" s="16"/>
      <c r="D3503" s="16" t="s">
        <v>8531</v>
      </c>
      <c r="E3503" s="16" t="s">
        <v>8247</v>
      </c>
      <c r="F3503" s="16" t="s">
        <v>8248</v>
      </c>
      <c r="G3503" s="16" t="s">
        <v>37</v>
      </c>
      <c r="H3503" s="16"/>
      <c r="I3503" s="16"/>
      <c r="J3503" s="16" t="s">
        <v>149</v>
      </c>
      <c r="K3503" s="16"/>
      <c r="L3503" s="14" t="s">
        <v>150</v>
      </c>
      <c r="M3503" s="16" t="s">
        <v>8249</v>
      </c>
      <c r="N3503" s="16"/>
      <c r="O3503" s="16" t="s">
        <v>8250</v>
      </c>
      <c r="P3503" s="16" t="str">
        <f>HYPERLINK("https://ceds.ed.gov/cedselementdetails.aspx?termid=17514")</f>
        <v>https://ceds.ed.gov/cedselementdetails.aspx?termid=17514</v>
      </c>
      <c r="Q3503" s="16" t="str">
        <f>HYPERLINK("https://ceds.ed.gov/elementComment.aspx?elementName=Timetable Day Identifier &amp;elementID=17514", "Click here to submit comment")</f>
        <v>Click here to submit comment</v>
      </c>
      <c r="R3503" s="16">
        <v>51643</v>
      </c>
    </row>
    <row r="3504" spans="1:18" x14ac:dyDescent="0.25">
      <c r="A3504" s="16"/>
      <c r="B3504" s="16"/>
      <c r="C3504" s="16"/>
      <c r="D3504" s="16"/>
      <c r="E3504" s="16"/>
      <c r="F3504" s="16"/>
      <c r="G3504" s="16"/>
      <c r="H3504" s="16"/>
      <c r="I3504" s="16"/>
      <c r="J3504" s="16"/>
      <c r="K3504" s="16"/>
      <c r="L3504" s="14"/>
      <c r="M3504" s="16"/>
      <c r="N3504" s="16"/>
      <c r="O3504" s="16"/>
      <c r="P3504" s="16"/>
      <c r="Q3504" s="16"/>
      <c r="R3504" s="16"/>
    </row>
    <row r="3505" spans="1:18" ht="90" x14ac:dyDescent="0.25">
      <c r="A3505" s="16"/>
      <c r="B3505" s="16"/>
      <c r="C3505" s="16"/>
      <c r="D3505" s="16"/>
      <c r="E3505" s="16"/>
      <c r="F3505" s="16"/>
      <c r="G3505" s="16"/>
      <c r="H3505" s="16"/>
      <c r="I3505" s="16"/>
      <c r="J3505" s="16"/>
      <c r="K3505" s="16"/>
      <c r="L3505" s="14" t="s">
        <v>153</v>
      </c>
      <c r="M3505" s="16"/>
      <c r="N3505" s="16"/>
      <c r="O3505" s="16"/>
      <c r="P3505" s="16"/>
      <c r="Q3505" s="16"/>
      <c r="R3505" s="16"/>
    </row>
    <row r="3506" spans="1:18" ht="45" x14ac:dyDescent="0.25">
      <c r="A3506" s="14" t="s">
        <v>9080</v>
      </c>
      <c r="B3506" s="14" t="s">
        <v>8944</v>
      </c>
      <c r="C3506" s="14"/>
      <c r="D3506" s="14" t="s">
        <v>8531</v>
      </c>
      <c r="E3506" s="14" t="s">
        <v>3075</v>
      </c>
      <c r="F3506" s="14" t="s">
        <v>3076</v>
      </c>
      <c r="G3506" s="14" t="s">
        <v>37</v>
      </c>
      <c r="H3506" s="14"/>
      <c r="I3506" s="14"/>
      <c r="J3506" s="14" t="s">
        <v>370</v>
      </c>
      <c r="K3506" s="14"/>
      <c r="L3506" s="14"/>
      <c r="M3506" s="14" t="s">
        <v>3077</v>
      </c>
      <c r="N3506" s="14"/>
      <c r="O3506" s="14" t="s">
        <v>3078</v>
      </c>
      <c r="P3506" s="14" t="str">
        <f>HYPERLINK("https://ceds.ed.gov/cedselementdetails.aspx?termid=18636")</f>
        <v>https://ceds.ed.gov/cedselementdetails.aspx?termid=18636</v>
      </c>
      <c r="Q3506" s="14" t="str">
        <f>HYPERLINK("https://ceds.ed.gov/elementComment.aspx?elementName=Course Section Maximum Capacity &amp;elementID=18636", "Click here to submit comment")</f>
        <v>Click here to submit comment</v>
      </c>
      <c r="R3506" s="14">
        <v>51353</v>
      </c>
    </row>
    <row r="3507" spans="1:18" ht="90" x14ac:dyDescent="0.25">
      <c r="A3507" s="14" t="s">
        <v>9080</v>
      </c>
      <c r="B3507" s="14" t="s">
        <v>8944</v>
      </c>
      <c r="C3507" s="14"/>
      <c r="D3507" s="14" t="s">
        <v>8531</v>
      </c>
      <c r="E3507" s="14" t="s">
        <v>5501</v>
      </c>
      <c r="F3507" s="14" t="s">
        <v>5502</v>
      </c>
      <c r="G3507" s="14" t="s">
        <v>8527</v>
      </c>
      <c r="H3507" s="14" t="s">
        <v>245</v>
      </c>
      <c r="I3507" s="14" t="s">
        <v>195</v>
      </c>
      <c r="J3507" s="14"/>
      <c r="K3507" s="14" t="s">
        <v>1086</v>
      </c>
      <c r="L3507" s="6" t="s">
        <v>1087</v>
      </c>
      <c r="M3507" s="14" t="s">
        <v>5503</v>
      </c>
      <c r="N3507" s="14"/>
      <c r="O3507" s="14" t="s">
        <v>5504</v>
      </c>
      <c r="P3507" s="14" t="str">
        <f>HYPERLINK("https://ceds.ed.gov/cedselementdetails.aspx?termid=17438")</f>
        <v>https://ceds.ed.gov/cedselementdetails.aspx?termid=17438</v>
      </c>
      <c r="Q3507" s="14" t="str">
        <f>HYPERLINK("https://ceds.ed.gov/elementComment.aspx?elementName=Instruction Language &amp;elementID=17438", "Click here to submit comment")</f>
        <v>Click here to submit comment</v>
      </c>
      <c r="R3507" s="14">
        <v>51637</v>
      </c>
    </row>
    <row r="3508" spans="1:18" ht="105" x14ac:dyDescent="0.25">
      <c r="A3508" s="16" t="s">
        <v>9080</v>
      </c>
      <c r="B3508" s="16" t="s">
        <v>8944</v>
      </c>
      <c r="C3508" s="16"/>
      <c r="D3508" s="16" t="s">
        <v>8531</v>
      </c>
      <c r="E3508" s="16" t="s">
        <v>2385</v>
      </c>
      <c r="F3508" s="16" t="s">
        <v>2386</v>
      </c>
      <c r="G3508" s="16" t="s">
        <v>37</v>
      </c>
      <c r="H3508" s="16"/>
      <c r="I3508" s="16"/>
      <c r="J3508" s="16" t="s">
        <v>149</v>
      </c>
      <c r="K3508" s="16"/>
      <c r="L3508" s="14" t="s">
        <v>150</v>
      </c>
      <c r="M3508" s="16" t="s">
        <v>2387</v>
      </c>
      <c r="N3508" s="16"/>
      <c r="O3508" s="16" t="s">
        <v>2388</v>
      </c>
      <c r="P3508" s="16" t="str">
        <f>HYPERLINK("https://ceds.ed.gov/cedselementdetails.aspx?termid=17507")</f>
        <v>https://ceds.ed.gov/cedselementdetails.aspx?termid=17507</v>
      </c>
      <c r="Q3508" s="16" t="str">
        <f>HYPERLINK("https://ceds.ed.gov/elementComment.aspx?elementName=Classroom Identifier &amp;elementID=17507", "Click here to submit comment")</f>
        <v>Click here to submit comment</v>
      </c>
      <c r="R3508" s="16">
        <v>51638</v>
      </c>
    </row>
    <row r="3509" spans="1:18" x14ac:dyDescent="0.25">
      <c r="A3509" s="16"/>
      <c r="B3509" s="16"/>
      <c r="C3509" s="16"/>
      <c r="D3509" s="16"/>
      <c r="E3509" s="16"/>
      <c r="F3509" s="16"/>
      <c r="G3509" s="16"/>
      <c r="H3509" s="16"/>
      <c r="I3509" s="16"/>
      <c r="J3509" s="16"/>
      <c r="K3509" s="16"/>
      <c r="L3509" s="14"/>
      <c r="M3509" s="16"/>
      <c r="N3509" s="16"/>
      <c r="O3509" s="16"/>
      <c r="P3509" s="16"/>
      <c r="Q3509" s="16"/>
      <c r="R3509" s="16"/>
    </row>
    <row r="3510" spans="1:18" ht="90" x14ac:dyDescent="0.25">
      <c r="A3510" s="16"/>
      <c r="B3510" s="16"/>
      <c r="C3510" s="16"/>
      <c r="D3510" s="16"/>
      <c r="E3510" s="16"/>
      <c r="F3510" s="16"/>
      <c r="G3510" s="16"/>
      <c r="H3510" s="16"/>
      <c r="I3510" s="16"/>
      <c r="J3510" s="16"/>
      <c r="K3510" s="16"/>
      <c r="L3510" s="14" t="s">
        <v>153</v>
      </c>
      <c r="M3510" s="16"/>
      <c r="N3510" s="16"/>
      <c r="O3510" s="16"/>
      <c r="P3510" s="16"/>
      <c r="Q3510" s="16"/>
      <c r="R3510" s="16"/>
    </row>
    <row r="3511" spans="1:18" ht="180" x14ac:dyDescent="0.25">
      <c r="A3511" s="14" t="s">
        <v>9080</v>
      </c>
      <c r="B3511" s="14" t="s">
        <v>8944</v>
      </c>
      <c r="C3511" s="14"/>
      <c r="D3511" s="14" t="s">
        <v>8531</v>
      </c>
      <c r="E3511" s="14" t="s">
        <v>7309</v>
      </c>
      <c r="F3511" s="14" t="s">
        <v>7310</v>
      </c>
      <c r="G3511" s="8" t="s">
        <v>8945</v>
      </c>
      <c r="H3511" s="14"/>
      <c r="I3511" s="14"/>
      <c r="J3511" s="14"/>
      <c r="K3511" s="14"/>
      <c r="L3511" s="14"/>
      <c r="M3511" s="14" t="s">
        <v>7313</v>
      </c>
      <c r="N3511" s="14"/>
      <c r="O3511" s="14" t="s">
        <v>7314</v>
      </c>
      <c r="P3511" s="14" t="str">
        <f>HYPERLINK("https://ceds.ed.gov/cedselementdetails.aspx?termid=17515")</f>
        <v>https://ceds.ed.gov/cedselementdetails.aspx?termid=17515</v>
      </c>
      <c r="Q3511" s="14" t="str">
        <f>HYPERLINK("https://ceds.ed.gov/elementComment.aspx?elementName=Receiving Location of Instruction &amp;elementID=17515", "Click here to submit comment")</f>
        <v>Click here to submit comment</v>
      </c>
      <c r="R3511" s="14">
        <v>51644</v>
      </c>
    </row>
    <row r="3512" spans="1:18" ht="270" x14ac:dyDescent="0.25">
      <c r="A3512" s="14" t="s">
        <v>9080</v>
      </c>
      <c r="B3512" s="14" t="s">
        <v>8944</v>
      </c>
      <c r="C3512" s="14"/>
      <c r="D3512" s="14" t="s">
        <v>8531</v>
      </c>
      <c r="E3512" s="14" t="s">
        <v>2389</v>
      </c>
      <c r="F3512" s="14" t="s">
        <v>2390</v>
      </c>
      <c r="G3512" s="8" t="s">
        <v>8922</v>
      </c>
      <c r="H3512" s="14"/>
      <c r="I3512" s="14"/>
      <c r="J3512" s="14"/>
      <c r="K3512" s="14"/>
      <c r="L3512" s="14"/>
      <c r="M3512" s="14" t="s">
        <v>2393</v>
      </c>
      <c r="N3512" s="14"/>
      <c r="O3512" s="14" t="s">
        <v>2394</v>
      </c>
      <c r="P3512" s="14" t="str">
        <f>HYPERLINK("https://ceds.ed.gov/cedselementdetails.aspx?termid=17615")</f>
        <v>https://ceds.ed.gov/cedselementdetails.aspx?termid=17615</v>
      </c>
      <c r="Q3512" s="14" t="str">
        <f>HYPERLINK("https://ceds.ed.gov/elementComment.aspx?elementName=Classroom Position Type &amp;elementID=17615", "Click here to submit comment")</f>
        <v>Click here to submit comment</v>
      </c>
      <c r="R3512" s="14">
        <v>51649</v>
      </c>
    </row>
    <row r="3513" spans="1:18" ht="105" x14ac:dyDescent="0.25">
      <c r="A3513" s="14" t="s">
        <v>9080</v>
      </c>
      <c r="B3513" s="14" t="s">
        <v>8944</v>
      </c>
      <c r="C3513" s="14"/>
      <c r="D3513" s="14" t="s">
        <v>8531</v>
      </c>
      <c r="E3513" s="14" t="s">
        <v>8423</v>
      </c>
      <c r="F3513" s="14" t="s">
        <v>8424</v>
      </c>
      <c r="G3513" s="14" t="s">
        <v>24</v>
      </c>
      <c r="H3513" s="14"/>
      <c r="I3513" s="14"/>
      <c r="J3513" s="14"/>
      <c r="K3513" s="14"/>
      <c r="L3513" s="14"/>
      <c r="M3513" s="14" t="s">
        <v>8426</v>
      </c>
      <c r="N3513" s="14"/>
      <c r="O3513" s="14" t="s">
        <v>8427</v>
      </c>
      <c r="P3513" s="14" t="str">
        <f>HYPERLINK("https://ceds.ed.gov/cedselementdetails.aspx?termid=18167")</f>
        <v>https://ceds.ed.gov/cedselementdetails.aspx?termid=18167</v>
      </c>
      <c r="Q3513" s="14" t="str">
        <f>HYPERLINK("https://ceds.ed.gov/elementComment.aspx?elementName=Virtual Indicator &amp;elementID=18167", "Click here to submit comment")</f>
        <v>Click here to submit comment</v>
      </c>
      <c r="R3513" s="14">
        <v>51666</v>
      </c>
    </row>
    <row r="3514" spans="1:18" ht="150" x14ac:dyDescent="0.25">
      <c r="A3514" s="14" t="s">
        <v>9080</v>
      </c>
      <c r="B3514" s="14" t="s">
        <v>8944</v>
      </c>
      <c r="C3514" s="14"/>
      <c r="D3514" s="14" t="s">
        <v>8531</v>
      </c>
      <c r="E3514" s="14" t="s">
        <v>3070</v>
      </c>
      <c r="F3514" s="14" t="s">
        <v>3071</v>
      </c>
      <c r="G3514" s="8" t="s">
        <v>8946</v>
      </c>
      <c r="H3514" s="14"/>
      <c r="I3514" s="14"/>
      <c r="J3514" s="14"/>
      <c r="K3514" s="14"/>
      <c r="L3514" s="14"/>
      <c r="M3514" s="14" t="s">
        <v>3073</v>
      </c>
      <c r="N3514" s="14"/>
      <c r="O3514" s="14" t="s">
        <v>3074</v>
      </c>
      <c r="P3514" s="14" t="str">
        <f>HYPERLINK("https://ceds.ed.gov/cedselementdetails.aspx?termid=18168")</f>
        <v>https://ceds.ed.gov/cedselementdetails.aspx?termid=18168</v>
      </c>
      <c r="Q3514" s="14" t="str">
        <f>HYPERLINK("https://ceds.ed.gov/elementComment.aspx?elementName=Course Section Instructional Delivery Mode &amp;elementID=18168", "Click here to submit comment")</f>
        <v>Click here to submit comment</v>
      </c>
      <c r="R3514" s="14">
        <v>51667</v>
      </c>
    </row>
    <row r="3515" spans="1:18" ht="165" x14ac:dyDescent="0.25">
      <c r="A3515" s="14" t="s">
        <v>9080</v>
      </c>
      <c r="B3515" s="14" t="s">
        <v>8944</v>
      </c>
      <c r="C3515" s="14"/>
      <c r="D3515" s="14" t="s">
        <v>8531</v>
      </c>
      <c r="E3515" s="14" t="s">
        <v>1757</v>
      </c>
      <c r="F3515" s="14" t="s">
        <v>1758</v>
      </c>
      <c r="G3515" s="8" t="s">
        <v>8748</v>
      </c>
      <c r="H3515" s="14"/>
      <c r="I3515" s="14" t="s">
        <v>195</v>
      </c>
      <c r="J3515" s="14"/>
      <c r="K3515" s="14" t="s">
        <v>1761</v>
      </c>
      <c r="L3515" s="14" t="s">
        <v>1762</v>
      </c>
      <c r="M3515" s="14" t="s">
        <v>1763</v>
      </c>
      <c r="N3515" s="14"/>
      <c r="O3515" s="14" t="s">
        <v>1764</v>
      </c>
      <c r="P3515" s="14" t="str">
        <f>HYPERLINK("https://ceds.ed.gov/cedselementdetails.aspx?termid=18253")</f>
        <v>https://ceds.ed.gov/cedselementdetails.aspx?termid=18253</v>
      </c>
      <c r="Q3515" s="14" t="str">
        <f>HYPERLINK("https://ceds.ed.gov/elementComment.aspx?elementName=Blended Learning Model Type &amp;elementID=18253", "Click here to submit comment")</f>
        <v>Click here to submit comment</v>
      </c>
      <c r="R3515" s="14">
        <v>51650</v>
      </c>
    </row>
    <row r="3516" spans="1:18" ht="45" x14ac:dyDescent="0.25">
      <c r="A3516" s="14" t="s">
        <v>9080</v>
      </c>
      <c r="B3516" s="14" t="s">
        <v>8944</v>
      </c>
      <c r="C3516" s="14"/>
      <c r="D3516" s="14" t="s">
        <v>8531</v>
      </c>
      <c r="E3516" s="14" t="s">
        <v>2985</v>
      </c>
      <c r="F3516" s="14" t="s">
        <v>2986</v>
      </c>
      <c r="G3516" s="8" t="s">
        <v>8943</v>
      </c>
      <c r="H3516" s="14"/>
      <c r="I3516" s="14"/>
      <c r="J3516" s="14"/>
      <c r="K3516" s="14"/>
      <c r="L3516" s="14" t="s">
        <v>2988</v>
      </c>
      <c r="M3516" s="14" t="s">
        <v>2989</v>
      </c>
      <c r="N3516" s="14"/>
      <c r="O3516" s="14" t="s">
        <v>2990</v>
      </c>
      <c r="P3516" s="14" t="str">
        <f>HYPERLINK("https://ceds.ed.gov/cedselementdetails.aspx?termid=18277")</f>
        <v>https://ceds.ed.gov/cedselementdetails.aspx?termid=18277</v>
      </c>
      <c r="Q3516" s="14" t="str">
        <f>HYPERLINK("https://ceds.ed.gov/elementComment.aspx?elementName=Course Interaction Mode &amp;elementID=18277", "Click here to submit comment")</f>
        <v>Click here to submit comment</v>
      </c>
      <c r="R3516" s="14">
        <v>51655</v>
      </c>
    </row>
    <row r="3517" spans="1:18" ht="60" x14ac:dyDescent="0.25">
      <c r="A3517" s="14" t="s">
        <v>9080</v>
      </c>
      <c r="B3517" s="14" t="s">
        <v>8944</v>
      </c>
      <c r="C3517" s="14"/>
      <c r="D3517" s="14" t="s">
        <v>8531</v>
      </c>
      <c r="E3517" s="14" t="s">
        <v>3083</v>
      </c>
      <c r="F3517" s="14" t="s">
        <v>3084</v>
      </c>
      <c r="G3517" s="8" t="s">
        <v>8947</v>
      </c>
      <c r="H3517" s="14" t="s">
        <v>3088</v>
      </c>
      <c r="I3517" s="14"/>
      <c r="J3517" s="14"/>
      <c r="K3517" s="14"/>
      <c r="L3517" s="14"/>
      <c r="M3517" s="14" t="s">
        <v>3086</v>
      </c>
      <c r="N3517" s="14"/>
      <c r="O3517" s="14" t="s">
        <v>3087</v>
      </c>
      <c r="P3517" s="14" t="str">
        <f>HYPERLINK("https://ceds.ed.gov/cedselementdetails.aspx?termid=17258")</f>
        <v>https://ceds.ed.gov/cedselementdetails.aspx?termid=17258</v>
      </c>
      <c r="Q3517" s="14" t="str">
        <f>HYPERLINK("https://ceds.ed.gov/elementComment.aspx?elementName=Course Section Single Sex Class Status &amp;elementID=17258", "Click here to submit comment")</f>
        <v>Click here to submit comment</v>
      </c>
      <c r="R3517" s="14">
        <v>51621</v>
      </c>
    </row>
    <row r="3518" spans="1:18" ht="75" x14ac:dyDescent="0.25">
      <c r="A3518" s="14" t="s">
        <v>9080</v>
      </c>
      <c r="B3518" s="14" t="s">
        <v>8944</v>
      </c>
      <c r="C3518" s="14"/>
      <c r="D3518" s="14" t="s">
        <v>8531</v>
      </c>
      <c r="E3518" s="14" t="s">
        <v>22</v>
      </c>
      <c r="F3518" s="14" t="s">
        <v>23</v>
      </c>
      <c r="G3518" s="14" t="s">
        <v>24</v>
      </c>
      <c r="H3518" s="14" t="s">
        <v>28</v>
      </c>
      <c r="I3518" s="14"/>
      <c r="J3518" s="14"/>
      <c r="K3518" s="14"/>
      <c r="L3518" s="14"/>
      <c r="M3518" s="14" t="s">
        <v>26</v>
      </c>
      <c r="N3518" s="14"/>
      <c r="O3518" s="14" t="s">
        <v>27</v>
      </c>
      <c r="P3518" s="14" t="str">
        <f>HYPERLINK("https://ceds.ed.gov/cedselementdetails.aspx?termid=17000")</f>
        <v>https://ceds.ed.gov/cedselementdetails.aspx?termid=17000</v>
      </c>
      <c r="Q3518" s="14" t="str">
        <f>HYPERLINK("https://ceds.ed.gov/elementComment.aspx?elementName=Ability Grouping Status &amp;elementID=17000", "Click here to submit comment")</f>
        <v>Click here to submit comment</v>
      </c>
      <c r="R3518" s="14">
        <v>51664</v>
      </c>
    </row>
    <row r="3519" spans="1:18" ht="120" x14ac:dyDescent="0.25">
      <c r="A3519" s="14" t="s">
        <v>9080</v>
      </c>
      <c r="B3519" s="14" t="s">
        <v>8944</v>
      </c>
      <c r="C3519" s="14"/>
      <c r="D3519" s="14" t="s">
        <v>8531</v>
      </c>
      <c r="E3519" s="14" t="s">
        <v>2954</v>
      </c>
      <c r="F3519" s="14" t="s">
        <v>2955</v>
      </c>
      <c r="G3519" s="8" t="s">
        <v>8936</v>
      </c>
      <c r="H3519" s="14" t="s">
        <v>1713</v>
      </c>
      <c r="I3519" s="14"/>
      <c r="J3519" s="14"/>
      <c r="K3519" s="14"/>
      <c r="L3519" s="14"/>
      <c r="M3519" s="14" t="s">
        <v>2958</v>
      </c>
      <c r="N3519" s="14" t="s">
        <v>2959</v>
      </c>
      <c r="O3519" s="14" t="s">
        <v>2960</v>
      </c>
      <c r="P3519" s="14" t="str">
        <f>HYPERLINK("https://ceds.ed.gov/cedselementdetails.aspx?termid=17060")</f>
        <v>https://ceds.ed.gov/cedselementdetails.aspx?termid=17060</v>
      </c>
      <c r="Q3519" s="14" t="str">
        <f>HYPERLINK("https://ceds.ed.gov/elementComment.aspx?elementName=Course Grade Point Average Applicability &amp;elementID=17060", "Click here to submit comment")</f>
        <v>Click here to submit comment</v>
      </c>
      <c r="R3519" s="14">
        <v>51616</v>
      </c>
    </row>
    <row r="3520" spans="1:18" ht="255" x14ac:dyDescent="0.25">
      <c r="A3520" s="14" t="s">
        <v>9080</v>
      </c>
      <c r="B3520" s="14" t="s">
        <v>8944</v>
      </c>
      <c r="C3520" s="14"/>
      <c r="D3520" s="14" t="s">
        <v>8531</v>
      </c>
      <c r="E3520" s="14" t="s">
        <v>178</v>
      </c>
      <c r="F3520" s="14" t="s">
        <v>179</v>
      </c>
      <c r="G3520" s="8" t="s">
        <v>8935</v>
      </c>
      <c r="H3520" s="14"/>
      <c r="I3520" s="14"/>
      <c r="J3520" s="14"/>
      <c r="K3520" s="14"/>
      <c r="L3520" s="14"/>
      <c r="M3520" s="14" t="s">
        <v>182</v>
      </c>
      <c r="N3520" s="14"/>
      <c r="O3520" s="14" t="s">
        <v>183</v>
      </c>
      <c r="P3520" s="14" t="str">
        <f>HYPERLINK("https://ceds.ed.gov/cedselementdetails.aspx?termid=17589")</f>
        <v>https://ceds.ed.gov/cedselementdetails.aspx?termid=17589</v>
      </c>
      <c r="Q3520" s="14" t="str">
        <f>HYPERLINK("https://ceds.ed.gov/elementComment.aspx?elementName=Additional Credit Type &amp;elementID=17589", "Click here to submit comment")</f>
        <v>Click here to submit comment</v>
      </c>
      <c r="R3520" s="14">
        <v>51648</v>
      </c>
    </row>
    <row r="3521" spans="1:18" ht="45" x14ac:dyDescent="0.25">
      <c r="A3521" s="14" t="s">
        <v>9080</v>
      </c>
      <c r="B3521" s="14" t="s">
        <v>8944</v>
      </c>
      <c r="C3521" s="14"/>
      <c r="D3521" s="14" t="s">
        <v>8531</v>
      </c>
      <c r="E3521" s="14" t="s">
        <v>2905</v>
      </c>
      <c r="F3521" s="14" t="s">
        <v>2906</v>
      </c>
      <c r="G3521" s="14" t="s">
        <v>37</v>
      </c>
      <c r="H3521" s="14"/>
      <c r="I3521" s="14"/>
      <c r="J3521" s="14" t="s">
        <v>129</v>
      </c>
      <c r="K3521" s="14"/>
      <c r="L3521" s="14"/>
      <c r="M3521" s="14" t="s">
        <v>2907</v>
      </c>
      <c r="N3521" s="14"/>
      <c r="O3521" s="14" t="s">
        <v>2908</v>
      </c>
      <c r="P3521" s="14" t="str">
        <f>HYPERLINK("https://ceds.ed.gov/cedselementdetails.aspx?termid=18268")</f>
        <v>https://ceds.ed.gov/cedselementdetails.aspx?termid=18268</v>
      </c>
      <c r="Q3521" s="14" t="str">
        <f>HYPERLINK("https://ceds.ed.gov/elementComment.aspx?elementName=Course Certification Description &amp;elementID=18268", "Click here to submit comment")</f>
        <v>Click here to submit comment</v>
      </c>
      <c r="R3521" s="14">
        <v>51653</v>
      </c>
    </row>
    <row r="3522" spans="1:18" ht="45" x14ac:dyDescent="0.25">
      <c r="A3522" s="14" t="s">
        <v>9080</v>
      </c>
      <c r="B3522" s="14" t="s">
        <v>8944</v>
      </c>
      <c r="C3522" s="14"/>
      <c r="D3522" s="14" t="s">
        <v>8531</v>
      </c>
      <c r="E3522" s="14" t="s">
        <v>4453</v>
      </c>
      <c r="F3522" s="14" t="s">
        <v>4454</v>
      </c>
      <c r="G3522" s="14" t="s">
        <v>24</v>
      </c>
      <c r="H3522" s="14"/>
      <c r="I3522" s="14"/>
      <c r="J3522" s="14"/>
      <c r="K3522" s="14"/>
      <c r="L3522" s="14"/>
      <c r="M3522" s="14" t="s">
        <v>4455</v>
      </c>
      <c r="N3522" s="14"/>
      <c r="O3522" s="14" t="s">
        <v>4456</v>
      </c>
      <c r="P3522" s="14" t="str">
        <f>HYPERLINK("https://ceds.ed.gov/cedselementdetails.aspx?termid=18311")</f>
        <v>https://ceds.ed.gov/cedselementdetails.aspx?termid=18311</v>
      </c>
      <c r="Q3522" s="14" t="str">
        <f>HYPERLINK("https://ceds.ed.gov/elementComment.aspx?elementName=Family and Consumer Sciences Course Indicator &amp;elementID=18311", "Click here to submit comment")</f>
        <v>Click here to submit comment</v>
      </c>
      <c r="R3522" s="14">
        <v>51656</v>
      </c>
    </row>
    <row r="3523" spans="1:18" ht="45" x14ac:dyDescent="0.25">
      <c r="A3523" s="14" t="s">
        <v>9080</v>
      </c>
      <c r="B3523" s="14" t="s">
        <v>8944</v>
      </c>
      <c r="C3523" s="14"/>
      <c r="D3523" s="14" t="s">
        <v>8531</v>
      </c>
      <c r="E3523" s="14" t="s">
        <v>6363</v>
      </c>
      <c r="F3523" s="14" t="s">
        <v>6364</v>
      </c>
      <c r="G3523" s="14" t="s">
        <v>24</v>
      </c>
      <c r="H3523" s="14"/>
      <c r="I3523" s="14"/>
      <c r="J3523" s="14"/>
      <c r="K3523" s="14"/>
      <c r="L3523" s="14"/>
      <c r="M3523" s="14" t="s">
        <v>6365</v>
      </c>
      <c r="N3523" s="14" t="s">
        <v>6366</v>
      </c>
      <c r="O3523" s="14" t="s">
        <v>6367</v>
      </c>
      <c r="P3523" s="14" t="str">
        <f>HYPERLINK("https://ceds.ed.gov/cedselementdetails.aspx?termid=18382")</f>
        <v>https://ceds.ed.gov/cedselementdetails.aspx?termid=18382</v>
      </c>
      <c r="Q3523" s="14" t="str">
        <f>HYPERLINK("https://ceds.ed.gov/elementComment.aspx?elementName=National Collegiate Athletic Association Eligibility &amp;elementID=18382", "Click here to submit comment")</f>
        <v>Click here to submit comment</v>
      </c>
      <c r="R3523" s="14">
        <v>51657</v>
      </c>
    </row>
    <row r="3524" spans="1:18" ht="240" x14ac:dyDescent="0.25">
      <c r="A3524" s="14" t="s">
        <v>9080</v>
      </c>
      <c r="B3524" s="14" t="s">
        <v>8944</v>
      </c>
      <c r="C3524" s="14"/>
      <c r="D3524" s="14" t="s">
        <v>8531</v>
      </c>
      <c r="E3524" s="14" t="s">
        <v>8492</v>
      </c>
      <c r="F3524" s="14" t="s">
        <v>8493</v>
      </c>
      <c r="G3524" s="8" t="s">
        <v>8916</v>
      </c>
      <c r="H3524" s="14"/>
      <c r="I3524" s="14"/>
      <c r="J3524" s="14"/>
      <c r="K3524" s="14"/>
      <c r="L3524" s="14"/>
      <c r="M3524" s="14" t="s">
        <v>8496</v>
      </c>
      <c r="N3524" s="14"/>
      <c r="O3524" s="14" t="s">
        <v>8497</v>
      </c>
      <c r="P3524" s="14" t="str">
        <f>HYPERLINK("https://ceds.ed.gov/cedselementdetails.aspx?termid=18471")</f>
        <v>https://ceds.ed.gov/cedselementdetails.aspx?termid=18471</v>
      </c>
      <c r="Q3524" s="14" t="str">
        <f>HYPERLINK("https://ceds.ed.gov/elementComment.aspx?elementName=Work-based Learning Opportunity Type &amp;elementID=18471", "Click here to submit comment")</f>
        <v>Click here to submit comment</v>
      </c>
      <c r="R3524" s="14">
        <v>51636</v>
      </c>
    </row>
    <row r="3525" spans="1:18" ht="165" x14ac:dyDescent="0.25">
      <c r="A3525" s="14" t="s">
        <v>9080</v>
      </c>
      <c r="B3525" s="14" t="s">
        <v>8944</v>
      </c>
      <c r="C3525" s="14"/>
      <c r="D3525" s="14" t="s">
        <v>8531</v>
      </c>
      <c r="E3525" s="14" t="s">
        <v>3531</v>
      </c>
      <c r="F3525" s="14" t="s">
        <v>3532</v>
      </c>
      <c r="G3525" s="8" t="s">
        <v>9030</v>
      </c>
      <c r="H3525" s="14" t="s">
        <v>3530</v>
      </c>
      <c r="I3525" s="14"/>
      <c r="J3525" s="14"/>
      <c r="K3525" s="14"/>
      <c r="L3525" s="14"/>
      <c r="M3525" s="14" t="s">
        <v>3535</v>
      </c>
      <c r="N3525" s="14"/>
      <c r="O3525" s="14" t="s">
        <v>3536</v>
      </c>
      <c r="P3525" s="14" t="str">
        <f>HYPERLINK("https://ceds.ed.gov/cedselementdetails.aspx?termid=18568")</f>
        <v>https://ceds.ed.gov/cedselementdetails.aspx?termid=18568</v>
      </c>
      <c r="Q3525" s="14" t="str">
        <f>HYPERLINK("https://ceds.ed.gov/elementComment.aspx?elementName=Developmental Education Type &amp;elementID=18568", "Click here to submit comment")</f>
        <v>Click here to submit comment</v>
      </c>
      <c r="R3525" s="14">
        <v>51645</v>
      </c>
    </row>
    <row r="3526" spans="1:18" ht="90" x14ac:dyDescent="0.25">
      <c r="A3526" s="14" t="s">
        <v>9080</v>
      </c>
      <c r="B3526" s="14" t="s">
        <v>8944</v>
      </c>
      <c r="C3526" s="14"/>
      <c r="D3526" s="14" t="s">
        <v>8531</v>
      </c>
      <c r="E3526" s="14" t="s">
        <v>2949</v>
      </c>
      <c r="F3526" s="14" t="s">
        <v>2950</v>
      </c>
      <c r="G3526" s="14" t="s">
        <v>37</v>
      </c>
      <c r="H3526" s="14"/>
      <c r="I3526" s="14"/>
      <c r="J3526" s="14" t="s">
        <v>97</v>
      </c>
      <c r="K3526" s="14"/>
      <c r="L3526" s="14" t="s">
        <v>2951</v>
      </c>
      <c r="M3526" s="14" t="s">
        <v>2952</v>
      </c>
      <c r="N3526" s="14"/>
      <c r="O3526" s="14" t="s">
        <v>2953</v>
      </c>
      <c r="P3526" s="14" t="str">
        <f>HYPERLINK("https://ceds.ed.gov/cedselementdetails.aspx?termid=18272")</f>
        <v>https://ceds.ed.gov/cedselementdetails.aspx?termid=18272</v>
      </c>
      <c r="Q3526" s="14" t="str">
        <f>HYPERLINK("https://ceds.ed.gov/elementComment.aspx?elementName=Course Funding Program &amp;elementID=18272", "Click here to submit comment")</f>
        <v>Click here to submit comment</v>
      </c>
      <c r="R3526" s="14">
        <v>51654</v>
      </c>
    </row>
    <row r="3527" spans="1:18" ht="60" x14ac:dyDescent="0.25">
      <c r="A3527" s="14" t="s">
        <v>9080</v>
      </c>
      <c r="B3527" s="14" t="s">
        <v>8944</v>
      </c>
      <c r="C3527" s="14"/>
      <c r="D3527" s="14" t="s">
        <v>8531</v>
      </c>
      <c r="E3527" s="14" t="s">
        <v>8385</v>
      </c>
      <c r="F3527" s="14" t="s">
        <v>8386</v>
      </c>
      <c r="G3527" s="14" t="s">
        <v>24</v>
      </c>
      <c r="H3527" s="14"/>
      <c r="I3527" s="14"/>
      <c r="J3527" s="14"/>
      <c r="K3527" s="14"/>
      <c r="L3527" s="14" t="s">
        <v>8388</v>
      </c>
      <c r="M3527" s="14" t="s">
        <v>8389</v>
      </c>
      <c r="N3527" s="14"/>
      <c r="O3527" s="14" t="s">
        <v>8390</v>
      </c>
      <c r="P3527" s="14" t="str">
        <f>HYPERLINK("https://ceds.ed.gov/cedselementdetails.aspx?termid=18554")</f>
        <v>https://ceds.ed.gov/cedselementdetails.aspx?termid=18554</v>
      </c>
      <c r="Q3527" s="14" t="str">
        <f>HYPERLINK("https://ceds.ed.gov/elementComment.aspx?elementName=Tuition Funded &amp;elementID=18554", "Click here to submit comment")</f>
        <v>Click here to submit comment</v>
      </c>
      <c r="R3527" s="14">
        <v>51658</v>
      </c>
    </row>
    <row r="3528" spans="1:18" ht="90" x14ac:dyDescent="0.25">
      <c r="A3528" s="14" t="s">
        <v>9080</v>
      </c>
      <c r="B3528" s="14" t="s">
        <v>8944</v>
      </c>
      <c r="C3528" s="14"/>
      <c r="D3528" s="14" t="s">
        <v>8531</v>
      </c>
      <c r="E3528" s="14" t="s">
        <v>3006</v>
      </c>
      <c r="F3528" s="14" t="s">
        <v>3007</v>
      </c>
      <c r="G3528" s="14" t="s">
        <v>37</v>
      </c>
      <c r="H3528" s="14"/>
      <c r="I3528" s="14"/>
      <c r="J3528" s="14" t="s">
        <v>97</v>
      </c>
      <c r="K3528" s="14"/>
      <c r="L3528" s="14"/>
      <c r="M3528" s="14" t="s">
        <v>3009</v>
      </c>
      <c r="N3528" s="14"/>
      <c r="O3528" s="14" t="s">
        <v>3010</v>
      </c>
      <c r="P3528" s="14" t="str">
        <f>HYPERLINK("https://ceds.ed.gov/cedselementdetails.aspx?termid=18280")</f>
        <v>https://ceds.ed.gov/cedselementdetails.aspx?termid=18280</v>
      </c>
      <c r="Q3528" s="14" t="str">
        <f>HYPERLINK("https://ceds.ed.gov/elementComment.aspx?elementName=Course Number &amp;elementID=18280", "Click here to submit comment")</f>
        <v>Click here to submit comment</v>
      </c>
      <c r="R3528" s="14">
        <v>51632</v>
      </c>
    </row>
    <row r="3529" spans="1:18" ht="390" x14ac:dyDescent="0.25">
      <c r="A3529" s="14" t="s">
        <v>9080</v>
      </c>
      <c r="B3529" s="14" t="s">
        <v>8944</v>
      </c>
      <c r="C3529" s="14"/>
      <c r="D3529" s="14" t="s">
        <v>8531</v>
      </c>
      <c r="E3529" s="14" t="s">
        <v>2996</v>
      </c>
      <c r="F3529" s="14" t="s">
        <v>2997</v>
      </c>
      <c r="G3529" s="8" t="s">
        <v>8948</v>
      </c>
      <c r="H3529" s="14"/>
      <c r="I3529" s="14"/>
      <c r="J3529" s="14"/>
      <c r="K3529" s="14"/>
      <c r="L3529" s="14"/>
      <c r="M3529" s="14" t="s">
        <v>3000</v>
      </c>
      <c r="N3529" s="14"/>
      <c r="O3529" s="14" t="s">
        <v>3001</v>
      </c>
      <c r="P3529" s="14" t="str">
        <f>HYPERLINK("https://ceds.ed.gov/cedselementdetails.aspx?termid=18278")</f>
        <v>https://ceds.ed.gov/cedselementdetails.aspx?termid=18278</v>
      </c>
      <c r="Q3529" s="14" t="str">
        <f>HYPERLINK("https://ceds.ed.gov/elementComment.aspx?elementName=Course Level Type &amp;elementID=18278", "Click here to submit comment")</f>
        <v>Click here to submit comment</v>
      </c>
      <c r="R3529" s="14">
        <v>50513</v>
      </c>
    </row>
    <row r="3530" spans="1:18" ht="409.5" x14ac:dyDescent="0.25">
      <c r="A3530" s="14" t="s">
        <v>9080</v>
      </c>
      <c r="B3530" s="14" t="s">
        <v>8944</v>
      </c>
      <c r="C3530" s="14"/>
      <c r="D3530" s="14" t="s">
        <v>8531</v>
      </c>
      <c r="E3530" s="14" t="s">
        <v>2915</v>
      </c>
      <c r="F3530" s="14" t="s">
        <v>2916</v>
      </c>
      <c r="G3530" s="8" t="s">
        <v>9072</v>
      </c>
      <c r="H3530" s="14"/>
      <c r="I3530" s="14"/>
      <c r="J3530" s="14"/>
      <c r="K3530" s="14"/>
      <c r="L3530" s="14"/>
      <c r="M3530" s="14" t="s">
        <v>2918</v>
      </c>
      <c r="N3530" s="14"/>
      <c r="O3530" s="14" t="s">
        <v>2919</v>
      </c>
      <c r="P3530" s="14" t="str">
        <f>HYPERLINK("https://ceds.ed.gov/cedselementdetails.aspx?termid=18269")</f>
        <v>https://ceds.ed.gov/cedselementdetails.aspx?termid=18269</v>
      </c>
      <c r="Q3530" s="14" t="str">
        <f>HYPERLINK("https://ceds.ed.gov/elementComment.aspx?elementName=Course Credit Basis Type &amp;elementID=18269", "Click here to submit comment")</f>
        <v>Click here to submit comment</v>
      </c>
      <c r="R3530" s="14">
        <v>51625</v>
      </c>
    </row>
    <row r="3531" spans="1:18" ht="255" x14ac:dyDescent="0.25">
      <c r="A3531" s="14" t="s">
        <v>9080</v>
      </c>
      <c r="B3531" s="14" t="s">
        <v>8944</v>
      </c>
      <c r="C3531" s="14"/>
      <c r="D3531" s="14" t="s">
        <v>8531</v>
      </c>
      <c r="E3531" s="14" t="s">
        <v>2920</v>
      </c>
      <c r="F3531" s="14" t="s">
        <v>2921</v>
      </c>
      <c r="G3531" s="8" t="s">
        <v>9073</v>
      </c>
      <c r="H3531" s="14"/>
      <c r="I3531" s="14"/>
      <c r="J3531" s="14"/>
      <c r="K3531" s="14"/>
      <c r="L3531" s="14"/>
      <c r="M3531" s="14" t="s">
        <v>2923</v>
      </c>
      <c r="N3531" s="14"/>
      <c r="O3531" s="14" t="s">
        <v>2924</v>
      </c>
      <c r="P3531" s="14" t="str">
        <f>HYPERLINK("https://ceds.ed.gov/cedselementdetails.aspx?termid=18270")</f>
        <v>https://ceds.ed.gov/cedselementdetails.aspx?termid=18270</v>
      </c>
      <c r="Q3531" s="14" t="str">
        <f>HYPERLINK("https://ceds.ed.gov/elementComment.aspx?elementName=Course Credit Level Type &amp;elementID=18270", "Click here to submit comment")</f>
        <v>Click here to submit comment</v>
      </c>
      <c r="R3531" s="14">
        <v>51626</v>
      </c>
    </row>
    <row r="3532" spans="1:18" ht="45" x14ac:dyDescent="0.25">
      <c r="A3532" s="14" t="s">
        <v>9080</v>
      </c>
      <c r="B3532" s="14" t="s">
        <v>8944</v>
      </c>
      <c r="C3532" s="14"/>
      <c r="D3532" s="14" t="s">
        <v>8531</v>
      </c>
      <c r="E3532" s="14" t="s">
        <v>2961</v>
      </c>
      <c r="F3532" s="14" t="s">
        <v>2962</v>
      </c>
      <c r="G3532" s="8" t="s">
        <v>9071</v>
      </c>
      <c r="H3532" s="14"/>
      <c r="I3532" s="14"/>
      <c r="J3532" s="14"/>
      <c r="K3532" s="14"/>
      <c r="L3532" s="14"/>
      <c r="M3532" s="14" t="s">
        <v>2964</v>
      </c>
      <c r="N3532" s="14"/>
      <c r="O3532" s="14" t="s">
        <v>2965</v>
      </c>
      <c r="P3532" s="14" t="str">
        <f>HYPERLINK("https://ceds.ed.gov/cedselementdetails.aspx?termid=18273")</f>
        <v>https://ceds.ed.gov/cedselementdetails.aspx?termid=18273</v>
      </c>
      <c r="Q3532" s="14" t="str">
        <f>HYPERLINK("https://ceds.ed.gov/elementComment.aspx?elementName=Course Honors Type &amp;elementID=18273", "Click here to submit comment")</f>
        <v>Click here to submit comment</v>
      </c>
      <c r="R3532" s="14">
        <v>51627</v>
      </c>
    </row>
    <row r="3533" spans="1:18" ht="90" x14ac:dyDescent="0.25">
      <c r="A3533" s="14" t="s">
        <v>9080</v>
      </c>
      <c r="B3533" s="14" t="s">
        <v>8944</v>
      </c>
      <c r="C3533" s="14"/>
      <c r="D3533" s="14" t="s">
        <v>8531</v>
      </c>
      <c r="E3533" s="14" t="s">
        <v>3002</v>
      </c>
      <c r="F3533" s="14" t="s">
        <v>3003</v>
      </c>
      <c r="G3533" s="14" t="s">
        <v>37</v>
      </c>
      <c r="H3533" s="14"/>
      <c r="I3533" s="14"/>
      <c r="J3533" s="14" t="s">
        <v>382</v>
      </c>
      <c r="K3533" s="14"/>
      <c r="L3533" s="14"/>
      <c r="M3533" s="14" t="s">
        <v>3004</v>
      </c>
      <c r="N3533" s="14"/>
      <c r="O3533" s="14" t="s">
        <v>3005</v>
      </c>
      <c r="P3533" s="14" t="str">
        <f>HYPERLINK("https://ceds.ed.gov/cedselementdetails.aspx?termid=18279")</f>
        <v>https://ceds.ed.gov/cedselementdetails.aspx?termid=18279</v>
      </c>
      <c r="Q3533" s="14" t="str">
        <f>HYPERLINK("https://ceds.ed.gov/elementComment.aspx?elementName=Course Narrative Explanation Grade &amp;elementID=18279", "Click here to submit comment")</f>
        <v>Click here to submit comment</v>
      </c>
      <c r="R3533" s="14">
        <v>51631</v>
      </c>
    </row>
    <row r="3534" spans="1:18" ht="210" x14ac:dyDescent="0.25">
      <c r="A3534" s="14" t="s">
        <v>9080</v>
      </c>
      <c r="B3534" s="14" t="s">
        <v>8944</v>
      </c>
      <c r="C3534" s="14"/>
      <c r="D3534" s="14" t="s">
        <v>8531</v>
      </c>
      <c r="E3534" s="14" t="s">
        <v>3019</v>
      </c>
      <c r="F3534" s="14" t="s">
        <v>3020</v>
      </c>
      <c r="G3534" s="8" t="s">
        <v>8835</v>
      </c>
      <c r="H3534" s="14" t="s">
        <v>72</v>
      </c>
      <c r="I3534" s="14"/>
      <c r="J3534" s="14"/>
      <c r="K3534" s="14"/>
      <c r="L3534" s="14"/>
      <c r="M3534" s="14" t="s">
        <v>3023</v>
      </c>
      <c r="N3534" s="14"/>
      <c r="O3534" s="14" t="s">
        <v>3024</v>
      </c>
      <c r="P3534" s="14" t="str">
        <f>HYPERLINK("https://ceds.ed.gov/cedselementdetails.aspx?termid=17065")</f>
        <v>https://ceds.ed.gov/cedselementdetails.aspx?termid=17065</v>
      </c>
      <c r="Q3534" s="14" t="str">
        <f>HYPERLINK("https://ceds.ed.gov/elementComment.aspx?elementName=Course Repeat Code &amp;elementID=17065", "Click here to submit comment")</f>
        <v>Click here to submit comment</v>
      </c>
      <c r="R3534" s="14">
        <v>51622</v>
      </c>
    </row>
    <row r="3535" spans="1:18" ht="409.5" x14ac:dyDescent="0.25">
      <c r="A3535" s="14" t="s">
        <v>9080</v>
      </c>
      <c r="B3535" s="14" t="s">
        <v>8944</v>
      </c>
      <c r="C3535" s="14"/>
      <c r="D3535" s="14" t="s">
        <v>8531</v>
      </c>
      <c r="E3535" s="14" t="s">
        <v>2971</v>
      </c>
      <c r="F3535" s="14" t="s">
        <v>2972</v>
      </c>
      <c r="G3535" s="8" t="s">
        <v>9074</v>
      </c>
      <c r="H3535" s="14"/>
      <c r="I3535" s="14"/>
      <c r="J3535" s="14"/>
      <c r="K3535" s="14"/>
      <c r="L3535" s="14"/>
      <c r="M3535" s="14" t="s">
        <v>2974</v>
      </c>
      <c r="N3535" s="14"/>
      <c r="O3535" s="14" t="s">
        <v>2975</v>
      </c>
      <c r="P3535" s="14" t="str">
        <f>HYPERLINK("https://ceds.ed.gov/cedselementdetails.aspx?termid=18274")</f>
        <v>https://ceds.ed.gov/cedselementdetails.aspx?termid=18274</v>
      </c>
      <c r="Q3535" s="14" t="str">
        <f>HYPERLINK("https://ceds.ed.gov/elementComment.aspx?elementName=Course Instruction Method &amp;elementID=18274", "Click here to submit comment")</f>
        <v>Click here to submit comment</v>
      </c>
      <c r="R3535" s="14">
        <v>51628</v>
      </c>
    </row>
    <row r="3536" spans="1:18" ht="45" x14ac:dyDescent="0.25">
      <c r="A3536" s="14" t="s">
        <v>9080</v>
      </c>
      <c r="B3536" s="14" t="s">
        <v>8944</v>
      </c>
      <c r="C3536" s="14"/>
      <c r="D3536" s="14" t="s">
        <v>8531</v>
      </c>
      <c r="E3536" s="14" t="s">
        <v>2976</v>
      </c>
      <c r="F3536" s="14" t="s">
        <v>2977</v>
      </c>
      <c r="G3536" s="14" t="s">
        <v>37</v>
      </c>
      <c r="H3536" s="14"/>
      <c r="I3536" s="14"/>
      <c r="J3536" s="14" t="s">
        <v>175</v>
      </c>
      <c r="K3536" s="14"/>
      <c r="L3536" s="14"/>
      <c r="M3536" s="14" t="s">
        <v>2978</v>
      </c>
      <c r="N3536" s="14"/>
      <c r="O3536" s="14" t="s">
        <v>2979</v>
      </c>
      <c r="P3536" s="14" t="str">
        <f>HYPERLINK("https://ceds.ed.gov/cedselementdetails.aspx?termid=18275")</f>
        <v>https://ceds.ed.gov/cedselementdetails.aspx?termid=18275</v>
      </c>
      <c r="Q3536" s="14" t="str">
        <f>HYPERLINK("https://ceds.ed.gov/elementComment.aspx?elementName=Course Instruction Site Name &amp;elementID=18275", "Click here to submit comment")</f>
        <v>Click here to submit comment</v>
      </c>
      <c r="R3536" s="14">
        <v>51629</v>
      </c>
    </row>
    <row r="3537" spans="1:18" ht="180" x14ac:dyDescent="0.25">
      <c r="A3537" s="14" t="s">
        <v>9080</v>
      </c>
      <c r="B3537" s="14" t="s">
        <v>8944</v>
      </c>
      <c r="C3537" s="14"/>
      <c r="D3537" s="14" t="s">
        <v>8531</v>
      </c>
      <c r="E3537" s="14" t="s">
        <v>2980</v>
      </c>
      <c r="F3537" s="14" t="s">
        <v>2981</v>
      </c>
      <c r="G3537" s="8" t="s">
        <v>9070</v>
      </c>
      <c r="H3537" s="14"/>
      <c r="I3537" s="14"/>
      <c r="J3537" s="14"/>
      <c r="K3537" s="14"/>
      <c r="L3537" s="14"/>
      <c r="M3537" s="14" t="s">
        <v>2983</v>
      </c>
      <c r="N3537" s="14"/>
      <c r="O3537" s="14" t="s">
        <v>2984</v>
      </c>
      <c r="P3537" s="14" t="str">
        <f>HYPERLINK("https://ceds.ed.gov/cedselementdetails.aspx?termid=18276")</f>
        <v>https://ceds.ed.gov/cedselementdetails.aspx?termid=18276</v>
      </c>
      <c r="Q3537" s="14" t="str">
        <f>HYPERLINK("https://ceds.ed.gov/elementComment.aspx?elementName=Course Instruction Site Type &amp;elementID=18276", "Click here to submit comment")</f>
        <v>Click here to submit comment</v>
      </c>
      <c r="R3537" s="14">
        <v>51630</v>
      </c>
    </row>
    <row r="3538" spans="1:18" ht="105" x14ac:dyDescent="0.25">
      <c r="A3538" s="16" t="s">
        <v>9080</v>
      </c>
      <c r="B3538" s="16" t="s">
        <v>8944</v>
      </c>
      <c r="C3538" s="16"/>
      <c r="D3538" s="16" t="s">
        <v>8531</v>
      </c>
      <c r="E3538" s="16" t="s">
        <v>6582</v>
      </c>
      <c r="F3538" s="16" t="s">
        <v>6583</v>
      </c>
      <c r="G3538" s="16" t="s">
        <v>37</v>
      </c>
      <c r="H3538" s="16"/>
      <c r="I3538" s="16"/>
      <c r="J3538" s="16" t="s">
        <v>149</v>
      </c>
      <c r="K3538" s="16"/>
      <c r="L3538" s="14" t="s">
        <v>150</v>
      </c>
      <c r="M3538" s="16" t="s">
        <v>6584</v>
      </c>
      <c r="N3538" s="16"/>
      <c r="O3538" s="16" t="s">
        <v>6585</v>
      </c>
      <c r="P3538" s="16" t="str">
        <f>HYPERLINK("https://ceds.ed.gov/cedselementdetails.aspx?termid=18389")</f>
        <v>https://ceds.ed.gov/cedselementdetails.aspx?termid=18389</v>
      </c>
      <c r="Q3538" s="16" t="str">
        <f>HYPERLINK("https://ceds.ed.gov/elementComment.aspx?elementName=Original Course Identifier &amp;elementID=18389", "Click here to submit comment")</f>
        <v>Click here to submit comment</v>
      </c>
      <c r="R3538" s="16">
        <v>51634</v>
      </c>
    </row>
    <row r="3539" spans="1:18" x14ac:dyDescent="0.25">
      <c r="A3539" s="16"/>
      <c r="B3539" s="16"/>
      <c r="C3539" s="16"/>
      <c r="D3539" s="16"/>
      <c r="E3539" s="16"/>
      <c r="F3539" s="16"/>
      <c r="G3539" s="16"/>
      <c r="H3539" s="16"/>
      <c r="I3539" s="16"/>
      <c r="J3539" s="16"/>
      <c r="K3539" s="16"/>
      <c r="L3539" s="14"/>
      <c r="M3539" s="16"/>
      <c r="N3539" s="16"/>
      <c r="O3539" s="16"/>
      <c r="P3539" s="16"/>
      <c r="Q3539" s="16"/>
      <c r="R3539" s="16"/>
    </row>
    <row r="3540" spans="1:18" ht="90" x14ac:dyDescent="0.25">
      <c r="A3540" s="16"/>
      <c r="B3540" s="16"/>
      <c r="C3540" s="16"/>
      <c r="D3540" s="16"/>
      <c r="E3540" s="16"/>
      <c r="F3540" s="16"/>
      <c r="G3540" s="16"/>
      <c r="H3540" s="16"/>
      <c r="I3540" s="16"/>
      <c r="J3540" s="16"/>
      <c r="K3540" s="16"/>
      <c r="L3540" s="14" t="s">
        <v>153</v>
      </c>
      <c r="M3540" s="16"/>
      <c r="N3540" s="16"/>
      <c r="O3540" s="16"/>
      <c r="P3540" s="16"/>
      <c r="Q3540" s="16"/>
      <c r="R3540" s="16"/>
    </row>
    <row r="3541" spans="1:18" ht="45" x14ac:dyDescent="0.25">
      <c r="A3541" s="14" t="s">
        <v>9080</v>
      </c>
      <c r="B3541" s="14" t="s">
        <v>8944</v>
      </c>
      <c r="C3541" s="14"/>
      <c r="D3541" s="14" t="s">
        <v>8531</v>
      </c>
      <c r="E3541" s="14" t="s">
        <v>6628</v>
      </c>
      <c r="F3541" s="14" t="s">
        <v>6629</v>
      </c>
      <c r="G3541" s="14" t="s">
        <v>37</v>
      </c>
      <c r="H3541" s="14"/>
      <c r="I3541" s="14"/>
      <c r="J3541" s="14" t="s">
        <v>97</v>
      </c>
      <c r="K3541" s="14"/>
      <c r="L3541" s="14"/>
      <c r="M3541" s="14" t="s">
        <v>6630</v>
      </c>
      <c r="N3541" s="14"/>
      <c r="O3541" s="14" t="s">
        <v>6631</v>
      </c>
      <c r="P3541" s="14" t="str">
        <f>HYPERLINK("https://ceds.ed.gov/cedselementdetails.aspx?termid=18391")</f>
        <v>https://ceds.ed.gov/cedselementdetails.aspx?termid=18391</v>
      </c>
      <c r="Q3541" s="14" t="str">
        <f>HYPERLINK("https://ceds.ed.gov/elementComment.aspx?elementName=Override School Course Number &amp;elementID=18391", "Click here to submit comment")</f>
        <v>Click here to submit comment</v>
      </c>
      <c r="R3541" s="14">
        <v>51635</v>
      </c>
    </row>
    <row r="3542" spans="1:18" ht="105" x14ac:dyDescent="0.25">
      <c r="A3542" s="16" t="s">
        <v>9080</v>
      </c>
      <c r="B3542" s="16" t="s">
        <v>8944</v>
      </c>
      <c r="C3542" s="16" t="s">
        <v>8949</v>
      </c>
      <c r="D3542" s="16" t="s">
        <v>8531</v>
      </c>
      <c r="E3542" s="16" t="s">
        <v>2966</v>
      </c>
      <c r="F3542" s="16" t="s">
        <v>2967</v>
      </c>
      <c r="G3542" s="16" t="s">
        <v>37</v>
      </c>
      <c r="H3542" s="16" t="s">
        <v>2970</v>
      </c>
      <c r="I3542" s="16"/>
      <c r="J3542" s="16" t="s">
        <v>149</v>
      </c>
      <c r="K3542" s="16"/>
      <c r="L3542" s="14" t="s">
        <v>150</v>
      </c>
      <c r="M3542" s="16" t="s">
        <v>2968</v>
      </c>
      <c r="N3542" s="16"/>
      <c r="O3542" s="16" t="s">
        <v>2969</v>
      </c>
      <c r="P3542" s="16" t="str">
        <f>HYPERLINK("https://ceds.ed.gov/cedselementdetails.aspx?termid=17055")</f>
        <v>https://ceds.ed.gov/cedselementdetails.aspx?termid=17055</v>
      </c>
      <c r="Q3542" s="16" t="str">
        <f>HYPERLINK("https://ceds.ed.gov/elementComment.aspx?elementName=Course Identifier &amp;elementID=17055", "Click here to submit comment")</f>
        <v>Click here to submit comment</v>
      </c>
      <c r="R3542" s="16">
        <v>51595</v>
      </c>
    </row>
    <row r="3543" spans="1:18" x14ac:dyDescent="0.25">
      <c r="A3543" s="16"/>
      <c r="B3543" s="16"/>
      <c r="C3543" s="16"/>
      <c r="D3543" s="16"/>
      <c r="E3543" s="16"/>
      <c r="F3543" s="16"/>
      <c r="G3543" s="16"/>
      <c r="H3543" s="16"/>
      <c r="I3543" s="16"/>
      <c r="J3543" s="16"/>
      <c r="K3543" s="16"/>
      <c r="L3543" s="14"/>
      <c r="M3543" s="16"/>
      <c r="N3543" s="16"/>
      <c r="O3543" s="16"/>
      <c r="P3543" s="16"/>
      <c r="Q3543" s="16"/>
      <c r="R3543" s="16"/>
    </row>
    <row r="3544" spans="1:18" ht="90" x14ac:dyDescent="0.25">
      <c r="A3544" s="16"/>
      <c r="B3544" s="16"/>
      <c r="C3544" s="16"/>
      <c r="D3544" s="16"/>
      <c r="E3544" s="16"/>
      <c r="F3544" s="16"/>
      <c r="G3544" s="16"/>
      <c r="H3544" s="16"/>
      <c r="I3544" s="16"/>
      <c r="J3544" s="16"/>
      <c r="K3544" s="16"/>
      <c r="L3544" s="14" t="s">
        <v>153</v>
      </c>
      <c r="M3544" s="16"/>
      <c r="N3544" s="16"/>
      <c r="O3544" s="16"/>
      <c r="P3544" s="16"/>
      <c r="Q3544" s="16"/>
      <c r="R3544" s="16"/>
    </row>
    <row r="3545" spans="1:18" ht="195" x14ac:dyDescent="0.25">
      <c r="A3545" s="14" t="s">
        <v>9080</v>
      </c>
      <c r="B3545" s="14" t="s">
        <v>8944</v>
      </c>
      <c r="C3545" s="14" t="s">
        <v>8949</v>
      </c>
      <c r="D3545" s="14" t="s">
        <v>8531</v>
      </c>
      <c r="E3545" s="14" t="s">
        <v>2909</v>
      </c>
      <c r="F3545" s="14" t="s">
        <v>2910</v>
      </c>
      <c r="G3545" s="8" t="s">
        <v>8834</v>
      </c>
      <c r="H3545" s="14" t="s">
        <v>1713</v>
      </c>
      <c r="I3545" s="14"/>
      <c r="J3545" s="14"/>
      <c r="K3545" s="14"/>
      <c r="L3545" s="14"/>
      <c r="M3545" s="14" t="s">
        <v>2913</v>
      </c>
      <c r="N3545" s="14"/>
      <c r="O3545" s="14" t="s">
        <v>2914</v>
      </c>
      <c r="P3545" s="14" t="str">
        <f>HYPERLINK("https://ceds.ed.gov/cedselementdetails.aspx?termid=17056")</f>
        <v>https://ceds.ed.gov/cedselementdetails.aspx?termid=17056</v>
      </c>
      <c r="Q3545" s="14" t="str">
        <f>HYPERLINK("https://ceds.ed.gov/elementComment.aspx?elementName=Course Code System &amp;elementID=17056", "Click here to submit comment")</f>
        <v>Click here to submit comment</v>
      </c>
      <c r="R3545" s="14">
        <v>51596</v>
      </c>
    </row>
    <row r="3546" spans="1:18" ht="225" x14ac:dyDescent="0.25">
      <c r="A3546" s="14" t="s">
        <v>9080</v>
      </c>
      <c r="B3546" s="14" t="s">
        <v>8944</v>
      </c>
      <c r="C3546" s="14" t="s">
        <v>8949</v>
      </c>
      <c r="D3546" s="14" t="s">
        <v>8531</v>
      </c>
      <c r="E3546" s="14" t="s">
        <v>3099</v>
      </c>
      <c r="F3546" s="14" t="s">
        <v>3100</v>
      </c>
      <c r="G3546" s="14" t="s">
        <v>37</v>
      </c>
      <c r="H3546" s="14" t="s">
        <v>1713</v>
      </c>
      <c r="I3546" s="14"/>
      <c r="J3546" s="14" t="s">
        <v>175</v>
      </c>
      <c r="K3546" s="14"/>
      <c r="L3546" s="14"/>
      <c r="M3546" s="14" t="s">
        <v>3101</v>
      </c>
      <c r="N3546" s="14"/>
      <c r="O3546" s="14" t="s">
        <v>3102</v>
      </c>
      <c r="P3546" s="14" t="str">
        <f>HYPERLINK("https://ceds.ed.gov/cedselementdetails.aspx?termid=17067")</f>
        <v>https://ceds.ed.gov/cedselementdetails.aspx?termid=17067</v>
      </c>
      <c r="Q3546" s="14" t="str">
        <f>HYPERLINK("https://ceds.ed.gov/elementComment.aspx?elementName=Course Title &amp;elementID=17067", "Click here to submit comment")</f>
        <v>Click here to submit comment</v>
      </c>
      <c r="R3546" s="14">
        <v>51598</v>
      </c>
    </row>
    <row r="3547" spans="1:18" ht="45" x14ac:dyDescent="0.25">
      <c r="A3547" s="14" t="s">
        <v>9080</v>
      </c>
      <c r="B3547" s="14" t="s">
        <v>8944</v>
      </c>
      <c r="C3547" s="14" t="s">
        <v>8949</v>
      </c>
      <c r="D3547" s="14" t="s">
        <v>8531</v>
      </c>
      <c r="E3547" s="14" t="s">
        <v>2931</v>
      </c>
      <c r="F3547" s="14" t="s">
        <v>2932</v>
      </c>
      <c r="G3547" s="14" t="s">
        <v>37</v>
      </c>
      <c r="H3547" s="14"/>
      <c r="I3547" s="14"/>
      <c r="J3547" s="14" t="s">
        <v>175</v>
      </c>
      <c r="K3547" s="14"/>
      <c r="L3547" s="14"/>
      <c r="M3547" s="14" t="s">
        <v>2934</v>
      </c>
      <c r="N3547" s="14"/>
      <c r="O3547" s="14" t="s">
        <v>2935</v>
      </c>
      <c r="P3547" s="14" t="str">
        <f>HYPERLINK("https://ceds.ed.gov/cedselementdetails.aspx?termid=18525")</f>
        <v>https://ceds.ed.gov/cedselementdetails.aspx?termid=18525</v>
      </c>
      <c r="Q3547" s="14" t="str">
        <f>HYPERLINK("https://ceds.ed.gov/elementComment.aspx?elementName=Course Department Name &amp;elementID=18525", "Click here to submit comment")</f>
        <v>Click here to submit comment</v>
      </c>
      <c r="R3547" s="14">
        <v>51612</v>
      </c>
    </row>
    <row r="3548" spans="1:18" ht="45" x14ac:dyDescent="0.25">
      <c r="A3548" s="14" t="s">
        <v>9080</v>
      </c>
      <c r="B3548" s="14" t="s">
        <v>8944</v>
      </c>
      <c r="C3548" s="14" t="s">
        <v>8949</v>
      </c>
      <c r="D3548" s="14" t="s">
        <v>8531</v>
      </c>
      <c r="E3548" s="14" t="s">
        <v>2901</v>
      </c>
      <c r="F3548" s="14" t="s">
        <v>2902</v>
      </c>
      <c r="G3548" s="14" t="s">
        <v>37</v>
      </c>
      <c r="H3548" s="14" t="s">
        <v>2232</v>
      </c>
      <c r="I3548" s="14"/>
      <c r="J3548" s="14" t="s">
        <v>135</v>
      </c>
      <c r="K3548" s="14"/>
      <c r="L3548" s="14"/>
      <c r="M3548" s="14" t="s">
        <v>2903</v>
      </c>
      <c r="N3548" s="14"/>
      <c r="O3548" s="14" t="s">
        <v>2904</v>
      </c>
      <c r="P3548" s="14" t="str">
        <f>HYPERLINK("https://ceds.ed.gov/cedselementdetails.aspx?termid=17054")</f>
        <v>https://ceds.ed.gov/cedselementdetails.aspx?termid=17054</v>
      </c>
      <c r="Q3548" s="14" t="str">
        <f>HYPERLINK("https://ceds.ed.gov/elementComment.aspx?elementName=Course Begin Date &amp;elementID=17054", "Click here to submit comment")</f>
        <v>Click here to submit comment</v>
      </c>
      <c r="R3548" s="14">
        <v>51601</v>
      </c>
    </row>
    <row r="3549" spans="1:18" ht="75" x14ac:dyDescent="0.25">
      <c r="A3549" s="14" t="s">
        <v>9080</v>
      </c>
      <c r="B3549" s="14" t="s">
        <v>8944</v>
      </c>
      <c r="C3549" s="14" t="s">
        <v>8949</v>
      </c>
      <c r="D3549" s="14" t="s">
        <v>8531</v>
      </c>
      <c r="E3549" s="14" t="s">
        <v>2945</v>
      </c>
      <c r="F3549" s="14" t="s">
        <v>2946</v>
      </c>
      <c r="G3549" s="14" t="s">
        <v>37</v>
      </c>
      <c r="H3549" s="14" t="s">
        <v>2232</v>
      </c>
      <c r="I3549" s="14"/>
      <c r="J3549" s="14" t="s">
        <v>135</v>
      </c>
      <c r="K3549" s="14"/>
      <c r="L3549" s="14" t="s">
        <v>160</v>
      </c>
      <c r="M3549" s="14" t="s">
        <v>2947</v>
      </c>
      <c r="N3549" s="14"/>
      <c r="O3549" s="14" t="s">
        <v>2948</v>
      </c>
      <c r="P3549" s="14" t="str">
        <f>HYPERLINK("https://ceds.ed.gov/cedselementdetails.aspx?termid=17059")</f>
        <v>https://ceds.ed.gov/cedselementdetails.aspx?termid=17059</v>
      </c>
      <c r="Q3549" s="14" t="str">
        <f>HYPERLINK("https://ceds.ed.gov/elementComment.aspx?elementName=Course End Date &amp;elementID=17059", "Click here to submit comment")</f>
        <v>Click here to submit comment</v>
      </c>
      <c r="R3549" s="14">
        <v>51604</v>
      </c>
    </row>
    <row r="3550" spans="1:18" ht="165" x14ac:dyDescent="0.25">
      <c r="A3550" s="14" t="s">
        <v>9080</v>
      </c>
      <c r="B3550" s="14" t="s">
        <v>8944</v>
      </c>
      <c r="C3550" s="14" t="s">
        <v>8949</v>
      </c>
      <c r="D3550" s="14" t="s">
        <v>8531</v>
      </c>
      <c r="E3550" s="14" t="s">
        <v>2925</v>
      </c>
      <c r="F3550" s="14" t="s">
        <v>2926</v>
      </c>
      <c r="G3550" s="8" t="s">
        <v>8706</v>
      </c>
      <c r="H3550" s="14" t="s">
        <v>65</v>
      </c>
      <c r="I3550" s="14"/>
      <c r="J3550" s="14"/>
      <c r="K3550" s="14"/>
      <c r="L3550" s="14"/>
      <c r="M3550" s="14" t="s">
        <v>2929</v>
      </c>
      <c r="N3550" s="14"/>
      <c r="O3550" s="14" t="s">
        <v>2930</v>
      </c>
      <c r="P3550" s="14" t="str">
        <f>HYPERLINK("https://ceds.ed.gov/cedselementdetails.aspx?termid=17057")</f>
        <v>https://ceds.ed.gov/cedselementdetails.aspx?termid=17057</v>
      </c>
      <c r="Q3550" s="14" t="str">
        <f>HYPERLINK("https://ceds.ed.gov/elementComment.aspx?elementName=Course Credit Units &amp;elementID=17057", "Click here to submit comment")</f>
        <v>Click here to submit comment</v>
      </c>
      <c r="R3550" s="14">
        <v>51602</v>
      </c>
    </row>
    <row r="3551" spans="1:18" ht="105" x14ac:dyDescent="0.25">
      <c r="A3551" s="14" t="s">
        <v>9080</v>
      </c>
      <c r="B3551" s="14" t="s">
        <v>8944</v>
      </c>
      <c r="C3551" s="14" t="s">
        <v>8949</v>
      </c>
      <c r="D3551" s="14" t="s">
        <v>8531</v>
      </c>
      <c r="E3551" s="14" t="s">
        <v>3359</v>
      </c>
      <c r="F3551" s="14" t="s">
        <v>3360</v>
      </c>
      <c r="G3551" s="14" t="s">
        <v>37</v>
      </c>
      <c r="H3551" s="14" t="s">
        <v>65</v>
      </c>
      <c r="I3551" s="14"/>
      <c r="J3551" s="14" t="s">
        <v>1710</v>
      </c>
      <c r="K3551" s="14"/>
      <c r="L3551" s="14" t="s">
        <v>3362</v>
      </c>
      <c r="M3551" s="14" t="s">
        <v>3363</v>
      </c>
      <c r="N3551" s="14"/>
      <c r="O3551" s="14" t="s">
        <v>3364</v>
      </c>
      <c r="P3551" s="14" t="str">
        <f>HYPERLINK("https://ceds.ed.gov/cedselementdetails.aspx?termid=17058")</f>
        <v>https://ceds.ed.gov/cedselementdetails.aspx?termid=17058</v>
      </c>
      <c r="Q3551" s="14" t="str">
        <f>HYPERLINK("https://ceds.ed.gov/elementComment.aspx?elementName=Credit Value &amp;elementID=17058", "Click here to submit comment")</f>
        <v>Click here to submit comment</v>
      </c>
      <c r="R3551" s="14">
        <v>51603</v>
      </c>
    </row>
    <row r="3552" spans="1:18" ht="360" x14ac:dyDescent="0.25">
      <c r="A3552" s="14" t="s">
        <v>9080</v>
      </c>
      <c r="B3552" s="14" t="s">
        <v>8944</v>
      </c>
      <c r="C3552" s="14" t="s">
        <v>8949</v>
      </c>
      <c r="D3552" s="14" t="s">
        <v>8531</v>
      </c>
      <c r="E3552" s="14" t="s">
        <v>3353</v>
      </c>
      <c r="F3552" s="14" t="s">
        <v>3354</v>
      </c>
      <c r="G3552" s="8" t="s">
        <v>8836</v>
      </c>
      <c r="H3552" s="14" t="s">
        <v>72</v>
      </c>
      <c r="I3552" s="14"/>
      <c r="J3552" s="14"/>
      <c r="K3552" s="14"/>
      <c r="L3552" s="14"/>
      <c r="M3552" s="14" t="s">
        <v>3357</v>
      </c>
      <c r="N3552" s="14"/>
      <c r="O3552" s="14" t="s">
        <v>3358</v>
      </c>
      <c r="P3552" s="14" t="str">
        <f>HYPERLINK("https://ceds.ed.gov/cedselementdetails.aspx?termid=17072")</f>
        <v>https://ceds.ed.gov/cedselementdetails.aspx?termid=17072</v>
      </c>
      <c r="Q3552" s="14" t="str">
        <f>HYPERLINK("https://ceds.ed.gov/elementComment.aspx?elementName=Credit Unit Type &amp;elementID=17072", "Click here to submit comment")</f>
        <v>Click here to submit comment</v>
      </c>
      <c r="R3552" s="14">
        <v>51611</v>
      </c>
    </row>
    <row r="3553" spans="1:18" ht="150" x14ac:dyDescent="0.25">
      <c r="A3553" s="14" t="s">
        <v>9080</v>
      </c>
      <c r="B3553" s="14" t="s">
        <v>8944</v>
      </c>
      <c r="C3553" s="14" t="s">
        <v>8949</v>
      </c>
      <c r="D3553" s="14" t="s">
        <v>8531</v>
      </c>
      <c r="E3553" s="14" t="s">
        <v>1707</v>
      </c>
      <c r="F3553" s="14" t="s">
        <v>1708</v>
      </c>
      <c r="G3553" s="14" t="s">
        <v>37</v>
      </c>
      <c r="H3553" s="14" t="s">
        <v>1713</v>
      </c>
      <c r="I3553" s="14"/>
      <c r="J3553" s="14" t="s">
        <v>1710</v>
      </c>
      <c r="K3553" s="14"/>
      <c r="L3553" s="14"/>
      <c r="M3553" s="14" t="s">
        <v>1711</v>
      </c>
      <c r="N3553" s="14"/>
      <c r="O3553" s="14" t="s">
        <v>1712</v>
      </c>
      <c r="P3553" s="14" t="str">
        <f>HYPERLINK("https://ceds.ed.gov/cedselementdetails.aspx?termid=17030")</f>
        <v>https://ceds.ed.gov/cedselementdetails.aspx?termid=17030</v>
      </c>
      <c r="Q3553" s="14" t="str">
        <f>HYPERLINK("https://ceds.ed.gov/elementComment.aspx?elementName=Available Carnegie Unit Credit &amp;elementID=17030", "Click here to submit comment")</f>
        <v>Click here to submit comment</v>
      </c>
      <c r="R3553" s="14">
        <v>51614</v>
      </c>
    </row>
    <row r="3554" spans="1:18" ht="330" x14ac:dyDescent="0.25">
      <c r="A3554" s="14" t="s">
        <v>9080</v>
      </c>
      <c r="B3554" s="14" t="s">
        <v>8944</v>
      </c>
      <c r="C3554" s="14" t="s">
        <v>8949</v>
      </c>
      <c r="D3554" s="14" t="s">
        <v>8531</v>
      </c>
      <c r="E3554" s="14" t="s">
        <v>2991</v>
      </c>
      <c r="F3554" s="14" t="s">
        <v>2992</v>
      </c>
      <c r="G3554" s="8" t="s">
        <v>8937</v>
      </c>
      <c r="H3554" s="14" t="s">
        <v>2970</v>
      </c>
      <c r="I3554" s="14"/>
      <c r="J3554" s="14"/>
      <c r="K3554" s="14"/>
      <c r="L3554" s="14"/>
      <c r="M3554" s="14" t="s">
        <v>2994</v>
      </c>
      <c r="N3554" s="14"/>
      <c r="O3554" s="14" t="s">
        <v>2995</v>
      </c>
      <c r="P3554" s="14" t="str">
        <f>HYPERLINK("https://ceds.ed.gov/cedselementdetails.aspx?termid=17061")</f>
        <v>https://ceds.ed.gov/cedselementdetails.aspx?termid=17061</v>
      </c>
      <c r="Q3554" s="14" t="str">
        <f>HYPERLINK("https://ceds.ed.gov/elementComment.aspx?elementName=Course Level Characteristic &amp;elementID=17061", "Click here to submit comment")</f>
        <v>Click here to submit comment</v>
      </c>
      <c r="R3554" s="14">
        <v>51597</v>
      </c>
    </row>
    <row r="3555" spans="1:18" ht="120" x14ac:dyDescent="0.25">
      <c r="A3555" s="14" t="s">
        <v>9080</v>
      </c>
      <c r="B3555" s="14" t="s">
        <v>8944</v>
      </c>
      <c r="C3555" s="14" t="s">
        <v>8949</v>
      </c>
      <c r="D3555" s="14" t="s">
        <v>8531</v>
      </c>
      <c r="E3555" s="14" t="s">
        <v>4948</v>
      </c>
      <c r="F3555" s="14" t="s">
        <v>4949</v>
      </c>
      <c r="G3555" s="14" t="s">
        <v>24</v>
      </c>
      <c r="H3555" s="14" t="s">
        <v>1713</v>
      </c>
      <c r="I3555" s="14"/>
      <c r="J3555" s="14"/>
      <c r="K3555" s="14"/>
      <c r="L3555" s="14"/>
      <c r="M3555" s="14" t="s">
        <v>4951</v>
      </c>
      <c r="N3555" s="14"/>
      <c r="O3555" s="14" t="s">
        <v>4952</v>
      </c>
      <c r="P3555" s="14" t="str">
        <f>HYPERLINK("https://ceds.ed.gov/cedselementdetails.aspx?termid=17137")</f>
        <v>https://ceds.ed.gov/cedselementdetails.aspx?termid=17137</v>
      </c>
      <c r="Q3555" s="14" t="str">
        <f>HYPERLINK("https://ceds.ed.gov/elementComment.aspx?elementName=High School Course Requirement &amp;elementID=17137", "Click here to submit comment")</f>
        <v>Click here to submit comment</v>
      </c>
      <c r="R3555" s="14">
        <v>51615</v>
      </c>
    </row>
    <row r="3556" spans="1:18" ht="45" x14ac:dyDescent="0.25">
      <c r="A3556" s="14" t="s">
        <v>9080</v>
      </c>
      <c r="B3556" s="14" t="s">
        <v>8944</v>
      </c>
      <c r="C3556" s="14" t="s">
        <v>8949</v>
      </c>
      <c r="D3556" s="14" t="s">
        <v>8531</v>
      </c>
      <c r="E3556" s="14" t="s">
        <v>3025</v>
      </c>
      <c r="F3556" s="14" t="s">
        <v>3026</v>
      </c>
      <c r="G3556" s="14" t="s">
        <v>37</v>
      </c>
      <c r="H3556" s="14"/>
      <c r="I3556" s="14"/>
      <c r="J3556" s="14" t="s">
        <v>1922</v>
      </c>
      <c r="K3556" s="14"/>
      <c r="L3556" s="14"/>
      <c r="M3556" s="14" t="s">
        <v>3027</v>
      </c>
      <c r="N3556" s="14"/>
      <c r="O3556" s="14" t="s">
        <v>3028</v>
      </c>
      <c r="P3556" s="14" t="str">
        <f>HYPERLINK("https://ceds.ed.gov/cedselementdetails.aspx?termid=18648")</f>
        <v>https://ceds.ed.gov/cedselementdetails.aspx?termid=18648</v>
      </c>
      <c r="Q3556" s="14" t="str">
        <f>HYPERLINK("https://ceds.ed.gov/elementComment.aspx?elementName=Course Repeatability Maximum Number &amp;elementID=18648", "Click here to submit comment")</f>
        <v>Click here to submit comment</v>
      </c>
      <c r="R3556" s="14">
        <v>51878</v>
      </c>
    </row>
    <row r="3557" spans="1:18" ht="105" x14ac:dyDescent="0.25">
      <c r="A3557" s="16" t="s">
        <v>9080</v>
      </c>
      <c r="B3557" s="16" t="s">
        <v>8944</v>
      </c>
      <c r="C3557" s="16" t="s">
        <v>8949</v>
      </c>
      <c r="D3557" s="16" t="s">
        <v>8531</v>
      </c>
      <c r="E3557" s="16" t="s">
        <v>374</v>
      </c>
      <c r="F3557" s="16" t="s">
        <v>375</v>
      </c>
      <c r="G3557" s="16" t="s">
        <v>37</v>
      </c>
      <c r="H3557" s="16"/>
      <c r="I3557" s="16"/>
      <c r="J3557" s="16" t="s">
        <v>149</v>
      </c>
      <c r="K3557" s="16"/>
      <c r="L3557" s="14" t="s">
        <v>150</v>
      </c>
      <c r="M3557" s="16" t="s">
        <v>377</v>
      </c>
      <c r="N3557" s="16"/>
      <c r="O3557" s="16" t="s">
        <v>378</v>
      </c>
      <c r="P3557" s="16" t="str">
        <f>HYPERLINK("https://ceds.ed.gov/cedselementdetails.aspx?termid=18246")</f>
        <v>https://ceds.ed.gov/cedselementdetails.aspx?termid=18246</v>
      </c>
      <c r="Q3557" s="16" t="str">
        <f>HYPERLINK("https://ceds.ed.gov/elementComment.aspx?elementName=Agency Course Identifier &amp;elementID=18246", "Click here to submit comment")</f>
        <v>Click here to submit comment</v>
      </c>
      <c r="R3557" s="16">
        <v>51607</v>
      </c>
    </row>
    <row r="3558" spans="1:18" x14ac:dyDescent="0.25">
      <c r="A3558" s="16"/>
      <c r="B3558" s="16"/>
      <c r="C3558" s="16"/>
      <c r="D3558" s="16"/>
      <c r="E3558" s="16"/>
      <c r="F3558" s="16"/>
      <c r="G3558" s="16"/>
      <c r="H3558" s="16"/>
      <c r="I3558" s="16"/>
      <c r="J3558" s="16"/>
      <c r="K3558" s="16"/>
      <c r="L3558" s="14"/>
      <c r="M3558" s="16"/>
      <c r="N3558" s="16"/>
      <c r="O3558" s="16"/>
      <c r="P3558" s="16"/>
      <c r="Q3558" s="16"/>
      <c r="R3558" s="16"/>
    </row>
    <row r="3559" spans="1:18" ht="90" x14ac:dyDescent="0.25">
      <c r="A3559" s="16"/>
      <c r="B3559" s="16"/>
      <c r="C3559" s="16"/>
      <c r="D3559" s="16"/>
      <c r="E3559" s="16"/>
      <c r="F3559" s="16"/>
      <c r="G3559" s="16"/>
      <c r="H3559" s="16"/>
      <c r="I3559" s="16"/>
      <c r="J3559" s="16"/>
      <c r="K3559" s="16"/>
      <c r="L3559" s="14" t="s">
        <v>153</v>
      </c>
      <c r="M3559" s="16"/>
      <c r="N3559" s="16"/>
      <c r="O3559" s="16"/>
      <c r="P3559" s="16"/>
      <c r="Q3559" s="16"/>
      <c r="R3559" s="16"/>
    </row>
    <row r="3560" spans="1:18" ht="60" x14ac:dyDescent="0.25">
      <c r="A3560" s="14" t="s">
        <v>9080</v>
      </c>
      <c r="B3560" s="14" t="s">
        <v>8944</v>
      </c>
      <c r="C3560" s="14" t="s">
        <v>8949</v>
      </c>
      <c r="D3560" s="14" t="s">
        <v>8531</v>
      </c>
      <c r="E3560" s="14" t="s">
        <v>3094</v>
      </c>
      <c r="F3560" s="14" t="s">
        <v>3095</v>
      </c>
      <c r="G3560" s="14" t="s">
        <v>37</v>
      </c>
      <c r="H3560" s="14" t="s">
        <v>65</v>
      </c>
      <c r="I3560" s="14"/>
      <c r="J3560" s="14" t="s">
        <v>3096</v>
      </c>
      <c r="K3560" s="14"/>
      <c r="L3560" s="14"/>
      <c r="M3560" s="14" t="s">
        <v>3097</v>
      </c>
      <c r="N3560" s="14"/>
      <c r="O3560" s="14" t="s">
        <v>3098</v>
      </c>
      <c r="P3560" s="14" t="str">
        <f>HYPERLINK("https://ceds.ed.gov/cedselementdetails.aspx?termid=17066")</f>
        <v>https://ceds.ed.gov/cedselementdetails.aspx?termid=17066</v>
      </c>
      <c r="Q3560" s="14" t="str">
        <f>HYPERLINK("https://ceds.ed.gov/elementComment.aspx?elementName=Course Subject Abbreviation &amp;elementID=17066", "Click here to submit comment")</f>
        <v>Click here to submit comment</v>
      </c>
      <c r="R3560" s="14">
        <v>51605</v>
      </c>
    </row>
    <row r="3561" spans="1:18" ht="120" x14ac:dyDescent="0.25">
      <c r="A3561" s="14" t="s">
        <v>9080</v>
      </c>
      <c r="B3561" s="14" t="s">
        <v>8944</v>
      </c>
      <c r="C3561" s="14" t="s">
        <v>8949</v>
      </c>
      <c r="D3561" s="14" t="s">
        <v>8531</v>
      </c>
      <c r="E3561" s="14" t="s">
        <v>7589</v>
      </c>
      <c r="F3561" s="14" t="s">
        <v>7590</v>
      </c>
      <c r="G3561" s="14" t="s">
        <v>37</v>
      </c>
      <c r="H3561" s="14" t="s">
        <v>1713</v>
      </c>
      <c r="I3561" s="14"/>
      <c r="J3561" s="14" t="s">
        <v>3096</v>
      </c>
      <c r="K3561" s="14"/>
      <c r="L3561" s="14" t="s">
        <v>7591</v>
      </c>
      <c r="M3561" s="14" t="s">
        <v>7592</v>
      </c>
      <c r="N3561" s="14" t="s">
        <v>7593</v>
      </c>
      <c r="O3561" s="14" t="s">
        <v>7594</v>
      </c>
      <c r="P3561" s="14" t="str">
        <f>HYPERLINK("https://ceds.ed.gov/cedselementdetails.aspx?termid=17250")</f>
        <v>https://ceds.ed.gov/cedselementdetails.aspx?termid=17250</v>
      </c>
      <c r="Q3561" s="14" t="str">
        <f>HYPERLINK("https://ceds.ed.gov/elementComment.aspx?elementName=School Courses for the Exchange of Data Sequence of Course &amp;elementID=17250", "Click here to submit comment")</f>
        <v>Click here to submit comment</v>
      </c>
      <c r="R3561" s="14">
        <v>51600</v>
      </c>
    </row>
    <row r="3562" spans="1:18" ht="45" x14ac:dyDescent="0.25">
      <c r="A3562" s="14" t="s">
        <v>9080</v>
      </c>
      <c r="B3562" s="14" t="s">
        <v>8944</v>
      </c>
      <c r="C3562" s="14" t="s">
        <v>8949</v>
      </c>
      <c r="D3562" s="14" t="s">
        <v>8531</v>
      </c>
      <c r="E3562" s="14" t="s">
        <v>7371</v>
      </c>
      <c r="F3562" s="14" t="s">
        <v>7372</v>
      </c>
      <c r="G3562" s="14" t="s">
        <v>37</v>
      </c>
      <c r="H3562" s="14"/>
      <c r="I3562" s="14"/>
      <c r="J3562" s="14" t="s">
        <v>175</v>
      </c>
      <c r="K3562" s="14"/>
      <c r="L3562" s="14"/>
      <c r="M3562" s="14" t="s">
        <v>7373</v>
      </c>
      <c r="N3562" s="14" t="s">
        <v>7374</v>
      </c>
      <c r="O3562" s="14" t="s">
        <v>7375</v>
      </c>
      <c r="P3562" s="14" t="str">
        <f>HYPERLINK("https://ceds.ed.gov/cedselementdetails.aspx?termid=17231")</f>
        <v>https://ceds.ed.gov/cedselementdetails.aspx?termid=17231</v>
      </c>
      <c r="Q3562" s="14" t="str">
        <f>HYPERLINK("https://ceds.ed.gov/elementComment.aspx?elementName=Related Competency Definitions &amp;elementID=17231", "Click here to submit comment")</f>
        <v>Click here to submit comment</v>
      </c>
      <c r="R3562" s="14">
        <v>51599</v>
      </c>
    </row>
    <row r="3563" spans="1:18" ht="409.5" x14ac:dyDescent="0.25">
      <c r="A3563" s="14" t="s">
        <v>9080</v>
      </c>
      <c r="B3563" s="14" t="s">
        <v>8944</v>
      </c>
      <c r="C3563" s="14" t="s">
        <v>8949</v>
      </c>
      <c r="D3563" s="14" t="s">
        <v>8531</v>
      </c>
      <c r="E3563" s="14" t="s">
        <v>3029</v>
      </c>
      <c r="F3563" s="14" t="s">
        <v>3030</v>
      </c>
      <c r="G3563" s="8" t="s">
        <v>8950</v>
      </c>
      <c r="H3563" s="14" t="s">
        <v>3034</v>
      </c>
      <c r="I3563" s="14"/>
      <c r="J3563" s="14"/>
      <c r="K3563" s="14"/>
      <c r="L3563" s="14"/>
      <c r="M3563" s="14" t="s">
        <v>3032</v>
      </c>
      <c r="N3563" s="14"/>
      <c r="O3563" s="14" t="s">
        <v>3033</v>
      </c>
      <c r="P3563" s="14" t="str">
        <f>HYPERLINK("https://ceds.ed.gov/cedselementdetails.aspx?termid=17027")</f>
        <v>https://ceds.ed.gov/cedselementdetails.aspx?termid=17027</v>
      </c>
      <c r="Q3563" s="14" t="str">
        <f>HYPERLINK("https://ceds.ed.gov/elementComment.aspx?elementName=Course Section Assessment Reporting Method &amp;elementID=17027", "Click here to submit comment")</f>
        <v>Click here to submit comment</v>
      </c>
      <c r="R3563" s="14">
        <v>51613</v>
      </c>
    </row>
    <row r="3564" spans="1:18" ht="75" x14ac:dyDescent="0.25">
      <c r="A3564" s="14" t="s">
        <v>9080</v>
      </c>
      <c r="B3564" s="14" t="s">
        <v>8944</v>
      </c>
      <c r="C3564" s="14" t="s">
        <v>8949</v>
      </c>
      <c r="D3564" s="14" t="s">
        <v>8531</v>
      </c>
      <c r="E3564" s="14" t="s">
        <v>2365</v>
      </c>
      <c r="F3564" s="14" t="s">
        <v>2366</v>
      </c>
      <c r="G3564" s="14" t="s">
        <v>8526</v>
      </c>
      <c r="H3564" s="14" t="s">
        <v>48</v>
      </c>
      <c r="I3564" s="14"/>
      <c r="J3564" s="14"/>
      <c r="K3564" s="14"/>
      <c r="L3564" s="14"/>
      <c r="M3564" s="14" t="s">
        <v>2368</v>
      </c>
      <c r="N3564" s="14" t="s">
        <v>2369</v>
      </c>
      <c r="O3564" s="14" t="s">
        <v>2370</v>
      </c>
      <c r="P3564" s="14" t="str">
        <f>HYPERLINK("https://ceds.ed.gov/cedselementdetails.aspx?termid=17043")</f>
        <v>https://ceds.ed.gov/cedselementdetails.aspx?termid=17043</v>
      </c>
      <c r="Q3564" s="14" t="str">
        <f>HYPERLINK("https://ceds.ed.gov/elementComment.aspx?elementName=Classification of Instructional Program Code &amp;elementID=17043", "Click here to submit comment")</f>
        <v>Click here to submit comment</v>
      </c>
      <c r="R3564" s="14">
        <v>51609</v>
      </c>
    </row>
    <row r="3565" spans="1:18" ht="90" x14ac:dyDescent="0.25">
      <c r="A3565" s="14" t="s">
        <v>9080</v>
      </c>
      <c r="B3565" s="14" t="s">
        <v>8944</v>
      </c>
      <c r="C3565" s="14" t="s">
        <v>8949</v>
      </c>
      <c r="D3565" s="14" t="s">
        <v>8531</v>
      </c>
      <c r="E3565" s="14" t="s">
        <v>2378</v>
      </c>
      <c r="F3565" s="14" t="s">
        <v>2379</v>
      </c>
      <c r="G3565" s="8" t="s">
        <v>8998</v>
      </c>
      <c r="H3565" s="14" t="s">
        <v>225</v>
      </c>
      <c r="I3565" s="14"/>
      <c r="J3565" s="14"/>
      <c r="K3565" s="14"/>
      <c r="L3565" s="14"/>
      <c r="M3565" s="14" t="s">
        <v>2382</v>
      </c>
      <c r="N3565" s="14" t="s">
        <v>2383</v>
      </c>
      <c r="O3565" s="14" t="s">
        <v>2384</v>
      </c>
      <c r="P3565" s="14" t="str">
        <f>HYPERLINK("https://ceds.ed.gov/cedselementdetails.aspx?termid=17045")</f>
        <v>https://ceds.ed.gov/cedselementdetails.aspx?termid=17045</v>
      </c>
      <c r="Q3565" s="14" t="str">
        <f>HYPERLINK("https://ceds.ed.gov/elementComment.aspx?elementName=Classification of Instructional Program Version &amp;elementID=17045", "Click here to submit comment")</f>
        <v>Click here to submit comment</v>
      </c>
      <c r="R3565" s="14">
        <v>51610</v>
      </c>
    </row>
    <row r="3566" spans="1:18" ht="45" x14ac:dyDescent="0.25">
      <c r="A3566" s="14" t="s">
        <v>9080</v>
      </c>
      <c r="B3566" s="14" t="s">
        <v>8944</v>
      </c>
      <c r="C3566" s="14" t="s">
        <v>8949</v>
      </c>
      <c r="D3566" s="14" t="s">
        <v>8531</v>
      </c>
      <c r="E3566" s="14" t="s">
        <v>6768</v>
      </c>
      <c r="F3566" s="14" t="s">
        <v>6769</v>
      </c>
      <c r="G3566" s="14" t="s">
        <v>37</v>
      </c>
      <c r="H3566" s="14" t="s">
        <v>65</v>
      </c>
      <c r="I3566" s="14"/>
      <c r="J3566" s="14" t="s">
        <v>175</v>
      </c>
      <c r="K3566" s="14"/>
      <c r="L3566" s="14"/>
      <c r="M3566" s="14" t="s">
        <v>6770</v>
      </c>
      <c r="N3566" s="14"/>
      <c r="O3566" s="14" t="s">
        <v>6771</v>
      </c>
      <c r="P3566" s="14" t="str">
        <f>HYPERLINK("https://ceds.ed.gov/cedselementdetails.aspx?termid=17068")</f>
        <v>https://ceds.ed.gov/cedselementdetails.aspx?termid=17068</v>
      </c>
      <c r="Q3566" s="14" t="str">
        <f>HYPERLINK("https://ceds.ed.gov/elementComment.aspx?elementName=Postsecondary Course Title &amp;elementID=17068", "Click here to submit comment")</f>
        <v>Click here to submit comment</v>
      </c>
      <c r="R3566" s="14">
        <v>51606</v>
      </c>
    </row>
    <row r="3567" spans="1:18" ht="45" x14ac:dyDescent="0.25">
      <c r="A3567" s="14" t="s">
        <v>9080</v>
      </c>
      <c r="B3567" s="14" t="s">
        <v>8944</v>
      </c>
      <c r="C3567" s="14" t="s">
        <v>8949</v>
      </c>
      <c r="D3567" s="14" t="s">
        <v>8531</v>
      </c>
      <c r="E3567" s="14" t="s">
        <v>6383</v>
      </c>
      <c r="F3567" s="14" t="s">
        <v>6384</v>
      </c>
      <c r="G3567" s="14" t="s">
        <v>6385</v>
      </c>
      <c r="H3567" s="14"/>
      <c r="I3567" s="14"/>
      <c r="J3567" s="14"/>
      <c r="K3567" s="14"/>
      <c r="L3567" s="14"/>
      <c r="M3567" s="14" t="s">
        <v>6386</v>
      </c>
      <c r="N3567" s="14"/>
      <c r="O3567" s="14" t="s">
        <v>6387</v>
      </c>
      <c r="P3567" s="14" t="str">
        <f>HYPERLINK("https://ceds.ed.gov/cedselementdetails.aspx?termid=18383")</f>
        <v>https://ceds.ed.gov/cedselementdetails.aspx?termid=18383</v>
      </c>
      <c r="Q3567" s="14" t="str">
        <f>HYPERLINK("https://ceds.ed.gov/elementComment.aspx?elementName=NCES College Course Map Code &amp;elementID=18383", "Click here to submit comment")</f>
        <v>Click here to submit comment</v>
      </c>
      <c r="R3567" s="14">
        <v>51608</v>
      </c>
    </row>
    <row r="3568" spans="1:18" ht="105" x14ac:dyDescent="0.25">
      <c r="A3568" s="16" t="s">
        <v>9080</v>
      </c>
      <c r="B3568" s="16" t="s">
        <v>8944</v>
      </c>
      <c r="C3568" s="16" t="s">
        <v>8635</v>
      </c>
      <c r="D3568" s="16" t="s">
        <v>8531</v>
      </c>
      <c r="E3568" s="16" t="s">
        <v>8072</v>
      </c>
      <c r="F3568" s="16" t="s">
        <v>8073</v>
      </c>
      <c r="G3568" s="16" t="s">
        <v>37</v>
      </c>
      <c r="H3568" s="16" t="s">
        <v>8071</v>
      </c>
      <c r="I3568" s="16"/>
      <c r="J3568" s="16" t="s">
        <v>149</v>
      </c>
      <c r="K3568" s="16"/>
      <c r="L3568" s="14" t="s">
        <v>150</v>
      </c>
      <c r="M3568" s="16" t="s">
        <v>8074</v>
      </c>
      <c r="N3568" s="16"/>
      <c r="O3568" s="16" t="s">
        <v>8075</v>
      </c>
      <c r="P3568" s="16" t="str">
        <f>HYPERLINK("https://ceds.ed.gov/cedselementdetails.aspx?termid=17157")</f>
        <v>https://ceds.ed.gov/cedselementdetails.aspx?termid=17157</v>
      </c>
      <c r="Q3568" s="16" t="str">
        <f>HYPERLINK("https://ceds.ed.gov/elementComment.aspx?elementName=Student Identifier &amp;elementID=17157", "Click here to submit comment")</f>
        <v>Click here to submit comment</v>
      </c>
      <c r="R3568" s="16">
        <v>51581</v>
      </c>
    </row>
    <row r="3569" spans="1:18" x14ac:dyDescent="0.25">
      <c r="A3569" s="16"/>
      <c r="B3569" s="16"/>
      <c r="C3569" s="16"/>
      <c r="D3569" s="16"/>
      <c r="E3569" s="16"/>
      <c r="F3569" s="16"/>
      <c r="G3569" s="16"/>
      <c r="H3569" s="16"/>
      <c r="I3569" s="16"/>
      <c r="J3569" s="16"/>
      <c r="K3569" s="16"/>
      <c r="L3569" s="14"/>
      <c r="M3569" s="16"/>
      <c r="N3569" s="16"/>
      <c r="O3569" s="16"/>
      <c r="P3569" s="16"/>
      <c r="Q3569" s="16"/>
      <c r="R3569" s="16"/>
    </row>
    <row r="3570" spans="1:18" ht="90" x14ac:dyDescent="0.25">
      <c r="A3570" s="16"/>
      <c r="B3570" s="16"/>
      <c r="C3570" s="16"/>
      <c r="D3570" s="16"/>
      <c r="E3570" s="16"/>
      <c r="F3570" s="16"/>
      <c r="G3570" s="16"/>
      <c r="H3570" s="16"/>
      <c r="I3570" s="16"/>
      <c r="J3570" s="16"/>
      <c r="K3570" s="16"/>
      <c r="L3570" s="14" t="s">
        <v>153</v>
      </c>
      <c r="M3570" s="16"/>
      <c r="N3570" s="16"/>
      <c r="O3570" s="16"/>
      <c r="P3570" s="16"/>
      <c r="Q3570" s="16"/>
      <c r="R3570" s="16"/>
    </row>
    <row r="3571" spans="1:18" ht="210" x14ac:dyDescent="0.25">
      <c r="A3571" s="14" t="s">
        <v>9080</v>
      </c>
      <c r="B3571" s="14" t="s">
        <v>8944</v>
      </c>
      <c r="C3571" s="14" t="s">
        <v>8635</v>
      </c>
      <c r="D3571" s="14" t="s">
        <v>8531</v>
      </c>
      <c r="E3571" s="14" t="s">
        <v>8065</v>
      </c>
      <c r="F3571" s="14" t="s">
        <v>8066</v>
      </c>
      <c r="G3571" s="8" t="s">
        <v>8814</v>
      </c>
      <c r="H3571" s="14" t="s">
        <v>8071</v>
      </c>
      <c r="I3571" s="14"/>
      <c r="J3571" s="14"/>
      <c r="K3571" s="14"/>
      <c r="L3571" s="14"/>
      <c r="M3571" s="14" t="s">
        <v>8069</v>
      </c>
      <c r="N3571" s="14"/>
      <c r="O3571" s="14" t="s">
        <v>8070</v>
      </c>
      <c r="P3571" s="14" t="str">
        <f>HYPERLINK("https://ceds.ed.gov/cedselementdetails.aspx?termid=17163")</f>
        <v>https://ceds.ed.gov/cedselementdetails.aspx?termid=17163</v>
      </c>
      <c r="Q3571" s="14" t="str">
        <f>HYPERLINK("https://ceds.ed.gov/elementComment.aspx?elementName=Student Identification System &amp;elementID=17163", "Click here to submit comment")</f>
        <v>Click here to submit comment</v>
      </c>
      <c r="R3571" s="14">
        <v>51582</v>
      </c>
    </row>
    <row r="3572" spans="1:18" ht="45" x14ac:dyDescent="0.25">
      <c r="A3572" s="14" t="s">
        <v>9080</v>
      </c>
      <c r="B3572" s="14" t="s">
        <v>8944</v>
      </c>
      <c r="C3572" s="14" t="s">
        <v>8635</v>
      </c>
      <c r="D3572" s="14" t="s">
        <v>8531</v>
      </c>
      <c r="E3572" s="14" t="s">
        <v>3011</v>
      </c>
      <c r="F3572" s="14" t="s">
        <v>3012</v>
      </c>
      <c r="G3572" s="14" t="s">
        <v>37</v>
      </c>
      <c r="H3572" s="14" t="s">
        <v>65</v>
      </c>
      <c r="I3572" s="14"/>
      <c r="J3572" s="14" t="s">
        <v>62</v>
      </c>
      <c r="K3572" s="14"/>
      <c r="L3572" s="14"/>
      <c r="M3572" s="14" t="s">
        <v>3013</v>
      </c>
      <c r="N3572" s="14"/>
      <c r="O3572" s="14" t="s">
        <v>3014</v>
      </c>
      <c r="P3572" s="14" t="str">
        <f>HYPERLINK("https://ceds.ed.gov/cedselementdetails.aspx?termid=17063")</f>
        <v>https://ceds.ed.gov/cedselementdetails.aspx?termid=17063</v>
      </c>
      <c r="Q3572" s="14" t="str">
        <f>HYPERLINK("https://ceds.ed.gov/elementComment.aspx?elementName=Course Override School &amp;elementID=17063", "Click here to submit comment")</f>
        <v>Click here to submit comment</v>
      </c>
      <c r="R3572" s="14">
        <v>51573</v>
      </c>
    </row>
    <row r="3573" spans="1:18" ht="45" x14ac:dyDescent="0.25">
      <c r="A3573" s="14" t="s">
        <v>9080</v>
      </c>
      <c r="B3573" s="14" t="s">
        <v>8944</v>
      </c>
      <c r="C3573" s="14" t="s">
        <v>8635</v>
      </c>
      <c r="D3573" s="14" t="s">
        <v>8531</v>
      </c>
      <c r="E3573" s="14" t="s">
        <v>3465</v>
      </c>
      <c r="F3573" s="14" t="s">
        <v>3466</v>
      </c>
      <c r="G3573" s="14" t="s">
        <v>24</v>
      </c>
      <c r="H3573" s="14" t="s">
        <v>65</v>
      </c>
      <c r="I3573" s="14"/>
      <c r="J3573" s="14"/>
      <c r="K3573" s="14"/>
      <c r="L3573" s="14"/>
      <c r="M3573" s="14" t="s">
        <v>3467</v>
      </c>
      <c r="N3573" s="14"/>
      <c r="O3573" s="14" t="s">
        <v>3468</v>
      </c>
      <c r="P3573" s="14" t="str">
        <f>HYPERLINK("https://ceds.ed.gov/cedselementdetails.aspx?termid=17077")</f>
        <v>https://ceds.ed.gov/cedselementdetails.aspx?termid=17077</v>
      </c>
      <c r="Q3573" s="14" t="str">
        <f>HYPERLINK("https://ceds.ed.gov/elementComment.aspx?elementName=Degree Applicability &amp;elementID=17077", "Click here to submit comment")</f>
        <v>Click here to submit comment</v>
      </c>
      <c r="R3573" s="14">
        <v>51576</v>
      </c>
    </row>
    <row r="3574" spans="1:18" ht="45" x14ac:dyDescent="0.25">
      <c r="A3574" s="14" t="s">
        <v>9080</v>
      </c>
      <c r="B3574" s="14" t="s">
        <v>8944</v>
      </c>
      <c r="C3574" s="14" t="s">
        <v>8635</v>
      </c>
      <c r="D3574" s="14" t="s">
        <v>8531</v>
      </c>
      <c r="E3574" s="14" t="s">
        <v>2867</v>
      </c>
      <c r="F3574" s="14" t="s">
        <v>2868</v>
      </c>
      <c r="G3574" s="14" t="s">
        <v>37</v>
      </c>
      <c r="H3574" s="14" t="s">
        <v>2232</v>
      </c>
      <c r="I3574" s="14"/>
      <c r="J3574" s="14" t="s">
        <v>2870</v>
      </c>
      <c r="K3574" s="14"/>
      <c r="L3574" s="14"/>
      <c r="M3574" s="14" t="s">
        <v>2871</v>
      </c>
      <c r="N3574" s="14"/>
      <c r="O3574" s="14" t="s">
        <v>2872</v>
      </c>
      <c r="P3574" s="14" t="str">
        <f>HYPERLINK("https://ceds.ed.gov/cedselementdetails.aspx?termid=17053")</f>
        <v>https://ceds.ed.gov/cedselementdetails.aspx?termid=17053</v>
      </c>
      <c r="Q3574" s="14" t="str">
        <f>HYPERLINK("https://ceds.ed.gov/elementComment.aspx?elementName=Course Academic Grade &amp;elementID=17053", "Click here to submit comment")</f>
        <v>Click here to submit comment</v>
      </c>
      <c r="R3574" s="14">
        <v>51572</v>
      </c>
    </row>
    <row r="3575" spans="1:18" ht="120" x14ac:dyDescent="0.25">
      <c r="A3575" s="14" t="s">
        <v>9080</v>
      </c>
      <c r="B3575" s="14" t="s">
        <v>8944</v>
      </c>
      <c r="C3575" s="14" t="s">
        <v>8635</v>
      </c>
      <c r="D3575" s="14" t="s">
        <v>8531</v>
      </c>
      <c r="E3575" s="14" t="s">
        <v>6436</v>
      </c>
      <c r="F3575" s="14" t="s">
        <v>6437</v>
      </c>
      <c r="G3575" s="14" t="s">
        <v>37</v>
      </c>
      <c r="H3575" s="14" t="s">
        <v>6137</v>
      </c>
      <c r="I3575" s="14"/>
      <c r="J3575" s="14" t="s">
        <v>1710</v>
      </c>
      <c r="K3575" s="14"/>
      <c r="L3575" s="14"/>
      <c r="M3575" s="14" t="s">
        <v>6439</v>
      </c>
      <c r="N3575" s="14"/>
      <c r="O3575" s="14" t="s">
        <v>6440</v>
      </c>
      <c r="P3575" s="14" t="str">
        <f>HYPERLINK("https://ceds.ed.gov/cedselementdetails.aspx?termid=17200")</f>
        <v>https://ceds.ed.gov/cedselementdetails.aspx?termid=17200</v>
      </c>
      <c r="Q3575" s="14" t="str">
        <f>HYPERLINK("https://ceds.ed.gov/elementComment.aspx?elementName=Number of Credits Earned &amp;elementID=17200", "Click here to submit comment")</f>
        <v>Click here to submit comment</v>
      </c>
      <c r="R3575" s="14">
        <v>51583</v>
      </c>
    </row>
    <row r="3576" spans="1:18" ht="60" x14ac:dyDescent="0.25">
      <c r="A3576" s="14" t="s">
        <v>9080</v>
      </c>
      <c r="B3576" s="14" t="s">
        <v>8944</v>
      </c>
      <c r="C3576" s="14" t="s">
        <v>8635</v>
      </c>
      <c r="D3576" s="14" t="s">
        <v>8531</v>
      </c>
      <c r="E3576" s="14" t="s">
        <v>3015</v>
      </c>
      <c r="F3576" s="14" t="s">
        <v>3016</v>
      </c>
      <c r="G3576" s="14" t="s">
        <v>37</v>
      </c>
      <c r="H3576" s="14" t="s">
        <v>65</v>
      </c>
      <c r="I3576" s="14"/>
      <c r="J3576" s="14" t="s">
        <v>1710</v>
      </c>
      <c r="K3576" s="14"/>
      <c r="L3576" s="14"/>
      <c r="M3576" s="14" t="s">
        <v>3017</v>
      </c>
      <c r="N3576" s="14"/>
      <c r="O3576" s="14" t="s">
        <v>3018</v>
      </c>
      <c r="P3576" s="14" t="str">
        <f>HYPERLINK("https://ceds.ed.gov/cedselementdetails.aspx?termid=17064")</f>
        <v>https://ceds.ed.gov/cedselementdetails.aspx?termid=17064</v>
      </c>
      <c r="Q3576" s="14" t="str">
        <f>HYPERLINK("https://ceds.ed.gov/elementComment.aspx?elementName=Course Quality Points Earned &amp;elementID=17064", "Click here to submit comment")</f>
        <v>Click here to submit comment</v>
      </c>
      <c r="R3576" s="14">
        <v>51574</v>
      </c>
    </row>
    <row r="3577" spans="1:18" ht="45" x14ac:dyDescent="0.25">
      <c r="A3577" s="14" t="s">
        <v>9080</v>
      </c>
      <c r="B3577" s="14" t="s">
        <v>8944</v>
      </c>
      <c r="C3577" s="14" t="s">
        <v>8635</v>
      </c>
      <c r="D3577" s="14" t="s">
        <v>8531</v>
      </c>
      <c r="E3577" s="14" t="s">
        <v>2886</v>
      </c>
      <c r="F3577" s="14" t="s">
        <v>2887</v>
      </c>
      <c r="G3577" s="14" t="s">
        <v>37</v>
      </c>
      <c r="H3577" s="14"/>
      <c r="I3577" s="14"/>
      <c r="J3577" s="14" t="s">
        <v>135</v>
      </c>
      <c r="K3577" s="14"/>
      <c r="L3577" s="14"/>
      <c r="M3577" s="14" t="s">
        <v>2888</v>
      </c>
      <c r="N3577" s="14"/>
      <c r="O3577" s="14" t="s">
        <v>2889</v>
      </c>
      <c r="P3577" s="14" t="str">
        <f>HYPERLINK("https://ceds.ed.gov/cedselementdetails.aspx?termid=18266")</f>
        <v>https://ceds.ed.gov/cedselementdetails.aspx?termid=18266</v>
      </c>
      <c r="Q3577" s="14" t="str">
        <f>HYPERLINK("https://ceds.ed.gov/elementComment.aspx?elementName=Course Add Date &amp;elementID=18266", "Click here to submit comment")</f>
        <v>Click here to submit comment</v>
      </c>
      <c r="R3577" s="14">
        <v>51577</v>
      </c>
    </row>
    <row r="3578" spans="1:18" ht="45" x14ac:dyDescent="0.25">
      <c r="A3578" s="14" t="s">
        <v>9080</v>
      </c>
      <c r="B3578" s="14" t="s">
        <v>8944</v>
      </c>
      <c r="C3578" s="14" t="s">
        <v>8635</v>
      </c>
      <c r="D3578" s="14" t="s">
        <v>8531</v>
      </c>
      <c r="E3578" s="14" t="s">
        <v>2940</v>
      </c>
      <c r="F3578" s="14" t="s">
        <v>2941</v>
      </c>
      <c r="G3578" s="14" t="s">
        <v>37</v>
      </c>
      <c r="H3578" s="14" t="s">
        <v>2944</v>
      </c>
      <c r="I3578" s="14"/>
      <c r="J3578" s="14" t="s">
        <v>135</v>
      </c>
      <c r="K3578" s="14"/>
      <c r="L3578" s="14"/>
      <c r="M3578" s="14" t="s">
        <v>2942</v>
      </c>
      <c r="N3578" s="14"/>
      <c r="O3578" s="14" t="s">
        <v>2943</v>
      </c>
      <c r="P3578" s="14" t="str">
        <f>HYPERLINK("https://ceds.ed.gov/cedselementdetails.aspx?termid=18271")</f>
        <v>https://ceds.ed.gov/cedselementdetails.aspx?termid=18271</v>
      </c>
      <c r="Q3578" s="14" t="str">
        <f>HYPERLINK("https://ceds.ed.gov/elementComment.aspx?elementName=Course Drop Date &amp;elementID=18271", "Click here to submit comment")</f>
        <v>Click here to submit comment</v>
      </c>
      <c r="R3578" s="14">
        <v>51578</v>
      </c>
    </row>
    <row r="3579" spans="1:18" ht="90" x14ac:dyDescent="0.25">
      <c r="A3579" s="14" t="s">
        <v>9080</v>
      </c>
      <c r="B3579" s="14" t="s">
        <v>8944</v>
      </c>
      <c r="C3579" s="14" t="s">
        <v>8635</v>
      </c>
      <c r="D3579" s="14" t="s">
        <v>8531</v>
      </c>
      <c r="E3579" s="14" t="s">
        <v>8046</v>
      </c>
      <c r="F3579" s="14" t="s">
        <v>8047</v>
      </c>
      <c r="G3579" s="14" t="s">
        <v>37</v>
      </c>
      <c r="H3579" s="14" t="s">
        <v>72</v>
      </c>
      <c r="I3579" s="14"/>
      <c r="J3579" s="14" t="s">
        <v>2870</v>
      </c>
      <c r="K3579" s="14"/>
      <c r="L3579" s="14"/>
      <c r="M3579" s="14" t="s">
        <v>8049</v>
      </c>
      <c r="N3579" s="14"/>
      <c r="O3579" s="14" t="s">
        <v>8050</v>
      </c>
      <c r="P3579" s="14" t="str">
        <f>HYPERLINK("https://ceds.ed.gov/cedselementdetails.aspx?termid=17124")</f>
        <v>https://ceds.ed.gov/cedselementdetails.aspx?termid=17124</v>
      </c>
      <c r="Q3579" s="14" t="str">
        <f>HYPERLINK("https://ceds.ed.gov/elementComment.aspx?elementName=Student Course Section Grade Earned &amp;elementID=17124", "Click here to submit comment")</f>
        <v>Click here to submit comment</v>
      </c>
      <c r="R3579" s="14">
        <v>51579</v>
      </c>
    </row>
    <row r="3580" spans="1:18" ht="45" x14ac:dyDescent="0.25">
      <c r="A3580" s="14" t="s">
        <v>9080</v>
      </c>
      <c r="B3580" s="14" t="s">
        <v>8944</v>
      </c>
      <c r="C3580" s="14" t="s">
        <v>8635</v>
      </c>
      <c r="D3580" s="14" t="s">
        <v>8531</v>
      </c>
      <c r="E3580" s="14" t="s">
        <v>8051</v>
      </c>
      <c r="F3580" s="14" t="s">
        <v>8052</v>
      </c>
      <c r="G3580" s="14" t="s">
        <v>37</v>
      </c>
      <c r="H3580" s="14"/>
      <c r="I3580" s="14"/>
      <c r="J3580" s="14" t="s">
        <v>129</v>
      </c>
      <c r="K3580" s="14"/>
      <c r="L3580" s="14"/>
      <c r="M3580" s="14" t="s">
        <v>8054</v>
      </c>
      <c r="N3580" s="14"/>
      <c r="O3580" s="14" t="s">
        <v>8055</v>
      </c>
      <c r="P3580" s="14" t="str">
        <f>HYPERLINK("https://ceds.ed.gov/cedselementdetails.aspx?termid=18552")</f>
        <v>https://ceds.ed.gov/cedselementdetails.aspx?termid=18552</v>
      </c>
      <c r="Q3580" s="14" t="str">
        <f>HYPERLINK("https://ceds.ed.gov/elementComment.aspx?elementName=Student Course Section Grade Narrative &amp;elementID=18552", "Click here to submit comment")</f>
        <v>Click here to submit comment</v>
      </c>
      <c r="R3580" s="14">
        <v>51580</v>
      </c>
    </row>
    <row r="3581" spans="1:18" ht="90" x14ac:dyDescent="0.25">
      <c r="A3581" s="14" t="s">
        <v>9080</v>
      </c>
      <c r="B3581" s="14" t="s">
        <v>8944</v>
      </c>
      <c r="C3581" s="14" t="s">
        <v>8954</v>
      </c>
      <c r="D3581" s="14" t="s">
        <v>8531</v>
      </c>
      <c r="E3581" s="14" t="s">
        <v>6186</v>
      </c>
      <c r="F3581" s="14" t="s">
        <v>6187</v>
      </c>
      <c r="G3581" s="14" t="s">
        <v>37</v>
      </c>
      <c r="H3581" s="14" t="s">
        <v>72</v>
      </c>
      <c r="I3581" s="14"/>
      <c r="J3581" s="14" t="s">
        <v>97</v>
      </c>
      <c r="K3581" s="14"/>
      <c r="L3581" s="14"/>
      <c r="M3581" s="14" t="s">
        <v>6189</v>
      </c>
      <c r="N3581" s="14"/>
      <c r="O3581" s="14" t="s">
        <v>6190</v>
      </c>
      <c r="P3581" s="14" t="str">
        <f>HYPERLINK("https://ceds.ed.gov/cedselementdetails.aspx?termid=17182")</f>
        <v>https://ceds.ed.gov/cedselementdetails.aspx?termid=17182</v>
      </c>
      <c r="Q3581" s="14" t="str">
        <f>HYPERLINK("https://ceds.ed.gov/elementComment.aspx?elementName=Marking Period Name &amp;elementID=17182", "Click here to submit comment")</f>
        <v>Click here to submit comment</v>
      </c>
      <c r="R3581" s="14">
        <v>51567</v>
      </c>
    </row>
    <row r="3582" spans="1:18" ht="45" x14ac:dyDescent="0.25">
      <c r="A3582" s="14" t="s">
        <v>9080</v>
      </c>
      <c r="B3582" s="14" t="s">
        <v>8944</v>
      </c>
      <c r="C3582" s="14" t="s">
        <v>8954</v>
      </c>
      <c r="D3582" s="14" t="s">
        <v>8531</v>
      </c>
      <c r="E3582" s="14" t="s">
        <v>8056</v>
      </c>
      <c r="F3582" s="14" t="s">
        <v>8057</v>
      </c>
      <c r="G3582" s="14" t="s">
        <v>24</v>
      </c>
      <c r="H3582" s="14"/>
      <c r="I3582" s="14"/>
      <c r="J3582" s="14"/>
      <c r="K3582" s="14"/>
      <c r="L3582" s="14"/>
      <c r="M3582" s="14" t="s">
        <v>8058</v>
      </c>
      <c r="N3582" s="14"/>
      <c r="O3582" s="14" t="s">
        <v>8059</v>
      </c>
      <c r="P3582" s="14" t="str">
        <f>HYPERLINK("https://ceds.ed.gov/cedselementdetails.aspx?termid=18191")</f>
        <v>https://ceds.ed.gov/cedselementdetails.aspx?termid=18191</v>
      </c>
      <c r="Q3582" s="14" t="str">
        <f>HYPERLINK("https://ceds.ed.gov/elementComment.aspx?elementName=Student Course Section Mark Final Indicator &amp;elementID=18191", "Click here to submit comment")</f>
        <v>Click here to submit comment</v>
      </c>
      <c r="R3582" s="14">
        <v>51568</v>
      </c>
    </row>
    <row r="3583" spans="1:18" ht="90" x14ac:dyDescent="0.25">
      <c r="A3583" s="14" t="s">
        <v>9080</v>
      </c>
      <c r="B3583" s="14" t="s">
        <v>8944</v>
      </c>
      <c r="C3583" s="14" t="s">
        <v>8954</v>
      </c>
      <c r="D3583" s="14" t="s">
        <v>8531</v>
      </c>
      <c r="E3583" s="14" t="s">
        <v>6219</v>
      </c>
      <c r="F3583" s="14" t="s">
        <v>6220</v>
      </c>
      <c r="G3583" s="14" t="s">
        <v>37</v>
      </c>
      <c r="H3583" s="14" t="s">
        <v>72</v>
      </c>
      <c r="I3583" s="14"/>
      <c r="J3583" s="14" t="s">
        <v>2870</v>
      </c>
      <c r="K3583" s="14"/>
      <c r="L3583" s="14"/>
      <c r="M3583" s="14" t="s">
        <v>6221</v>
      </c>
      <c r="N3583" s="14"/>
      <c r="O3583" s="14" t="s">
        <v>6222</v>
      </c>
      <c r="P3583" s="14" t="str">
        <f>HYPERLINK("https://ceds.ed.gov/cedselementdetails.aspx?termid=17183")</f>
        <v>https://ceds.ed.gov/cedselementdetails.aspx?termid=17183</v>
      </c>
      <c r="Q3583" s="14" t="str">
        <f>HYPERLINK("https://ceds.ed.gov/elementComment.aspx?elementName=Mid Term Mark &amp;elementID=17183", "Click here to submit comment")</f>
        <v>Click here to submit comment</v>
      </c>
      <c r="R3583" s="14">
        <v>51570</v>
      </c>
    </row>
    <row r="3584" spans="1:18" ht="90" x14ac:dyDescent="0.25">
      <c r="A3584" s="14" t="s">
        <v>9080</v>
      </c>
      <c r="B3584" s="14" t="s">
        <v>8944</v>
      </c>
      <c r="C3584" s="14" t="s">
        <v>8954</v>
      </c>
      <c r="D3584" s="14" t="s">
        <v>8531</v>
      </c>
      <c r="E3584" s="14" t="s">
        <v>8046</v>
      </c>
      <c r="F3584" s="14" t="s">
        <v>8047</v>
      </c>
      <c r="G3584" s="14" t="s">
        <v>37</v>
      </c>
      <c r="H3584" s="14" t="s">
        <v>72</v>
      </c>
      <c r="I3584" s="14"/>
      <c r="J3584" s="14" t="s">
        <v>2870</v>
      </c>
      <c r="K3584" s="14"/>
      <c r="L3584" s="14"/>
      <c r="M3584" s="14" t="s">
        <v>8049</v>
      </c>
      <c r="N3584" s="14"/>
      <c r="O3584" s="14" t="s">
        <v>8050</v>
      </c>
      <c r="P3584" s="14" t="str">
        <f>HYPERLINK("https://ceds.ed.gov/cedselementdetails.aspx?termid=17124")</f>
        <v>https://ceds.ed.gov/cedselementdetails.aspx?termid=17124</v>
      </c>
      <c r="Q3584" s="14" t="str">
        <f>HYPERLINK("https://ceds.ed.gov/elementComment.aspx?elementName=Student Course Section Grade Earned &amp;elementID=17124", "Click here to submit comment")</f>
        <v>Click here to submit comment</v>
      </c>
      <c r="R3584" s="14">
        <v>51569</v>
      </c>
    </row>
    <row r="3585" spans="1:18" ht="135" x14ac:dyDescent="0.25">
      <c r="A3585" s="14" t="s">
        <v>9080</v>
      </c>
      <c r="B3585" s="14" t="s">
        <v>8944</v>
      </c>
      <c r="C3585" s="14" t="s">
        <v>8954</v>
      </c>
      <c r="D3585" s="14" t="s">
        <v>8531</v>
      </c>
      <c r="E3585" s="14" t="s">
        <v>4878</v>
      </c>
      <c r="F3585" s="14" t="s">
        <v>4879</v>
      </c>
      <c r="G3585" s="14" t="s">
        <v>37</v>
      </c>
      <c r="H3585" s="14"/>
      <c r="I3585" s="14"/>
      <c r="J3585" s="14" t="s">
        <v>874</v>
      </c>
      <c r="K3585" s="14"/>
      <c r="L3585" s="14" t="s">
        <v>4881</v>
      </c>
      <c r="M3585" s="14" t="s">
        <v>4882</v>
      </c>
      <c r="N3585" s="14"/>
      <c r="O3585" s="14" t="s">
        <v>4883</v>
      </c>
      <c r="P3585" s="14" t="str">
        <f>HYPERLINK("https://ceds.ed.gov/cedselementdetails.aspx?termid=17609")</f>
        <v>https://ceds.ed.gov/cedselementdetails.aspx?termid=17609</v>
      </c>
      <c r="Q3585" s="14" t="str">
        <f>HYPERLINK("https://ceds.ed.gov/elementComment.aspx?elementName=Grade Value Qualifier &amp;elementID=17609", "Click here to submit comment")</f>
        <v>Click here to submit comment</v>
      </c>
      <c r="R3585" s="14">
        <v>51571</v>
      </c>
    </row>
    <row r="3586" spans="1:18" ht="285" x14ac:dyDescent="0.25">
      <c r="A3586" s="14" t="s">
        <v>9080</v>
      </c>
      <c r="B3586" s="14" t="s">
        <v>8944</v>
      </c>
      <c r="C3586" s="14" t="s">
        <v>8954</v>
      </c>
      <c r="D3586" s="14" t="s">
        <v>8531</v>
      </c>
      <c r="E3586" s="14" t="s">
        <v>2880</v>
      </c>
      <c r="F3586" s="14" t="s">
        <v>2881</v>
      </c>
      <c r="G3586" s="8" t="s">
        <v>9075</v>
      </c>
      <c r="H3586" s="14"/>
      <c r="I3586" s="14"/>
      <c r="J3586" s="14"/>
      <c r="K3586" s="14"/>
      <c r="L3586" s="14"/>
      <c r="M3586" s="14" t="s">
        <v>2884</v>
      </c>
      <c r="N3586" s="14"/>
      <c r="O3586" s="14" t="s">
        <v>2885</v>
      </c>
      <c r="P3586" s="14" t="str">
        <f>HYPERLINK("https://ceds.ed.gov/cedselementdetails.aspx?termid=18265")</f>
        <v>https://ceds.ed.gov/cedselementdetails.aspx?termid=18265</v>
      </c>
      <c r="Q3586" s="14" t="str">
        <f>HYPERLINK("https://ceds.ed.gov/elementComment.aspx?elementName=Course Academic Grade Status Code &amp;elementID=18265", "Click here to submit comment")</f>
        <v>Click here to submit comment</v>
      </c>
      <c r="R3586" s="14">
        <v>51566</v>
      </c>
    </row>
    <row r="3587" spans="1:18" ht="105" x14ac:dyDescent="0.25">
      <c r="A3587" s="16" t="s">
        <v>9080</v>
      </c>
      <c r="B3587" s="16" t="s">
        <v>8944</v>
      </c>
      <c r="C3587" s="16" t="s">
        <v>8955</v>
      </c>
      <c r="D3587" s="16" t="s">
        <v>8531</v>
      </c>
      <c r="E3587" s="16" t="s">
        <v>7927</v>
      </c>
      <c r="F3587" s="16" t="s">
        <v>7928</v>
      </c>
      <c r="G3587" s="16" t="s">
        <v>37</v>
      </c>
      <c r="H3587" s="16" t="s">
        <v>7931</v>
      </c>
      <c r="I3587" s="16"/>
      <c r="J3587" s="16" t="s">
        <v>149</v>
      </c>
      <c r="K3587" s="16"/>
      <c r="L3587" s="14" t="s">
        <v>150</v>
      </c>
      <c r="M3587" s="16" t="s">
        <v>7929</v>
      </c>
      <c r="N3587" s="16"/>
      <c r="O3587" s="16" t="s">
        <v>7930</v>
      </c>
      <c r="P3587" s="16" t="str">
        <f>HYPERLINK("https://ceds.ed.gov/cedselementdetails.aspx?termid=17156")</f>
        <v>https://ceds.ed.gov/cedselementdetails.aspx?termid=17156</v>
      </c>
      <c r="Q3587" s="16" t="str">
        <f>HYPERLINK("https://ceds.ed.gov/elementComment.aspx?elementName=Staff Member Identifier &amp;elementID=17156", "Click here to submit comment")</f>
        <v>Click here to submit comment</v>
      </c>
      <c r="R3587" s="16">
        <v>51586</v>
      </c>
    </row>
    <row r="3588" spans="1:18" x14ac:dyDescent="0.25">
      <c r="A3588" s="16"/>
      <c r="B3588" s="16"/>
      <c r="C3588" s="16"/>
      <c r="D3588" s="16"/>
      <c r="E3588" s="16"/>
      <c r="F3588" s="16"/>
      <c r="G3588" s="16"/>
      <c r="H3588" s="16"/>
      <c r="I3588" s="16"/>
      <c r="J3588" s="16"/>
      <c r="K3588" s="16"/>
      <c r="L3588" s="14"/>
      <c r="M3588" s="16"/>
      <c r="N3588" s="16"/>
      <c r="O3588" s="16"/>
      <c r="P3588" s="16"/>
      <c r="Q3588" s="16"/>
      <c r="R3588" s="16"/>
    </row>
    <row r="3589" spans="1:18" ht="90" x14ac:dyDescent="0.25">
      <c r="A3589" s="16"/>
      <c r="B3589" s="16"/>
      <c r="C3589" s="16"/>
      <c r="D3589" s="16"/>
      <c r="E3589" s="16"/>
      <c r="F3589" s="16"/>
      <c r="G3589" s="16"/>
      <c r="H3589" s="16"/>
      <c r="I3589" s="16"/>
      <c r="J3589" s="16"/>
      <c r="K3589" s="16"/>
      <c r="L3589" s="14" t="s">
        <v>153</v>
      </c>
      <c r="M3589" s="16"/>
      <c r="N3589" s="16"/>
      <c r="O3589" s="16"/>
      <c r="P3589" s="16"/>
      <c r="Q3589" s="16"/>
      <c r="R3589" s="16"/>
    </row>
    <row r="3590" spans="1:18" ht="345" x14ac:dyDescent="0.25">
      <c r="A3590" s="14" t="s">
        <v>9080</v>
      </c>
      <c r="B3590" s="14" t="s">
        <v>8944</v>
      </c>
      <c r="C3590" s="14" t="s">
        <v>8955</v>
      </c>
      <c r="D3590" s="14" t="s">
        <v>8531</v>
      </c>
      <c r="E3590" s="14" t="s">
        <v>7920</v>
      </c>
      <c r="F3590" s="14" t="s">
        <v>7921</v>
      </c>
      <c r="G3590" s="8" t="s">
        <v>8687</v>
      </c>
      <c r="H3590" s="14" t="s">
        <v>7926</v>
      </c>
      <c r="I3590" s="14"/>
      <c r="J3590" s="14"/>
      <c r="K3590" s="14"/>
      <c r="L3590" s="14"/>
      <c r="M3590" s="14" t="s">
        <v>7924</v>
      </c>
      <c r="N3590" s="14"/>
      <c r="O3590" s="14" t="s">
        <v>7925</v>
      </c>
      <c r="P3590" s="14" t="str">
        <f>HYPERLINK("https://ceds.ed.gov/cedselementdetails.aspx?termid=17162")</f>
        <v>https://ceds.ed.gov/cedselementdetails.aspx?termid=17162</v>
      </c>
      <c r="Q3590" s="14" t="str">
        <f>HYPERLINK("https://ceds.ed.gov/elementComment.aspx?elementName=Staff Member Identification System &amp;elementID=17162", "Click here to submit comment")</f>
        <v>Click here to submit comment</v>
      </c>
      <c r="R3590" s="14">
        <v>51587</v>
      </c>
    </row>
    <row r="3591" spans="1:18" ht="45" x14ac:dyDescent="0.25">
      <c r="A3591" s="14" t="s">
        <v>9080</v>
      </c>
      <c r="B3591" s="14" t="s">
        <v>8944</v>
      </c>
      <c r="C3591" s="14" t="s">
        <v>8955</v>
      </c>
      <c r="D3591" s="14" t="s">
        <v>8531</v>
      </c>
      <c r="E3591" s="14" t="s">
        <v>1626</v>
      </c>
      <c r="F3591" s="14" t="s">
        <v>1627</v>
      </c>
      <c r="G3591" s="14" t="s">
        <v>37</v>
      </c>
      <c r="H3591" s="14"/>
      <c r="I3591" s="14"/>
      <c r="J3591" s="14" t="s">
        <v>135</v>
      </c>
      <c r="K3591" s="14"/>
      <c r="L3591" s="14"/>
      <c r="M3591" s="14" t="s">
        <v>1628</v>
      </c>
      <c r="N3591" s="14"/>
      <c r="O3591" s="14" t="s">
        <v>1629</v>
      </c>
      <c r="P3591" s="14" t="str">
        <f>HYPERLINK("https://ceds.ed.gov/cedselementdetails.aspx?termid=17517")</f>
        <v>https://ceds.ed.gov/cedselementdetails.aspx?termid=17517</v>
      </c>
      <c r="Q3591" s="14" t="str">
        <f>HYPERLINK("https://ceds.ed.gov/elementComment.aspx?elementName=Assignment Start Date &amp;elementID=17517", "Click here to submit comment")</f>
        <v>Click here to submit comment</v>
      </c>
      <c r="R3591" s="14">
        <v>51584</v>
      </c>
    </row>
    <row r="3592" spans="1:18" ht="75" x14ac:dyDescent="0.25">
      <c r="A3592" s="14" t="s">
        <v>9080</v>
      </c>
      <c r="B3592" s="14" t="s">
        <v>8944</v>
      </c>
      <c r="C3592" s="14" t="s">
        <v>8955</v>
      </c>
      <c r="D3592" s="14" t="s">
        <v>8531</v>
      </c>
      <c r="E3592" s="14" t="s">
        <v>1621</v>
      </c>
      <c r="F3592" s="14" t="s">
        <v>1622</v>
      </c>
      <c r="G3592" s="14" t="s">
        <v>37</v>
      </c>
      <c r="H3592" s="14"/>
      <c r="I3592" s="14"/>
      <c r="J3592" s="14" t="s">
        <v>135</v>
      </c>
      <c r="K3592" s="14"/>
      <c r="L3592" s="14" t="s">
        <v>160</v>
      </c>
      <c r="M3592" s="14" t="s">
        <v>1624</v>
      </c>
      <c r="N3592" s="14"/>
      <c r="O3592" s="14" t="s">
        <v>1625</v>
      </c>
      <c r="P3592" s="14" t="str">
        <f>HYPERLINK("https://ceds.ed.gov/cedselementdetails.aspx?termid=17518")</f>
        <v>https://ceds.ed.gov/cedselementdetails.aspx?termid=17518</v>
      </c>
      <c r="Q3592" s="14" t="str">
        <f>HYPERLINK("https://ceds.ed.gov/elementComment.aspx?elementName=Assignment End Date &amp;elementID=17518", "Click here to submit comment")</f>
        <v>Click here to submit comment</v>
      </c>
      <c r="R3592" s="14">
        <v>51585</v>
      </c>
    </row>
    <row r="3593" spans="1:18" ht="60" x14ac:dyDescent="0.25">
      <c r="A3593" s="14" t="s">
        <v>9080</v>
      </c>
      <c r="B3593" s="14" t="s">
        <v>8944</v>
      </c>
      <c r="C3593" s="14" t="s">
        <v>8955</v>
      </c>
      <c r="D3593" s="14" t="s">
        <v>8531</v>
      </c>
      <c r="E3593" s="14" t="s">
        <v>8142</v>
      </c>
      <c r="F3593" s="14" t="s">
        <v>8143</v>
      </c>
      <c r="G3593" s="14" t="s">
        <v>24</v>
      </c>
      <c r="H3593" s="14" t="s">
        <v>8148</v>
      </c>
      <c r="I3593" s="14"/>
      <c r="J3593" s="14"/>
      <c r="K3593" s="14"/>
      <c r="L3593" s="14" t="s">
        <v>8145</v>
      </c>
      <c r="M3593" s="14" t="s">
        <v>8146</v>
      </c>
      <c r="N3593" s="14"/>
      <c r="O3593" s="14" t="s">
        <v>8147</v>
      </c>
      <c r="P3593" s="14" t="str">
        <f>HYPERLINK("https://ceds.ed.gov/cedselementdetails.aspx?termid=17649")</f>
        <v>https://ceds.ed.gov/cedselementdetails.aspx?termid=17649</v>
      </c>
      <c r="Q3593" s="14" t="str">
        <f>HYPERLINK("https://ceds.ed.gov/elementComment.aspx?elementName=Teacher of Record &amp;elementID=17649", "Click here to submit comment")</f>
        <v>Click here to submit comment</v>
      </c>
      <c r="R3593" s="14">
        <v>51589</v>
      </c>
    </row>
    <row r="3594" spans="1:18" ht="90" x14ac:dyDescent="0.25">
      <c r="A3594" s="14" t="s">
        <v>9080</v>
      </c>
      <c r="B3594" s="14" t="s">
        <v>8944</v>
      </c>
      <c r="C3594" s="14" t="s">
        <v>8955</v>
      </c>
      <c r="D3594" s="14" t="s">
        <v>8531</v>
      </c>
      <c r="E3594" s="14" t="s">
        <v>8173</v>
      </c>
      <c r="F3594" s="14" t="s">
        <v>8174</v>
      </c>
      <c r="G3594" s="8" t="s">
        <v>8956</v>
      </c>
      <c r="H3594" s="14" t="s">
        <v>8148</v>
      </c>
      <c r="I3594" s="14"/>
      <c r="J3594" s="14"/>
      <c r="K3594" s="14"/>
      <c r="L3594" s="14"/>
      <c r="M3594" s="14" t="s">
        <v>8176</v>
      </c>
      <c r="N3594" s="14"/>
      <c r="O3594" s="14" t="s">
        <v>8177</v>
      </c>
      <c r="P3594" s="14" t="str">
        <f>HYPERLINK("https://ceds.ed.gov/cedselementdetails.aspx?termid=17650")</f>
        <v>https://ceds.ed.gov/cedselementdetails.aspx?termid=17650</v>
      </c>
      <c r="Q3594" s="14" t="str">
        <f>HYPERLINK("https://ceds.ed.gov/elementComment.aspx?elementName=Teaching Assignment Role &amp;elementID=17650", "Click here to submit comment")</f>
        <v>Click here to submit comment</v>
      </c>
      <c r="R3594" s="14">
        <v>51590</v>
      </c>
    </row>
    <row r="3595" spans="1:18" ht="90" x14ac:dyDescent="0.25">
      <c r="A3595" s="14" t="s">
        <v>9080</v>
      </c>
      <c r="B3595" s="14" t="s">
        <v>8944</v>
      </c>
      <c r="C3595" s="14" t="s">
        <v>8955</v>
      </c>
      <c r="D3595" s="14" t="s">
        <v>8531</v>
      </c>
      <c r="E3595" s="14" t="s">
        <v>8164</v>
      </c>
      <c r="F3595" s="14" t="s">
        <v>8165</v>
      </c>
      <c r="G3595" s="14" t="s">
        <v>37</v>
      </c>
      <c r="H3595" s="14" t="s">
        <v>8148</v>
      </c>
      <c r="I3595" s="14"/>
      <c r="J3595" s="14" t="s">
        <v>869</v>
      </c>
      <c r="K3595" s="14"/>
      <c r="L3595" s="14"/>
      <c r="M3595" s="14" t="s">
        <v>8166</v>
      </c>
      <c r="N3595" s="14"/>
      <c r="O3595" s="14" t="s">
        <v>8167</v>
      </c>
      <c r="P3595" s="14" t="str">
        <f>HYPERLINK("https://ceds.ed.gov/cedselementdetails.aspx?termid=17651")</f>
        <v>https://ceds.ed.gov/cedselementdetails.aspx?termid=17651</v>
      </c>
      <c r="Q3595" s="14" t="str">
        <f>HYPERLINK("https://ceds.ed.gov/elementComment.aspx?elementName=Teaching Assignment Contribution Percentage &amp;elementID=17651", "Click here to submit comment")</f>
        <v>Click here to submit comment</v>
      </c>
      <c r="R3595" s="14">
        <v>51591</v>
      </c>
    </row>
    <row r="3596" spans="1:18" ht="270" x14ac:dyDescent="0.25">
      <c r="A3596" s="14" t="s">
        <v>9080</v>
      </c>
      <c r="B3596" s="14" t="s">
        <v>8944</v>
      </c>
      <c r="C3596" s="14" t="s">
        <v>8955</v>
      </c>
      <c r="D3596" s="14" t="s">
        <v>8531</v>
      </c>
      <c r="E3596" s="14" t="s">
        <v>2389</v>
      </c>
      <c r="F3596" s="14" t="s">
        <v>2390</v>
      </c>
      <c r="G3596" s="8" t="s">
        <v>8922</v>
      </c>
      <c r="H3596" s="14"/>
      <c r="I3596" s="14"/>
      <c r="J3596" s="14"/>
      <c r="K3596" s="14"/>
      <c r="L3596" s="14"/>
      <c r="M3596" s="14" t="s">
        <v>2393</v>
      </c>
      <c r="N3596" s="14"/>
      <c r="O3596" s="14" t="s">
        <v>2394</v>
      </c>
      <c r="P3596" s="14" t="str">
        <f>HYPERLINK("https://ceds.ed.gov/cedselementdetails.aspx?termid=17615")</f>
        <v>https://ceds.ed.gov/cedselementdetails.aspx?termid=17615</v>
      </c>
      <c r="Q3596" s="14" t="str">
        <f>HYPERLINK("https://ceds.ed.gov/elementComment.aspx?elementName=Classroom Position Type &amp;elementID=17615", "Click here to submit comment")</f>
        <v>Click here to submit comment</v>
      </c>
      <c r="R3596" s="14">
        <v>51588</v>
      </c>
    </row>
    <row r="3597" spans="1:18" ht="45" x14ac:dyDescent="0.25">
      <c r="A3597" s="14" t="s">
        <v>9080</v>
      </c>
      <c r="B3597" s="14" t="s">
        <v>8944</v>
      </c>
      <c r="C3597" s="14" t="s">
        <v>8828</v>
      </c>
      <c r="D3597" s="14" t="s">
        <v>8531</v>
      </c>
      <c r="E3597" s="14" t="s">
        <v>1630</v>
      </c>
      <c r="F3597" s="14" t="s">
        <v>1631</v>
      </c>
      <c r="G3597" s="14" t="s">
        <v>37</v>
      </c>
      <c r="H3597" s="14"/>
      <c r="I3597" s="14"/>
      <c r="J3597" s="14" t="s">
        <v>135</v>
      </c>
      <c r="K3597" s="14"/>
      <c r="L3597" s="14"/>
      <c r="M3597" s="14" t="s">
        <v>1633</v>
      </c>
      <c r="N3597" s="14"/>
      <c r="O3597" s="14" t="s">
        <v>1634</v>
      </c>
      <c r="P3597" s="14" t="str">
        <f>HYPERLINK("https://ceds.ed.gov/cedselementdetails.aspx?termid=18630")</f>
        <v>https://ceds.ed.gov/cedselementdetails.aspx?termid=18630</v>
      </c>
      <c r="Q3597" s="14" t="str">
        <f>HYPERLINK("https://ceds.ed.gov/elementComment.aspx?elementName=Attendance Event Date &amp;elementID=18630", "Click here to submit comment")</f>
        <v>Click here to submit comment</v>
      </c>
      <c r="R3597" s="14">
        <v>51594</v>
      </c>
    </row>
    <row r="3598" spans="1:18" ht="120" x14ac:dyDescent="0.25">
      <c r="A3598" s="14" t="s">
        <v>9080</v>
      </c>
      <c r="B3598" s="14" t="s">
        <v>8944</v>
      </c>
      <c r="C3598" s="14" t="s">
        <v>8828</v>
      </c>
      <c r="D3598" s="14" t="s">
        <v>8531</v>
      </c>
      <c r="E3598" s="14" t="s">
        <v>1635</v>
      </c>
      <c r="F3598" s="14" t="s">
        <v>1636</v>
      </c>
      <c r="G3598" s="8" t="s">
        <v>8831</v>
      </c>
      <c r="H3598" s="14"/>
      <c r="I3598" s="14"/>
      <c r="J3598" s="14"/>
      <c r="K3598" s="14"/>
      <c r="L3598" s="14"/>
      <c r="M3598" s="14" t="s">
        <v>1639</v>
      </c>
      <c r="N3598" s="14"/>
      <c r="O3598" s="14" t="s">
        <v>1640</v>
      </c>
      <c r="P3598" s="14" t="str">
        <f>HYPERLINK("https://ceds.ed.gov/cedselementdetails.aspx?termid=17594")</f>
        <v>https://ceds.ed.gov/cedselementdetails.aspx?termid=17594</v>
      </c>
      <c r="Q3598" s="14" t="str">
        <f>HYPERLINK("https://ceds.ed.gov/elementComment.aspx?elementName=Attendance Event Type &amp;elementID=17594", "Click here to submit comment")</f>
        <v>Click here to submit comment</v>
      </c>
      <c r="R3598" s="14">
        <v>51593</v>
      </c>
    </row>
    <row r="3599" spans="1:18" ht="105" x14ac:dyDescent="0.25">
      <c r="A3599" s="14" t="s">
        <v>9080</v>
      </c>
      <c r="B3599" s="14" t="s">
        <v>8944</v>
      </c>
      <c r="C3599" s="14" t="s">
        <v>8828</v>
      </c>
      <c r="D3599" s="14" t="s">
        <v>8531</v>
      </c>
      <c r="E3599" s="14" t="s">
        <v>1641</v>
      </c>
      <c r="F3599" s="14" t="s">
        <v>1642</v>
      </c>
      <c r="G3599" s="8" t="s">
        <v>8832</v>
      </c>
      <c r="H3599" s="14"/>
      <c r="I3599" s="14"/>
      <c r="J3599" s="14"/>
      <c r="K3599" s="14"/>
      <c r="L3599" s="14"/>
      <c r="M3599" s="14" t="s">
        <v>1644</v>
      </c>
      <c r="N3599" s="14"/>
      <c r="O3599" s="14" t="s">
        <v>1645</v>
      </c>
      <c r="P3599" s="14" t="str">
        <f>HYPERLINK("https://ceds.ed.gov/cedselementdetails.aspx?termid=17076")</f>
        <v>https://ceds.ed.gov/cedselementdetails.aspx?termid=17076</v>
      </c>
      <c r="Q3599" s="14" t="str">
        <f>HYPERLINK("https://ceds.ed.gov/elementComment.aspx?elementName=Attendance Status &amp;elementID=17076", "Click here to submit comment")</f>
        <v>Click here to submit comment</v>
      </c>
      <c r="R3599" s="14">
        <v>51592</v>
      </c>
    </row>
    <row r="3600" spans="1:18" ht="360" x14ac:dyDescent="0.25">
      <c r="A3600" s="14" t="s">
        <v>9080</v>
      </c>
      <c r="B3600" s="14" t="s">
        <v>8668</v>
      </c>
      <c r="C3600" s="14"/>
      <c r="D3600" s="14" t="s">
        <v>8531</v>
      </c>
      <c r="E3600" s="14" t="s">
        <v>2182</v>
      </c>
      <c r="F3600" s="14" t="s">
        <v>2183</v>
      </c>
      <c r="G3600" s="8" t="s">
        <v>8942</v>
      </c>
      <c r="H3600" s="14"/>
      <c r="I3600" s="14"/>
      <c r="J3600" s="14"/>
      <c r="K3600" s="14"/>
      <c r="L3600" s="14" t="s">
        <v>2186</v>
      </c>
      <c r="M3600" s="14" t="s">
        <v>2187</v>
      </c>
      <c r="N3600" s="14"/>
      <c r="O3600" s="14" t="s">
        <v>2188</v>
      </c>
      <c r="P3600" s="14" t="str">
        <f>HYPERLINK("https://ceds.ed.gov/cedselementdetails.aspx?termid=18254")</f>
        <v>https://ceds.ed.gov/cedselementdetails.aspx?termid=18254</v>
      </c>
      <c r="Q3600" s="14" t="str">
        <f>HYPERLINK("https://ceds.ed.gov/elementComment.aspx?elementName=Career Cluster &amp;elementID=18254", "Click here to submit comment")</f>
        <v>Click here to submit comment</v>
      </c>
      <c r="R3600" s="14">
        <v>50076</v>
      </c>
    </row>
    <row r="3601" spans="1:18" ht="195" x14ac:dyDescent="0.25">
      <c r="A3601" s="14" t="s">
        <v>4746</v>
      </c>
      <c r="B3601" s="14" t="s">
        <v>9097</v>
      </c>
      <c r="C3601" s="14" t="s">
        <v>8597</v>
      </c>
      <c r="D3601" s="14" t="s">
        <v>8531</v>
      </c>
      <c r="E3601" s="14" t="s">
        <v>4667</v>
      </c>
      <c r="F3601" s="14" t="s">
        <v>4668</v>
      </c>
      <c r="G3601" s="14" t="s">
        <v>37</v>
      </c>
      <c r="H3601" s="14" t="s">
        <v>4673</v>
      </c>
      <c r="I3601" s="14"/>
      <c r="J3601" s="14" t="s">
        <v>1468</v>
      </c>
      <c r="K3601" s="14"/>
      <c r="L3601" s="14" t="s">
        <v>4670</v>
      </c>
      <c r="M3601" s="14" t="s">
        <v>4671</v>
      </c>
      <c r="N3601" s="14"/>
      <c r="O3601" s="14" t="s">
        <v>4672</v>
      </c>
      <c r="P3601" s="14" t="str">
        <f>HYPERLINK("https://ceds.ed.gov/cedselementdetails.aspx?termid=17115")</f>
        <v>https://ceds.ed.gov/cedselementdetails.aspx?termid=17115</v>
      </c>
      <c r="Q3601" s="14" t="str">
        <f>HYPERLINK("https://ceds.ed.gov/elementComment.aspx?elementName=First Name &amp;elementID=17115", "Click here to submit comment")</f>
        <v>Click here to submit comment</v>
      </c>
      <c r="R3601" s="14">
        <v>49465</v>
      </c>
    </row>
    <row r="3602" spans="1:18" x14ac:dyDescent="0.25">
      <c r="A3602" s="16" t="s">
        <v>4746</v>
      </c>
      <c r="B3602" s="16" t="s">
        <v>9097</v>
      </c>
      <c r="C3602" s="16" t="s">
        <v>8597</v>
      </c>
      <c r="D3602" s="16" t="s">
        <v>8531</v>
      </c>
      <c r="E3602" s="16" t="s">
        <v>6223</v>
      </c>
      <c r="F3602" s="16" t="s">
        <v>6224</v>
      </c>
      <c r="G3602" s="16" t="s">
        <v>37</v>
      </c>
      <c r="H3602" s="16" t="s">
        <v>4673</v>
      </c>
      <c r="I3602" s="16"/>
      <c r="J3602" s="16" t="s">
        <v>1468</v>
      </c>
      <c r="K3602" s="16"/>
      <c r="L3602" s="14" t="s">
        <v>4746</v>
      </c>
      <c r="M3602" s="16" t="s">
        <v>6226</v>
      </c>
      <c r="N3602" s="16"/>
      <c r="O3602" s="16" t="s">
        <v>6227</v>
      </c>
      <c r="P3602" s="16" t="str">
        <f>HYPERLINK("https://ceds.ed.gov/cedselementdetails.aspx?termid=17184")</f>
        <v>https://ceds.ed.gov/cedselementdetails.aspx?termid=17184</v>
      </c>
      <c r="Q3602" s="16" t="str">
        <f>HYPERLINK("https://ceds.ed.gov/elementComment.aspx?elementName=Middle Name &amp;elementID=17184", "Click here to submit comment")</f>
        <v>Click here to submit comment</v>
      </c>
      <c r="R3602" s="16">
        <v>49466</v>
      </c>
    </row>
    <row r="3603" spans="1:18" ht="90" x14ac:dyDescent="0.25">
      <c r="A3603" s="16"/>
      <c r="B3603" s="16"/>
      <c r="C3603" s="16"/>
      <c r="D3603" s="16"/>
      <c r="E3603" s="16"/>
      <c r="F3603" s="16"/>
      <c r="G3603" s="16"/>
      <c r="H3603" s="16"/>
      <c r="I3603" s="16"/>
      <c r="J3603" s="16"/>
      <c r="K3603" s="16"/>
      <c r="L3603" s="14" t="s">
        <v>4750</v>
      </c>
      <c r="M3603" s="16"/>
      <c r="N3603" s="16"/>
      <c r="O3603" s="16"/>
      <c r="P3603" s="16"/>
      <c r="Q3603" s="16"/>
      <c r="R3603" s="16"/>
    </row>
    <row r="3604" spans="1:18" x14ac:dyDescent="0.25">
      <c r="A3604" s="16" t="s">
        <v>4746</v>
      </c>
      <c r="B3604" s="16" t="s">
        <v>9097</v>
      </c>
      <c r="C3604" s="16" t="s">
        <v>8597</v>
      </c>
      <c r="D3604" s="16" t="s">
        <v>8531</v>
      </c>
      <c r="E3604" s="16" t="s">
        <v>5727</v>
      </c>
      <c r="F3604" s="16" t="s">
        <v>5728</v>
      </c>
      <c r="G3604" s="16" t="s">
        <v>37</v>
      </c>
      <c r="H3604" s="16" t="s">
        <v>4673</v>
      </c>
      <c r="I3604" s="16"/>
      <c r="J3604" s="16" t="s">
        <v>1468</v>
      </c>
      <c r="K3604" s="16"/>
      <c r="L3604" s="14" t="s">
        <v>4746</v>
      </c>
      <c r="M3604" s="16" t="s">
        <v>5729</v>
      </c>
      <c r="N3604" s="16" t="s">
        <v>5730</v>
      </c>
      <c r="O3604" s="16" t="s">
        <v>5731</v>
      </c>
      <c r="P3604" s="16" t="str">
        <f>HYPERLINK("https://ceds.ed.gov/cedselementdetails.aspx?termid=17172")</f>
        <v>https://ceds.ed.gov/cedselementdetails.aspx?termid=17172</v>
      </c>
      <c r="Q3604" s="16" t="str">
        <f>HYPERLINK("https://ceds.ed.gov/elementComment.aspx?elementName=Last or Surname &amp;elementID=17172", "Click here to submit comment")</f>
        <v>Click here to submit comment</v>
      </c>
      <c r="R3604" s="16">
        <v>49467</v>
      </c>
    </row>
    <row r="3605" spans="1:18" ht="90" x14ac:dyDescent="0.25">
      <c r="A3605" s="16"/>
      <c r="B3605" s="16"/>
      <c r="C3605" s="16"/>
      <c r="D3605" s="16"/>
      <c r="E3605" s="16"/>
      <c r="F3605" s="16"/>
      <c r="G3605" s="16"/>
      <c r="H3605" s="16"/>
      <c r="I3605" s="16"/>
      <c r="J3605" s="16"/>
      <c r="K3605" s="16"/>
      <c r="L3605" s="14" t="s">
        <v>4750</v>
      </c>
      <c r="M3605" s="16"/>
      <c r="N3605" s="16"/>
      <c r="O3605" s="16"/>
      <c r="P3605" s="16"/>
      <c r="Q3605" s="16"/>
      <c r="R3605" s="16"/>
    </row>
    <row r="3606" spans="1:18" x14ac:dyDescent="0.25">
      <c r="A3606" s="16" t="s">
        <v>4746</v>
      </c>
      <c r="B3606" s="16" t="s">
        <v>9097</v>
      </c>
      <c r="C3606" s="16" t="s">
        <v>8597</v>
      </c>
      <c r="D3606" s="16" t="s">
        <v>8531</v>
      </c>
      <c r="E3606" s="16" t="s">
        <v>4743</v>
      </c>
      <c r="F3606" s="16" t="s">
        <v>4744</v>
      </c>
      <c r="G3606" s="16" t="s">
        <v>37</v>
      </c>
      <c r="H3606" s="16" t="s">
        <v>4749</v>
      </c>
      <c r="I3606" s="16"/>
      <c r="J3606" s="16" t="s">
        <v>3096</v>
      </c>
      <c r="K3606" s="16"/>
      <c r="L3606" s="14" t="s">
        <v>4746</v>
      </c>
      <c r="M3606" s="16" t="s">
        <v>4747</v>
      </c>
      <c r="N3606" s="16"/>
      <c r="O3606" s="16" t="s">
        <v>4748</v>
      </c>
      <c r="P3606" s="16" t="str">
        <f>HYPERLINK("https://ceds.ed.gov/cedselementdetails.aspx?termid=17121")</f>
        <v>https://ceds.ed.gov/cedselementdetails.aspx?termid=17121</v>
      </c>
      <c r="Q3606" s="16" t="str">
        <f>HYPERLINK("https://ceds.ed.gov/elementComment.aspx?elementName=Generation Code or Suffix &amp;elementID=17121", "Click here to submit comment")</f>
        <v>Click here to submit comment</v>
      </c>
      <c r="R3606" s="16">
        <v>49468</v>
      </c>
    </row>
    <row r="3607" spans="1:18" ht="90" x14ac:dyDescent="0.25">
      <c r="A3607" s="16"/>
      <c r="B3607" s="16"/>
      <c r="C3607" s="16"/>
      <c r="D3607" s="16"/>
      <c r="E3607" s="16"/>
      <c r="F3607" s="16"/>
      <c r="G3607" s="16"/>
      <c r="H3607" s="16"/>
      <c r="I3607" s="16"/>
      <c r="J3607" s="16"/>
      <c r="K3607" s="16"/>
      <c r="L3607" s="14" t="s">
        <v>4750</v>
      </c>
      <c r="M3607" s="16"/>
      <c r="N3607" s="16"/>
      <c r="O3607" s="16"/>
      <c r="P3607" s="16"/>
      <c r="Q3607" s="16"/>
      <c r="R3607" s="16"/>
    </row>
    <row r="3608" spans="1:18" ht="105" x14ac:dyDescent="0.25">
      <c r="A3608" s="14" t="s">
        <v>4746</v>
      </c>
      <c r="B3608" s="14" t="s">
        <v>9097</v>
      </c>
      <c r="C3608" s="14" t="s">
        <v>8597</v>
      </c>
      <c r="D3608" s="14" t="s">
        <v>8531</v>
      </c>
      <c r="E3608" s="14" t="s">
        <v>6741</v>
      </c>
      <c r="F3608" s="14" t="s">
        <v>6742</v>
      </c>
      <c r="G3608" s="14" t="s">
        <v>37</v>
      </c>
      <c r="H3608" s="14" t="s">
        <v>6747</v>
      </c>
      <c r="I3608" s="14"/>
      <c r="J3608" s="14" t="s">
        <v>97</v>
      </c>
      <c r="K3608" s="14"/>
      <c r="L3608" s="14"/>
      <c r="M3608" s="14" t="s">
        <v>6744</v>
      </c>
      <c r="N3608" s="14" t="s">
        <v>6745</v>
      </c>
      <c r="O3608" s="14" t="s">
        <v>6746</v>
      </c>
      <c r="P3608" s="14" t="str">
        <f>HYPERLINK("https://ceds.ed.gov/cedselementdetails.aspx?termid=17212")</f>
        <v>https://ceds.ed.gov/cedselementdetails.aspx?termid=17212</v>
      </c>
      <c r="Q3608" s="14" t="str">
        <f>HYPERLINK("https://ceds.ed.gov/elementComment.aspx?elementName=Personal Title or Prefix &amp;elementID=17212", "Click here to submit comment")</f>
        <v>Click here to submit comment</v>
      </c>
      <c r="R3608" s="14">
        <v>49891</v>
      </c>
    </row>
    <row r="3609" spans="1:18" ht="45" x14ac:dyDescent="0.25">
      <c r="A3609" s="14" t="s">
        <v>4746</v>
      </c>
      <c r="B3609" s="14" t="s">
        <v>9097</v>
      </c>
      <c r="C3609" s="14" t="s">
        <v>8598</v>
      </c>
      <c r="D3609" s="14" t="s">
        <v>8531</v>
      </c>
      <c r="E3609" s="14" t="s">
        <v>6586</v>
      </c>
      <c r="F3609" s="14" t="s">
        <v>6587</v>
      </c>
      <c r="G3609" s="14" t="s">
        <v>37</v>
      </c>
      <c r="H3609" s="14"/>
      <c r="I3609" s="14"/>
      <c r="J3609" s="14" t="s">
        <v>1468</v>
      </c>
      <c r="K3609" s="14"/>
      <c r="L3609" s="14" t="s">
        <v>6589</v>
      </c>
      <c r="M3609" s="14" t="s">
        <v>6590</v>
      </c>
      <c r="N3609" s="14"/>
      <c r="O3609" s="14" t="s">
        <v>6591</v>
      </c>
      <c r="P3609" s="14" t="str">
        <f>HYPERLINK("https://ceds.ed.gov/cedselementdetails.aspx?termid=18486")</f>
        <v>https://ceds.ed.gov/cedselementdetails.aspx?termid=18486</v>
      </c>
      <c r="Q3609" s="14" t="str">
        <f>HYPERLINK("https://ceds.ed.gov/elementComment.aspx?elementName=Other First Name &amp;elementID=18486", "Click here to submit comment")</f>
        <v>Click here to submit comment</v>
      </c>
      <c r="R3609" s="14">
        <v>50637</v>
      </c>
    </row>
    <row r="3610" spans="1:18" ht="45" x14ac:dyDescent="0.25">
      <c r="A3610" s="14" t="s">
        <v>4746</v>
      </c>
      <c r="B3610" s="14" t="s">
        <v>9097</v>
      </c>
      <c r="C3610" s="14" t="s">
        <v>8598</v>
      </c>
      <c r="D3610" s="14" t="s">
        <v>8531</v>
      </c>
      <c r="E3610" s="14" t="s">
        <v>6597</v>
      </c>
      <c r="F3610" s="14" t="s">
        <v>6598</v>
      </c>
      <c r="G3610" s="14" t="s">
        <v>37</v>
      </c>
      <c r="H3610" s="14"/>
      <c r="I3610" s="14"/>
      <c r="J3610" s="14" t="s">
        <v>1468</v>
      </c>
      <c r="K3610" s="14"/>
      <c r="L3610" s="14" t="s">
        <v>6599</v>
      </c>
      <c r="M3610" s="14" t="s">
        <v>6600</v>
      </c>
      <c r="N3610" s="14"/>
      <c r="O3610" s="14" t="s">
        <v>6601</v>
      </c>
      <c r="P3610" s="14" t="str">
        <f>HYPERLINK("https://ceds.ed.gov/cedselementdetails.aspx?termid=18487")</f>
        <v>https://ceds.ed.gov/cedselementdetails.aspx?termid=18487</v>
      </c>
      <c r="Q3610" s="14" t="str">
        <f>HYPERLINK("https://ceds.ed.gov/elementComment.aspx?elementName=Other Middle Name &amp;elementID=18487", "Click here to submit comment")</f>
        <v>Click here to submit comment</v>
      </c>
      <c r="R3610" s="14">
        <v>50653</v>
      </c>
    </row>
    <row r="3611" spans="1:18" ht="45" x14ac:dyDescent="0.25">
      <c r="A3611" s="14" t="s">
        <v>4746</v>
      </c>
      <c r="B3611" s="14" t="s">
        <v>9097</v>
      </c>
      <c r="C3611" s="14" t="s">
        <v>8598</v>
      </c>
      <c r="D3611" s="14" t="s">
        <v>8531</v>
      </c>
      <c r="E3611" s="14" t="s">
        <v>6592</v>
      </c>
      <c r="F3611" s="14" t="s">
        <v>6593</v>
      </c>
      <c r="G3611" s="14" t="s">
        <v>37</v>
      </c>
      <c r="H3611" s="14"/>
      <c r="I3611" s="14"/>
      <c r="J3611" s="14" t="s">
        <v>1468</v>
      </c>
      <c r="K3611" s="14"/>
      <c r="L3611" s="14" t="s">
        <v>6594</v>
      </c>
      <c r="M3611" s="14" t="s">
        <v>6595</v>
      </c>
      <c r="N3611" s="14"/>
      <c r="O3611" s="14" t="s">
        <v>6596</v>
      </c>
      <c r="P3611" s="14" t="str">
        <f>HYPERLINK("https://ceds.ed.gov/cedselementdetails.aspx?termid=18485")</f>
        <v>https://ceds.ed.gov/cedselementdetails.aspx?termid=18485</v>
      </c>
      <c r="Q3611" s="14" t="str">
        <f>HYPERLINK("https://ceds.ed.gov/elementComment.aspx?elementName=Other Last Name &amp;elementID=18485", "Click here to submit comment")</f>
        <v>Click here to submit comment</v>
      </c>
      <c r="R3611" s="14">
        <v>50621</v>
      </c>
    </row>
    <row r="3612" spans="1:18" ht="150" x14ac:dyDescent="0.25">
      <c r="A3612" s="14" t="s">
        <v>4746</v>
      </c>
      <c r="B3612" s="14" t="s">
        <v>9097</v>
      </c>
      <c r="C3612" s="14" t="s">
        <v>8598</v>
      </c>
      <c r="D3612" s="14" t="s">
        <v>8531</v>
      </c>
      <c r="E3612" s="14" t="s">
        <v>6602</v>
      </c>
      <c r="F3612" s="14" t="s">
        <v>6603</v>
      </c>
      <c r="G3612" s="14" t="s">
        <v>37</v>
      </c>
      <c r="H3612" s="14" t="s">
        <v>4749</v>
      </c>
      <c r="I3612" s="14"/>
      <c r="J3612" s="14" t="s">
        <v>149</v>
      </c>
      <c r="K3612" s="14"/>
      <c r="L3612" s="14"/>
      <c r="M3612" s="14" t="s">
        <v>6604</v>
      </c>
      <c r="N3612" s="14"/>
      <c r="O3612" s="14" t="s">
        <v>6605</v>
      </c>
      <c r="P3612" s="14" t="str">
        <f>HYPERLINK("https://ceds.ed.gov/cedselementdetails.aspx?termid=17206")</f>
        <v>https://ceds.ed.gov/cedselementdetails.aspx?termid=17206</v>
      </c>
      <c r="Q3612" s="14" t="str">
        <f>HYPERLINK("https://ceds.ed.gov/elementComment.aspx?elementName=Other Name &amp;elementID=17206", "Click here to submit comment")</f>
        <v>Click here to submit comment</v>
      </c>
      <c r="R3612" s="14">
        <v>49892</v>
      </c>
    </row>
    <row r="3613" spans="1:18" ht="165" x14ac:dyDescent="0.25">
      <c r="A3613" s="14" t="s">
        <v>4746</v>
      </c>
      <c r="B3613" s="14" t="s">
        <v>9097</v>
      </c>
      <c r="C3613" s="14" t="s">
        <v>8598</v>
      </c>
      <c r="D3613" s="14" t="s">
        <v>8531</v>
      </c>
      <c r="E3613" s="14" t="s">
        <v>6606</v>
      </c>
      <c r="F3613" s="14" t="s">
        <v>6607</v>
      </c>
      <c r="G3613" s="8" t="s">
        <v>8554</v>
      </c>
      <c r="H3613" s="14" t="s">
        <v>6612</v>
      </c>
      <c r="I3613" s="14"/>
      <c r="J3613" s="14" t="s">
        <v>97</v>
      </c>
      <c r="K3613" s="14"/>
      <c r="L3613" s="14"/>
      <c r="M3613" s="14" t="s">
        <v>6610</v>
      </c>
      <c r="N3613" s="14"/>
      <c r="O3613" s="14" t="s">
        <v>6611</v>
      </c>
      <c r="P3613" s="14" t="str">
        <f>HYPERLINK("https://ceds.ed.gov/cedselementdetails.aspx?termid=17627")</f>
        <v>https://ceds.ed.gov/cedselementdetails.aspx?termid=17627</v>
      </c>
      <c r="Q3613" s="14" t="str">
        <f>HYPERLINK("https://ceds.ed.gov/elementComment.aspx?elementName=Other Name Type &amp;elementID=17627", "Click here to submit comment")</f>
        <v>Click here to submit comment</v>
      </c>
      <c r="R3613" s="14">
        <v>49893</v>
      </c>
    </row>
    <row r="3614" spans="1:18" ht="255" x14ac:dyDescent="0.25">
      <c r="A3614" s="14" t="s">
        <v>4746</v>
      </c>
      <c r="B3614" s="14" t="s">
        <v>9097</v>
      </c>
      <c r="C3614" s="14" t="s">
        <v>8599</v>
      </c>
      <c r="D3614" s="14" t="s">
        <v>8531</v>
      </c>
      <c r="E3614" s="14" t="s">
        <v>6735</v>
      </c>
      <c r="F3614" s="14" t="s">
        <v>6736</v>
      </c>
      <c r="G3614" s="8" t="s">
        <v>8601</v>
      </c>
      <c r="H3614" s="14"/>
      <c r="I3614" s="14"/>
      <c r="J3614" s="14"/>
      <c r="K3614" s="14"/>
      <c r="L3614" s="14"/>
      <c r="M3614" s="14" t="s">
        <v>6739</v>
      </c>
      <c r="N3614" s="14"/>
      <c r="O3614" s="14" t="s">
        <v>6740</v>
      </c>
      <c r="P3614" s="14" t="str">
        <f>HYPERLINK("https://ceds.ed.gov/cedselementdetails.aspx?termid=17611")</f>
        <v>https://ceds.ed.gov/cedselementdetails.aspx?termid=17611</v>
      </c>
      <c r="Q3614" s="14" t="str">
        <f>HYPERLINK("https://ceds.ed.gov/elementComment.aspx?elementName=Personal Information Verification &amp;elementID=17611", "Click here to submit comment")</f>
        <v>Click here to submit comment</v>
      </c>
      <c r="R3614" s="14">
        <v>49223</v>
      </c>
    </row>
    <row r="3615" spans="1:18" ht="375" x14ac:dyDescent="0.25">
      <c r="A3615" s="14" t="s">
        <v>4746</v>
      </c>
      <c r="B3615" s="14" t="s">
        <v>9097</v>
      </c>
      <c r="C3615" s="14" t="s">
        <v>8599</v>
      </c>
      <c r="D3615" s="14" t="s">
        <v>8531</v>
      </c>
      <c r="E3615" s="14" t="s">
        <v>6705</v>
      </c>
      <c r="F3615" s="14" t="s">
        <v>6706</v>
      </c>
      <c r="G3615" s="8" t="s">
        <v>8676</v>
      </c>
      <c r="H3615" s="14"/>
      <c r="I3615" s="14"/>
      <c r="J3615" s="14"/>
      <c r="K3615" s="14"/>
      <c r="L3615" s="14"/>
      <c r="M3615" s="14" t="s">
        <v>6709</v>
      </c>
      <c r="N3615" s="14"/>
      <c r="O3615" s="14" t="s">
        <v>6710</v>
      </c>
      <c r="P3615" s="14" t="str">
        <f>HYPERLINK("https://ceds.ed.gov/cedselementdetails.aspx?termid=18550")</f>
        <v>https://ceds.ed.gov/cedselementdetails.aspx?termid=18550</v>
      </c>
      <c r="Q3615" s="14" t="str">
        <f>HYPERLINK("https://ceds.ed.gov/elementComment.aspx?elementName=Person Identification System &amp;elementID=18550", "Click here to submit comment")</f>
        <v>Click here to submit comment</v>
      </c>
      <c r="R3615" s="14">
        <v>52006</v>
      </c>
    </row>
    <row r="3616" spans="1:18" ht="105" x14ac:dyDescent="0.25">
      <c r="A3616" s="16" t="s">
        <v>4746</v>
      </c>
      <c r="B3616" s="16" t="s">
        <v>9097</v>
      </c>
      <c r="C3616" s="16" t="s">
        <v>8599</v>
      </c>
      <c r="D3616" s="16" t="s">
        <v>8531</v>
      </c>
      <c r="E3616" s="16" t="s">
        <v>6711</v>
      </c>
      <c r="F3616" s="16" t="s">
        <v>6712</v>
      </c>
      <c r="G3616" s="16" t="s">
        <v>37</v>
      </c>
      <c r="H3616" s="16"/>
      <c r="I3616" s="16"/>
      <c r="J3616" s="16" t="s">
        <v>149</v>
      </c>
      <c r="K3616" s="16"/>
      <c r="L3616" s="14" t="s">
        <v>150</v>
      </c>
      <c r="M3616" s="16" t="s">
        <v>6713</v>
      </c>
      <c r="N3616" s="16"/>
      <c r="O3616" s="16" t="s">
        <v>6714</v>
      </c>
      <c r="P3616" s="16" t="str">
        <f>HYPERLINK("https://ceds.ed.gov/cedselementdetails.aspx?termid=18551")</f>
        <v>https://ceds.ed.gov/cedselementdetails.aspx?termid=18551</v>
      </c>
      <c r="Q3616" s="16" t="str">
        <f>HYPERLINK("https://ceds.ed.gov/elementComment.aspx?elementName=Person Identifier &amp;elementID=18551", "Click here to submit comment")</f>
        <v>Click here to submit comment</v>
      </c>
      <c r="R3616" s="16">
        <v>52007</v>
      </c>
    </row>
    <row r="3617" spans="1:18" x14ac:dyDescent="0.25">
      <c r="A3617" s="16"/>
      <c r="B3617" s="16"/>
      <c r="C3617" s="16"/>
      <c r="D3617" s="16"/>
      <c r="E3617" s="16"/>
      <c r="F3617" s="16"/>
      <c r="G3617" s="16"/>
      <c r="H3617" s="16"/>
      <c r="I3617" s="16"/>
      <c r="J3617" s="16"/>
      <c r="K3617" s="16"/>
      <c r="L3617" s="14"/>
      <c r="M3617" s="16"/>
      <c r="N3617" s="16"/>
      <c r="O3617" s="16"/>
      <c r="P3617" s="16"/>
      <c r="Q3617" s="16"/>
      <c r="R3617" s="16"/>
    </row>
    <row r="3618" spans="1:18" ht="90" x14ac:dyDescent="0.25">
      <c r="A3618" s="16"/>
      <c r="B3618" s="16"/>
      <c r="C3618" s="16"/>
      <c r="D3618" s="16"/>
      <c r="E3618" s="16"/>
      <c r="F3618" s="16"/>
      <c r="G3618" s="16"/>
      <c r="H3618" s="16"/>
      <c r="I3618" s="16"/>
      <c r="J3618" s="16"/>
      <c r="K3618" s="16"/>
      <c r="L3618" s="14" t="s">
        <v>153</v>
      </c>
      <c r="M3618" s="16"/>
      <c r="N3618" s="16"/>
      <c r="O3618" s="16"/>
      <c r="P3618" s="16"/>
      <c r="Q3618" s="16"/>
      <c r="R3618" s="16"/>
    </row>
    <row r="3619" spans="1:18" ht="409.5" x14ac:dyDescent="0.25">
      <c r="A3619" s="14" t="s">
        <v>4746</v>
      </c>
      <c r="B3619" s="14" t="s">
        <v>9097</v>
      </c>
      <c r="C3619" s="14" t="s">
        <v>9060</v>
      </c>
      <c r="D3619" s="14" t="s">
        <v>8531</v>
      </c>
      <c r="E3619" s="14" t="s">
        <v>8508</v>
      </c>
      <c r="F3619" s="14" t="s">
        <v>8509</v>
      </c>
      <c r="G3619" s="8" t="s">
        <v>9098</v>
      </c>
      <c r="H3619" s="14"/>
      <c r="I3619" s="14"/>
      <c r="J3619" s="14"/>
      <c r="K3619" s="14"/>
      <c r="L3619" s="14" t="s">
        <v>8511</v>
      </c>
      <c r="M3619" s="14" t="s">
        <v>8512</v>
      </c>
      <c r="N3619" s="14"/>
      <c r="O3619" s="14" t="s">
        <v>8513</v>
      </c>
      <c r="P3619" s="14" t="str">
        <f>HYPERLINK("https://ceds.ed.gov/cedselementdetails.aspx?termid=18000")</f>
        <v>https://ceds.ed.gov/cedselementdetails.aspx?termid=18000</v>
      </c>
      <c r="Q3619" s="14" t="str">
        <f>HYPERLINK("https://ceds.ed.gov/elementComment.aspx?elementName=Workforce Program Type &amp;elementID=18000", "Click here to submit comment")</f>
        <v>Click here to submit comment</v>
      </c>
      <c r="R3619" s="14">
        <v>49470</v>
      </c>
    </row>
    <row r="3620" spans="1:18" ht="180" x14ac:dyDescent="0.25">
      <c r="A3620" s="14" t="s">
        <v>4746</v>
      </c>
      <c r="B3620" s="14" t="s">
        <v>9097</v>
      </c>
      <c r="C3620" s="14" t="s">
        <v>9060</v>
      </c>
      <c r="D3620" s="14" t="s">
        <v>8531</v>
      </c>
      <c r="E3620" s="14" t="s">
        <v>8504</v>
      </c>
      <c r="F3620" s="14" t="s">
        <v>8505</v>
      </c>
      <c r="G3620" s="14" t="s">
        <v>37</v>
      </c>
      <c r="H3620" s="14"/>
      <c r="I3620" s="14"/>
      <c r="J3620" s="14" t="s">
        <v>135</v>
      </c>
      <c r="K3620" s="14"/>
      <c r="L3620" s="14" t="s">
        <v>8501</v>
      </c>
      <c r="M3620" s="14" t="s">
        <v>8506</v>
      </c>
      <c r="N3620" s="14"/>
      <c r="O3620" s="14" t="s">
        <v>8507</v>
      </c>
      <c r="P3620" s="14" t="str">
        <f>HYPERLINK("https://ceds.ed.gov/cedselementdetails.aspx?termid=18001")</f>
        <v>https://ceds.ed.gov/cedselementdetails.aspx?termid=18001</v>
      </c>
      <c r="Q3620" s="14" t="str">
        <f>HYPERLINK("https://ceds.ed.gov/elementComment.aspx?elementName=Workforce Program Participation Start Date &amp;elementID=18001", "Click here to submit comment")</f>
        <v>Click here to submit comment</v>
      </c>
      <c r="R3620" s="14">
        <v>49471</v>
      </c>
    </row>
    <row r="3621" spans="1:18" ht="180" x14ac:dyDescent="0.25">
      <c r="A3621" s="14" t="s">
        <v>4746</v>
      </c>
      <c r="B3621" s="14" t="s">
        <v>9097</v>
      </c>
      <c r="C3621" s="14" t="s">
        <v>9060</v>
      </c>
      <c r="D3621" s="14" t="s">
        <v>8531</v>
      </c>
      <c r="E3621" s="14" t="s">
        <v>8498</v>
      </c>
      <c r="F3621" s="14" t="s">
        <v>8499</v>
      </c>
      <c r="G3621" s="14" t="s">
        <v>37</v>
      </c>
      <c r="H3621" s="14"/>
      <c r="I3621" s="14"/>
      <c r="J3621" s="14" t="s">
        <v>135</v>
      </c>
      <c r="K3621" s="14"/>
      <c r="L3621" s="14" t="s">
        <v>8501</v>
      </c>
      <c r="M3621" s="14" t="s">
        <v>8502</v>
      </c>
      <c r="N3621" s="14"/>
      <c r="O3621" s="14" t="s">
        <v>8503</v>
      </c>
      <c r="P3621" s="14" t="str">
        <f>HYPERLINK("https://ceds.ed.gov/cedselementdetails.aspx?termid=18002")</f>
        <v>https://ceds.ed.gov/cedselementdetails.aspx?termid=18002</v>
      </c>
      <c r="Q3621" s="14" t="str">
        <f>HYPERLINK("https://ceds.ed.gov/elementComment.aspx?elementName=Workforce Program Participation End Date &amp;elementID=18002", "Click here to submit comment")</f>
        <v>Click here to submit comment</v>
      </c>
      <c r="R3621" s="14">
        <v>49472</v>
      </c>
    </row>
    <row r="3622" spans="1:18" ht="75" x14ac:dyDescent="0.25">
      <c r="A3622" s="14" t="s">
        <v>4746</v>
      </c>
      <c r="B3622" s="14" t="s">
        <v>9097</v>
      </c>
      <c r="C3622" s="14" t="s">
        <v>9060</v>
      </c>
      <c r="D3622" s="14" t="s">
        <v>8531</v>
      </c>
      <c r="E3622" s="14" t="s">
        <v>2205</v>
      </c>
      <c r="F3622" s="14" t="s">
        <v>2206</v>
      </c>
      <c r="G3622" s="14" t="s">
        <v>24</v>
      </c>
      <c r="H3622" s="14"/>
      <c r="I3622" s="14"/>
      <c r="J3622" s="14"/>
      <c r="K3622" s="14"/>
      <c r="L3622" s="14"/>
      <c r="M3622" s="14" t="s">
        <v>2207</v>
      </c>
      <c r="N3622" s="14"/>
      <c r="O3622" s="14" t="s">
        <v>2208</v>
      </c>
      <c r="P3622" s="14" t="str">
        <f>HYPERLINK("https://ceds.ed.gov/cedselementdetails.aspx?termid=18257")</f>
        <v>https://ceds.ed.gov/cedselementdetails.aspx?termid=18257</v>
      </c>
      <c r="Q3622" s="14" t="str">
        <f>HYPERLINK("https://ceds.ed.gov/elementComment.aspx?elementName=Career Pathways Program Participation Indicator &amp;elementID=18257", "Click here to submit comment")</f>
        <v>Click here to submit comment</v>
      </c>
      <c r="R3622" s="14">
        <v>51031</v>
      </c>
    </row>
    <row r="3623" spans="1:18" ht="45" x14ac:dyDescent="0.25">
      <c r="A3623" s="14" t="s">
        <v>4746</v>
      </c>
      <c r="B3623" s="14" t="s">
        <v>9097</v>
      </c>
      <c r="C3623" s="14" t="s">
        <v>9060</v>
      </c>
      <c r="D3623" s="14" t="s">
        <v>8531</v>
      </c>
      <c r="E3623" s="14" t="s">
        <v>2209</v>
      </c>
      <c r="F3623" s="14" t="s">
        <v>2210</v>
      </c>
      <c r="G3623" s="14" t="s">
        <v>37</v>
      </c>
      <c r="H3623" s="14"/>
      <c r="I3623" s="14"/>
      <c r="J3623" s="14" t="s">
        <v>135</v>
      </c>
      <c r="K3623" s="14"/>
      <c r="L3623" s="14"/>
      <c r="M3623" s="14" t="s">
        <v>2211</v>
      </c>
      <c r="N3623" s="14"/>
      <c r="O3623" s="14" t="s">
        <v>2212</v>
      </c>
      <c r="P3623" s="14" t="str">
        <f>HYPERLINK("https://ceds.ed.gov/cedselementdetails.aspx?termid=18563")</f>
        <v>https://ceds.ed.gov/cedselementdetails.aspx?termid=18563</v>
      </c>
      <c r="Q3623" s="14" t="str">
        <f>HYPERLINK("https://ceds.ed.gov/elementComment.aspx?elementName=Career Pathways Program Participation Start Date &amp;elementID=18563", "Click here to submit comment")</f>
        <v>Click here to submit comment</v>
      </c>
      <c r="R3623" s="14">
        <v>51049</v>
      </c>
    </row>
    <row r="3624" spans="1:18" ht="75" x14ac:dyDescent="0.25">
      <c r="A3624" s="14" t="s">
        <v>4746</v>
      </c>
      <c r="B3624" s="14" t="s">
        <v>9097</v>
      </c>
      <c r="C3624" s="14" t="s">
        <v>9060</v>
      </c>
      <c r="D3624" s="14" t="s">
        <v>8531</v>
      </c>
      <c r="E3624" s="14" t="s">
        <v>2200</v>
      </c>
      <c r="F3624" s="14" t="s">
        <v>2201</v>
      </c>
      <c r="G3624" s="14" t="s">
        <v>37</v>
      </c>
      <c r="H3624" s="14"/>
      <c r="I3624" s="14"/>
      <c r="J3624" s="14" t="s">
        <v>135</v>
      </c>
      <c r="K3624" s="14"/>
      <c r="L3624" s="14" t="s">
        <v>160</v>
      </c>
      <c r="M3624" s="14" t="s">
        <v>2203</v>
      </c>
      <c r="N3624" s="14"/>
      <c r="O3624" s="14" t="s">
        <v>2204</v>
      </c>
      <c r="P3624" s="14" t="str">
        <f>HYPERLINK("https://ceds.ed.gov/cedselementdetails.aspx?termid=18562")</f>
        <v>https://ceds.ed.gov/cedselementdetails.aspx?termid=18562</v>
      </c>
      <c r="Q3624" s="14" t="str">
        <f>HYPERLINK("https://ceds.ed.gov/elementComment.aspx?elementName=Career Pathways Program Participation Exit Date &amp;elementID=18562", "Click here to submit comment")</f>
        <v>Click here to submit comment</v>
      </c>
      <c r="R3624" s="14">
        <v>51042</v>
      </c>
    </row>
    <row r="3625" spans="1:18" ht="210" x14ac:dyDescent="0.25">
      <c r="A3625" s="14" t="s">
        <v>4746</v>
      </c>
      <c r="B3625" s="14" t="s">
        <v>9097</v>
      </c>
      <c r="C3625" s="14" t="s">
        <v>8547</v>
      </c>
      <c r="D3625" s="14" t="s">
        <v>8531</v>
      </c>
      <c r="E3625" s="14" t="s">
        <v>219</v>
      </c>
      <c r="F3625" s="14" t="s">
        <v>220</v>
      </c>
      <c r="G3625" s="8" t="s">
        <v>8602</v>
      </c>
      <c r="H3625" s="14" t="s">
        <v>225</v>
      </c>
      <c r="I3625" s="14"/>
      <c r="J3625" s="14" t="s">
        <v>97</v>
      </c>
      <c r="K3625" s="14"/>
      <c r="L3625" s="14"/>
      <c r="M3625" s="14" t="s">
        <v>223</v>
      </c>
      <c r="N3625" s="14"/>
      <c r="O3625" s="14" t="s">
        <v>224</v>
      </c>
      <c r="P3625" s="14" t="str">
        <f>HYPERLINK("https://ceds.ed.gov/cedselementdetails.aspx?termid=17358")</f>
        <v>https://ceds.ed.gov/cedselementdetails.aspx?termid=17358</v>
      </c>
      <c r="Q3625" s="14" t="str">
        <f>HYPERLINK("https://ceds.ed.gov/elementComment.aspx?elementName=Address Type for Learner or Family &amp;elementID=17358", "Click here to submit comment")</f>
        <v>Click here to submit comment</v>
      </c>
      <c r="R3625" s="14">
        <v>50943</v>
      </c>
    </row>
    <row r="3626" spans="1:18" ht="225" x14ac:dyDescent="0.25">
      <c r="A3626" s="14" t="s">
        <v>4746</v>
      </c>
      <c r="B3626" s="14" t="s">
        <v>9097</v>
      </c>
      <c r="C3626" s="14" t="s">
        <v>8547</v>
      </c>
      <c r="D3626" s="14" t="s">
        <v>8531</v>
      </c>
      <c r="E3626" s="14" t="s">
        <v>214</v>
      </c>
      <c r="F3626" s="14" t="s">
        <v>215</v>
      </c>
      <c r="G3626" s="14" t="s">
        <v>37</v>
      </c>
      <c r="H3626" s="14" t="s">
        <v>199</v>
      </c>
      <c r="I3626" s="14" t="s">
        <v>195</v>
      </c>
      <c r="J3626" s="14" t="s">
        <v>216</v>
      </c>
      <c r="K3626" s="14" t="s">
        <v>196</v>
      </c>
      <c r="L3626" s="14"/>
      <c r="M3626" s="14" t="s">
        <v>217</v>
      </c>
      <c r="N3626" s="14"/>
      <c r="O3626" s="14" t="s">
        <v>218</v>
      </c>
      <c r="P3626" s="14" t="str">
        <f>HYPERLINK("https://ceds.ed.gov/cedselementdetails.aspx?termid=17269")</f>
        <v>https://ceds.ed.gov/cedselementdetails.aspx?termid=17269</v>
      </c>
      <c r="Q3626" s="14" t="str">
        <f>HYPERLINK("https://ceds.ed.gov/elementComment.aspx?elementName=Address Street Number and Name &amp;elementID=17269", "Click here to submit comment")</f>
        <v>Click here to submit comment</v>
      </c>
      <c r="R3626" s="14">
        <v>50994</v>
      </c>
    </row>
    <row r="3627" spans="1:18" ht="225" x14ac:dyDescent="0.25">
      <c r="A3627" s="14" t="s">
        <v>4746</v>
      </c>
      <c r="B3627" s="14" t="s">
        <v>9097</v>
      </c>
      <c r="C3627" s="14" t="s">
        <v>8547</v>
      </c>
      <c r="D3627" s="14" t="s">
        <v>8531</v>
      </c>
      <c r="E3627" s="14" t="s">
        <v>192</v>
      </c>
      <c r="F3627" s="14" t="s">
        <v>193</v>
      </c>
      <c r="G3627" s="14" t="s">
        <v>37</v>
      </c>
      <c r="H3627" s="14" t="s">
        <v>199</v>
      </c>
      <c r="I3627" s="14" t="s">
        <v>195</v>
      </c>
      <c r="J3627" s="14" t="s">
        <v>175</v>
      </c>
      <c r="K3627" s="14" t="s">
        <v>196</v>
      </c>
      <c r="L3627" s="14"/>
      <c r="M3627" s="14" t="s">
        <v>197</v>
      </c>
      <c r="N3627" s="14"/>
      <c r="O3627" s="14" t="s">
        <v>198</v>
      </c>
      <c r="P3627" s="14" t="str">
        <f>HYPERLINK("https://ceds.ed.gov/cedselementdetails.aspx?termid=17019")</f>
        <v>https://ceds.ed.gov/cedselementdetails.aspx?termid=17019</v>
      </c>
      <c r="Q3627" s="14" t="str">
        <f>HYPERLINK("https://ceds.ed.gov/elementComment.aspx?elementName=Address Apartment Room or Suite Number &amp;elementID=17019", "Click here to submit comment")</f>
        <v>Click here to submit comment</v>
      </c>
      <c r="R3627" s="14">
        <v>50945</v>
      </c>
    </row>
    <row r="3628" spans="1:18" ht="225" x14ac:dyDescent="0.25">
      <c r="A3628" s="14" t="s">
        <v>4746</v>
      </c>
      <c r="B3628" s="14" t="s">
        <v>9097</v>
      </c>
      <c r="C3628" s="14" t="s">
        <v>8547</v>
      </c>
      <c r="D3628" s="14" t="s">
        <v>8531</v>
      </c>
      <c r="E3628" s="14" t="s">
        <v>200</v>
      </c>
      <c r="F3628" s="14" t="s">
        <v>201</v>
      </c>
      <c r="G3628" s="14" t="s">
        <v>37</v>
      </c>
      <c r="H3628" s="14" t="s">
        <v>199</v>
      </c>
      <c r="I3628" s="14"/>
      <c r="J3628" s="14" t="s">
        <v>97</v>
      </c>
      <c r="K3628" s="14"/>
      <c r="L3628" s="14"/>
      <c r="M3628" s="14" t="s">
        <v>202</v>
      </c>
      <c r="N3628" s="14"/>
      <c r="O3628" s="14" t="s">
        <v>203</v>
      </c>
      <c r="P3628" s="14" t="str">
        <f>HYPERLINK("https://ceds.ed.gov/cedselementdetails.aspx?termid=17040")</f>
        <v>https://ceds.ed.gov/cedselementdetails.aspx?termid=17040</v>
      </c>
      <c r="Q3628" s="14" t="str">
        <f>HYPERLINK("https://ceds.ed.gov/elementComment.aspx?elementName=Address City &amp;elementID=17040", "Click here to submit comment")</f>
        <v>Click here to submit comment</v>
      </c>
      <c r="R3628" s="14">
        <v>50949</v>
      </c>
    </row>
    <row r="3629" spans="1:18" ht="409.5" x14ac:dyDescent="0.25">
      <c r="A3629" s="14" t="s">
        <v>4746</v>
      </c>
      <c r="B3629" s="14" t="s">
        <v>9097</v>
      </c>
      <c r="C3629" s="14" t="s">
        <v>8547</v>
      </c>
      <c r="D3629" s="14" t="s">
        <v>8531</v>
      </c>
      <c r="E3629" s="14" t="s">
        <v>7960</v>
      </c>
      <c r="F3629" s="14" t="s">
        <v>7961</v>
      </c>
      <c r="G3629" s="8" t="s">
        <v>8540</v>
      </c>
      <c r="H3629" s="14" t="s">
        <v>7964</v>
      </c>
      <c r="I3629" s="14"/>
      <c r="J3629" s="14"/>
      <c r="K3629" s="14"/>
      <c r="L3629" s="14"/>
      <c r="M3629" s="14" t="s">
        <v>7962</v>
      </c>
      <c r="N3629" s="14"/>
      <c r="O3629" s="14" t="s">
        <v>7963</v>
      </c>
      <c r="P3629" s="14" t="str">
        <f>HYPERLINK("https://ceds.ed.gov/cedselementdetails.aspx?termid=17267")</f>
        <v>https://ceds.ed.gov/cedselementdetails.aspx?termid=17267</v>
      </c>
      <c r="Q3629" s="14" t="str">
        <f>HYPERLINK("https://ceds.ed.gov/elementComment.aspx?elementName=State Abbreviation &amp;elementID=17267", "Click here to submit comment")</f>
        <v>Click here to submit comment</v>
      </c>
      <c r="R3629" s="14">
        <v>50993</v>
      </c>
    </row>
    <row r="3630" spans="1:18" ht="225" x14ac:dyDescent="0.25">
      <c r="A3630" s="14" t="s">
        <v>4746</v>
      </c>
      <c r="B3630" s="14" t="s">
        <v>9097</v>
      </c>
      <c r="C3630" s="14" t="s">
        <v>8547</v>
      </c>
      <c r="D3630" s="14" t="s">
        <v>8531</v>
      </c>
      <c r="E3630" s="14" t="s">
        <v>209</v>
      </c>
      <c r="F3630" s="14" t="s">
        <v>210</v>
      </c>
      <c r="G3630" s="14" t="s">
        <v>37</v>
      </c>
      <c r="H3630" s="14" t="s">
        <v>199</v>
      </c>
      <c r="I3630" s="14"/>
      <c r="J3630" s="14" t="s">
        <v>211</v>
      </c>
      <c r="K3630" s="14"/>
      <c r="L3630" s="14"/>
      <c r="M3630" s="14" t="s">
        <v>212</v>
      </c>
      <c r="N3630" s="14"/>
      <c r="O3630" s="14" t="s">
        <v>213</v>
      </c>
      <c r="P3630" s="14" t="str">
        <f>HYPERLINK("https://ceds.ed.gov/cedselementdetails.aspx?termid=17214")</f>
        <v>https://ceds.ed.gov/cedselementdetails.aspx?termid=17214</v>
      </c>
      <c r="Q3630" s="14" t="str">
        <f>HYPERLINK("https://ceds.ed.gov/elementComment.aspx?elementName=Address Postal Code &amp;elementID=17214", "Click here to submit comment")</f>
        <v>Click here to submit comment</v>
      </c>
      <c r="R3630" s="14">
        <v>50986</v>
      </c>
    </row>
    <row r="3631" spans="1:18" ht="225" x14ac:dyDescent="0.25">
      <c r="A3631" s="14" t="s">
        <v>4746</v>
      </c>
      <c r="B3631" s="14" t="s">
        <v>9097</v>
      </c>
      <c r="C3631" s="14" t="s">
        <v>8547</v>
      </c>
      <c r="D3631" s="14" t="s">
        <v>8531</v>
      </c>
      <c r="E3631" s="14" t="s">
        <v>204</v>
      </c>
      <c r="F3631" s="14" t="s">
        <v>205</v>
      </c>
      <c r="G3631" s="14" t="s">
        <v>37</v>
      </c>
      <c r="H3631" s="14" t="s">
        <v>199</v>
      </c>
      <c r="I3631" s="14"/>
      <c r="J3631" s="14" t="s">
        <v>97</v>
      </c>
      <c r="K3631" s="14"/>
      <c r="L3631" s="14"/>
      <c r="M3631" s="14" t="s">
        <v>207</v>
      </c>
      <c r="N3631" s="14"/>
      <c r="O3631" s="14" t="s">
        <v>208</v>
      </c>
      <c r="P3631" s="14" t="str">
        <f>HYPERLINK("https://ceds.ed.gov/cedselementdetails.aspx?termid=17190")</f>
        <v>https://ceds.ed.gov/cedselementdetails.aspx?termid=17190</v>
      </c>
      <c r="Q3631" s="14" t="str">
        <f>HYPERLINK("https://ceds.ed.gov/elementComment.aspx?elementName=Address County Name &amp;elementID=17190", "Click here to submit comment")</f>
        <v>Click here to submit comment</v>
      </c>
      <c r="R3631" s="14">
        <v>50975</v>
      </c>
    </row>
    <row r="3632" spans="1:18" ht="75" x14ac:dyDescent="0.25">
      <c r="A3632" s="14" t="s">
        <v>4746</v>
      </c>
      <c r="B3632" s="14" t="s">
        <v>9097</v>
      </c>
      <c r="C3632" s="14" t="s">
        <v>8547</v>
      </c>
      <c r="D3632" s="14" t="s">
        <v>8531</v>
      </c>
      <c r="E3632" s="14" t="s">
        <v>5736</v>
      </c>
      <c r="F3632" s="14" t="s">
        <v>5737</v>
      </c>
      <c r="G3632" s="14" t="s">
        <v>37</v>
      </c>
      <c r="H3632" s="14"/>
      <c r="I3632" s="14"/>
      <c r="J3632" s="14" t="s">
        <v>1307</v>
      </c>
      <c r="K3632" s="14"/>
      <c r="L3632" s="14"/>
      <c r="M3632" s="14" t="s">
        <v>5739</v>
      </c>
      <c r="N3632" s="14"/>
      <c r="O3632" s="14" t="s">
        <v>5736</v>
      </c>
      <c r="P3632" s="14" t="str">
        <f>HYPERLINK("https://ceds.ed.gov/cedselementdetails.aspx?termid=17599")</f>
        <v>https://ceds.ed.gov/cedselementdetails.aspx?termid=17599</v>
      </c>
      <c r="Q3632" s="14" t="str">
        <f>HYPERLINK("https://ceds.ed.gov/elementComment.aspx?elementName=Latitude &amp;elementID=17599", "Click here to submit comment")</f>
        <v>Click here to submit comment</v>
      </c>
      <c r="R3632" s="14">
        <v>51273</v>
      </c>
    </row>
    <row r="3633" spans="1:18" ht="75" x14ac:dyDescent="0.25">
      <c r="A3633" s="14" t="s">
        <v>4746</v>
      </c>
      <c r="B3633" s="14" t="s">
        <v>9097</v>
      </c>
      <c r="C3633" s="14" t="s">
        <v>8547</v>
      </c>
      <c r="D3633" s="14" t="s">
        <v>8531</v>
      </c>
      <c r="E3633" s="14" t="s">
        <v>6174</v>
      </c>
      <c r="F3633" s="14" t="s">
        <v>6175</v>
      </c>
      <c r="G3633" s="14" t="s">
        <v>37</v>
      </c>
      <c r="H3633" s="14"/>
      <c r="I3633" s="14"/>
      <c r="J3633" s="14" t="s">
        <v>1307</v>
      </c>
      <c r="K3633" s="14"/>
      <c r="L3633" s="14"/>
      <c r="M3633" s="14" t="s">
        <v>6176</v>
      </c>
      <c r="N3633" s="14"/>
      <c r="O3633" s="14" t="s">
        <v>6174</v>
      </c>
      <c r="P3633" s="14" t="str">
        <f>HYPERLINK("https://ceds.ed.gov/cedselementdetails.aspx?termid=17600")</f>
        <v>https://ceds.ed.gov/cedselementdetails.aspx?termid=17600</v>
      </c>
      <c r="Q3633" s="14" t="str">
        <f>HYPERLINK("https://ceds.ed.gov/elementComment.aspx?elementName=Longitude &amp;elementID=17600", "Click here to submit comment")</f>
        <v>Click here to submit comment</v>
      </c>
      <c r="R3633" s="14">
        <v>51296</v>
      </c>
    </row>
    <row r="3634" spans="1:18" ht="195" x14ac:dyDescent="0.25">
      <c r="A3634" s="14" t="s">
        <v>4746</v>
      </c>
      <c r="B3634" s="14" t="s">
        <v>9097</v>
      </c>
      <c r="C3634" s="14" t="s">
        <v>8547</v>
      </c>
      <c r="D3634" s="14" t="s">
        <v>8541</v>
      </c>
      <c r="E3634" s="14" t="s">
        <v>2860</v>
      </c>
      <c r="F3634" s="14" t="s">
        <v>2861</v>
      </c>
      <c r="G3634" s="14" t="s">
        <v>37</v>
      </c>
      <c r="H3634" s="14"/>
      <c r="I3634" s="14" t="s">
        <v>195</v>
      </c>
      <c r="J3634" s="14" t="s">
        <v>2863</v>
      </c>
      <c r="K3634" s="14" t="s">
        <v>2864</v>
      </c>
      <c r="L3634" s="14"/>
      <c r="M3634" s="14" t="s">
        <v>2865</v>
      </c>
      <c r="N3634" s="14"/>
      <c r="O3634" s="14" t="s">
        <v>2866</v>
      </c>
      <c r="P3634" s="14" t="str">
        <f>HYPERLINK("https://ceds.ed.gov/cedselementdetails.aspx?termid=18176")</f>
        <v>https://ceds.ed.gov/cedselementdetails.aspx?termid=18176</v>
      </c>
      <c r="Q3634" s="14" t="str">
        <f>HYPERLINK("https://ceds.ed.gov/elementComment.aspx?elementName=County ANSI Code &amp;elementID=18176", "Click here to submit comment")</f>
        <v>Click here to submit comment</v>
      </c>
      <c r="R3634" s="14">
        <v>52444</v>
      </c>
    </row>
    <row r="3635" spans="1:18" ht="60" x14ac:dyDescent="0.25">
      <c r="A3635" s="14" t="s">
        <v>4746</v>
      </c>
      <c r="B3635" s="14" t="s">
        <v>9097</v>
      </c>
      <c r="C3635" s="14" t="s">
        <v>8547</v>
      </c>
      <c r="D3635" s="14" t="s">
        <v>8541</v>
      </c>
      <c r="E3635" s="14" t="s">
        <v>3651</v>
      </c>
      <c r="F3635" s="14" t="s">
        <v>3652</v>
      </c>
      <c r="G3635" s="14" t="s">
        <v>3430</v>
      </c>
      <c r="H3635" s="14"/>
      <c r="I3635" s="14" t="s">
        <v>188</v>
      </c>
      <c r="J3635" s="14"/>
      <c r="K3635" s="14" t="s">
        <v>1721</v>
      </c>
      <c r="L3635" s="14"/>
      <c r="M3635" s="14" t="s">
        <v>3654</v>
      </c>
      <c r="N3635" s="14"/>
      <c r="O3635" s="14" t="s">
        <v>3655</v>
      </c>
      <c r="P3635" s="14" t="str">
        <f>HYPERLINK("https://ceds.ed.gov/cedselementdetails.aspx?termid=18905")</f>
        <v>https://ceds.ed.gov/cedselementdetails.aspx?termid=18905</v>
      </c>
      <c r="Q3635" s="14" t="str">
        <f>HYPERLINK("https://ceds.ed.gov/elementComment.aspx?elementName=Do Not Publish Indicator &amp;elementID=18905", "Click here to submit comment")</f>
        <v>Click here to submit comment</v>
      </c>
      <c r="R3635" s="14">
        <v>52445</v>
      </c>
    </row>
    <row r="3636" spans="1:18" ht="90" x14ac:dyDescent="0.25">
      <c r="A3636" s="14" t="s">
        <v>4746</v>
      </c>
      <c r="B3636" s="14" t="s">
        <v>9097</v>
      </c>
      <c r="C3636" s="14" t="s">
        <v>8549</v>
      </c>
      <c r="D3636" s="14" t="s">
        <v>8531</v>
      </c>
      <c r="E3636" s="14" t="s">
        <v>8229</v>
      </c>
      <c r="F3636" s="14" t="s">
        <v>8230</v>
      </c>
      <c r="G3636" s="8" t="s">
        <v>8550</v>
      </c>
      <c r="H3636" s="14" t="s">
        <v>72</v>
      </c>
      <c r="I3636" s="14"/>
      <c r="J3636" s="14" t="s">
        <v>2870</v>
      </c>
      <c r="K3636" s="14"/>
      <c r="L3636" s="14"/>
      <c r="M3636" s="14" t="s">
        <v>8233</v>
      </c>
      <c r="N3636" s="14"/>
      <c r="O3636" s="14" t="s">
        <v>8234</v>
      </c>
      <c r="P3636" s="14" t="str">
        <f>HYPERLINK("https://ceds.ed.gov/cedselementdetails.aspx?termid=17280")</f>
        <v>https://ceds.ed.gov/cedselementdetails.aspx?termid=17280</v>
      </c>
      <c r="Q3636" s="14" t="str">
        <f>HYPERLINK("https://ceds.ed.gov/elementComment.aspx?elementName=Telephone Number Type &amp;elementID=17280", "Click here to submit comment")</f>
        <v>Click here to submit comment</v>
      </c>
      <c r="R3636" s="14">
        <v>50996</v>
      </c>
    </row>
    <row r="3637" spans="1:18" ht="90" x14ac:dyDescent="0.25">
      <c r="A3637" s="14" t="s">
        <v>4746</v>
      </c>
      <c r="B3637" s="14" t="s">
        <v>9097</v>
      </c>
      <c r="C3637" s="14" t="s">
        <v>8549</v>
      </c>
      <c r="D3637" s="14" t="s">
        <v>8531</v>
      </c>
      <c r="E3637" s="14" t="s">
        <v>6865</v>
      </c>
      <c r="F3637" s="14" t="s">
        <v>6866</v>
      </c>
      <c r="G3637" s="14" t="s">
        <v>24</v>
      </c>
      <c r="H3637" s="14" t="s">
        <v>72</v>
      </c>
      <c r="I3637" s="14"/>
      <c r="J3637" s="14"/>
      <c r="K3637" s="14"/>
      <c r="L3637" s="14"/>
      <c r="M3637" s="14" t="s">
        <v>6868</v>
      </c>
      <c r="N3637" s="14"/>
      <c r="O3637" s="14" t="s">
        <v>6869</v>
      </c>
      <c r="P3637" s="14" t="str">
        <f>HYPERLINK("https://ceds.ed.gov/cedselementdetails.aspx?termid=17219")</f>
        <v>https://ceds.ed.gov/cedselementdetails.aspx?termid=17219</v>
      </c>
      <c r="Q3637" s="14" t="str">
        <f>HYPERLINK("https://ceds.ed.gov/elementComment.aspx?elementName=Primary Telephone Number Indicator &amp;elementID=17219", "Click here to submit comment")</f>
        <v>Click here to submit comment</v>
      </c>
      <c r="R3637" s="14">
        <v>50987</v>
      </c>
    </row>
    <row r="3638" spans="1:18" ht="90" x14ac:dyDescent="0.25">
      <c r="A3638" s="14" t="s">
        <v>4746</v>
      </c>
      <c r="B3638" s="14" t="s">
        <v>9097</v>
      </c>
      <c r="C3638" s="14" t="s">
        <v>8549</v>
      </c>
      <c r="D3638" s="14" t="s">
        <v>8531</v>
      </c>
      <c r="E3638" s="14" t="s">
        <v>8217</v>
      </c>
      <c r="F3638" s="14" t="s">
        <v>8218</v>
      </c>
      <c r="G3638" s="14" t="s">
        <v>37</v>
      </c>
      <c r="H3638" s="14" t="s">
        <v>72</v>
      </c>
      <c r="I3638" s="14"/>
      <c r="J3638" s="14" t="s">
        <v>8220</v>
      </c>
      <c r="K3638" s="14"/>
      <c r="L3638" s="14"/>
      <c r="M3638" s="14" t="s">
        <v>8221</v>
      </c>
      <c r="N3638" s="14"/>
      <c r="O3638" s="14" t="s">
        <v>8222</v>
      </c>
      <c r="P3638" s="14" t="str">
        <f>HYPERLINK("https://ceds.ed.gov/cedselementdetails.aspx?termid=17279")</f>
        <v>https://ceds.ed.gov/cedselementdetails.aspx?termid=17279</v>
      </c>
      <c r="Q3638" s="14" t="str">
        <f>HYPERLINK("https://ceds.ed.gov/elementComment.aspx?elementName=Telephone Number &amp;elementID=17279", "Click here to submit comment")</f>
        <v>Click here to submit comment</v>
      </c>
      <c r="R3638" s="14">
        <v>50995</v>
      </c>
    </row>
    <row r="3639" spans="1:18" ht="60" x14ac:dyDescent="0.25">
      <c r="A3639" s="14" t="s">
        <v>4746</v>
      </c>
      <c r="B3639" s="14" t="s">
        <v>9097</v>
      </c>
      <c r="C3639" s="14" t="s">
        <v>8549</v>
      </c>
      <c r="D3639" s="14" t="s">
        <v>8541</v>
      </c>
      <c r="E3639" s="14" t="s">
        <v>3651</v>
      </c>
      <c r="F3639" s="14" t="s">
        <v>3652</v>
      </c>
      <c r="G3639" s="14" t="s">
        <v>3430</v>
      </c>
      <c r="H3639" s="14"/>
      <c r="I3639" s="14" t="s">
        <v>188</v>
      </c>
      <c r="J3639" s="14"/>
      <c r="K3639" s="14" t="s">
        <v>1721</v>
      </c>
      <c r="L3639" s="14"/>
      <c r="M3639" s="14" t="s">
        <v>3654</v>
      </c>
      <c r="N3639" s="14"/>
      <c r="O3639" s="14" t="s">
        <v>3655</v>
      </c>
      <c r="P3639" s="14" t="str">
        <f>HYPERLINK("https://ceds.ed.gov/cedselementdetails.aspx?termid=18905")</f>
        <v>https://ceds.ed.gov/cedselementdetails.aspx?termid=18905</v>
      </c>
      <c r="Q3639" s="14" t="str">
        <f>HYPERLINK("https://ceds.ed.gov/elementComment.aspx?elementName=Do Not Publish Indicator &amp;elementID=18905", "Click here to submit comment")</f>
        <v>Click here to submit comment</v>
      </c>
      <c r="R3639" s="14">
        <v>52447</v>
      </c>
    </row>
    <row r="3640" spans="1:18" ht="60" x14ac:dyDescent="0.25">
      <c r="A3640" s="14" t="s">
        <v>4746</v>
      </c>
      <c r="B3640" s="14" t="s">
        <v>9097</v>
      </c>
      <c r="C3640" s="14" t="s">
        <v>8549</v>
      </c>
      <c r="D3640" s="14" t="s">
        <v>8541</v>
      </c>
      <c r="E3640" s="14" t="s">
        <v>8223</v>
      </c>
      <c r="F3640" s="14" t="s">
        <v>8224</v>
      </c>
      <c r="G3640" s="8" t="s">
        <v>8544</v>
      </c>
      <c r="H3640" s="14"/>
      <c r="I3640" s="14" t="s">
        <v>188</v>
      </c>
      <c r="J3640" s="14"/>
      <c r="K3640" s="14" t="s">
        <v>1721</v>
      </c>
      <c r="L3640" s="14"/>
      <c r="M3640" s="14" t="s">
        <v>8227</v>
      </c>
      <c r="N3640" s="14"/>
      <c r="O3640" s="14" t="s">
        <v>8228</v>
      </c>
      <c r="P3640" s="14" t="str">
        <f>HYPERLINK("https://ceds.ed.gov/cedselementdetails.aspx?termid=18911")</f>
        <v>https://ceds.ed.gov/cedselementdetails.aspx?termid=18911</v>
      </c>
      <c r="Q3640" s="14" t="str">
        <f>HYPERLINK("https://ceds.ed.gov/elementComment.aspx?elementName=Telephone Number Listed Status &amp;elementID=18911", "Click here to submit comment")</f>
        <v>Click here to submit comment</v>
      </c>
      <c r="R3640" s="14">
        <v>52448</v>
      </c>
    </row>
    <row r="3641" spans="1:18" ht="90" x14ac:dyDescent="0.25">
      <c r="A3641" s="14" t="s">
        <v>4746</v>
      </c>
      <c r="B3641" s="14" t="s">
        <v>9097</v>
      </c>
      <c r="C3641" s="14" t="s">
        <v>8551</v>
      </c>
      <c r="D3641" s="14" t="s">
        <v>8531</v>
      </c>
      <c r="E3641" s="14" t="s">
        <v>3938</v>
      </c>
      <c r="F3641" s="14" t="s">
        <v>3939</v>
      </c>
      <c r="G3641" s="8" t="s">
        <v>8552</v>
      </c>
      <c r="H3641" s="14" t="s">
        <v>72</v>
      </c>
      <c r="I3641" s="14"/>
      <c r="J3641" s="14"/>
      <c r="K3641" s="14"/>
      <c r="L3641" s="14"/>
      <c r="M3641" s="14" t="s">
        <v>3941</v>
      </c>
      <c r="N3641" s="14" t="s">
        <v>3942</v>
      </c>
      <c r="O3641" s="14" t="s">
        <v>3943</v>
      </c>
      <c r="P3641" s="14" t="str">
        <f>HYPERLINK("https://ceds.ed.gov/cedselementdetails.aspx?termid=17089")</f>
        <v>https://ceds.ed.gov/cedselementdetails.aspx?termid=17089</v>
      </c>
      <c r="Q3641" s="14" t="str">
        <f>HYPERLINK("https://ceds.ed.gov/elementComment.aspx?elementName=Electronic Mail Address Type &amp;elementID=17089", "Click here to submit comment")</f>
        <v>Click here to submit comment</v>
      </c>
      <c r="R3641" s="14">
        <v>50970</v>
      </c>
    </row>
    <row r="3642" spans="1:18" ht="90" x14ac:dyDescent="0.25">
      <c r="A3642" s="14" t="s">
        <v>4746</v>
      </c>
      <c r="B3642" s="14" t="s">
        <v>9097</v>
      </c>
      <c r="C3642" s="14" t="s">
        <v>8551</v>
      </c>
      <c r="D3642" s="14" t="s">
        <v>8531</v>
      </c>
      <c r="E3642" s="14" t="s">
        <v>3931</v>
      </c>
      <c r="F3642" s="14" t="s">
        <v>3932</v>
      </c>
      <c r="G3642" s="14" t="s">
        <v>37</v>
      </c>
      <c r="H3642" s="14" t="s">
        <v>72</v>
      </c>
      <c r="I3642" s="14"/>
      <c r="J3642" s="14" t="s">
        <v>3934</v>
      </c>
      <c r="K3642" s="14"/>
      <c r="L3642" s="14"/>
      <c r="M3642" s="14" t="s">
        <v>3935</v>
      </c>
      <c r="N3642" s="14" t="s">
        <v>3936</v>
      </c>
      <c r="O3642" s="14" t="s">
        <v>3937</v>
      </c>
      <c r="P3642" s="14" t="str">
        <f>HYPERLINK("https://ceds.ed.gov/cedselementdetails.aspx?termid=17088")</f>
        <v>https://ceds.ed.gov/cedselementdetails.aspx?termid=17088</v>
      </c>
      <c r="Q3642" s="14" t="str">
        <f>HYPERLINK("https://ceds.ed.gov/elementComment.aspx?elementName=Electronic Mail Address &amp;elementID=17088", "Click here to submit comment")</f>
        <v>Click here to submit comment</v>
      </c>
      <c r="R3642" s="14">
        <v>50968</v>
      </c>
    </row>
    <row r="3643" spans="1:18" ht="60" x14ac:dyDescent="0.25">
      <c r="A3643" s="14" t="s">
        <v>4746</v>
      </c>
      <c r="B3643" s="14" t="s">
        <v>9097</v>
      </c>
      <c r="C3643" s="14" t="s">
        <v>8551</v>
      </c>
      <c r="D3643" s="14" t="s">
        <v>8541</v>
      </c>
      <c r="E3643" s="14" t="s">
        <v>3651</v>
      </c>
      <c r="F3643" s="14" t="s">
        <v>3652</v>
      </c>
      <c r="G3643" s="14" t="s">
        <v>3430</v>
      </c>
      <c r="H3643" s="14"/>
      <c r="I3643" s="14" t="s">
        <v>188</v>
      </c>
      <c r="J3643" s="14"/>
      <c r="K3643" s="14" t="s">
        <v>1721</v>
      </c>
      <c r="L3643" s="14"/>
      <c r="M3643" s="14" t="s">
        <v>3654</v>
      </c>
      <c r="N3643" s="14"/>
      <c r="O3643" s="14" t="s">
        <v>3655</v>
      </c>
      <c r="P3643" s="14" t="str">
        <f>HYPERLINK("https://ceds.ed.gov/cedselementdetails.aspx?termid=18905")</f>
        <v>https://ceds.ed.gov/cedselementdetails.aspx?termid=18905</v>
      </c>
      <c r="Q3643" s="14" t="str">
        <f>HYPERLINK("https://ceds.ed.gov/elementComment.aspx?elementName=Do Not Publish Indicator &amp;elementID=18905", "Click here to submit comment")</f>
        <v>Click here to submit comment</v>
      </c>
      <c r="R3643" s="14">
        <v>52446</v>
      </c>
    </row>
    <row r="3644" spans="1:18" ht="240" x14ac:dyDescent="0.25">
      <c r="A3644" s="14" t="s">
        <v>4746</v>
      </c>
      <c r="B3644" s="14" t="s">
        <v>9097</v>
      </c>
      <c r="C3644" s="14" t="s">
        <v>8603</v>
      </c>
      <c r="D3644" s="14" t="s">
        <v>8531</v>
      </c>
      <c r="E3644" s="14" t="s">
        <v>1741</v>
      </c>
      <c r="F3644" s="14" t="s">
        <v>1742</v>
      </c>
      <c r="G3644" s="14" t="s">
        <v>37</v>
      </c>
      <c r="H3644" s="14" t="s">
        <v>1745</v>
      </c>
      <c r="I3644" s="14"/>
      <c r="J3644" s="14" t="s">
        <v>135</v>
      </c>
      <c r="K3644" s="14"/>
      <c r="L3644" s="14"/>
      <c r="M3644" s="14" t="s">
        <v>1744</v>
      </c>
      <c r="N3644" s="14"/>
      <c r="O3644" s="14" t="s">
        <v>1741</v>
      </c>
      <c r="P3644" s="14" t="str">
        <f>HYPERLINK("https://ceds.ed.gov/cedselementdetails.aspx?termid=17033")</f>
        <v>https://ceds.ed.gov/cedselementdetails.aspx?termid=17033</v>
      </c>
      <c r="Q3644" s="14" t="str">
        <f>HYPERLINK("https://ceds.ed.gov/elementComment.aspx?elementName=Birthdate &amp;elementID=17033", "Click here to submit comment")</f>
        <v>Click here to submit comment</v>
      </c>
      <c r="R3644" s="14">
        <v>50947</v>
      </c>
    </row>
    <row r="3645" spans="1:18" ht="255" x14ac:dyDescent="0.25">
      <c r="A3645" s="14" t="s">
        <v>4746</v>
      </c>
      <c r="B3645" s="14" t="s">
        <v>9097</v>
      </c>
      <c r="C3645" s="14" t="s">
        <v>8603</v>
      </c>
      <c r="D3645" s="14" t="s">
        <v>8531</v>
      </c>
      <c r="E3645" s="14" t="s">
        <v>7756</v>
      </c>
      <c r="F3645" s="14" t="s">
        <v>7757</v>
      </c>
      <c r="G3645" s="8" t="s">
        <v>8604</v>
      </c>
      <c r="H3645" s="14" t="s">
        <v>7761</v>
      </c>
      <c r="I3645" s="14"/>
      <c r="J3645" s="14"/>
      <c r="K3645" s="14"/>
      <c r="L3645" s="14" t="s">
        <v>7759</v>
      </c>
      <c r="M3645" s="14" t="s">
        <v>7760</v>
      </c>
      <c r="N3645" s="14"/>
      <c r="O3645" s="14" t="s">
        <v>7756</v>
      </c>
      <c r="P3645" s="14" t="str">
        <f>HYPERLINK("https://ceds.ed.gov/cedselementdetails.aspx?termid=17255")</f>
        <v>https://ceds.ed.gov/cedselementdetails.aspx?termid=17255</v>
      </c>
      <c r="Q3645" s="14" t="str">
        <f>HYPERLINK("https://ceds.ed.gov/elementComment.aspx?elementName=Sex &amp;elementID=17255", "Click here to submit comment")</f>
        <v>Click here to submit comment</v>
      </c>
      <c r="R3645" s="14">
        <v>50992</v>
      </c>
    </row>
    <row r="3646" spans="1:18" ht="30" x14ac:dyDescent="0.25">
      <c r="A3646" s="16" t="s">
        <v>4746</v>
      </c>
      <c r="B3646" s="16" t="s">
        <v>9097</v>
      </c>
      <c r="C3646" s="16" t="s">
        <v>8603</v>
      </c>
      <c r="D3646" s="16" t="s">
        <v>8531</v>
      </c>
      <c r="E3646" s="16" t="s">
        <v>418</v>
      </c>
      <c r="F3646" s="16" t="s">
        <v>419</v>
      </c>
      <c r="G3646" s="18" t="s">
        <v>8605</v>
      </c>
      <c r="H3646" s="16" t="s">
        <v>426</v>
      </c>
      <c r="I3646" s="16"/>
      <c r="J3646" s="16"/>
      <c r="K3646" s="16"/>
      <c r="L3646" s="14" t="s">
        <v>422</v>
      </c>
      <c r="M3646" s="16" t="s">
        <v>423</v>
      </c>
      <c r="N3646" s="16" t="s">
        <v>424</v>
      </c>
      <c r="O3646" s="16" t="s">
        <v>425</v>
      </c>
      <c r="P3646" s="16" t="str">
        <f>HYPERLINK("https://ceds.ed.gov/cedselementdetails.aspx?termid=17655")</f>
        <v>https://ceds.ed.gov/cedselementdetails.aspx?termid=17655</v>
      </c>
      <c r="Q3646" s="16" t="str">
        <f>HYPERLINK("https://ceds.ed.gov/elementComment.aspx?elementName=American Indian or Alaska Native &amp;elementID=17655", "Click here to submit comment")</f>
        <v>Click here to submit comment</v>
      </c>
      <c r="R3646" s="16">
        <v>50944</v>
      </c>
    </row>
    <row r="3647" spans="1:18" x14ac:dyDescent="0.25">
      <c r="A3647" s="16"/>
      <c r="B3647" s="16"/>
      <c r="C3647" s="16"/>
      <c r="D3647" s="16"/>
      <c r="E3647" s="16"/>
      <c r="F3647" s="16"/>
      <c r="G3647" s="16"/>
      <c r="H3647" s="16"/>
      <c r="I3647" s="16"/>
      <c r="J3647" s="16"/>
      <c r="K3647" s="16"/>
      <c r="L3647" s="14"/>
      <c r="M3647" s="16"/>
      <c r="N3647" s="16"/>
      <c r="O3647" s="16"/>
      <c r="P3647" s="16"/>
      <c r="Q3647" s="16"/>
      <c r="R3647" s="16"/>
    </row>
    <row r="3648" spans="1:18" x14ac:dyDescent="0.25">
      <c r="A3648" s="16"/>
      <c r="B3648" s="16"/>
      <c r="C3648" s="16"/>
      <c r="D3648" s="16"/>
      <c r="E3648" s="16"/>
      <c r="F3648" s="16"/>
      <c r="G3648" s="16"/>
      <c r="H3648" s="16"/>
      <c r="I3648" s="16"/>
      <c r="J3648" s="16"/>
      <c r="K3648" s="16"/>
      <c r="L3648" s="14" t="s">
        <v>427</v>
      </c>
      <c r="M3648" s="16"/>
      <c r="N3648" s="16"/>
      <c r="O3648" s="16"/>
      <c r="P3648" s="16"/>
      <c r="Q3648" s="16"/>
      <c r="R3648" s="16"/>
    </row>
    <row r="3649" spans="1:18" ht="30" x14ac:dyDescent="0.25">
      <c r="A3649" s="16"/>
      <c r="B3649" s="16"/>
      <c r="C3649" s="16"/>
      <c r="D3649" s="16"/>
      <c r="E3649" s="16"/>
      <c r="F3649" s="16"/>
      <c r="G3649" s="16"/>
      <c r="H3649" s="16"/>
      <c r="I3649" s="16"/>
      <c r="J3649" s="16"/>
      <c r="K3649" s="16"/>
      <c r="L3649" s="14" t="s">
        <v>428</v>
      </c>
      <c r="M3649" s="16"/>
      <c r="N3649" s="16"/>
      <c r="O3649" s="16"/>
      <c r="P3649" s="16"/>
      <c r="Q3649" s="16"/>
      <c r="R3649" s="16"/>
    </row>
    <row r="3650" spans="1:18" x14ac:dyDescent="0.25">
      <c r="A3650" s="16"/>
      <c r="B3650" s="16"/>
      <c r="C3650" s="16"/>
      <c r="D3650" s="16"/>
      <c r="E3650" s="16"/>
      <c r="F3650" s="16"/>
      <c r="G3650" s="16"/>
      <c r="H3650" s="16"/>
      <c r="I3650" s="16"/>
      <c r="J3650" s="16"/>
      <c r="K3650" s="16"/>
      <c r="L3650" s="14" t="s">
        <v>429</v>
      </c>
      <c r="M3650" s="16"/>
      <c r="N3650" s="16"/>
      <c r="O3650" s="16"/>
      <c r="P3650" s="16"/>
      <c r="Q3650" s="16"/>
      <c r="R3650" s="16"/>
    </row>
    <row r="3651" spans="1:18" ht="30" x14ac:dyDescent="0.25">
      <c r="A3651" s="16" t="s">
        <v>4746</v>
      </c>
      <c r="B3651" s="16" t="s">
        <v>9097</v>
      </c>
      <c r="C3651" s="16" t="s">
        <v>8603</v>
      </c>
      <c r="D3651" s="16" t="s">
        <v>8531</v>
      </c>
      <c r="E3651" s="16" t="s">
        <v>468</v>
      </c>
      <c r="F3651" s="16" t="s">
        <v>469</v>
      </c>
      <c r="G3651" s="18" t="s">
        <v>8605</v>
      </c>
      <c r="H3651" s="16" t="s">
        <v>426</v>
      </c>
      <c r="I3651" s="16"/>
      <c r="J3651" s="16"/>
      <c r="K3651" s="16"/>
      <c r="L3651" s="14" t="s">
        <v>422</v>
      </c>
      <c r="M3651" s="16" t="s">
        <v>470</v>
      </c>
      <c r="N3651" s="16" t="s">
        <v>471</v>
      </c>
      <c r="O3651" s="16" t="s">
        <v>468</v>
      </c>
      <c r="P3651" s="16" t="str">
        <f>HYPERLINK("https://ceds.ed.gov/cedselementdetails.aspx?termid=17656")</f>
        <v>https://ceds.ed.gov/cedselementdetails.aspx?termid=17656</v>
      </c>
      <c r="Q3651" s="16" t="str">
        <f>HYPERLINK("https://ceds.ed.gov/elementComment.aspx?elementName=Asian &amp;elementID=17656", "Click here to submit comment")</f>
        <v>Click here to submit comment</v>
      </c>
      <c r="R3651" s="16">
        <v>50946</v>
      </c>
    </row>
    <row r="3652" spans="1:18" x14ac:dyDescent="0.25">
      <c r="A3652" s="16"/>
      <c r="B3652" s="16"/>
      <c r="C3652" s="16"/>
      <c r="D3652" s="16"/>
      <c r="E3652" s="16"/>
      <c r="F3652" s="16"/>
      <c r="G3652" s="16"/>
      <c r="H3652" s="16"/>
      <c r="I3652" s="16"/>
      <c r="J3652" s="16"/>
      <c r="K3652" s="16"/>
      <c r="L3652" s="14"/>
      <c r="M3652" s="16"/>
      <c r="N3652" s="16"/>
      <c r="O3652" s="16"/>
      <c r="P3652" s="16"/>
      <c r="Q3652" s="16"/>
      <c r="R3652" s="16"/>
    </row>
    <row r="3653" spans="1:18" x14ac:dyDescent="0.25">
      <c r="A3653" s="16"/>
      <c r="B3653" s="16"/>
      <c r="C3653" s="16"/>
      <c r="D3653" s="16"/>
      <c r="E3653" s="16"/>
      <c r="F3653" s="16"/>
      <c r="G3653" s="16"/>
      <c r="H3653" s="16"/>
      <c r="I3653" s="16"/>
      <c r="J3653" s="16"/>
      <c r="K3653" s="16"/>
      <c r="L3653" s="14" t="s">
        <v>427</v>
      </c>
      <c r="M3653" s="16"/>
      <c r="N3653" s="16"/>
      <c r="O3653" s="16"/>
      <c r="P3653" s="16"/>
      <c r="Q3653" s="16"/>
      <c r="R3653" s="16"/>
    </row>
    <row r="3654" spans="1:18" ht="30" x14ac:dyDescent="0.25">
      <c r="A3654" s="16"/>
      <c r="B3654" s="16"/>
      <c r="C3654" s="16"/>
      <c r="D3654" s="16"/>
      <c r="E3654" s="16"/>
      <c r="F3654" s="16"/>
      <c r="G3654" s="16"/>
      <c r="H3654" s="16"/>
      <c r="I3654" s="16"/>
      <c r="J3654" s="16"/>
      <c r="K3654" s="16"/>
      <c r="L3654" s="14" t="s">
        <v>428</v>
      </c>
      <c r="M3654" s="16"/>
      <c r="N3654" s="16"/>
      <c r="O3654" s="16"/>
      <c r="P3654" s="16"/>
      <c r="Q3654" s="16"/>
      <c r="R3654" s="16"/>
    </row>
    <row r="3655" spans="1:18" x14ac:dyDescent="0.25">
      <c r="A3655" s="16"/>
      <c r="B3655" s="16"/>
      <c r="C3655" s="16"/>
      <c r="D3655" s="16"/>
      <c r="E3655" s="16"/>
      <c r="F3655" s="16"/>
      <c r="G3655" s="16"/>
      <c r="H3655" s="16"/>
      <c r="I3655" s="16"/>
      <c r="J3655" s="16"/>
      <c r="K3655" s="16"/>
      <c r="L3655" s="14" t="s">
        <v>429</v>
      </c>
      <c r="M3655" s="16"/>
      <c r="N3655" s="16"/>
      <c r="O3655" s="16"/>
      <c r="P3655" s="16"/>
      <c r="Q3655" s="16"/>
      <c r="R3655" s="16"/>
    </row>
    <row r="3656" spans="1:18" ht="30" x14ac:dyDescent="0.25">
      <c r="A3656" s="16" t="s">
        <v>4746</v>
      </c>
      <c r="B3656" s="16" t="s">
        <v>9097</v>
      </c>
      <c r="C3656" s="16" t="s">
        <v>8603</v>
      </c>
      <c r="D3656" s="16" t="s">
        <v>8531</v>
      </c>
      <c r="E3656" s="16" t="s">
        <v>1752</v>
      </c>
      <c r="F3656" s="16" t="s">
        <v>1753</v>
      </c>
      <c r="G3656" s="18" t="s">
        <v>8605</v>
      </c>
      <c r="H3656" s="16" t="s">
        <v>426</v>
      </c>
      <c r="I3656" s="16"/>
      <c r="J3656" s="16"/>
      <c r="K3656" s="16"/>
      <c r="L3656" s="14" t="s">
        <v>422</v>
      </c>
      <c r="M3656" s="16" t="s">
        <v>1754</v>
      </c>
      <c r="N3656" s="16" t="s">
        <v>1755</v>
      </c>
      <c r="O3656" s="16" t="s">
        <v>1756</v>
      </c>
      <c r="P3656" s="16" t="str">
        <f>HYPERLINK("https://ceds.ed.gov/cedselementdetails.aspx?termid=17657")</f>
        <v>https://ceds.ed.gov/cedselementdetails.aspx?termid=17657</v>
      </c>
      <c r="Q3656" s="16" t="str">
        <f>HYPERLINK("https://ceds.ed.gov/elementComment.aspx?elementName=Black or African American &amp;elementID=17657", "Click here to submit comment")</f>
        <v>Click here to submit comment</v>
      </c>
      <c r="R3656" s="16">
        <v>50948</v>
      </c>
    </row>
    <row r="3657" spans="1:18" x14ac:dyDescent="0.25">
      <c r="A3657" s="16"/>
      <c r="B3657" s="16"/>
      <c r="C3657" s="16"/>
      <c r="D3657" s="16"/>
      <c r="E3657" s="16"/>
      <c r="F3657" s="16"/>
      <c r="G3657" s="16"/>
      <c r="H3657" s="16"/>
      <c r="I3657" s="16"/>
      <c r="J3657" s="16"/>
      <c r="K3657" s="16"/>
      <c r="L3657" s="14"/>
      <c r="M3657" s="16"/>
      <c r="N3657" s="16"/>
      <c r="O3657" s="16"/>
      <c r="P3657" s="16"/>
      <c r="Q3657" s="16"/>
      <c r="R3657" s="16"/>
    </row>
    <row r="3658" spans="1:18" x14ac:dyDescent="0.25">
      <c r="A3658" s="16"/>
      <c r="B3658" s="16"/>
      <c r="C3658" s="16"/>
      <c r="D3658" s="16"/>
      <c r="E3658" s="16"/>
      <c r="F3658" s="16"/>
      <c r="G3658" s="16"/>
      <c r="H3658" s="16"/>
      <c r="I3658" s="16"/>
      <c r="J3658" s="16"/>
      <c r="K3658" s="16"/>
      <c r="L3658" s="14" t="s">
        <v>427</v>
      </c>
      <c r="M3658" s="16"/>
      <c r="N3658" s="16"/>
      <c r="O3658" s="16"/>
      <c r="P3658" s="16"/>
      <c r="Q3658" s="16"/>
      <c r="R3658" s="16"/>
    </row>
    <row r="3659" spans="1:18" ht="30" x14ac:dyDescent="0.25">
      <c r="A3659" s="16"/>
      <c r="B3659" s="16"/>
      <c r="C3659" s="16"/>
      <c r="D3659" s="16"/>
      <c r="E3659" s="16"/>
      <c r="F3659" s="16"/>
      <c r="G3659" s="16"/>
      <c r="H3659" s="16"/>
      <c r="I3659" s="16"/>
      <c r="J3659" s="16"/>
      <c r="K3659" s="16"/>
      <c r="L3659" s="14" t="s">
        <v>428</v>
      </c>
      <c r="M3659" s="16"/>
      <c r="N3659" s="16"/>
      <c r="O3659" s="16"/>
      <c r="P3659" s="16"/>
      <c r="Q3659" s="16"/>
      <c r="R3659" s="16"/>
    </row>
    <row r="3660" spans="1:18" x14ac:dyDescent="0.25">
      <c r="A3660" s="16"/>
      <c r="B3660" s="16"/>
      <c r="C3660" s="16"/>
      <c r="D3660" s="16"/>
      <c r="E3660" s="16"/>
      <c r="F3660" s="16"/>
      <c r="G3660" s="16"/>
      <c r="H3660" s="16"/>
      <c r="I3660" s="16"/>
      <c r="J3660" s="16"/>
      <c r="K3660" s="16"/>
      <c r="L3660" s="14" t="s">
        <v>429</v>
      </c>
      <c r="M3660" s="16"/>
      <c r="N3660" s="16"/>
      <c r="O3660" s="16"/>
      <c r="P3660" s="16"/>
      <c r="Q3660" s="16"/>
      <c r="R3660" s="16"/>
    </row>
    <row r="3661" spans="1:18" ht="30" x14ac:dyDescent="0.25">
      <c r="A3661" s="16" t="s">
        <v>4746</v>
      </c>
      <c r="B3661" s="16" t="s">
        <v>9097</v>
      </c>
      <c r="C3661" s="16" t="s">
        <v>8603</v>
      </c>
      <c r="D3661" s="16" t="s">
        <v>8531</v>
      </c>
      <c r="E3661" s="16" t="s">
        <v>6378</v>
      </c>
      <c r="F3661" s="16" t="s">
        <v>6379</v>
      </c>
      <c r="G3661" s="18" t="s">
        <v>8605</v>
      </c>
      <c r="H3661" s="16" t="s">
        <v>426</v>
      </c>
      <c r="I3661" s="16"/>
      <c r="J3661" s="16"/>
      <c r="K3661" s="16"/>
      <c r="L3661" s="14" t="s">
        <v>422</v>
      </c>
      <c r="M3661" s="16" t="s">
        <v>6380</v>
      </c>
      <c r="N3661" s="16" t="s">
        <v>6381</v>
      </c>
      <c r="O3661" s="16" t="s">
        <v>6382</v>
      </c>
      <c r="P3661" s="16" t="str">
        <f>HYPERLINK("https://ceds.ed.gov/cedselementdetails.aspx?termid=17658")</f>
        <v>https://ceds.ed.gov/cedselementdetails.aspx?termid=17658</v>
      </c>
      <c r="Q3661" s="16" t="str">
        <f>HYPERLINK("https://ceds.ed.gov/elementComment.aspx?elementName=Native Hawaiian or Other Pacific Islander &amp;elementID=17658", "Click here to submit comment")</f>
        <v>Click here to submit comment</v>
      </c>
      <c r="R3661" s="16">
        <v>50977</v>
      </c>
    </row>
    <row r="3662" spans="1:18" x14ac:dyDescent="0.25">
      <c r="A3662" s="16"/>
      <c r="B3662" s="16"/>
      <c r="C3662" s="16"/>
      <c r="D3662" s="16"/>
      <c r="E3662" s="16"/>
      <c r="F3662" s="16"/>
      <c r="G3662" s="16"/>
      <c r="H3662" s="16"/>
      <c r="I3662" s="16"/>
      <c r="J3662" s="16"/>
      <c r="K3662" s="16"/>
      <c r="L3662" s="14"/>
      <c r="M3662" s="16"/>
      <c r="N3662" s="16"/>
      <c r="O3662" s="16"/>
      <c r="P3662" s="16"/>
      <c r="Q3662" s="16"/>
      <c r="R3662" s="16"/>
    </row>
    <row r="3663" spans="1:18" x14ac:dyDescent="0.25">
      <c r="A3663" s="16"/>
      <c r="B3663" s="16"/>
      <c r="C3663" s="16"/>
      <c r="D3663" s="16"/>
      <c r="E3663" s="16"/>
      <c r="F3663" s="16"/>
      <c r="G3663" s="16"/>
      <c r="H3663" s="16"/>
      <c r="I3663" s="16"/>
      <c r="J3663" s="16"/>
      <c r="K3663" s="16"/>
      <c r="L3663" s="14" t="s">
        <v>427</v>
      </c>
      <c r="M3663" s="16"/>
      <c r="N3663" s="16"/>
      <c r="O3663" s="16"/>
      <c r="P3663" s="16"/>
      <c r="Q3663" s="16"/>
      <c r="R3663" s="16"/>
    </row>
    <row r="3664" spans="1:18" ht="30" x14ac:dyDescent="0.25">
      <c r="A3664" s="16"/>
      <c r="B3664" s="16"/>
      <c r="C3664" s="16"/>
      <c r="D3664" s="16"/>
      <c r="E3664" s="16"/>
      <c r="F3664" s="16"/>
      <c r="G3664" s="16"/>
      <c r="H3664" s="16"/>
      <c r="I3664" s="16"/>
      <c r="J3664" s="16"/>
      <c r="K3664" s="16"/>
      <c r="L3664" s="14" t="s">
        <v>428</v>
      </c>
      <c r="M3664" s="16"/>
      <c r="N3664" s="16"/>
      <c r="O3664" s="16"/>
      <c r="P3664" s="16"/>
      <c r="Q3664" s="16"/>
      <c r="R3664" s="16"/>
    </row>
    <row r="3665" spans="1:18" x14ac:dyDescent="0.25">
      <c r="A3665" s="16"/>
      <c r="B3665" s="16"/>
      <c r="C3665" s="16"/>
      <c r="D3665" s="16"/>
      <c r="E3665" s="16"/>
      <c r="F3665" s="16"/>
      <c r="G3665" s="16"/>
      <c r="H3665" s="16"/>
      <c r="I3665" s="16"/>
      <c r="J3665" s="16"/>
      <c r="K3665" s="16"/>
      <c r="L3665" s="14" t="s">
        <v>429</v>
      </c>
      <c r="M3665" s="16"/>
      <c r="N3665" s="16"/>
      <c r="O3665" s="16"/>
      <c r="P3665" s="16"/>
      <c r="Q3665" s="16"/>
      <c r="R3665" s="16"/>
    </row>
    <row r="3666" spans="1:18" ht="30" x14ac:dyDescent="0.25">
      <c r="A3666" s="16" t="s">
        <v>4746</v>
      </c>
      <c r="B3666" s="16" t="s">
        <v>9097</v>
      </c>
      <c r="C3666" s="16" t="s">
        <v>8603</v>
      </c>
      <c r="D3666" s="16" t="s">
        <v>8531</v>
      </c>
      <c r="E3666" s="16" t="s">
        <v>8488</v>
      </c>
      <c r="F3666" s="16" t="s">
        <v>8489</v>
      </c>
      <c r="G3666" s="18" t="s">
        <v>8605</v>
      </c>
      <c r="H3666" s="16" t="s">
        <v>426</v>
      </c>
      <c r="I3666" s="16"/>
      <c r="J3666" s="16"/>
      <c r="K3666" s="16"/>
      <c r="L3666" s="14" t="s">
        <v>422</v>
      </c>
      <c r="M3666" s="16" t="s">
        <v>8490</v>
      </c>
      <c r="N3666" s="16" t="s">
        <v>8491</v>
      </c>
      <c r="O3666" s="16" t="s">
        <v>8488</v>
      </c>
      <c r="P3666" s="16" t="str">
        <f>HYPERLINK("https://ceds.ed.gov/cedselementdetails.aspx?termid=17659")</f>
        <v>https://ceds.ed.gov/cedselementdetails.aspx?termid=17659</v>
      </c>
      <c r="Q3666" s="16" t="str">
        <f>HYPERLINK("https://ceds.ed.gov/elementComment.aspx?elementName=White &amp;elementID=17659", "Click here to submit comment")</f>
        <v>Click here to submit comment</v>
      </c>
      <c r="R3666" s="16">
        <v>50999</v>
      </c>
    </row>
    <row r="3667" spans="1:18" x14ac:dyDescent="0.25">
      <c r="A3667" s="16"/>
      <c r="B3667" s="16"/>
      <c r="C3667" s="16"/>
      <c r="D3667" s="16"/>
      <c r="E3667" s="16"/>
      <c r="F3667" s="16"/>
      <c r="G3667" s="16"/>
      <c r="H3667" s="16"/>
      <c r="I3667" s="16"/>
      <c r="J3667" s="16"/>
      <c r="K3667" s="16"/>
      <c r="L3667" s="14"/>
      <c r="M3667" s="16"/>
      <c r="N3667" s="16"/>
      <c r="O3667" s="16"/>
      <c r="P3667" s="16"/>
      <c r="Q3667" s="16"/>
      <c r="R3667" s="16"/>
    </row>
    <row r="3668" spans="1:18" x14ac:dyDescent="0.25">
      <c r="A3668" s="16"/>
      <c r="B3668" s="16"/>
      <c r="C3668" s="16"/>
      <c r="D3668" s="16"/>
      <c r="E3668" s="16"/>
      <c r="F3668" s="16"/>
      <c r="G3668" s="16"/>
      <c r="H3668" s="16"/>
      <c r="I3668" s="16"/>
      <c r="J3668" s="16"/>
      <c r="K3668" s="16"/>
      <c r="L3668" s="14" t="s">
        <v>427</v>
      </c>
      <c r="M3668" s="16"/>
      <c r="N3668" s="16"/>
      <c r="O3668" s="16"/>
      <c r="P3668" s="16"/>
      <c r="Q3668" s="16"/>
      <c r="R3668" s="16"/>
    </row>
    <row r="3669" spans="1:18" ht="30" x14ac:dyDescent="0.25">
      <c r="A3669" s="16"/>
      <c r="B3669" s="16"/>
      <c r="C3669" s="16"/>
      <c r="D3669" s="16"/>
      <c r="E3669" s="16"/>
      <c r="F3669" s="16"/>
      <c r="G3669" s="16"/>
      <c r="H3669" s="16"/>
      <c r="I3669" s="16"/>
      <c r="J3669" s="16"/>
      <c r="K3669" s="16"/>
      <c r="L3669" s="14" t="s">
        <v>428</v>
      </c>
      <c r="M3669" s="16"/>
      <c r="N3669" s="16"/>
      <c r="O3669" s="16"/>
      <c r="P3669" s="16"/>
      <c r="Q3669" s="16"/>
      <c r="R3669" s="16"/>
    </row>
    <row r="3670" spans="1:18" x14ac:dyDescent="0.25">
      <c r="A3670" s="16"/>
      <c r="B3670" s="16"/>
      <c r="C3670" s="16"/>
      <c r="D3670" s="16"/>
      <c r="E3670" s="16"/>
      <c r="F3670" s="16"/>
      <c r="G3670" s="16"/>
      <c r="H3670" s="16"/>
      <c r="I3670" s="16"/>
      <c r="J3670" s="16"/>
      <c r="K3670" s="16"/>
      <c r="L3670" s="14" t="s">
        <v>429</v>
      </c>
      <c r="M3670" s="16"/>
      <c r="N3670" s="16"/>
      <c r="O3670" s="16"/>
      <c r="P3670" s="16"/>
      <c r="Q3670" s="16"/>
      <c r="R3670" s="16"/>
    </row>
    <row r="3671" spans="1:18" ht="30" x14ac:dyDescent="0.25">
      <c r="A3671" s="16" t="s">
        <v>4746</v>
      </c>
      <c r="B3671" s="16" t="s">
        <v>9097</v>
      </c>
      <c r="C3671" s="16" t="s">
        <v>8603</v>
      </c>
      <c r="D3671" s="16" t="s">
        <v>8531</v>
      </c>
      <c r="E3671" s="16" t="s">
        <v>5008</v>
      </c>
      <c r="F3671" s="16" t="s">
        <v>5009</v>
      </c>
      <c r="G3671" s="18" t="s">
        <v>8605</v>
      </c>
      <c r="H3671" s="16" t="s">
        <v>426</v>
      </c>
      <c r="I3671" s="16"/>
      <c r="J3671" s="16"/>
      <c r="K3671" s="16"/>
      <c r="L3671" s="14" t="s">
        <v>422</v>
      </c>
      <c r="M3671" s="16" t="s">
        <v>5010</v>
      </c>
      <c r="N3671" s="16"/>
      <c r="O3671" s="16" t="s">
        <v>5011</v>
      </c>
      <c r="P3671" s="16" t="str">
        <f>HYPERLINK("https://ceds.ed.gov/cedselementdetails.aspx?termid=17144")</f>
        <v>https://ceds.ed.gov/cedselementdetails.aspx?termid=17144</v>
      </c>
      <c r="Q3671" s="16" t="str">
        <f>HYPERLINK("https://ceds.ed.gov/elementComment.aspx?elementName=Hispanic or Latino Ethnicity &amp;elementID=17144", "Click here to submit comment")</f>
        <v>Click here to submit comment</v>
      </c>
      <c r="R3671" s="16">
        <v>50974</v>
      </c>
    </row>
    <row r="3672" spans="1:18" x14ac:dyDescent="0.25">
      <c r="A3672" s="16"/>
      <c r="B3672" s="16"/>
      <c r="C3672" s="16"/>
      <c r="D3672" s="16"/>
      <c r="E3672" s="16"/>
      <c r="F3672" s="16"/>
      <c r="G3672" s="16"/>
      <c r="H3672" s="16"/>
      <c r="I3672" s="16"/>
      <c r="J3672" s="16"/>
      <c r="K3672" s="16"/>
      <c r="L3672" s="14"/>
      <c r="M3672" s="16"/>
      <c r="N3672" s="16"/>
      <c r="O3672" s="16"/>
      <c r="P3672" s="16"/>
      <c r="Q3672" s="16"/>
      <c r="R3672" s="16"/>
    </row>
    <row r="3673" spans="1:18" x14ac:dyDescent="0.25">
      <c r="A3673" s="16"/>
      <c r="B3673" s="16"/>
      <c r="C3673" s="16"/>
      <c r="D3673" s="16"/>
      <c r="E3673" s="16"/>
      <c r="F3673" s="16"/>
      <c r="G3673" s="16"/>
      <c r="H3673" s="16"/>
      <c r="I3673" s="16"/>
      <c r="J3673" s="16"/>
      <c r="K3673" s="16"/>
      <c r="L3673" s="14" t="s">
        <v>427</v>
      </c>
      <c r="M3673" s="16"/>
      <c r="N3673" s="16"/>
      <c r="O3673" s="16"/>
      <c r="P3673" s="16"/>
      <c r="Q3673" s="16"/>
      <c r="R3673" s="16"/>
    </row>
    <row r="3674" spans="1:18" ht="30" x14ac:dyDescent="0.25">
      <c r="A3674" s="16"/>
      <c r="B3674" s="16"/>
      <c r="C3674" s="16"/>
      <c r="D3674" s="16"/>
      <c r="E3674" s="16"/>
      <c r="F3674" s="16"/>
      <c r="G3674" s="16"/>
      <c r="H3674" s="16"/>
      <c r="I3674" s="16"/>
      <c r="J3674" s="16"/>
      <c r="K3674" s="16"/>
      <c r="L3674" s="14" t="s">
        <v>428</v>
      </c>
      <c r="M3674" s="16"/>
      <c r="N3674" s="16"/>
      <c r="O3674" s="16"/>
      <c r="P3674" s="16"/>
      <c r="Q3674" s="16"/>
      <c r="R3674" s="16"/>
    </row>
    <row r="3675" spans="1:18" x14ac:dyDescent="0.25">
      <c r="A3675" s="16"/>
      <c r="B3675" s="16"/>
      <c r="C3675" s="16"/>
      <c r="D3675" s="16"/>
      <c r="E3675" s="16"/>
      <c r="F3675" s="16"/>
      <c r="G3675" s="16"/>
      <c r="H3675" s="16"/>
      <c r="I3675" s="16"/>
      <c r="J3675" s="16"/>
      <c r="K3675" s="16"/>
      <c r="L3675" s="14" t="s">
        <v>429</v>
      </c>
      <c r="M3675" s="16"/>
      <c r="N3675" s="16"/>
      <c r="O3675" s="16"/>
      <c r="P3675" s="16"/>
      <c r="Q3675" s="16"/>
      <c r="R3675" s="16"/>
    </row>
    <row r="3676" spans="1:18" ht="105" x14ac:dyDescent="0.25">
      <c r="A3676" s="14" t="s">
        <v>4746</v>
      </c>
      <c r="B3676" s="14" t="s">
        <v>9097</v>
      </c>
      <c r="C3676" s="14" t="s">
        <v>8603</v>
      </c>
      <c r="D3676" s="14" t="s">
        <v>8531</v>
      </c>
      <c r="E3676" s="14" t="s">
        <v>6304</v>
      </c>
      <c r="F3676" s="14" t="s">
        <v>6305</v>
      </c>
      <c r="G3676" s="8" t="s">
        <v>8677</v>
      </c>
      <c r="H3676" s="14"/>
      <c r="I3676" s="14" t="s">
        <v>195</v>
      </c>
      <c r="J3676" s="14"/>
      <c r="K3676" s="14" t="s">
        <v>6308</v>
      </c>
      <c r="L3676" s="14"/>
      <c r="M3676" s="14" t="s">
        <v>6309</v>
      </c>
      <c r="N3676" s="14"/>
      <c r="O3676" s="14" t="s">
        <v>6310</v>
      </c>
      <c r="P3676" s="14" t="str">
        <f>HYPERLINK("https://ceds.ed.gov/cedselementdetails.aspx?termid=18621")</f>
        <v>https://ceds.ed.gov/cedselementdetails.aspx?termid=18621</v>
      </c>
      <c r="Q3676" s="14" t="str">
        <f>HYPERLINK("https://ceds.ed.gov/elementComment.aspx?elementName=Military Branch &amp;elementID=18621", "Click here to submit comment")</f>
        <v>Click here to submit comment</v>
      </c>
      <c r="R3676" s="14">
        <v>51312</v>
      </c>
    </row>
    <row r="3677" spans="1:18" ht="75" x14ac:dyDescent="0.25">
      <c r="A3677" s="14" t="s">
        <v>4746</v>
      </c>
      <c r="B3677" s="14" t="s">
        <v>9097</v>
      </c>
      <c r="C3677" s="14" t="s">
        <v>8603</v>
      </c>
      <c r="D3677" s="14" t="s">
        <v>8531</v>
      </c>
      <c r="E3677" s="14" t="s">
        <v>6298</v>
      </c>
      <c r="F3677" s="14" t="s">
        <v>6299</v>
      </c>
      <c r="G3677" s="8" t="s">
        <v>9012</v>
      </c>
      <c r="H3677" s="14"/>
      <c r="I3677" s="14"/>
      <c r="J3677" s="14"/>
      <c r="K3677" s="14"/>
      <c r="L3677" s="14"/>
      <c r="M3677" s="14" t="s">
        <v>6302</v>
      </c>
      <c r="N3677" s="14"/>
      <c r="O3677" s="14" t="s">
        <v>6303</v>
      </c>
      <c r="P3677" s="14" t="str">
        <f>HYPERLINK("https://ceds.ed.gov/cedselementdetails.aspx?termid=18556")</f>
        <v>https://ceds.ed.gov/cedselementdetails.aspx?termid=18556</v>
      </c>
      <c r="Q3677" s="14" t="str">
        <f>HYPERLINK("https://ceds.ed.gov/elementComment.aspx?elementName=Military Active Student Indicator &amp;elementID=18556", "Click here to submit comment")</f>
        <v>Click here to submit comment</v>
      </c>
      <c r="R3677" s="14">
        <v>51089</v>
      </c>
    </row>
    <row r="3678" spans="1:18" ht="75" x14ac:dyDescent="0.25">
      <c r="A3678" s="14" t="s">
        <v>4746</v>
      </c>
      <c r="B3678" s="14" t="s">
        <v>9097</v>
      </c>
      <c r="C3678" s="14" t="s">
        <v>8603</v>
      </c>
      <c r="D3678" s="14" t="s">
        <v>8531</v>
      </c>
      <c r="E3678" s="14" t="s">
        <v>6321</v>
      </c>
      <c r="F3678" s="14" t="s">
        <v>6322</v>
      </c>
      <c r="G3678" s="8" t="s">
        <v>9013</v>
      </c>
      <c r="H3678" s="14"/>
      <c r="I3678" s="14"/>
      <c r="J3678" s="14"/>
      <c r="K3678" s="14"/>
      <c r="L3678" s="14"/>
      <c r="M3678" s="14" t="s">
        <v>6324</v>
      </c>
      <c r="N3678" s="14"/>
      <c r="O3678" s="14" t="s">
        <v>6325</v>
      </c>
      <c r="P3678" s="14" t="str">
        <f>HYPERLINK("https://ceds.ed.gov/cedselementdetails.aspx?termid=18557")</f>
        <v>https://ceds.ed.gov/cedselementdetails.aspx?termid=18557</v>
      </c>
      <c r="Q3678" s="14" t="str">
        <f>HYPERLINK("https://ceds.ed.gov/elementComment.aspx?elementName=Military Veteran Student Indicator &amp;elementID=18557", "Click here to submit comment")</f>
        <v>Click here to submit comment</v>
      </c>
      <c r="R3678" s="14">
        <v>51090</v>
      </c>
    </row>
    <row r="3679" spans="1:18" ht="75" x14ac:dyDescent="0.25">
      <c r="A3679" s="14" t="s">
        <v>4746</v>
      </c>
      <c r="B3679" s="14" t="s">
        <v>9097</v>
      </c>
      <c r="C3679" s="14" t="s">
        <v>8603</v>
      </c>
      <c r="D3679" s="14" t="s">
        <v>8531</v>
      </c>
      <c r="E3679" s="14" t="s">
        <v>3488</v>
      </c>
      <c r="F3679" s="14" t="s">
        <v>3489</v>
      </c>
      <c r="G3679" s="14" t="s">
        <v>24</v>
      </c>
      <c r="H3679" s="14"/>
      <c r="I3679" s="14"/>
      <c r="J3679" s="14"/>
      <c r="K3679" s="14"/>
      <c r="L3679" s="14" t="s">
        <v>3490</v>
      </c>
      <c r="M3679" s="14" t="s">
        <v>3491</v>
      </c>
      <c r="N3679" s="14"/>
      <c r="O3679" s="14" t="s">
        <v>3492</v>
      </c>
      <c r="P3679" s="14" t="str">
        <f>HYPERLINK("https://ceds.ed.gov/cedselementdetails.aspx?termid=17974")</f>
        <v>https://ceds.ed.gov/cedselementdetails.aspx?termid=17974</v>
      </c>
      <c r="Q3679" s="14" t="str">
        <f>HYPERLINK("https://ceds.ed.gov/elementComment.aspx?elementName=Demographic Race Two or More Races &amp;elementID=17974", "Click here to submit comment")</f>
        <v>Click here to submit comment</v>
      </c>
      <c r="R3679" s="14">
        <v>52181</v>
      </c>
    </row>
    <row r="3680" spans="1:18" ht="409.5" x14ac:dyDescent="0.25">
      <c r="A3680" s="14" t="s">
        <v>4746</v>
      </c>
      <c r="B3680" s="14" t="s">
        <v>9097</v>
      </c>
      <c r="C3680" s="14" t="s">
        <v>8603</v>
      </c>
      <c r="D3680" s="14" t="s">
        <v>8541</v>
      </c>
      <c r="E3680" s="14" t="s">
        <v>2853</v>
      </c>
      <c r="F3680" s="14" t="s">
        <v>2854</v>
      </c>
      <c r="G3680" s="8" t="s">
        <v>8548</v>
      </c>
      <c r="H3680" s="14" t="s">
        <v>2859</v>
      </c>
      <c r="I3680" s="14" t="s">
        <v>195</v>
      </c>
      <c r="J3680" s="14"/>
      <c r="K3680" s="14" t="s">
        <v>2856</v>
      </c>
      <c r="L3680" s="6" t="s">
        <v>2849</v>
      </c>
      <c r="M3680" s="14" t="s">
        <v>2857</v>
      </c>
      <c r="N3680" s="14"/>
      <c r="O3680" s="14" t="s">
        <v>2858</v>
      </c>
      <c r="P3680" s="14" t="str">
        <f>HYPERLINK("https://ceds.ed.gov/cedselementdetails.aspx?termid=17051")</f>
        <v>https://ceds.ed.gov/cedselementdetails.aspx?termid=17051</v>
      </c>
      <c r="Q3680" s="14" t="str">
        <f>HYPERLINK("https://ceds.ed.gov/elementComment.aspx?elementName=Country of Birth Code &amp;elementID=17051", "Click here to submit comment")</f>
        <v>Click here to submit comment</v>
      </c>
      <c r="R3680" s="14">
        <v>52449</v>
      </c>
    </row>
    <row r="3681" spans="1:18" ht="120" x14ac:dyDescent="0.25">
      <c r="A3681" s="14" t="s">
        <v>4746</v>
      </c>
      <c r="B3681" s="14" t="s">
        <v>9097</v>
      </c>
      <c r="C3681" s="14" t="s">
        <v>8833</v>
      </c>
      <c r="D3681" s="14" t="s">
        <v>8531</v>
      </c>
      <c r="E3681" s="14" t="s">
        <v>6436</v>
      </c>
      <c r="F3681" s="14" t="s">
        <v>6437</v>
      </c>
      <c r="G3681" s="14" t="s">
        <v>37</v>
      </c>
      <c r="H3681" s="14" t="s">
        <v>6137</v>
      </c>
      <c r="I3681" s="14"/>
      <c r="J3681" s="14" t="s">
        <v>1710</v>
      </c>
      <c r="K3681" s="14"/>
      <c r="L3681" s="14"/>
      <c r="M3681" s="14" t="s">
        <v>6439</v>
      </c>
      <c r="N3681" s="14"/>
      <c r="O3681" s="14" t="s">
        <v>6440</v>
      </c>
      <c r="P3681" s="14" t="str">
        <f>HYPERLINK("https://ceds.ed.gov/cedselementdetails.aspx?termid=17200")</f>
        <v>https://ceds.ed.gov/cedselementdetails.aspx?termid=17200</v>
      </c>
      <c r="Q3681" s="14" t="str">
        <f>HYPERLINK("https://ceds.ed.gov/elementComment.aspx?elementName=Number of Credits Earned &amp;elementID=17200", "Click here to submit comment")</f>
        <v>Click here to submit comment</v>
      </c>
      <c r="R3681" s="14">
        <v>50983</v>
      </c>
    </row>
    <row r="3682" spans="1:18" ht="135" x14ac:dyDescent="0.25">
      <c r="A3682" s="14" t="s">
        <v>4746</v>
      </c>
      <c r="B3682" s="14" t="s">
        <v>9097</v>
      </c>
      <c r="C3682" s="14" t="s">
        <v>8850</v>
      </c>
      <c r="D3682" s="14" t="s">
        <v>8531</v>
      </c>
      <c r="E3682" s="14" t="s">
        <v>3551</v>
      </c>
      <c r="F3682" s="14" t="s">
        <v>3552</v>
      </c>
      <c r="G3682" s="14" t="s">
        <v>37</v>
      </c>
      <c r="H3682" s="14" t="s">
        <v>3557</v>
      </c>
      <c r="I3682" s="14"/>
      <c r="J3682" s="14" t="s">
        <v>3554</v>
      </c>
      <c r="K3682" s="14"/>
      <c r="L3682" s="14"/>
      <c r="M3682" s="14" t="s">
        <v>3555</v>
      </c>
      <c r="N3682" s="14"/>
      <c r="O3682" s="14" t="s">
        <v>3556</v>
      </c>
      <c r="P3682" s="14" t="str">
        <f>HYPERLINK("https://ceds.ed.gov/cedselementdetails.aspx?termid=17081")</f>
        <v>https://ceds.ed.gov/cedselementdetails.aspx?termid=17081</v>
      </c>
      <c r="Q3682" s="14" t="str">
        <f>HYPERLINK("https://ceds.ed.gov/elementComment.aspx?elementName=Diploma or Credential Award Date &amp;elementID=17081", "Click here to submit comment")</f>
        <v>Click here to submit comment</v>
      </c>
      <c r="R3682" s="14">
        <v>50966</v>
      </c>
    </row>
    <row r="3683" spans="1:18" ht="270" x14ac:dyDescent="0.25">
      <c r="A3683" s="14" t="s">
        <v>4746</v>
      </c>
      <c r="B3683" s="14" t="s">
        <v>9097</v>
      </c>
      <c r="C3683" s="14" t="s">
        <v>8850</v>
      </c>
      <c r="D3683" s="14" t="s">
        <v>8531</v>
      </c>
      <c r="E3683" s="14" t="s">
        <v>4959</v>
      </c>
      <c r="F3683" s="14" t="s">
        <v>4960</v>
      </c>
      <c r="G3683" s="8" t="s">
        <v>8851</v>
      </c>
      <c r="H3683" s="14" t="s">
        <v>4966</v>
      </c>
      <c r="I3683" s="14"/>
      <c r="J3683" s="14"/>
      <c r="K3683" s="14"/>
      <c r="L3683" s="14" t="s">
        <v>4963</v>
      </c>
      <c r="M3683" s="14" t="s">
        <v>4964</v>
      </c>
      <c r="N3683" s="14"/>
      <c r="O3683" s="14" t="s">
        <v>4965</v>
      </c>
      <c r="P3683" s="14" t="str">
        <f>HYPERLINK("https://ceds.ed.gov/cedselementdetails.aspx?termid=17138")</f>
        <v>https://ceds.ed.gov/cedselementdetails.aspx?termid=17138</v>
      </c>
      <c r="Q3683" s="14" t="str">
        <f>HYPERLINK("https://ceds.ed.gov/elementComment.aspx?elementName=High School Diploma Type &amp;elementID=17138", "Click here to submit comment")</f>
        <v>Click here to submit comment</v>
      </c>
      <c r="R3683" s="14">
        <v>51720</v>
      </c>
    </row>
    <row r="3684" spans="1:18" ht="105" x14ac:dyDescent="0.25">
      <c r="A3684" s="14" t="s">
        <v>4746</v>
      </c>
      <c r="B3684" s="14" t="s">
        <v>9097</v>
      </c>
      <c r="C3684" s="14" t="s">
        <v>8850</v>
      </c>
      <c r="D3684" s="14" t="s">
        <v>8531</v>
      </c>
      <c r="E3684" s="14" t="s">
        <v>4953</v>
      </c>
      <c r="F3684" s="14" t="s">
        <v>4954</v>
      </c>
      <c r="G3684" s="8" t="s">
        <v>8852</v>
      </c>
      <c r="H3684" s="14"/>
      <c r="I3684" s="14"/>
      <c r="J3684" s="14"/>
      <c r="K3684" s="14"/>
      <c r="L3684" s="14"/>
      <c r="M3684" s="14" t="s">
        <v>4957</v>
      </c>
      <c r="N3684" s="14"/>
      <c r="O3684" s="14" t="s">
        <v>4958</v>
      </c>
      <c r="P3684" s="14" t="str">
        <f>HYPERLINK("https://ceds.ed.gov/cedselementdetails.aspx?termid=17689")</f>
        <v>https://ceds.ed.gov/cedselementdetails.aspx?termid=17689</v>
      </c>
      <c r="Q3684" s="14" t="str">
        <f>HYPERLINK("https://ceds.ed.gov/elementComment.aspx?elementName=High School Diploma Distinction Type &amp;elementID=17689", "Click here to submit comment")</f>
        <v>Click here to submit comment</v>
      </c>
      <c r="R3684" s="14">
        <v>51723</v>
      </c>
    </row>
    <row r="3685" spans="1:18" ht="60" x14ac:dyDescent="0.25">
      <c r="A3685" s="14" t="s">
        <v>4746</v>
      </c>
      <c r="B3685" s="14" t="s">
        <v>9097</v>
      </c>
      <c r="C3685" s="14" t="s">
        <v>8850</v>
      </c>
      <c r="D3685" s="14" t="s">
        <v>8531</v>
      </c>
      <c r="E3685" s="14" t="s">
        <v>35</v>
      </c>
      <c r="F3685" s="14" t="s">
        <v>36</v>
      </c>
      <c r="G3685" s="14" t="s">
        <v>37</v>
      </c>
      <c r="H3685" s="14" t="s">
        <v>42</v>
      </c>
      <c r="I3685" s="14"/>
      <c r="J3685" s="14" t="s">
        <v>39</v>
      </c>
      <c r="K3685" s="14"/>
      <c r="L3685" s="14"/>
      <c r="M3685" s="14" t="s">
        <v>40</v>
      </c>
      <c r="N3685" s="14"/>
      <c r="O3685" s="14" t="s">
        <v>41</v>
      </c>
      <c r="P3685" s="14" t="str">
        <f>HYPERLINK("https://ceds.ed.gov/cedselementdetails.aspx?termid=17001")</f>
        <v>https://ceds.ed.gov/cedselementdetails.aspx?termid=17001</v>
      </c>
      <c r="Q3685" s="14" t="str">
        <f>HYPERLINK("https://ceds.ed.gov/elementComment.aspx?elementName=Academic Award Date &amp;elementID=17001", "Click here to submit comment")</f>
        <v>Click here to submit comment</v>
      </c>
      <c r="R3685" s="14">
        <v>51696</v>
      </c>
    </row>
    <row r="3686" spans="1:18" ht="285" x14ac:dyDescent="0.25">
      <c r="A3686" s="14" t="s">
        <v>4746</v>
      </c>
      <c r="B3686" s="14" t="s">
        <v>9097</v>
      </c>
      <c r="C3686" s="14" t="s">
        <v>8850</v>
      </c>
      <c r="D3686" s="14" t="s">
        <v>8531</v>
      </c>
      <c r="E3686" s="14" t="s">
        <v>43</v>
      </c>
      <c r="F3686" s="14" t="s">
        <v>44</v>
      </c>
      <c r="G3686" s="8" t="s">
        <v>8853</v>
      </c>
      <c r="H3686" s="14" t="s">
        <v>48</v>
      </c>
      <c r="I3686" s="14"/>
      <c r="J3686" s="14"/>
      <c r="K3686" s="14"/>
      <c r="L3686" s="14"/>
      <c r="M3686" s="14" t="s">
        <v>46</v>
      </c>
      <c r="N3686" s="14"/>
      <c r="O3686" s="14" t="s">
        <v>47</v>
      </c>
      <c r="P3686" s="14" t="str">
        <f>HYPERLINK("https://ceds.ed.gov/cedselementdetails.aspx?termid=17002")</f>
        <v>https://ceds.ed.gov/cedselementdetails.aspx?termid=17002</v>
      </c>
      <c r="Q3686" s="14" t="str">
        <f>HYPERLINK("https://ceds.ed.gov/elementComment.aspx?elementName=Academic Award Level Conferred &amp;elementID=17002", "Click here to submit comment")</f>
        <v>Click here to submit comment</v>
      </c>
      <c r="R3686" s="14">
        <v>51687</v>
      </c>
    </row>
    <row r="3687" spans="1:18" ht="45" x14ac:dyDescent="0.25">
      <c r="A3687" s="14" t="s">
        <v>4746</v>
      </c>
      <c r="B3687" s="14" t="s">
        <v>9097</v>
      </c>
      <c r="C3687" s="14" t="s">
        <v>8850</v>
      </c>
      <c r="D3687" s="14" t="s">
        <v>8531</v>
      </c>
      <c r="E3687" s="14" t="s">
        <v>60</v>
      </c>
      <c r="F3687" s="14" t="s">
        <v>61</v>
      </c>
      <c r="G3687" s="14" t="s">
        <v>37</v>
      </c>
      <c r="H3687" s="14" t="s">
        <v>65</v>
      </c>
      <c r="I3687" s="14"/>
      <c r="J3687" s="14" t="s">
        <v>62</v>
      </c>
      <c r="K3687" s="14"/>
      <c r="L3687" s="14"/>
      <c r="M3687" s="14" t="s">
        <v>63</v>
      </c>
      <c r="N3687" s="14"/>
      <c r="O3687" s="14" t="s">
        <v>64</v>
      </c>
      <c r="P3687" s="14" t="str">
        <f>HYPERLINK("https://ceds.ed.gov/cedselementdetails.aspx?termid=17003")</f>
        <v>https://ceds.ed.gov/cedselementdetails.aspx?termid=17003</v>
      </c>
      <c r="Q3687" s="14" t="str">
        <f>HYPERLINK("https://ceds.ed.gov/elementComment.aspx?elementName=Academic Award Title &amp;elementID=17003", "Click here to submit comment")</f>
        <v>Click here to submit comment</v>
      </c>
      <c r="R3687" s="14">
        <v>51688</v>
      </c>
    </row>
    <row r="3688" spans="1:18" ht="270" x14ac:dyDescent="0.25">
      <c r="A3688" s="14" t="s">
        <v>4746</v>
      </c>
      <c r="B3688" s="14" t="s">
        <v>9097</v>
      </c>
      <c r="C3688" s="14" t="s">
        <v>8850</v>
      </c>
      <c r="D3688" s="14" t="s">
        <v>8531</v>
      </c>
      <c r="E3688" s="14" t="s">
        <v>3347</v>
      </c>
      <c r="F3688" s="14" t="s">
        <v>3348</v>
      </c>
      <c r="G3688" s="8" t="s">
        <v>8854</v>
      </c>
      <c r="H3688" s="14"/>
      <c r="I3688" s="14"/>
      <c r="J3688" s="14"/>
      <c r="K3688" s="14"/>
      <c r="L3688" s="14"/>
      <c r="M3688" s="14" t="s">
        <v>3351</v>
      </c>
      <c r="N3688" s="14"/>
      <c r="O3688" s="14" t="s">
        <v>3352</v>
      </c>
      <c r="P3688" s="14" t="str">
        <f>HYPERLINK("https://ceds.ed.gov/cedselementdetails.aspx?termid=18283")</f>
        <v>https://ceds.ed.gov/cedselementdetails.aspx?termid=18283</v>
      </c>
      <c r="Q3688" s="14" t="str">
        <f>HYPERLINK("https://ceds.ed.gov/elementComment.aspx?elementName=Credit Hours Applied Other Program &amp;elementID=18283", "Click here to submit comment")</f>
        <v>Click here to submit comment</v>
      </c>
      <c r="R3688" s="14">
        <v>51686</v>
      </c>
    </row>
    <row r="3689" spans="1:18" ht="195" x14ac:dyDescent="0.25">
      <c r="A3689" s="14" t="s">
        <v>4746</v>
      </c>
      <c r="B3689" s="14" t="s">
        <v>9097</v>
      </c>
      <c r="C3689" s="14" t="s">
        <v>8850</v>
      </c>
      <c r="D3689" s="14" t="s">
        <v>8531</v>
      </c>
      <c r="E3689" s="14" t="s">
        <v>7051</v>
      </c>
      <c r="F3689" s="14" t="s">
        <v>7052</v>
      </c>
      <c r="G3689" s="8" t="s">
        <v>8855</v>
      </c>
      <c r="H3689" s="14"/>
      <c r="I3689" s="14"/>
      <c r="J3689" s="14"/>
      <c r="K3689" s="14"/>
      <c r="L3689" s="14"/>
      <c r="M3689" s="14" t="s">
        <v>7055</v>
      </c>
      <c r="N3689" s="14"/>
      <c r="O3689" s="14" t="s">
        <v>7056</v>
      </c>
      <c r="P3689" s="14" t="str">
        <f>HYPERLINK("https://ceds.ed.gov/cedselementdetails.aspx?termid=17780")</f>
        <v>https://ceds.ed.gov/cedselementdetails.aspx?termid=17780</v>
      </c>
      <c r="Q3689" s="14" t="str">
        <f>HYPERLINK("https://ceds.ed.gov/elementComment.aspx?elementName=Professional or Technical Credential Conferred &amp;elementID=17780", "Click here to submit comment")</f>
        <v>Click here to submit comment</v>
      </c>
      <c r="R3689" s="14">
        <v>51693</v>
      </c>
    </row>
    <row r="3690" spans="1:18" ht="105" x14ac:dyDescent="0.25">
      <c r="A3690" s="16" t="s">
        <v>4746</v>
      </c>
      <c r="B3690" s="16" t="s">
        <v>9097</v>
      </c>
      <c r="C3690" s="16" t="s">
        <v>8850</v>
      </c>
      <c r="D3690" s="16" t="s">
        <v>8531</v>
      </c>
      <c r="E3690" s="16" t="s">
        <v>7098</v>
      </c>
      <c r="F3690" s="16" t="s">
        <v>7099</v>
      </c>
      <c r="G3690" s="16" t="s">
        <v>37</v>
      </c>
      <c r="H3690" s="16" t="s">
        <v>2944</v>
      </c>
      <c r="I3690" s="16"/>
      <c r="J3690" s="16" t="s">
        <v>149</v>
      </c>
      <c r="K3690" s="16"/>
      <c r="L3690" s="14" t="s">
        <v>150</v>
      </c>
      <c r="M3690" s="16" t="s">
        <v>7101</v>
      </c>
      <c r="N3690" s="16"/>
      <c r="O3690" s="16" t="s">
        <v>7102</v>
      </c>
      <c r="P3690" s="16" t="str">
        <f>HYPERLINK("https://ceds.ed.gov/cedselementdetails.aspx?termid=17618")</f>
        <v>https://ceds.ed.gov/cedselementdetails.aspx?termid=17618</v>
      </c>
      <c r="Q3690" s="16" t="str">
        <f>HYPERLINK("https://ceds.ed.gov/elementComment.aspx?elementName=Program Identifier &amp;elementID=17618", "Click here to submit comment")</f>
        <v>Click here to submit comment</v>
      </c>
      <c r="R3690" s="16">
        <v>51692</v>
      </c>
    </row>
    <row r="3691" spans="1:18" x14ac:dyDescent="0.25">
      <c r="A3691" s="16"/>
      <c r="B3691" s="16"/>
      <c r="C3691" s="16"/>
      <c r="D3691" s="16"/>
      <c r="E3691" s="16"/>
      <c r="F3691" s="16"/>
      <c r="G3691" s="16"/>
      <c r="H3691" s="16"/>
      <c r="I3691" s="16"/>
      <c r="J3691" s="16"/>
      <c r="K3691" s="16"/>
      <c r="L3691" s="14"/>
      <c r="M3691" s="16"/>
      <c r="N3691" s="16"/>
      <c r="O3691" s="16"/>
      <c r="P3691" s="16"/>
      <c r="Q3691" s="16"/>
      <c r="R3691" s="16"/>
    </row>
    <row r="3692" spans="1:18" ht="90" x14ac:dyDescent="0.25">
      <c r="A3692" s="16"/>
      <c r="B3692" s="16"/>
      <c r="C3692" s="16"/>
      <c r="D3692" s="16"/>
      <c r="E3692" s="16"/>
      <c r="F3692" s="16"/>
      <c r="G3692" s="16"/>
      <c r="H3692" s="16"/>
      <c r="I3692" s="16"/>
      <c r="J3692" s="16"/>
      <c r="K3692" s="16"/>
      <c r="L3692" s="14" t="s">
        <v>153</v>
      </c>
      <c r="M3692" s="16"/>
      <c r="N3692" s="16"/>
      <c r="O3692" s="16"/>
      <c r="P3692" s="16"/>
      <c r="Q3692" s="16"/>
      <c r="R3692" s="16"/>
    </row>
    <row r="3693" spans="1:18" ht="75" x14ac:dyDescent="0.25">
      <c r="A3693" s="14" t="s">
        <v>4746</v>
      </c>
      <c r="B3693" s="14" t="s">
        <v>9097</v>
      </c>
      <c r="C3693" s="14" t="s">
        <v>8850</v>
      </c>
      <c r="D3693" s="14" t="s">
        <v>8531</v>
      </c>
      <c r="E3693" s="14" t="s">
        <v>6799</v>
      </c>
      <c r="F3693" s="14" t="s">
        <v>6800</v>
      </c>
      <c r="G3693" s="8" t="s">
        <v>9000</v>
      </c>
      <c r="H3693" s="14" t="s">
        <v>6804</v>
      </c>
      <c r="I3693" s="14"/>
      <c r="J3693" s="14"/>
      <c r="K3693" s="14"/>
      <c r="L3693" s="14"/>
      <c r="M3693" s="14" t="s">
        <v>6802</v>
      </c>
      <c r="N3693" s="14"/>
      <c r="O3693" s="14" t="s">
        <v>6803</v>
      </c>
      <c r="P3693" s="14" t="str">
        <f>HYPERLINK("https://ceds.ed.gov/cedselementdetails.aspx?termid=18595")</f>
        <v>https://ceds.ed.gov/cedselementdetails.aspx?termid=18595</v>
      </c>
      <c r="Q3693" s="14" t="str">
        <f>HYPERLINK("https://ceds.ed.gov/elementComment.aspx?elementName=Postsecondary Program Level &amp;elementID=18595", "Click here to submit comment")</f>
        <v>Click here to submit comment</v>
      </c>
      <c r="R3693" s="14">
        <v>51694</v>
      </c>
    </row>
    <row r="3694" spans="1:18" ht="150" x14ac:dyDescent="0.25">
      <c r="A3694" s="14" t="s">
        <v>4746</v>
      </c>
      <c r="B3694" s="14" t="s">
        <v>9097</v>
      </c>
      <c r="C3694" s="14" t="s">
        <v>8850</v>
      </c>
      <c r="D3694" s="14" t="s">
        <v>8531</v>
      </c>
      <c r="E3694" s="14" t="s">
        <v>3675</v>
      </c>
      <c r="F3694" s="14" t="s">
        <v>3676</v>
      </c>
      <c r="G3694" s="8" t="s">
        <v>9035</v>
      </c>
      <c r="H3694" s="14"/>
      <c r="I3694" s="14"/>
      <c r="J3694" s="14"/>
      <c r="K3694" s="14"/>
      <c r="L3694" s="6" t="s">
        <v>3679</v>
      </c>
      <c r="M3694" s="14" t="s">
        <v>3680</v>
      </c>
      <c r="N3694" s="14"/>
      <c r="O3694" s="14" t="s">
        <v>3681</v>
      </c>
      <c r="P3694" s="14" t="str">
        <f>HYPERLINK("https://ceds.ed.gov/cedselementdetails.aspx?termid=18622")</f>
        <v>https://ceds.ed.gov/cedselementdetails.aspx?termid=18622</v>
      </c>
      <c r="Q3694" s="14" t="str">
        <f>HYPERLINK("https://ceds.ed.gov/elementComment.aspx?elementName=DQP Categories of Learning &amp;elementID=18622", "Click here to submit comment")</f>
        <v>Click here to submit comment</v>
      </c>
      <c r="R3694" s="14">
        <v>51695</v>
      </c>
    </row>
    <row r="3695" spans="1:18" ht="75" x14ac:dyDescent="0.25">
      <c r="A3695" s="14" t="s">
        <v>4746</v>
      </c>
      <c r="B3695" s="14" t="s">
        <v>9097</v>
      </c>
      <c r="C3695" s="14" t="s">
        <v>8850</v>
      </c>
      <c r="D3695" s="14" t="s">
        <v>8531</v>
      </c>
      <c r="E3695" s="14" t="s">
        <v>2365</v>
      </c>
      <c r="F3695" s="14" t="s">
        <v>2366</v>
      </c>
      <c r="G3695" s="14" t="s">
        <v>8526</v>
      </c>
      <c r="H3695" s="14" t="s">
        <v>48</v>
      </c>
      <c r="I3695" s="14"/>
      <c r="J3695" s="14"/>
      <c r="K3695" s="14"/>
      <c r="L3695" s="14"/>
      <c r="M3695" s="14" t="s">
        <v>2368</v>
      </c>
      <c r="N3695" s="14" t="s">
        <v>2369</v>
      </c>
      <c r="O3695" s="14" t="s">
        <v>2370</v>
      </c>
      <c r="P3695" s="14" t="str">
        <f>HYPERLINK("https://ceds.ed.gov/cedselementdetails.aspx?termid=17043")</f>
        <v>https://ceds.ed.gov/cedselementdetails.aspx?termid=17043</v>
      </c>
      <c r="Q3695" s="14" t="str">
        <f>HYPERLINK("https://ceds.ed.gov/elementComment.aspx?elementName=Classification of Instructional Program Code &amp;elementID=17043", "Click here to submit comment")</f>
        <v>Click here to submit comment</v>
      </c>
      <c r="R3695" s="14">
        <v>51689</v>
      </c>
    </row>
    <row r="3696" spans="1:18" ht="135" x14ac:dyDescent="0.25">
      <c r="A3696" s="14" t="s">
        <v>4746</v>
      </c>
      <c r="B3696" s="14" t="s">
        <v>9097</v>
      </c>
      <c r="C3696" s="14" t="s">
        <v>8850</v>
      </c>
      <c r="D3696" s="14" t="s">
        <v>8531</v>
      </c>
      <c r="E3696" s="14" t="s">
        <v>2371</v>
      </c>
      <c r="F3696" s="14" t="s">
        <v>2372</v>
      </c>
      <c r="G3696" s="8" t="s">
        <v>8997</v>
      </c>
      <c r="H3696" s="14" t="s">
        <v>225</v>
      </c>
      <c r="I3696" s="14"/>
      <c r="J3696" s="14"/>
      <c r="K3696" s="14"/>
      <c r="L3696" s="14"/>
      <c r="M3696" s="14" t="s">
        <v>2375</v>
      </c>
      <c r="N3696" s="14" t="s">
        <v>2376</v>
      </c>
      <c r="O3696" s="14" t="s">
        <v>2377</v>
      </c>
      <c r="P3696" s="14" t="str">
        <f>HYPERLINK("https://ceds.ed.gov/cedselementdetails.aspx?termid=17044")</f>
        <v>https://ceds.ed.gov/cedselementdetails.aspx?termid=17044</v>
      </c>
      <c r="Q3696" s="14" t="str">
        <f>HYPERLINK("https://ceds.ed.gov/elementComment.aspx?elementName=Classification of Instructional Program Use &amp;elementID=17044", "Click here to submit comment")</f>
        <v>Click here to submit comment</v>
      </c>
      <c r="R3696" s="14">
        <v>51690</v>
      </c>
    </row>
    <row r="3697" spans="1:18" ht="90" x14ac:dyDescent="0.25">
      <c r="A3697" s="14" t="s">
        <v>4746</v>
      </c>
      <c r="B3697" s="14" t="s">
        <v>9097</v>
      </c>
      <c r="C3697" s="14" t="s">
        <v>8850</v>
      </c>
      <c r="D3697" s="14" t="s">
        <v>8531</v>
      </c>
      <c r="E3697" s="14" t="s">
        <v>2378</v>
      </c>
      <c r="F3697" s="14" t="s">
        <v>2379</v>
      </c>
      <c r="G3697" s="8" t="s">
        <v>8998</v>
      </c>
      <c r="H3697" s="14" t="s">
        <v>225</v>
      </c>
      <c r="I3697" s="14"/>
      <c r="J3697" s="14"/>
      <c r="K3697" s="14"/>
      <c r="L3697" s="14"/>
      <c r="M3697" s="14" t="s">
        <v>2382</v>
      </c>
      <c r="N3697" s="14" t="s">
        <v>2383</v>
      </c>
      <c r="O3697" s="14" t="s">
        <v>2384</v>
      </c>
      <c r="P3697" s="14" t="str">
        <f>HYPERLINK("https://ceds.ed.gov/cedselementdetails.aspx?termid=17045")</f>
        <v>https://ceds.ed.gov/cedselementdetails.aspx?termid=17045</v>
      </c>
      <c r="Q3697" s="14" t="str">
        <f>HYPERLINK("https://ceds.ed.gov/elementComment.aspx?elementName=Classification of Instructional Program Version &amp;elementID=17045", "Click here to submit comment")</f>
        <v>Click here to submit comment</v>
      </c>
      <c r="R3697" s="14">
        <v>51691</v>
      </c>
    </row>
    <row r="3698" spans="1:18" ht="60" x14ac:dyDescent="0.25">
      <c r="A3698" s="14" t="s">
        <v>4746</v>
      </c>
      <c r="B3698" s="14" t="s">
        <v>9097</v>
      </c>
      <c r="C3698" s="14" t="s">
        <v>8693</v>
      </c>
      <c r="D3698" s="14" t="s">
        <v>8531</v>
      </c>
      <c r="E3698" s="14" t="s">
        <v>4006</v>
      </c>
      <c r="F3698" s="14" t="s">
        <v>4007</v>
      </c>
      <c r="G3698" s="14" t="s">
        <v>3259</v>
      </c>
      <c r="H3698" s="14"/>
      <c r="I3698" s="14"/>
      <c r="J3698" s="14" t="s">
        <v>3260</v>
      </c>
      <c r="K3698" s="14"/>
      <c r="L3698" s="14"/>
      <c r="M3698" s="14" t="s">
        <v>4009</v>
      </c>
      <c r="N3698" s="14"/>
      <c r="O3698" s="14" t="s">
        <v>4010</v>
      </c>
      <c r="P3698" s="14" t="str">
        <f>HYPERLINK("https://ceds.ed.gov/cedselementdetails.aspx?termid=18070")</f>
        <v>https://ceds.ed.gov/cedselementdetails.aspx?termid=18070</v>
      </c>
      <c r="Q3698" s="14" t="str">
        <f>HYPERLINK("https://ceds.ed.gov/elementComment.aspx?elementName=Employment NAICS Code &amp;elementID=18070", "Click here to submit comment")</f>
        <v>Click here to submit comment</v>
      </c>
      <c r="R3698" s="14">
        <v>51023</v>
      </c>
    </row>
    <row r="3699" spans="1:18" ht="60" x14ac:dyDescent="0.25">
      <c r="A3699" s="14" t="s">
        <v>4746</v>
      </c>
      <c r="B3699" s="14" t="s">
        <v>9097</v>
      </c>
      <c r="C3699" s="14" t="s">
        <v>8693</v>
      </c>
      <c r="D3699" s="14" t="s">
        <v>8531</v>
      </c>
      <c r="E3699" s="14" t="s">
        <v>4037</v>
      </c>
      <c r="F3699" s="14" t="s">
        <v>4038</v>
      </c>
      <c r="G3699" s="14" t="s">
        <v>37</v>
      </c>
      <c r="H3699" s="14" t="s">
        <v>4041</v>
      </c>
      <c r="I3699" s="14"/>
      <c r="J3699" s="14" t="s">
        <v>135</v>
      </c>
      <c r="K3699" s="14"/>
      <c r="L3699" s="14"/>
      <c r="M3699" s="14" t="s">
        <v>4039</v>
      </c>
      <c r="N3699" s="14"/>
      <c r="O3699" s="14" t="s">
        <v>4040</v>
      </c>
      <c r="P3699" s="14" t="str">
        <f>HYPERLINK("https://ceds.ed.gov/cedselementdetails.aspx?termid=17345")</f>
        <v>https://ceds.ed.gov/cedselementdetails.aspx?termid=17345</v>
      </c>
      <c r="Q3699" s="14" t="str">
        <f>HYPERLINK("https://ceds.ed.gov/elementComment.aspx?elementName=Employment Start Date &amp;elementID=17345", "Click here to submit comment")</f>
        <v>Click here to submit comment</v>
      </c>
      <c r="R3699" s="14">
        <v>51003</v>
      </c>
    </row>
    <row r="3700" spans="1:18" ht="75" x14ac:dyDescent="0.25">
      <c r="A3700" s="14" t="s">
        <v>4746</v>
      </c>
      <c r="B3700" s="14" t="s">
        <v>9097</v>
      </c>
      <c r="C3700" s="14" t="s">
        <v>8693</v>
      </c>
      <c r="D3700" s="14" t="s">
        <v>8531</v>
      </c>
      <c r="E3700" s="14" t="s">
        <v>3995</v>
      </c>
      <c r="F3700" s="14" t="s">
        <v>3996</v>
      </c>
      <c r="G3700" s="14" t="s">
        <v>37</v>
      </c>
      <c r="H3700" s="14" t="s">
        <v>238</v>
      </c>
      <c r="I3700" s="14"/>
      <c r="J3700" s="14" t="s">
        <v>135</v>
      </c>
      <c r="K3700" s="14"/>
      <c r="L3700" s="14" t="s">
        <v>160</v>
      </c>
      <c r="M3700" s="14" t="s">
        <v>3998</v>
      </c>
      <c r="N3700" s="14"/>
      <c r="O3700" s="14" t="s">
        <v>3999</v>
      </c>
      <c r="P3700" s="14" t="str">
        <f>HYPERLINK("https://ceds.ed.gov/cedselementdetails.aspx?termid=17794")</f>
        <v>https://ceds.ed.gov/cedselementdetails.aspx?termid=17794</v>
      </c>
      <c r="Q3700" s="14" t="str">
        <f>HYPERLINK("https://ceds.ed.gov/elementComment.aspx?elementName=Employment End Date &amp;elementID=17794", "Click here to submit comment")</f>
        <v>Click here to submit comment</v>
      </c>
      <c r="R3700" s="14">
        <v>51020</v>
      </c>
    </row>
    <row r="3701" spans="1:18" ht="225" x14ac:dyDescent="0.25">
      <c r="A3701" s="14" t="s">
        <v>4746</v>
      </c>
      <c r="B3701" s="14" t="s">
        <v>9097</v>
      </c>
      <c r="C3701" s="14" t="s">
        <v>8693</v>
      </c>
      <c r="D3701" s="14" t="s">
        <v>8531</v>
      </c>
      <c r="E3701" s="14" t="s">
        <v>3990</v>
      </c>
      <c r="F3701" s="14" t="s">
        <v>3991</v>
      </c>
      <c r="G3701" s="14" t="s">
        <v>3978</v>
      </c>
      <c r="H3701" s="14" t="s">
        <v>3983</v>
      </c>
      <c r="I3701" s="14"/>
      <c r="J3701" s="14"/>
      <c r="K3701" s="14"/>
      <c r="L3701" s="14" t="s">
        <v>3992</v>
      </c>
      <c r="M3701" s="14" t="s">
        <v>3993</v>
      </c>
      <c r="N3701" s="14"/>
      <c r="O3701" s="14" t="s">
        <v>3994</v>
      </c>
      <c r="P3701" s="14" t="str">
        <f>HYPERLINK("https://ceds.ed.gov/cedselementdetails.aspx?termid=17989")</f>
        <v>https://ceds.ed.gov/cedselementdetails.aspx?termid=17989</v>
      </c>
      <c r="Q3701" s="14" t="str">
        <f>HYPERLINK("https://ceds.ed.gov/elementComment.aspx?elementName=Employed While Enrolled &amp;elementID=17989", "Click here to submit comment")</f>
        <v>Click here to submit comment</v>
      </c>
      <c r="R3701" s="14">
        <v>51021</v>
      </c>
    </row>
    <row r="3702" spans="1:18" ht="270" x14ac:dyDescent="0.25">
      <c r="A3702" s="14" t="s">
        <v>4746</v>
      </c>
      <c r="B3702" s="14" t="s">
        <v>9097</v>
      </c>
      <c r="C3702" s="14" t="s">
        <v>8693</v>
      </c>
      <c r="D3702" s="14" t="s">
        <v>8531</v>
      </c>
      <c r="E3702" s="14" t="s">
        <v>3976</v>
      </c>
      <c r="F3702" s="14" t="s">
        <v>3977</v>
      </c>
      <c r="G3702" s="14" t="s">
        <v>3978</v>
      </c>
      <c r="H3702" s="14" t="s">
        <v>3983</v>
      </c>
      <c r="I3702" s="14"/>
      <c r="J3702" s="14"/>
      <c r="K3702" s="14"/>
      <c r="L3702" s="14" t="s">
        <v>3980</v>
      </c>
      <c r="M3702" s="14" t="s">
        <v>3981</v>
      </c>
      <c r="N3702" s="14"/>
      <c r="O3702" s="14" t="s">
        <v>3982</v>
      </c>
      <c r="P3702" s="14" t="str">
        <f>HYPERLINK("https://ceds.ed.gov/cedselementdetails.aspx?termid=17990")</f>
        <v>https://ceds.ed.gov/cedselementdetails.aspx?termid=17990</v>
      </c>
      <c r="Q3702" s="14" t="str">
        <f>HYPERLINK("https://ceds.ed.gov/elementComment.aspx?elementName=Employed After Exit &amp;elementID=17990", "Click here to submit comment")</f>
        <v>Click here to submit comment</v>
      </c>
      <c r="R3702" s="14">
        <v>51022</v>
      </c>
    </row>
    <row r="3703" spans="1:18" ht="120" x14ac:dyDescent="0.25">
      <c r="A3703" s="14" t="s">
        <v>4746</v>
      </c>
      <c r="B3703" s="14" t="s">
        <v>9097</v>
      </c>
      <c r="C3703" s="14" t="s">
        <v>8693</v>
      </c>
      <c r="D3703" s="14" t="s">
        <v>8541</v>
      </c>
      <c r="E3703" s="14" t="s">
        <v>7940</v>
      </c>
      <c r="F3703" s="14" t="s">
        <v>7941</v>
      </c>
      <c r="G3703" s="14" t="s">
        <v>37</v>
      </c>
      <c r="H3703" s="14" t="s">
        <v>80</v>
      </c>
      <c r="I3703" s="14" t="s">
        <v>195</v>
      </c>
      <c r="J3703" s="14" t="s">
        <v>7943</v>
      </c>
      <c r="K3703" s="14" t="s">
        <v>2856</v>
      </c>
      <c r="L3703" s="14"/>
      <c r="M3703" s="14" t="s">
        <v>7944</v>
      </c>
      <c r="N3703" s="14"/>
      <c r="O3703" s="14" t="s">
        <v>7945</v>
      </c>
      <c r="P3703" s="14" t="str">
        <f>HYPERLINK("https://ceds.ed.gov/cedselementdetails.aspx?termid=17707")</f>
        <v>https://ceds.ed.gov/cedselementdetails.aspx?termid=17707</v>
      </c>
      <c r="Q3703" s="14" t="str">
        <f>HYPERLINK("https://ceds.ed.gov/elementComment.aspx?elementName=Standard Occupational Classification &amp;elementID=17707", "Click here to submit comment")</f>
        <v>Click here to submit comment</v>
      </c>
      <c r="R3703" s="14">
        <v>52450</v>
      </c>
    </row>
    <row r="3704" spans="1:18" ht="195" x14ac:dyDescent="0.25">
      <c r="A3704" s="14" t="s">
        <v>4746</v>
      </c>
      <c r="B3704" s="14" t="s">
        <v>9097</v>
      </c>
      <c r="C3704" s="14" t="s">
        <v>9099</v>
      </c>
      <c r="D3704" s="14" t="s">
        <v>8531</v>
      </c>
      <c r="E3704" s="14" t="s">
        <v>7051</v>
      </c>
      <c r="F3704" s="14" t="s">
        <v>7052</v>
      </c>
      <c r="G3704" s="8" t="s">
        <v>8855</v>
      </c>
      <c r="H3704" s="14"/>
      <c r="I3704" s="14"/>
      <c r="J3704" s="14"/>
      <c r="K3704" s="14"/>
      <c r="L3704" s="14"/>
      <c r="M3704" s="14" t="s">
        <v>7055</v>
      </c>
      <c r="N3704" s="14"/>
      <c r="O3704" s="14" t="s">
        <v>7056</v>
      </c>
      <c r="P3704" s="14" t="str">
        <f>HYPERLINK("https://ceds.ed.gov/cedselementdetails.aspx?termid=17780")</f>
        <v>https://ceds.ed.gov/cedselementdetails.aspx?termid=17780</v>
      </c>
      <c r="Q3704" s="14" t="str">
        <f>HYPERLINK("https://ceds.ed.gov/elementComment.aspx?elementName=Professional or Technical Credential Conferred &amp;elementID=17780", "Click here to submit comment")</f>
        <v>Click here to submit comment</v>
      </c>
      <c r="R3704" s="14">
        <v>51018</v>
      </c>
    </row>
    <row r="3705" spans="1:18" ht="90" x14ac:dyDescent="0.25">
      <c r="A3705" s="14" t="s">
        <v>4746</v>
      </c>
      <c r="B3705" s="14" t="s">
        <v>9097</v>
      </c>
      <c r="C3705" s="14" t="s">
        <v>8632</v>
      </c>
      <c r="D3705" s="14" t="s">
        <v>8541</v>
      </c>
      <c r="E3705" s="14" t="s">
        <v>5662</v>
      </c>
      <c r="F3705" s="14" t="s">
        <v>5663</v>
      </c>
      <c r="G3705" s="14" t="s">
        <v>8527</v>
      </c>
      <c r="H3705" s="14" t="s">
        <v>5668</v>
      </c>
      <c r="I3705" s="14" t="s">
        <v>195</v>
      </c>
      <c r="J3705" s="14"/>
      <c r="K3705" s="14" t="s">
        <v>5665</v>
      </c>
      <c r="L3705" s="6" t="s">
        <v>1087</v>
      </c>
      <c r="M3705" s="14" t="s">
        <v>5666</v>
      </c>
      <c r="N3705" s="14"/>
      <c r="O3705" s="14" t="s">
        <v>5667</v>
      </c>
      <c r="P3705" s="14" t="str">
        <f>HYPERLINK("https://ceds.ed.gov/cedselementdetails.aspx?termid=17317")</f>
        <v>https://ceds.ed.gov/cedselementdetails.aspx?termid=17317</v>
      </c>
      <c r="Q3705" s="14" t="str">
        <f>HYPERLINK("https://ceds.ed.gov/elementComment.aspx?elementName=ISO 639-2 Language Code &amp;elementID=17317", "Click here to submit comment")</f>
        <v>Click here to submit comment</v>
      </c>
      <c r="R3705" s="14">
        <v>52451</v>
      </c>
    </row>
    <row r="3706" spans="1:18" ht="105" x14ac:dyDescent="0.25">
      <c r="A3706" s="14" t="s">
        <v>4746</v>
      </c>
      <c r="B3706" s="14" t="s">
        <v>9097</v>
      </c>
      <c r="C3706" s="14" t="s">
        <v>8632</v>
      </c>
      <c r="D3706" s="14" t="s">
        <v>8541</v>
      </c>
      <c r="E3706" s="14" t="s">
        <v>5669</v>
      </c>
      <c r="F3706" s="14" t="s">
        <v>5663</v>
      </c>
      <c r="G3706" s="14" t="s">
        <v>8527</v>
      </c>
      <c r="H3706" s="14"/>
      <c r="I3706" s="14" t="s">
        <v>195</v>
      </c>
      <c r="J3706" s="14"/>
      <c r="K3706" s="14" t="s">
        <v>5670</v>
      </c>
      <c r="L3706" s="6" t="s">
        <v>5671</v>
      </c>
      <c r="M3706" s="14" t="s">
        <v>5672</v>
      </c>
      <c r="N3706" s="14"/>
      <c r="O3706" s="14" t="s">
        <v>5673</v>
      </c>
      <c r="P3706" s="14" t="str">
        <f>HYPERLINK("https://ceds.ed.gov/cedselementdetails.aspx?termid=18618")</f>
        <v>https://ceds.ed.gov/cedselementdetails.aspx?termid=18618</v>
      </c>
      <c r="Q3706" s="14" t="str">
        <f>HYPERLINK("https://ceds.ed.gov/elementComment.aspx?elementName=ISO 639-3 Language Code &amp;elementID=18618", "Click here to submit comment")</f>
        <v>Click here to submit comment</v>
      </c>
      <c r="R3706" s="14">
        <v>52452</v>
      </c>
    </row>
    <row r="3707" spans="1:18" ht="409.5" x14ac:dyDescent="0.25">
      <c r="A3707" s="14" t="s">
        <v>4746</v>
      </c>
      <c r="B3707" s="14" t="s">
        <v>9097</v>
      </c>
      <c r="C3707" s="14" t="s">
        <v>8632</v>
      </c>
      <c r="D3707" s="14" t="s">
        <v>8541</v>
      </c>
      <c r="E3707" s="14" t="s">
        <v>5674</v>
      </c>
      <c r="F3707" s="14" t="s">
        <v>5675</v>
      </c>
      <c r="G3707" s="8" t="s">
        <v>8634</v>
      </c>
      <c r="H3707" s="14"/>
      <c r="I3707" s="14" t="s">
        <v>195</v>
      </c>
      <c r="J3707" s="14"/>
      <c r="K3707" s="14" t="s">
        <v>2856</v>
      </c>
      <c r="L3707" s="6" t="s">
        <v>5677</v>
      </c>
      <c r="M3707" s="14" t="s">
        <v>5678</v>
      </c>
      <c r="N3707" s="14"/>
      <c r="O3707" s="14" t="s">
        <v>5679</v>
      </c>
      <c r="P3707" s="14" t="str">
        <f>HYPERLINK("https://ceds.ed.gov/cedselementdetails.aspx?termid=18619")</f>
        <v>https://ceds.ed.gov/cedselementdetails.aspx?termid=18619</v>
      </c>
      <c r="Q3707" s="14" t="str">
        <f>HYPERLINK("https://ceds.ed.gov/elementComment.aspx?elementName=ISO 639-5 Language Family &amp;elementID=18619", "Click here to submit comment")</f>
        <v>Click here to submit comment</v>
      </c>
      <c r="R3707" s="14">
        <v>52453</v>
      </c>
    </row>
    <row r="3708" spans="1:18" ht="135" x14ac:dyDescent="0.25">
      <c r="A3708" s="14" t="s">
        <v>4746</v>
      </c>
      <c r="B3708" s="14" t="s">
        <v>9097</v>
      </c>
      <c r="C3708" s="14" t="s">
        <v>8632</v>
      </c>
      <c r="D3708" s="14" t="s">
        <v>8541</v>
      </c>
      <c r="E3708" s="14" t="s">
        <v>5717</v>
      </c>
      <c r="F3708" s="14" t="s">
        <v>5718</v>
      </c>
      <c r="G3708" s="8" t="s">
        <v>8633</v>
      </c>
      <c r="H3708" s="14" t="s">
        <v>5668</v>
      </c>
      <c r="I3708" s="14" t="s">
        <v>195</v>
      </c>
      <c r="J3708" s="14"/>
      <c r="K3708" s="14" t="s">
        <v>2856</v>
      </c>
      <c r="L3708" s="14"/>
      <c r="M3708" s="14" t="s">
        <v>5721</v>
      </c>
      <c r="N3708" s="14"/>
      <c r="O3708" s="14" t="s">
        <v>5722</v>
      </c>
      <c r="P3708" s="14" t="str">
        <f>HYPERLINK("https://ceds.ed.gov/cedselementdetails.aspx?termid=17316")</f>
        <v>https://ceds.ed.gov/cedselementdetails.aspx?termid=17316</v>
      </c>
      <c r="Q3708" s="14" t="str">
        <f>HYPERLINK("https://ceds.ed.gov/elementComment.aspx?elementName=Language Type &amp;elementID=17316", "Click here to submit comment")</f>
        <v>Click here to submit comment</v>
      </c>
      <c r="R3708" s="14">
        <v>52454</v>
      </c>
    </row>
    <row r="3709" spans="1:18" ht="409.5" x14ac:dyDescent="0.25">
      <c r="A3709" s="14" t="s">
        <v>4746</v>
      </c>
      <c r="B3709" s="14" t="s">
        <v>9097</v>
      </c>
      <c r="C3709" s="14" t="s">
        <v>8673</v>
      </c>
      <c r="D3709" s="14" t="s">
        <v>8541</v>
      </c>
      <c r="E3709" s="14" t="s">
        <v>6727</v>
      </c>
      <c r="F3709" s="14" t="s">
        <v>6728</v>
      </c>
      <c r="G3709" s="8" t="s">
        <v>8674</v>
      </c>
      <c r="H3709" s="14" t="s">
        <v>1751</v>
      </c>
      <c r="I3709" s="14" t="s">
        <v>195</v>
      </c>
      <c r="J3709" s="14"/>
      <c r="K3709" s="14" t="s">
        <v>6731</v>
      </c>
      <c r="L3709" s="14" t="s">
        <v>6732</v>
      </c>
      <c r="M3709" s="14" t="s">
        <v>6733</v>
      </c>
      <c r="N3709" s="14"/>
      <c r="O3709" s="14" t="s">
        <v>6734</v>
      </c>
      <c r="P3709" s="14" t="str">
        <f>HYPERLINK("https://ceds.ed.gov/cedselementdetails.aspx?termid=17415")</f>
        <v>https://ceds.ed.gov/cedselementdetails.aspx?termid=17415</v>
      </c>
      <c r="Q3709" s="14" t="str">
        <f>HYPERLINK("https://ceds.ed.gov/elementComment.aspx?elementName=Person Relationship Type &amp;elementID=17415", "Click here to submit comment")</f>
        <v>Click here to submit comment</v>
      </c>
      <c r="R3709" s="14">
        <v>52455</v>
      </c>
    </row>
    <row r="3710" spans="1:18" ht="75" x14ac:dyDescent="0.25">
      <c r="A3710" s="14" t="s">
        <v>4746</v>
      </c>
      <c r="B3710" s="14" t="s">
        <v>9097</v>
      </c>
      <c r="C3710" s="14" t="s">
        <v>4</v>
      </c>
      <c r="D3710" s="14" t="s">
        <v>8541</v>
      </c>
      <c r="E3710" s="14" t="s">
        <v>7201</v>
      </c>
      <c r="F3710" s="14" t="s">
        <v>7202</v>
      </c>
      <c r="G3710" s="14" t="s">
        <v>24</v>
      </c>
      <c r="H3710" s="14"/>
      <c r="I3710" s="14" t="s">
        <v>195</v>
      </c>
      <c r="J3710" s="14"/>
      <c r="K3710" s="14" t="s">
        <v>2856</v>
      </c>
      <c r="L3710" s="14"/>
      <c r="M3710" s="14" t="s">
        <v>7204</v>
      </c>
      <c r="N3710" s="14"/>
      <c r="O3710" s="14" t="s">
        <v>7205</v>
      </c>
      <c r="P3710" s="14" t="str">
        <f>HYPERLINK("https://ceds.ed.gov/cedselementdetails.aspx?termid=17760")</f>
        <v>https://ceds.ed.gov/cedselementdetails.aspx?termid=17760</v>
      </c>
      <c r="Q3710" s="14" t="str">
        <f>HYPERLINK("https://ceds.ed.gov/elementComment.aspx?elementName=Public Assistance Status &amp;elementID=17760", "Click here to submit comment")</f>
        <v>Click here to submit comment</v>
      </c>
      <c r="R3710" s="14">
        <v>52456</v>
      </c>
    </row>
    <row r="3711" spans="1:18" ht="60" x14ac:dyDescent="0.25">
      <c r="A3711" s="14" t="s">
        <v>4746</v>
      </c>
      <c r="B3711" s="14" t="s">
        <v>9100</v>
      </c>
      <c r="C3711" s="14"/>
      <c r="D3711" s="14" t="s">
        <v>8531</v>
      </c>
      <c r="E3711" s="14" t="s">
        <v>4006</v>
      </c>
      <c r="F3711" s="14" t="s">
        <v>4007</v>
      </c>
      <c r="G3711" s="14" t="s">
        <v>3259</v>
      </c>
      <c r="H3711" s="14"/>
      <c r="I3711" s="14"/>
      <c r="J3711" s="14" t="s">
        <v>3260</v>
      </c>
      <c r="K3711" s="14"/>
      <c r="L3711" s="14"/>
      <c r="M3711" s="14" t="s">
        <v>4009</v>
      </c>
      <c r="N3711" s="14"/>
      <c r="O3711" s="14" t="s">
        <v>4010</v>
      </c>
      <c r="P3711" s="14" t="str">
        <f>HYPERLINK("https://ceds.ed.gov/cedselementdetails.aspx?termid=18070")</f>
        <v>https://ceds.ed.gov/cedselementdetails.aspx?termid=18070</v>
      </c>
      <c r="Q3711" s="14" t="str">
        <f>HYPERLINK("https://ceds.ed.gov/elementComment.aspx?elementName=Employment NAICS Code &amp;elementID=18070", "Click here to submit comment")</f>
        <v>Click here to submit comment</v>
      </c>
      <c r="R3711" s="14">
        <v>48514</v>
      </c>
    </row>
    <row r="3712" spans="1:18" ht="360" x14ac:dyDescent="0.25">
      <c r="A3712" s="14" t="s">
        <v>4746</v>
      </c>
      <c r="B3712" s="14" t="s">
        <v>9100</v>
      </c>
      <c r="C3712" s="14"/>
      <c r="D3712" s="14" t="s">
        <v>8531</v>
      </c>
      <c r="E3712" s="14" t="s">
        <v>4022</v>
      </c>
      <c r="F3712" s="14" t="s">
        <v>4023</v>
      </c>
      <c r="G3712" s="14" t="s">
        <v>37</v>
      </c>
      <c r="H3712" s="14"/>
      <c r="I3712" s="14"/>
      <c r="J3712" s="14" t="s">
        <v>135</v>
      </c>
      <c r="K3712" s="14"/>
      <c r="L3712" s="14" t="s">
        <v>4024</v>
      </c>
      <c r="M3712" s="14" t="s">
        <v>4025</v>
      </c>
      <c r="N3712" s="14"/>
      <c r="O3712" s="14" t="s">
        <v>4026</v>
      </c>
      <c r="P3712" s="14" t="str">
        <f>HYPERLINK("https://ceds.ed.gov/cedselementdetails.aspx?termid=17994")</f>
        <v>https://ceds.ed.gov/cedselementdetails.aspx?termid=17994</v>
      </c>
      <c r="Q3712" s="14" t="str">
        <f>HYPERLINK("https://ceds.ed.gov/elementComment.aspx?elementName=Employment Record Reference Period Start Date &amp;elementID=17994", "Click here to submit comment")</f>
        <v>Click here to submit comment</v>
      </c>
      <c r="R3712" s="14">
        <v>49461</v>
      </c>
    </row>
    <row r="3713" spans="1:18" ht="360" x14ac:dyDescent="0.25">
      <c r="A3713" s="14" t="s">
        <v>4746</v>
      </c>
      <c r="B3713" s="14" t="s">
        <v>9100</v>
      </c>
      <c r="C3713" s="14"/>
      <c r="D3713" s="14" t="s">
        <v>8531</v>
      </c>
      <c r="E3713" s="14" t="s">
        <v>4017</v>
      </c>
      <c r="F3713" s="14" t="s">
        <v>4018</v>
      </c>
      <c r="G3713" s="14" t="s">
        <v>37</v>
      </c>
      <c r="H3713" s="14"/>
      <c r="I3713" s="14"/>
      <c r="J3713" s="14" t="s">
        <v>135</v>
      </c>
      <c r="K3713" s="14"/>
      <c r="L3713" s="14" t="s">
        <v>4019</v>
      </c>
      <c r="M3713" s="14" t="s">
        <v>4020</v>
      </c>
      <c r="N3713" s="14"/>
      <c r="O3713" s="14" t="s">
        <v>4021</v>
      </c>
      <c r="P3713" s="14" t="str">
        <f>HYPERLINK("https://ceds.ed.gov/cedselementdetails.aspx?termid=17995")</f>
        <v>https://ceds.ed.gov/cedselementdetails.aspx?termid=17995</v>
      </c>
      <c r="Q3713" s="14" t="str">
        <f>HYPERLINK("https://ceds.ed.gov/elementComment.aspx?elementName=Employment Record Reference Period End Date &amp;elementID=17995", "Click here to submit comment")</f>
        <v>Click here to submit comment</v>
      </c>
      <c r="R3713" s="14">
        <v>49462</v>
      </c>
    </row>
    <row r="3714" spans="1:18" ht="409.5" x14ac:dyDescent="0.25">
      <c r="A3714" s="14" t="s">
        <v>4746</v>
      </c>
      <c r="B3714" s="14" t="s">
        <v>9100</v>
      </c>
      <c r="C3714" s="14"/>
      <c r="D3714" s="14" t="s">
        <v>8531</v>
      </c>
      <c r="E3714" s="14" t="s">
        <v>4000</v>
      </c>
      <c r="F3714" s="14" t="s">
        <v>4001</v>
      </c>
      <c r="G3714" s="8" t="s">
        <v>9101</v>
      </c>
      <c r="H3714" s="14"/>
      <c r="I3714" s="14"/>
      <c r="J3714" s="14"/>
      <c r="K3714" s="14"/>
      <c r="L3714" s="14" t="s">
        <v>4003</v>
      </c>
      <c r="M3714" s="14" t="s">
        <v>4004</v>
      </c>
      <c r="N3714" s="14"/>
      <c r="O3714" s="14" t="s">
        <v>4005</v>
      </c>
      <c r="P3714" s="14" t="str">
        <f>HYPERLINK("https://ceds.ed.gov/cedselementdetails.aspx?termid=17992")</f>
        <v>https://ceds.ed.gov/cedselementdetails.aspx?termid=17992</v>
      </c>
      <c r="Q3714" s="14" t="str">
        <f>HYPERLINK("https://ceds.ed.gov/elementComment.aspx?elementName=Employment Location &amp;elementID=17992", "Click here to submit comment")</f>
        <v>Click here to submit comment</v>
      </c>
      <c r="R3714" s="14">
        <v>49459</v>
      </c>
    </row>
    <row r="3715" spans="1:18" ht="225" x14ac:dyDescent="0.25">
      <c r="A3715" s="14" t="s">
        <v>4746</v>
      </c>
      <c r="B3715" s="14" t="s">
        <v>9100</v>
      </c>
      <c r="C3715" s="14"/>
      <c r="D3715" s="14" t="s">
        <v>8531</v>
      </c>
      <c r="E3715" s="14" t="s">
        <v>3984</v>
      </c>
      <c r="F3715" s="14" t="s">
        <v>3985</v>
      </c>
      <c r="G3715" s="14" t="s">
        <v>3978</v>
      </c>
      <c r="H3715" s="14"/>
      <c r="I3715" s="14"/>
      <c r="J3715" s="14"/>
      <c r="K3715" s="14"/>
      <c r="L3715" s="14" t="s">
        <v>3987</v>
      </c>
      <c r="M3715" s="14" t="s">
        <v>3988</v>
      </c>
      <c r="N3715" s="14"/>
      <c r="O3715" s="14" t="s">
        <v>3989</v>
      </c>
      <c r="P3715" s="14" t="str">
        <f>HYPERLINK("https://ceds.ed.gov/cedselementdetails.aspx?termid=18309")</f>
        <v>https://ceds.ed.gov/cedselementdetails.aspx?termid=18309</v>
      </c>
      <c r="Q3715" s="14" t="str">
        <f>HYPERLINK("https://ceds.ed.gov/elementComment.aspx?elementName=Employed Prior to Enrollment &amp;elementID=18309", "Click here to submit comment")</f>
        <v>Click here to submit comment</v>
      </c>
      <c r="R3715" s="14">
        <v>50152</v>
      </c>
    </row>
    <row r="3716" spans="1:18" ht="225" x14ac:dyDescent="0.25">
      <c r="A3716" s="14" t="s">
        <v>4746</v>
      </c>
      <c r="B3716" s="14" t="s">
        <v>9100</v>
      </c>
      <c r="C3716" s="14"/>
      <c r="D3716" s="14" t="s">
        <v>8531</v>
      </c>
      <c r="E3716" s="14" t="s">
        <v>3990</v>
      </c>
      <c r="F3716" s="14" t="s">
        <v>3991</v>
      </c>
      <c r="G3716" s="14" t="s">
        <v>3978</v>
      </c>
      <c r="H3716" s="14" t="s">
        <v>3983</v>
      </c>
      <c r="I3716" s="14"/>
      <c r="J3716" s="14"/>
      <c r="K3716" s="14"/>
      <c r="L3716" s="14" t="s">
        <v>3992</v>
      </c>
      <c r="M3716" s="14" t="s">
        <v>3993</v>
      </c>
      <c r="N3716" s="14"/>
      <c r="O3716" s="14" t="s">
        <v>3994</v>
      </c>
      <c r="P3716" s="14" t="str">
        <f>HYPERLINK("https://ceds.ed.gov/cedselementdetails.aspx?termid=17989")</f>
        <v>https://ceds.ed.gov/cedselementdetails.aspx?termid=17989</v>
      </c>
      <c r="Q3716" s="14" t="str">
        <f>HYPERLINK("https://ceds.ed.gov/elementComment.aspx?elementName=Employed While Enrolled &amp;elementID=17989", "Click here to submit comment")</f>
        <v>Click here to submit comment</v>
      </c>
      <c r="R3716" s="14">
        <v>49456</v>
      </c>
    </row>
    <row r="3717" spans="1:18" ht="270" x14ac:dyDescent="0.25">
      <c r="A3717" s="14" t="s">
        <v>4746</v>
      </c>
      <c r="B3717" s="14" t="s">
        <v>9100</v>
      </c>
      <c r="C3717" s="14"/>
      <c r="D3717" s="14" t="s">
        <v>8531</v>
      </c>
      <c r="E3717" s="14" t="s">
        <v>3976</v>
      </c>
      <c r="F3717" s="14" t="s">
        <v>3977</v>
      </c>
      <c r="G3717" s="14" t="s">
        <v>3978</v>
      </c>
      <c r="H3717" s="14" t="s">
        <v>3983</v>
      </c>
      <c r="I3717" s="14"/>
      <c r="J3717" s="14"/>
      <c r="K3717" s="14"/>
      <c r="L3717" s="14" t="s">
        <v>3980</v>
      </c>
      <c r="M3717" s="14" t="s">
        <v>3981</v>
      </c>
      <c r="N3717" s="14"/>
      <c r="O3717" s="14" t="s">
        <v>3982</v>
      </c>
      <c r="P3717" s="14" t="str">
        <f>HYPERLINK("https://ceds.ed.gov/cedselementdetails.aspx?termid=17990")</f>
        <v>https://ceds.ed.gov/cedselementdetails.aspx?termid=17990</v>
      </c>
      <c r="Q3717" s="14" t="str">
        <f>HYPERLINK("https://ceds.ed.gov/elementComment.aspx?elementName=Employed After Exit &amp;elementID=17990", "Click here to submit comment")</f>
        <v>Click here to submit comment</v>
      </c>
      <c r="R3717" s="14">
        <v>49457</v>
      </c>
    </row>
    <row r="3718" spans="1:18" ht="210" x14ac:dyDescent="0.25">
      <c r="A3718" s="14" t="s">
        <v>4746</v>
      </c>
      <c r="B3718" s="14" t="s">
        <v>9100</v>
      </c>
      <c r="C3718" s="14"/>
      <c r="D3718" s="14" t="s">
        <v>8531</v>
      </c>
      <c r="E3718" s="14" t="s">
        <v>6316</v>
      </c>
      <c r="F3718" s="14" t="s">
        <v>6317</v>
      </c>
      <c r="G3718" s="14" t="s">
        <v>24</v>
      </c>
      <c r="H3718" s="14"/>
      <c r="I3718" s="14"/>
      <c r="J3718" s="14"/>
      <c r="K3718" s="14"/>
      <c r="L3718" s="14" t="s">
        <v>6318</v>
      </c>
      <c r="M3718" s="14" t="s">
        <v>6319</v>
      </c>
      <c r="N3718" s="14"/>
      <c r="O3718" s="14" t="s">
        <v>6320</v>
      </c>
      <c r="P3718" s="14" t="str">
        <f>HYPERLINK("https://ceds.ed.gov/cedselementdetails.aspx?termid=18381")</f>
        <v>https://ceds.ed.gov/cedselementdetails.aspx?termid=18381</v>
      </c>
      <c r="Q3718" s="14" t="str">
        <f>HYPERLINK("https://ceds.ed.gov/elementComment.aspx?elementName=Military Enlistment After Exit &amp;elementID=18381", "Click here to submit comment")</f>
        <v>Click here to submit comment</v>
      </c>
      <c r="R3718" s="14">
        <v>50292</v>
      </c>
    </row>
    <row r="3719" spans="1:18" ht="225" x14ac:dyDescent="0.25">
      <c r="A3719" s="14" t="s">
        <v>4746</v>
      </c>
      <c r="B3719" s="14" t="s">
        <v>9100</v>
      </c>
      <c r="C3719" s="14"/>
      <c r="D3719" s="14" t="s">
        <v>8531</v>
      </c>
      <c r="E3719" s="14" t="s">
        <v>6700</v>
      </c>
      <c r="F3719" s="14" t="s">
        <v>6701</v>
      </c>
      <c r="G3719" s="14" t="s">
        <v>37</v>
      </c>
      <c r="H3719" s="14"/>
      <c r="I3719" s="14"/>
      <c r="J3719" s="14" t="s">
        <v>370</v>
      </c>
      <c r="K3719" s="14"/>
      <c r="L3719" s="14" t="s">
        <v>6702</v>
      </c>
      <c r="M3719" s="14" t="s">
        <v>6703</v>
      </c>
      <c r="N3719" s="14"/>
      <c r="O3719" s="14" t="s">
        <v>6704</v>
      </c>
      <c r="P3719" s="14" t="str">
        <f>HYPERLINK("https://ceds.ed.gov/cedselementdetails.aspx?termid=17993")</f>
        <v>https://ceds.ed.gov/cedselementdetails.aspx?termid=17993</v>
      </c>
      <c r="Q3719" s="14" t="str">
        <f>HYPERLINK("https://ceds.ed.gov/elementComment.aspx?elementName=Person Employed in Multiple Jobs Count &amp;elementID=17993", "Click here to submit comment")</f>
        <v>Click here to submit comment</v>
      </c>
      <c r="R3719" s="14">
        <v>49460</v>
      </c>
    </row>
    <row r="3720" spans="1:18" ht="300" x14ac:dyDescent="0.25">
      <c r="A3720" s="14" t="s">
        <v>4746</v>
      </c>
      <c r="B3720" s="14" t="s">
        <v>9100</v>
      </c>
      <c r="C3720" s="14"/>
      <c r="D3720" s="14" t="s">
        <v>8531</v>
      </c>
      <c r="E3720" s="14" t="s">
        <v>4011</v>
      </c>
      <c r="F3720" s="14" t="s">
        <v>4012</v>
      </c>
      <c r="G3720" s="8" t="s">
        <v>9102</v>
      </c>
      <c r="H3720" s="14"/>
      <c r="I3720" s="14"/>
      <c r="J3720" s="14"/>
      <c r="K3720" s="14"/>
      <c r="L3720" s="14" t="s">
        <v>4014</v>
      </c>
      <c r="M3720" s="14" t="s">
        <v>4015</v>
      </c>
      <c r="N3720" s="14"/>
      <c r="O3720" s="14" t="s">
        <v>4016</v>
      </c>
      <c r="P3720" s="14" t="str">
        <f>HYPERLINK("https://ceds.ed.gov/cedselementdetails.aspx?termid=17996")</f>
        <v>https://ceds.ed.gov/cedselementdetails.aspx?termid=17996</v>
      </c>
      <c r="Q3720" s="14" t="str">
        <f>HYPERLINK("https://ceds.ed.gov/elementComment.aspx?elementName=Employment Record Administrative Data Source &amp;elementID=17996", "Click here to submit comment")</f>
        <v>Click here to submit comment</v>
      </c>
      <c r="R3720" s="14">
        <v>49463</v>
      </c>
    </row>
    <row r="3721" spans="1:18" ht="210" x14ac:dyDescent="0.25">
      <c r="A3721" s="14" t="s">
        <v>4746</v>
      </c>
      <c r="B3721" s="14" t="s">
        <v>9100</v>
      </c>
      <c r="C3721" s="14"/>
      <c r="D3721" s="14" t="s">
        <v>8531</v>
      </c>
      <c r="E3721" s="14" t="s">
        <v>7289</v>
      </c>
      <c r="F3721" s="14" t="s">
        <v>7290</v>
      </c>
      <c r="G3721" s="14" t="s">
        <v>37</v>
      </c>
      <c r="H3721" s="14"/>
      <c r="I3721" s="14"/>
      <c r="J3721" s="14" t="s">
        <v>1710</v>
      </c>
      <c r="K3721" s="14"/>
      <c r="L3721" s="14" t="s">
        <v>7291</v>
      </c>
      <c r="M3721" s="14" t="s">
        <v>7292</v>
      </c>
      <c r="N3721" s="14"/>
      <c r="O3721" s="14" t="s">
        <v>7293</v>
      </c>
      <c r="P3721" s="14" t="str">
        <f>HYPERLINK("https://ceds.ed.gov/cedselementdetails.aspx?termid=17991")</f>
        <v>https://ceds.ed.gov/cedselementdetails.aspx?termid=17991</v>
      </c>
      <c r="Q3721" s="14" t="str">
        <f>HYPERLINK("https://ceds.ed.gov/elementComment.aspx?elementName=Quarterly Earnings &amp;elementID=17991", "Click here to submit comment")</f>
        <v>Click here to submit comment</v>
      </c>
      <c r="R3721" s="14">
        <v>49458</v>
      </c>
    </row>
    <row r="3722" spans="1:18" ht="375" x14ac:dyDescent="0.25">
      <c r="A3722" s="14" t="s">
        <v>4746</v>
      </c>
      <c r="B3722" s="14" t="s">
        <v>9100</v>
      </c>
      <c r="C3722" s="14"/>
      <c r="D3722" s="14" t="s">
        <v>8531</v>
      </c>
      <c r="E3722" s="14" t="s">
        <v>6705</v>
      </c>
      <c r="F3722" s="14" t="s">
        <v>6706</v>
      </c>
      <c r="G3722" s="8" t="s">
        <v>8676</v>
      </c>
      <c r="H3722" s="14"/>
      <c r="I3722" s="14"/>
      <c r="J3722" s="14"/>
      <c r="K3722" s="14"/>
      <c r="L3722" s="14"/>
      <c r="M3722" s="14" t="s">
        <v>6709</v>
      </c>
      <c r="N3722" s="14"/>
      <c r="O3722" s="14" t="s">
        <v>6710</v>
      </c>
      <c r="P3722" s="14" t="str">
        <f>HYPERLINK("https://ceds.ed.gov/cedselementdetails.aspx?termid=18550")</f>
        <v>https://ceds.ed.gov/cedselementdetails.aspx?termid=18550</v>
      </c>
      <c r="Q3722" s="14" t="str">
        <f>HYPERLINK("https://ceds.ed.gov/elementComment.aspx?elementName=Person Identification System &amp;elementID=18550", "Click here to submit comment")</f>
        <v>Click here to submit comment</v>
      </c>
      <c r="R3722" s="14">
        <v>52004</v>
      </c>
    </row>
    <row r="3723" spans="1:18" ht="105" x14ac:dyDescent="0.25">
      <c r="A3723" s="16" t="s">
        <v>4746</v>
      </c>
      <c r="B3723" s="16" t="s">
        <v>9100</v>
      </c>
      <c r="C3723" s="16"/>
      <c r="D3723" s="16" t="s">
        <v>8531</v>
      </c>
      <c r="E3723" s="16" t="s">
        <v>6711</v>
      </c>
      <c r="F3723" s="16" t="s">
        <v>6712</v>
      </c>
      <c r="G3723" s="16" t="s">
        <v>37</v>
      </c>
      <c r="H3723" s="16"/>
      <c r="I3723" s="16"/>
      <c r="J3723" s="16" t="s">
        <v>149</v>
      </c>
      <c r="K3723" s="16"/>
      <c r="L3723" s="14" t="s">
        <v>150</v>
      </c>
      <c r="M3723" s="16" t="s">
        <v>6713</v>
      </c>
      <c r="N3723" s="16"/>
      <c r="O3723" s="16" t="s">
        <v>6714</v>
      </c>
      <c r="P3723" s="16" t="str">
        <f>HYPERLINK("https://ceds.ed.gov/cedselementdetails.aspx?termid=18551")</f>
        <v>https://ceds.ed.gov/cedselementdetails.aspx?termid=18551</v>
      </c>
      <c r="Q3723" s="16" t="str">
        <f>HYPERLINK("https://ceds.ed.gov/elementComment.aspx?elementName=Person Identifier &amp;elementID=18551", "Click here to submit comment")</f>
        <v>Click here to submit comment</v>
      </c>
      <c r="R3723" s="16">
        <v>52005</v>
      </c>
    </row>
    <row r="3724" spans="1:18" x14ac:dyDescent="0.25">
      <c r="A3724" s="16"/>
      <c r="B3724" s="16"/>
      <c r="C3724" s="16"/>
      <c r="D3724" s="16"/>
      <c r="E3724" s="16"/>
      <c r="F3724" s="16"/>
      <c r="G3724" s="16"/>
      <c r="H3724" s="16"/>
      <c r="I3724" s="16"/>
      <c r="J3724" s="16"/>
      <c r="K3724" s="16"/>
      <c r="L3724" s="14"/>
      <c r="M3724" s="16"/>
      <c r="N3724" s="16"/>
      <c r="O3724" s="16"/>
      <c r="P3724" s="16"/>
      <c r="Q3724" s="16"/>
      <c r="R3724" s="16"/>
    </row>
    <row r="3725" spans="1:18" ht="90" x14ac:dyDescent="0.25">
      <c r="A3725" s="16"/>
      <c r="B3725" s="16"/>
      <c r="C3725" s="16"/>
      <c r="D3725" s="16"/>
      <c r="E3725" s="16"/>
      <c r="F3725" s="16"/>
      <c r="G3725" s="16"/>
      <c r="H3725" s="16"/>
      <c r="I3725" s="16"/>
      <c r="J3725" s="16"/>
      <c r="K3725" s="16"/>
      <c r="L3725" s="14" t="s">
        <v>153</v>
      </c>
      <c r="M3725" s="16"/>
      <c r="N3725" s="16"/>
      <c r="O3725" s="16"/>
      <c r="P3725" s="16"/>
      <c r="Q3725" s="16"/>
      <c r="R3725" s="16"/>
    </row>
    <row r="3726" spans="1:18" ht="45" x14ac:dyDescent="0.25">
      <c r="A3726" s="14" t="s">
        <v>9103</v>
      </c>
      <c r="B3726" s="14" t="s">
        <v>9104</v>
      </c>
      <c r="C3726" s="14"/>
      <c r="D3726" s="14" t="s">
        <v>8531</v>
      </c>
      <c r="E3726" s="14" t="s">
        <v>4760</v>
      </c>
      <c r="F3726" s="14" t="s">
        <v>4761</v>
      </c>
      <c r="G3726" s="14" t="s">
        <v>37</v>
      </c>
      <c r="H3726" s="14"/>
      <c r="I3726" s="14"/>
      <c r="J3726" s="14" t="s">
        <v>129</v>
      </c>
      <c r="K3726" s="14"/>
      <c r="L3726" s="14"/>
      <c r="M3726" s="14" t="s">
        <v>4763</v>
      </c>
      <c r="N3726" s="14"/>
      <c r="O3726" s="14" t="s">
        <v>4764</v>
      </c>
      <c r="P3726" s="14" t="str">
        <f>HYPERLINK("https://ceds.ed.gov/cedselementdetails.aspx?termid=17903")</f>
        <v>https://ceds.ed.gov/cedselementdetails.aspx?termid=17903</v>
      </c>
      <c r="Q3726" s="14" t="str">
        <f>HYPERLINK("https://ceds.ed.gov/elementComment.aspx?elementName=Goal Description &amp;elementID=17903", "Click here to submit comment")</f>
        <v>Click here to submit comment</v>
      </c>
      <c r="R3726" s="14">
        <v>48363</v>
      </c>
    </row>
    <row r="3727" spans="1:18" ht="45" x14ac:dyDescent="0.25">
      <c r="A3727" s="14" t="s">
        <v>9103</v>
      </c>
      <c r="B3727" s="14" t="s">
        <v>9104</v>
      </c>
      <c r="C3727" s="14"/>
      <c r="D3727" s="14" t="s">
        <v>8531</v>
      </c>
      <c r="E3727" s="14" t="s">
        <v>4801</v>
      </c>
      <c r="F3727" s="14" t="s">
        <v>4802</v>
      </c>
      <c r="G3727" s="14" t="s">
        <v>37</v>
      </c>
      <c r="H3727" s="14"/>
      <c r="I3727" s="14"/>
      <c r="J3727" s="14" t="s">
        <v>135</v>
      </c>
      <c r="K3727" s="14"/>
      <c r="L3727" s="14"/>
      <c r="M3727" s="14" t="s">
        <v>4803</v>
      </c>
      <c r="N3727" s="14"/>
      <c r="O3727" s="14" t="s">
        <v>4804</v>
      </c>
      <c r="P3727" s="14" t="str">
        <f>HYPERLINK("https://ceds.ed.gov/cedselementdetails.aspx?termid=18169")</f>
        <v>https://ceds.ed.gov/cedselementdetails.aspx?termid=18169</v>
      </c>
      <c r="Q3727" s="14" t="str">
        <f>HYPERLINK("https://ceds.ed.gov/elementComment.aspx?elementName=Goal Start Date &amp;elementID=18169", "Click here to submit comment")</f>
        <v>Click here to submit comment</v>
      </c>
      <c r="R3727" s="14">
        <v>50887</v>
      </c>
    </row>
    <row r="3728" spans="1:18" ht="105" x14ac:dyDescent="0.25">
      <c r="A3728" s="14" t="s">
        <v>9103</v>
      </c>
      <c r="B3728" s="14" t="s">
        <v>9104</v>
      </c>
      <c r="C3728" s="14"/>
      <c r="D3728" s="14" t="s">
        <v>8531</v>
      </c>
      <c r="E3728" s="14" t="s">
        <v>4765</v>
      </c>
      <c r="F3728" s="14" t="s">
        <v>4766</v>
      </c>
      <c r="G3728" s="14" t="s">
        <v>37</v>
      </c>
      <c r="H3728" s="14"/>
      <c r="I3728" s="14"/>
      <c r="J3728" s="14" t="s">
        <v>135</v>
      </c>
      <c r="K3728" s="14"/>
      <c r="L3728" s="14" t="s">
        <v>4767</v>
      </c>
      <c r="M3728" s="14" t="s">
        <v>4768</v>
      </c>
      <c r="N3728" s="14"/>
      <c r="O3728" s="14" t="s">
        <v>4769</v>
      </c>
      <c r="P3728" s="14" t="str">
        <f>HYPERLINK("https://ceds.ed.gov/cedselementdetails.aspx?termid=18170")</f>
        <v>https://ceds.ed.gov/cedselementdetails.aspx?termid=18170</v>
      </c>
      <c r="Q3728" s="14" t="str">
        <f>HYPERLINK("https://ceds.ed.gov/elementComment.aspx?elementName=Goal End Date &amp;elementID=18170", "Click here to submit comment")</f>
        <v>Click here to submit comment</v>
      </c>
      <c r="R3728" s="14">
        <v>50885</v>
      </c>
    </row>
    <row r="3729" spans="1:18" ht="60" x14ac:dyDescent="0.25">
      <c r="A3729" s="14" t="s">
        <v>9103</v>
      </c>
      <c r="B3729" s="14" t="s">
        <v>9104</v>
      </c>
      <c r="C3729" s="14"/>
      <c r="D3729" s="14" t="s">
        <v>8531</v>
      </c>
      <c r="E3729" s="14" t="s">
        <v>4815</v>
      </c>
      <c r="F3729" s="14" t="s">
        <v>4816</v>
      </c>
      <c r="G3729" s="14" t="s">
        <v>37</v>
      </c>
      <c r="H3729" s="14"/>
      <c r="I3729" s="14"/>
      <c r="J3729" s="14" t="s">
        <v>129</v>
      </c>
      <c r="K3729" s="14"/>
      <c r="L3729" s="14"/>
      <c r="M3729" s="14" t="s">
        <v>4817</v>
      </c>
      <c r="N3729" s="14"/>
      <c r="O3729" s="14" t="s">
        <v>4818</v>
      </c>
      <c r="P3729" s="14" t="str">
        <f>HYPERLINK("https://ceds.ed.gov/cedselementdetails.aspx?termid=17902")</f>
        <v>https://ceds.ed.gov/cedselementdetails.aspx?termid=17902</v>
      </c>
      <c r="Q3729" s="14" t="str">
        <f>HYPERLINK("https://ceds.ed.gov/elementComment.aspx?elementName=Goal Success Criteria &amp;elementID=17902", "Click here to submit comment")</f>
        <v>Click here to submit comment</v>
      </c>
      <c r="R3729" s="14">
        <v>48362</v>
      </c>
    </row>
    <row r="3730" spans="1:18" ht="105" x14ac:dyDescent="0.25">
      <c r="A3730" s="16" t="s">
        <v>9103</v>
      </c>
      <c r="B3730" s="16" t="s">
        <v>8917</v>
      </c>
      <c r="C3730" s="16"/>
      <c r="D3730" s="16" t="s">
        <v>8531</v>
      </c>
      <c r="E3730" s="16" t="s">
        <v>5744</v>
      </c>
      <c r="F3730" s="16" t="s">
        <v>5745</v>
      </c>
      <c r="G3730" s="16" t="s">
        <v>37</v>
      </c>
      <c r="H3730" s="16"/>
      <c r="I3730" s="16"/>
      <c r="J3730" s="16" t="s">
        <v>149</v>
      </c>
      <c r="K3730" s="16"/>
      <c r="L3730" s="14" t="s">
        <v>150</v>
      </c>
      <c r="M3730" s="16" t="s">
        <v>5747</v>
      </c>
      <c r="N3730" s="16"/>
      <c r="O3730" s="16" t="s">
        <v>5748</v>
      </c>
      <c r="P3730" s="16" t="str">
        <f>HYPERLINK("https://ceds.ed.gov/cedselementdetails.aspx?termid=18533")</f>
        <v>https://ceds.ed.gov/cedselementdetails.aspx?termid=18533</v>
      </c>
      <c r="Q3730" s="16" t="str">
        <f>HYPERLINK("https://ceds.ed.gov/elementComment.aspx?elementName=Learner Action Actor Identifier &amp;elementID=18533", "Click here to submit comment")</f>
        <v>Click here to submit comment</v>
      </c>
      <c r="R3730" s="16">
        <v>50866</v>
      </c>
    </row>
    <row r="3731" spans="1:18" x14ac:dyDescent="0.25">
      <c r="A3731" s="16"/>
      <c r="B3731" s="16"/>
      <c r="C3731" s="16"/>
      <c r="D3731" s="16"/>
      <c r="E3731" s="16"/>
      <c r="F3731" s="16"/>
      <c r="G3731" s="16"/>
      <c r="H3731" s="16"/>
      <c r="I3731" s="16"/>
      <c r="J3731" s="16"/>
      <c r="K3731" s="16"/>
      <c r="L3731" s="14"/>
      <c r="M3731" s="16"/>
      <c r="N3731" s="16"/>
      <c r="O3731" s="16"/>
      <c r="P3731" s="16"/>
      <c r="Q3731" s="16"/>
      <c r="R3731" s="16"/>
    </row>
    <row r="3732" spans="1:18" ht="90" x14ac:dyDescent="0.25">
      <c r="A3732" s="16"/>
      <c r="B3732" s="16"/>
      <c r="C3732" s="16"/>
      <c r="D3732" s="16"/>
      <c r="E3732" s="16"/>
      <c r="F3732" s="16"/>
      <c r="G3732" s="16"/>
      <c r="H3732" s="16"/>
      <c r="I3732" s="16"/>
      <c r="J3732" s="16"/>
      <c r="K3732" s="16"/>
      <c r="L3732" s="14" t="s">
        <v>153</v>
      </c>
      <c r="M3732" s="16"/>
      <c r="N3732" s="16"/>
      <c r="O3732" s="16"/>
      <c r="P3732" s="16"/>
      <c r="Q3732" s="16"/>
      <c r="R3732" s="16"/>
    </row>
    <row r="3733" spans="1:18" ht="75" x14ac:dyDescent="0.25">
      <c r="A3733" s="14" t="s">
        <v>9103</v>
      </c>
      <c r="B3733" s="14" t="s">
        <v>8917</v>
      </c>
      <c r="C3733" s="14"/>
      <c r="D3733" s="14" t="s">
        <v>8531</v>
      </c>
      <c r="E3733" s="14" t="s">
        <v>5772</v>
      </c>
      <c r="F3733" s="14" t="s">
        <v>5773</v>
      </c>
      <c r="G3733" s="14" t="s">
        <v>37</v>
      </c>
      <c r="H3733" s="14"/>
      <c r="I3733" s="14"/>
      <c r="J3733" s="14" t="s">
        <v>382</v>
      </c>
      <c r="K3733" s="14"/>
      <c r="L3733" s="14"/>
      <c r="M3733" s="14" t="s">
        <v>5774</v>
      </c>
      <c r="N3733" s="14"/>
      <c r="O3733" s="14" t="s">
        <v>5775</v>
      </c>
      <c r="P3733" s="14" t="str">
        <f>HYPERLINK("https://ceds.ed.gov/cedselementdetails.aspx?termid=17936")</f>
        <v>https://ceds.ed.gov/cedselementdetails.aspx?termid=17936</v>
      </c>
      <c r="Q3733" s="14" t="str">
        <f>HYPERLINK("https://ceds.ed.gov/elementComment.aspx?elementName=Learner Action Value &amp;elementID=17936", "Click here to submit comment")</f>
        <v>Click here to submit comment</v>
      </c>
      <c r="R3733" s="14">
        <v>48394</v>
      </c>
    </row>
    <row r="3734" spans="1:18" ht="409.5" x14ac:dyDescent="0.25">
      <c r="A3734" s="14" t="s">
        <v>9103</v>
      </c>
      <c r="B3734" s="14" t="s">
        <v>8917</v>
      </c>
      <c r="C3734" s="14"/>
      <c r="D3734" s="14" t="s">
        <v>8531</v>
      </c>
      <c r="E3734" s="14" t="s">
        <v>5765</v>
      </c>
      <c r="F3734" s="14" t="s">
        <v>5766</v>
      </c>
      <c r="G3734" s="8" t="s">
        <v>8918</v>
      </c>
      <c r="H3734" s="14"/>
      <c r="I3734" s="14" t="s">
        <v>195</v>
      </c>
      <c r="J3734" s="14"/>
      <c r="K3734" s="14" t="s">
        <v>5768</v>
      </c>
      <c r="L3734" s="6" t="s">
        <v>5769</v>
      </c>
      <c r="M3734" s="14" t="s">
        <v>5770</v>
      </c>
      <c r="N3734" s="14"/>
      <c r="O3734" s="14" t="s">
        <v>5771</v>
      </c>
      <c r="P3734" s="14" t="str">
        <f>HYPERLINK("https://ceds.ed.gov/cedselementdetails.aspx?termid=17935")</f>
        <v>https://ceds.ed.gov/cedselementdetails.aspx?termid=17935</v>
      </c>
      <c r="Q3734" s="14" t="str">
        <f>HYPERLINK("https://ceds.ed.gov/elementComment.aspx?elementName=Learner Action Type &amp;elementID=17935", "Click here to submit comment")</f>
        <v>Click here to submit comment</v>
      </c>
      <c r="R3734" s="14">
        <v>48393</v>
      </c>
    </row>
    <row r="3735" spans="1:18" ht="45" x14ac:dyDescent="0.25">
      <c r="A3735" s="14" t="s">
        <v>9103</v>
      </c>
      <c r="B3735" s="14" t="s">
        <v>8917</v>
      </c>
      <c r="C3735" s="14"/>
      <c r="D3735" s="14" t="s">
        <v>8531</v>
      </c>
      <c r="E3735" s="14" t="s">
        <v>5749</v>
      </c>
      <c r="F3735" s="14" t="s">
        <v>5750</v>
      </c>
      <c r="G3735" s="14" t="s">
        <v>37</v>
      </c>
      <c r="H3735" s="14"/>
      <c r="I3735" s="14"/>
      <c r="J3735" s="14" t="s">
        <v>941</v>
      </c>
      <c r="K3735" s="14"/>
      <c r="L3735" s="14"/>
      <c r="M3735" s="14" t="s">
        <v>5751</v>
      </c>
      <c r="N3735" s="14"/>
      <c r="O3735" s="14" t="s">
        <v>5752</v>
      </c>
      <c r="P3735" s="14" t="str">
        <f>HYPERLINK("https://ceds.ed.gov/cedselementdetails.aspx?termid=17938")</f>
        <v>https://ceds.ed.gov/cedselementdetails.aspx?termid=17938</v>
      </c>
      <c r="Q3735" s="14" t="str">
        <f>HYPERLINK("https://ceds.ed.gov/elementComment.aspx?elementName=Learner Action Date Time &amp;elementID=17938", "Click here to submit comment")</f>
        <v>Click here to submit comment</v>
      </c>
      <c r="R3735" s="14">
        <v>48396</v>
      </c>
    </row>
    <row r="3736" spans="1:18" ht="105" x14ac:dyDescent="0.25">
      <c r="A3736" s="16" t="s">
        <v>9103</v>
      </c>
      <c r="B3736" s="16" t="s">
        <v>8917</v>
      </c>
      <c r="C3736" s="16"/>
      <c r="D3736" s="16" t="s">
        <v>8531</v>
      </c>
      <c r="E3736" s="16" t="s">
        <v>5757</v>
      </c>
      <c r="F3736" s="16" t="s">
        <v>5758</v>
      </c>
      <c r="G3736" s="16" t="s">
        <v>37</v>
      </c>
      <c r="H3736" s="16"/>
      <c r="I3736" s="16"/>
      <c r="J3736" s="16" t="s">
        <v>149</v>
      </c>
      <c r="K3736" s="16"/>
      <c r="L3736" s="14" t="s">
        <v>150</v>
      </c>
      <c r="M3736" s="16" t="s">
        <v>5759</v>
      </c>
      <c r="N3736" s="16"/>
      <c r="O3736" s="16" t="s">
        <v>5760</v>
      </c>
      <c r="P3736" s="16" t="str">
        <f>HYPERLINK("https://ceds.ed.gov/cedselementdetails.aspx?termid=18535")</f>
        <v>https://ceds.ed.gov/cedselementdetails.aspx?termid=18535</v>
      </c>
      <c r="Q3736" s="16" t="str">
        <f>HYPERLINK("https://ceds.ed.gov/elementComment.aspx?elementName=Learner Action Object Identifier &amp;elementID=18535", "Click here to submit comment")</f>
        <v>Click here to submit comment</v>
      </c>
      <c r="R3736" s="16">
        <v>50875</v>
      </c>
    </row>
    <row r="3737" spans="1:18" x14ac:dyDescent="0.25">
      <c r="A3737" s="16"/>
      <c r="B3737" s="16"/>
      <c r="C3737" s="16"/>
      <c r="D3737" s="16"/>
      <c r="E3737" s="16"/>
      <c r="F3737" s="16"/>
      <c r="G3737" s="16"/>
      <c r="H3737" s="16"/>
      <c r="I3737" s="16"/>
      <c r="J3737" s="16"/>
      <c r="K3737" s="16"/>
      <c r="L3737" s="14"/>
      <c r="M3737" s="16"/>
      <c r="N3737" s="16"/>
      <c r="O3737" s="16"/>
      <c r="P3737" s="16"/>
      <c r="Q3737" s="16"/>
      <c r="R3737" s="16"/>
    </row>
    <row r="3738" spans="1:18" ht="90" x14ac:dyDescent="0.25">
      <c r="A3738" s="16"/>
      <c r="B3738" s="16"/>
      <c r="C3738" s="16"/>
      <c r="D3738" s="16"/>
      <c r="E3738" s="16"/>
      <c r="F3738" s="16"/>
      <c r="G3738" s="16"/>
      <c r="H3738" s="16"/>
      <c r="I3738" s="16"/>
      <c r="J3738" s="16"/>
      <c r="K3738" s="16"/>
      <c r="L3738" s="14" t="s">
        <v>153</v>
      </c>
      <c r="M3738" s="16"/>
      <c r="N3738" s="16"/>
      <c r="O3738" s="16"/>
      <c r="P3738" s="16"/>
      <c r="Q3738" s="16"/>
      <c r="R3738" s="16"/>
    </row>
    <row r="3739" spans="1:18" ht="45" x14ac:dyDescent="0.25">
      <c r="A3739" s="14" t="s">
        <v>9103</v>
      </c>
      <c r="B3739" s="14" t="s">
        <v>8917</v>
      </c>
      <c r="C3739" s="14"/>
      <c r="D3739" s="14" t="s">
        <v>8531</v>
      </c>
      <c r="E3739" s="14" t="s">
        <v>5753</v>
      </c>
      <c r="F3739" s="14" t="s">
        <v>5754</v>
      </c>
      <c r="G3739" s="14" t="s">
        <v>37</v>
      </c>
      <c r="H3739" s="14"/>
      <c r="I3739" s="14"/>
      <c r="J3739" s="14" t="s">
        <v>129</v>
      </c>
      <c r="K3739" s="14"/>
      <c r="L3739" s="14"/>
      <c r="M3739" s="14" t="s">
        <v>5755</v>
      </c>
      <c r="N3739" s="14"/>
      <c r="O3739" s="14" t="s">
        <v>5756</v>
      </c>
      <c r="P3739" s="14" t="str">
        <f>HYPERLINK("https://ceds.ed.gov/cedselementdetails.aspx?termid=18534")</f>
        <v>https://ceds.ed.gov/cedselementdetails.aspx?termid=18534</v>
      </c>
      <c r="Q3739" s="14" t="str">
        <f>HYPERLINK("https://ceds.ed.gov/elementComment.aspx?elementName=Learner Action Object Description &amp;elementID=18534", "Click here to submit comment")</f>
        <v>Click here to submit comment</v>
      </c>
      <c r="R3739" s="14">
        <v>50872</v>
      </c>
    </row>
    <row r="3740" spans="1:18" ht="45" x14ac:dyDescent="0.25">
      <c r="A3740" s="14" t="s">
        <v>9103</v>
      </c>
      <c r="B3740" s="14" t="s">
        <v>8917</v>
      </c>
      <c r="C3740" s="14"/>
      <c r="D3740" s="14" t="s">
        <v>8531</v>
      </c>
      <c r="E3740" s="14" t="s">
        <v>5761</v>
      </c>
      <c r="F3740" s="14" t="s">
        <v>5762</v>
      </c>
      <c r="G3740" s="14" t="s">
        <v>37</v>
      </c>
      <c r="H3740" s="14"/>
      <c r="I3740" s="14"/>
      <c r="J3740" s="14" t="s">
        <v>175</v>
      </c>
      <c r="K3740" s="14"/>
      <c r="L3740" s="14"/>
      <c r="M3740" s="14" t="s">
        <v>5763</v>
      </c>
      <c r="N3740" s="14"/>
      <c r="O3740" s="14" t="s">
        <v>5764</v>
      </c>
      <c r="P3740" s="14" t="str">
        <f>HYPERLINK("https://ceds.ed.gov/cedselementdetails.aspx?termid=18536")</f>
        <v>https://ceds.ed.gov/cedselementdetails.aspx?termid=18536</v>
      </c>
      <c r="Q3740" s="14" t="str">
        <f>HYPERLINK("https://ceds.ed.gov/elementComment.aspx?elementName=Learner Action Object Type &amp;elementID=18536", "Click here to submit comment")</f>
        <v>Click here to submit comment</v>
      </c>
      <c r="R3740" s="14">
        <v>50878</v>
      </c>
    </row>
    <row r="3741" spans="1:18" ht="45" x14ac:dyDescent="0.25">
      <c r="A3741" s="14" t="s">
        <v>9103</v>
      </c>
      <c r="B3741" s="14" t="s">
        <v>9105</v>
      </c>
      <c r="C3741" s="14"/>
      <c r="D3741" s="14" t="s">
        <v>8531</v>
      </c>
      <c r="E3741" s="14" t="s">
        <v>5832</v>
      </c>
      <c r="F3741" s="14" t="s">
        <v>5833</v>
      </c>
      <c r="G3741" s="14" t="s">
        <v>37</v>
      </c>
      <c r="H3741" s="14"/>
      <c r="I3741" s="14"/>
      <c r="J3741" s="14" t="s">
        <v>97</v>
      </c>
      <c r="K3741" s="14"/>
      <c r="L3741" s="14"/>
      <c r="M3741" s="14" t="s">
        <v>5834</v>
      </c>
      <c r="N3741" s="14"/>
      <c r="O3741" s="14" t="s">
        <v>5835</v>
      </c>
      <c r="P3741" s="14" t="str">
        <f>HYPERLINK("https://ceds.ed.gov/cedselementdetails.aspx?termid=17940")</f>
        <v>https://ceds.ed.gov/cedselementdetails.aspx?termid=17940</v>
      </c>
      <c r="Q3741" s="14" t="str">
        <f>HYPERLINK("https://ceds.ed.gov/elementComment.aspx?elementName=Learner Activity Title &amp;elementID=17940", "Click here to submit comment")</f>
        <v>Click here to submit comment</v>
      </c>
      <c r="R3741" s="14">
        <v>48398</v>
      </c>
    </row>
    <row r="3742" spans="1:18" ht="45" x14ac:dyDescent="0.25">
      <c r="A3742" s="14" t="s">
        <v>9103</v>
      </c>
      <c r="B3742" s="14" t="s">
        <v>9105</v>
      </c>
      <c r="C3742" s="14"/>
      <c r="D3742" s="14" t="s">
        <v>8531</v>
      </c>
      <c r="E3742" s="14" t="s">
        <v>5785</v>
      </c>
      <c r="F3742" s="14" t="s">
        <v>5786</v>
      </c>
      <c r="G3742" s="14" t="s">
        <v>37</v>
      </c>
      <c r="H3742" s="14"/>
      <c r="I3742" s="14"/>
      <c r="J3742" s="14" t="s">
        <v>129</v>
      </c>
      <c r="K3742" s="14"/>
      <c r="L3742" s="14"/>
      <c r="M3742" s="14" t="s">
        <v>5787</v>
      </c>
      <c r="N3742" s="14"/>
      <c r="O3742" s="14" t="s">
        <v>5788</v>
      </c>
      <c r="P3742" s="14" t="str">
        <f>HYPERLINK("https://ceds.ed.gov/cedselementdetails.aspx?termid=17941")</f>
        <v>https://ceds.ed.gov/cedselementdetails.aspx?termid=17941</v>
      </c>
      <c r="Q3742" s="14" t="str">
        <f>HYPERLINK("https://ceds.ed.gov/elementComment.aspx?elementName=Learner Activity Description &amp;elementID=17941", "Click here to submit comment")</f>
        <v>Click here to submit comment</v>
      </c>
      <c r="R3742" s="14">
        <v>48399</v>
      </c>
    </row>
    <row r="3743" spans="1:18" ht="45" x14ac:dyDescent="0.25">
      <c r="A3743" s="14" t="s">
        <v>9103</v>
      </c>
      <c r="B3743" s="14" t="s">
        <v>9105</v>
      </c>
      <c r="C3743" s="14"/>
      <c r="D3743" s="14" t="s">
        <v>8531</v>
      </c>
      <c r="E3743" s="14" t="s">
        <v>5781</v>
      </c>
      <c r="F3743" s="14" t="s">
        <v>5782</v>
      </c>
      <c r="G3743" s="14" t="s">
        <v>37</v>
      </c>
      <c r="H3743" s="14"/>
      <c r="I3743" s="14"/>
      <c r="J3743" s="14" t="s">
        <v>135</v>
      </c>
      <c r="K3743" s="14"/>
      <c r="L3743" s="14"/>
      <c r="M3743" s="14" t="s">
        <v>5783</v>
      </c>
      <c r="N3743" s="14"/>
      <c r="O3743" s="14" t="s">
        <v>5784</v>
      </c>
      <c r="P3743" s="14" t="str">
        <f>HYPERLINK("https://ceds.ed.gov/cedselementdetails.aspx?termid=17944")</f>
        <v>https://ceds.ed.gov/cedselementdetails.aspx?termid=17944</v>
      </c>
      <c r="Q3743" s="14" t="str">
        <f>HYPERLINK("https://ceds.ed.gov/elementComment.aspx?elementName=Learner Activity Creation Date &amp;elementID=17944", "Click here to submit comment")</f>
        <v>Click here to submit comment</v>
      </c>
      <c r="R3743" s="14">
        <v>48402</v>
      </c>
    </row>
    <row r="3744" spans="1:18" ht="60" x14ac:dyDescent="0.25">
      <c r="A3744" s="14" t="s">
        <v>9103</v>
      </c>
      <c r="B3744" s="14" t="s">
        <v>9105</v>
      </c>
      <c r="C3744" s="14"/>
      <c r="D3744" s="14" t="s">
        <v>8531</v>
      </c>
      <c r="E3744" s="14" t="s">
        <v>5824</v>
      </c>
      <c r="F3744" s="14" t="s">
        <v>5825</v>
      </c>
      <c r="G3744" s="14" t="s">
        <v>37</v>
      </c>
      <c r="H3744" s="14"/>
      <c r="I3744" s="14"/>
      <c r="J3744" s="14" t="s">
        <v>135</v>
      </c>
      <c r="K3744" s="14"/>
      <c r="L3744" s="14"/>
      <c r="M3744" s="14" t="s">
        <v>5826</v>
      </c>
      <c r="N3744" s="14"/>
      <c r="O3744" s="14" t="s">
        <v>5827</v>
      </c>
      <c r="P3744" s="14" t="str">
        <f>HYPERLINK("https://ceds.ed.gov/cedselementdetails.aspx?termid=17951")</f>
        <v>https://ceds.ed.gov/cedselementdetails.aspx?termid=17951</v>
      </c>
      <c r="Q3744" s="14" t="str">
        <f>HYPERLINK("https://ceds.ed.gov/elementComment.aspx?elementName=Learner Activity Release Date &amp;elementID=17951", "Click here to submit comment")</f>
        <v>Click here to submit comment</v>
      </c>
      <c r="R3744" s="14">
        <v>48409</v>
      </c>
    </row>
    <row r="3745" spans="1:18" ht="75" x14ac:dyDescent="0.25">
      <c r="A3745" s="14" t="s">
        <v>9103</v>
      </c>
      <c r="B3745" s="14" t="s">
        <v>9105</v>
      </c>
      <c r="C3745" s="14"/>
      <c r="D3745" s="14" t="s">
        <v>8531</v>
      </c>
      <c r="E3745" s="14" t="s">
        <v>5836</v>
      </c>
      <c r="F3745" s="14" t="s">
        <v>5837</v>
      </c>
      <c r="G3745" s="8" t="s">
        <v>9106</v>
      </c>
      <c r="H3745" s="14"/>
      <c r="I3745" s="14"/>
      <c r="J3745" s="14"/>
      <c r="K3745" s="14"/>
      <c r="L3745" s="14"/>
      <c r="M3745" s="14" t="s">
        <v>5839</v>
      </c>
      <c r="N3745" s="14"/>
      <c r="O3745" s="14" t="s">
        <v>5840</v>
      </c>
      <c r="P3745" s="14" t="str">
        <f>HYPERLINK("https://ceds.ed.gov/cedselementdetails.aspx?termid=17943")</f>
        <v>https://ceds.ed.gov/cedselementdetails.aspx?termid=17943</v>
      </c>
      <c r="Q3745" s="14" t="str">
        <f>HYPERLINK("https://ceds.ed.gov/elementComment.aspx?elementName=Learner Activity Type &amp;elementID=17943", "Click here to submit comment")</f>
        <v>Click here to submit comment</v>
      </c>
      <c r="R3745" s="14">
        <v>48401</v>
      </c>
    </row>
    <row r="3746" spans="1:18" ht="120" x14ac:dyDescent="0.25">
      <c r="A3746" s="14" t="s">
        <v>9103</v>
      </c>
      <c r="B3746" s="14" t="s">
        <v>9105</v>
      </c>
      <c r="C3746" s="14"/>
      <c r="D3746" s="14" t="s">
        <v>8531</v>
      </c>
      <c r="E3746" s="14" t="s">
        <v>5819</v>
      </c>
      <c r="F3746" s="14" t="s">
        <v>5820</v>
      </c>
      <c r="G3746" s="14" t="s">
        <v>37</v>
      </c>
      <c r="H3746" s="14"/>
      <c r="I3746" s="14"/>
      <c r="J3746" s="14" t="s">
        <v>129</v>
      </c>
      <c r="K3746" s="14"/>
      <c r="L3746" s="14" t="s">
        <v>5821</v>
      </c>
      <c r="M3746" s="14" t="s">
        <v>5822</v>
      </c>
      <c r="N3746" s="14"/>
      <c r="O3746" s="14" t="s">
        <v>5823</v>
      </c>
      <c r="P3746" s="14" t="str">
        <f>HYPERLINK("https://ceds.ed.gov/cedselementdetails.aspx?termid=17942")</f>
        <v>https://ceds.ed.gov/cedselementdetails.aspx?termid=17942</v>
      </c>
      <c r="Q3746" s="14" t="str">
        <f>HYPERLINK("https://ceds.ed.gov/elementComment.aspx?elementName=Learner Activity Prerequisite &amp;elementID=17942", "Click here to submit comment")</f>
        <v>Click here to submit comment</v>
      </c>
      <c r="R3746" s="14">
        <v>48400</v>
      </c>
    </row>
    <row r="3747" spans="1:18" ht="90" x14ac:dyDescent="0.25">
      <c r="A3747" s="14" t="s">
        <v>9103</v>
      </c>
      <c r="B3747" s="14" t="s">
        <v>9105</v>
      </c>
      <c r="C3747" s="14"/>
      <c r="D3747" s="14" t="s">
        <v>8531</v>
      </c>
      <c r="E3747" s="14" t="s">
        <v>5797</v>
      </c>
      <c r="F3747" s="14" t="s">
        <v>5798</v>
      </c>
      <c r="G3747" s="14" t="s">
        <v>8527</v>
      </c>
      <c r="H3747" s="14"/>
      <c r="I3747" s="14" t="s">
        <v>195</v>
      </c>
      <c r="J3747" s="14"/>
      <c r="K3747" s="14" t="s">
        <v>1086</v>
      </c>
      <c r="L3747" s="6" t="s">
        <v>1087</v>
      </c>
      <c r="M3747" s="14" t="s">
        <v>5799</v>
      </c>
      <c r="N3747" s="14"/>
      <c r="O3747" s="14" t="s">
        <v>5800</v>
      </c>
      <c r="P3747" s="14" t="str">
        <f>HYPERLINK("https://ceds.ed.gov/cedselementdetails.aspx?termid=17939")</f>
        <v>https://ceds.ed.gov/cedselementdetails.aspx?termid=17939</v>
      </c>
      <c r="Q3747" s="14" t="str">
        <f>HYPERLINK("https://ceds.ed.gov/elementComment.aspx?elementName=Learner Activity Language &amp;elementID=17939", "Click here to submit comment")</f>
        <v>Click here to submit comment</v>
      </c>
      <c r="R3747" s="14">
        <v>48397</v>
      </c>
    </row>
    <row r="3748" spans="1:18" ht="90" x14ac:dyDescent="0.25">
      <c r="A3748" s="14" t="s">
        <v>9103</v>
      </c>
      <c r="B3748" s="14" t="s">
        <v>9105</v>
      </c>
      <c r="C3748" s="14"/>
      <c r="D3748" s="14" t="s">
        <v>8531</v>
      </c>
      <c r="E3748" s="14" t="s">
        <v>5810</v>
      </c>
      <c r="F3748" s="14" t="s">
        <v>5811</v>
      </c>
      <c r="G3748" s="8" t="s">
        <v>9107</v>
      </c>
      <c r="H3748" s="14"/>
      <c r="I3748" s="14"/>
      <c r="J3748" s="14"/>
      <c r="K3748" s="14"/>
      <c r="L3748" s="14"/>
      <c r="M3748" s="14" t="s">
        <v>5813</v>
      </c>
      <c r="N3748" s="14"/>
      <c r="O3748" s="14" t="s">
        <v>5814</v>
      </c>
      <c r="P3748" s="14" t="str">
        <f>HYPERLINK("https://ceds.ed.gov/cedselementdetails.aspx?termid=17946")</f>
        <v>https://ceds.ed.gov/cedselementdetails.aspx?termid=17946</v>
      </c>
      <c r="Q3748" s="14" t="str">
        <f>HYPERLINK("https://ceds.ed.gov/elementComment.aspx?elementName=Learner Activity Maximum Time Allowed Unit &amp;elementID=17946", "Click here to submit comment")</f>
        <v>Click here to submit comment</v>
      </c>
      <c r="R3748" s="14">
        <v>48404</v>
      </c>
    </row>
    <row r="3749" spans="1:18" ht="45" x14ac:dyDescent="0.25">
      <c r="A3749" s="14" t="s">
        <v>9103</v>
      </c>
      <c r="B3749" s="14" t="s">
        <v>9105</v>
      </c>
      <c r="C3749" s="14"/>
      <c r="D3749" s="14" t="s">
        <v>8531</v>
      </c>
      <c r="E3749" s="14" t="s">
        <v>5805</v>
      </c>
      <c r="F3749" s="14" t="s">
        <v>5806</v>
      </c>
      <c r="G3749" s="14" t="s">
        <v>37</v>
      </c>
      <c r="H3749" s="14"/>
      <c r="I3749" s="14"/>
      <c r="J3749" s="14" t="s">
        <v>370</v>
      </c>
      <c r="K3749" s="14"/>
      <c r="L3749" s="14" t="s">
        <v>5807</v>
      </c>
      <c r="M3749" s="14" t="s">
        <v>5808</v>
      </c>
      <c r="N3749" s="14"/>
      <c r="O3749" s="14" t="s">
        <v>5809</v>
      </c>
      <c r="P3749" s="14" t="str">
        <f>HYPERLINK("https://ceds.ed.gov/cedselementdetails.aspx?termid=17945")</f>
        <v>https://ceds.ed.gov/cedselementdetails.aspx?termid=17945</v>
      </c>
      <c r="Q3749" s="14" t="str">
        <f>HYPERLINK("https://ceds.ed.gov/elementComment.aspx?elementName=Learner Activity Maximum Time Allowed &amp;elementID=17945", "Click here to submit comment")</f>
        <v>Click here to submit comment</v>
      </c>
      <c r="R3749" s="14">
        <v>48403</v>
      </c>
    </row>
    <row r="3750" spans="1:18" ht="45" x14ac:dyDescent="0.25">
      <c r="A3750" s="14" t="s">
        <v>9103</v>
      </c>
      <c r="B3750" s="14" t="s">
        <v>9105</v>
      </c>
      <c r="C3750" s="14"/>
      <c r="D3750" s="14" t="s">
        <v>8531</v>
      </c>
      <c r="E3750" s="14" t="s">
        <v>5801</v>
      </c>
      <c r="F3750" s="14" t="s">
        <v>5802</v>
      </c>
      <c r="G3750" s="14" t="s">
        <v>37</v>
      </c>
      <c r="H3750" s="14"/>
      <c r="I3750" s="14"/>
      <c r="J3750" s="14" t="s">
        <v>370</v>
      </c>
      <c r="K3750" s="14"/>
      <c r="L3750" s="14"/>
      <c r="M3750" s="14" t="s">
        <v>5803</v>
      </c>
      <c r="N3750" s="14"/>
      <c r="O3750" s="14" t="s">
        <v>5804</v>
      </c>
      <c r="P3750" s="14" t="str">
        <f>HYPERLINK("https://ceds.ed.gov/cedselementdetails.aspx?termid=17949")</f>
        <v>https://ceds.ed.gov/cedselementdetails.aspx?termid=17949</v>
      </c>
      <c r="Q3750" s="14" t="str">
        <f>HYPERLINK("https://ceds.ed.gov/elementComment.aspx?elementName=Learner Activity Maximum Attempts Allowed &amp;elementID=17949", "Click here to submit comment")</f>
        <v>Click here to submit comment</v>
      </c>
      <c r="R3750" s="14">
        <v>48407</v>
      </c>
    </row>
    <row r="3751" spans="1:18" ht="45" x14ac:dyDescent="0.25">
      <c r="A3751" s="14" t="s">
        <v>9103</v>
      </c>
      <c r="B3751" s="14" t="s">
        <v>9105</v>
      </c>
      <c r="C3751" s="14"/>
      <c r="D3751" s="14" t="s">
        <v>8531</v>
      </c>
      <c r="E3751" s="14" t="s">
        <v>5793</v>
      </c>
      <c r="F3751" s="14" t="s">
        <v>5794</v>
      </c>
      <c r="G3751" s="14" t="s">
        <v>37</v>
      </c>
      <c r="H3751" s="14"/>
      <c r="I3751" s="14"/>
      <c r="J3751" s="14" t="s">
        <v>501</v>
      </c>
      <c r="K3751" s="14"/>
      <c r="L3751" s="14"/>
      <c r="M3751" s="14" t="s">
        <v>5795</v>
      </c>
      <c r="N3751" s="14"/>
      <c r="O3751" s="14" t="s">
        <v>5796</v>
      </c>
      <c r="P3751" s="14" t="str">
        <f>HYPERLINK("https://ceds.ed.gov/cedselementdetails.aspx?termid=17948")</f>
        <v>https://ceds.ed.gov/cedselementdetails.aspx?termid=17948</v>
      </c>
      <c r="Q3751" s="14" t="str">
        <f>HYPERLINK("https://ceds.ed.gov/elementComment.aspx?elementName=Learner Activity Due Time &amp;elementID=17948", "Click here to submit comment")</f>
        <v>Click here to submit comment</v>
      </c>
      <c r="R3751" s="14">
        <v>48406</v>
      </c>
    </row>
    <row r="3752" spans="1:18" ht="45" x14ac:dyDescent="0.25">
      <c r="A3752" s="14" t="s">
        <v>9103</v>
      </c>
      <c r="B3752" s="14" t="s">
        <v>9105</v>
      </c>
      <c r="C3752" s="14"/>
      <c r="D3752" s="14" t="s">
        <v>8531</v>
      </c>
      <c r="E3752" s="14" t="s">
        <v>5789</v>
      </c>
      <c r="F3752" s="14" t="s">
        <v>5790</v>
      </c>
      <c r="G3752" s="14" t="s">
        <v>37</v>
      </c>
      <c r="H3752" s="14"/>
      <c r="I3752" s="14"/>
      <c r="J3752" s="14" t="s">
        <v>135</v>
      </c>
      <c r="K3752" s="14"/>
      <c r="L3752" s="14"/>
      <c r="M3752" s="14" t="s">
        <v>5791</v>
      </c>
      <c r="N3752" s="14"/>
      <c r="O3752" s="14" t="s">
        <v>5792</v>
      </c>
      <c r="P3752" s="14" t="str">
        <f>HYPERLINK("https://ceds.ed.gov/cedselementdetails.aspx?termid=17947")</f>
        <v>https://ceds.ed.gov/cedselementdetails.aspx?termid=17947</v>
      </c>
      <c r="Q3752" s="14" t="str">
        <f>HYPERLINK("https://ceds.ed.gov/elementComment.aspx?elementName=Learner Activity Due Date &amp;elementID=17947", "Click here to submit comment")</f>
        <v>Click here to submit comment</v>
      </c>
      <c r="R3752" s="14">
        <v>48405</v>
      </c>
    </row>
    <row r="3753" spans="1:18" ht="45" x14ac:dyDescent="0.25">
      <c r="A3753" s="14" t="s">
        <v>9103</v>
      </c>
      <c r="B3753" s="14" t="s">
        <v>9105</v>
      </c>
      <c r="C3753" s="14"/>
      <c r="D3753" s="14" t="s">
        <v>8531</v>
      </c>
      <c r="E3753" s="14" t="s">
        <v>5815</v>
      </c>
      <c r="F3753" s="14" t="s">
        <v>5816</v>
      </c>
      <c r="G3753" s="14" t="s">
        <v>37</v>
      </c>
      <c r="H3753" s="14"/>
      <c r="I3753" s="14"/>
      <c r="J3753" s="14" t="s">
        <v>1710</v>
      </c>
      <c r="K3753" s="14"/>
      <c r="L3753" s="14"/>
      <c r="M3753" s="14" t="s">
        <v>5817</v>
      </c>
      <c r="N3753" s="14"/>
      <c r="O3753" s="14" t="s">
        <v>5818</v>
      </c>
      <c r="P3753" s="14" t="str">
        <f>HYPERLINK("https://ceds.ed.gov/cedselementdetails.aspx?termid=17953")</f>
        <v>https://ceds.ed.gov/cedselementdetails.aspx?termid=17953</v>
      </c>
      <c r="Q3753" s="14" t="str">
        <f>HYPERLINK("https://ceds.ed.gov/elementComment.aspx?elementName=Learner Activity Possible Points &amp;elementID=17953", "Click here to submit comment")</f>
        <v>Click here to submit comment</v>
      </c>
      <c r="R3753" s="14">
        <v>48411</v>
      </c>
    </row>
    <row r="3754" spans="1:18" ht="45" x14ac:dyDescent="0.25">
      <c r="A3754" s="14" t="s">
        <v>9103</v>
      </c>
      <c r="B3754" s="14" t="s">
        <v>9105</v>
      </c>
      <c r="C3754" s="14"/>
      <c r="D3754" s="14" t="s">
        <v>8531</v>
      </c>
      <c r="E3754" s="14" t="s">
        <v>5841</v>
      </c>
      <c r="F3754" s="14" t="s">
        <v>5842</v>
      </c>
      <c r="G3754" s="14" t="s">
        <v>37</v>
      </c>
      <c r="H3754" s="14"/>
      <c r="I3754" s="14"/>
      <c r="J3754" s="14" t="s">
        <v>869</v>
      </c>
      <c r="K3754" s="14"/>
      <c r="L3754" s="14"/>
      <c r="M3754" s="14" t="s">
        <v>5843</v>
      </c>
      <c r="N3754" s="14"/>
      <c r="O3754" s="14" t="s">
        <v>5844</v>
      </c>
      <c r="P3754" s="14" t="str">
        <f>HYPERLINK("https://ceds.ed.gov/cedselementdetails.aspx?termid=17952")</f>
        <v>https://ceds.ed.gov/cedselementdetails.aspx?termid=17952</v>
      </c>
      <c r="Q3754" s="14" t="str">
        <f>HYPERLINK("https://ceds.ed.gov/elementComment.aspx?elementName=Learner Activity Weight &amp;elementID=17952", "Click here to submit comment")</f>
        <v>Click here to submit comment</v>
      </c>
      <c r="R3754" s="14">
        <v>48410</v>
      </c>
    </row>
    <row r="3755" spans="1:18" ht="60" x14ac:dyDescent="0.25">
      <c r="A3755" s="14" t="s">
        <v>9103</v>
      </c>
      <c r="B3755" s="14" t="s">
        <v>9105</v>
      </c>
      <c r="C3755" s="14"/>
      <c r="D3755" s="14" t="s">
        <v>8531</v>
      </c>
      <c r="E3755" s="14" t="s">
        <v>5828</v>
      </c>
      <c r="F3755" s="14" t="s">
        <v>5829</v>
      </c>
      <c r="G3755" s="14" t="s">
        <v>37</v>
      </c>
      <c r="H3755" s="14"/>
      <c r="I3755" s="14"/>
      <c r="J3755" s="14" t="s">
        <v>57</v>
      </c>
      <c r="K3755" s="14"/>
      <c r="L3755" s="14"/>
      <c r="M3755" s="14" t="s">
        <v>5830</v>
      </c>
      <c r="N3755" s="14"/>
      <c r="O3755" s="14" t="s">
        <v>5831</v>
      </c>
      <c r="P3755" s="14" t="str">
        <f>HYPERLINK("https://ceds.ed.gov/cedselementdetails.aspx?termid=17954")</f>
        <v>https://ceds.ed.gov/cedselementdetails.aspx?termid=17954</v>
      </c>
      <c r="Q3755" s="14" t="str">
        <f>HYPERLINK("https://ceds.ed.gov/elementComment.aspx?elementName=Learner Activity Rubric URL &amp;elementID=17954", "Click here to submit comment")</f>
        <v>Click here to submit comment</v>
      </c>
      <c r="R3755" s="14">
        <v>48412</v>
      </c>
    </row>
    <row r="3756" spans="1:18" ht="60" x14ac:dyDescent="0.25">
      <c r="A3756" s="14" t="s">
        <v>9103</v>
      </c>
      <c r="B3756" s="14" t="s">
        <v>9105</v>
      </c>
      <c r="C3756" s="14"/>
      <c r="D3756" s="14" t="s">
        <v>8531</v>
      </c>
      <c r="E3756" s="14" t="s">
        <v>5776</v>
      </c>
      <c r="F3756" s="14" t="s">
        <v>5777</v>
      </c>
      <c r="G3756" s="8" t="s">
        <v>8605</v>
      </c>
      <c r="H3756" s="14"/>
      <c r="I3756" s="14"/>
      <c r="J3756" s="14"/>
      <c r="K3756" s="14"/>
      <c r="L3756" s="14"/>
      <c r="M3756" s="14" t="s">
        <v>5779</v>
      </c>
      <c r="N3756" s="14"/>
      <c r="O3756" s="14" t="s">
        <v>5780</v>
      </c>
      <c r="P3756" s="14" t="str">
        <f>HYPERLINK("https://ceds.ed.gov/cedselementdetails.aspx?termid=17950")</f>
        <v>https://ceds.ed.gov/cedselementdetails.aspx?termid=17950</v>
      </c>
      <c r="Q3756" s="14" t="str">
        <f>HYPERLINK("https://ceds.ed.gov/elementComment.aspx?elementName=Learner Activity Add to Grade Book Flag &amp;elementID=17950", "Click here to submit comment")</f>
        <v>Click here to submit comment</v>
      </c>
      <c r="R3756" s="14">
        <v>48408</v>
      </c>
    </row>
    <row r="3757" spans="1:18" ht="105" x14ac:dyDescent="0.25">
      <c r="A3757" s="16" t="s">
        <v>9103</v>
      </c>
      <c r="B3757" s="16" t="s">
        <v>9058</v>
      </c>
      <c r="C3757" s="16"/>
      <c r="D3757" s="16" t="s">
        <v>8531</v>
      </c>
      <c r="E3757" s="16" t="s">
        <v>711</v>
      </c>
      <c r="F3757" s="16" t="s">
        <v>712</v>
      </c>
      <c r="G3757" s="16" t="s">
        <v>37</v>
      </c>
      <c r="H3757" s="16" t="s">
        <v>716</v>
      </c>
      <c r="I3757" s="16"/>
      <c r="J3757" s="16" t="s">
        <v>149</v>
      </c>
      <c r="K3757" s="16"/>
      <c r="L3757" s="14" t="s">
        <v>150</v>
      </c>
      <c r="M3757" s="16" t="s">
        <v>714</v>
      </c>
      <c r="N3757" s="16"/>
      <c r="O3757" s="16" t="s">
        <v>715</v>
      </c>
      <c r="P3757" s="16" t="str">
        <f>HYPERLINK("https://ceds.ed.gov/cedselementdetails.aspx?termid=17152")</f>
        <v>https://ceds.ed.gov/cedselementdetails.aspx?termid=17152</v>
      </c>
      <c r="Q3757" s="16" t="str">
        <f>HYPERLINK("https://ceds.ed.gov/elementComment.aspx?elementName=Assessment Identifier &amp;elementID=17152", "Click here to submit comment")</f>
        <v>Click here to submit comment</v>
      </c>
      <c r="R3757" s="16">
        <v>48178</v>
      </c>
    </row>
    <row r="3758" spans="1:18" x14ac:dyDescent="0.25">
      <c r="A3758" s="16"/>
      <c r="B3758" s="16"/>
      <c r="C3758" s="16"/>
      <c r="D3758" s="16"/>
      <c r="E3758" s="16"/>
      <c r="F3758" s="16"/>
      <c r="G3758" s="16"/>
      <c r="H3758" s="16"/>
      <c r="I3758" s="16"/>
      <c r="J3758" s="16"/>
      <c r="K3758" s="16"/>
      <c r="L3758" s="14"/>
      <c r="M3758" s="16"/>
      <c r="N3758" s="16"/>
      <c r="O3758" s="16"/>
      <c r="P3758" s="16"/>
      <c r="Q3758" s="16"/>
      <c r="R3758" s="16"/>
    </row>
    <row r="3759" spans="1:18" ht="90" x14ac:dyDescent="0.25">
      <c r="A3759" s="16"/>
      <c r="B3759" s="16"/>
      <c r="C3759" s="16"/>
      <c r="D3759" s="16"/>
      <c r="E3759" s="16"/>
      <c r="F3759" s="16"/>
      <c r="G3759" s="16"/>
      <c r="H3759" s="16"/>
      <c r="I3759" s="16"/>
      <c r="J3759" s="16"/>
      <c r="K3759" s="16"/>
      <c r="L3759" s="14" t="s">
        <v>153</v>
      </c>
      <c r="M3759" s="16"/>
      <c r="N3759" s="16"/>
      <c r="O3759" s="16"/>
      <c r="P3759" s="16"/>
      <c r="Q3759" s="16"/>
      <c r="R3759" s="16"/>
    </row>
    <row r="3760" spans="1:18" ht="165" x14ac:dyDescent="0.25">
      <c r="A3760" s="14" t="s">
        <v>9103</v>
      </c>
      <c r="B3760" s="14" t="s">
        <v>9058</v>
      </c>
      <c r="C3760" s="14"/>
      <c r="D3760" s="14" t="s">
        <v>8531</v>
      </c>
      <c r="E3760" s="14" t="s">
        <v>704</v>
      </c>
      <c r="F3760" s="14" t="s">
        <v>705</v>
      </c>
      <c r="G3760" s="8" t="s">
        <v>9108</v>
      </c>
      <c r="H3760" s="14" t="s">
        <v>710</v>
      </c>
      <c r="I3760" s="14"/>
      <c r="J3760" s="14"/>
      <c r="K3760" s="14"/>
      <c r="L3760" s="14"/>
      <c r="M3760" s="14" t="s">
        <v>708</v>
      </c>
      <c r="N3760" s="14"/>
      <c r="O3760" s="14" t="s">
        <v>709</v>
      </c>
      <c r="P3760" s="14" t="str">
        <f>HYPERLINK("https://ceds.ed.gov/cedselementdetails.aspx?termid=17158")</f>
        <v>https://ceds.ed.gov/cedselementdetails.aspx?termid=17158</v>
      </c>
      <c r="Q3760" s="14" t="str">
        <f>HYPERLINK("https://ceds.ed.gov/elementComment.aspx?elementName=Assessment Identification System &amp;elementID=17158", "Click here to submit comment")</f>
        <v>Click here to submit comment</v>
      </c>
      <c r="R3760" s="14">
        <v>48179</v>
      </c>
    </row>
    <row r="3761" spans="1:18" ht="75" x14ac:dyDescent="0.25">
      <c r="A3761" s="16" t="s">
        <v>9103</v>
      </c>
      <c r="B3761" s="16" t="s">
        <v>9058</v>
      </c>
      <c r="C3761" s="16"/>
      <c r="D3761" s="16" t="s">
        <v>8531</v>
      </c>
      <c r="E3761" s="16" t="s">
        <v>700</v>
      </c>
      <c r="F3761" s="16" t="s">
        <v>701</v>
      </c>
      <c r="G3761" s="16" t="s">
        <v>37</v>
      </c>
      <c r="H3761" s="16"/>
      <c r="I3761" s="16"/>
      <c r="J3761" s="16" t="s">
        <v>149</v>
      </c>
      <c r="K3761" s="16"/>
      <c r="L3761" s="14" t="s">
        <v>619</v>
      </c>
      <c r="M3761" s="16" t="s">
        <v>702</v>
      </c>
      <c r="N3761" s="16"/>
      <c r="O3761" s="16" t="s">
        <v>703</v>
      </c>
      <c r="P3761" s="16" t="str">
        <f>HYPERLINK("https://ceds.ed.gov/cedselementdetails.aspx?termid=17982")</f>
        <v>https://ceds.ed.gov/cedselementdetails.aspx?termid=17982</v>
      </c>
      <c r="Q3761" s="16" t="str">
        <f>HYPERLINK("https://ceds.ed.gov/elementComment.aspx?elementName=Assessment GUID &amp;elementID=17982", "Click here to submit comment")</f>
        <v>Click here to submit comment</v>
      </c>
      <c r="R3761" s="16">
        <v>48433</v>
      </c>
    </row>
    <row r="3762" spans="1:18" x14ac:dyDescent="0.25">
      <c r="A3762" s="16"/>
      <c r="B3762" s="16"/>
      <c r="C3762" s="16"/>
      <c r="D3762" s="16"/>
      <c r="E3762" s="16"/>
      <c r="F3762" s="16"/>
      <c r="G3762" s="16"/>
      <c r="H3762" s="16"/>
      <c r="I3762" s="16"/>
      <c r="J3762" s="16"/>
      <c r="K3762" s="16"/>
      <c r="L3762" s="14"/>
      <c r="M3762" s="16"/>
      <c r="N3762" s="16"/>
      <c r="O3762" s="16"/>
      <c r="P3762" s="16"/>
      <c r="Q3762" s="16"/>
      <c r="R3762" s="16"/>
    </row>
    <row r="3763" spans="1:18" ht="60" x14ac:dyDescent="0.25">
      <c r="A3763" s="16"/>
      <c r="B3763" s="16"/>
      <c r="C3763" s="16"/>
      <c r="D3763" s="16"/>
      <c r="E3763" s="16"/>
      <c r="F3763" s="16"/>
      <c r="G3763" s="16"/>
      <c r="H3763" s="16"/>
      <c r="I3763" s="16"/>
      <c r="J3763" s="16"/>
      <c r="K3763" s="16"/>
      <c r="L3763" s="14" t="s">
        <v>622</v>
      </c>
      <c r="M3763" s="16"/>
      <c r="N3763" s="16"/>
      <c r="O3763" s="16"/>
      <c r="P3763" s="16"/>
      <c r="Q3763" s="16"/>
      <c r="R3763" s="16"/>
    </row>
    <row r="3764" spans="1:18" ht="165" x14ac:dyDescent="0.25">
      <c r="A3764" s="14" t="s">
        <v>9103</v>
      </c>
      <c r="B3764" s="14" t="s">
        <v>9058</v>
      </c>
      <c r="C3764" s="14"/>
      <c r="D3764" s="14" t="s">
        <v>8531</v>
      </c>
      <c r="E3764" s="14" t="s">
        <v>1606</v>
      </c>
      <c r="F3764" s="14" t="s">
        <v>1607</v>
      </c>
      <c r="G3764" s="14" t="s">
        <v>37</v>
      </c>
      <c r="H3764" s="14" t="s">
        <v>1601</v>
      </c>
      <c r="I3764" s="14"/>
      <c r="J3764" s="14" t="s">
        <v>175</v>
      </c>
      <c r="K3764" s="14"/>
      <c r="L3764" s="14"/>
      <c r="M3764" s="14" t="s">
        <v>1609</v>
      </c>
      <c r="N3764" s="14"/>
      <c r="O3764" s="14" t="s">
        <v>1610</v>
      </c>
      <c r="P3764" s="14" t="str">
        <f>HYPERLINK("https://ceds.ed.gov/cedselementdetails.aspx?termid=17028")</f>
        <v>https://ceds.ed.gov/cedselementdetails.aspx?termid=17028</v>
      </c>
      <c r="Q3764" s="14" t="str">
        <f>HYPERLINK("https://ceds.ed.gov/elementComment.aspx?elementName=Assessment Title &amp;elementID=17028", "Click here to submit comment")</f>
        <v>Click here to submit comment</v>
      </c>
      <c r="R3764" s="14">
        <v>48176</v>
      </c>
    </row>
    <row r="3765" spans="1:18" ht="45" x14ac:dyDescent="0.25">
      <c r="A3765" s="14" t="s">
        <v>9103</v>
      </c>
      <c r="B3765" s="14" t="s">
        <v>9058</v>
      </c>
      <c r="C3765" s="14"/>
      <c r="D3765" s="14" t="s">
        <v>8531</v>
      </c>
      <c r="E3765" s="14" t="s">
        <v>1554</v>
      </c>
      <c r="F3765" s="14" t="s">
        <v>1555</v>
      </c>
      <c r="G3765" s="14" t="s">
        <v>37</v>
      </c>
      <c r="H3765" s="14"/>
      <c r="I3765" s="14"/>
      <c r="J3765" s="14" t="s">
        <v>97</v>
      </c>
      <c r="K3765" s="14"/>
      <c r="L3765" s="14"/>
      <c r="M3765" s="14" t="s">
        <v>1556</v>
      </c>
      <c r="N3765" s="14"/>
      <c r="O3765" s="14" t="s">
        <v>1557</v>
      </c>
      <c r="P3765" s="14" t="str">
        <f>HYPERLINK("https://ceds.ed.gov/cedselementdetails.aspx?termid=17932")</f>
        <v>https://ceds.ed.gov/cedselementdetails.aspx?termid=17932</v>
      </c>
      <c r="Q3765" s="14" t="str">
        <f>HYPERLINK("https://ceds.ed.gov/elementComment.aspx?elementName=Assessment Short Name &amp;elementID=17932", "Click here to submit comment")</f>
        <v>Click here to submit comment</v>
      </c>
      <c r="R3765" s="14">
        <v>48390</v>
      </c>
    </row>
    <row r="3766" spans="1:18" ht="60" x14ac:dyDescent="0.25">
      <c r="A3766" s="14" t="s">
        <v>9103</v>
      </c>
      <c r="B3766" s="14" t="s">
        <v>9058</v>
      </c>
      <c r="C3766" s="14"/>
      <c r="D3766" s="14" t="s">
        <v>8531</v>
      </c>
      <c r="E3766" s="14" t="s">
        <v>588</v>
      </c>
      <c r="F3766" s="14" t="s">
        <v>589</v>
      </c>
      <c r="G3766" s="14" t="s">
        <v>37</v>
      </c>
      <c r="H3766" s="14"/>
      <c r="I3766" s="14"/>
      <c r="J3766" s="14" t="s">
        <v>97</v>
      </c>
      <c r="K3766" s="14"/>
      <c r="L3766" s="14" t="s">
        <v>591</v>
      </c>
      <c r="M3766" s="14" t="s">
        <v>592</v>
      </c>
      <c r="N3766" s="14"/>
      <c r="O3766" s="14" t="s">
        <v>593</v>
      </c>
      <c r="P3766" s="14" t="str">
        <f>HYPERLINK("https://ceds.ed.gov/cedselementdetails.aspx?termid=17934")</f>
        <v>https://ceds.ed.gov/cedselementdetails.aspx?termid=17934</v>
      </c>
      <c r="Q3766" s="14" t="str">
        <f>HYPERLINK("https://ceds.ed.gov/elementComment.aspx?elementName=Assessment Family Short Name &amp;elementID=17934", "Click here to submit comment")</f>
        <v>Click here to submit comment</v>
      </c>
      <c r="R3766" s="14">
        <v>48392</v>
      </c>
    </row>
    <row r="3767" spans="1:18" ht="90" x14ac:dyDescent="0.25">
      <c r="A3767" s="14" t="s">
        <v>9103</v>
      </c>
      <c r="B3767" s="14" t="s">
        <v>9058</v>
      </c>
      <c r="C3767" s="14"/>
      <c r="D3767" s="14" t="s">
        <v>8531</v>
      </c>
      <c r="E3767" s="14" t="s">
        <v>594</v>
      </c>
      <c r="F3767" s="14" t="s">
        <v>595</v>
      </c>
      <c r="G3767" s="14" t="s">
        <v>37</v>
      </c>
      <c r="H3767" s="14"/>
      <c r="I3767" s="14"/>
      <c r="J3767" s="14" t="s">
        <v>175</v>
      </c>
      <c r="K3767" s="14"/>
      <c r="L3767" s="14"/>
      <c r="M3767" s="14" t="s">
        <v>596</v>
      </c>
      <c r="N3767" s="14"/>
      <c r="O3767" s="14" t="s">
        <v>597</v>
      </c>
      <c r="P3767" s="14" t="str">
        <f>HYPERLINK("https://ceds.ed.gov/cedselementdetails.aspx?termid=17933")</f>
        <v>https://ceds.ed.gov/cedselementdetails.aspx?termid=17933</v>
      </c>
      <c r="Q3767" s="14" t="str">
        <f>HYPERLINK("https://ceds.ed.gov/elementComment.aspx?elementName=Assessment Family Title &amp;elementID=17933", "Click here to submit comment")</f>
        <v>Click here to submit comment</v>
      </c>
      <c r="R3767" s="14">
        <v>48391</v>
      </c>
    </row>
    <row r="3768" spans="1:18" ht="45" x14ac:dyDescent="0.25">
      <c r="A3768" s="14" t="s">
        <v>9103</v>
      </c>
      <c r="B3768" s="14" t="s">
        <v>9058</v>
      </c>
      <c r="C3768" s="14"/>
      <c r="D3768" s="14" t="s">
        <v>8531</v>
      </c>
      <c r="E3768" s="14" t="s">
        <v>1332</v>
      </c>
      <c r="F3768" s="14" t="s">
        <v>1333</v>
      </c>
      <c r="G3768" s="14" t="s">
        <v>37</v>
      </c>
      <c r="H3768" s="14"/>
      <c r="I3768" s="14"/>
      <c r="J3768" s="14" t="s">
        <v>97</v>
      </c>
      <c r="K3768" s="14"/>
      <c r="L3768" s="14" t="s">
        <v>1334</v>
      </c>
      <c r="M3768" s="14" t="s">
        <v>1335</v>
      </c>
      <c r="N3768" s="14"/>
      <c r="O3768" s="14" t="s">
        <v>1336</v>
      </c>
      <c r="P3768" s="14" t="str">
        <f>HYPERLINK("https://ceds.ed.gov/cedselementdetails.aspx?termid=18009")</f>
        <v>https://ceds.ed.gov/cedselementdetails.aspx?termid=18009</v>
      </c>
      <c r="Q3768" s="14" t="str">
        <f>HYPERLINK("https://ceds.ed.gov/elementComment.aspx?elementName=Assessment Provider &amp;elementID=18009", "Click here to submit comment")</f>
        <v>Click here to submit comment</v>
      </c>
      <c r="R3768" s="14">
        <v>48445</v>
      </c>
    </row>
    <row r="3769" spans="1:18" ht="60" x14ac:dyDescent="0.25">
      <c r="A3769" s="14" t="s">
        <v>9103</v>
      </c>
      <c r="B3769" s="14" t="s">
        <v>9058</v>
      </c>
      <c r="C3769" s="14"/>
      <c r="D3769" s="14" t="s">
        <v>8531</v>
      </c>
      <c r="E3769" s="14" t="s">
        <v>1473</v>
      </c>
      <c r="F3769" s="14" t="s">
        <v>1474</v>
      </c>
      <c r="G3769" s="14" t="s">
        <v>37</v>
      </c>
      <c r="H3769" s="14"/>
      <c r="I3769" s="14"/>
      <c r="J3769" s="14" t="s">
        <v>135</v>
      </c>
      <c r="K3769" s="14"/>
      <c r="L3769" s="14"/>
      <c r="M3769" s="14" t="s">
        <v>1475</v>
      </c>
      <c r="N3769" s="14"/>
      <c r="O3769" s="14" t="s">
        <v>1476</v>
      </c>
      <c r="P3769" s="14" t="str">
        <f>HYPERLINK("https://ceds.ed.gov/cedselementdetails.aspx?termid=18519")</f>
        <v>https://ceds.ed.gov/cedselementdetails.aspx?termid=18519</v>
      </c>
      <c r="Q3769" s="14" t="str">
        <f>HYPERLINK("https://ceds.ed.gov/elementComment.aspx?elementName=Assessment Revision Date &amp;elementID=18519", "Click here to submit comment")</f>
        <v>Click here to submit comment</v>
      </c>
      <c r="R3769" s="14">
        <v>50815</v>
      </c>
    </row>
    <row r="3770" spans="1:18" ht="409.5" x14ac:dyDescent="0.25">
      <c r="A3770" s="14" t="s">
        <v>9103</v>
      </c>
      <c r="B3770" s="14" t="s">
        <v>9058</v>
      </c>
      <c r="C3770" s="14"/>
      <c r="D3770" s="14" t="s">
        <v>8531</v>
      </c>
      <c r="E3770" s="14" t="s">
        <v>1611</v>
      </c>
      <c r="F3770" s="14" t="s">
        <v>1612</v>
      </c>
      <c r="G3770" s="8" t="s">
        <v>9109</v>
      </c>
      <c r="H3770" s="14" t="s">
        <v>575</v>
      </c>
      <c r="I3770" s="14"/>
      <c r="J3770" s="14"/>
      <c r="K3770" s="14"/>
      <c r="L3770" s="14"/>
      <c r="M3770" s="14" t="s">
        <v>1614</v>
      </c>
      <c r="N3770" s="14"/>
      <c r="O3770" s="14" t="s">
        <v>1615</v>
      </c>
      <c r="P3770" s="14" t="str">
        <f>HYPERLINK("https://ceds.ed.gov/cedselementdetails.aspx?termid=17029")</f>
        <v>https://ceds.ed.gov/cedselementdetails.aspx?termid=17029</v>
      </c>
      <c r="Q3770" s="14" t="str">
        <f>HYPERLINK("https://ceds.ed.gov/elementComment.aspx?elementName=Assessment Type &amp;elementID=17029", "Click here to submit comment")</f>
        <v>Click here to submit comment</v>
      </c>
      <c r="R3770" s="14">
        <v>48177</v>
      </c>
    </row>
    <row r="3771" spans="1:18" ht="45" x14ac:dyDescent="0.25">
      <c r="A3771" s="14" t="s">
        <v>9103</v>
      </c>
      <c r="B3771" s="14" t="s">
        <v>9058</v>
      </c>
      <c r="C3771" s="14"/>
      <c r="D3771" s="14" t="s">
        <v>8531</v>
      </c>
      <c r="E3771" s="14" t="s">
        <v>1255</v>
      </c>
      <c r="F3771" s="14" t="s">
        <v>1256</v>
      </c>
      <c r="G3771" s="14" t="s">
        <v>37</v>
      </c>
      <c r="H3771" s="14" t="s">
        <v>727</v>
      </c>
      <c r="I3771" s="14"/>
      <c r="J3771" s="14" t="s">
        <v>874</v>
      </c>
      <c r="K3771" s="14"/>
      <c r="L3771" s="14"/>
      <c r="M3771" s="14" t="s">
        <v>1257</v>
      </c>
      <c r="N3771" s="14"/>
      <c r="O3771" s="14" t="s">
        <v>1258</v>
      </c>
      <c r="P3771" s="14" t="str">
        <f>HYPERLINK("https://ceds.ed.gov/cedselementdetails.aspx?termid=17373")</f>
        <v>https://ceds.ed.gov/cedselementdetails.aspx?termid=17373</v>
      </c>
      <c r="Q3771" s="14" t="str">
        <f>HYPERLINK("https://ceds.ed.gov/elementComment.aspx?elementName=Assessment Objective &amp;elementID=17373", "Click here to submit comment")</f>
        <v>Click here to submit comment</v>
      </c>
      <c r="R3771" s="14">
        <v>48182</v>
      </c>
    </row>
    <row r="3772" spans="1:18" ht="390" x14ac:dyDescent="0.25">
      <c r="A3772" s="14" t="s">
        <v>9103</v>
      </c>
      <c r="B3772" s="14" t="s">
        <v>9058</v>
      </c>
      <c r="C3772" s="14"/>
      <c r="D3772" s="14" t="s">
        <v>8531</v>
      </c>
      <c r="E3772" s="14" t="s">
        <v>1337</v>
      </c>
      <c r="F3772" s="14" t="s">
        <v>1338</v>
      </c>
      <c r="G3772" s="8" t="s">
        <v>9110</v>
      </c>
      <c r="H3772" s="14" t="s">
        <v>575</v>
      </c>
      <c r="I3772" s="14"/>
      <c r="J3772" s="14"/>
      <c r="K3772" s="14"/>
      <c r="L3772" s="14" t="s">
        <v>1341</v>
      </c>
      <c r="M3772" s="14" t="s">
        <v>1342</v>
      </c>
      <c r="N3772" s="14"/>
      <c r="O3772" s="14" t="s">
        <v>1343</v>
      </c>
      <c r="P3772" s="14" t="str">
        <f>HYPERLINK("https://ceds.ed.gov/cedselementdetails.aspx?termid=17026")</f>
        <v>https://ceds.ed.gov/cedselementdetails.aspx?termid=17026</v>
      </c>
      <c r="Q3772" s="14" t="str">
        <f>HYPERLINK("https://ceds.ed.gov/elementComment.aspx?elementName=Assessment Purpose &amp;elementID=17026", "Click here to submit comment")</f>
        <v>Click here to submit comment</v>
      </c>
      <c r="R3772" s="14">
        <v>48175</v>
      </c>
    </row>
    <row r="3773" spans="1:18" ht="360" x14ac:dyDescent="0.25">
      <c r="A3773" s="14" t="s">
        <v>9103</v>
      </c>
      <c r="B3773" s="14" t="s">
        <v>9058</v>
      </c>
      <c r="C3773" s="14"/>
      <c r="D3773" s="14" t="s">
        <v>8531</v>
      </c>
      <c r="E3773" s="14" t="s">
        <v>1090</v>
      </c>
      <c r="F3773" s="14" t="s">
        <v>1091</v>
      </c>
      <c r="G3773" s="8" t="s">
        <v>8628</v>
      </c>
      <c r="H3773" s="14" t="s">
        <v>1096</v>
      </c>
      <c r="I3773" s="14"/>
      <c r="J3773" s="14"/>
      <c r="K3773" s="14"/>
      <c r="L3773" s="14"/>
      <c r="M3773" s="14" t="s">
        <v>1094</v>
      </c>
      <c r="N3773" s="14"/>
      <c r="O3773" s="14" t="s">
        <v>1095</v>
      </c>
      <c r="P3773" s="14" t="str">
        <f>HYPERLINK("https://ceds.ed.gov/cedselementdetails.aspx?termid=17177")</f>
        <v>https://ceds.ed.gov/cedselementdetails.aspx?termid=17177</v>
      </c>
      <c r="Q3773" s="14" t="str">
        <f>HYPERLINK("https://ceds.ed.gov/elementComment.aspx?elementName=Assessment Level for Which Designed &amp;elementID=17177", "Click here to submit comment")</f>
        <v>Click here to submit comment</v>
      </c>
      <c r="R3773" s="14">
        <v>48180</v>
      </c>
    </row>
    <row r="3774" spans="1:18" ht="330" x14ac:dyDescent="0.25">
      <c r="A3774" s="14" t="s">
        <v>9103</v>
      </c>
      <c r="B3774" s="14" t="s">
        <v>9058</v>
      </c>
      <c r="C3774" s="14"/>
      <c r="D3774" s="14" t="s">
        <v>8531</v>
      </c>
      <c r="E3774" s="14" t="s">
        <v>472</v>
      </c>
      <c r="F3774" s="14" t="s">
        <v>473</v>
      </c>
      <c r="G3774" s="8" t="s">
        <v>9111</v>
      </c>
      <c r="H3774" s="14" t="s">
        <v>478</v>
      </c>
      <c r="I3774" s="14"/>
      <c r="J3774" s="14"/>
      <c r="K3774" s="14"/>
      <c r="L3774" s="14"/>
      <c r="M3774" s="14" t="s">
        <v>476</v>
      </c>
      <c r="N3774" s="14"/>
      <c r="O3774" s="14" t="s">
        <v>477</v>
      </c>
      <c r="P3774" s="14" t="str">
        <f>HYPERLINK("https://ceds.ed.gov/cedselementdetails.aspx?termid=17021")</f>
        <v>https://ceds.ed.gov/cedselementdetails.aspx?termid=17021</v>
      </c>
      <c r="Q3774" s="14" t="str">
        <f>HYPERLINK("https://ceds.ed.gov/elementComment.aspx?elementName=Assessment Academic Subject &amp;elementID=17021", "Click here to submit comment")</f>
        <v>Click here to submit comment</v>
      </c>
      <c r="R3774" s="14">
        <v>48174</v>
      </c>
    </row>
    <row r="3775" spans="1:18" ht="409.5" x14ac:dyDescent="0.25">
      <c r="A3775" s="14" t="s">
        <v>9103</v>
      </c>
      <c r="B3775" s="14" t="s">
        <v>9058</v>
      </c>
      <c r="C3775" s="14"/>
      <c r="D3775" s="14" t="s">
        <v>8531</v>
      </c>
      <c r="E3775" s="14" t="s">
        <v>1616</v>
      </c>
      <c r="F3775" s="14" t="s">
        <v>1617</v>
      </c>
      <c r="G3775" s="8" t="s">
        <v>8886</v>
      </c>
      <c r="H3775" s="14" t="s">
        <v>1385</v>
      </c>
      <c r="I3775" s="14"/>
      <c r="J3775" s="14"/>
      <c r="K3775" s="14"/>
      <c r="L3775" s="14"/>
      <c r="M3775" s="14" t="s">
        <v>1619</v>
      </c>
      <c r="N3775" s="14"/>
      <c r="O3775" s="14" t="s">
        <v>1620</v>
      </c>
      <c r="P3775" s="14" t="str">
        <f>HYPERLINK("https://ceds.ed.gov/cedselementdetails.aspx?termid=17405")</f>
        <v>https://ceds.ed.gov/cedselementdetails.aspx?termid=17405</v>
      </c>
      <c r="Q3775" s="14" t="str">
        <f>HYPERLINK("https://ceds.ed.gov/elementComment.aspx?elementName=Assessment Type Administered to Children with Disabilities &amp;elementID=17405", "Click here to submit comment")</f>
        <v>Click here to submit comment</v>
      </c>
      <c r="R3775" s="14">
        <v>48184</v>
      </c>
    </row>
    <row r="3776" spans="1:18" ht="60" x14ac:dyDescent="0.25">
      <c r="A3776" s="16" t="s">
        <v>9103</v>
      </c>
      <c r="B3776" s="16" t="s">
        <v>9058</v>
      </c>
      <c r="C3776" s="16"/>
      <c r="D3776" s="16" t="s">
        <v>8531</v>
      </c>
      <c r="E3776" s="16" t="s">
        <v>576</v>
      </c>
      <c r="F3776" s="16" t="s">
        <v>577</v>
      </c>
      <c r="G3776" s="18" t="s">
        <v>8627</v>
      </c>
      <c r="H3776" s="16" t="s">
        <v>583</v>
      </c>
      <c r="I3776" s="16"/>
      <c r="J3776" s="16"/>
      <c r="K3776" s="16"/>
      <c r="L3776" s="14" t="s">
        <v>580</v>
      </c>
      <c r="M3776" s="16" t="s">
        <v>581</v>
      </c>
      <c r="N3776" s="16"/>
      <c r="O3776" s="16" t="s">
        <v>582</v>
      </c>
      <c r="P3776" s="16" t="str">
        <f>HYPERLINK("https://ceds.ed.gov/cedselementdetails.aspx?termid=18003")</f>
        <v>https://ceds.ed.gov/cedselementdetails.aspx?termid=18003</v>
      </c>
      <c r="Q3776" s="16" t="str">
        <f>HYPERLINK("https://ceds.ed.gov/elementComment.aspx?elementName=Assessment Early Learning Developmental Domain &amp;elementID=18003", "Click here to submit comment")</f>
        <v>Click here to submit comment</v>
      </c>
      <c r="R3776" s="16">
        <v>48509</v>
      </c>
    </row>
    <row r="3777" spans="1:18" x14ac:dyDescent="0.25">
      <c r="A3777" s="16"/>
      <c r="B3777" s="16"/>
      <c r="C3777" s="16"/>
      <c r="D3777" s="16"/>
      <c r="E3777" s="16"/>
      <c r="F3777" s="16"/>
      <c r="G3777" s="16"/>
      <c r="H3777" s="16"/>
      <c r="I3777" s="16"/>
      <c r="J3777" s="16"/>
      <c r="K3777" s="16"/>
      <c r="L3777" s="14"/>
      <c r="M3777" s="16"/>
      <c r="N3777" s="16"/>
      <c r="O3777" s="16"/>
      <c r="P3777" s="16"/>
      <c r="Q3777" s="16"/>
      <c r="R3777" s="16"/>
    </row>
    <row r="3778" spans="1:18" ht="30" x14ac:dyDescent="0.25">
      <c r="A3778" s="16"/>
      <c r="B3778" s="16"/>
      <c r="C3778" s="16"/>
      <c r="D3778" s="16"/>
      <c r="E3778" s="16"/>
      <c r="F3778" s="16"/>
      <c r="G3778" s="16"/>
      <c r="H3778" s="16"/>
      <c r="I3778" s="16"/>
      <c r="J3778" s="16"/>
      <c r="K3778" s="16"/>
      <c r="L3778" s="14" t="s">
        <v>584</v>
      </c>
      <c r="M3778" s="16"/>
      <c r="N3778" s="16"/>
      <c r="O3778" s="16"/>
      <c r="P3778" s="16"/>
      <c r="Q3778" s="16"/>
      <c r="R3778" s="16"/>
    </row>
    <row r="3779" spans="1:18" ht="45" x14ac:dyDescent="0.25">
      <c r="A3779" s="16"/>
      <c r="B3779" s="16"/>
      <c r="C3779" s="16"/>
      <c r="D3779" s="16"/>
      <c r="E3779" s="16"/>
      <c r="F3779" s="16"/>
      <c r="G3779" s="16"/>
      <c r="H3779" s="16"/>
      <c r="I3779" s="16"/>
      <c r="J3779" s="16"/>
      <c r="K3779" s="16"/>
      <c r="L3779" s="14" t="s">
        <v>585</v>
      </c>
      <c r="M3779" s="16"/>
      <c r="N3779" s="16"/>
      <c r="O3779" s="16"/>
      <c r="P3779" s="16"/>
      <c r="Q3779" s="16"/>
      <c r="R3779" s="16"/>
    </row>
    <row r="3780" spans="1:18" ht="75" x14ac:dyDescent="0.25">
      <c r="A3780" s="16"/>
      <c r="B3780" s="16"/>
      <c r="C3780" s="16"/>
      <c r="D3780" s="16"/>
      <c r="E3780" s="16"/>
      <c r="F3780" s="16"/>
      <c r="G3780" s="16"/>
      <c r="H3780" s="16"/>
      <c r="I3780" s="16"/>
      <c r="J3780" s="16"/>
      <c r="K3780" s="16"/>
      <c r="L3780" s="14" t="s">
        <v>586</v>
      </c>
      <c r="M3780" s="16"/>
      <c r="N3780" s="16"/>
      <c r="O3780" s="16"/>
      <c r="P3780" s="16"/>
      <c r="Q3780" s="16"/>
      <c r="R3780" s="16"/>
    </row>
    <row r="3781" spans="1:18" x14ac:dyDescent="0.25">
      <c r="A3781" s="16"/>
      <c r="B3781" s="16"/>
      <c r="C3781" s="16"/>
      <c r="D3781" s="16"/>
      <c r="E3781" s="16"/>
      <c r="F3781" s="16"/>
      <c r="G3781" s="16"/>
      <c r="H3781" s="16"/>
      <c r="I3781" s="16"/>
      <c r="J3781" s="16"/>
      <c r="K3781" s="16"/>
      <c r="L3781" s="14"/>
      <c r="M3781" s="16"/>
      <c r="N3781" s="16"/>
      <c r="O3781" s="16"/>
      <c r="P3781" s="16"/>
      <c r="Q3781" s="16"/>
      <c r="R3781" s="16"/>
    </row>
    <row r="3782" spans="1:18" ht="105" x14ac:dyDescent="0.25">
      <c r="A3782" s="16"/>
      <c r="B3782" s="16"/>
      <c r="C3782" s="16"/>
      <c r="D3782" s="16"/>
      <c r="E3782" s="16"/>
      <c r="F3782" s="16"/>
      <c r="G3782" s="16"/>
      <c r="H3782" s="16"/>
      <c r="I3782" s="16"/>
      <c r="J3782" s="16"/>
      <c r="K3782" s="16"/>
      <c r="L3782" s="14" t="s">
        <v>587</v>
      </c>
      <c r="M3782" s="16"/>
      <c r="N3782" s="16"/>
      <c r="O3782" s="16"/>
      <c r="P3782" s="16"/>
      <c r="Q3782" s="16"/>
      <c r="R3782" s="16"/>
    </row>
    <row r="3783" spans="1:18" ht="409.5" x14ac:dyDescent="0.25">
      <c r="A3783" s="14" t="s">
        <v>9103</v>
      </c>
      <c r="B3783" s="14" t="s">
        <v>9058</v>
      </c>
      <c r="C3783" s="14"/>
      <c r="D3783" s="14" t="s">
        <v>8531</v>
      </c>
      <c r="E3783" s="14" t="s">
        <v>1477</v>
      </c>
      <c r="F3783" s="14" t="s">
        <v>1478</v>
      </c>
      <c r="G3783" s="8" t="s">
        <v>8950</v>
      </c>
      <c r="H3783" s="14" t="s">
        <v>1482</v>
      </c>
      <c r="I3783" s="14"/>
      <c r="J3783" s="14"/>
      <c r="K3783" s="14"/>
      <c r="L3783" s="14"/>
      <c r="M3783" s="14" t="s">
        <v>1480</v>
      </c>
      <c r="N3783" s="14"/>
      <c r="O3783" s="14" t="s">
        <v>1481</v>
      </c>
      <c r="P3783" s="14" t="str">
        <f>HYPERLINK("https://ceds.ed.gov/cedselementdetails.aspx?termid=17368")</f>
        <v>https://ceds.ed.gov/cedselementdetails.aspx?termid=17368</v>
      </c>
      <c r="Q3783" s="14" t="str">
        <f>HYPERLINK("https://ceds.ed.gov/elementComment.aspx?elementName=Assessment Score Metric Type &amp;elementID=17368", "Click here to submit comment")</f>
        <v>Click here to submit comment</v>
      </c>
      <c r="R3783" s="14">
        <v>48181</v>
      </c>
    </row>
    <row r="3784" spans="1:18" ht="90" x14ac:dyDescent="0.25">
      <c r="A3784" s="14" t="s">
        <v>9103</v>
      </c>
      <c r="B3784" s="14" t="s">
        <v>9058</v>
      </c>
      <c r="C3784" s="14"/>
      <c r="D3784" s="14" t="s">
        <v>8531</v>
      </c>
      <c r="E3784" s="14" t="s">
        <v>5662</v>
      </c>
      <c r="F3784" s="14" t="s">
        <v>5663</v>
      </c>
      <c r="G3784" s="14" t="s">
        <v>8527</v>
      </c>
      <c r="H3784" s="14" t="s">
        <v>5668</v>
      </c>
      <c r="I3784" s="14" t="s">
        <v>195</v>
      </c>
      <c r="J3784" s="14"/>
      <c r="K3784" s="14" t="s">
        <v>5665</v>
      </c>
      <c r="L3784" s="6" t="s">
        <v>1087</v>
      </c>
      <c r="M3784" s="14" t="s">
        <v>5666</v>
      </c>
      <c r="N3784" s="14"/>
      <c r="O3784" s="14" t="s">
        <v>5667</v>
      </c>
      <c r="P3784" s="14" t="str">
        <f>HYPERLINK("https://ceds.ed.gov/cedselementdetails.aspx?termid=17317")</f>
        <v>https://ceds.ed.gov/cedselementdetails.aspx?termid=17317</v>
      </c>
      <c r="Q3784" s="14" t="str">
        <f>HYPERLINK("https://ceds.ed.gov/elementComment.aspx?elementName=ISO 639-2 Language Code &amp;elementID=17317", "Click here to submit comment")</f>
        <v>Click here to submit comment</v>
      </c>
      <c r="R3784" s="14">
        <v>48597</v>
      </c>
    </row>
    <row r="3785" spans="1:18" ht="105" x14ac:dyDescent="0.25">
      <c r="A3785" s="14" t="s">
        <v>9103</v>
      </c>
      <c r="B3785" s="14" t="s">
        <v>9058</v>
      </c>
      <c r="C3785" s="14"/>
      <c r="D3785" s="14" t="s">
        <v>8531</v>
      </c>
      <c r="E3785" s="14" t="s">
        <v>5669</v>
      </c>
      <c r="F3785" s="14" t="s">
        <v>5663</v>
      </c>
      <c r="G3785" s="14" t="s">
        <v>8527</v>
      </c>
      <c r="H3785" s="14"/>
      <c r="I3785" s="14" t="s">
        <v>195</v>
      </c>
      <c r="J3785" s="14"/>
      <c r="K3785" s="14" t="s">
        <v>5670</v>
      </c>
      <c r="L3785" s="6" t="s">
        <v>5671</v>
      </c>
      <c r="M3785" s="14" t="s">
        <v>5672</v>
      </c>
      <c r="N3785" s="14"/>
      <c r="O3785" s="14" t="s">
        <v>5673</v>
      </c>
      <c r="P3785" s="14" t="str">
        <f>HYPERLINK("https://ceds.ed.gov/cedselementdetails.aspx?termid=18618")</f>
        <v>https://ceds.ed.gov/cedselementdetails.aspx?termid=18618</v>
      </c>
      <c r="Q3785" s="14" t="str">
        <f>HYPERLINK("https://ceds.ed.gov/elementComment.aspx?elementName=ISO 639-3 Language Code &amp;elementID=18618", "Click here to submit comment")</f>
        <v>Click here to submit comment</v>
      </c>
      <c r="R3785" s="14">
        <v>51216</v>
      </c>
    </row>
    <row r="3786" spans="1:18" ht="409.5" x14ac:dyDescent="0.25">
      <c r="A3786" s="14" t="s">
        <v>9103</v>
      </c>
      <c r="B3786" s="14" t="s">
        <v>9058</v>
      </c>
      <c r="C3786" s="14"/>
      <c r="D3786" s="14" t="s">
        <v>8531</v>
      </c>
      <c r="E3786" s="14" t="s">
        <v>5674</v>
      </c>
      <c r="F3786" s="14" t="s">
        <v>5675</v>
      </c>
      <c r="G3786" s="8" t="s">
        <v>8634</v>
      </c>
      <c r="H3786" s="14"/>
      <c r="I3786" s="14" t="s">
        <v>195</v>
      </c>
      <c r="J3786" s="14"/>
      <c r="K3786" s="14" t="s">
        <v>2856</v>
      </c>
      <c r="L3786" s="6" t="s">
        <v>5677</v>
      </c>
      <c r="M3786" s="14" t="s">
        <v>5678</v>
      </c>
      <c r="N3786" s="14"/>
      <c r="O3786" s="14" t="s">
        <v>5679</v>
      </c>
      <c r="P3786" s="14" t="str">
        <f>HYPERLINK("https://ceds.ed.gov/cedselementdetails.aspx?termid=18619")</f>
        <v>https://ceds.ed.gov/cedselementdetails.aspx?termid=18619</v>
      </c>
      <c r="Q3786" s="14" t="str">
        <f>HYPERLINK("https://ceds.ed.gov/elementComment.aspx?elementName=ISO 639-5 Language Family &amp;elementID=18619", "Click here to submit comment")</f>
        <v>Click here to submit comment</v>
      </c>
      <c r="R3786" s="14">
        <v>51223</v>
      </c>
    </row>
    <row r="3787" spans="1:18" ht="75" x14ac:dyDescent="0.25">
      <c r="A3787" s="16" t="s">
        <v>9103</v>
      </c>
      <c r="B3787" s="16" t="s">
        <v>9112</v>
      </c>
      <c r="C3787" s="16"/>
      <c r="D3787" s="16" t="s">
        <v>8531</v>
      </c>
      <c r="E3787" s="16" t="s">
        <v>617</v>
      </c>
      <c r="F3787" s="16" t="s">
        <v>618</v>
      </c>
      <c r="G3787" s="16" t="s">
        <v>37</v>
      </c>
      <c r="H3787" s="16"/>
      <c r="I3787" s="16"/>
      <c r="J3787" s="16" t="s">
        <v>149</v>
      </c>
      <c r="K3787" s="16"/>
      <c r="L3787" s="14" t="s">
        <v>619</v>
      </c>
      <c r="M3787" s="16" t="s">
        <v>620</v>
      </c>
      <c r="N3787" s="16"/>
      <c r="O3787" s="16" t="s">
        <v>621</v>
      </c>
      <c r="P3787" s="16" t="str">
        <f>HYPERLINK("https://ceds.ed.gov/cedselementdetails.aspx?termid=18510")</f>
        <v>https://ceds.ed.gov/cedselementdetails.aspx?termid=18510</v>
      </c>
      <c r="Q3787" s="16" t="str">
        <f>HYPERLINK("https://ceds.ed.gov/elementComment.aspx?elementName=Assessment Form GUID &amp;elementID=18510", "Click here to submit comment")</f>
        <v>Click here to submit comment</v>
      </c>
      <c r="R3787" s="16">
        <v>50779</v>
      </c>
    </row>
    <row r="3788" spans="1:18" x14ac:dyDescent="0.25">
      <c r="A3788" s="16"/>
      <c r="B3788" s="16"/>
      <c r="C3788" s="16"/>
      <c r="D3788" s="16"/>
      <c r="E3788" s="16"/>
      <c r="F3788" s="16"/>
      <c r="G3788" s="16"/>
      <c r="H3788" s="16"/>
      <c r="I3788" s="16"/>
      <c r="J3788" s="16"/>
      <c r="K3788" s="16"/>
      <c r="L3788" s="14"/>
      <c r="M3788" s="16"/>
      <c r="N3788" s="16"/>
      <c r="O3788" s="16"/>
      <c r="P3788" s="16"/>
      <c r="Q3788" s="16"/>
      <c r="R3788" s="16"/>
    </row>
    <row r="3789" spans="1:18" ht="60" x14ac:dyDescent="0.25">
      <c r="A3789" s="16"/>
      <c r="B3789" s="16"/>
      <c r="C3789" s="16"/>
      <c r="D3789" s="16"/>
      <c r="E3789" s="16"/>
      <c r="F3789" s="16"/>
      <c r="G3789" s="16"/>
      <c r="H3789" s="16"/>
      <c r="I3789" s="16"/>
      <c r="J3789" s="16"/>
      <c r="K3789" s="16"/>
      <c r="L3789" s="14" t="s">
        <v>622</v>
      </c>
      <c r="M3789" s="16"/>
      <c r="N3789" s="16"/>
      <c r="O3789" s="16"/>
      <c r="P3789" s="16"/>
      <c r="Q3789" s="16"/>
      <c r="R3789" s="16"/>
    </row>
    <row r="3790" spans="1:18" ht="150" x14ac:dyDescent="0.25">
      <c r="A3790" s="14" t="s">
        <v>9103</v>
      </c>
      <c r="B3790" s="14" t="s">
        <v>9112</v>
      </c>
      <c r="C3790" s="14"/>
      <c r="D3790" s="14" t="s">
        <v>8531</v>
      </c>
      <c r="E3790" s="14" t="s">
        <v>627</v>
      </c>
      <c r="F3790" s="14" t="s">
        <v>628</v>
      </c>
      <c r="G3790" s="14" t="s">
        <v>37</v>
      </c>
      <c r="H3790" s="14" t="s">
        <v>631</v>
      </c>
      <c r="I3790" s="14"/>
      <c r="J3790" s="14" t="s">
        <v>149</v>
      </c>
      <c r="K3790" s="14"/>
      <c r="L3790" s="14"/>
      <c r="M3790" s="14" t="s">
        <v>629</v>
      </c>
      <c r="N3790" s="14"/>
      <c r="O3790" s="14" t="s">
        <v>630</v>
      </c>
      <c r="P3790" s="14" t="str">
        <f>HYPERLINK("https://ceds.ed.gov/cedselementdetails.aspx?termid=17024")</f>
        <v>https://ceds.ed.gov/cedselementdetails.aspx?termid=17024</v>
      </c>
      <c r="Q3790" s="14" t="str">
        <f>HYPERLINK("https://ceds.ed.gov/elementComment.aspx?elementName=Assessment Form Name &amp;elementID=17024", "Click here to submit comment")</f>
        <v>Click here to submit comment</v>
      </c>
      <c r="R3790" s="14">
        <v>48191</v>
      </c>
    </row>
    <row r="3791" spans="1:18" ht="45" x14ac:dyDescent="0.25">
      <c r="A3791" s="14" t="s">
        <v>9103</v>
      </c>
      <c r="B3791" s="14" t="s">
        <v>9112</v>
      </c>
      <c r="C3791" s="14"/>
      <c r="D3791" s="14" t="s">
        <v>8531</v>
      </c>
      <c r="E3791" s="14" t="s">
        <v>632</v>
      </c>
      <c r="F3791" s="14" t="s">
        <v>633</v>
      </c>
      <c r="G3791" s="14" t="s">
        <v>37</v>
      </c>
      <c r="H3791" s="14" t="s">
        <v>106</v>
      </c>
      <c r="I3791" s="14"/>
      <c r="J3791" s="14" t="s">
        <v>97</v>
      </c>
      <c r="K3791" s="14"/>
      <c r="L3791" s="14"/>
      <c r="M3791" s="14" t="s">
        <v>635</v>
      </c>
      <c r="N3791" s="14"/>
      <c r="O3791" s="14" t="s">
        <v>636</v>
      </c>
      <c r="P3791" s="14" t="str">
        <f>HYPERLINK("https://ceds.ed.gov/cedselementdetails.aspx?termid=17365")</f>
        <v>https://ceds.ed.gov/cedselementdetails.aspx?termid=17365</v>
      </c>
      <c r="Q3791" s="14" t="str">
        <f>HYPERLINK("https://ceds.ed.gov/elementComment.aspx?elementName=Assessment Form Number &amp;elementID=17365", "Click here to submit comment")</f>
        <v>Click here to submit comment</v>
      </c>
      <c r="R3791" s="14">
        <v>48192</v>
      </c>
    </row>
    <row r="3792" spans="1:18" ht="45" x14ac:dyDescent="0.25">
      <c r="A3792" s="14" t="s">
        <v>9103</v>
      </c>
      <c r="B3792" s="14" t="s">
        <v>9112</v>
      </c>
      <c r="C3792" s="14"/>
      <c r="D3792" s="14" t="s">
        <v>8531</v>
      </c>
      <c r="E3792" s="14" t="s">
        <v>603</v>
      </c>
      <c r="F3792" s="14" t="s">
        <v>604</v>
      </c>
      <c r="G3792" s="14" t="s">
        <v>24</v>
      </c>
      <c r="H3792" s="14"/>
      <c r="I3792" s="14"/>
      <c r="J3792" s="14"/>
      <c r="K3792" s="14"/>
      <c r="L3792" s="14"/>
      <c r="M3792" s="14" t="s">
        <v>605</v>
      </c>
      <c r="N3792" s="14"/>
      <c r="O3792" s="14" t="s">
        <v>606</v>
      </c>
      <c r="P3792" s="14" t="str">
        <f>HYPERLINK("https://ceds.ed.gov/cedselementdetails.aspx?termid=18507")</f>
        <v>https://ceds.ed.gov/cedselementdetails.aspx?termid=18507</v>
      </c>
      <c r="Q3792" s="14" t="str">
        <f>HYPERLINK("https://ceds.ed.gov/elementComment.aspx?elementName=Assessment Form Adaptive Indicator &amp;elementID=18507", "Click here to submit comment")</f>
        <v>Click here to submit comment</v>
      </c>
      <c r="R3792" s="14">
        <v>50771</v>
      </c>
    </row>
    <row r="3793" spans="1:18" ht="75" x14ac:dyDescent="0.25">
      <c r="A3793" s="16" t="s">
        <v>9103</v>
      </c>
      <c r="B3793" s="16" t="s">
        <v>9112</v>
      </c>
      <c r="C3793" s="16"/>
      <c r="D3793" s="16" t="s">
        <v>8531</v>
      </c>
      <c r="E3793" s="16" t="s">
        <v>607</v>
      </c>
      <c r="F3793" s="16" t="s">
        <v>608</v>
      </c>
      <c r="G3793" s="16" t="s">
        <v>37</v>
      </c>
      <c r="H3793" s="16"/>
      <c r="I3793" s="16"/>
      <c r="J3793" s="16" t="s">
        <v>149</v>
      </c>
      <c r="K3793" s="16"/>
      <c r="L3793" s="14" t="s">
        <v>610</v>
      </c>
      <c r="M3793" s="16" t="s">
        <v>611</v>
      </c>
      <c r="N3793" s="16"/>
      <c r="O3793" s="16" t="s">
        <v>612</v>
      </c>
      <c r="P3793" s="16" t="str">
        <f>HYPERLINK("https://ceds.ed.gov/cedselementdetails.aspx?termid=18508")</f>
        <v>https://ceds.ed.gov/cedselementdetails.aspx?termid=18508</v>
      </c>
      <c r="Q3793" s="16" t="str">
        <f>HYPERLINK("https://ceds.ed.gov/elementComment.aspx?elementName=Assessment Form Algorithm Identifier &amp;elementID=18508", "Click here to submit comment")</f>
        <v>Click here to submit comment</v>
      </c>
      <c r="R3793" s="16">
        <v>50772</v>
      </c>
    </row>
    <row r="3794" spans="1:18" x14ac:dyDescent="0.25">
      <c r="A3794" s="16"/>
      <c r="B3794" s="16"/>
      <c r="C3794" s="16"/>
      <c r="D3794" s="16"/>
      <c r="E3794" s="16"/>
      <c r="F3794" s="16"/>
      <c r="G3794" s="16"/>
      <c r="H3794" s="16"/>
      <c r="I3794" s="16"/>
      <c r="J3794" s="16"/>
      <c r="K3794" s="16"/>
      <c r="L3794" s="14"/>
      <c r="M3794" s="16"/>
      <c r="N3794" s="16"/>
      <c r="O3794" s="16"/>
      <c r="P3794" s="16"/>
      <c r="Q3794" s="16"/>
      <c r="R3794" s="16"/>
    </row>
    <row r="3795" spans="1:18" ht="105" x14ac:dyDescent="0.25">
      <c r="A3795" s="16"/>
      <c r="B3795" s="16"/>
      <c r="C3795" s="16"/>
      <c r="D3795" s="16"/>
      <c r="E3795" s="16"/>
      <c r="F3795" s="16"/>
      <c r="G3795" s="16"/>
      <c r="H3795" s="16"/>
      <c r="I3795" s="16"/>
      <c r="J3795" s="16"/>
      <c r="K3795" s="16"/>
      <c r="L3795" s="14" t="s">
        <v>150</v>
      </c>
      <c r="M3795" s="16"/>
      <c r="N3795" s="16"/>
      <c r="O3795" s="16"/>
      <c r="P3795" s="16"/>
      <c r="Q3795" s="16"/>
      <c r="R3795" s="16"/>
    </row>
    <row r="3796" spans="1:18" x14ac:dyDescent="0.25">
      <c r="A3796" s="16"/>
      <c r="B3796" s="16"/>
      <c r="C3796" s="16"/>
      <c r="D3796" s="16"/>
      <c r="E3796" s="16"/>
      <c r="F3796" s="16"/>
      <c r="G3796" s="16"/>
      <c r="H3796" s="16"/>
      <c r="I3796" s="16"/>
      <c r="J3796" s="16"/>
      <c r="K3796" s="16"/>
      <c r="L3796" s="14"/>
      <c r="M3796" s="16"/>
      <c r="N3796" s="16"/>
      <c r="O3796" s="16"/>
      <c r="P3796" s="16"/>
      <c r="Q3796" s="16"/>
      <c r="R3796" s="16"/>
    </row>
    <row r="3797" spans="1:18" ht="90" x14ac:dyDescent="0.25">
      <c r="A3797" s="16"/>
      <c r="B3797" s="16"/>
      <c r="C3797" s="16"/>
      <c r="D3797" s="16"/>
      <c r="E3797" s="16"/>
      <c r="F3797" s="16"/>
      <c r="G3797" s="16"/>
      <c r="H3797" s="16"/>
      <c r="I3797" s="16"/>
      <c r="J3797" s="16"/>
      <c r="K3797" s="16"/>
      <c r="L3797" s="14" t="s">
        <v>153</v>
      </c>
      <c r="M3797" s="16"/>
      <c r="N3797" s="16"/>
      <c r="O3797" s="16"/>
      <c r="P3797" s="16"/>
      <c r="Q3797" s="16"/>
      <c r="R3797" s="16"/>
    </row>
    <row r="3798" spans="1:18" ht="75" x14ac:dyDescent="0.25">
      <c r="A3798" s="14" t="s">
        <v>9103</v>
      </c>
      <c r="B3798" s="14" t="s">
        <v>9112</v>
      </c>
      <c r="C3798" s="14"/>
      <c r="D3798" s="14" t="s">
        <v>8531</v>
      </c>
      <c r="E3798" s="14" t="s">
        <v>613</v>
      </c>
      <c r="F3798" s="14" t="s">
        <v>614</v>
      </c>
      <c r="G3798" s="14" t="s">
        <v>37</v>
      </c>
      <c r="H3798" s="14"/>
      <c r="I3798" s="14"/>
      <c r="J3798" s="14" t="s">
        <v>149</v>
      </c>
      <c r="K3798" s="14"/>
      <c r="L3798" s="14" t="s">
        <v>610</v>
      </c>
      <c r="M3798" s="14" t="s">
        <v>615</v>
      </c>
      <c r="N3798" s="14"/>
      <c r="O3798" s="14" t="s">
        <v>616</v>
      </c>
      <c r="P3798" s="14" t="str">
        <f>HYPERLINK("https://ceds.ed.gov/cedselementdetails.aspx?termid=18509")</f>
        <v>https://ceds.ed.gov/cedselementdetails.aspx?termid=18509</v>
      </c>
      <c r="Q3798" s="14" t="str">
        <f>HYPERLINK("https://ceds.ed.gov/elementComment.aspx?elementName=Assessment Form Algorithm Version &amp;elementID=18509", "Click here to submit comment")</f>
        <v>Click here to submit comment</v>
      </c>
      <c r="R3798" s="14">
        <v>50777</v>
      </c>
    </row>
    <row r="3799" spans="1:18" ht="330" x14ac:dyDescent="0.25">
      <c r="A3799" s="14" t="s">
        <v>9103</v>
      </c>
      <c r="B3799" s="14" t="s">
        <v>9112</v>
      </c>
      <c r="C3799" s="14"/>
      <c r="D3799" s="14" t="s">
        <v>8531</v>
      </c>
      <c r="E3799" s="14" t="s">
        <v>472</v>
      </c>
      <c r="F3799" s="14" t="s">
        <v>473</v>
      </c>
      <c r="G3799" s="8" t="s">
        <v>9111</v>
      </c>
      <c r="H3799" s="14" t="s">
        <v>478</v>
      </c>
      <c r="I3799" s="14"/>
      <c r="J3799" s="14"/>
      <c r="K3799" s="14"/>
      <c r="L3799" s="14"/>
      <c r="M3799" s="14" t="s">
        <v>476</v>
      </c>
      <c r="N3799" s="14"/>
      <c r="O3799" s="14" t="s">
        <v>477</v>
      </c>
      <c r="P3799" s="14" t="str">
        <f>HYPERLINK("https://ceds.ed.gov/cedselementdetails.aspx?termid=17021")</f>
        <v>https://ceds.ed.gov/cedselementdetails.aspx?termid=17021</v>
      </c>
      <c r="Q3799" s="14" t="str">
        <f>HYPERLINK("https://ceds.ed.gov/elementComment.aspx?elementName=Assessment Academic Subject &amp;elementID=17021", "Click here to submit comment")</f>
        <v>Click here to submit comment</v>
      </c>
      <c r="R3799" s="14">
        <v>48772</v>
      </c>
    </row>
    <row r="3800" spans="1:18" ht="75" x14ac:dyDescent="0.25">
      <c r="A3800" s="14" t="s">
        <v>9103</v>
      </c>
      <c r="B3800" s="14" t="s">
        <v>9112</v>
      </c>
      <c r="C3800" s="14"/>
      <c r="D3800" s="14" t="s">
        <v>8531</v>
      </c>
      <c r="E3800" s="14" t="s">
        <v>598</v>
      </c>
      <c r="F3800" s="14" t="s">
        <v>599</v>
      </c>
      <c r="G3800" s="14" t="s">
        <v>37</v>
      </c>
      <c r="H3800" s="14"/>
      <c r="I3800" s="14"/>
      <c r="J3800" s="14" t="s">
        <v>382</v>
      </c>
      <c r="K3800" s="14"/>
      <c r="L3800" s="14"/>
      <c r="M3800" s="14" t="s">
        <v>601</v>
      </c>
      <c r="N3800" s="14"/>
      <c r="O3800" s="14" t="s">
        <v>602</v>
      </c>
      <c r="P3800" s="14" t="str">
        <f>HYPERLINK("https://ceds.ed.gov/cedselementdetails.aspx?termid=18136")</f>
        <v>https://ceds.ed.gov/cedselementdetails.aspx?termid=18136</v>
      </c>
      <c r="Q3800" s="14" t="str">
        <f>HYPERLINK("https://ceds.ed.gov/elementComment.aspx?elementName=Assessment Form Accommodation List &amp;elementID=18136", "Click here to submit comment")</f>
        <v>Click here to submit comment</v>
      </c>
      <c r="R3800" s="14">
        <v>49487</v>
      </c>
    </row>
    <row r="3801" spans="1:18" ht="75" x14ac:dyDescent="0.25">
      <c r="A3801" s="14" t="s">
        <v>9103</v>
      </c>
      <c r="B3801" s="14" t="s">
        <v>9112</v>
      </c>
      <c r="C3801" s="14"/>
      <c r="D3801" s="14" t="s">
        <v>8531</v>
      </c>
      <c r="E3801" s="14" t="s">
        <v>623</v>
      </c>
      <c r="F3801" s="14" t="s">
        <v>624</v>
      </c>
      <c r="G3801" s="14" t="s">
        <v>37</v>
      </c>
      <c r="H3801" s="14"/>
      <c r="I3801" s="14"/>
      <c r="J3801" s="14" t="s">
        <v>135</v>
      </c>
      <c r="K3801" s="14"/>
      <c r="L3801" s="14" t="s">
        <v>160</v>
      </c>
      <c r="M3801" s="14" t="s">
        <v>625</v>
      </c>
      <c r="N3801" s="14"/>
      <c r="O3801" s="14" t="s">
        <v>626</v>
      </c>
      <c r="P3801" s="14" t="str">
        <f>HYPERLINK("https://ceds.ed.gov/cedselementdetails.aspx?termid=18138")</f>
        <v>https://ceds.ed.gov/cedselementdetails.aspx?termid=18138</v>
      </c>
      <c r="Q3801" s="14" t="str">
        <f>HYPERLINK("https://ceds.ed.gov/elementComment.aspx?elementName=Assessment Form Intended Administration End Date &amp;elementID=18138", "Click here to submit comment")</f>
        <v>Click here to submit comment</v>
      </c>
      <c r="R3801" s="14">
        <v>48555</v>
      </c>
    </row>
    <row r="3802" spans="1:18" ht="45" x14ac:dyDescent="0.25">
      <c r="A3802" s="14" t="s">
        <v>9103</v>
      </c>
      <c r="B3802" s="14" t="s">
        <v>9112</v>
      </c>
      <c r="C3802" s="14"/>
      <c r="D3802" s="14" t="s">
        <v>8531</v>
      </c>
      <c r="E3802" s="14" t="s">
        <v>637</v>
      </c>
      <c r="F3802" s="14" t="s">
        <v>638</v>
      </c>
      <c r="G3802" s="14" t="s">
        <v>37</v>
      </c>
      <c r="H3802" s="14"/>
      <c r="I3802" s="14"/>
      <c r="J3802" s="14" t="s">
        <v>382</v>
      </c>
      <c r="K3802" s="14"/>
      <c r="L3802" s="14"/>
      <c r="M3802" s="14" t="s">
        <v>639</v>
      </c>
      <c r="N3802" s="14"/>
      <c r="O3802" s="14" t="s">
        <v>640</v>
      </c>
      <c r="P3802" s="14" t="str">
        <f>HYPERLINK("https://ceds.ed.gov/cedselementdetails.aspx?termid=18139")</f>
        <v>https://ceds.ed.gov/cedselementdetails.aspx?termid=18139</v>
      </c>
      <c r="Q3802" s="14" t="str">
        <f>HYPERLINK("https://ceds.ed.gov/elementComment.aspx?elementName=Assessment Form Platforms Supported &amp;elementID=18139", "Click here to submit comment")</f>
        <v>Click here to submit comment</v>
      </c>
      <c r="R3802" s="14">
        <v>48556</v>
      </c>
    </row>
    <row r="3803" spans="1:18" ht="45" x14ac:dyDescent="0.25">
      <c r="A3803" s="14" t="s">
        <v>9103</v>
      </c>
      <c r="B3803" s="14" t="s">
        <v>9112</v>
      </c>
      <c r="C3803" s="14"/>
      <c r="D3803" s="14" t="s">
        <v>8531</v>
      </c>
      <c r="E3803" s="14" t="s">
        <v>696</v>
      </c>
      <c r="F3803" s="14" t="s">
        <v>697</v>
      </c>
      <c r="G3803" s="14" t="s">
        <v>37</v>
      </c>
      <c r="H3803" s="14"/>
      <c r="I3803" s="14"/>
      <c r="J3803" s="14" t="s">
        <v>97</v>
      </c>
      <c r="K3803" s="14"/>
      <c r="L3803" s="14"/>
      <c r="M3803" s="14" t="s">
        <v>698</v>
      </c>
      <c r="N3803" s="14"/>
      <c r="O3803" s="14" t="s">
        <v>699</v>
      </c>
      <c r="P3803" s="14" t="str">
        <f>HYPERLINK("https://ceds.ed.gov/cedselementdetails.aspx?termid=18134")</f>
        <v>https://ceds.ed.gov/cedselementdetails.aspx?termid=18134</v>
      </c>
      <c r="Q3803" s="14" t="str">
        <f>HYPERLINK("https://ceds.ed.gov/elementComment.aspx?elementName=Assessment Form Version &amp;elementID=18134", "Click here to submit comment")</f>
        <v>Click here to submit comment</v>
      </c>
      <c r="R3803" s="14">
        <v>49484</v>
      </c>
    </row>
    <row r="3804" spans="1:18" ht="90" x14ac:dyDescent="0.25">
      <c r="A3804" s="14" t="s">
        <v>9103</v>
      </c>
      <c r="B3804" s="14" t="s">
        <v>9112</v>
      </c>
      <c r="C3804" s="14"/>
      <c r="D3804" s="14" t="s">
        <v>8531</v>
      </c>
      <c r="E3804" s="14" t="s">
        <v>1084</v>
      </c>
      <c r="F3804" s="14" t="s">
        <v>1085</v>
      </c>
      <c r="G3804" s="14" t="s">
        <v>8527</v>
      </c>
      <c r="H3804" s="14"/>
      <c r="I3804" s="14" t="s">
        <v>195</v>
      </c>
      <c r="J3804" s="14"/>
      <c r="K3804" s="14" t="s">
        <v>1086</v>
      </c>
      <c r="L3804" s="6" t="s">
        <v>1087</v>
      </c>
      <c r="M3804" s="14" t="s">
        <v>1088</v>
      </c>
      <c r="N3804" s="14"/>
      <c r="O3804" s="14" t="s">
        <v>1089</v>
      </c>
      <c r="P3804" s="14" t="str">
        <f>HYPERLINK("https://ceds.ed.gov/cedselementdetails.aspx?termid=18073")</f>
        <v>https://ceds.ed.gov/cedselementdetails.aspx?termid=18073</v>
      </c>
      <c r="Q3804" s="14" t="str">
        <f>HYPERLINK("https://ceds.ed.gov/elementComment.aspx?elementName=Assessment Language &amp;elementID=18073", "Click here to submit comment")</f>
        <v>Click here to submit comment</v>
      </c>
      <c r="R3804" s="14">
        <v>48512</v>
      </c>
    </row>
    <row r="3805" spans="1:18" ht="360" x14ac:dyDescent="0.25">
      <c r="A3805" s="14" t="s">
        <v>9103</v>
      </c>
      <c r="B3805" s="14" t="s">
        <v>9112</v>
      </c>
      <c r="C3805" s="14"/>
      <c r="D3805" s="14" t="s">
        <v>8531</v>
      </c>
      <c r="E3805" s="14" t="s">
        <v>1090</v>
      </c>
      <c r="F3805" s="14" t="s">
        <v>1091</v>
      </c>
      <c r="G3805" s="8" t="s">
        <v>8628</v>
      </c>
      <c r="H3805" s="14" t="s">
        <v>1096</v>
      </c>
      <c r="I3805" s="14"/>
      <c r="J3805" s="14"/>
      <c r="K3805" s="14"/>
      <c r="L3805" s="14"/>
      <c r="M3805" s="14" t="s">
        <v>1094</v>
      </c>
      <c r="N3805" s="14"/>
      <c r="O3805" s="14" t="s">
        <v>1095</v>
      </c>
      <c r="P3805" s="14" t="str">
        <f>HYPERLINK("https://ceds.ed.gov/cedselementdetails.aspx?termid=17177")</f>
        <v>https://ceds.ed.gov/cedselementdetails.aspx?termid=17177</v>
      </c>
      <c r="Q3805" s="14" t="str">
        <f>HYPERLINK("https://ceds.ed.gov/elementComment.aspx?elementName=Assessment Level for Which Designed &amp;elementID=17177", "Click here to submit comment")</f>
        <v>Click here to submit comment</v>
      </c>
      <c r="R3805" s="14">
        <v>50793</v>
      </c>
    </row>
    <row r="3806" spans="1:18" ht="45" x14ac:dyDescent="0.25">
      <c r="A3806" s="14" t="s">
        <v>9103</v>
      </c>
      <c r="B3806" s="14" t="s">
        <v>9112</v>
      </c>
      <c r="C3806" s="14"/>
      <c r="D3806" s="14" t="s">
        <v>8531</v>
      </c>
      <c r="E3806" s="14" t="s">
        <v>1483</v>
      </c>
      <c r="F3806" s="14" t="s">
        <v>1484</v>
      </c>
      <c r="G3806" s="14" t="s">
        <v>24</v>
      </c>
      <c r="H3806" s="14" t="s">
        <v>106</v>
      </c>
      <c r="I3806" s="14"/>
      <c r="J3806" s="14"/>
      <c r="K3806" s="14"/>
      <c r="L3806" s="14"/>
      <c r="M3806" s="14" t="s">
        <v>1486</v>
      </c>
      <c r="N3806" s="14"/>
      <c r="O3806" s="14" t="s">
        <v>1487</v>
      </c>
      <c r="P3806" s="14" t="str">
        <f>HYPERLINK("https://ceds.ed.gov/cedselementdetails.aspx?termid=17375")</f>
        <v>https://ceds.ed.gov/cedselementdetails.aspx?termid=17375</v>
      </c>
      <c r="Q3806" s="14" t="str">
        <f>HYPERLINK("https://ceds.ed.gov/elementComment.aspx?elementName=Assessment Secure Indicator &amp;elementID=17375", "Click here to submit comment")</f>
        <v>Click here to submit comment</v>
      </c>
      <c r="R3806" s="14">
        <v>50743</v>
      </c>
    </row>
    <row r="3807" spans="1:18" ht="45" x14ac:dyDescent="0.25">
      <c r="A3807" s="14" t="s">
        <v>9103</v>
      </c>
      <c r="B3807" s="14" t="s">
        <v>9112</v>
      </c>
      <c r="C3807" s="14"/>
      <c r="D3807" s="14" t="s">
        <v>8531</v>
      </c>
      <c r="E3807" s="14" t="s">
        <v>5556</v>
      </c>
      <c r="F3807" s="14" t="s">
        <v>5557</v>
      </c>
      <c r="G3807" s="14" t="s">
        <v>37</v>
      </c>
      <c r="H3807" s="14"/>
      <c r="I3807" s="14"/>
      <c r="J3807" s="14" t="s">
        <v>135</v>
      </c>
      <c r="K3807" s="14"/>
      <c r="L3807" s="14"/>
      <c r="M3807" s="14" t="s">
        <v>5558</v>
      </c>
      <c r="N3807" s="14"/>
      <c r="O3807" s="14" t="s">
        <v>5559</v>
      </c>
      <c r="P3807" s="14" t="str">
        <f>HYPERLINK("https://ceds.ed.gov/cedselementdetails.aspx?termid=18137")</f>
        <v>https://ceds.ed.gov/cedselementdetails.aspx?termid=18137</v>
      </c>
      <c r="Q3807" s="14" t="str">
        <f>HYPERLINK("https://ceds.ed.gov/elementComment.aspx?elementName=Intended Administration Start Date &amp;elementID=18137", "Click here to submit comment")</f>
        <v>Click here to submit comment</v>
      </c>
      <c r="R3807" s="14">
        <v>48554</v>
      </c>
    </row>
    <row r="3808" spans="1:18" ht="60" x14ac:dyDescent="0.25">
      <c r="A3808" s="14" t="s">
        <v>9103</v>
      </c>
      <c r="B3808" s="14" t="s">
        <v>9112</v>
      </c>
      <c r="C3808" s="14"/>
      <c r="D3808" s="14" t="s">
        <v>8531</v>
      </c>
      <c r="E3808" s="14" t="s">
        <v>6007</v>
      </c>
      <c r="F3808" s="14" t="s">
        <v>6008</v>
      </c>
      <c r="G3808" s="14" t="s">
        <v>37</v>
      </c>
      <c r="H3808" s="14"/>
      <c r="I3808" s="14"/>
      <c r="J3808" s="14" t="s">
        <v>135</v>
      </c>
      <c r="K3808" s="14"/>
      <c r="L3808" s="14"/>
      <c r="M3808" s="14" t="s">
        <v>6009</v>
      </c>
      <c r="N3808" s="14"/>
      <c r="O3808" s="14" t="s">
        <v>6010</v>
      </c>
      <c r="P3808" s="14" t="str">
        <f>HYPERLINK("https://ceds.ed.gov/cedselementdetails.aspx?termid=18135")</f>
        <v>https://ceds.ed.gov/cedselementdetails.aspx?termid=18135</v>
      </c>
      <c r="Q3808" s="14" t="str">
        <f>HYPERLINK("https://ceds.ed.gov/elementComment.aspx?elementName=Learning Resource Published Date &amp;elementID=18135", "Click here to submit comment")</f>
        <v>Click here to submit comment</v>
      </c>
      <c r="R3808" s="14">
        <v>49485</v>
      </c>
    </row>
    <row r="3809" spans="1:18" ht="105" x14ac:dyDescent="0.25">
      <c r="A3809" s="16" t="s">
        <v>9103</v>
      </c>
      <c r="B3809" s="16" t="s">
        <v>9112</v>
      </c>
      <c r="C3809" s="16" t="s">
        <v>9113</v>
      </c>
      <c r="D3809" s="16" t="s">
        <v>8531</v>
      </c>
      <c r="E3809" s="16" t="s">
        <v>646</v>
      </c>
      <c r="F3809" s="16" t="s">
        <v>647</v>
      </c>
      <c r="G3809" s="16" t="s">
        <v>37</v>
      </c>
      <c r="H3809" s="16"/>
      <c r="I3809" s="16"/>
      <c r="J3809" s="16" t="s">
        <v>149</v>
      </c>
      <c r="K3809" s="16"/>
      <c r="L3809" s="14" t="s">
        <v>150</v>
      </c>
      <c r="M3809" s="16" t="s">
        <v>648</v>
      </c>
      <c r="N3809" s="16"/>
      <c r="O3809" s="16" t="s">
        <v>649</v>
      </c>
      <c r="P3809" s="16" t="str">
        <f>HYPERLINK("https://ceds.ed.gov/cedselementdetails.aspx?termid=18142")</f>
        <v>https://ceds.ed.gov/cedselementdetails.aspx?termid=18142</v>
      </c>
      <c r="Q3809" s="16" t="str">
        <f>HYPERLINK("https://ceds.ed.gov/elementComment.aspx?elementName=Assessment Form Section Identifier &amp;elementID=18142", "Click here to submit comment")</f>
        <v>Click here to submit comment</v>
      </c>
      <c r="R3809" s="16">
        <v>48559</v>
      </c>
    </row>
    <row r="3810" spans="1:18" x14ac:dyDescent="0.25">
      <c r="A3810" s="16"/>
      <c r="B3810" s="16"/>
      <c r="C3810" s="16"/>
      <c r="D3810" s="16"/>
      <c r="E3810" s="16"/>
      <c r="F3810" s="16"/>
      <c r="G3810" s="16"/>
      <c r="H3810" s="16"/>
      <c r="I3810" s="16"/>
      <c r="J3810" s="16"/>
      <c r="K3810" s="16"/>
      <c r="L3810" s="14"/>
      <c r="M3810" s="16"/>
      <c r="N3810" s="16"/>
      <c r="O3810" s="16"/>
      <c r="P3810" s="16"/>
      <c r="Q3810" s="16"/>
      <c r="R3810" s="16"/>
    </row>
    <row r="3811" spans="1:18" ht="90" x14ac:dyDescent="0.25">
      <c r="A3811" s="16"/>
      <c r="B3811" s="16"/>
      <c r="C3811" s="16"/>
      <c r="D3811" s="16"/>
      <c r="E3811" s="16"/>
      <c r="F3811" s="16"/>
      <c r="G3811" s="16"/>
      <c r="H3811" s="16"/>
      <c r="I3811" s="16"/>
      <c r="J3811" s="16"/>
      <c r="K3811" s="16"/>
      <c r="L3811" s="14" t="s">
        <v>153</v>
      </c>
      <c r="M3811" s="16"/>
      <c r="N3811" s="16"/>
      <c r="O3811" s="16"/>
      <c r="P3811" s="16"/>
      <c r="Q3811" s="16"/>
      <c r="R3811" s="16"/>
    </row>
    <row r="3812" spans="1:18" ht="75" x14ac:dyDescent="0.25">
      <c r="A3812" s="14" t="s">
        <v>9103</v>
      </c>
      <c r="B3812" s="14" t="s">
        <v>9112</v>
      </c>
      <c r="C3812" s="14" t="s">
        <v>9113</v>
      </c>
      <c r="D3812" s="14" t="s">
        <v>8531</v>
      </c>
      <c r="E3812" s="14" t="s">
        <v>5128</v>
      </c>
      <c r="F3812" s="14" t="s">
        <v>5129</v>
      </c>
      <c r="G3812" s="8" t="s">
        <v>9114</v>
      </c>
      <c r="H3812" s="14"/>
      <c r="I3812" s="14"/>
      <c r="J3812" s="14"/>
      <c r="K3812" s="14"/>
      <c r="L3812" s="14"/>
      <c r="M3812" s="14" t="s">
        <v>5130</v>
      </c>
      <c r="N3812" s="14"/>
      <c r="O3812" s="14" t="s">
        <v>5131</v>
      </c>
      <c r="P3812" s="14" t="str">
        <f>HYPERLINK("https://ceds.ed.gov/cedselementdetails.aspx?termid=18141")</f>
        <v>https://ceds.ed.gov/cedselementdetails.aspx?termid=18141</v>
      </c>
      <c r="Q3812" s="14" t="str">
        <f>HYPERLINK("https://ceds.ed.gov/elementComment.aspx?elementName=Identification System for Assessment Form Section &amp;elementID=18141", "Click here to submit comment")</f>
        <v>Click here to submit comment</v>
      </c>
      <c r="R3812" s="14">
        <v>48558</v>
      </c>
    </row>
    <row r="3813" spans="1:18" ht="75" x14ac:dyDescent="0.25">
      <c r="A3813" s="16" t="s">
        <v>9103</v>
      </c>
      <c r="B3813" s="16" t="s">
        <v>9112</v>
      </c>
      <c r="C3813" s="16" t="s">
        <v>9113</v>
      </c>
      <c r="D3813" s="16" t="s">
        <v>8531</v>
      </c>
      <c r="E3813" s="16" t="s">
        <v>641</v>
      </c>
      <c r="F3813" s="16" t="s">
        <v>642</v>
      </c>
      <c r="G3813" s="16" t="s">
        <v>37</v>
      </c>
      <c r="H3813" s="16"/>
      <c r="I3813" s="16"/>
      <c r="J3813" s="16" t="s">
        <v>149</v>
      </c>
      <c r="K3813" s="16"/>
      <c r="L3813" s="14" t="s">
        <v>619</v>
      </c>
      <c r="M3813" s="16" t="s">
        <v>644</v>
      </c>
      <c r="N3813" s="16"/>
      <c r="O3813" s="16" t="s">
        <v>645</v>
      </c>
      <c r="P3813" s="16" t="str">
        <f>HYPERLINK("https://ceds.ed.gov/cedselementdetails.aspx?termid=17981")</f>
        <v>https://ceds.ed.gov/cedselementdetails.aspx?termid=17981</v>
      </c>
      <c r="Q3813" s="16" t="str">
        <f>HYPERLINK("https://ceds.ed.gov/elementComment.aspx?elementName=Assessment Form Section GUID &amp;elementID=17981", "Click here to submit comment")</f>
        <v>Click here to submit comment</v>
      </c>
      <c r="R3813" s="16">
        <v>48432</v>
      </c>
    </row>
    <row r="3814" spans="1:18" x14ac:dyDescent="0.25">
      <c r="A3814" s="16"/>
      <c r="B3814" s="16"/>
      <c r="C3814" s="16"/>
      <c r="D3814" s="16"/>
      <c r="E3814" s="16"/>
      <c r="F3814" s="16"/>
      <c r="G3814" s="16"/>
      <c r="H3814" s="16"/>
      <c r="I3814" s="16"/>
      <c r="J3814" s="16"/>
      <c r="K3814" s="16"/>
      <c r="L3814" s="14"/>
      <c r="M3814" s="16"/>
      <c r="N3814" s="16"/>
      <c r="O3814" s="16"/>
      <c r="P3814" s="16"/>
      <c r="Q3814" s="16"/>
      <c r="R3814" s="16"/>
    </row>
    <row r="3815" spans="1:18" ht="60" x14ac:dyDescent="0.25">
      <c r="A3815" s="16"/>
      <c r="B3815" s="16"/>
      <c r="C3815" s="16"/>
      <c r="D3815" s="16"/>
      <c r="E3815" s="16"/>
      <c r="F3815" s="16"/>
      <c r="G3815" s="16"/>
      <c r="H3815" s="16"/>
      <c r="I3815" s="16"/>
      <c r="J3815" s="16"/>
      <c r="K3815" s="16"/>
      <c r="L3815" s="14" t="s">
        <v>622</v>
      </c>
      <c r="M3815" s="16"/>
      <c r="N3815" s="16"/>
      <c r="O3815" s="16"/>
      <c r="P3815" s="16"/>
      <c r="Q3815" s="16"/>
      <c r="R3815" s="16"/>
    </row>
    <row r="3816" spans="1:18" ht="75" x14ac:dyDescent="0.25">
      <c r="A3816" s="16" t="s">
        <v>9103</v>
      </c>
      <c r="B3816" s="16" t="s">
        <v>9112</v>
      </c>
      <c r="C3816" s="16" t="s">
        <v>9113</v>
      </c>
      <c r="D3816" s="16" t="s">
        <v>8531</v>
      </c>
      <c r="E3816" s="16" t="s">
        <v>607</v>
      </c>
      <c r="F3816" s="16" t="s">
        <v>608</v>
      </c>
      <c r="G3816" s="16" t="s">
        <v>37</v>
      </c>
      <c r="H3816" s="16"/>
      <c r="I3816" s="16"/>
      <c r="J3816" s="16" t="s">
        <v>149</v>
      </c>
      <c r="K3816" s="16"/>
      <c r="L3816" s="14" t="s">
        <v>610</v>
      </c>
      <c r="M3816" s="16" t="s">
        <v>611</v>
      </c>
      <c r="N3816" s="16"/>
      <c r="O3816" s="16" t="s">
        <v>612</v>
      </c>
      <c r="P3816" s="16" t="str">
        <f>HYPERLINK("https://ceds.ed.gov/cedselementdetails.aspx?termid=18508")</f>
        <v>https://ceds.ed.gov/cedselementdetails.aspx?termid=18508</v>
      </c>
      <c r="Q3816" s="16" t="str">
        <f>HYPERLINK("https://ceds.ed.gov/elementComment.aspx?elementName=Assessment Form Algorithm Identifier &amp;elementID=18508", "Click here to submit comment")</f>
        <v>Click here to submit comment</v>
      </c>
      <c r="R3816" s="16">
        <v>50775</v>
      </c>
    </row>
    <row r="3817" spans="1:18" x14ac:dyDescent="0.25">
      <c r="A3817" s="16"/>
      <c r="B3817" s="16"/>
      <c r="C3817" s="16"/>
      <c r="D3817" s="16"/>
      <c r="E3817" s="16"/>
      <c r="F3817" s="16"/>
      <c r="G3817" s="16"/>
      <c r="H3817" s="16"/>
      <c r="I3817" s="16"/>
      <c r="J3817" s="16"/>
      <c r="K3817" s="16"/>
      <c r="L3817" s="14"/>
      <c r="M3817" s="16"/>
      <c r="N3817" s="16"/>
      <c r="O3817" s="16"/>
      <c r="P3817" s="16"/>
      <c r="Q3817" s="16"/>
      <c r="R3817" s="16"/>
    </row>
    <row r="3818" spans="1:18" ht="105" x14ac:dyDescent="0.25">
      <c r="A3818" s="16"/>
      <c r="B3818" s="16"/>
      <c r="C3818" s="16"/>
      <c r="D3818" s="16"/>
      <c r="E3818" s="16"/>
      <c r="F3818" s="16"/>
      <c r="G3818" s="16"/>
      <c r="H3818" s="16"/>
      <c r="I3818" s="16"/>
      <c r="J3818" s="16"/>
      <c r="K3818" s="16"/>
      <c r="L3818" s="14" t="s">
        <v>150</v>
      </c>
      <c r="M3818" s="16"/>
      <c r="N3818" s="16"/>
      <c r="O3818" s="16"/>
      <c r="P3818" s="16"/>
      <c r="Q3818" s="16"/>
      <c r="R3818" s="16"/>
    </row>
    <row r="3819" spans="1:18" x14ac:dyDescent="0.25">
      <c r="A3819" s="16"/>
      <c r="B3819" s="16"/>
      <c r="C3819" s="16"/>
      <c r="D3819" s="16"/>
      <c r="E3819" s="16"/>
      <c r="F3819" s="16"/>
      <c r="G3819" s="16"/>
      <c r="H3819" s="16"/>
      <c r="I3819" s="16"/>
      <c r="J3819" s="16"/>
      <c r="K3819" s="16"/>
      <c r="L3819" s="14"/>
      <c r="M3819" s="16"/>
      <c r="N3819" s="16"/>
      <c r="O3819" s="16"/>
      <c r="P3819" s="16"/>
      <c r="Q3819" s="16"/>
      <c r="R3819" s="16"/>
    </row>
    <row r="3820" spans="1:18" ht="90" x14ac:dyDescent="0.25">
      <c r="A3820" s="16"/>
      <c r="B3820" s="16"/>
      <c r="C3820" s="16"/>
      <c r="D3820" s="16"/>
      <c r="E3820" s="16"/>
      <c r="F3820" s="16"/>
      <c r="G3820" s="16"/>
      <c r="H3820" s="16"/>
      <c r="I3820" s="16"/>
      <c r="J3820" s="16"/>
      <c r="K3820" s="16"/>
      <c r="L3820" s="14" t="s">
        <v>153</v>
      </c>
      <c r="M3820" s="16"/>
      <c r="N3820" s="16"/>
      <c r="O3820" s="16"/>
      <c r="P3820" s="16"/>
      <c r="Q3820" s="16"/>
      <c r="R3820" s="16"/>
    </row>
    <row r="3821" spans="1:18" ht="330" x14ac:dyDescent="0.25">
      <c r="A3821" s="14" t="s">
        <v>9103</v>
      </c>
      <c r="B3821" s="14" t="s">
        <v>9112</v>
      </c>
      <c r="C3821" s="14" t="s">
        <v>9113</v>
      </c>
      <c r="D3821" s="14" t="s">
        <v>8531</v>
      </c>
      <c r="E3821" s="14" t="s">
        <v>472</v>
      </c>
      <c r="F3821" s="14" t="s">
        <v>473</v>
      </c>
      <c r="G3821" s="8" t="s">
        <v>9111</v>
      </c>
      <c r="H3821" s="14" t="s">
        <v>478</v>
      </c>
      <c r="I3821" s="14"/>
      <c r="J3821" s="14"/>
      <c r="K3821" s="14"/>
      <c r="L3821" s="14"/>
      <c r="M3821" s="14" t="s">
        <v>476</v>
      </c>
      <c r="N3821" s="14"/>
      <c r="O3821" s="14" t="s">
        <v>477</v>
      </c>
      <c r="P3821" s="14" t="str">
        <f>HYPERLINK("https://ceds.ed.gov/cedselementdetails.aspx?termid=17021")</f>
        <v>https://ceds.ed.gov/cedselementdetails.aspx?termid=17021</v>
      </c>
      <c r="Q3821" s="14" t="str">
        <f>HYPERLINK("https://ceds.ed.gov/elementComment.aspx?elementName=Assessment Academic Subject &amp;elementID=17021", "Click here to submit comment")</f>
        <v>Click here to submit comment</v>
      </c>
      <c r="R3821" s="14">
        <v>48776</v>
      </c>
    </row>
    <row r="3822" spans="1:18" ht="45" x14ac:dyDescent="0.25">
      <c r="A3822" s="14" t="s">
        <v>9103</v>
      </c>
      <c r="B3822" s="14" t="s">
        <v>9112</v>
      </c>
      <c r="C3822" s="14" t="s">
        <v>9113</v>
      </c>
      <c r="D3822" s="14" t="s">
        <v>8531</v>
      </c>
      <c r="E3822" s="14" t="s">
        <v>663</v>
      </c>
      <c r="F3822" s="14" t="s">
        <v>664</v>
      </c>
      <c r="G3822" s="14" t="s">
        <v>37</v>
      </c>
      <c r="H3822" s="14"/>
      <c r="I3822" s="14"/>
      <c r="J3822" s="14" t="s">
        <v>165</v>
      </c>
      <c r="K3822" s="14"/>
      <c r="L3822" s="14"/>
      <c r="M3822" s="14" t="s">
        <v>665</v>
      </c>
      <c r="N3822" s="14"/>
      <c r="O3822" s="14" t="s">
        <v>666</v>
      </c>
      <c r="P3822" s="14" t="str">
        <f>HYPERLINK("https://ceds.ed.gov/cedselementdetails.aspx?termid=17980")</f>
        <v>https://ceds.ed.gov/cedselementdetails.aspx?termid=17980</v>
      </c>
      <c r="Q3822" s="14" t="str">
        <f>HYPERLINK("https://ceds.ed.gov/elementComment.aspx?elementName=Assessment Form Section Sequence Number &amp;elementID=17980", "Click here to submit comment")</f>
        <v>Click here to submit comment</v>
      </c>
      <c r="R3822" s="14">
        <v>48431</v>
      </c>
    </row>
    <row r="3823" spans="1:18" ht="45" x14ac:dyDescent="0.25">
      <c r="A3823" s="14" t="s">
        <v>9103</v>
      </c>
      <c r="B3823" s="14" t="s">
        <v>9112</v>
      </c>
      <c r="C3823" s="14" t="s">
        <v>9113</v>
      </c>
      <c r="D3823" s="14" t="s">
        <v>8531</v>
      </c>
      <c r="E3823" s="14" t="s">
        <v>671</v>
      </c>
      <c r="F3823" s="14" t="s">
        <v>672</v>
      </c>
      <c r="G3823" s="14" t="s">
        <v>37</v>
      </c>
      <c r="H3823" s="14"/>
      <c r="I3823" s="14"/>
      <c r="J3823" s="14" t="s">
        <v>97</v>
      </c>
      <c r="K3823" s="14"/>
      <c r="L3823" s="14"/>
      <c r="M3823" s="14" t="s">
        <v>673</v>
      </c>
      <c r="N3823" s="14"/>
      <c r="O3823" s="14" t="s">
        <v>674</v>
      </c>
      <c r="P3823" s="14" t="str">
        <f>HYPERLINK("https://ceds.ed.gov/cedselementdetails.aspx?termid=18140")</f>
        <v>https://ceds.ed.gov/cedselementdetails.aspx?termid=18140</v>
      </c>
      <c r="Q3823" s="14" t="str">
        <f>HYPERLINK("https://ceds.ed.gov/elementComment.aspx?elementName=Assessment Form Section Version &amp;elementID=18140", "Click here to submit comment")</f>
        <v>Click here to submit comment</v>
      </c>
      <c r="R3823" s="14">
        <v>48557</v>
      </c>
    </row>
    <row r="3824" spans="1:18" ht="60" x14ac:dyDescent="0.25">
      <c r="A3824" s="14" t="s">
        <v>9103</v>
      </c>
      <c r="B3824" s="14" t="s">
        <v>9112</v>
      </c>
      <c r="C3824" s="14" t="s">
        <v>9113</v>
      </c>
      <c r="D3824" s="14" t="s">
        <v>8531</v>
      </c>
      <c r="E3824" s="14" t="s">
        <v>667</v>
      </c>
      <c r="F3824" s="14" t="s">
        <v>668</v>
      </c>
      <c r="G3824" s="14" t="s">
        <v>37</v>
      </c>
      <c r="H3824" s="14"/>
      <c r="I3824" s="14"/>
      <c r="J3824" s="14" t="s">
        <v>501</v>
      </c>
      <c r="K3824" s="14"/>
      <c r="L3824" s="14"/>
      <c r="M3824" s="14" t="s">
        <v>669</v>
      </c>
      <c r="N3824" s="14"/>
      <c r="O3824" s="14" t="s">
        <v>670</v>
      </c>
      <c r="P3824" s="14" t="str">
        <f>HYPERLINK("https://ceds.ed.gov/cedselementdetails.aspx?termid=18143")</f>
        <v>https://ceds.ed.gov/cedselementdetails.aspx?termid=18143</v>
      </c>
      <c r="Q3824" s="14" t="str">
        <f>HYPERLINK("https://ceds.ed.gov/elementComment.aspx?elementName=Assessment Form Section Time Limit &amp;elementID=18143", "Click here to submit comment")</f>
        <v>Click here to submit comment</v>
      </c>
      <c r="R3824" s="14">
        <v>48560</v>
      </c>
    </row>
    <row r="3825" spans="1:18" ht="60" x14ac:dyDescent="0.25">
      <c r="A3825" s="14" t="s">
        <v>9103</v>
      </c>
      <c r="B3825" s="14" t="s">
        <v>9112</v>
      </c>
      <c r="C3825" s="14" t="s">
        <v>9113</v>
      </c>
      <c r="D3825" s="14" t="s">
        <v>8531</v>
      </c>
      <c r="E3825" s="14" t="s">
        <v>659</v>
      </c>
      <c r="F3825" s="14" t="s">
        <v>660</v>
      </c>
      <c r="G3825" s="14" t="s">
        <v>24</v>
      </c>
      <c r="H3825" s="14"/>
      <c r="I3825" s="14"/>
      <c r="J3825" s="14"/>
      <c r="K3825" s="14"/>
      <c r="L3825" s="14"/>
      <c r="M3825" s="14" t="s">
        <v>661</v>
      </c>
      <c r="N3825" s="14"/>
      <c r="O3825" s="14" t="s">
        <v>662</v>
      </c>
      <c r="P3825" s="14" t="str">
        <f>HYPERLINK("https://ceds.ed.gov/cedselementdetails.aspx?termid=18144")</f>
        <v>https://ceds.ed.gov/cedselementdetails.aspx?termid=18144</v>
      </c>
      <c r="Q3825" s="14" t="str">
        <f>HYPERLINK("https://ceds.ed.gov/elementComment.aspx?elementName=Assessment Form Section Sealed &amp;elementID=18144", "Click here to submit comment")</f>
        <v>Click here to submit comment</v>
      </c>
      <c r="R3825" s="14">
        <v>48561</v>
      </c>
    </row>
    <row r="3826" spans="1:18" ht="150" x14ac:dyDescent="0.25">
      <c r="A3826" s="14" t="s">
        <v>9103</v>
      </c>
      <c r="B3826" s="14" t="s">
        <v>9112</v>
      </c>
      <c r="C3826" s="14" t="s">
        <v>9113</v>
      </c>
      <c r="D3826" s="14" t="s">
        <v>8531</v>
      </c>
      <c r="E3826" s="14" t="s">
        <v>655</v>
      </c>
      <c r="F3826" s="14" t="s">
        <v>656</v>
      </c>
      <c r="G3826" s="14" t="s">
        <v>24</v>
      </c>
      <c r="H3826" s="14"/>
      <c r="I3826" s="14"/>
      <c r="J3826" s="14"/>
      <c r="K3826" s="14"/>
      <c r="L3826" s="14"/>
      <c r="M3826" s="14" t="s">
        <v>657</v>
      </c>
      <c r="N3826" s="14"/>
      <c r="O3826" s="14" t="s">
        <v>658</v>
      </c>
      <c r="P3826" s="14" t="str">
        <f>HYPERLINK("https://ceds.ed.gov/cedselementdetails.aspx?termid=18145")</f>
        <v>https://ceds.ed.gov/cedselementdetails.aspx?termid=18145</v>
      </c>
      <c r="Q3826" s="14" t="str">
        <f>HYPERLINK("https://ceds.ed.gov/elementComment.aspx?elementName=Assessment Form Section Reentry &amp;elementID=18145", "Click here to submit comment")</f>
        <v>Click here to submit comment</v>
      </c>
      <c r="R3826" s="14">
        <v>48562</v>
      </c>
    </row>
    <row r="3827" spans="1:18" ht="60" x14ac:dyDescent="0.25">
      <c r="A3827" s="14" t="s">
        <v>9103</v>
      </c>
      <c r="B3827" s="14" t="s">
        <v>9112</v>
      </c>
      <c r="C3827" s="14" t="s">
        <v>9113</v>
      </c>
      <c r="D3827" s="14" t="s">
        <v>8531</v>
      </c>
      <c r="E3827" s="14" t="s">
        <v>6007</v>
      </c>
      <c r="F3827" s="14" t="s">
        <v>6008</v>
      </c>
      <c r="G3827" s="14" t="s">
        <v>37</v>
      </c>
      <c r="H3827" s="14"/>
      <c r="I3827" s="14"/>
      <c r="J3827" s="14" t="s">
        <v>135</v>
      </c>
      <c r="K3827" s="14"/>
      <c r="L3827" s="14"/>
      <c r="M3827" s="14" t="s">
        <v>6009</v>
      </c>
      <c r="N3827" s="14"/>
      <c r="O3827" s="14" t="s">
        <v>6010</v>
      </c>
      <c r="P3827" s="14" t="str">
        <f>HYPERLINK("https://ceds.ed.gov/cedselementdetails.aspx?termid=18135")</f>
        <v>https://ceds.ed.gov/cedselementdetails.aspx?termid=18135</v>
      </c>
      <c r="Q3827" s="14" t="str">
        <f>HYPERLINK("https://ceds.ed.gov/elementComment.aspx?elementName=Learning Resource Published Date &amp;elementID=18135", "Click here to submit comment")</f>
        <v>Click here to submit comment</v>
      </c>
      <c r="R3827" s="14">
        <v>49486</v>
      </c>
    </row>
    <row r="3828" spans="1:18" ht="60" x14ac:dyDescent="0.25">
      <c r="A3828" s="14" t="s">
        <v>9103</v>
      </c>
      <c r="B3828" s="14" t="s">
        <v>9112</v>
      </c>
      <c r="C3828" s="14" t="s">
        <v>9115</v>
      </c>
      <c r="D3828" s="14" t="s">
        <v>8531</v>
      </c>
      <c r="E3828" s="14" t="s">
        <v>650</v>
      </c>
      <c r="F3828" s="14" t="s">
        <v>651</v>
      </c>
      <c r="G3828" s="14" t="s">
        <v>24</v>
      </c>
      <c r="H3828" s="14"/>
      <c r="I3828" s="14"/>
      <c r="J3828" s="14"/>
      <c r="K3828" s="14"/>
      <c r="L3828" s="14"/>
      <c r="M3828" s="14" t="s">
        <v>653</v>
      </c>
      <c r="N3828" s="14"/>
      <c r="O3828" s="14" t="s">
        <v>654</v>
      </c>
      <c r="P3828" s="14" t="str">
        <f>HYPERLINK("https://ceds.ed.gov/cedselementdetails.aspx?termid=18511")</f>
        <v>https://ceds.ed.gov/cedselementdetails.aspx?termid=18511</v>
      </c>
      <c r="Q3828" s="14" t="str">
        <f>HYPERLINK("https://ceds.ed.gov/elementComment.aspx?elementName=Assessment Form Section Item Field Test Indicator &amp;elementID=18511", "Click here to submit comment")</f>
        <v>Click here to submit comment</v>
      </c>
      <c r="R3828" s="14">
        <v>51116</v>
      </c>
    </row>
    <row r="3829" spans="1:18" ht="150" x14ac:dyDescent="0.25">
      <c r="A3829" s="14" t="s">
        <v>9103</v>
      </c>
      <c r="B3829" s="14" t="s">
        <v>9112</v>
      </c>
      <c r="C3829" s="14" t="s">
        <v>9116</v>
      </c>
      <c r="D3829" s="14" t="s">
        <v>8531</v>
      </c>
      <c r="E3829" s="14" t="s">
        <v>679</v>
      </c>
      <c r="F3829" s="14" t="s">
        <v>680</v>
      </c>
      <c r="G3829" s="14" t="s">
        <v>37</v>
      </c>
      <c r="H3829" s="14"/>
      <c r="I3829" s="14"/>
      <c r="J3829" s="14" t="s">
        <v>165</v>
      </c>
      <c r="K3829" s="14"/>
      <c r="L3829" s="14"/>
      <c r="M3829" s="14" t="s">
        <v>682</v>
      </c>
      <c r="N3829" s="14"/>
      <c r="O3829" s="14" t="s">
        <v>683</v>
      </c>
      <c r="P3829" s="14" t="str">
        <f>HYPERLINK("https://ceds.ed.gov/cedselementdetails.aspx?termid=18013")</f>
        <v>https://ceds.ed.gov/cedselementdetails.aspx?termid=18013</v>
      </c>
      <c r="Q3829" s="14" t="str">
        <f>HYPERLINK("https://ceds.ed.gov/elementComment.aspx?elementName=Assessment Form Subtest Item Weight Correct &amp;elementID=18013", "Click here to submit comment")</f>
        <v>Click here to submit comment</v>
      </c>
      <c r="R3829" s="14">
        <v>48449</v>
      </c>
    </row>
    <row r="3830" spans="1:18" ht="90" x14ac:dyDescent="0.25">
      <c r="A3830" s="14" t="s">
        <v>9103</v>
      </c>
      <c r="B3830" s="14" t="s">
        <v>9112</v>
      </c>
      <c r="C3830" s="14" t="s">
        <v>9116</v>
      </c>
      <c r="D3830" s="14" t="s">
        <v>8531</v>
      </c>
      <c r="E3830" s="14" t="s">
        <v>684</v>
      </c>
      <c r="F3830" s="14" t="s">
        <v>685</v>
      </c>
      <c r="G3830" s="14" t="s">
        <v>37</v>
      </c>
      <c r="H3830" s="14"/>
      <c r="I3830" s="14"/>
      <c r="J3830" s="14" t="s">
        <v>165</v>
      </c>
      <c r="K3830" s="14"/>
      <c r="L3830" s="14"/>
      <c r="M3830" s="14" t="s">
        <v>686</v>
      </c>
      <c r="N3830" s="14"/>
      <c r="O3830" s="14" t="s">
        <v>687</v>
      </c>
      <c r="P3830" s="14" t="str">
        <f>HYPERLINK("https://ceds.ed.gov/cedselementdetails.aspx?termid=18014")</f>
        <v>https://ceds.ed.gov/cedselementdetails.aspx?termid=18014</v>
      </c>
      <c r="Q3830" s="14" t="str">
        <f>HYPERLINK("https://ceds.ed.gov/elementComment.aspx?elementName=Assessment Form Subtest Item Weight Incorrect &amp;elementID=18014", "Click here to submit comment")</f>
        <v>Click here to submit comment</v>
      </c>
      <c r="R3830" s="14">
        <v>48450</v>
      </c>
    </row>
    <row r="3831" spans="1:18" ht="105" x14ac:dyDescent="0.25">
      <c r="A3831" s="14" t="s">
        <v>9103</v>
      </c>
      <c r="B3831" s="14" t="s">
        <v>9112</v>
      </c>
      <c r="C3831" s="14" t="s">
        <v>9116</v>
      </c>
      <c r="D3831" s="14" t="s">
        <v>8531</v>
      </c>
      <c r="E3831" s="14" t="s">
        <v>688</v>
      </c>
      <c r="F3831" s="14" t="s">
        <v>689</v>
      </c>
      <c r="G3831" s="14" t="s">
        <v>37</v>
      </c>
      <c r="H3831" s="14"/>
      <c r="I3831" s="14"/>
      <c r="J3831" s="14" t="s">
        <v>165</v>
      </c>
      <c r="K3831" s="14"/>
      <c r="L3831" s="14"/>
      <c r="M3831" s="14" t="s">
        <v>690</v>
      </c>
      <c r="N3831" s="14"/>
      <c r="O3831" s="14" t="s">
        <v>691</v>
      </c>
      <c r="P3831" s="14" t="str">
        <f>HYPERLINK("https://ceds.ed.gov/cedselementdetails.aspx?termid=18015")</f>
        <v>https://ceds.ed.gov/cedselementdetails.aspx?termid=18015</v>
      </c>
      <c r="Q3831" s="14" t="str">
        <f>HYPERLINK("https://ceds.ed.gov/elementComment.aspx?elementName=Assessment Form Subtest Item Weight Not Attempted &amp;elementID=18015", "Click here to submit comment")</f>
        <v>Click here to submit comment</v>
      </c>
      <c r="R3831" s="14">
        <v>48451</v>
      </c>
    </row>
    <row r="3832" spans="1:18" ht="105" x14ac:dyDescent="0.25">
      <c r="A3832" s="16" t="s">
        <v>9103</v>
      </c>
      <c r="B3832" s="16" t="s">
        <v>9117</v>
      </c>
      <c r="C3832" s="16"/>
      <c r="D3832" s="16" t="s">
        <v>8531</v>
      </c>
      <c r="E3832" s="16" t="s">
        <v>877</v>
      </c>
      <c r="F3832" s="16" t="s">
        <v>878</v>
      </c>
      <c r="G3832" s="16" t="s">
        <v>37</v>
      </c>
      <c r="H3832" s="16" t="s">
        <v>727</v>
      </c>
      <c r="I3832" s="16"/>
      <c r="J3832" s="16" t="s">
        <v>149</v>
      </c>
      <c r="K3832" s="16"/>
      <c r="L3832" s="14" t="s">
        <v>150</v>
      </c>
      <c r="M3832" s="16" t="s">
        <v>879</v>
      </c>
      <c r="N3832" s="16"/>
      <c r="O3832" s="16" t="s">
        <v>880</v>
      </c>
      <c r="P3832" s="16" t="str">
        <f>HYPERLINK("https://ceds.ed.gov/cedselementdetails.aspx?termid=17623")</f>
        <v>https://ceds.ed.gov/cedselementdetails.aspx?termid=17623</v>
      </c>
      <c r="Q3832" s="16" t="str">
        <f>HYPERLINK("https://ceds.ed.gov/elementComment.aspx?elementName=Assessment Item Identifier &amp;elementID=17623", "Click here to submit comment")</f>
        <v>Click here to submit comment</v>
      </c>
      <c r="R3832" s="16">
        <v>48202</v>
      </c>
    </row>
    <row r="3833" spans="1:18" x14ac:dyDescent="0.25">
      <c r="A3833" s="16"/>
      <c r="B3833" s="16"/>
      <c r="C3833" s="16"/>
      <c r="D3833" s="16"/>
      <c r="E3833" s="16"/>
      <c r="F3833" s="16"/>
      <c r="G3833" s="16"/>
      <c r="H3833" s="16"/>
      <c r="I3833" s="16"/>
      <c r="J3833" s="16"/>
      <c r="K3833" s="16"/>
      <c r="L3833" s="14"/>
      <c r="M3833" s="16"/>
      <c r="N3833" s="16"/>
      <c r="O3833" s="16"/>
      <c r="P3833" s="16"/>
      <c r="Q3833" s="16"/>
      <c r="R3833" s="16"/>
    </row>
    <row r="3834" spans="1:18" ht="90" x14ac:dyDescent="0.25">
      <c r="A3834" s="16"/>
      <c r="B3834" s="16"/>
      <c r="C3834" s="16"/>
      <c r="D3834" s="16"/>
      <c r="E3834" s="16"/>
      <c r="F3834" s="16"/>
      <c r="G3834" s="16"/>
      <c r="H3834" s="16"/>
      <c r="I3834" s="16"/>
      <c r="J3834" s="16"/>
      <c r="K3834" s="16"/>
      <c r="L3834" s="14" t="s">
        <v>153</v>
      </c>
      <c r="M3834" s="16"/>
      <c r="N3834" s="16"/>
      <c r="O3834" s="16"/>
      <c r="P3834" s="16"/>
      <c r="Q3834" s="16"/>
      <c r="R3834" s="16"/>
    </row>
    <row r="3835" spans="1:18" ht="315" x14ac:dyDescent="0.25">
      <c r="A3835" s="14" t="s">
        <v>9103</v>
      </c>
      <c r="B3835" s="14" t="s">
        <v>9117</v>
      </c>
      <c r="C3835" s="14"/>
      <c r="D3835" s="14" t="s">
        <v>8531</v>
      </c>
      <c r="E3835" s="14" t="s">
        <v>1079</v>
      </c>
      <c r="F3835" s="14" t="s">
        <v>1080</v>
      </c>
      <c r="G3835" s="8" t="s">
        <v>9118</v>
      </c>
      <c r="H3835" s="14" t="s">
        <v>727</v>
      </c>
      <c r="I3835" s="14"/>
      <c r="J3835" s="14"/>
      <c r="K3835" s="14"/>
      <c r="L3835" s="14"/>
      <c r="M3835" s="14" t="s">
        <v>1082</v>
      </c>
      <c r="N3835" s="14"/>
      <c r="O3835" s="14" t="s">
        <v>1083</v>
      </c>
      <c r="P3835" s="14" t="str">
        <f>HYPERLINK("https://ceds.ed.gov/cedselementdetails.aspx?termid=17382")</f>
        <v>https://ceds.ed.gov/cedselementdetails.aspx?termid=17382</v>
      </c>
      <c r="Q3835" s="14" t="str">
        <f>HYPERLINK("https://ceds.ed.gov/elementComment.aspx?elementName=Assessment Item Type &amp;elementID=17382", "Click here to submit comment")</f>
        <v>Click here to submit comment</v>
      </c>
      <c r="R3835" s="14">
        <v>48193</v>
      </c>
    </row>
    <row r="3836" spans="1:18" ht="105" x14ac:dyDescent="0.25">
      <c r="A3836" s="16" t="s">
        <v>9103</v>
      </c>
      <c r="B3836" s="16" t="s">
        <v>9117</v>
      </c>
      <c r="C3836" s="16"/>
      <c r="D3836" s="16" t="s">
        <v>8531</v>
      </c>
      <c r="E3836" s="16" t="s">
        <v>760</v>
      </c>
      <c r="F3836" s="16" t="s">
        <v>761</v>
      </c>
      <c r="G3836" s="16" t="s">
        <v>37</v>
      </c>
      <c r="H3836" s="16"/>
      <c r="I3836" s="16"/>
      <c r="J3836" s="16" t="s">
        <v>149</v>
      </c>
      <c r="K3836" s="16"/>
      <c r="L3836" s="14" t="s">
        <v>150</v>
      </c>
      <c r="M3836" s="16" t="s">
        <v>762</v>
      </c>
      <c r="N3836" s="16"/>
      <c r="O3836" s="16" t="s">
        <v>763</v>
      </c>
      <c r="P3836" s="16" t="str">
        <f>HYPERLINK("https://ceds.ed.gov/cedselementdetails.aspx?termid=18132")</f>
        <v>https://ceds.ed.gov/cedselementdetails.aspx?termid=18132</v>
      </c>
      <c r="Q3836" s="16" t="str">
        <f>HYPERLINK("https://ceds.ed.gov/elementComment.aspx?elementName=Assessment Item Bank Identifier &amp;elementID=18132", "Click here to submit comment")</f>
        <v>Click here to submit comment</v>
      </c>
      <c r="R3836" s="16">
        <v>49480</v>
      </c>
    </row>
    <row r="3837" spans="1:18" x14ac:dyDescent="0.25">
      <c r="A3837" s="16"/>
      <c r="B3837" s="16"/>
      <c r="C3837" s="16"/>
      <c r="D3837" s="16"/>
      <c r="E3837" s="16"/>
      <c r="F3837" s="16"/>
      <c r="G3837" s="16"/>
      <c r="H3837" s="16"/>
      <c r="I3837" s="16"/>
      <c r="J3837" s="16"/>
      <c r="K3837" s="16"/>
      <c r="L3837" s="14"/>
      <c r="M3837" s="16"/>
      <c r="N3837" s="16"/>
      <c r="O3837" s="16"/>
      <c r="P3837" s="16"/>
      <c r="Q3837" s="16"/>
      <c r="R3837" s="16"/>
    </row>
    <row r="3838" spans="1:18" ht="90" x14ac:dyDescent="0.25">
      <c r="A3838" s="16"/>
      <c r="B3838" s="16"/>
      <c r="C3838" s="16"/>
      <c r="D3838" s="16"/>
      <c r="E3838" s="16"/>
      <c r="F3838" s="16"/>
      <c r="G3838" s="16"/>
      <c r="H3838" s="16"/>
      <c r="I3838" s="16"/>
      <c r="J3838" s="16"/>
      <c r="K3838" s="16"/>
      <c r="L3838" s="14" t="s">
        <v>153</v>
      </c>
      <c r="M3838" s="16"/>
      <c r="N3838" s="16"/>
      <c r="O3838" s="16"/>
      <c r="P3838" s="16"/>
      <c r="Q3838" s="16"/>
      <c r="R3838" s="16"/>
    </row>
    <row r="3839" spans="1:18" ht="45" x14ac:dyDescent="0.25">
      <c r="A3839" s="14" t="s">
        <v>9103</v>
      </c>
      <c r="B3839" s="14" t="s">
        <v>9117</v>
      </c>
      <c r="C3839" s="14"/>
      <c r="D3839" s="14" t="s">
        <v>8531</v>
      </c>
      <c r="E3839" s="14" t="s">
        <v>764</v>
      </c>
      <c r="F3839" s="14" t="s">
        <v>765</v>
      </c>
      <c r="G3839" s="14" t="s">
        <v>37</v>
      </c>
      <c r="H3839" s="14"/>
      <c r="I3839" s="14"/>
      <c r="J3839" s="14" t="s">
        <v>175</v>
      </c>
      <c r="K3839" s="14"/>
      <c r="L3839" s="14"/>
      <c r="M3839" s="14" t="s">
        <v>766</v>
      </c>
      <c r="N3839" s="14"/>
      <c r="O3839" s="14" t="s">
        <v>767</v>
      </c>
      <c r="P3839" s="14" t="str">
        <f>HYPERLINK("https://ceds.ed.gov/cedselementdetails.aspx?termid=18133")</f>
        <v>https://ceds.ed.gov/cedselementdetails.aspx?termid=18133</v>
      </c>
      <c r="Q3839" s="14" t="str">
        <f>HYPERLINK("https://ceds.ed.gov/elementComment.aspx?elementName=Assessment Item Bank Name &amp;elementID=18133", "Click here to submit comment")</f>
        <v>Click here to submit comment</v>
      </c>
      <c r="R3839" s="14">
        <v>49482</v>
      </c>
    </row>
    <row r="3840" spans="1:18" ht="45" x14ac:dyDescent="0.25">
      <c r="A3840" s="14" t="s">
        <v>9103</v>
      </c>
      <c r="B3840" s="14" t="s">
        <v>9117</v>
      </c>
      <c r="C3840" s="14"/>
      <c r="D3840" s="14" t="s">
        <v>8531</v>
      </c>
      <c r="E3840" s="14" t="s">
        <v>921</v>
      </c>
      <c r="F3840" s="14" t="s">
        <v>922</v>
      </c>
      <c r="G3840" s="14" t="s">
        <v>24</v>
      </c>
      <c r="H3840" s="14"/>
      <c r="I3840" s="14"/>
      <c r="J3840" s="14"/>
      <c r="K3840" s="14"/>
      <c r="L3840" s="14"/>
      <c r="M3840" s="14" t="s">
        <v>923</v>
      </c>
      <c r="N3840" s="14"/>
      <c r="O3840" s="14" t="s">
        <v>924</v>
      </c>
      <c r="P3840" s="14" t="str">
        <f>HYPERLINK("https://ceds.ed.gov/cedselementdetails.aspx?termid=18229")</f>
        <v>https://ceds.ed.gov/cedselementdetails.aspx?termid=18229</v>
      </c>
      <c r="Q3840" s="14" t="str">
        <f>HYPERLINK("https://ceds.ed.gov/elementComment.aspx?elementName=Assessment Item Release Status &amp;elementID=18229", "Click here to submit comment")</f>
        <v>Click here to submit comment</v>
      </c>
      <c r="R3840" s="14">
        <v>49116</v>
      </c>
    </row>
    <row r="3841" spans="1:18" ht="330" x14ac:dyDescent="0.25">
      <c r="A3841" s="14" t="s">
        <v>9103</v>
      </c>
      <c r="B3841" s="14" t="s">
        <v>9117</v>
      </c>
      <c r="C3841" s="14"/>
      <c r="D3841" s="14" t="s">
        <v>8531</v>
      </c>
      <c r="E3841" s="14" t="s">
        <v>472</v>
      </c>
      <c r="F3841" s="14" t="s">
        <v>473</v>
      </c>
      <c r="G3841" s="8" t="s">
        <v>9111</v>
      </c>
      <c r="H3841" s="14" t="s">
        <v>478</v>
      </c>
      <c r="I3841" s="14"/>
      <c r="J3841" s="14"/>
      <c r="K3841" s="14"/>
      <c r="L3841" s="14"/>
      <c r="M3841" s="14" t="s">
        <v>476</v>
      </c>
      <c r="N3841" s="14"/>
      <c r="O3841" s="14" t="s">
        <v>477</v>
      </c>
      <c r="P3841" s="14" t="str">
        <f>HYPERLINK("https://ceds.ed.gov/cedselementdetails.aspx?termid=17021")</f>
        <v>https://ceds.ed.gov/cedselementdetails.aspx?termid=17021</v>
      </c>
      <c r="Q3841" s="14" t="str">
        <f>HYPERLINK("https://ceds.ed.gov/elementComment.aspx?elementName=Assessment Academic Subject &amp;elementID=17021", "Click here to submit comment")</f>
        <v>Click here to submit comment</v>
      </c>
      <c r="R3841" s="14">
        <v>49114</v>
      </c>
    </row>
    <row r="3842" spans="1:18" ht="105" x14ac:dyDescent="0.25">
      <c r="A3842" s="14" t="s">
        <v>9103</v>
      </c>
      <c r="B3842" s="14" t="s">
        <v>9117</v>
      </c>
      <c r="C3842" s="14"/>
      <c r="D3842" s="14" t="s">
        <v>8531</v>
      </c>
      <c r="E3842" s="14" t="s">
        <v>6343</v>
      </c>
      <c r="F3842" s="14" t="s">
        <v>6344</v>
      </c>
      <c r="G3842" s="8" t="s">
        <v>9119</v>
      </c>
      <c r="H3842" s="14"/>
      <c r="I3842" s="14"/>
      <c r="J3842" s="14"/>
      <c r="K3842" s="14"/>
      <c r="L3842" s="14"/>
      <c r="M3842" s="14" t="s">
        <v>6346</v>
      </c>
      <c r="N3842" s="14"/>
      <c r="O3842" s="14" t="s">
        <v>6347</v>
      </c>
      <c r="P3842" s="14" t="str">
        <f>HYPERLINK("https://ceds.ed.gov/cedselementdetails.aspx?termid=18166")</f>
        <v>https://ceds.ed.gov/cedselementdetails.aspx?termid=18166</v>
      </c>
      <c r="Q3842" s="14" t="str">
        <f>HYPERLINK("https://ceds.ed.gov/elementComment.aspx?elementName=NAEP Aspects of Reading &amp;elementID=18166", "Click here to submit comment")</f>
        <v>Click here to submit comment</v>
      </c>
      <c r="R3842" s="14">
        <v>48782</v>
      </c>
    </row>
    <row r="3843" spans="1:18" ht="75" x14ac:dyDescent="0.25">
      <c r="A3843" s="14" t="s">
        <v>9103</v>
      </c>
      <c r="B3843" s="14" t="s">
        <v>9117</v>
      </c>
      <c r="C3843" s="14"/>
      <c r="D3843" s="14" t="s">
        <v>8531</v>
      </c>
      <c r="E3843" s="14" t="s">
        <v>6348</v>
      </c>
      <c r="F3843" s="14" t="s">
        <v>6349</v>
      </c>
      <c r="G3843" s="8" t="s">
        <v>9120</v>
      </c>
      <c r="H3843" s="14"/>
      <c r="I3843" s="14"/>
      <c r="J3843" s="14"/>
      <c r="K3843" s="14"/>
      <c r="L3843" s="14"/>
      <c r="M3843" s="14" t="s">
        <v>6351</v>
      </c>
      <c r="N3843" s="14"/>
      <c r="O3843" s="14" t="s">
        <v>6352</v>
      </c>
      <c r="P3843" s="14" t="str">
        <f>HYPERLINK("https://ceds.ed.gov/cedselementdetails.aspx?termid=18072")</f>
        <v>https://ceds.ed.gov/cedselementdetails.aspx?termid=18072</v>
      </c>
      <c r="Q3843" s="14" t="str">
        <f>HYPERLINK("https://ceds.ed.gov/elementComment.aspx?elementName=NAEP Mathematical Complexity Level &amp;elementID=18072", "Click here to submit comment")</f>
        <v>Click here to submit comment</v>
      </c>
      <c r="R3843" s="14">
        <v>48511</v>
      </c>
    </row>
    <row r="3844" spans="1:18" ht="360" x14ac:dyDescent="0.25">
      <c r="A3844" s="14" t="s">
        <v>9103</v>
      </c>
      <c r="B3844" s="14" t="s">
        <v>9117</v>
      </c>
      <c r="C3844" s="14"/>
      <c r="D3844" s="14" t="s">
        <v>8531</v>
      </c>
      <c r="E3844" s="14" t="s">
        <v>1090</v>
      </c>
      <c r="F3844" s="14" t="s">
        <v>1091</v>
      </c>
      <c r="G3844" s="8" t="s">
        <v>8628</v>
      </c>
      <c r="H3844" s="14" t="s">
        <v>1096</v>
      </c>
      <c r="I3844" s="14"/>
      <c r="J3844" s="14"/>
      <c r="K3844" s="14"/>
      <c r="L3844" s="14"/>
      <c r="M3844" s="14" t="s">
        <v>1094</v>
      </c>
      <c r="N3844" s="14"/>
      <c r="O3844" s="14" t="s">
        <v>1095</v>
      </c>
      <c r="P3844" s="14" t="str">
        <f>HYPERLINK("https://ceds.ed.gov/cedselementdetails.aspx?termid=17177")</f>
        <v>https://ceds.ed.gov/cedselementdetails.aspx?termid=17177</v>
      </c>
      <c r="Q3844" s="14" t="str">
        <f>HYPERLINK("https://ceds.ed.gov/elementComment.aspx?elementName=Assessment Level for Which Designed &amp;elementID=17177", "Click here to submit comment")</f>
        <v>Click here to submit comment</v>
      </c>
      <c r="R3844" s="14">
        <v>50795</v>
      </c>
    </row>
    <row r="3845" spans="1:18" ht="60" x14ac:dyDescent="0.25">
      <c r="A3845" s="14" t="s">
        <v>9103</v>
      </c>
      <c r="B3845" s="14" t="s">
        <v>9117</v>
      </c>
      <c r="C3845" s="14"/>
      <c r="D3845" s="14" t="s">
        <v>8531</v>
      </c>
      <c r="E3845" s="14" t="s">
        <v>886</v>
      </c>
      <c r="F3845" s="14" t="s">
        <v>887</v>
      </c>
      <c r="G3845" s="14" t="s">
        <v>24</v>
      </c>
      <c r="H3845" s="14"/>
      <c r="I3845" s="14"/>
      <c r="J3845" s="14"/>
      <c r="K3845" s="14"/>
      <c r="L3845" s="14"/>
      <c r="M3845" s="14" t="s">
        <v>888</v>
      </c>
      <c r="N3845" s="14"/>
      <c r="O3845" s="14" t="s">
        <v>889</v>
      </c>
      <c r="P3845" s="14" t="str">
        <f>HYPERLINK("https://ceds.ed.gov/cedselementdetails.aspx?termid=18227")</f>
        <v>https://ceds.ed.gov/cedselementdetails.aspx?termid=18227</v>
      </c>
      <c r="Q3845" s="14" t="str">
        <f>HYPERLINK("https://ceds.ed.gov/elementComment.aspx?elementName=Assessment Item Linking Item Indicator &amp;elementID=18227", "Click here to submit comment")</f>
        <v>Click here to submit comment</v>
      </c>
      <c r="R3845" s="14">
        <v>49111</v>
      </c>
    </row>
    <row r="3846" spans="1:18" ht="60" x14ac:dyDescent="0.25">
      <c r="A3846" s="14" t="s">
        <v>9103</v>
      </c>
      <c r="B3846" s="14" t="s">
        <v>9117</v>
      </c>
      <c r="C3846" s="14"/>
      <c r="D3846" s="14" t="s">
        <v>8531</v>
      </c>
      <c r="E3846" s="14" t="s">
        <v>845</v>
      </c>
      <c r="F3846" s="14" t="s">
        <v>846</v>
      </c>
      <c r="G3846" s="14" t="s">
        <v>37</v>
      </c>
      <c r="H3846" s="14"/>
      <c r="I3846" s="14"/>
      <c r="J3846" s="14" t="s">
        <v>382</v>
      </c>
      <c r="K3846" s="14"/>
      <c r="L3846" s="14"/>
      <c r="M3846" s="14" t="s">
        <v>847</v>
      </c>
      <c r="N3846" s="14"/>
      <c r="O3846" s="14" t="s">
        <v>848</v>
      </c>
      <c r="P3846" s="14" t="str">
        <f>HYPERLINK("https://ceds.ed.gov/cedselementdetails.aspx?termid=18233")</f>
        <v>https://ceds.ed.gov/cedselementdetails.aspx?termid=18233</v>
      </c>
      <c r="Q3846" s="14" t="str">
        <f>HYPERLINK("https://ceds.ed.gov/elementComment.aspx?elementName=Assessment Item Body Text &amp;elementID=18233", "Click here to submit comment")</f>
        <v>Click here to submit comment</v>
      </c>
      <c r="R3846" s="14">
        <v>49124</v>
      </c>
    </row>
    <row r="3847" spans="1:18" ht="90" x14ac:dyDescent="0.25">
      <c r="A3847" s="14" t="s">
        <v>9103</v>
      </c>
      <c r="B3847" s="14" t="s">
        <v>9117</v>
      </c>
      <c r="C3847" s="14"/>
      <c r="D3847" s="14" t="s">
        <v>8531</v>
      </c>
      <c r="E3847" s="14" t="s">
        <v>1066</v>
      </c>
      <c r="F3847" s="14" t="s">
        <v>1067</v>
      </c>
      <c r="G3847" s="14" t="s">
        <v>37</v>
      </c>
      <c r="H3847" s="14"/>
      <c r="I3847" s="14"/>
      <c r="J3847" s="14" t="s">
        <v>382</v>
      </c>
      <c r="K3847" s="14"/>
      <c r="L3847" s="14"/>
      <c r="M3847" s="14" t="s">
        <v>1068</v>
      </c>
      <c r="N3847" s="14"/>
      <c r="O3847" s="14" t="s">
        <v>1069</v>
      </c>
      <c r="P3847" s="14" t="str">
        <f>HYPERLINK("https://ceds.ed.gov/cedselementdetails.aspx?termid=18234")</f>
        <v>https://ceds.ed.gov/cedselementdetails.aspx?termid=18234</v>
      </c>
      <c r="Q3847" s="14" t="str">
        <f>HYPERLINK("https://ceds.ed.gov/elementComment.aspx?elementName=Assessment Item Stimulus &amp;elementID=18234", "Click here to submit comment")</f>
        <v>Click here to submit comment</v>
      </c>
      <c r="R3847" s="14">
        <v>49126</v>
      </c>
    </row>
    <row r="3848" spans="1:18" ht="45" x14ac:dyDescent="0.25">
      <c r="A3848" s="14" t="s">
        <v>9103</v>
      </c>
      <c r="B3848" s="14" t="s">
        <v>9117</v>
      </c>
      <c r="C3848" s="14"/>
      <c r="D3848" s="14" t="s">
        <v>8531</v>
      </c>
      <c r="E3848" s="14" t="s">
        <v>867</v>
      </c>
      <c r="F3848" s="14" t="s">
        <v>868</v>
      </c>
      <c r="G3848" s="14" t="s">
        <v>37</v>
      </c>
      <c r="H3848" s="14" t="s">
        <v>727</v>
      </c>
      <c r="I3848" s="14"/>
      <c r="J3848" s="14" t="s">
        <v>869</v>
      </c>
      <c r="K3848" s="14"/>
      <c r="L3848" s="14"/>
      <c r="M3848" s="14" t="s">
        <v>870</v>
      </c>
      <c r="N3848" s="14"/>
      <c r="O3848" s="14" t="s">
        <v>871</v>
      </c>
      <c r="P3848" s="14" t="str">
        <f>HYPERLINK("https://ceds.ed.gov/cedselementdetails.aspx?termid=17383")</f>
        <v>https://ceds.ed.gov/cedselementdetails.aspx?termid=17383</v>
      </c>
      <c r="Q3848" s="14" t="str">
        <f>HYPERLINK("https://ceds.ed.gov/elementComment.aspx?elementName=Assessment Item Difficulty &amp;elementID=17383", "Click here to submit comment")</f>
        <v>Click here to submit comment</v>
      </c>
      <c r="R3848" s="14">
        <v>48194</v>
      </c>
    </row>
    <row r="3849" spans="1:18" ht="45" x14ac:dyDescent="0.25">
      <c r="A3849" s="14" t="s">
        <v>9103</v>
      </c>
      <c r="B3849" s="14" t="s">
        <v>9117</v>
      </c>
      <c r="C3849" s="14"/>
      <c r="D3849" s="14" t="s">
        <v>8531</v>
      </c>
      <c r="E3849" s="14" t="s">
        <v>872</v>
      </c>
      <c r="F3849" s="14" t="s">
        <v>873</v>
      </c>
      <c r="G3849" s="14" t="s">
        <v>37</v>
      </c>
      <c r="H3849" s="14" t="s">
        <v>727</v>
      </c>
      <c r="I3849" s="14"/>
      <c r="J3849" s="14" t="s">
        <v>874</v>
      </c>
      <c r="K3849" s="14"/>
      <c r="L3849" s="14"/>
      <c r="M3849" s="14" t="s">
        <v>875</v>
      </c>
      <c r="N3849" s="14"/>
      <c r="O3849" s="14" t="s">
        <v>876</v>
      </c>
      <c r="P3849" s="14" t="str">
        <f>HYPERLINK("https://ceds.ed.gov/cedselementdetails.aspx?termid=17390")</f>
        <v>https://ceds.ed.gov/cedselementdetails.aspx?termid=17390</v>
      </c>
      <c r="Q3849" s="14" t="str">
        <f>HYPERLINK("https://ceds.ed.gov/elementComment.aspx?elementName=Assessment Item Distractor Analysis &amp;elementID=17390", "Click here to submit comment")</f>
        <v>Click here to submit comment</v>
      </c>
      <c r="R3849" s="14">
        <v>48196</v>
      </c>
    </row>
    <row r="3850" spans="1:18" ht="45" x14ac:dyDescent="0.25">
      <c r="A3850" s="14" t="s">
        <v>9103</v>
      </c>
      <c r="B3850" s="14" t="s">
        <v>9117</v>
      </c>
      <c r="C3850" s="14"/>
      <c r="D3850" s="14" t="s">
        <v>8531</v>
      </c>
      <c r="E3850" s="14" t="s">
        <v>1062</v>
      </c>
      <c r="F3850" s="14" t="s">
        <v>1063</v>
      </c>
      <c r="G3850" s="14" t="s">
        <v>37</v>
      </c>
      <c r="H3850" s="14" t="s">
        <v>727</v>
      </c>
      <c r="I3850" s="14"/>
      <c r="J3850" s="14" t="s">
        <v>382</v>
      </c>
      <c r="K3850" s="14"/>
      <c r="L3850" s="14"/>
      <c r="M3850" s="14" t="s">
        <v>1064</v>
      </c>
      <c r="N3850" s="14"/>
      <c r="O3850" s="14" t="s">
        <v>1065</v>
      </c>
      <c r="P3850" s="14" t="str">
        <f>HYPERLINK("https://ceds.ed.gov/cedselementdetails.aspx?termid=17392")</f>
        <v>https://ceds.ed.gov/cedselementdetails.aspx?termid=17392</v>
      </c>
      <c r="Q3850" s="14" t="str">
        <f>HYPERLINK("https://ceds.ed.gov/elementComment.aspx?elementName=Assessment Item Stem &amp;elementID=17392", "Click here to submit comment")</f>
        <v>Click here to submit comment</v>
      </c>
      <c r="R3850" s="14">
        <v>48197</v>
      </c>
    </row>
    <row r="3851" spans="1:18" ht="45" x14ac:dyDescent="0.25">
      <c r="A3851" s="14" t="s">
        <v>9103</v>
      </c>
      <c r="B3851" s="14" t="s">
        <v>9117</v>
      </c>
      <c r="C3851" s="14"/>
      <c r="D3851" s="14" t="s">
        <v>8531</v>
      </c>
      <c r="E3851" s="14" t="s">
        <v>722</v>
      </c>
      <c r="F3851" s="14" t="s">
        <v>723</v>
      </c>
      <c r="G3851" s="14" t="s">
        <v>37</v>
      </c>
      <c r="H3851" s="14" t="s">
        <v>727</v>
      </c>
      <c r="I3851" s="14"/>
      <c r="J3851" s="14" t="s">
        <v>501</v>
      </c>
      <c r="K3851" s="14"/>
      <c r="L3851" s="14"/>
      <c r="M3851" s="14" t="s">
        <v>725</v>
      </c>
      <c r="N3851" s="14"/>
      <c r="O3851" s="14" t="s">
        <v>726</v>
      </c>
      <c r="P3851" s="14" t="str">
        <f>HYPERLINK("https://ceds.ed.gov/cedselementdetails.aspx?termid=17395")</f>
        <v>https://ceds.ed.gov/cedselementdetails.aspx?termid=17395</v>
      </c>
      <c r="Q3851" s="14" t="str">
        <f>HYPERLINK("https://ceds.ed.gov/elementComment.aspx?elementName=Assessment Item Allotted Time &amp;elementID=17395", "Click here to submit comment")</f>
        <v>Click here to submit comment</v>
      </c>
      <c r="R3851" s="14">
        <v>48198</v>
      </c>
    </row>
    <row r="3852" spans="1:18" ht="75" x14ac:dyDescent="0.25">
      <c r="A3852" s="14" t="s">
        <v>9103</v>
      </c>
      <c r="B3852" s="14" t="s">
        <v>9117</v>
      </c>
      <c r="C3852" s="14"/>
      <c r="D3852" s="14" t="s">
        <v>8531</v>
      </c>
      <c r="E3852" s="14" t="s">
        <v>1075</v>
      </c>
      <c r="F3852" s="14" t="s">
        <v>1076</v>
      </c>
      <c r="G3852" s="14" t="s">
        <v>37</v>
      </c>
      <c r="H3852" s="14"/>
      <c r="I3852" s="14"/>
      <c r="J3852" s="14" t="s">
        <v>97</v>
      </c>
      <c r="K3852" s="14"/>
      <c r="L3852" s="14"/>
      <c r="M3852" s="14" t="s">
        <v>1077</v>
      </c>
      <c r="N3852" s="14"/>
      <c r="O3852" s="14" t="s">
        <v>1078</v>
      </c>
      <c r="P3852" s="14" t="str">
        <f>HYPERLINK("https://ceds.ed.gov/cedselementdetails.aspx?termid=17906")</f>
        <v>https://ceds.ed.gov/cedselementdetails.aspx?termid=17906</v>
      </c>
      <c r="Q3852" s="14" t="str">
        <f>HYPERLINK("https://ceds.ed.gov/elementComment.aspx?elementName=Assessment Item Text Complexity Value &amp;elementID=17906", "Click here to submit comment")</f>
        <v>Click here to submit comment</v>
      </c>
      <c r="R3852" s="14">
        <v>48366</v>
      </c>
    </row>
    <row r="3853" spans="1:18" ht="300" x14ac:dyDescent="0.25">
      <c r="A3853" s="14" t="s">
        <v>9103</v>
      </c>
      <c r="B3853" s="14" t="s">
        <v>9117</v>
      </c>
      <c r="C3853" s="14"/>
      <c r="D3853" s="14" t="s">
        <v>8531</v>
      </c>
      <c r="E3853" s="14" t="s">
        <v>1070</v>
      </c>
      <c r="F3853" s="14" t="s">
        <v>1071</v>
      </c>
      <c r="G3853" s="8" t="s">
        <v>9121</v>
      </c>
      <c r="H3853" s="14"/>
      <c r="I3853" s="14"/>
      <c r="J3853" s="14"/>
      <c r="K3853" s="14"/>
      <c r="L3853" s="14"/>
      <c r="M3853" s="14" t="s">
        <v>1073</v>
      </c>
      <c r="N3853" s="14"/>
      <c r="O3853" s="14" t="s">
        <v>1074</v>
      </c>
      <c r="P3853" s="14" t="str">
        <f>HYPERLINK("https://ceds.ed.gov/cedselementdetails.aspx?termid=17907")</f>
        <v>https://ceds.ed.gov/cedselementdetails.aspx?termid=17907</v>
      </c>
      <c r="Q3853" s="14" t="str">
        <f>HYPERLINK("https://ceds.ed.gov/elementComment.aspx?elementName=Assessment Item Text Complexity System &amp;elementID=17907", "Click here to submit comment")</f>
        <v>Click here to submit comment</v>
      </c>
      <c r="R3853" s="14">
        <v>48367</v>
      </c>
    </row>
    <row r="3854" spans="1:18" ht="45" x14ac:dyDescent="0.25">
      <c r="A3854" s="14" t="s">
        <v>9103</v>
      </c>
      <c r="B3854" s="14" t="s">
        <v>9117</v>
      </c>
      <c r="C3854" s="14"/>
      <c r="D3854" s="14" t="s">
        <v>8531</v>
      </c>
      <c r="E3854" s="14" t="s">
        <v>894</v>
      </c>
      <c r="F3854" s="14" t="s">
        <v>895</v>
      </c>
      <c r="G3854" s="14" t="s">
        <v>37</v>
      </c>
      <c r="H3854" s="14"/>
      <c r="I3854" s="14"/>
      <c r="J3854" s="14" t="s">
        <v>165</v>
      </c>
      <c r="K3854" s="14"/>
      <c r="L3854" s="14"/>
      <c r="M3854" s="14" t="s">
        <v>896</v>
      </c>
      <c r="N3854" s="14"/>
      <c r="O3854" s="14" t="s">
        <v>897</v>
      </c>
      <c r="P3854" s="14" t="str">
        <f>HYPERLINK("https://ceds.ed.gov/cedselementdetails.aspx?termid=17684")</f>
        <v>https://ceds.ed.gov/cedselementdetails.aspx?termid=17684</v>
      </c>
      <c r="Q3854" s="14" t="str">
        <f>HYPERLINK("https://ceds.ed.gov/elementComment.aspx?elementName=Assessment Item Minimum Score &amp;elementID=17684", "Click here to submit comment")</f>
        <v>Click here to submit comment</v>
      </c>
      <c r="R3854" s="14">
        <v>48204</v>
      </c>
    </row>
    <row r="3855" spans="1:18" ht="45" x14ac:dyDescent="0.25">
      <c r="A3855" s="14" t="s">
        <v>9103</v>
      </c>
      <c r="B3855" s="14" t="s">
        <v>9117</v>
      </c>
      <c r="C3855" s="14"/>
      <c r="D3855" s="14" t="s">
        <v>8531</v>
      </c>
      <c r="E3855" s="14" t="s">
        <v>890</v>
      </c>
      <c r="F3855" s="14" t="s">
        <v>891</v>
      </c>
      <c r="G3855" s="14" t="s">
        <v>37</v>
      </c>
      <c r="H3855" s="14"/>
      <c r="I3855" s="14"/>
      <c r="J3855" s="14" t="s">
        <v>165</v>
      </c>
      <c r="K3855" s="14"/>
      <c r="L3855" s="14"/>
      <c r="M3855" s="14" t="s">
        <v>892</v>
      </c>
      <c r="N3855" s="14"/>
      <c r="O3855" s="14" t="s">
        <v>893</v>
      </c>
      <c r="P3855" s="14" t="str">
        <f>HYPERLINK("https://ceds.ed.gov/cedselementdetails.aspx?termid=17683")</f>
        <v>https://ceds.ed.gov/cedselementdetails.aspx?termid=17683</v>
      </c>
      <c r="Q3855" s="14" t="str">
        <f>HYPERLINK("https://ceds.ed.gov/elementComment.aspx?elementName=Assessment Item Maximum Score &amp;elementID=17683", "Click here to submit comment")</f>
        <v>Click here to submit comment</v>
      </c>
      <c r="R3855" s="14">
        <v>48203</v>
      </c>
    </row>
    <row r="3856" spans="1:18" ht="150" x14ac:dyDescent="0.25">
      <c r="A3856" s="14" t="s">
        <v>9103</v>
      </c>
      <c r="B3856" s="14" t="s">
        <v>9117</v>
      </c>
      <c r="C3856" s="14"/>
      <c r="D3856" s="14" t="s">
        <v>8531</v>
      </c>
      <c r="E3856" s="14" t="s">
        <v>976</v>
      </c>
      <c r="F3856" s="14" t="s">
        <v>977</v>
      </c>
      <c r="G3856" s="14" t="s">
        <v>37</v>
      </c>
      <c r="H3856" s="14"/>
      <c r="I3856" s="14"/>
      <c r="J3856" s="14" t="s">
        <v>129</v>
      </c>
      <c r="K3856" s="14"/>
      <c r="L3856" s="14" t="s">
        <v>978</v>
      </c>
      <c r="M3856" s="14" t="s">
        <v>979</v>
      </c>
      <c r="N3856" s="14"/>
      <c r="O3856" s="14" t="s">
        <v>980</v>
      </c>
      <c r="P3856" s="14" t="str">
        <f>HYPERLINK("https://ceds.ed.gov/cedselementdetails.aspx?termid=17970")</f>
        <v>https://ceds.ed.gov/cedselementdetails.aspx?termid=17970</v>
      </c>
      <c r="Q3856" s="14" t="str">
        <f>HYPERLINK("https://ceds.ed.gov/elementComment.aspx?elementName=Assessment Item Response Security Issue &amp;elementID=17970", "Click here to submit comment")</f>
        <v>Click here to submit comment</v>
      </c>
      <c r="R3856" s="14">
        <v>49855</v>
      </c>
    </row>
    <row r="3857" spans="1:18" ht="45" x14ac:dyDescent="0.25">
      <c r="A3857" s="14" t="s">
        <v>9103</v>
      </c>
      <c r="B3857" s="14" t="s">
        <v>9117</v>
      </c>
      <c r="C3857" s="14" t="s">
        <v>9122</v>
      </c>
      <c r="D3857" s="14" t="s">
        <v>8531</v>
      </c>
      <c r="E3857" s="14" t="s">
        <v>913</v>
      </c>
      <c r="F3857" s="14" t="s">
        <v>914</v>
      </c>
      <c r="G3857" s="14" t="s">
        <v>37</v>
      </c>
      <c r="H3857" s="14"/>
      <c r="I3857" s="14"/>
      <c r="J3857" s="14" t="s">
        <v>370</v>
      </c>
      <c r="K3857" s="14"/>
      <c r="L3857" s="14"/>
      <c r="M3857" s="14" t="s">
        <v>915</v>
      </c>
      <c r="N3857" s="14"/>
      <c r="O3857" s="14" t="s">
        <v>916</v>
      </c>
      <c r="P3857" s="14" t="str">
        <f>HYPERLINK("https://ceds.ed.gov/cedselementdetails.aspx?termid=17905")</f>
        <v>https://ceds.ed.gov/cedselementdetails.aspx?termid=17905</v>
      </c>
      <c r="Q3857" s="14" t="str">
        <f>HYPERLINK("https://ceds.ed.gov/elementComment.aspx?elementName=Assessment Item Possible Response Sequence Number &amp;elementID=17905", "Click here to submit comment")</f>
        <v>Click here to submit comment</v>
      </c>
      <c r="R3857" s="14">
        <v>48365</v>
      </c>
    </row>
    <row r="3858" spans="1:18" ht="60" x14ac:dyDescent="0.25">
      <c r="A3858" s="14" t="s">
        <v>9103</v>
      </c>
      <c r="B3858" s="14" t="s">
        <v>9117</v>
      </c>
      <c r="C3858" s="14" t="s">
        <v>9122</v>
      </c>
      <c r="D3858" s="14" t="s">
        <v>8531</v>
      </c>
      <c r="E3858" s="14" t="s">
        <v>917</v>
      </c>
      <c r="F3858" s="14" t="s">
        <v>918</v>
      </c>
      <c r="G3858" s="14" t="s">
        <v>37</v>
      </c>
      <c r="H3858" s="14"/>
      <c r="I3858" s="14"/>
      <c r="J3858" s="14" t="s">
        <v>129</v>
      </c>
      <c r="K3858" s="14"/>
      <c r="L3858" s="14"/>
      <c r="M3858" s="14" t="s">
        <v>919</v>
      </c>
      <c r="N3858" s="14"/>
      <c r="O3858" s="14" t="s">
        <v>920</v>
      </c>
      <c r="P3858" s="14" t="str">
        <f>HYPERLINK("https://ceds.ed.gov/cedselementdetails.aspx?termid=17908")</f>
        <v>https://ceds.ed.gov/cedselementdetails.aspx?termid=17908</v>
      </c>
      <c r="Q3858" s="14" t="str">
        <f>HYPERLINK("https://ceds.ed.gov/elementComment.aspx?elementName=Assessment Item Possible Response Value &amp;elementID=17908", "Click here to submit comment")</f>
        <v>Click here to submit comment</v>
      </c>
      <c r="R3858" s="14">
        <v>48368</v>
      </c>
    </row>
    <row r="3859" spans="1:18" ht="60" x14ac:dyDescent="0.25">
      <c r="A3859" s="14" t="s">
        <v>9103</v>
      </c>
      <c r="B3859" s="14" t="s">
        <v>9117</v>
      </c>
      <c r="C3859" s="14" t="s">
        <v>9122</v>
      </c>
      <c r="D3859" s="14" t="s">
        <v>8531</v>
      </c>
      <c r="E3859" s="14" t="s">
        <v>909</v>
      </c>
      <c r="F3859" s="14" t="s">
        <v>910</v>
      </c>
      <c r="G3859" s="14" t="s">
        <v>37</v>
      </c>
      <c r="H3859" s="14"/>
      <c r="I3859" s="14"/>
      <c r="J3859" s="14" t="s">
        <v>382</v>
      </c>
      <c r="K3859" s="14"/>
      <c r="L3859" s="14"/>
      <c r="M3859" s="14" t="s">
        <v>911</v>
      </c>
      <c r="N3859" s="14"/>
      <c r="O3859" s="14" t="s">
        <v>912</v>
      </c>
      <c r="P3859" s="14" t="str">
        <f>HYPERLINK("https://ceds.ed.gov/cedselementdetails.aspx?termid=18235")</f>
        <v>https://ceds.ed.gov/cedselementdetails.aspx?termid=18235</v>
      </c>
      <c r="Q3859" s="14" t="str">
        <f>HYPERLINK("https://ceds.ed.gov/elementComment.aspx?elementName=Assessment Item Possible Response Option &amp;elementID=18235", "Click here to submit comment")</f>
        <v>Click here to submit comment</v>
      </c>
      <c r="R3859" s="14">
        <v>49128</v>
      </c>
    </row>
    <row r="3860" spans="1:18" ht="45" x14ac:dyDescent="0.25">
      <c r="A3860" s="14" t="s">
        <v>9103</v>
      </c>
      <c r="B3860" s="14" t="s">
        <v>9117</v>
      </c>
      <c r="C3860" s="14" t="s">
        <v>9122</v>
      </c>
      <c r="D3860" s="14" t="s">
        <v>8531</v>
      </c>
      <c r="E3860" s="14" t="s">
        <v>898</v>
      </c>
      <c r="F3860" s="14" t="s">
        <v>899</v>
      </c>
      <c r="G3860" s="14" t="s">
        <v>24</v>
      </c>
      <c r="H3860" s="14"/>
      <c r="I3860" s="14"/>
      <c r="J3860" s="14"/>
      <c r="K3860" s="14"/>
      <c r="L3860" s="14"/>
      <c r="M3860" s="14" t="s">
        <v>901</v>
      </c>
      <c r="N3860" s="14"/>
      <c r="O3860" s="14" t="s">
        <v>902</v>
      </c>
      <c r="P3860" s="14" t="str">
        <f>HYPERLINK("https://ceds.ed.gov/cedselementdetails.aspx?termid=18183")</f>
        <v>https://ceds.ed.gov/cedselementdetails.aspx?termid=18183</v>
      </c>
      <c r="Q3860" s="14" t="str">
        <f>HYPERLINK("https://ceds.ed.gov/elementComment.aspx?elementName=Assessment Item Possible Response Correct Indicator &amp;elementID=18183", "Click here to submit comment")</f>
        <v>Click here to submit comment</v>
      </c>
      <c r="R3860" s="14">
        <v>48628</v>
      </c>
    </row>
    <row r="3861" spans="1:18" ht="120" x14ac:dyDescent="0.25">
      <c r="A3861" s="14" t="s">
        <v>9103</v>
      </c>
      <c r="B3861" s="14" t="s">
        <v>9117</v>
      </c>
      <c r="C3861" s="14" t="s">
        <v>9122</v>
      </c>
      <c r="D3861" s="14" t="s">
        <v>8531</v>
      </c>
      <c r="E3861" s="14" t="s">
        <v>903</v>
      </c>
      <c r="F3861" s="14" t="s">
        <v>904</v>
      </c>
      <c r="G3861" s="14" t="s">
        <v>37</v>
      </c>
      <c r="H3861" s="14" t="s">
        <v>908</v>
      </c>
      <c r="I3861" s="14"/>
      <c r="J3861" s="14" t="s">
        <v>129</v>
      </c>
      <c r="K3861" s="14"/>
      <c r="L3861" s="14" t="s">
        <v>905</v>
      </c>
      <c r="M3861" s="14" t="s">
        <v>906</v>
      </c>
      <c r="N3861" s="14"/>
      <c r="O3861" s="14" t="s">
        <v>907</v>
      </c>
      <c r="P3861" s="14" t="str">
        <f>HYPERLINK("https://ceds.ed.gov/cedselementdetails.aspx?termid=17904")</f>
        <v>https://ceds.ed.gov/cedselementdetails.aspx?termid=17904</v>
      </c>
      <c r="Q3861" s="14" t="str">
        <f>HYPERLINK("https://ceds.ed.gov/elementComment.aspx?elementName=Assessment Item Possible Response Feedback Message &amp;elementID=17904", "Click here to submit comment")</f>
        <v>Click here to submit comment</v>
      </c>
      <c r="R3861" s="14">
        <v>48364</v>
      </c>
    </row>
    <row r="3862" spans="1:18" ht="45" x14ac:dyDescent="0.25">
      <c r="A3862" s="14" t="s">
        <v>9103</v>
      </c>
      <c r="B3862" s="14" t="s">
        <v>9117</v>
      </c>
      <c r="C3862" s="14" t="s">
        <v>9123</v>
      </c>
      <c r="D3862" s="14" t="s">
        <v>8531</v>
      </c>
      <c r="E3862" s="14" t="s">
        <v>981</v>
      </c>
      <c r="F3862" s="14" t="s">
        <v>982</v>
      </c>
      <c r="G3862" s="14" t="s">
        <v>37</v>
      </c>
      <c r="H3862" s="14"/>
      <c r="I3862" s="14"/>
      <c r="J3862" s="14" t="s">
        <v>135</v>
      </c>
      <c r="K3862" s="14"/>
      <c r="L3862" s="14"/>
      <c r="M3862" s="14" t="s">
        <v>983</v>
      </c>
      <c r="N3862" s="14"/>
      <c r="O3862" s="14" t="s">
        <v>984</v>
      </c>
      <c r="P3862" s="14" t="str">
        <f>HYPERLINK("https://ceds.ed.gov/cedselementdetails.aspx?termid=17960")</f>
        <v>https://ceds.ed.gov/cedselementdetails.aspx?termid=17960</v>
      </c>
      <c r="Q3862" s="14" t="str">
        <f>HYPERLINK("https://ceds.ed.gov/elementComment.aspx?elementName=Assessment Item Response Start Date &amp;elementID=17960", "Click here to submit comment")</f>
        <v>Click here to submit comment</v>
      </c>
      <c r="R3862" s="14">
        <v>48418</v>
      </c>
    </row>
    <row r="3863" spans="1:18" ht="45" x14ac:dyDescent="0.25">
      <c r="A3863" s="14" t="s">
        <v>9103</v>
      </c>
      <c r="B3863" s="14" t="s">
        <v>9117</v>
      </c>
      <c r="C3863" s="14" t="s">
        <v>9123</v>
      </c>
      <c r="D3863" s="14" t="s">
        <v>8531</v>
      </c>
      <c r="E3863" s="14" t="s">
        <v>985</v>
      </c>
      <c r="F3863" s="14" t="s">
        <v>986</v>
      </c>
      <c r="G3863" s="14" t="s">
        <v>37</v>
      </c>
      <c r="H3863" s="14"/>
      <c r="I3863" s="14"/>
      <c r="J3863" s="14" t="s">
        <v>946</v>
      </c>
      <c r="K3863" s="14"/>
      <c r="L3863" s="14"/>
      <c r="M3863" s="14" t="s">
        <v>987</v>
      </c>
      <c r="N3863" s="14"/>
      <c r="O3863" s="14" t="s">
        <v>988</v>
      </c>
      <c r="P3863" s="14" t="str">
        <f>HYPERLINK("https://ceds.ed.gov/cedselementdetails.aspx?termid=17959")</f>
        <v>https://ceds.ed.gov/cedselementdetails.aspx?termid=17959</v>
      </c>
      <c r="Q3863" s="14" t="str">
        <f>HYPERLINK("https://ceds.ed.gov/elementComment.aspx?elementName=Assessment Item Response Start Time &amp;elementID=17959", "Click here to submit comment")</f>
        <v>Click here to submit comment</v>
      </c>
      <c r="R3863" s="14">
        <v>48417</v>
      </c>
    </row>
    <row r="3864" spans="1:18" ht="105" x14ac:dyDescent="0.25">
      <c r="A3864" s="14" t="s">
        <v>9103</v>
      </c>
      <c r="B3864" s="14" t="s">
        <v>9117</v>
      </c>
      <c r="C3864" s="14" t="s">
        <v>9123</v>
      </c>
      <c r="D3864" s="14" t="s">
        <v>8531</v>
      </c>
      <c r="E3864" s="14" t="s">
        <v>949</v>
      </c>
      <c r="F3864" s="14" t="s">
        <v>950</v>
      </c>
      <c r="G3864" s="14" t="s">
        <v>37</v>
      </c>
      <c r="H3864" s="14"/>
      <c r="I3864" s="14"/>
      <c r="J3864" s="14" t="s">
        <v>946</v>
      </c>
      <c r="K3864" s="14"/>
      <c r="L3864" s="14" t="s">
        <v>951</v>
      </c>
      <c r="M3864" s="14" t="s">
        <v>952</v>
      </c>
      <c r="N3864" s="14"/>
      <c r="O3864" s="14" t="s">
        <v>953</v>
      </c>
      <c r="P3864" s="14" t="str">
        <f>HYPERLINK("https://ceds.ed.gov/cedselementdetails.aspx?termid=17958")</f>
        <v>https://ceds.ed.gov/cedselementdetails.aspx?termid=17958</v>
      </c>
      <c r="Q3864" s="14" t="str">
        <f>HYPERLINK("https://ceds.ed.gov/elementComment.aspx?elementName=Assessment Item Response First Attempt Duration &amp;elementID=17958", "Click here to submit comment")</f>
        <v>Click here to submit comment</v>
      </c>
      <c r="R3864" s="14">
        <v>48416</v>
      </c>
    </row>
    <row r="3865" spans="1:18" ht="60" x14ac:dyDescent="0.25">
      <c r="A3865" s="14" t="s">
        <v>9103</v>
      </c>
      <c r="B3865" s="14" t="s">
        <v>9117</v>
      </c>
      <c r="C3865" s="14" t="s">
        <v>9123</v>
      </c>
      <c r="D3865" s="14" t="s">
        <v>8531</v>
      </c>
      <c r="E3865" s="14" t="s">
        <v>944</v>
      </c>
      <c r="F3865" s="14" t="s">
        <v>945</v>
      </c>
      <c r="G3865" s="14" t="s">
        <v>37</v>
      </c>
      <c r="H3865" s="14" t="s">
        <v>727</v>
      </c>
      <c r="I3865" s="14"/>
      <c r="J3865" s="14" t="s">
        <v>946</v>
      </c>
      <c r="K3865" s="14"/>
      <c r="L3865" s="14"/>
      <c r="M3865" s="14" t="s">
        <v>947</v>
      </c>
      <c r="N3865" s="14"/>
      <c r="O3865" s="14" t="s">
        <v>948</v>
      </c>
      <c r="P3865" s="14" t="str">
        <f>HYPERLINK("https://ceds.ed.gov/cedselementdetails.aspx?termid=17394")</f>
        <v>https://ceds.ed.gov/cedselementdetails.aspx?termid=17394</v>
      </c>
      <c r="Q3865" s="14" t="str">
        <f>HYPERLINK("https://ceds.ed.gov/elementComment.aspx?elementName=Assessment Item Response Duration &amp;elementID=17394", "Click here to submit comment")</f>
        <v>Click here to submit comment</v>
      </c>
      <c r="R3865" s="14">
        <v>48920</v>
      </c>
    </row>
    <row r="3866" spans="1:18" ht="60" x14ac:dyDescent="0.25">
      <c r="A3866" s="14" t="s">
        <v>9103</v>
      </c>
      <c r="B3866" s="14" t="s">
        <v>9117</v>
      </c>
      <c r="C3866" s="14" t="s">
        <v>9123</v>
      </c>
      <c r="D3866" s="14" t="s">
        <v>8531</v>
      </c>
      <c r="E3866" s="14" t="s">
        <v>925</v>
      </c>
      <c r="F3866" s="14" t="s">
        <v>926</v>
      </c>
      <c r="G3866" s="14" t="s">
        <v>37</v>
      </c>
      <c r="H3866" s="14" t="s">
        <v>727</v>
      </c>
      <c r="I3866" s="14"/>
      <c r="J3866" s="14" t="s">
        <v>97</v>
      </c>
      <c r="K3866" s="14"/>
      <c r="L3866" s="14" t="s">
        <v>928</v>
      </c>
      <c r="M3866" s="14" t="s">
        <v>929</v>
      </c>
      <c r="N3866" s="14"/>
      <c r="O3866" s="14" t="s">
        <v>930</v>
      </c>
      <c r="P3866" s="14" t="str">
        <f>HYPERLINK("https://ceds.ed.gov/cedselementdetails.aspx?termid=17397")</f>
        <v>https://ceds.ed.gov/cedselementdetails.aspx?termid=17397</v>
      </c>
      <c r="Q3866" s="14" t="str">
        <f>HYPERLINK("https://ceds.ed.gov/elementComment.aspx?elementName=Assessment Item Response Aid Set Used &amp;elementID=17397", "Click here to submit comment")</f>
        <v>Click here to submit comment</v>
      </c>
      <c r="R3866" s="14">
        <v>48223</v>
      </c>
    </row>
    <row r="3867" spans="1:18" ht="45" x14ac:dyDescent="0.25">
      <c r="A3867" s="14" t="s">
        <v>9103</v>
      </c>
      <c r="B3867" s="14" t="s">
        <v>9117</v>
      </c>
      <c r="C3867" s="14" t="s">
        <v>9123</v>
      </c>
      <c r="D3867" s="14" t="s">
        <v>8531</v>
      </c>
      <c r="E3867" s="14" t="s">
        <v>931</v>
      </c>
      <c r="F3867" s="14" t="s">
        <v>932</v>
      </c>
      <c r="G3867" s="14" t="s">
        <v>37</v>
      </c>
      <c r="H3867" s="14" t="s">
        <v>727</v>
      </c>
      <c r="I3867" s="14"/>
      <c r="J3867" s="14" t="s">
        <v>874</v>
      </c>
      <c r="K3867" s="14"/>
      <c r="L3867" s="14"/>
      <c r="M3867" s="14" t="s">
        <v>933</v>
      </c>
      <c r="N3867" s="14"/>
      <c r="O3867" s="14" t="s">
        <v>934</v>
      </c>
      <c r="P3867" s="14" t="str">
        <f>HYPERLINK("https://ceds.ed.gov/cedselementdetails.aspx?termid=17385")</f>
        <v>https://ceds.ed.gov/cedselementdetails.aspx?termid=17385</v>
      </c>
      <c r="Q3867" s="14" t="str">
        <f>HYPERLINK("https://ceds.ed.gov/elementComment.aspx?elementName=Assessment Item Response Choice Pattern &amp;elementID=17385", "Click here to submit comment")</f>
        <v>Click here to submit comment</v>
      </c>
      <c r="R3867" s="14">
        <v>48919</v>
      </c>
    </row>
    <row r="3868" spans="1:18" ht="135" x14ac:dyDescent="0.25">
      <c r="A3868" s="14" t="s">
        <v>9103</v>
      </c>
      <c r="B3868" s="14" t="s">
        <v>9117</v>
      </c>
      <c r="C3868" s="14" t="s">
        <v>9123</v>
      </c>
      <c r="D3868" s="14" t="s">
        <v>8531</v>
      </c>
      <c r="E3868" s="14" t="s">
        <v>954</v>
      </c>
      <c r="F3868" s="14" t="s">
        <v>955</v>
      </c>
      <c r="G3868" s="14" t="s">
        <v>37</v>
      </c>
      <c r="H3868" s="14"/>
      <c r="I3868" s="14"/>
      <c r="J3868" s="14" t="s">
        <v>370</v>
      </c>
      <c r="K3868" s="14"/>
      <c r="L3868" s="14"/>
      <c r="M3868" s="14" t="s">
        <v>956</v>
      </c>
      <c r="N3868" s="14"/>
      <c r="O3868" s="14" t="s">
        <v>957</v>
      </c>
      <c r="P3868" s="14" t="str">
        <f>HYPERLINK("https://ceds.ed.gov/cedselementdetails.aspx?termid=17956")</f>
        <v>https://ceds.ed.gov/cedselementdetails.aspx?termid=17956</v>
      </c>
      <c r="Q3868" s="14" t="str">
        <f>HYPERLINK("https://ceds.ed.gov/elementComment.aspx?elementName=Assessment Item Response Hint Count &amp;elementID=17956", "Click here to submit comment")</f>
        <v>Click here to submit comment</v>
      </c>
      <c r="R3868" s="14">
        <v>48414</v>
      </c>
    </row>
    <row r="3869" spans="1:18" ht="135" x14ac:dyDescent="0.25">
      <c r="A3869" s="14" t="s">
        <v>9103</v>
      </c>
      <c r="B3869" s="14" t="s">
        <v>9117</v>
      </c>
      <c r="C3869" s="14" t="s">
        <v>9123</v>
      </c>
      <c r="D3869" s="14" t="s">
        <v>8531</v>
      </c>
      <c r="E3869" s="14" t="s">
        <v>958</v>
      </c>
      <c r="F3869" s="14" t="s">
        <v>959</v>
      </c>
      <c r="G3869" s="14" t="s">
        <v>24</v>
      </c>
      <c r="H3869" s="14"/>
      <c r="I3869" s="14"/>
      <c r="J3869" s="14"/>
      <c r="K3869" s="14"/>
      <c r="L3869" s="14" t="s">
        <v>960</v>
      </c>
      <c r="M3869" s="14" t="s">
        <v>961</v>
      </c>
      <c r="N3869" s="14"/>
      <c r="O3869" s="14" t="s">
        <v>962</v>
      </c>
      <c r="P3869" s="14" t="str">
        <f>HYPERLINK("https://ceds.ed.gov/cedselementdetails.aspx?termid=17957")</f>
        <v>https://ceds.ed.gov/cedselementdetails.aspx?termid=17957</v>
      </c>
      <c r="Q3869" s="14" t="str">
        <f>HYPERLINK("https://ceds.ed.gov/elementComment.aspx?elementName=Assessment Item Response Hint Included Answer &amp;elementID=17957", "Click here to submit comment")</f>
        <v>Click here to submit comment</v>
      </c>
      <c r="R3869" s="14">
        <v>48415</v>
      </c>
    </row>
    <row r="3870" spans="1:18" ht="180" x14ac:dyDescent="0.25">
      <c r="A3870" s="14" t="s">
        <v>9103</v>
      </c>
      <c r="B3870" s="14" t="s">
        <v>9117</v>
      </c>
      <c r="C3870" s="14" t="s">
        <v>9123</v>
      </c>
      <c r="D3870" s="14" t="s">
        <v>8531</v>
      </c>
      <c r="E3870" s="14" t="s">
        <v>989</v>
      </c>
      <c r="F3870" s="14" t="s">
        <v>990</v>
      </c>
      <c r="G3870" s="8" t="s">
        <v>9124</v>
      </c>
      <c r="H3870" s="14" t="s">
        <v>727</v>
      </c>
      <c r="I3870" s="14"/>
      <c r="J3870" s="14"/>
      <c r="K3870" s="14"/>
      <c r="L3870" s="14"/>
      <c r="M3870" s="14" t="s">
        <v>992</v>
      </c>
      <c r="N3870" s="14"/>
      <c r="O3870" s="14" t="s">
        <v>993</v>
      </c>
      <c r="P3870" s="14" t="str">
        <f>HYPERLINK("https://ceds.ed.gov/cedselementdetails.aspx?termid=17396")</f>
        <v>https://ceds.ed.gov/cedselementdetails.aspx?termid=17396</v>
      </c>
      <c r="Q3870" s="14" t="str">
        <f>HYPERLINK("https://ceds.ed.gov/elementComment.aspx?elementName=Assessment Item Response Status &amp;elementID=17396", "Click here to submit comment")</f>
        <v>Click here to submit comment</v>
      </c>
      <c r="R3870" s="14">
        <v>48222</v>
      </c>
    </row>
    <row r="3871" spans="1:18" ht="45" x14ac:dyDescent="0.25">
      <c r="A3871" s="14" t="s">
        <v>9103</v>
      </c>
      <c r="B3871" s="14" t="s">
        <v>9117</v>
      </c>
      <c r="C3871" s="14" t="s">
        <v>9123</v>
      </c>
      <c r="D3871" s="14" t="s">
        <v>8531</v>
      </c>
      <c r="E3871" s="14" t="s">
        <v>1053</v>
      </c>
      <c r="F3871" s="14" t="s">
        <v>1054</v>
      </c>
      <c r="G3871" s="14" t="s">
        <v>37</v>
      </c>
      <c r="H3871" s="14" t="s">
        <v>908</v>
      </c>
      <c r="I3871" s="14"/>
      <c r="J3871" s="14" t="s">
        <v>129</v>
      </c>
      <c r="K3871" s="14"/>
      <c r="L3871" s="14"/>
      <c r="M3871" s="14" t="s">
        <v>1055</v>
      </c>
      <c r="N3871" s="14"/>
      <c r="O3871" s="14" t="s">
        <v>1056</v>
      </c>
      <c r="P3871" s="14" t="str">
        <f>HYPERLINK("https://ceds.ed.gov/cedselementdetails.aspx?termid=18069")</f>
        <v>https://ceds.ed.gov/cedselementdetails.aspx?termid=18069</v>
      </c>
      <c r="Q3871" s="14" t="str">
        <f>HYPERLINK("https://ceds.ed.gov/elementComment.aspx?elementName=Assessment Item Response Value &amp;elementID=18069", "Click here to submit comment")</f>
        <v>Click here to submit comment</v>
      </c>
      <c r="R3871" s="14">
        <v>48504</v>
      </c>
    </row>
    <row r="3872" spans="1:18" ht="90" x14ac:dyDescent="0.25">
      <c r="A3872" s="14" t="s">
        <v>9103</v>
      </c>
      <c r="B3872" s="14" t="s">
        <v>9117</v>
      </c>
      <c r="C3872" s="14" t="s">
        <v>9123</v>
      </c>
      <c r="D3872" s="14" t="s">
        <v>8531</v>
      </c>
      <c r="E3872" s="14" t="s">
        <v>967</v>
      </c>
      <c r="F3872" s="14" t="s">
        <v>968</v>
      </c>
      <c r="G3872" s="8" t="s">
        <v>9125</v>
      </c>
      <c r="H3872" s="14"/>
      <c r="I3872" s="14"/>
      <c r="J3872" s="14"/>
      <c r="K3872" s="14"/>
      <c r="L3872" s="14"/>
      <c r="M3872" s="14" t="s">
        <v>970</v>
      </c>
      <c r="N3872" s="14"/>
      <c r="O3872" s="14" t="s">
        <v>971</v>
      </c>
      <c r="P3872" s="14" t="str">
        <f>HYPERLINK("https://ceds.ed.gov/cedselementdetails.aspx?termid=18513")</f>
        <v>https://ceds.ed.gov/cedselementdetails.aspx?termid=18513</v>
      </c>
      <c r="Q3872" s="14" t="str">
        <f>HYPERLINK("https://ceds.ed.gov/elementComment.aspx?elementName=Assessment Item Response Score Status &amp;elementID=18513", "Click here to submit comment")</f>
        <v>Click here to submit comment</v>
      </c>
      <c r="R3872" s="14">
        <v>50790</v>
      </c>
    </row>
    <row r="3873" spans="1:18" ht="45" x14ac:dyDescent="0.25">
      <c r="A3873" s="14" t="s">
        <v>9103</v>
      </c>
      <c r="B3873" s="14" t="s">
        <v>9117</v>
      </c>
      <c r="C3873" s="14" t="s">
        <v>9123</v>
      </c>
      <c r="D3873" s="14" t="s">
        <v>8531</v>
      </c>
      <c r="E3873" s="14" t="s">
        <v>972</v>
      </c>
      <c r="F3873" s="14" t="s">
        <v>973</v>
      </c>
      <c r="G3873" s="14" t="s">
        <v>37</v>
      </c>
      <c r="H3873" s="14" t="s">
        <v>908</v>
      </c>
      <c r="I3873" s="14"/>
      <c r="J3873" s="14" t="s">
        <v>175</v>
      </c>
      <c r="K3873" s="14"/>
      <c r="L3873" s="14"/>
      <c r="M3873" s="14" t="s">
        <v>974</v>
      </c>
      <c r="N3873" s="14"/>
      <c r="O3873" s="14" t="s">
        <v>975</v>
      </c>
      <c r="P3873" s="14" t="str">
        <f>HYPERLINK("https://ceds.ed.gov/cedselementdetails.aspx?termid=17700")</f>
        <v>https://ceds.ed.gov/cedselementdetails.aspx?termid=17700</v>
      </c>
      <c r="Q3873" s="14" t="str">
        <f>HYPERLINK("https://ceds.ed.gov/elementComment.aspx?elementName=Assessment Item Response Score Value &amp;elementID=17700", "Click here to submit comment")</f>
        <v>Click here to submit comment</v>
      </c>
      <c r="R3873" s="14">
        <v>48226</v>
      </c>
    </row>
    <row r="3874" spans="1:18" ht="45" x14ac:dyDescent="0.25">
      <c r="A3874" s="14" t="s">
        <v>9103</v>
      </c>
      <c r="B3874" s="14" t="s">
        <v>9117</v>
      </c>
      <c r="C3874" s="14" t="s">
        <v>9123</v>
      </c>
      <c r="D3874" s="14" t="s">
        <v>8531</v>
      </c>
      <c r="E3874" s="14" t="s">
        <v>7057</v>
      </c>
      <c r="F3874" s="14" t="s">
        <v>7058</v>
      </c>
      <c r="G3874" s="8" t="s">
        <v>8846</v>
      </c>
      <c r="H3874" s="14" t="s">
        <v>258</v>
      </c>
      <c r="I3874" s="14"/>
      <c r="J3874" s="14"/>
      <c r="K3874" s="14"/>
      <c r="L3874" s="14"/>
      <c r="M3874" s="14" t="s">
        <v>7061</v>
      </c>
      <c r="N3874" s="14"/>
      <c r="O3874" s="14" t="s">
        <v>7062</v>
      </c>
      <c r="P3874" s="14" t="str">
        <f>HYPERLINK("https://ceds.ed.gov/cedselementdetails.aspx?termid=17565")</f>
        <v>https://ceds.ed.gov/cedselementdetails.aspx?termid=17565</v>
      </c>
      <c r="Q3874" s="14" t="str">
        <f>HYPERLINK("https://ceds.ed.gov/elementComment.aspx?elementName=Proficiency Status &amp;elementID=17565", "Click here to submit comment")</f>
        <v>Click here to submit comment</v>
      </c>
      <c r="R3874" s="14">
        <v>48225</v>
      </c>
    </row>
    <row r="3875" spans="1:18" ht="135" x14ac:dyDescent="0.25">
      <c r="A3875" s="14" t="s">
        <v>9103</v>
      </c>
      <c r="B3875" s="14" t="s">
        <v>9117</v>
      </c>
      <c r="C3875" s="14" t="s">
        <v>9123</v>
      </c>
      <c r="D3875" s="14" t="s">
        <v>8531</v>
      </c>
      <c r="E3875" s="14" t="s">
        <v>963</v>
      </c>
      <c r="F3875" s="14" t="s">
        <v>964</v>
      </c>
      <c r="G3875" s="14" t="s">
        <v>24</v>
      </c>
      <c r="H3875" s="14"/>
      <c r="I3875" s="14"/>
      <c r="J3875" s="14"/>
      <c r="K3875" s="14"/>
      <c r="L3875" s="14"/>
      <c r="M3875" s="14" t="s">
        <v>965</v>
      </c>
      <c r="N3875" s="14"/>
      <c r="O3875" s="14" t="s">
        <v>966</v>
      </c>
      <c r="P3875" s="14" t="str">
        <f>HYPERLINK("https://ceds.ed.gov/cedselementdetails.aspx?termid=17955")</f>
        <v>https://ceds.ed.gov/cedselementdetails.aspx?termid=17955</v>
      </c>
      <c r="Q3875" s="14" t="str">
        <f>HYPERLINK("https://ceds.ed.gov/elementComment.aspx?elementName=Assessment Item Response Scaffolding Item Flag &amp;elementID=17955", "Click here to submit comment")</f>
        <v>Click here to submit comment</v>
      </c>
      <c r="R3875" s="14">
        <v>48413</v>
      </c>
    </row>
    <row r="3876" spans="1:18" ht="60" x14ac:dyDescent="0.25">
      <c r="A3876" s="14" t="s">
        <v>9103</v>
      </c>
      <c r="B3876" s="14" t="s">
        <v>9117</v>
      </c>
      <c r="C3876" s="14" t="s">
        <v>9123</v>
      </c>
      <c r="D3876" s="14" t="s">
        <v>8531</v>
      </c>
      <c r="E3876" s="14" t="s">
        <v>935</v>
      </c>
      <c r="F3876" s="14" t="s">
        <v>936</v>
      </c>
      <c r="G3876" s="14" t="s">
        <v>37</v>
      </c>
      <c r="H3876" s="14" t="s">
        <v>908</v>
      </c>
      <c r="I3876" s="14"/>
      <c r="J3876" s="14" t="s">
        <v>129</v>
      </c>
      <c r="K3876" s="14"/>
      <c r="L3876" s="14"/>
      <c r="M3876" s="14" t="s">
        <v>937</v>
      </c>
      <c r="N3876" s="14"/>
      <c r="O3876" s="14" t="s">
        <v>938</v>
      </c>
      <c r="P3876" s="14" t="str">
        <f>HYPERLINK("https://ceds.ed.gov/cedselementdetails.aspx?termid=17891")</f>
        <v>https://ceds.ed.gov/cedselementdetails.aspx?termid=17891</v>
      </c>
      <c r="Q3876" s="14" t="str">
        <f>HYPERLINK("https://ceds.ed.gov/elementComment.aspx?elementName=Assessment Item Response Descriptive Feedback &amp;elementID=17891", "Click here to submit comment")</f>
        <v>Click here to submit comment</v>
      </c>
      <c r="R3876" s="14">
        <v>49342</v>
      </c>
    </row>
    <row r="3877" spans="1:18" ht="60" x14ac:dyDescent="0.25">
      <c r="A3877" s="14" t="s">
        <v>9103</v>
      </c>
      <c r="B3877" s="14" t="s">
        <v>9117</v>
      </c>
      <c r="C3877" s="14" t="s">
        <v>9123</v>
      </c>
      <c r="D3877" s="14" t="s">
        <v>8531</v>
      </c>
      <c r="E3877" s="14" t="s">
        <v>939</v>
      </c>
      <c r="F3877" s="14" t="s">
        <v>940</v>
      </c>
      <c r="G3877" s="14" t="s">
        <v>37</v>
      </c>
      <c r="H3877" s="14"/>
      <c r="I3877" s="14"/>
      <c r="J3877" s="14" t="s">
        <v>941</v>
      </c>
      <c r="K3877" s="14"/>
      <c r="L3877" s="14"/>
      <c r="M3877" s="14" t="s">
        <v>942</v>
      </c>
      <c r="N3877" s="14"/>
      <c r="O3877" s="14" t="s">
        <v>943</v>
      </c>
      <c r="P3877" s="14" t="str">
        <f>HYPERLINK("https://ceds.ed.gov/cedselementdetails.aspx?termid=18512")</f>
        <v>https://ceds.ed.gov/cedselementdetails.aspx?termid=18512</v>
      </c>
      <c r="Q3877" s="14" t="str">
        <f>HYPERLINK("https://ceds.ed.gov/elementComment.aspx?elementName=Assessment Item Response Descriptive Feedback Date &amp;elementID=18512", "Click here to submit comment")</f>
        <v>Click here to submit comment</v>
      </c>
      <c r="R3877" s="14">
        <v>50786</v>
      </c>
    </row>
    <row r="3878" spans="1:18" ht="60" x14ac:dyDescent="0.25">
      <c r="A3878" s="14" t="s">
        <v>9103</v>
      </c>
      <c r="B3878" s="14" t="s">
        <v>9117</v>
      </c>
      <c r="C3878" s="14" t="s">
        <v>9123</v>
      </c>
      <c r="D3878" s="14" t="s">
        <v>8531</v>
      </c>
      <c r="E3878" s="14" t="s">
        <v>1424</v>
      </c>
      <c r="F3878" s="14" t="s">
        <v>1425</v>
      </c>
      <c r="G3878" s="14" t="s">
        <v>37</v>
      </c>
      <c r="H3878" s="14"/>
      <c r="I3878" s="14"/>
      <c r="J3878" s="14" t="s">
        <v>941</v>
      </c>
      <c r="K3878" s="14"/>
      <c r="L3878" s="14"/>
      <c r="M3878" s="14" t="s">
        <v>1427</v>
      </c>
      <c r="N3878" s="14"/>
      <c r="O3878" s="14" t="s">
        <v>1428</v>
      </c>
      <c r="P3878" s="14" t="str">
        <f>HYPERLINK("https://ceds.ed.gov/cedselementdetails.aspx?termid=18520")</f>
        <v>https://ceds.ed.gov/cedselementdetails.aspx?termid=18520</v>
      </c>
      <c r="Q3878" s="14" t="str">
        <f>HYPERLINK("https://ceds.ed.gov/elementComment.aspx?elementName=Assessment Result Descriptive Feedback Date Time &amp;elementID=18520", "Click here to submit comment")</f>
        <v>Click here to submit comment</v>
      </c>
      <c r="R3878" s="14">
        <v>50817</v>
      </c>
    </row>
    <row r="3879" spans="1:18" ht="120" x14ac:dyDescent="0.25">
      <c r="A3879" s="14" t="s">
        <v>9103</v>
      </c>
      <c r="B3879" s="14" t="s">
        <v>9117</v>
      </c>
      <c r="C3879" s="14" t="s">
        <v>9126</v>
      </c>
      <c r="D3879" s="14" t="s">
        <v>8531</v>
      </c>
      <c r="E3879" s="14" t="s">
        <v>1008</v>
      </c>
      <c r="F3879" s="14" t="s">
        <v>1009</v>
      </c>
      <c r="G3879" s="14" t="s">
        <v>37</v>
      </c>
      <c r="H3879" s="14"/>
      <c r="I3879" s="14"/>
      <c r="J3879" s="14" t="s">
        <v>165</v>
      </c>
      <c r="K3879" s="14"/>
      <c r="L3879" s="14"/>
      <c r="M3879" s="14" t="s">
        <v>1010</v>
      </c>
      <c r="N3879" s="14"/>
      <c r="O3879" s="14" t="s">
        <v>1011</v>
      </c>
      <c r="P3879" s="14" t="str">
        <f>HYPERLINK("https://ceds.ed.gov/cedselementdetails.aspx?termid=18217")</f>
        <v>https://ceds.ed.gov/cedselementdetails.aspx?termid=18217</v>
      </c>
      <c r="Q3879" s="14" t="str">
        <f>HYPERLINK("https://ceds.ed.gov/elementComment.aspx?elementName=Assessment Item Response Theory Parameter A &amp;elementID=18217", "Click here to submit comment")</f>
        <v>Click here to submit comment</v>
      </c>
      <c r="R3879" s="14">
        <v>49092</v>
      </c>
    </row>
    <row r="3880" spans="1:18" ht="75" x14ac:dyDescent="0.25">
      <c r="A3880" s="14" t="s">
        <v>9103</v>
      </c>
      <c r="B3880" s="14" t="s">
        <v>9117</v>
      </c>
      <c r="C3880" s="14" t="s">
        <v>9126</v>
      </c>
      <c r="D3880" s="14" t="s">
        <v>8531</v>
      </c>
      <c r="E3880" s="14" t="s">
        <v>1012</v>
      </c>
      <c r="F3880" s="14" t="s">
        <v>1013</v>
      </c>
      <c r="G3880" s="14" t="s">
        <v>37</v>
      </c>
      <c r="H3880" s="14"/>
      <c r="I3880" s="14"/>
      <c r="J3880" s="14" t="s">
        <v>165</v>
      </c>
      <c r="K3880" s="14"/>
      <c r="L3880" s="14"/>
      <c r="M3880" s="14" t="s">
        <v>1014</v>
      </c>
      <c r="N3880" s="14"/>
      <c r="O3880" s="14" t="s">
        <v>1015</v>
      </c>
      <c r="P3880" s="14" t="str">
        <f>HYPERLINK("https://ceds.ed.gov/cedselementdetails.aspx?termid=18218")</f>
        <v>https://ceds.ed.gov/cedselementdetails.aspx?termid=18218</v>
      </c>
      <c r="Q3880" s="14" t="str">
        <f>HYPERLINK("https://ceds.ed.gov/elementComment.aspx?elementName=Assessment Item Response Theory Parameter B &amp;elementID=18218", "Click here to submit comment")</f>
        <v>Click here to submit comment</v>
      </c>
      <c r="R3880" s="14">
        <v>49094</v>
      </c>
    </row>
    <row r="3881" spans="1:18" ht="120" x14ac:dyDescent="0.25">
      <c r="A3881" s="14" t="s">
        <v>9103</v>
      </c>
      <c r="B3881" s="14" t="s">
        <v>9117</v>
      </c>
      <c r="C3881" s="14" t="s">
        <v>9126</v>
      </c>
      <c r="D3881" s="14" t="s">
        <v>8531</v>
      </c>
      <c r="E3881" s="14" t="s">
        <v>1044</v>
      </c>
      <c r="F3881" s="14" t="s">
        <v>1045</v>
      </c>
      <c r="G3881" s="8" t="s">
        <v>9127</v>
      </c>
      <c r="H3881" s="14"/>
      <c r="I3881" s="14"/>
      <c r="J3881" s="14"/>
      <c r="K3881" s="14"/>
      <c r="L3881" s="14"/>
      <c r="M3881" s="14" t="s">
        <v>1047</v>
      </c>
      <c r="N3881" s="14"/>
      <c r="O3881" s="14" t="s">
        <v>1048</v>
      </c>
      <c r="P3881" s="14" t="str">
        <f>HYPERLINK("https://ceds.ed.gov/cedselementdetails.aspx?termid=18219")</f>
        <v>https://ceds.ed.gov/cedselementdetails.aspx?termid=18219</v>
      </c>
      <c r="Q3881" s="14" t="str">
        <f>HYPERLINK("https://ceds.ed.gov/elementComment.aspx?elementName=Assessment Item Response Theory Parameter Difficulty Category &amp;elementID=18219", "Click here to submit comment")</f>
        <v>Click here to submit comment</v>
      </c>
      <c r="R3881" s="14">
        <v>49096</v>
      </c>
    </row>
    <row r="3882" spans="1:18" ht="120" x14ac:dyDescent="0.25">
      <c r="A3882" s="14" t="s">
        <v>9103</v>
      </c>
      <c r="B3882" s="14" t="s">
        <v>9117</v>
      </c>
      <c r="C3882" s="14" t="s">
        <v>9126</v>
      </c>
      <c r="D3882" s="14" t="s">
        <v>8531</v>
      </c>
      <c r="E3882" s="14" t="s">
        <v>1016</v>
      </c>
      <c r="F3882" s="14" t="s">
        <v>1017</v>
      </c>
      <c r="G3882" s="14" t="s">
        <v>37</v>
      </c>
      <c r="H3882" s="14"/>
      <c r="I3882" s="14"/>
      <c r="J3882" s="14" t="s">
        <v>165</v>
      </c>
      <c r="K3882" s="14"/>
      <c r="L3882" s="14"/>
      <c r="M3882" s="14" t="s">
        <v>1018</v>
      </c>
      <c r="N3882" s="14"/>
      <c r="O3882" s="14" t="s">
        <v>1019</v>
      </c>
      <c r="P3882" s="14" t="str">
        <f>HYPERLINK("https://ceds.ed.gov/cedselementdetails.aspx?termid=18220")</f>
        <v>https://ceds.ed.gov/cedselementdetails.aspx?termid=18220</v>
      </c>
      <c r="Q3882" s="14" t="str">
        <f>HYPERLINK("https://ceds.ed.gov/elementComment.aspx?elementName=Assessment Item Response Theory Parameter C &amp;elementID=18220", "Click here to submit comment")</f>
        <v>Click here to submit comment</v>
      </c>
      <c r="R3882" s="14">
        <v>49098</v>
      </c>
    </row>
    <row r="3883" spans="1:18" ht="90" x14ac:dyDescent="0.25">
      <c r="A3883" s="14" t="s">
        <v>9103</v>
      </c>
      <c r="B3883" s="14" t="s">
        <v>9117</v>
      </c>
      <c r="C3883" s="14" t="s">
        <v>9126</v>
      </c>
      <c r="D3883" s="14" t="s">
        <v>8531</v>
      </c>
      <c r="E3883" s="14" t="s">
        <v>1020</v>
      </c>
      <c r="F3883" s="14" t="s">
        <v>1021</v>
      </c>
      <c r="G3883" s="14" t="s">
        <v>37</v>
      </c>
      <c r="H3883" s="14"/>
      <c r="I3883" s="14"/>
      <c r="J3883" s="14" t="s">
        <v>165</v>
      </c>
      <c r="K3883" s="14"/>
      <c r="L3883" s="14"/>
      <c r="M3883" s="14" t="s">
        <v>1022</v>
      </c>
      <c r="N3883" s="14"/>
      <c r="O3883" s="14" t="s">
        <v>1023</v>
      </c>
      <c r="P3883" s="14" t="str">
        <f>HYPERLINK("https://ceds.ed.gov/cedselementdetails.aspx?termid=18221")</f>
        <v>https://ceds.ed.gov/cedselementdetails.aspx?termid=18221</v>
      </c>
      <c r="Q3883" s="14" t="str">
        <f>HYPERLINK("https://ceds.ed.gov/elementComment.aspx?elementName=Assessment Item Response Theory Parameter D1 &amp;elementID=18221", "Click here to submit comment")</f>
        <v>Click here to submit comment</v>
      </c>
      <c r="R3883" s="14">
        <v>49100</v>
      </c>
    </row>
    <row r="3884" spans="1:18" ht="90" x14ac:dyDescent="0.25">
      <c r="A3884" s="14" t="s">
        <v>9103</v>
      </c>
      <c r="B3884" s="14" t="s">
        <v>9117</v>
      </c>
      <c r="C3884" s="14" t="s">
        <v>9126</v>
      </c>
      <c r="D3884" s="14" t="s">
        <v>8531</v>
      </c>
      <c r="E3884" s="14" t="s">
        <v>1024</v>
      </c>
      <c r="F3884" s="14" t="s">
        <v>1025</v>
      </c>
      <c r="G3884" s="14" t="s">
        <v>37</v>
      </c>
      <c r="H3884" s="14"/>
      <c r="I3884" s="14"/>
      <c r="J3884" s="14" t="s">
        <v>165</v>
      </c>
      <c r="K3884" s="14"/>
      <c r="L3884" s="14"/>
      <c r="M3884" s="14" t="s">
        <v>1026</v>
      </c>
      <c r="N3884" s="14"/>
      <c r="O3884" s="14" t="s">
        <v>1027</v>
      </c>
      <c r="P3884" s="14" t="str">
        <f>HYPERLINK("https://ceds.ed.gov/cedselementdetails.aspx?termid=18222")</f>
        <v>https://ceds.ed.gov/cedselementdetails.aspx?termid=18222</v>
      </c>
      <c r="Q3884" s="14" t="str">
        <f>HYPERLINK("https://ceds.ed.gov/elementComment.aspx?elementName=Assessment Item Response Theory Parameter D2 &amp;elementID=18222", "Click here to submit comment")</f>
        <v>Click here to submit comment</v>
      </c>
      <c r="R3884" s="14">
        <v>49102</v>
      </c>
    </row>
    <row r="3885" spans="1:18" ht="90" x14ac:dyDescent="0.25">
      <c r="A3885" s="14" t="s">
        <v>9103</v>
      </c>
      <c r="B3885" s="14" t="s">
        <v>9117</v>
      </c>
      <c r="C3885" s="14" t="s">
        <v>9126</v>
      </c>
      <c r="D3885" s="14" t="s">
        <v>8531</v>
      </c>
      <c r="E3885" s="14" t="s">
        <v>1028</v>
      </c>
      <c r="F3885" s="14" t="s">
        <v>1029</v>
      </c>
      <c r="G3885" s="14" t="s">
        <v>37</v>
      </c>
      <c r="H3885" s="14"/>
      <c r="I3885" s="14"/>
      <c r="J3885" s="14" t="s">
        <v>165</v>
      </c>
      <c r="K3885" s="14"/>
      <c r="L3885" s="14"/>
      <c r="M3885" s="14" t="s">
        <v>1030</v>
      </c>
      <c r="N3885" s="14"/>
      <c r="O3885" s="14" t="s">
        <v>1031</v>
      </c>
      <c r="P3885" s="14" t="str">
        <f>HYPERLINK("https://ceds.ed.gov/cedselementdetails.aspx?termid=18223")</f>
        <v>https://ceds.ed.gov/cedselementdetails.aspx?termid=18223</v>
      </c>
      <c r="Q3885" s="14" t="str">
        <f>HYPERLINK("https://ceds.ed.gov/elementComment.aspx?elementName=Assessment Item Response Theory Parameter D3 &amp;elementID=18223", "Click here to submit comment")</f>
        <v>Click here to submit comment</v>
      </c>
      <c r="R3885" s="14">
        <v>49104</v>
      </c>
    </row>
    <row r="3886" spans="1:18" ht="90" x14ac:dyDescent="0.25">
      <c r="A3886" s="14" t="s">
        <v>9103</v>
      </c>
      <c r="B3886" s="14" t="s">
        <v>9117</v>
      </c>
      <c r="C3886" s="14" t="s">
        <v>9126</v>
      </c>
      <c r="D3886" s="14" t="s">
        <v>8531</v>
      </c>
      <c r="E3886" s="14" t="s">
        <v>1032</v>
      </c>
      <c r="F3886" s="14" t="s">
        <v>1033</v>
      </c>
      <c r="G3886" s="14" t="s">
        <v>37</v>
      </c>
      <c r="H3886" s="14"/>
      <c r="I3886" s="14"/>
      <c r="J3886" s="14" t="s">
        <v>165</v>
      </c>
      <c r="K3886" s="14"/>
      <c r="L3886" s="14"/>
      <c r="M3886" s="14" t="s">
        <v>1034</v>
      </c>
      <c r="N3886" s="14"/>
      <c r="O3886" s="14" t="s">
        <v>1035</v>
      </c>
      <c r="P3886" s="14" t="str">
        <f>HYPERLINK("https://ceds.ed.gov/cedselementdetails.aspx?termid=18224")</f>
        <v>https://ceds.ed.gov/cedselementdetails.aspx?termid=18224</v>
      </c>
      <c r="Q3886" s="14" t="str">
        <f>HYPERLINK("https://ceds.ed.gov/elementComment.aspx?elementName=Assessment Item Response Theory Parameter D4 &amp;elementID=18224", "Click here to submit comment")</f>
        <v>Click here to submit comment</v>
      </c>
      <c r="R3886" s="14">
        <v>49106</v>
      </c>
    </row>
    <row r="3887" spans="1:18" ht="90" x14ac:dyDescent="0.25">
      <c r="A3887" s="14" t="s">
        <v>9103</v>
      </c>
      <c r="B3887" s="14" t="s">
        <v>9117</v>
      </c>
      <c r="C3887" s="14" t="s">
        <v>9126</v>
      </c>
      <c r="D3887" s="14" t="s">
        <v>8531</v>
      </c>
      <c r="E3887" s="14" t="s">
        <v>1036</v>
      </c>
      <c r="F3887" s="14" t="s">
        <v>1037</v>
      </c>
      <c r="G3887" s="14" t="s">
        <v>37</v>
      </c>
      <c r="H3887" s="14"/>
      <c r="I3887" s="14"/>
      <c r="J3887" s="14" t="s">
        <v>165</v>
      </c>
      <c r="K3887" s="14"/>
      <c r="L3887" s="14"/>
      <c r="M3887" s="14" t="s">
        <v>1038</v>
      </c>
      <c r="N3887" s="14"/>
      <c r="O3887" s="14" t="s">
        <v>1039</v>
      </c>
      <c r="P3887" s="14" t="str">
        <f>HYPERLINK("https://ceds.ed.gov/cedselementdetails.aspx?termid=18225")</f>
        <v>https://ceds.ed.gov/cedselementdetails.aspx?termid=18225</v>
      </c>
      <c r="Q3887" s="14" t="str">
        <f>HYPERLINK("https://ceds.ed.gov/elementComment.aspx?elementName=Assessment Item Response Theory Parameter D5 &amp;elementID=18225", "Click here to submit comment")</f>
        <v>Click here to submit comment</v>
      </c>
      <c r="R3887" s="14">
        <v>49108</v>
      </c>
    </row>
    <row r="3888" spans="1:18" ht="90" x14ac:dyDescent="0.25">
      <c r="A3888" s="14" t="s">
        <v>9103</v>
      </c>
      <c r="B3888" s="14" t="s">
        <v>9117</v>
      </c>
      <c r="C3888" s="14" t="s">
        <v>9126</v>
      </c>
      <c r="D3888" s="14" t="s">
        <v>8531</v>
      </c>
      <c r="E3888" s="14" t="s">
        <v>1040</v>
      </c>
      <c r="F3888" s="14" t="s">
        <v>1041</v>
      </c>
      <c r="G3888" s="14" t="s">
        <v>37</v>
      </c>
      <c r="H3888" s="14"/>
      <c r="I3888" s="14"/>
      <c r="J3888" s="14" t="s">
        <v>165</v>
      </c>
      <c r="K3888" s="14"/>
      <c r="L3888" s="14"/>
      <c r="M3888" s="14" t="s">
        <v>1042</v>
      </c>
      <c r="N3888" s="14"/>
      <c r="O3888" s="14" t="s">
        <v>1043</v>
      </c>
      <c r="P3888" s="14" t="str">
        <f>HYPERLINK("https://ceds.ed.gov/cedselementdetails.aspx?termid=18226")</f>
        <v>https://ceds.ed.gov/cedselementdetails.aspx?termid=18226</v>
      </c>
      <c r="Q3888" s="14" t="str">
        <f>HYPERLINK("https://ceds.ed.gov/elementComment.aspx?elementName=Assessment Item Response Theory Parameter D6 &amp;elementID=18226", "Click here to submit comment")</f>
        <v>Click here to submit comment</v>
      </c>
      <c r="R3888" s="14">
        <v>49110</v>
      </c>
    </row>
    <row r="3889" spans="1:18" ht="60" x14ac:dyDescent="0.25">
      <c r="A3889" s="14" t="s">
        <v>9103</v>
      </c>
      <c r="B3889" s="14" t="s">
        <v>9117</v>
      </c>
      <c r="C3889" s="14" t="s">
        <v>9126</v>
      </c>
      <c r="D3889" s="14" t="s">
        <v>8531</v>
      </c>
      <c r="E3889" s="14" t="s">
        <v>1049</v>
      </c>
      <c r="F3889" s="14" t="s">
        <v>1050</v>
      </c>
      <c r="G3889" s="14" t="s">
        <v>37</v>
      </c>
      <c r="H3889" s="14"/>
      <c r="I3889" s="14"/>
      <c r="J3889" s="14" t="s">
        <v>165</v>
      </c>
      <c r="K3889" s="14"/>
      <c r="L3889" s="14"/>
      <c r="M3889" s="14" t="s">
        <v>1051</v>
      </c>
      <c r="N3889" s="14"/>
      <c r="O3889" s="14" t="s">
        <v>1052</v>
      </c>
      <c r="P3889" s="14" t="str">
        <f>HYPERLINK("https://ceds.ed.gov/cedselementdetails.aspx?termid=18228")</f>
        <v>https://ceds.ed.gov/cedselementdetails.aspx?termid=18228</v>
      </c>
      <c r="Q3889" s="14" t="str">
        <f>HYPERLINK("https://ceds.ed.gov/elementComment.aspx?elementName=Assessment Item Response Theory Point Biserial Correlation Value &amp;elementID=18228", "Click here to submit comment")</f>
        <v>Click here to submit comment</v>
      </c>
      <c r="R3889" s="14">
        <v>50026</v>
      </c>
    </row>
    <row r="3890" spans="1:18" ht="165" x14ac:dyDescent="0.25">
      <c r="A3890" s="14" t="s">
        <v>9103</v>
      </c>
      <c r="B3890" s="14" t="s">
        <v>9117</v>
      </c>
      <c r="C3890" s="14" t="s">
        <v>9126</v>
      </c>
      <c r="D3890" s="14" t="s">
        <v>8531</v>
      </c>
      <c r="E3890" s="14" t="s">
        <v>994</v>
      </c>
      <c r="F3890" s="14" t="s">
        <v>995</v>
      </c>
      <c r="G3890" s="14" t="s">
        <v>37</v>
      </c>
      <c r="H3890" s="14"/>
      <c r="I3890" s="14"/>
      <c r="J3890" s="14" t="s">
        <v>165</v>
      </c>
      <c r="K3890" s="14"/>
      <c r="L3890" s="14"/>
      <c r="M3890" s="14" t="s">
        <v>997</v>
      </c>
      <c r="N3890" s="14"/>
      <c r="O3890" s="14" t="s">
        <v>998</v>
      </c>
      <c r="P3890" s="14" t="str">
        <f>HYPERLINK("https://ceds.ed.gov/cedselementdetails.aspx?termid=18230")</f>
        <v>https://ceds.ed.gov/cedselementdetails.aspx?termid=18230</v>
      </c>
      <c r="Q3890" s="14" t="str">
        <f>HYPERLINK("https://ceds.ed.gov/elementComment.aspx?elementName=Assessment Item Response Theory DIF Value &amp;elementID=18230", "Click here to submit comment")</f>
        <v>Click here to submit comment</v>
      </c>
      <c r="R3890" s="14">
        <v>49118</v>
      </c>
    </row>
    <row r="3891" spans="1:18" ht="45" x14ac:dyDescent="0.25">
      <c r="A3891" s="14" t="s">
        <v>9103</v>
      </c>
      <c r="B3891" s="14" t="s">
        <v>9117</v>
      </c>
      <c r="C3891" s="14" t="s">
        <v>9126</v>
      </c>
      <c r="D3891" s="14" t="s">
        <v>8531</v>
      </c>
      <c r="E3891" s="14" t="s">
        <v>1004</v>
      </c>
      <c r="F3891" s="14" t="s">
        <v>1005</v>
      </c>
      <c r="G3891" s="14" t="s">
        <v>37</v>
      </c>
      <c r="H3891" s="14"/>
      <c r="I3891" s="14"/>
      <c r="J3891" s="14" t="s">
        <v>165</v>
      </c>
      <c r="K3891" s="14"/>
      <c r="L3891" s="14"/>
      <c r="M3891" s="14" t="s">
        <v>1006</v>
      </c>
      <c r="N3891" s="14"/>
      <c r="O3891" s="14" t="s">
        <v>1007</v>
      </c>
      <c r="P3891" s="14" t="str">
        <f>HYPERLINK("https://ceds.ed.gov/cedselementdetails.aspx?termid=18231")</f>
        <v>https://ceds.ed.gov/cedselementdetails.aspx?termid=18231</v>
      </c>
      <c r="Q3891" s="14" t="str">
        <f>HYPERLINK("https://ceds.ed.gov/elementComment.aspx?elementName=Assessment Item Response Theory Kappa Value &amp;elementID=18231", "Click here to submit comment")</f>
        <v>Click here to submit comment</v>
      </c>
      <c r="R3891" s="14">
        <v>49120</v>
      </c>
    </row>
    <row r="3892" spans="1:18" ht="90" x14ac:dyDescent="0.25">
      <c r="A3892" s="14" t="s">
        <v>9103</v>
      </c>
      <c r="B3892" s="14" t="s">
        <v>9117</v>
      </c>
      <c r="C3892" s="14" t="s">
        <v>9126</v>
      </c>
      <c r="D3892" s="14" t="s">
        <v>8531</v>
      </c>
      <c r="E3892" s="14" t="s">
        <v>999</v>
      </c>
      <c r="F3892" s="14" t="s">
        <v>1000</v>
      </c>
      <c r="G3892" s="8" t="s">
        <v>9128</v>
      </c>
      <c r="H3892" s="14"/>
      <c r="I3892" s="14"/>
      <c r="J3892" s="14"/>
      <c r="K3892" s="14"/>
      <c r="L3892" s="14"/>
      <c r="M3892" s="14" t="s">
        <v>1002</v>
      </c>
      <c r="N3892" s="14"/>
      <c r="O3892" s="14" t="s">
        <v>1003</v>
      </c>
      <c r="P3892" s="14" t="str">
        <f>HYPERLINK("https://ceds.ed.gov/cedselementdetails.aspx?termid=18232")</f>
        <v>https://ceds.ed.gov/cedselementdetails.aspx?termid=18232</v>
      </c>
      <c r="Q3892" s="14" t="str">
        <f>HYPERLINK("https://ceds.ed.gov/elementComment.aspx?elementName=Assessment Item Response Theory Kappa Algorithm &amp;elementID=18232", "Click here to submit comment")</f>
        <v>Click here to submit comment</v>
      </c>
      <c r="R3892" s="14">
        <v>49122</v>
      </c>
    </row>
    <row r="3893" spans="1:18" ht="90" x14ac:dyDescent="0.25">
      <c r="A3893" s="14" t="s">
        <v>9103</v>
      </c>
      <c r="B3893" s="14" t="s">
        <v>9117</v>
      </c>
      <c r="C3893" s="14" t="s">
        <v>9129</v>
      </c>
      <c r="D3893" s="14" t="s">
        <v>8531</v>
      </c>
      <c r="E3893" s="14" t="s">
        <v>776</v>
      </c>
      <c r="F3893" s="14" t="s">
        <v>777</v>
      </c>
      <c r="G3893" s="14" t="s">
        <v>37</v>
      </c>
      <c r="H3893" s="14"/>
      <c r="I3893" s="14"/>
      <c r="J3893" s="14" t="s">
        <v>382</v>
      </c>
      <c r="K3893" s="14"/>
      <c r="L3893" s="14"/>
      <c r="M3893" s="14" t="s">
        <v>779</v>
      </c>
      <c r="N3893" s="14"/>
      <c r="O3893" s="14" t="s">
        <v>780</v>
      </c>
      <c r="P3893" s="14" t="str">
        <f>HYPERLINK("https://ceds.ed.gov/cedselementdetails.aspx?termid=18079")</f>
        <v>https://ceds.ed.gov/cedselementdetails.aspx?termid=18079</v>
      </c>
      <c r="Q3893" s="14" t="str">
        <f>HYPERLINK("https://ceds.ed.gov/elementComment.aspx?elementName=Assessment Item Body Custom Interaction XML &amp;elementID=18079", "Click here to submit comment")</f>
        <v>Click here to submit comment</v>
      </c>
      <c r="R3893" s="14">
        <v>48520</v>
      </c>
    </row>
    <row r="3894" spans="1:18" ht="45" x14ac:dyDescent="0.25">
      <c r="A3894" s="14" t="s">
        <v>9103</v>
      </c>
      <c r="B3894" s="14" t="s">
        <v>9117</v>
      </c>
      <c r="C3894" s="14" t="s">
        <v>9130</v>
      </c>
      <c r="D3894" s="14" t="s">
        <v>8531</v>
      </c>
      <c r="E3894" s="14" t="s">
        <v>863</v>
      </c>
      <c r="F3894" s="14" t="s">
        <v>864</v>
      </c>
      <c r="G3894" s="14" t="s">
        <v>37</v>
      </c>
      <c r="H3894" s="14"/>
      <c r="I3894" s="14"/>
      <c r="J3894" s="14" t="s">
        <v>97</v>
      </c>
      <c r="K3894" s="14"/>
      <c r="L3894" s="14"/>
      <c r="M3894" s="14" t="s">
        <v>865</v>
      </c>
      <c r="N3894" s="14"/>
      <c r="O3894" s="14" t="s">
        <v>866</v>
      </c>
      <c r="P3894" s="14" t="str">
        <f>HYPERLINK("https://ceds.ed.gov/cedselementdetails.aspx?termid=17685")</f>
        <v>https://ceds.ed.gov/cedselementdetails.aspx?termid=17685</v>
      </c>
      <c r="Q3894" s="14" t="str">
        <f>HYPERLINK("https://ceds.ed.gov/elementComment.aspx?elementName=Assessment Item Characteristic Value &amp;elementID=17685", "Click here to submit comment")</f>
        <v>Click here to submit comment</v>
      </c>
      <c r="R3894" s="14">
        <v>48205</v>
      </c>
    </row>
    <row r="3895" spans="1:18" ht="390" x14ac:dyDescent="0.25">
      <c r="A3895" s="14" t="s">
        <v>9103</v>
      </c>
      <c r="B3895" s="14" t="s">
        <v>9117</v>
      </c>
      <c r="C3895" s="14" t="s">
        <v>9130</v>
      </c>
      <c r="D3895" s="14" t="s">
        <v>8531</v>
      </c>
      <c r="E3895" s="14" t="s">
        <v>857</v>
      </c>
      <c r="F3895" s="14" t="s">
        <v>858</v>
      </c>
      <c r="G3895" s="8" t="s">
        <v>9131</v>
      </c>
      <c r="H3895" s="14" t="s">
        <v>727</v>
      </c>
      <c r="I3895" s="14"/>
      <c r="J3895" s="14"/>
      <c r="K3895" s="14"/>
      <c r="L3895" s="14"/>
      <c r="M3895" s="14" t="s">
        <v>861</v>
      </c>
      <c r="N3895" s="14"/>
      <c r="O3895" s="14" t="s">
        <v>862</v>
      </c>
      <c r="P3895" s="14" t="str">
        <f>HYPERLINK("https://ceds.ed.gov/cedselementdetails.aspx?termid=17384")</f>
        <v>https://ceds.ed.gov/cedselementdetails.aspx?termid=17384</v>
      </c>
      <c r="Q3895" s="14" t="str">
        <f>HYPERLINK("https://ceds.ed.gov/elementComment.aspx?elementName=Assessment Item Characteristic Type &amp;elementID=17384", "Click here to submit comment")</f>
        <v>Click here to submit comment</v>
      </c>
      <c r="R3895" s="14">
        <v>48195</v>
      </c>
    </row>
    <row r="3896" spans="1:18" ht="105" x14ac:dyDescent="0.25">
      <c r="A3896" s="16" t="s">
        <v>9103</v>
      </c>
      <c r="B3896" s="16" t="s">
        <v>9117</v>
      </c>
      <c r="C3896" s="16" t="s">
        <v>9132</v>
      </c>
      <c r="D3896" s="16" t="s">
        <v>8531</v>
      </c>
      <c r="E3896" s="16" t="s">
        <v>7481</v>
      </c>
      <c r="F3896" s="16" t="s">
        <v>7482</v>
      </c>
      <c r="G3896" s="16" t="s">
        <v>37</v>
      </c>
      <c r="H3896" s="16" t="s">
        <v>727</v>
      </c>
      <c r="I3896" s="16"/>
      <c r="J3896" s="16" t="s">
        <v>149</v>
      </c>
      <c r="K3896" s="16"/>
      <c r="L3896" s="14" t="s">
        <v>150</v>
      </c>
      <c r="M3896" s="16" t="s">
        <v>7483</v>
      </c>
      <c r="N3896" s="16"/>
      <c r="O3896" s="16" t="s">
        <v>7484</v>
      </c>
      <c r="P3896" s="16" t="str">
        <f>HYPERLINK("https://ceds.ed.gov/cedselementdetails.aspx?termid=17412")</f>
        <v>https://ceds.ed.gov/cedselementdetails.aspx?termid=17412</v>
      </c>
      <c r="Q3896" s="16" t="str">
        <f>HYPERLINK("https://ceds.ed.gov/elementComment.aspx?elementName=Rubric Identifier &amp;elementID=17412", "Click here to submit comment")</f>
        <v>Click here to submit comment</v>
      </c>
      <c r="R3896" s="16">
        <v>49419</v>
      </c>
    </row>
    <row r="3897" spans="1:18" x14ac:dyDescent="0.25">
      <c r="A3897" s="16"/>
      <c r="B3897" s="16"/>
      <c r="C3897" s="16"/>
      <c r="D3897" s="16"/>
      <c r="E3897" s="16"/>
      <c r="F3897" s="16"/>
      <c r="G3897" s="16"/>
      <c r="H3897" s="16"/>
      <c r="I3897" s="16"/>
      <c r="J3897" s="16"/>
      <c r="K3897" s="16"/>
      <c r="L3897" s="14"/>
      <c r="M3897" s="16"/>
      <c r="N3897" s="16"/>
      <c r="O3897" s="16"/>
      <c r="P3897" s="16"/>
      <c r="Q3897" s="16"/>
      <c r="R3897" s="16"/>
    </row>
    <row r="3898" spans="1:18" ht="90" x14ac:dyDescent="0.25">
      <c r="A3898" s="16"/>
      <c r="B3898" s="16"/>
      <c r="C3898" s="16"/>
      <c r="D3898" s="16"/>
      <c r="E3898" s="16"/>
      <c r="F3898" s="16"/>
      <c r="G3898" s="16"/>
      <c r="H3898" s="16"/>
      <c r="I3898" s="16"/>
      <c r="J3898" s="16"/>
      <c r="K3898" s="16"/>
      <c r="L3898" s="14" t="s">
        <v>153</v>
      </c>
      <c r="M3898" s="16"/>
      <c r="N3898" s="16"/>
      <c r="O3898" s="16"/>
      <c r="P3898" s="16"/>
      <c r="Q3898" s="16"/>
      <c r="R3898" s="16"/>
    </row>
    <row r="3899" spans="1:18" ht="45" x14ac:dyDescent="0.25">
      <c r="A3899" s="14" t="s">
        <v>9103</v>
      </c>
      <c r="B3899" s="14" t="s">
        <v>9117</v>
      </c>
      <c r="C3899" s="14" t="s">
        <v>9132</v>
      </c>
      <c r="D3899" s="14" t="s">
        <v>8531</v>
      </c>
      <c r="E3899" s="14" t="s">
        <v>7485</v>
      </c>
      <c r="F3899" s="14" t="s">
        <v>7486</v>
      </c>
      <c r="G3899" s="14" t="s">
        <v>37</v>
      </c>
      <c r="H3899" s="14" t="s">
        <v>727</v>
      </c>
      <c r="I3899" s="14"/>
      <c r="J3899" s="14" t="s">
        <v>97</v>
      </c>
      <c r="K3899" s="14"/>
      <c r="L3899" s="14"/>
      <c r="M3899" s="14" t="s">
        <v>7487</v>
      </c>
      <c r="N3899" s="14"/>
      <c r="O3899" s="14" t="s">
        <v>7488</v>
      </c>
      <c r="P3899" s="14" t="str">
        <f>HYPERLINK("https://ceds.ed.gov/cedselementdetails.aspx?termid=17411")</f>
        <v>https://ceds.ed.gov/cedselementdetails.aspx?termid=17411</v>
      </c>
      <c r="Q3899" s="14" t="str">
        <f>HYPERLINK("https://ceds.ed.gov/elementComment.aspx?elementName=Rubric Title &amp;elementID=17411", "Click here to submit comment")</f>
        <v>Click here to submit comment</v>
      </c>
      <c r="R3899" s="14">
        <v>49418</v>
      </c>
    </row>
    <row r="3900" spans="1:18" ht="45" x14ac:dyDescent="0.25">
      <c r="A3900" s="14" t="s">
        <v>9103</v>
      </c>
      <c r="B3900" s="14" t="s">
        <v>9117</v>
      </c>
      <c r="C3900" s="14" t="s">
        <v>9132</v>
      </c>
      <c r="D3900" s="14" t="s">
        <v>8531</v>
      </c>
      <c r="E3900" s="14" t="s">
        <v>7477</v>
      </c>
      <c r="F3900" s="14" t="s">
        <v>7478</v>
      </c>
      <c r="G3900" s="14" t="s">
        <v>37</v>
      </c>
      <c r="H3900" s="14"/>
      <c r="I3900" s="14"/>
      <c r="J3900" s="14" t="s">
        <v>382</v>
      </c>
      <c r="K3900" s="14"/>
      <c r="L3900" s="14"/>
      <c r="M3900" s="14" t="s">
        <v>7479</v>
      </c>
      <c r="N3900" s="14"/>
      <c r="O3900" s="14" t="s">
        <v>7480</v>
      </c>
      <c r="P3900" s="14" t="str">
        <f>HYPERLINK("https://ceds.ed.gov/cedselementdetails.aspx?termid=18451")</f>
        <v>https://ceds.ed.gov/cedselementdetails.aspx?termid=18451</v>
      </c>
      <c r="Q3900" s="14" t="str">
        <f>HYPERLINK("https://ceds.ed.gov/elementComment.aspx?elementName=Rubric Description &amp;elementID=18451", "Click here to submit comment")</f>
        <v>Click here to submit comment</v>
      </c>
      <c r="R3900" s="14">
        <v>50407</v>
      </c>
    </row>
    <row r="3901" spans="1:18" ht="45" x14ac:dyDescent="0.25">
      <c r="A3901" s="14" t="s">
        <v>9103</v>
      </c>
      <c r="B3901" s="14" t="s">
        <v>9117</v>
      </c>
      <c r="C3901" s="14" t="s">
        <v>9132</v>
      </c>
      <c r="D3901" s="14" t="s">
        <v>8531</v>
      </c>
      <c r="E3901" s="14" t="s">
        <v>7489</v>
      </c>
      <c r="F3901" s="14" t="s">
        <v>7490</v>
      </c>
      <c r="G3901" s="14" t="s">
        <v>37</v>
      </c>
      <c r="H3901" s="14" t="s">
        <v>727</v>
      </c>
      <c r="I3901" s="14"/>
      <c r="J3901" s="14" t="s">
        <v>57</v>
      </c>
      <c r="K3901" s="14"/>
      <c r="L3901" s="14"/>
      <c r="M3901" s="14" t="s">
        <v>7491</v>
      </c>
      <c r="N3901" s="14"/>
      <c r="O3901" s="14" t="s">
        <v>7492</v>
      </c>
      <c r="P3901" s="14" t="str">
        <f>HYPERLINK("https://ceds.ed.gov/cedselementdetails.aspx?termid=17413")</f>
        <v>https://ceds.ed.gov/cedselementdetails.aspx?termid=17413</v>
      </c>
      <c r="Q3901" s="14" t="str">
        <f>HYPERLINK("https://ceds.ed.gov/elementComment.aspx?elementName=Rubric URL Reference &amp;elementID=17413", "Click here to submit comment")</f>
        <v>Click here to submit comment</v>
      </c>
      <c r="R3901" s="14">
        <v>49420</v>
      </c>
    </row>
    <row r="3902" spans="1:18" ht="45" x14ac:dyDescent="0.25">
      <c r="A3902" s="14" t="s">
        <v>9103</v>
      </c>
      <c r="B3902" s="14" t="s">
        <v>9117</v>
      </c>
      <c r="C3902" s="14" t="s">
        <v>9132</v>
      </c>
      <c r="D3902" s="14" t="s">
        <v>8531</v>
      </c>
      <c r="E3902" s="14" t="s">
        <v>7469</v>
      </c>
      <c r="F3902" s="14" t="s">
        <v>7470</v>
      </c>
      <c r="G3902" s="14" t="s">
        <v>37</v>
      </c>
      <c r="H3902" s="14"/>
      <c r="I3902" s="14"/>
      <c r="J3902" s="14" t="s">
        <v>175</v>
      </c>
      <c r="K3902" s="14"/>
      <c r="L3902" s="14"/>
      <c r="M3902" s="14" t="s">
        <v>7471</v>
      </c>
      <c r="N3902" s="14"/>
      <c r="O3902" s="14" t="s">
        <v>7472</v>
      </c>
      <c r="P3902" s="14" t="str">
        <f>HYPERLINK("https://ceds.ed.gov/cedselementdetails.aspx?termid=18449")</f>
        <v>https://ceds.ed.gov/cedselementdetails.aspx?termid=18449</v>
      </c>
      <c r="Q3902" s="14" t="str">
        <f>HYPERLINK("https://ceds.ed.gov/elementComment.aspx?elementName=Rubric Criterion Title &amp;elementID=18449", "Click here to submit comment")</f>
        <v>Click here to submit comment</v>
      </c>
      <c r="R3902" s="14">
        <v>50401</v>
      </c>
    </row>
    <row r="3903" spans="1:18" ht="45" x14ac:dyDescent="0.25">
      <c r="A3903" s="14" t="s">
        <v>9103</v>
      </c>
      <c r="B3903" s="14" t="s">
        <v>9117</v>
      </c>
      <c r="C3903" s="14" t="s">
        <v>9132</v>
      </c>
      <c r="D3903" s="14" t="s">
        <v>8531</v>
      </c>
      <c r="E3903" s="14" t="s">
        <v>7441</v>
      </c>
      <c r="F3903" s="14" t="s">
        <v>7442</v>
      </c>
      <c r="G3903" s="14" t="s">
        <v>37</v>
      </c>
      <c r="H3903" s="14"/>
      <c r="I3903" s="14"/>
      <c r="J3903" s="14" t="s">
        <v>382</v>
      </c>
      <c r="K3903" s="14"/>
      <c r="L3903" s="14"/>
      <c r="M3903" s="14" t="s">
        <v>7443</v>
      </c>
      <c r="N3903" s="14"/>
      <c r="O3903" s="14" t="s">
        <v>7444</v>
      </c>
      <c r="P3903" s="14" t="str">
        <f>HYPERLINK("https://ceds.ed.gov/cedselementdetails.aspx?termid=18442")</f>
        <v>https://ceds.ed.gov/cedselementdetails.aspx?termid=18442</v>
      </c>
      <c r="Q3903" s="14" t="str">
        <f>HYPERLINK("https://ceds.ed.gov/elementComment.aspx?elementName=Rubric Criterion Description &amp;elementID=18442", "Click here to submit comment")</f>
        <v>Click here to submit comment</v>
      </c>
      <c r="R3903" s="14">
        <v>50379</v>
      </c>
    </row>
    <row r="3904" spans="1:18" ht="45" x14ac:dyDescent="0.25">
      <c r="A3904" s="14" t="s">
        <v>9103</v>
      </c>
      <c r="B3904" s="14" t="s">
        <v>9117</v>
      </c>
      <c r="C3904" s="14" t="s">
        <v>9132</v>
      </c>
      <c r="D3904" s="14" t="s">
        <v>8531</v>
      </c>
      <c r="E3904" s="14" t="s">
        <v>7436</v>
      </c>
      <c r="F3904" s="14" t="s">
        <v>7437</v>
      </c>
      <c r="G3904" s="14" t="s">
        <v>37</v>
      </c>
      <c r="H3904" s="14"/>
      <c r="I3904" s="14"/>
      <c r="J3904" s="14" t="s">
        <v>97</v>
      </c>
      <c r="K3904" s="14"/>
      <c r="L3904" s="14"/>
      <c r="M3904" s="14" t="s">
        <v>7439</v>
      </c>
      <c r="N3904" s="14"/>
      <c r="O3904" s="14" t="s">
        <v>7440</v>
      </c>
      <c r="P3904" s="14" t="str">
        <f>HYPERLINK("https://ceds.ed.gov/cedselementdetails.aspx?termid=18441")</f>
        <v>https://ceds.ed.gov/cedselementdetails.aspx?termid=18441</v>
      </c>
      <c r="Q3904" s="14" t="str">
        <f>HYPERLINK("https://ceds.ed.gov/elementComment.aspx?elementName=Rubric Criterion Category &amp;elementID=18441", "Click here to submit comment")</f>
        <v>Click here to submit comment</v>
      </c>
      <c r="R3904" s="14">
        <v>50376</v>
      </c>
    </row>
    <row r="3905" spans="1:18" ht="45" x14ac:dyDescent="0.25">
      <c r="A3905" s="14" t="s">
        <v>9103</v>
      </c>
      <c r="B3905" s="14" t="s">
        <v>9117</v>
      </c>
      <c r="C3905" s="14" t="s">
        <v>9132</v>
      </c>
      <c r="D3905" s="14" t="s">
        <v>8531</v>
      </c>
      <c r="E3905" s="14" t="s">
        <v>7465</v>
      </c>
      <c r="F3905" s="14" t="s">
        <v>7466</v>
      </c>
      <c r="G3905" s="14" t="s">
        <v>37</v>
      </c>
      <c r="H3905" s="14"/>
      <c r="I3905" s="14"/>
      <c r="J3905" s="14" t="s">
        <v>165</v>
      </c>
      <c r="K3905" s="14"/>
      <c r="L3905" s="14"/>
      <c r="M3905" s="14" t="s">
        <v>7467</v>
      </c>
      <c r="N3905" s="14"/>
      <c r="O3905" s="14" t="s">
        <v>7468</v>
      </c>
      <c r="P3905" s="14" t="str">
        <f>HYPERLINK("https://ceds.ed.gov/cedselementdetails.aspx?termid=18448")</f>
        <v>https://ceds.ed.gov/cedselementdetails.aspx?termid=18448</v>
      </c>
      <c r="Q3905" s="14" t="str">
        <f>HYPERLINK("https://ceds.ed.gov/elementComment.aspx?elementName=Rubric Criterion Position &amp;elementID=18448", "Click here to submit comment")</f>
        <v>Click here to submit comment</v>
      </c>
      <c r="R3905" s="14">
        <v>50398</v>
      </c>
    </row>
    <row r="3906" spans="1:18" ht="60" x14ac:dyDescent="0.25">
      <c r="A3906" s="14" t="s">
        <v>9103</v>
      </c>
      <c r="B3906" s="14" t="s">
        <v>9117</v>
      </c>
      <c r="C3906" s="14" t="s">
        <v>9132</v>
      </c>
      <c r="D3906" s="14" t="s">
        <v>8531</v>
      </c>
      <c r="E3906" s="14" t="s">
        <v>7445</v>
      </c>
      <c r="F3906" s="14" t="s">
        <v>7446</v>
      </c>
      <c r="G3906" s="14" t="s">
        <v>37</v>
      </c>
      <c r="H3906" s="14"/>
      <c r="I3906" s="14"/>
      <c r="J3906" s="14" t="s">
        <v>382</v>
      </c>
      <c r="K3906" s="14"/>
      <c r="L3906" s="14"/>
      <c r="M3906" s="14" t="s">
        <v>7447</v>
      </c>
      <c r="N3906" s="14"/>
      <c r="O3906" s="14" t="s">
        <v>7448</v>
      </c>
      <c r="P3906" s="14" t="str">
        <f>HYPERLINK("https://ceds.ed.gov/cedselementdetails.aspx?termid=18443")</f>
        <v>https://ceds.ed.gov/cedselementdetails.aspx?termid=18443</v>
      </c>
      <c r="Q3906" s="14" t="str">
        <f>HYPERLINK("https://ceds.ed.gov/elementComment.aspx?elementName=Rubric Criterion Level Description &amp;elementID=18443", "Click here to submit comment")</f>
        <v>Click here to submit comment</v>
      </c>
      <c r="R3906" s="14">
        <v>50382</v>
      </c>
    </row>
    <row r="3907" spans="1:18" ht="75" x14ac:dyDescent="0.25">
      <c r="A3907" s="14" t="s">
        <v>9103</v>
      </c>
      <c r="B3907" s="14" t="s">
        <v>9117</v>
      </c>
      <c r="C3907" s="14" t="s">
        <v>9132</v>
      </c>
      <c r="D3907" s="14" t="s">
        <v>8531</v>
      </c>
      <c r="E3907" s="14" t="s">
        <v>7449</v>
      </c>
      <c r="F3907" s="14" t="s">
        <v>7450</v>
      </c>
      <c r="G3907" s="14" t="s">
        <v>37</v>
      </c>
      <c r="H3907" s="14"/>
      <c r="I3907" s="14"/>
      <c r="J3907" s="14" t="s">
        <v>382</v>
      </c>
      <c r="K3907" s="14"/>
      <c r="L3907" s="14"/>
      <c r="M3907" s="14" t="s">
        <v>7451</v>
      </c>
      <c r="N3907" s="14"/>
      <c r="O3907" s="14" t="s">
        <v>7452</v>
      </c>
      <c r="P3907" s="14" t="str">
        <f>HYPERLINK("https://ceds.ed.gov/cedselementdetails.aspx?termid=18444")</f>
        <v>https://ceds.ed.gov/cedselementdetails.aspx?termid=18444</v>
      </c>
      <c r="Q3907" s="14" t="str">
        <f>HYPERLINK("https://ceds.ed.gov/elementComment.aspx?elementName=Rubric Criterion Level Feedback &amp;elementID=18444", "Click here to submit comment")</f>
        <v>Click here to submit comment</v>
      </c>
      <c r="R3907" s="14">
        <v>50386</v>
      </c>
    </row>
    <row r="3908" spans="1:18" ht="45" x14ac:dyDescent="0.25">
      <c r="A3908" s="14" t="s">
        <v>9103</v>
      </c>
      <c r="B3908" s="14" t="s">
        <v>9117</v>
      </c>
      <c r="C3908" s="14" t="s">
        <v>9132</v>
      </c>
      <c r="D3908" s="14" t="s">
        <v>8531</v>
      </c>
      <c r="E3908" s="14" t="s">
        <v>7453</v>
      </c>
      <c r="F3908" s="14" t="s">
        <v>7454</v>
      </c>
      <c r="G3908" s="14" t="s">
        <v>37</v>
      </c>
      <c r="H3908" s="14"/>
      <c r="I3908" s="14"/>
      <c r="J3908" s="14" t="s">
        <v>165</v>
      </c>
      <c r="K3908" s="14"/>
      <c r="L3908" s="14"/>
      <c r="M3908" s="14" t="s">
        <v>7455</v>
      </c>
      <c r="N3908" s="14"/>
      <c r="O3908" s="14" t="s">
        <v>7456</v>
      </c>
      <c r="P3908" s="14" t="str">
        <f>HYPERLINK("https://ceds.ed.gov/cedselementdetails.aspx?termid=18445")</f>
        <v>https://ceds.ed.gov/cedselementdetails.aspx?termid=18445</v>
      </c>
      <c r="Q3908" s="14" t="str">
        <f>HYPERLINK("https://ceds.ed.gov/elementComment.aspx?elementName=Rubric Criterion Level Position &amp;elementID=18445", "Click here to submit comment")</f>
        <v>Click here to submit comment</v>
      </c>
      <c r="R3908" s="14">
        <v>50389</v>
      </c>
    </row>
    <row r="3909" spans="1:18" ht="60" x14ac:dyDescent="0.25">
      <c r="A3909" s="14" t="s">
        <v>9103</v>
      </c>
      <c r="B3909" s="14" t="s">
        <v>9117</v>
      </c>
      <c r="C3909" s="14" t="s">
        <v>9132</v>
      </c>
      <c r="D3909" s="14" t="s">
        <v>8531</v>
      </c>
      <c r="E3909" s="14" t="s">
        <v>7457</v>
      </c>
      <c r="F3909" s="14" t="s">
        <v>7458</v>
      </c>
      <c r="G3909" s="14" t="s">
        <v>37</v>
      </c>
      <c r="H3909" s="14"/>
      <c r="I3909" s="14"/>
      <c r="J3909" s="14" t="s">
        <v>175</v>
      </c>
      <c r="K3909" s="14"/>
      <c r="L3909" s="14"/>
      <c r="M3909" s="14" t="s">
        <v>7459</v>
      </c>
      <c r="N3909" s="14"/>
      <c r="O3909" s="14" t="s">
        <v>7460</v>
      </c>
      <c r="P3909" s="14" t="str">
        <f>HYPERLINK("https://ceds.ed.gov/cedselementdetails.aspx?termid=18446")</f>
        <v>https://ceds.ed.gov/cedselementdetails.aspx?termid=18446</v>
      </c>
      <c r="Q3909" s="14" t="str">
        <f>HYPERLINK("https://ceds.ed.gov/elementComment.aspx?elementName=Rubric Criterion Level Quality Label &amp;elementID=18446", "Click here to submit comment")</f>
        <v>Click here to submit comment</v>
      </c>
      <c r="R3909" s="14">
        <v>50392</v>
      </c>
    </row>
    <row r="3910" spans="1:18" ht="45" x14ac:dyDescent="0.25">
      <c r="A3910" s="14" t="s">
        <v>9103</v>
      </c>
      <c r="B3910" s="14" t="s">
        <v>9117</v>
      </c>
      <c r="C3910" s="14" t="s">
        <v>9132</v>
      </c>
      <c r="D3910" s="14" t="s">
        <v>8531</v>
      </c>
      <c r="E3910" s="14" t="s">
        <v>7461</v>
      </c>
      <c r="F3910" s="14" t="s">
        <v>7462</v>
      </c>
      <c r="G3910" s="14" t="s">
        <v>37</v>
      </c>
      <c r="H3910" s="14"/>
      <c r="I3910" s="14"/>
      <c r="J3910" s="14" t="s">
        <v>165</v>
      </c>
      <c r="K3910" s="14"/>
      <c r="L3910" s="14"/>
      <c r="M3910" s="14" t="s">
        <v>7463</v>
      </c>
      <c r="N3910" s="14"/>
      <c r="O3910" s="14" t="s">
        <v>7464</v>
      </c>
      <c r="P3910" s="14" t="str">
        <f>HYPERLINK("https://ceds.ed.gov/cedselementdetails.aspx?termid=18447")</f>
        <v>https://ceds.ed.gov/cedselementdetails.aspx?termid=18447</v>
      </c>
      <c r="Q3910" s="14" t="str">
        <f>HYPERLINK("https://ceds.ed.gov/elementComment.aspx?elementName=Rubric Criterion Level Score &amp;elementID=18447", "Click here to submit comment")</f>
        <v>Click here to submit comment</v>
      </c>
      <c r="R3910" s="14">
        <v>50395</v>
      </c>
    </row>
    <row r="3911" spans="1:18" ht="45" x14ac:dyDescent="0.25">
      <c r="A3911" s="14" t="s">
        <v>9103</v>
      </c>
      <c r="B3911" s="14" t="s">
        <v>9117</v>
      </c>
      <c r="C3911" s="14" t="s">
        <v>9132</v>
      </c>
      <c r="D3911" s="14" t="s">
        <v>8531</v>
      </c>
      <c r="E3911" s="14" t="s">
        <v>7473</v>
      </c>
      <c r="F3911" s="14" t="s">
        <v>7474</v>
      </c>
      <c r="G3911" s="14" t="s">
        <v>37</v>
      </c>
      <c r="H3911" s="14"/>
      <c r="I3911" s="14"/>
      <c r="J3911" s="14" t="s">
        <v>165</v>
      </c>
      <c r="K3911" s="14"/>
      <c r="L3911" s="14"/>
      <c r="M3911" s="14" t="s">
        <v>7475</v>
      </c>
      <c r="N3911" s="14"/>
      <c r="O3911" s="14" t="s">
        <v>7476</v>
      </c>
      <c r="P3911" s="14" t="str">
        <f>HYPERLINK("https://ceds.ed.gov/cedselementdetails.aspx?termid=18450")</f>
        <v>https://ceds.ed.gov/cedselementdetails.aspx?termid=18450</v>
      </c>
      <c r="Q3911" s="14" t="str">
        <f>HYPERLINK("https://ceds.ed.gov/elementComment.aspx?elementName=Rubric Criterion Weight &amp;elementID=18450", "Click here to submit comment")</f>
        <v>Click here to submit comment</v>
      </c>
      <c r="R3911" s="14">
        <v>50404</v>
      </c>
    </row>
    <row r="3912" spans="1:18" ht="45" x14ac:dyDescent="0.25">
      <c r="A3912" s="14" t="s">
        <v>9103</v>
      </c>
      <c r="B3912" s="14" t="s">
        <v>9117</v>
      </c>
      <c r="C3912" s="14" t="s">
        <v>9133</v>
      </c>
      <c r="D3912" s="14" t="s">
        <v>8531</v>
      </c>
      <c r="E3912" s="14" t="s">
        <v>717</v>
      </c>
      <c r="F3912" s="14" t="s">
        <v>718</v>
      </c>
      <c r="G3912" s="14" t="s">
        <v>24</v>
      </c>
      <c r="H3912" s="14"/>
      <c r="I3912" s="14"/>
      <c r="J3912" s="14"/>
      <c r="K3912" s="14"/>
      <c r="L3912" s="14"/>
      <c r="M3912" s="14" t="s">
        <v>720</v>
      </c>
      <c r="N3912" s="14"/>
      <c r="O3912" s="14" t="s">
        <v>721</v>
      </c>
      <c r="P3912" s="14" t="str">
        <f>HYPERLINK("https://ceds.ed.gov/cedselementdetails.aspx?termid=18111")</f>
        <v>https://ceds.ed.gov/cedselementdetails.aspx?termid=18111</v>
      </c>
      <c r="Q3912" s="14" t="str">
        <f>HYPERLINK("https://ceds.ed.gov/elementComment.aspx?elementName=Assessment Item Adaptive Indicator &amp;elementID=18111", "Click here to submit comment")</f>
        <v>Click here to submit comment</v>
      </c>
      <c r="R3912" s="14">
        <v>48553</v>
      </c>
    </row>
    <row r="3913" spans="1:18" ht="195" x14ac:dyDescent="0.25">
      <c r="A3913" s="14" t="s">
        <v>9103</v>
      </c>
      <c r="B3913" s="14" t="s">
        <v>9117</v>
      </c>
      <c r="C3913" s="14" t="s">
        <v>9133</v>
      </c>
      <c r="D3913" s="14" t="s">
        <v>8531</v>
      </c>
      <c r="E3913" s="14" t="s">
        <v>728</v>
      </c>
      <c r="F3913" s="14" t="s">
        <v>729</v>
      </c>
      <c r="G3913" s="14" t="s">
        <v>37</v>
      </c>
      <c r="H3913" s="14"/>
      <c r="I3913" s="14"/>
      <c r="J3913" s="14" t="s">
        <v>382</v>
      </c>
      <c r="K3913" s="14"/>
      <c r="L3913" s="14"/>
      <c r="M3913" s="14" t="s">
        <v>730</v>
      </c>
      <c r="N3913" s="14"/>
      <c r="O3913" s="14" t="s">
        <v>731</v>
      </c>
      <c r="P3913" s="14" t="str">
        <f>HYPERLINK("https://ceds.ed.gov/cedselementdetails.aspx?termid=18110")</f>
        <v>https://ceds.ed.gov/cedselementdetails.aspx?termid=18110</v>
      </c>
      <c r="Q3913" s="14" t="str">
        <f>HYPERLINK("https://ceds.ed.gov/elementComment.aspx?elementName=Assessment Item APIP Item Body XML &amp;elementID=18110", "Click here to submit comment")</f>
        <v>Click here to submit comment</v>
      </c>
      <c r="R3913" s="14">
        <v>48552</v>
      </c>
    </row>
    <row r="3914" spans="1:18" ht="150" x14ac:dyDescent="0.25">
      <c r="A3914" s="14" t="s">
        <v>9103</v>
      </c>
      <c r="B3914" s="14" t="s">
        <v>9117</v>
      </c>
      <c r="C3914" s="14" t="s">
        <v>9133</v>
      </c>
      <c r="D3914" s="14" t="s">
        <v>8531</v>
      </c>
      <c r="E3914" s="14" t="s">
        <v>732</v>
      </c>
      <c r="F3914" s="14" t="s">
        <v>733</v>
      </c>
      <c r="G3914" s="14" t="s">
        <v>37</v>
      </c>
      <c r="H3914" s="14"/>
      <c r="I3914" s="14"/>
      <c r="J3914" s="14" t="s">
        <v>382</v>
      </c>
      <c r="K3914" s="14"/>
      <c r="L3914" s="14"/>
      <c r="M3914" s="14" t="s">
        <v>734</v>
      </c>
      <c r="N3914" s="14"/>
      <c r="O3914" s="14" t="s">
        <v>735</v>
      </c>
      <c r="P3914" s="14" t="str">
        <f>HYPERLINK("https://ceds.ed.gov/cedselementdetails.aspx?termid=18109")</f>
        <v>https://ceds.ed.gov/cedselementdetails.aspx?termid=18109</v>
      </c>
      <c r="Q3914" s="14" t="str">
        <f>HYPERLINK("https://ceds.ed.gov/elementComment.aspx?elementName=Assessment Item APIP Modal Feedback XML &amp;elementID=18109", "Click here to submit comment")</f>
        <v>Click here to submit comment</v>
      </c>
      <c r="R3914" s="14">
        <v>48551</v>
      </c>
    </row>
    <row r="3915" spans="1:18" ht="105" x14ac:dyDescent="0.25">
      <c r="A3915" s="14" t="s">
        <v>9103</v>
      </c>
      <c r="B3915" s="14" t="s">
        <v>9117</v>
      </c>
      <c r="C3915" s="14" t="s">
        <v>9133</v>
      </c>
      <c r="D3915" s="14" t="s">
        <v>8531</v>
      </c>
      <c r="E3915" s="14" t="s">
        <v>736</v>
      </c>
      <c r="F3915" s="14" t="s">
        <v>737</v>
      </c>
      <c r="G3915" s="14" t="s">
        <v>37</v>
      </c>
      <c r="H3915" s="14"/>
      <c r="I3915" s="14"/>
      <c r="J3915" s="14" t="s">
        <v>382</v>
      </c>
      <c r="K3915" s="14"/>
      <c r="L3915" s="14"/>
      <c r="M3915" s="14" t="s">
        <v>738</v>
      </c>
      <c r="N3915" s="14"/>
      <c r="O3915" s="14" t="s">
        <v>739</v>
      </c>
      <c r="P3915" s="14" t="str">
        <f>HYPERLINK("https://ceds.ed.gov/cedselementdetails.aspx?termid=18106")</f>
        <v>https://ceds.ed.gov/cedselementdetails.aspx?termid=18106</v>
      </c>
      <c r="Q3915" s="14" t="str">
        <f>HYPERLINK("https://ceds.ed.gov/elementComment.aspx?elementName=Assessment Item APIP Outcome Declaration XML &amp;elementID=18106", "Click here to submit comment")</f>
        <v>Click here to submit comment</v>
      </c>
      <c r="R3915" s="14">
        <v>48548</v>
      </c>
    </row>
    <row r="3916" spans="1:18" ht="90" x14ac:dyDescent="0.25">
      <c r="A3916" s="14" t="s">
        <v>9103</v>
      </c>
      <c r="B3916" s="14" t="s">
        <v>9117</v>
      </c>
      <c r="C3916" s="14" t="s">
        <v>9133</v>
      </c>
      <c r="D3916" s="14" t="s">
        <v>8531</v>
      </c>
      <c r="E3916" s="14" t="s">
        <v>740</v>
      </c>
      <c r="F3916" s="14" t="s">
        <v>741</v>
      </c>
      <c r="G3916" s="14" t="s">
        <v>37</v>
      </c>
      <c r="H3916" s="14"/>
      <c r="I3916" s="14"/>
      <c r="J3916" s="14" t="s">
        <v>382</v>
      </c>
      <c r="K3916" s="14"/>
      <c r="L3916" s="14"/>
      <c r="M3916" s="14" t="s">
        <v>742</v>
      </c>
      <c r="N3916" s="14"/>
      <c r="O3916" s="14" t="s">
        <v>743</v>
      </c>
      <c r="P3916" s="14" t="str">
        <f>HYPERLINK("https://ceds.ed.gov/cedselementdetails.aspx?termid=18105")</f>
        <v>https://ceds.ed.gov/cedselementdetails.aspx?termid=18105</v>
      </c>
      <c r="Q3916" s="14" t="str">
        <f>HYPERLINK("https://ceds.ed.gov/elementComment.aspx?elementName=Assessment Item APIP Response Declaration XML &amp;elementID=18105", "Click here to submit comment")</f>
        <v>Click here to submit comment</v>
      </c>
      <c r="R3916" s="14">
        <v>48547</v>
      </c>
    </row>
    <row r="3917" spans="1:18" ht="180" x14ac:dyDescent="0.25">
      <c r="A3917" s="14" t="s">
        <v>9103</v>
      </c>
      <c r="B3917" s="14" t="s">
        <v>9117</v>
      </c>
      <c r="C3917" s="14" t="s">
        <v>9133</v>
      </c>
      <c r="D3917" s="14" t="s">
        <v>8531</v>
      </c>
      <c r="E3917" s="14" t="s">
        <v>744</v>
      </c>
      <c r="F3917" s="14" t="s">
        <v>745</v>
      </c>
      <c r="G3917" s="14" t="s">
        <v>37</v>
      </c>
      <c r="H3917" s="14"/>
      <c r="I3917" s="14"/>
      <c r="J3917" s="14" t="s">
        <v>57</v>
      </c>
      <c r="K3917" s="14"/>
      <c r="L3917" s="14"/>
      <c r="M3917" s="14" t="s">
        <v>746</v>
      </c>
      <c r="N3917" s="14"/>
      <c r="O3917" s="14" t="s">
        <v>747</v>
      </c>
      <c r="P3917" s="14" t="str">
        <f>HYPERLINK("https://ceds.ed.gov/cedselementdetails.aspx?termid=18103")</f>
        <v>https://ceds.ed.gov/cedselementdetails.aspx?termid=18103</v>
      </c>
      <c r="Q3917" s="14" t="str">
        <f>HYPERLINK("https://ceds.ed.gov/elementComment.aspx?elementName=Assessment Item APIP Response Processing Template URL &amp;elementID=18103", "Click here to submit comment")</f>
        <v>Click here to submit comment</v>
      </c>
      <c r="R3917" s="14">
        <v>48545</v>
      </c>
    </row>
    <row r="3918" spans="1:18" ht="180" x14ac:dyDescent="0.25">
      <c r="A3918" s="14" t="s">
        <v>9103</v>
      </c>
      <c r="B3918" s="14" t="s">
        <v>9117</v>
      </c>
      <c r="C3918" s="14" t="s">
        <v>9133</v>
      </c>
      <c r="D3918" s="14" t="s">
        <v>8531</v>
      </c>
      <c r="E3918" s="14" t="s">
        <v>748</v>
      </c>
      <c r="F3918" s="14" t="s">
        <v>749</v>
      </c>
      <c r="G3918" s="14" t="s">
        <v>37</v>
      </c>
      <c r="H3918" s="14"/>
      <c r="I3918" s="14"/>
      <c r="J3918" s="14" t="s">
        <v>382</v>
      </c>
      <c r="K3918" s="14"/>
      <c r="L3918" s="14"/>
      <c r="M3918" s="14" t="s">
        <v>750</v>
      </c>
      <c r="N3918" s="14"/>
      <c r="O3918" s="14" t="s">
        <v>751</v>
      </c>
      <c r="P3918" s="14" t="str">
        <f>HYPERLINK("https://ceds.ed.gov/cedselementdetails.aspx?termid=18104")</f>
        <v>https://ceds.ed.gov/cedselementdetails.aspx?termid=18104</v>
      </c>
      <c r="Q3918" s="14" t="str">
        <f>HYPERLINK("https://ceds.ed.gov/elementComment.aspx?elementName=Assessment Item APIP Response Processing XML &amp;elementID=18104", "Click here to submit comment")</f>
        <v>Click here to submit comment</v>
      </c>
      <c r="R3918" s="14">
        <v>48546</v>
      </c>
    </row>
    <row r="3919" spans="1:18" ht="180" x14ac:dyDescent="0.25">
      <c r="A3919" s="14" t="s">
        <v>9103</v>
      </c>
      <c r="B3919" s="14" t="s">
        <v>9117</v>
      </c>
      <c r="C3919" s="14" t="s">
        <v>9133</v>
      </c>
      <c r="D3919" s="14" t="s">
        <v>8531</v>
      </c>
      <c r="E3919" s="14" t="s">
        <v>752</v>
      </c>
      <c r="F3919" s="14" t="s">
        <v>753</v>
      </c>
      <c r="G3919" s="14" t="s">
        <v>37</v>
      </c>
      <c r="H3919" s="14"/>
      <c r="I3919" s="14"/>
      <c r="J3919" s="14" t="s">
        <v>382</v>
      </c>
      <c r="K3919" s="14"/>
      <c r="L3919" s="14"/>
      <c r="M3919" s="14" t="s">
        <v>754</v>
      </c>
      <c r="N3919" s="14"/>
      <c r="O3919" s="14" t="s">
        <v>755</v>
      </c>
      <c r="P3919" s="14" t="str">
        <f>HYPERLINK("https://ceds.ed.gov/cedselementdetails.aspx?termid=18107")</f>
        <v>https://ceds.ed.gov/cedselementdetails.aspx?termid=18107</v>
      </c>
      <c r="Q3919" s="14" t="str">
        <f>HYPERLINK("https://ceds.ed.gov/elementComment.aspx?elementName=Assessment Item APIP Template Declaration XML &amp;elementID=18107", "Click here to submit comment")</f>
        <v>Click here to submit comment</v>
      </c>
      <c r="R3919" s="14">
        <v>48549</v>
      </c>
    </row>
    <row r="3920" spans="1:18" ht="165" x14ac:dyDescent="0.25">
      <c r="A3920" s="14" t="s">
        <v>9103</v>
      </c>
      <c r="B3920" s="14" t="s">
        <v>9117</v>
      </c>
      <c r="C3920" s="14" t="s">
        <v>9133</v>
      </c>
      <c r="D3920" s="14" t="s">
        <v>8531</v>
      </c>
      <c r="E3920" s="14" t="s">
        <v>756</v>
      </c>
      <c r="F3920" s="14" t="s">
        <v>757</v>
      </c>
      <c r="G3920" s="14" t="s">
        <v>37</v>
      </c>
      <c r="H3920" s="14"/>
      <c r="I3920" s="14"/>
      <c r="J3920" s="14" t="s">
        <v>382</v>
      </c>
      <c r="K3920" s="14"/>
      <c r="L3920" s="14"/>
      <c r="M3920" s="14" t="s">
        <v>758</v>
      </c>
      <c r="N3920" s="14"/>
      <c r="O3920" s="14" t="s">
        <v>759</v>
      </c>
      <c r="P3920" s="14" t="str">
        <f>HYPERLINK("https://ceds.ed.gov/cedselementdetails.aspx?termid=18108")</f>
        <v>https://ceds.ed.gov/cedselementdetails.aspx?termid=18108</v>
      </c>
      <c r="Q3920" s="14" t="str">
        <f>HYPERLINK("https://ceds.ed.gov/elementComment.aspx?elementName=Assessment Item APIP Template Processing XML &amp;elementID=18108", "Click here to submit comment")</f>
        <v>Click here to submit comment</v>
      </c>
      <c r="R3920" s="14">
        <v>48550</v>
      </c>
    </row>
    <row r="3921" spans="1:18" ht="60" x14ac:dyDescent="0.25">
      <c r="A3921" s="14" t="s">
        <v>9103</v>
      </c>
      <c r="B3921" s="14" t="s">
        <v>9117</v>
      </c>
      <c r="C3921" s="14" t="s">
        <v>9133</v>
      </c>
      <c r="D3921" s="14" t="s">
        <v>8531</v>
      </c>
      <c r="E3921" s="14" t="s">
        <v>1057</v>
      </c>
      <c r="F3921" s="14" t="s">
        <v>1058</v>
      </c>
      <c r="G3921" s="14" t="s">
        <v>37</v>
      </c>
      <c r="H3921" s="14"/>
      <c r="I3921" s="14"/>
      <c r="J3921" s="14" t="s">
        <v>382</v>
      </c>
      <c r="K3921" s="14"/>
      <c r="L3921" s="14" t="s">
        <v>1059</v>
      </c>
      <c r="M3921" s="14" t="s">
        <v>1060</v>
      </c>
      <c r="N3921" s="14"/>
      <c r="O3921" s="14" t="s">
        <v>1061</v>
      </c>
      <c r="P3921" s="14" t="str">
        <f>HYPERLINK("https://ceds.ed.gov/cedselementdetails.aspx?termid=18250")</f>
        <v>https://ceds.ed.gov/cedselementdetails.aspx?termid=18250</v>
      </c>
      <c r="Q3921" s="14" t="str">
        <f>HYPERLINK("https://ceds.ed.gov/elementComment.aspx?elementName=Assessment Item Result XML &amp;elementID=18250", "Click here to submit comment")</f>
        <v>Click here to submit comment</v>
      </c>
      <c r="R3921" s="14">
        <v>50067</v>
      </c>
    </row>
    <row r="3922" spans="1:18" ht="45" x14ac:dyDescent="0.25">
      <c r="A3922" s="14" t="s">
        <v>9103</v>
      </c>
      <c r="B3922" s="14" t="s">
        <v>9117</v>
      </c>
      <c r="C3922" s="14" t="s">
        <v>9134</v>
      </c>
      <c r="D3922" s="14" t="s">
        <v>8531</v>
      </c>
      <c r="E3922" s="14" t="s">
        <v>452</v>
      </c>
      <c r="F3922" s="14" t="s">
        <v>453</v>
      </c>
      <c r="G3922" s="14" t="s">
        <v>37</v>
      </c>
      <c r="H3922" s="14"/>
      <c r="I3922" s="14"/>
      <c r="J3922" s="14" t="s">
        <v>165</v>
      </c>
      <c r="K3922" s="14"/>
      <c r="L3922" s="14"/>
      <c r="M3922" s="14" t="s">
        <v>455</v>
      </c>
      <c r="N3922" s="14"/>
      <c r="O3922" s="14" t="s">
        <v>456</v>
      </c>
      <c r="P3922" s="14" t="str">
        <f>HYPERLINK("https://ceds.ed.gov/cedselementdetails.aspx?termid=18504")</f>
        <v>https://ceds.ed.gov/cedselementdetails.aspx?termid=18504</v>
      </c>
      <c r="Q3922" s="14" t="str">
        <f>HYPERLINK("https://ceds.ed.gov/elementComment.aspx?elementName=APIP Interaction Sequence Number &amp;elementID=18504", "Click here to submit comment")</f>
        <v>Click here to submit comment</v>
      </c>
      <c r="R3922" s="14">
        <v>50765</v>
      </c>
    </row>
    <row r="3923" spans="1:18" ht="90" x14ac:dyDescent="0.25">
      <c r="A3923" s="14" t="s">
        <v>9103</v>
      </c>
      <c r="B3923" s="14" t="s">
        <v>9117</v>
      </c>
      <c r="C3923" s="14" t="s">
        <v>9134</v>
      </c>
      <c r="D3923" s="14" t="s">
        <v>8531</v>
      </c>
      <c r="E3923" s="14" t="s">
        <v>768</v>
      </c>
      <c r="F3923" s="14" t="s">
        <v>769</v>
      </c>
      <c r="G3923" s="14" t="s">
        <v>37</v>
      </c>
      <c r="H3923" s="14"/>
      <c r="I3923" s="14"/>
      <c r="J3923" s="14" t="s">
        <v>382</v>
      </c>
      <c r="K3923" s="14"/>
      <c r="L3923" s="14"/>
      <c r="M3923" s="14" t="s">
        <v>770</v>
      </c>
      <c r="N3923" s="14"/>
      <c r="O3923" s="14" t="s">
        <v>771</v>
      </c>
      <c r="P3923" s="14" t="str">
        <f>HYPERLINK("https://ceds.ed.gov/cedselementdetails.aspx?termid=18100")</f>
        <v>https://ceds.ed.gov/cedselementdetails.aspx?termid=18100</v>
      </c>
      <c r="Q3923" s="14" t="str">
        <f>HYPERLINK("https://ceds.ed.gov/elementComment.aspx?elementName=Assessment Item Body Associate Interaction XML &amp;elementID=18100", "Click here to submit comment")</f>
        <v>Click here to submit comment</v>
      </c>
      <c r="R3923" s="14">
        <v>48540</v>
      </c>
    </row>
    <row r="3924" spans="1:18" ht="120" x14ac:dyDescent="0.25">
      <c r="A3924" s="14" t="s">
        <v>9103</v>
      </c>
      <c r="B3924" s="14" t="s">
        <v>9117</v>
      </c>
      <c r="C3924" s="14" t="s">
        <v>9134</v>
      </c>
      <c r="D3924" s="14" t="s">
        <v>8531</v>
      </c>
      <c r="E3924" s="14" t="s">
        <v>772</v>
      </c>
      <c r="F3924" s="14" t="s">
        <v>773</v>
      </c>
      <c r="G3924" s="14" t="s">
        <v>37</v>
      </c>
      <c r="H3924" s="14"/>
      <c r="I3924" s="14"/>
      <c r="J3924" s="14" t="s">
        <v>382</v>
      </c>
      <c r="K3924" s="14"/>
      <c r="L3924" s="14"/>
      <c r="M3924" s="14" t="s">
        <v>774</v>
      </c>
      <c r="N3924" s="14"/>
      <c r="O3924" s="14" t="s">
        <v>775</v>
      </c>
      <c r="P3924" s="14" t="str">
        <f>HYPERLINK("https://ceds.ed.gov/cedselementdetails.aspx?termid=18090")</f>
        <v>https://ceds.ed.gov/cedselementdetails.aspx?termid=18090</v>
      </c>
      <c r="Q3924" s="14" t="str">
        <f>HYPERLINK("https://ceds.ed.gov/elementComment.aspx?elementName=Assessment Item Body Choice Interaction XML &amp;elementID=18090", "Click here to submit comment")</f>
        <v>Click here to submit comment</v>
      </c>
      <c r="R3924" s="14">
        <v>48530</v>
      </c>
    </row>
    <row r="3925" spans="1:18" ht="150" x14ac:dyDescent="0.25">
      <c r="A3925" s="14" t="s">
        <v>9103</v>
      </c>
      <c r="B3925" s="14" t="s">
        <v>9117</v>
      </c>
      <c r="C3925" s="14" t="s">
        <v>9134</v>
      </c>
      <c r="D3925" s="14" t="s">
        <v>8531</v>
      </c>
      <c r="E3925" s="14" t="s">
        <v>781</v>
      </c>
      <c r="F3925" s="14" t="s">
        <v>782</v>
      </c>
      <c r="G3925" s="14" t="s">
        <v>37</v>
      </c>
      <c r="H3925" s="14"/>
      <c r="I3925" s="14"/>
      <c r="J3925" s="14" t="s">
        <v>382</v>
      </c>
      <c r="K3925" s="14"/>
      <c r="L3925" s="14"/>
      <c r="M3925" s="14" t="s">
        <v>783</v>
      </c>
      <c r="N3925" s="14"/>
      <c r="O3925" s="14" t="s">
        <v>784</v>
      </c>
      <c r="P3925" s="14" t="str">
        <f>HYPERLINK("https://ceds.ed.gov/cedselementdetails.aspx?termid=18080")</f>
        <v>https://ceds.ed.gov/cedselementdetails.aspx?termid=18080</v>
      </c>
      <c r="Q3925" s="14" t="str">
        <f>HYPERLINK("https://ceds.ed.gov/elementComment.aspx?elementName=Assessment Item Body Drawing Interaction XML &amp;elementID=18080", "Click here to submit comment")</f>
        <v>Click here to submit comment</v>
      </c>
      <c r="R3925" s="14">
        <v>48521</v>
      </c>
    </row>
    <row r="3926" spans="1:18" ht="195" x14ac:dyDescent="0.25">
      <c r="A3926" s="14" t="s">
        <v>9103</v>
      </c>
      <c r="B3926" s="14" t="s">
        <v>9117</v>
      </c>
      <c r="C3926" s="14" t="s">
        <v>9134</v>
      </c>
      <c r="D3926" s="14" t="s">
        <v>8531</v>
      </c>
      <c r="E3926" s="14" t="s">
        <v>785</v>
      </c>
      <c r="F3926" s="14" t="s">
        <v>786</v>
      </c>
      <c r="G3926" s="14" t="s">
        <v>37</v>
      </c>
      <c r="H3926" s="14"/>
      <c r="I3926" s="14"/>
      <c r="J3926" s="14" t="s">
        <v>382</v>
      </c>
      <c r="K3926" s="14"/>
      <c r="L3926" s="14"/>
      <c r="M3926" s="14" t="s">
        <v>787</v>
      </c>
      <c r="N3926" s="14"/>
      <c r="O3926" s="14" t="s">
        <v>788</v>
      </c>
      <c r="P3926" s="14" t="str">
        <f>HYPERLINK("https://ceds.ed.gov/cedselementdetails.aspx?termid=18098")</f>
        <v>https://ceds.ed.gov/cedselementdetails.aspx?termid=18098</v>
      </c>
      <c r="Q3926" s="14" t="str">
        <f>HYPERLINK("https://ceds.ed.gov/elementComment.aspx?elementName=Assessment Item Body End Attempt Interaction XML &amp;elementID=18098", "Click here to submit comment")</f>
        <v>Click here to submit comment</v>
      </c>
      <c r="R3926" s="14">
        <v>48538</v>
      </c>
    </row>
    <row r="3927" spans="1:18" ht="75" x14ac:dyDescent="0.25">
      <c r="A3927" s="14" t="s">
        <v>9103</v>
      </c>
      <c r="B3927" s="14" t="s">
        <v>9117</v>
      </c>
      <c r="C3927" s="14" t="s">
        <v>9134</v>
      </c>
      <c r="D3927" s="14" t="s">
        <v>8531</v>
      </c>
      <c r="E3927" s="14" t="s">
        <v>789</v>
      </c>
      <c r="F3927" s="14" t="s">
        <v>790</v>
      </c>
      <c r="G3927" s="14" t="s">
        <v>37</v>
      </c>
      <c r="H3927" s="14"/>
      <c r="I3927" s="14"/>
      <c r="J3927" s="14" t="s">
        <v>382</v>
      </c>
      <c r="K3927" s="14"/>
      <c r="L3927" s="14"/>
      <c r="M3927" s="14" t="s">
        <v>791</v>
      </c>
      <c r="N3927" s="14"/>
      <c r="O3927" s="14" t="s">
        <v>792</v>
      </c>
      <c r="P3927" s="14" t="str">
        <f>HYPERLINK("https://ceds.ed.gov/cedselementdetails.aspx?termid=18097")</f>
        <v>https://ceds.ed.gov/cedselementdetails.aspx?termid=18097</v>
      </c>
      <c r="Q3927" s="14" t="str">
        <f>HYPERLINK("https://ceds.ed.gov/elementComment.aspx?elementName=Assessment Item Body Extended Text Interaction XML &amp;elementID=18097", "Click here to submit comment")</f>
        <v>Click here to submit comment</v>
      </c>
      <c r="R3927" s="14">
        <v>48537</v>
      </c>
    </row>
    <row r="3928" spans="1:18" ht="120" x14ac:dyDescent="0.25">
      <c r="A3928" s="14" t="s">
        <v>9103</v>
      </c>
      <c r="B3928" s="14" t="s">
        <v>9117</v>
      </c>
      <c r="C3928" s="14" t="s">
        <v>9134</v>
      </c>
      <c r="D3928" s="14" t="s">
        <v>8531</v>
      </c>
      <c r="E3928" s="14" t="s">
        <v>793</v>
      </c>
      <c r="F3928" s="14" t="s">
        <v>794</v>
      </c>
      <c r="G3928" s="14" t="s">
        <v>37</v>
      </c>
      <c r="H3928" s="14"/>
      <c r="I3928" s="14"/>
      <c r="J3928" s="14" t="s">
        <v>382</v>
      </c>
      <c r="K3928" s="14"/>
      <c r="L3928" s="14"/>
      <c r="M3928" s="14" t="s">
        <v>795</v>
      </c>
      <c r="N3928" s="14"/>
      <c r="O3928" s="14" t="s">
        <v>796</v>
      </c>
      <c r="P3928" s="14" t="str">
        <f>HYPERLINK("https://ceds.ed.gov/cedselementdetails.aspx?termid=18081")</f>
        <v>https://ceds.ed.gov/cedselementdetails.aspx?termid=18081</v>
      </c>
      <c r="Q3928" s="14" t="str">
        <f>HYPERLINK("https://ceds.ed.gov/elementComment.aspx?elementName=Assessment Item Body Gap Match Interaction XML &amp;elementID=18081", "Click here to submit comment")</f>
        <v>Click here to submit comment</v>
      </c>
      <c r="R3928" s="14">
        <v>48522</v>
      </c>
    </row>
    <row r="3929" spans="1:18" ht="409.5" x14ac:dyDescent="0.25">
      <c r="A3929" s="14" t="s">
        <v>9103</v>
      </c>
      <c r="B3929" s="14" t="s">
        <v>9117</v>
      </c>
      <c r="C3929" s="14" t="s">
        <v>9134</v>
      </c>
      <c r="D3929" s="14" t="s">
        <v>8531</v>
      </c>
      <c r="E3929" s="14" t="s">
        <v>797</v>
      </c>
      <c r="F3929" s="14" t="s">
        <v>798</v>
      </c>
      <c r="G3929" s="14" t="s">
        <v>37</v>
      </c>
      <c r="H3929" s="14"/>
      <c r="I3929" s="14"/>
      <c r="J3929" s="14" t="s">
        <v>382</v>
      </c>
      <c r="K3929" s="14"/>
      <c r="L3929" s="14"/>
      <c r="M3929" s="14" t="s">
        <v>799</v>
      </c>
      <c r="N3929" s="14"/>
      <c r="O3929" s="14" t="s">
        <v>800</v>
      </c>
      <c r="P3929" s="14" t="str">
        <f>HYPERLINK("https://ceds.ed.gov/cedselementdetails.aspx?termid=18083")</f>
        <v>https://ceds.ed.gov/cedselementdetails.aspx?termid=18083</v>
      </c>
      <c r="Q3929" s="14" t="str">
        <f>HYPERLINK("https://ceds.ed.gov/elementComment.aspx?elementName=Assessment Item Body Graphic Gap Match Interaction XML &amp;elementID=18083", "Click here to submit comment")</f>
        <v>Click here to submit comment</v>
      </c>
      <c r="R3929" s="14">
        <v>48524</v>
      </c>
    </row>
    <row r="3930" spans="1:18" ht="240" x14ac:dyDescent="0.25">
      <c r="A3930" s="14" t="s">
        <v>9103</v>
      </c>
      <c r="B3930" s="14" t="s">
        <v>9117</v>
      </c>
      <c r="C3930" s="14" t="s">
        <v>9134</v>
      </c>
      <c r="D3930" s="14" t="s">
        <v>8531</v>
      </c>
      <c r="E3930" s="14" t="s">
        <v>801</v>
      </c>
      <c r="F3930" s="14" t="s">
        <v>802</v>
      </c>
      <c r="G3930" s="14" t="s">
        <v>37</v>
      </c>
      <c r="H3930" s="14"/>
      <c r="I3930" s="14"/>
      <c r="J3930" s="14" t="s">
        <v>382</v>
      </c>
      <c r="K3930" s="14"/>
      <c r="L3930" s="14"/>
      <c r="M3930" s="14" t="s">
        <v>803</v>
      </c>
      <c r="N3930" s="14"/>
      <c r="O3930" s="14" t="s">
        <v>804</v>
      </c>
      <c r="P3930" s="14" t="str">
        <f>HYPERLINK("https://ceds.ed.gov/cedselementdetails.aspx?termid=18085")</f>
        <v>https://ceds.ed.gov/cedselementdetails.aspx?termid=18085</v>
      </c>
      <c r="Q3930" s="14" t="str">
        <f>HYPERLINK("https://ceds.ed.gov/elementComment.aspx?elementName=Assessment Item Body Graphic Order Interaction XML &amp;elementID=18085", "Click here to submit comment")</f>
        <v>Click here to submit comment</v>
      </c>
      <c r="R3930" s="14">
        <v>48526</v>
      </c>
    </row>
    <row r="3931" spans="1:18" ht="225" x14ac:dyDescent="0.25">
      <c r="A3931" s="14" t="s">
        <v>9103</v>
      </c>
      <c r="B3931" s="14" t="s">
        <v>9117</v>
      </c>
      <c r="C3931" s="14" t="s">
        <v>9134</v>
      </c>
      <c r="D3931" s="14" t="s">
        <v>8531</v>
      </c>
      <c r="E3931" s="14" t="s">
        <v>805</v>
      </c>
      <c r="F3931" s="14" t="s">
        <v>806</v>
      </c>
      <c r="G3931" s="14" t="s">
        <v>37</v>
      </c>
      <c r="H3931" s="14"/>
      <c r="I3931" s="14"/>
      <c r="J3931" s="14" t="s">
        <v>382</v>
      </c>
      <c r="K3931" s="14"/>
      <c r="L3931" s="14"/>
      <c r="M3931" s="14" t="s">
        <v>807</v>
      </c>
      <c r="N3931" s="14"/>
      <c r="O3931" s="14" t="s">
        <v>808</v>
      </c>
      <c r="P3931" s="14" t="str">
        <f>HYPERLINK("https://ceds.ed.gov/cedselementdetails.aspx?termid=18084")</f>
        <v>https://ceds.ed.gov/cedselementdetails.aspx?termid=18084</v>
      </c>
      <c r="Q3931" s="14" t="str">
        <f>HYPERLINK("https://ceds.ed.gov/elementComment.aspx?elementName=Assessment Item Body Hot Spot Interaction XML &amp;elementID=18084", "Click here to submit comment")</f>
        <v>Click here to submit comment</v>
      </c>
      <c r="R3931" s="14">
        <v>48525</v>
      </c>
    </row>
    <row r="3932" spans="1:18" ht="225" x14ac:dyDescent="0.25">
      <c r="A3932" s="14" t="s">
        <v>9103</v>
      </c>
      <c r="B3932" s="14" t="s">
        <v>9117</v>
      </c>
      <c r="C3932" s="14" t="s">
        <v>9134</v>
      </c>
      <c r="D3932" s="14" t="s">
        <v>8531</v>
      </c>
      <c r="E3932" s="14" t="s">
        <v>809</v>
      </c>
      <c r="F3932" s="14" t="s">
        <v>810</v>
      </c>
      <c r="G3932" s="14" t="s">
        <v>37</v>
      </c>
      <c r="H3932" s="14"/>
      <c r="I3932" s="14"/>
      <c r="J3932" s="14" t="s">
        <v>382</v>
      </c>
      <c r="K3932" s="14"/>
      <c r="L3932" s="14"/>
      <c r="M3932" s="14" t="s">
        <v>811</v>
      </c>
      <c r="N3932" s="14"/>
      <c r="O3932" s="14" t="s">
        <v>812</v>
      </c>
      <c r="P3932" s="14" t="str">
        <f>HYPERLINK("https://ceds.ed.gov/cedselementdetails.aspx?termid=18093")</f>
        <v>https://ceds.ed.gov/cedselementdetails.aspx?termid=18093</v>
      </c>
      <c r="Q3932" s="14" t="str">
        <f>HYPERLINK("https://ceds.ed.gov/elementComment.aspx?elementName=Assessment Item Body Hottext Interaction XML &amp;elementID=18093", "Click here to submit comment")</f>
        <v>Click here to submit comment</v>
      </c>
      <c r="R3932" s="14">
        <v>48533</v>
      </c>
    </row>
    <row r="3933" spans="1:18" ht="135" x14ac:dyDescent="0.25">
      <c r="A3933" s="14" t="s">
        <v>9103</v>
      </c>
      <c r="B3933" s="14" t="s">
        <v>9117</v>
      </c>
      <c r="C3933" s="14" t="s">
        <v>9134</v>
      </c>
      <c r="D3933" s="14" t="s">
        <v>8531</v>
      </c>
      <c r="E3933" s="14" t="s">
        <v>813</v>
      </c>
      <c r="F3933" s="14" t="s">
        <v>814</v>
      </c>
      <c r="G3933" s="14" t="s">
        <v>37</v>
      </c>
      <c r="H3933" s="14"/>
      <c r="I3933" s="14"/>
      <c r="J3933" s="14" t="s">
        <v>382</v>
      </c>
      <c r="K3933" s="14"/>
      <c r="L3933" s="14"/>
      <c r="M3933" s="14" t="s">
        <v>815</v>
      </c>
      <c r="N3933" s="14"/>
      <c r="O3933" s="14" t="s">
        <v>816</v>
      </c>
      <c r="P3933" s="14" t="str">
        <f>HYPERLINK("https://ceds.ed.gov/cedselementdetails.aspx?termid=18091")</f>
        <v>https://ceds.ed.gov/cedselementdetails.aspx?termid=18091</v>
      </c>
      <c r="Q3933" s="14" t="str">
        <f>HYPERLINK("https://ceds.ed.gov/elementComment.aspx?elementName=Assessment Item Body Inline Choice Interaction XML &amp;elementID=18091", "Click here to submit comment")</f>
        <v>Click here to submit comment</v>
      </c>
      <c r="R3933" s="14">
        <v>48531</v>
      </c>
    </row>
    <row r="3934" spans="1:18" ht="165" x14ac:dyDescent="0.25">
      <c r="A3934" s="14" t="s">
        <v>9103</v>
      </c>
      <c r="B3934" s="14" t="s">
        <v>9117</v>
      </c>
      <c r="C3934" s="14" t="s">
        <v>9134</v>
      </c>
      <c r="D3934" s="14" t="s">
        <v>8531</v>
      </c>
      <c r="E3934" s="14" t="s">
        <v>817</v>
      </c>
      <c r="F3934" s="14" t="s">
        <v>818</v>
      </c>
      <c r="G3934" s="14" t="s">
        <v>37</v>
      </c>
      <c r="H3934" s="14"/>
      <c r="I3934" s="14"/>
      <c r="J3934" s="14" t="s">
        <v>382</v>
      </c>
      <c r="K3934" s="14"/>
      <c r="L3934" s="14"/>
      <c r="M3934" s="14" t="s">
        <v>819</v>
      </c>
      <c r="N3934" s="14"/>
      <c r="O3934" s="14" t="s">
        <v>820</v>
      </c>
      <c r="P3934" s="14" t="str">
        <f>HYPERLINK("https://ceds.ed.gov/cedselementdetails.aspx?termid=18082")</f>
        <v>https://ceds.ed.gov/cedselementdetails.aspx?termid=18082</v>
      </c>
      <c r="Q3934" s="14" t="str">
        <f>HYPERLINK("https://ceds.ed.gov/elementComment.aspx?elementName=Assessment Item Body Match Interaction XML &amp;elementID=18082", "Click here to submit comment")</f>
        <v>Click here to submit comment</v>
      </c>
      <c r="R3934" s="14">
        <v>48523</v>
      </c>
    </row>
    <row r="3935" spans="1:18" ht="165" x14ac:dyDescent="0.25">
      <c r="A3935" s="14" t="s">
        <v>9103</v>
      </c>
      <c r="B3935" s="14" t="s">
        <v>9117</v>
      </c>
      <c r="C3935" s="14" t="s">
        <v>9134</v>
      </c>
      <c r="D3935" s="14" t="s">
        <v>8531</v>
      </c>
      <c r="E3935" s="14" t="s">
        <v>821</v>
      </c>
      <c r="F3935" s="14" t="s">
        <v>822</v>
      </c>
      <c r="G3935" s="14" t="s">
        <v>37</v>
      </c>
      <c r="H3935" s="14"/>
      <c r="I3935" s="14"/>
      <c r="J3935" s="14" t="s">
        <v>382</v>
      </c>
      <c r="K3935" s="14"/>
      <c r="L3935" s="14"/>
      <c r="M3935" s="14" t="s">
        <v>823</v>
      </c>
      <c r="N3935" s="14"/>
      <c r="O3935" s="14" t="s">
        <v>824</v>
      </c>
      <c r="P3935" s="14" t="str">
        <f>HYPERLINK("https://ceds.ed.gov/cedselementdetails.aspx?termid=18092")</f>
        <v>https://ceds.ed.gov/cedselementdetails.aspx?termid=18092</v>
      </c>
      <c r="Q3935" s="14" t="str">
        <f>HYPERLINK("https://ceds.ed.gov/elementComment.aspx?elementName=Assessment Item Body Media Interaction XML &amp;elementID=18092", "Click here to submit comment")</f>
        <v>Click here to submit comment</v>
      </c>
      <c r="R3935" s="14">
        <v>48532</v>
      </c>
    </row>
    <row r="3936" spans="1:18" ht="195" x14ac:dyDescent="0.25">
      <c r="A3936" s="14" t="s">
        <v>9103</v>
      </c>
      <c r="B3936" s="14" t="s">
        <v>9117</v>
      </c>
      <c r="C3936" s="14" t="s">
        <v>9134</v>
      </c>
      <c r="D3936" s="14" t="s">
        <v>8531</v>
      </c>
      <c r="E3936" s="14" t="s">
        <v>825</v>
      </c>
      <c r="F3936" s="14" t="s">
        <v>826</v>
      </c>
      <c r="G3936" s="14" t="s">
        <v>37</v>
      </c>
      <c r="H3936" s="14"/>
      <c r="I3936" s="14"/>
      <c r="J3936" s="14" t="s">
        <v>382</v>
      </c>
      <c r="K3936" s="14"/>
      <c r="L3936" s="14"/>
      <c r="M3936" s="14" t="s">
        <v>827</v>
      </c>
      <c r="N3936" s="14"/>
      <c r="O3936" s="14" t="s">
        <v>828</v>
      </c>
      <c r="P3936" s="14" t="str">
        <f>HYPERLINK("https://ceds.ed.gov/cedselementdetails.aspx?termid=18094")</f>
        <v>https://ceds.ed.gov/cedselementdetails.aspx?termid=18094</v>
      </c>
      <c r="Q3936" s="14" t="str">
        <f>HYPERLINK("https://ceds.ed.gov/elementComment.aspx?elementName=Assessment Item Body Order Interaction XML &amp;elementID=18094", "Click here to submit comment")</f>
        <v>Click here to submit comment</v>
      </c>
      <c r="R3936" s="14">
        <v>48534</v>
      </c>
    </row>
    <row r="3937" spans="1:18" ht="210" x14ac:dyDescent="0.25">
      <c r="A3937" s="14" t="s">
        <v>9103</v>
      </c>
      <c r="B3937" s="14" t="s">
        <v>9117</v>
      </c>
      <c r="C3937" s="14" t="s">
        <v>9134</v>
      </c>
      <c r="D3937" s="14" t="s">
        <v>8531</v>
      </c>
      <c r="E3937" s="14" t="s">
        <v>829</v>
      </c>
      <c r="F3937" s="14" t="s">
        <v>830</v>
      </c>
      <c r="G3937" s="14" t="s">
        <v>37</v>
      </c>
      <c r="H3937" s="14"/>
      <c r="I3937" s="14"/>
      <c r="J3937" s="14" t="s">
        <v>382</v>
      </c>
      <c r="K3937" s="14"/>
      <c r="L3937" s="14"/>
      <c r="M3937" s="14" t="s">
        <v>831</v>
      </c>
      <c r="N3937" s="14"/>
      <c r="O3937" s="14" t="s">
        <v>832</v>
      </c>
      <c r="P3937" s="14" t="str">
        <f>HYPERLINK("https://ceds.ed.gov/cedselementdetails.aspx?termid=18095")</f>
        <v>https://ceds.ed.gov/cedselementdetails.aspx?termid=18095</v>
      </c>
      <c r="Q3937" s="14" t="str">
        <f>HYPERLINK("https://ceds.ed.gov/elementComment.aspx?elementName=Assessment Item Body Position Object Interaction XML &amp;elementID=18095", "Click here to submit comment")</f>
        <v>Click here to submit comment</v>
      </c>
      <c r="R3937" s="14">
        <v>48535</v>
      </c>
    </row>
    <row r="3938" spans="1:18" ht="240" x14ac:dyDescent="0.25">
      <c r="A3938" s="14" t="s">
        <v>9103</v>
      </c>
      <c r="B3938" s="14" t="s">
        <v>9117</v>
      </c>
      <c r="C3938" s="14" t="s">
        <v>9134</v>
      </c>
      <c r="D3938" s="14" t="s">
        <v>8531</v>
      </c>
      <c r="E3938" s="14" t="s">
        <v>833</v>
      </c>
      <c r="F3938" s="14" t="s">
        <v>834</v>
      </c>
      <c r="G3938" s="14" t="s">
        <v>37</v>
      </c>
      <c r="H3938" s="14"/>
      <c r="I3938" s="14"/>
      <c r="J3938" s="14" t="s">
        <v>382</v>
      </c>
      <c r="K3938" s="14"/>
      <c r="L3938" s="14"/>
      <c r="M3938" s="14" t="s">
        <v>835</v>
      </c>
      <c r="N3938" s="14"/>
      <c r="O3938" s="14" t="s">
        <v>836</v>
      </c>
      <c r="P3938" s="14" t="str">
        <f>HYPERLINK("https://ceds.ed.gov/cedselementdetails.aspx?termid=18088")</f>
        <v>https://ceds.ed.gov/cedselementdetails.aspx?termid=18088</v>
      </c>
      <c r="Q3938" s="14" t="str">
        <f>HYPERLINK("https://ceds.ed.gov/elementComment.aspx?elementName=Assessment Item Body Select Point Interaction &amp;elementID=18088", "Click here to submit comment")</f>
        <v>Click here to submit comment</v>
      </c>
      <c r="R3938" s="14">
        <v>48528</v>
      </c>
    </row>
    <row r="3939" spans="1:18" ht="195" x14ac:dyDescent="0.25">
      <c r="A3939" s="14" t="s">
        <v>9103</v>
      </c>
      <c r="B3939" s="14" t="s">
        <v>9117</v>
      </c>
      <c r="C3939" s="14" t="s">
        <v>9134</v>
      </c>
      <c r="D3939" s="14" t="s">
        <v>8531</v>
      </c>
      <c r="E3939" s="14" t="s">
        <v>837</v>
      </c>
      <c r="F3939" s="14" t="s">
        <v>838</v>
      </c>
      <c r="G3939" s="14" t="s">
        <v>37</v>
      </c>
      <c r="H3939" s="14"/>
      <c r="I3939" s="14"/>
      <c r="J3939" s="14" t="s">
        <v>382</v>
      </c>
      <c r="K3939" s="14"/>
      <c r="L3939" s="14"/>
      <c r="M3939" s="14" t="s">
        <v>839</v>
      </c>
      <c r="N3939" s="14"/>
      <c r="O3939" s="14" t="s">
        <v>840</v>
      </c>
      <c r="P3939" s="14" t="str">
        <f>HYPERLINK("https://ceds.ed.gov/cedselementdetails.aspx?termid=18087")</f>
        <v>https://ceds.ed.gov/cedselementdetails.aspx?termid=18087</v>
      </c>
      <c r="Q3939" s="14" t="str">
        <f>HYPERLINK("https://ceds.ed.gov/elementComment.aspx?elementName=Assessment Item Body Select Point Interaction XML &amp;elementID=18087", "Click here to submit comment")</f>
        <v>Click here to submit comment</v>
      </c>
      <c r="R3939" s="14">
        <v>48527</v>
      </c>
    </row>
    <row r="3940" spans="1:18" ht="135" x14ac:dyDescent="0.25">
      <c r="A3940" s="14" t="s">
        <v>9103</v>
      </c>
      <c r="B3940" s="14" t="s">
        <v>9117</v>
      </c>
      <c r="C3940" s="14" t="s">
        <v>9134</v>
      </c>
      <c r="D3940" s="14" t="s">
        <v>8531</v>
      </c>
      <c r="E3940" s="14" t="s">
        <v>841</v>
      </c>
      <c r="F3940" s="14" t="s">
        <v>842</v>
      </c>
      <c r="G3940" s="14" t="s">
        <v>37</v>
      </c>
      <c r="H3940" s="14"/>
      <c r="I3940" s="14"/>
      <c r="J3940" s="14" t="s">
        <v>382</v>
      </c>
      <c r="K3940" s="14"/>
      <c r="L3940" s="14"/>
      <c r="M3940" s="14" t="s">
        <v>843</v>
      </c>
      <c r="N3940" s="14"/>
      <c r="O3940" s="14" t="s">
        <v>844</v>
      </c>
      <c r="P3940" s="14" t="str">
        <f>HYPERLINK("https://ceds.ed.gov/cedselementdetails.aspx?termid=18089")</f>
        <v>https://ceds.ed.gov/cedselementdetails.aspx?termid=18089</v>
      </c>
      <c r="Q3940" s="14" t="str">
        <f>HYPERLINK("https://ceds.ed.gov/elementComment.aspx?elementName=Assessment Item Body Slider Interaction XML &amp;elementID=18089", "Click here to submit comment")</f>
        <v>Click here to submit comment</v>
      </c>
      <c r="R3940" s="14">
        <v>48529</v>
      </c>
    </row>
    <row r="3941" spans="1:18" ht="135" x14ac:dyDescent="0.25">
      <c r="A3941" s="14" t="s">
        <v>9103</v>
      </c>
      <c r="B3941" s="14" t="s">
        <v>9117</v>
      </c>
      <c r="C3941" s="14" t="s">
        <v>9134</v>
      </c>
      <c r="D3941" s="14" t="s">
        <v>8531</v>
      </c>
      <c r="E3941" s="14" t="s">
        <v>849</v>
      </c>
      <c r="F3941" s="14" t="s">
        <v>850</v>
      </c>
      <c r="G3941" s="14" t="s">
        <v>37</v>
      </c>
      <c r="H3941" s="14"/>
      <c r="I3941" s="14"/>
      <c r="J3941" s="14" t="s">
        <v>382</v>
      </c>
      <c r="K3941" s="14"/>
      <c r="L3941" s="14"/>
      <c r="M3941" s="14" t="s">
        <v>851</v>
      </c>
      <c r="N3941" s="14"/>
      <c r="O3941" s="14" t="s">
        <v>852</v>
      </c>
      <c r="P3941" s="14" t="str">
        <f>HYPERLINK("https://ceds.ed.gov/cedselementdetails.aspx?termid=18096")</f>
        <v>https://ceds.ed.gov/cedselementdetails.aspx?termid=18096</v>
      </c>
      <c r="Q3941" s="14" t="str">
        <f>HYPERLINK("https://ceds.ed.gov/elementComment.aspx?elementName=Assessment Item Body Text Entry Interaction XML &amp;elementID=18096", "Click here to submit comment")</f>
        <v>Click here to submit comment</v>
      </c>
      <c r="R3941" s="14">
        <v>48536</v>
      </c>
    </row>
    <row r="3942" spans="1:18" ht="105" x14ac:dyDescent="0.25">
      <c r="A3942" s="14" t="s">
        <v>9103</v>
      </c>
      <c r="B3942" s="14" t="s">
        <v>9117</v>
      </c>
      <c r="C3942" s="14" t="s">
        <v>9134</v>
      </c>
      <c r="D3942" s="14" t="s">
        <v>8531</v>
      </c>
      <c r="E3942" s="14" t="s">
        <v>853</v>
      </c>
      <c r="F3942" s="14" t="s">
        <v>854</v>
      </c>
      <c r="G3942" s="14" t="s">
        <v>37</v>
      </c>
      <c r="H3942" s="14"/>
      <c r="I3942" s="14"/>
      <c r="J3942" s="14" t="s">
        <v>382</v>
      </c>
      <c r="K3942" s="14"/>
      <c r="L3942" s="14"/>
      <c r="M3942" s="14" t="s">
        <v>855</v>
      </c>
      <c r="N3942" s="14"/>
      <c r="O3942" s="14" t="s">
        <v>856</v>
      </c>
      <c r="P3942" s="14" t="str">
        <f>HYPERLINK("https://ceds.ed.gov/cedselementdetails.aspx?termid=18099")</f>
        <v>https://ceds.ed.gov/cedselementdetails.aspx?termid=18099</v>
      </c>
      <c r="Q3942" s="14" t="str">
        <f>HYPERLINK("https://ceds.ed.gov/elementComment.aspx?elementName=Assessment Item Body Upload Interaction XML &amp;elementID=18099", "Click here to submit comment")</f>
        <v>Click here to submit comment</v>
      </c>
      <c r="R3942" s="14">
        <v>48539</v>
      </c>
    </row>
    <row r="3943" spans="1:18" ht="409.5" x14ac:dyDescent="0.25">
      <c r="A3943" s="14" t="s">
        <v>9103</v>
      </c>
      <c r="B3943" s="14" t="s">
        <v>9117</v>
      </c>
      <c r="C3943" s="14" t="s">
        <v>9134</v>
      </c>
      <c r="D3943" s="14" t="s">
        <v>8531</v>
      </c>
      <c r="E3943" s="14" t="s">
        <v>881</v>
      </c>
      <c r="F3943" s="14" t="s">
        <v>882</v>
      </c>
      <c r="G3943" s="8" t="s">
        <v>9135</v>
      </c>
      <c r="H3943" s="14"/>
      <c r="I3943" s="14"/>
      <c r="J3943" s="14"/>
      <c r="K3943" s="14"/>
      <c r="L3943" s="14"/>
      <c r="M3943" s="14" t="s">
        <v>884</v>
      </c>
      <c r="N3943" s="14"/>
      <c r="O3943" s="14" t="s">
        <v>885</v>
      </c>
      <c r="P3943" s="14" t="str">
        <f>HYPERLINK("https://ceds.ed.gov/cedselementdetails.aspx?termid=18117")</f>
        <v>https://ceds.ed.gov/cedselementdetails.aspx?termid=18117</v>
      </c>
      <c r="Q3943" s="14" t="str">
        <f>HYPERLINK("https://ceds.ed.gov/elementComment.aspx?elementName=Assessment Item Interaction Type &amp;elementID=18117", "Click here to submit comment")</f>
        <v>Click here to submit comment</v>
      </c>
      <c r="R3943" s="14">
        <v>49703</v>
      </c>
    </row>
    <row r="3944" spans="1:18" ht="105" x14ac:dyDescent="0.25">
      <c r="A3944" s="16" t="s">
        <v>9103</v>
      </c>
      <c r="B3944" s="16" t="s">
        <v>9136</v>
      </c>
      <c r="C3944" s="16"/>
      <c r="D3944" s="16" t="s">
        <v>8531</v>
      </c>
      <c r="E3944" s="16" t="s">
        <v>537</v>
      </c>
      <c r="F3944" s="16" t="s">
        <v>538</v>
      </c>
      <c r="G3944" s="16" t="s">
        <v>37</v>
      </c>
      <c r="H3944" s="16"/>
      <c r="I3944" s="16"/>
      <c r="J3944" s="16" t="s">
        <v>149</v>
      </c>
      <c r="K3944" s="16"/>
      <c r="L3944" s="14" t="s">
        <v>150</v>
      </c>
      <c r="M3944" s="16" t="s">
        <v>539</v>
      </c>
      <c r="N3944" s="16"/>
      <c r="O3944" s="16" t="s">
        <v>540</v>
      </c>
      <c r="P3944" s="16" t="str">
        <f>HYPERLINK("https://ceds.ed.gov/cedselementdetails.aspx?termid=18149")</f>
        <v>https://ceds.ed.gov/cedselementdetails.aspx?termid=18149</v>
      </c>
      <c r="Q3944" s="16" t="str">
        <f>HYPERLINK("https://ceds.ed.gov/elementComment.aspx?elementName=Assessment Asset Identifier &amp;elementID=18149", "Click here to submit comment")</f>
        <v>Click here to submit comment</v>
      </c>
      <c r="R3944" s="16">
        <v>48567</v>
      </c>
    </row>
    <row r="3945" spans="1:18" x14ac:dyDescent="0.25">
      <c r="A3945" s="16"/>
      <c r="B3945" s="16"/>
      <c r="C3945" s="16"/>
      <c r="D3945" s="16"/>
      <c r="E3945" s="16"/>
      <c r="F3945" s="16"/>
      <c r="G3945" s="16"/>
      <c r="H3945" s="16"/>
      <c r="I3945" s="16"/>
      <c r="J3945" s="16"/>
      <c r="K3945" s="16"/>
      <c r="L3945" s="14"/>
      <c r="M3945" s="16"/>
      <c r="N3945" s="16"/>
      <c r="O3945" s="16"/>
      <c r="P3945" s="16"/>
      <c r="Q3945" s="16"/>
      <c r="R3945" s="16"/>
    </row>
    <row r="3946" spans="1:18" ht="90" x14ac:dyDescent="0.25">
      <c r="A3946" s="16"/>
      <c r="B3946" s="16"/>
      <c r="C3946" s="16"/>
      <c r="D3946" s="16"/>
      <c r="E3946" s="16"/>
      <c r="F3946" s="16"/>
      <c r="G3946" s="16"/>
      <c r="H3946" s="16"/>
      <c r="I3946" s="16"/>
      <c r="J3946" s="16"/>
      <c r="K3946" s="16"/>
      <c r="L3946" s="14" t="s">
        <v>153</v>
      </c>
      <c r="M3946" s="16"/>
      <c r="N3946" s="16"/>
      <c r="O3946" s="16"/>
      <c r="P3946" s="16"/>
      <c r="Q3946" s="16"/>
      <c r="R3946" s="16"/>
    </row>
    <row r="3947" spans="1:18" ht="105" x14ac:dyDescent="0.25">
      <c r="A3947" s="14" t="s">
        <v>9103</v>
      </c>
      <c r="B3947" s="14" t="s">
        <v>9136</v>
      </c>
      <c r="C3947" s="14"/>
      <c r="D3947" s="14" t="s">
        <v>8531</v>
      </c>
      <c r="E3947" s="14" t="s">
        <v>541</v>
      </c>
      <c r="F3947" s="14" t="s">
        <v>542</v>
      </c>
      <c r="G3947" s="8" t="s">
        <v>9137</v>
      </c>
      <c r="H3947" s="14"/>
      <c r="I3947" s="14"/>
      <c r="J3947" s="14"/>
      <c r="K3947" s="14"/>
      <c r="L3947" s="14"/>
      <c r="M3947" s="14" t="s">
        <v>544</v>
      </c>
      <c r="N3947" s="14"/>
      <c r="O3947" s="14" t="s">
        <v>545</v>
      </c>
      <c r="P3947" s="14" t="str">
        <f>HYPERLINK("https://ceds.ed.gov/cedselementdetails.aspx?termid=18150")</f>
        <v>https://ceds.ed.gov/cedselementdetails.aspx?termid=18150</v>
      </c>
      <c r="Q3947" s="14" t="str">
        <f>HYPERLINK("https://ceds.ed.gov/elementComment.aspx?elementName=Assessment Asset Identifier Type &amp;elementID=18150", "Click here to submit comment")</f>
        <v>Click here to submit comment</v>
      </c>
      <c r="R3947" s="14">
        <v>48568</v>
      </c>
    </row>
    <row r="3948" spans="1:18" ht="45" x14ac:dyDescent="0.25">
      <c r="A3948" s="14" t="s">
        <v>9103</v>
      </c>
      <c r="B3948" s="14" t="s">
        <v>9136</v>
      </c>
      <c r="C3948" s="14"/>
      <c r="D3948" s="14" t="s">
        <v>8531</v>
      </c>
      <c r="E3948" s="14" t="s">
        <v>546</v>
      </c>
      <c r="F3948" s="14" t="s">
        <v>547</v>
      </c>
      <c r="G3948" s="14" t="s">
        <v>37</v>
      </c>
      <c r="H3948" s="14"/>
      <c r="I3948" s="14"/>
      <c r="J3948" s="14" t="s">
        <v>175</v>
      </c>
      <c r="K3948" s="14"/>
      <c r="L3948" s="14"/>
      <c r="M3948" s="14" t="s">
        <v>548</v>
      </c>
      <c r="N3948" s="14"/>
      <c r="O3948" s="14" t="s">
        <v>549</v>
      </c>
      <c r="P3948" s="14" t="str">
        <f>HYPERLINK("https://ceds.ed.gov/cedselementdetails.aspx?termid=18151")</f>
        <v>https://ceds.ed.gov/cedselementdetails.aspx?termid=18151</v>
      </c>
      <c r="Q3948" s="14" t="str">
        <f>HYPERLINK("https://ceds.ed.gov/elementComment.aspx?elementName=Assessment Asset Name &amp;elementID=18151", "Click here to submit comment")</f>
        <v>Click here to submit comment</v>
      </c>
      <c r="R3948" s="14">
        <v>48569</v>
      </c>
    </row>
    <row r="3949" spans="1:18" ht="409.5" x14ac:dyDescent="0.25">
      <c r="A3949" s="14" t="s">
        <v>9103</v>
      </c>
      <c r="B3949" s="14" t="s">
        <v>9136</v>
      </c>
      <c r="C3949" s="14"/>
      <c r="D3949" s="14" t="s">
        <v>8531</v>
      </c>
      <c r="E3949" s="14" t="s">
        <v>558</v>
      </c>
      <c r="F3949" s="14" t="s">
        <v>559</v>
      </c>
      <c r="G3949" s="8" t="s">
        <v>9138</v>
      </c>
      <c r="H3949" s="14"/>
      <c r="I3949" s="14"/>
      <c r="J3949" s="14"/>
      <c r="K3949" s="14"/>
      <c r="L3949" s="14" t="s">
        <v>561</v>
      </c>
      <c r="M3949" s="14" t="s">
        <v>562</v>
      </c>
      <c r="N3949" s="14"/>
      <c r="O3949" s="14" t="s">
        <v>563</v>
      </c>
      <c r="P3949" s="14" t="str">
        <f>HYPERLINK("https://ceds.ed.gov/cedselementdetails.aspx?termid=18147")</f>
        <v>https://ceds.ed.gov/cedselementdetails.aspx?termid=18147</v>
      </c>
      <c r="Q3949" s="14" t="str">
        <f>HYPERLINK("https://ceds.ed.gov/elementComment.aspx?elementName=Assessment Asset Type &amp;elementID=18147", "Click here to submit comment")</f>
        <v>Click here to submit comment</v>
      </c>
      <c r="R3949" s="14">
        <v>48565</v>
      </c>
    </row>
    <row r="3950" spans="1:18" ht="150" x14ac:dyDescent="0.25">
      <c r="A3950" s="14" t="s">
        <v>9103</v>
      </c>
      <c r="B3950" s="14" t="s">
        <v>9136</v>
      </c>
      <c r="C3950" s="14"/>
      <c r="D3950" s="14" t="s">
        <v>8531</v>
      </c>
      <c r="E3950" s="14" t="s">
        <v>564</v>
      </c>
      <c r="F3950" s="14" t="s">
        <v>565</v>
      </c>
      <c r="G3950" s="14" t="s">
        <v>37</v>
      </c>
      <c r="H3950" s="14"/>
      <c r="I3950" s="14"/>
      <c r="J3950" s="14" t="s">
        <v>97</v>
      </c>
      <c r="K3950" s="14"/>
      <c r="L3950" s="14" t="s">
        <v>566</v>
      </c>
      <c r="M3950" s="14" t="s">
        <v>567</v>
      </c>
      <c r="N3950" s="14"/>
      <c r="O3950" s="14" t="s">
        <v>568</v>
      </c>
      <c r="P3950" s="14" t="str">
        <f>HYPERLINK("https://ceds.ed.gov/cedselementdetails.aspx?termid=18146")</f>
        <v>https://ceds.ed.gov/cedselementdetails.aspx?termid=18146</v>
      </c>
      <c r="Q3950" s="14" t="str">
        <f>HYPERLINK("https://ceds.ed.gov/elementComment.aspx?elementName=Assessment Asset Version &amp;elementID=18146", "Click here to submit comment")</f>
        <v>Click here to submit comment</v>
      </c>
      <c r="R3950" s="14">
        <v>48563</v>
      </c>
    </row>
    <row r="3951" spans="1:18" ht="45" x14ac:dyDescent="0.25">
      <c r="A3951" s="14" t="s">
        <v>9103</v>
      </c>
      <c r="B3951" s="14" t="s">
        <v>9136</v>
      </c>
      <c r="C3951" s="14"/>
      <c r="D3951" s="14" t="s">
        <v>8531</v>
      </c>
      <c r="E3951" s="14" t="s">
        <v>550</v>
      </c>
      <c r="F3951" s="14" t="s">
        <v>551</v>
      </c>
      <c r="G3951" s="14" t="s">
        <v>37</v>
      </c>
      <c r="H3951" s="14"/>
      <c r="I3951" s="14"/>
      <c r="J3951" s="14" t="s">
        <v>175</v>
      </c>
      <c r="K3951" s="14"/>
      <c r="L3951" s="14"/>
      <c r="M3951" s="14" t="s">
        <v>552</v>
      </c>
      <c r="N3951" s="14"/>
      <c r="O3951" s="14" t="s">
        <v>553</v>
      </c>
      <c r="P3951" s="14" t="str">
        <f>HYPERLINK("https://ceds.ed.gov/cedselementdetails.aspx?termid=18152")</f>
        <v>https://ceds.ed.gov/cedselementdetails.aspx?termid=18152</v>
      </c>
      <c r="Q3951" s="14" t="str">
        <f>HYPERLINK("https://ceds.ed.gov/elementComment.aspx?elementName=Assessment Asset Owner &amp;elementID=18152", "Click here to submit comment")</f>
        <v>Click here to submit comment</v>
      </c>
      <c r="R3951" s="14">
        <v>48570</v>
      </c>
    </row>
    <row r="3952" spans="1:18" ht="45" x14ac:dyDescent="0.25">
      <c r="A3952" s="14" t="s">
        <v>9103</v>
      </c>
      <c r="B3952" s="14" t="s">
        <v>9136</v>
      </c>
      <c r="C3952" s="14"/>
      <c r="D3952" s="14" t="s">
        <v>8531</v>
      </c>
      <c r="E3952" s="14" t="s">
        <v>554</v>
      </c>
      <c r="F3952" s="14" t="s">
        <v>555</v>
      </c>
      <c r="G3952" s="14" t="s">
        <v>37</v>
      </c>
      <c r="H3952" s="14"/>
      <c r="I3952" s="14"/>
      <c r="J3952" s="14" t="s">
        <v>135</v>
      </c>
      <c r="K3952" s="14"/>
      <c r="L3952" s="14"/>
      <c r="M3952" s="14" t="s">
        <v>556</v>
      </c>
      <c r="N3952" s="14"/>
      <c r="O3952" s="14" t="s">
        <v>557</v>
      </c>
      <c r="P3952" s="14" t="str">
        <f>HYPERLINK("https://ceds.ed.gov/cedselementdetails.aspx?termid=18148")</f>
        <v>https://ceds.ed.gov/cedselementdetails.aspx?termid=18148</v>
      </c>
      <c r="Q3952" s="14" t="str">
        <f>HYPERLINK("https://ceds.ed.gov/elementComment.aspx?elementName=Assessment Asset Published Date &amp;elementID=18148", "Click here to submit comment")</f>
        <v>Click here to submit comment</v>
      </c>
      <c r="R3952" s="14">
        <v>48566</v>
      </c>
    </row>
    <row r="3953" spans="1:18" ht="45" x14ac:dyDescent="0.25">
      <c r="A3953" s="14" t="s">
        <v>9103</v>
      </c>
      <c r="B3953" s="14" t="s">
        <v>9136</v>
      </c>
      <c r="C3953" s="14"/>
      <c r="D3953" s="14" t="s">
        <v>8531</v>
      </c>
      <c r="E3953" s="14" t="s">
        <v>529</v>
      </c>
      <c r="F3953" s="14" t="s">
        <v>530</v>
      </c>
      <c r="G3953" s="14" t="s">
        <v>37</v>
      </c>
      <c r="H3953" s="14"/>
      <c r="I3953" s="14"/>
      <c r="J3953" s="14" t="s">
        <v>57</v>
      </c>
      <c r="K3953" s="14"/>
      <c r="L3953" s="14"/>
      <c r="M3953" s="14" t="s">
        <v>531</v>
      </c>
      <c r="N3953" s="14"/>
      <c r="O3953" s="14" t="s">
        <v>532</v>
      </c>
      <c r="P3953" s="14" t="str">
        <f>HYPERLINK("https://ceds.ed.gov/cedselementdetails.aspx?termid=18155")</f>
        <v>https://ceds.ed.gov/cedselementdetails.aspx?termid=18155</v>
      </c>
      <c r="Q3953" s="14" t="str">
        <f>HYPERLINK("https://ceds.ed.gov/elementComment.aspx?elementName=Assessment Asset Content URL &amp;elementID=18155", "Click here to submit comment")</f>
        <v>Click here to submit comment</v>
      </c>
      <c r="R3953" s="14">
        <v>48573</v>
      </c>
    </row>
    <row r="3954" spans="1:18" ht="45" x14ac:dyDescent="0.25">
      <c r="A3954" s="14" t="s">
        <v>9103</v>
      </c>
      <c r="B3954" s="14" t="s">
        <v>9136</v>
      </c>
      <c r="C3954" s="14"/>
      <c r="D3954" s="14" t="s">
        <v>8531</v>
      </c>
      <c r="E3954" s="14" t="s">
        <v>533</v>
      </c>
      <c r="F3954" s="14" t="s">
        <v>534</v>
      </c>
      <c r="G3954" s="14" t="s">
        <v>37</v>
      </c>
      <c r="H3954" s="14"/>
      <c r="I3954" s="14"/>
      <c r="J3954" s="14" t="s">
        <v>382</v>
      </c>
      <c r="K3954" s="14"/>
      <c r="L3954" s="14"/>
      <c r="M3954" s="14" t="s">
        <v>535</v>
      </c>
      <c r="N3954" s="14"/>
      <c r="O3954" s="14" t="s">
        <v>536</v>
      </c>
      <c r="P3954" s="14" t="str">
        <f>HYPERLINK("https://ceds.ed.gov/cedselementdetails.aspx?termid=18153")</f>
        <v>https://ceds.ed.gov/cedselementdetails.aspx?termid=18153</v>
      </c>
      <c r="Q3954" s="14" t="str">
        <f>HYPERLINK("https://ceds.ed.gov/elementComment.aspx?elementName=Assessment Asset Content XML &amp;elementID=18153", "Click here to submit comment")</f>
        <v>Click here to submit comment</v>
      </c>
      <c r="R3954" s="14">
        <v>48571</v>
      </c>
    </row>
    <row r="3955" spans="1:18" ht="45" x14ac:dyDescent="0.25">
      <c r="A3955" s="14" t="s">
        <v>9103</v>
      </c>
      <c r="B3955" s="14" t="s">
        <v>9136</v>
      </c>
      <c r="C3955" s="14"/>
      <c r="D3955" s="14" t="s">
        <v>8531</v>
      </c>
      <c r="E3955" s="14" t="s">
        <v>524</v>
      </c>
      <c r="F3955" s="14" t="s">
        <v>525</v>
      </c>
      <c r="G3955" s="14" t="s">
        <v>37</v>
      </c>
      <c r="H3955" s="14"/>
      <c r="I3955" s="14"/>
      <c r="J3955" s="14" t="s">
        <v>382</v>
      </c>
      <c r="K3955" s="14"/>
      <c r="L3955" s="14"/>
      <c r="M3955" s="14" t="s">
        <v>527</v>
      </c>
      <c r="N3955" s="14"/>
      <c r="O3955" s="14" t="s">
        <v>528</v>
      </c>
      <c r="P3955" s="14" t="str">
        <f>HYPERLINK("https://ceds.ed.gov/cedselementdetails.aspx?termid=18154")</f>
        <v>https://ceds.ed.gov/cedselementdetails.aspx?termid=18154</v>
      </c>
      <c r="Q3955" s="14" t="str">
        <f>HYPERLINK("https://ceds.ed.gov/elementComment.aspx?elementName=Assessment Asset Content Mime Type &amp;elementID=18154", "Click here to submit comment")</f>
        <v>Click here to submit comment</v>
      </c>
      <c r="R3955" s="14">
        <v>48572</v>
      </c>
    </row>
    <row r="3956" spans="1:18" ht="330" x14ac:dyDescent="0.25">
      <c r="A3956" s="14" t="s">
        <v>9103</v>
      </c>
      <c r="B3956" s="14" t="s">
        <v>9136</v>
      </c>
      <c r="C3956" s="14"/>
      <c r="D3956" s="14" t="s">
        <v>8531</v>
      </c>
      <c r="E3956" s="14" t="s">
        <v>472</v>
      </c>
      <c r="F3956" s="14" t="s">
        <v>473</v>
      </c>
      <c r="G3956" s="8" t="s">
        <v>9111</v>
      </c>
      <c r="H3956" s="14" t="s">
        <v>478</v>
      </c>
      <c r="I3956" s="14"/>
      <c r="J3956" s="14"/>
      <c r="K3956" s="14"/>
      <c r="L3956" s="14"/>
      <c r="M3956" s="14" t="s">
        <v>476</v>
      </c>
      <c r="N3956" s="14"/>
      <c r="O3956" s="14" t="s">
        <v>477</v>
      </c>
      <c r="P3956" s="14" t="str">
        <f>HYPERLINK("https://ceds.ed.gov/cedselementdetails.aspx?termid=17021")</f>
        <v>https://ceds.ed.gov/cedselementdetails.aspx?termid=17021</v>
      </c>
      <c r="Q3956" s="14" t="str">
        <f>HYPERLINK("https://ceds.ed.gov/elementComment.aspx?elementName=Assessment Academic Subject &amp;elementID=17021", "Click here to submit comment")</f>
        <v>Click here to submit comment</v>
      </c>
      <c r="R3956" s="14">
        <v>50767</v>
      </c>
    </row>
    <row r="3957" spans="1:18" ht="360" x14ac:dyDescent="0.25">
      <c r="A3957" s="14" t="s">
        <v>9103</v>
      </c>
      <c r="B3957" s="14" t="s">
        <v>9136</v>
      </c>
      <c r="C3957" s="14"/>
      <c r="D3957" s="14" t="s">
        <v>8531</v>
      </c>
      <c r="E3957" s="14" t="s">
        <v>1090</v>
      </c>
      <c r="F3957" s="14" t="s">
        <v>1091</v>
      </c>
      <c r="G3957" s="8" t="s">
        <v>8628</v>
      </c>
      <c r="H3957" s="14" t="s">
        <v>1096</v>
      </c>
      <c r="I3957" s="14"/>
      <c r="J3957" s="14"/>
      <c r="K3957" s="14"/>
      <c r="L3957" s="14"/>
      <c r="M3957" s="14" t="s">
        <v>1094</v>
      </c>
      <c r="N3957" s="14"/>
      <c r="O3957" s="14" t="s">
        <v>1095</v>
      </c>
      <c r="P3957" s="14" t="str">
        <f>HYPERLINK("https://ceds.ed.gov/cedselementdetails.aspx?termid=17177")</f>
        <v>https://ceds.ed.gov/cedselementdetails.aspx?termid=17177</v>
      </c>
      <c r="Q3957" s="14" t="str">
        <f>HYPERLINK("https://ceds.ed.gov/elementComment.aspx?elementName=Assessment Level for Which Designed &amp;elementID=17177", "Click here to submit comment")</f>
        <v>Click here to submit comment</v>
      </c>
      <c r="R3957" s="14">
        <v>50800</v>
      </c>
    </row>
    <row r="3958" spans="1:18" ht="90" x14ac:dyDescent="0.25">
      <c r="A3958" s="14" t="s">
        <v>9103</v>
      </c>
      <c r="B3958" s="14" t="s">
        <v>9136</v>
      </c>
      <c r="C3958" s="14"/>
      <c r="D3958" s="14" t="s">
        <v>8531</v>
      </c>
      <c r="E3958" s="14" t="s">
        <v>5662</v>
      </c>
      <c r="F3958" s="14" t="s">
        <v>5663</v>
      </c>
      <c r="G3958" s="14" t="s">
        <v>8527</v>
      </c>
      <c r="H3958" s="14" t="s">
        <v>5668</v>
      </c>
      <c r="I3958" s="14" t="s">
        <v>195</v>
      </c>
      <c r="J3958" s="14"/>
      <c r="K3958" s="14" t="s">
        <v>5665</v>
      </c>
      <c r="L3958" s="6" t="s">
        <v>1087</v>
      </c>
      <c r="M3958" s="14" t="s">
        <v>5666</v>
      </c>
      <c r="N3958" s="14"/>
      <c r="O3958" s="14" t="s">
        <v>5667</v>
      </c>
      <c r="P3958" s="14" t="str">
        <f>HYPERLINK("https://ceds.ed.gov/cedselementdetails.aspx?termid=17317")</f>
        <v>https://ceds.ed.gov/cedselementdetails.aspx?termid=17317</v>
      </c>
      <c r="Q3958" s="14" t="str">
        <f>HYPERLINK("https://ceds.ed.gov/elementComment.aspx?elementName=ISO 639-2 Language Code &amp;elementID=17317", "Click here to submit comment")</f>
        <v>Click here to submit comment</v>
      </c>
      <c r="R3958" s="14">
        <v>48598</v>
      </c>
    </row>
    <row r="3959" spans="1:18" ht="105" x14ac:dyDescent="0.25">
      <c r="A3959" s="14" t="s">
        <v>9103</v>
      </c>
      <c r="B3959" s="14" t="s">
        <v>9136</v>
      </c>
      <c r="C3959" s="14"/>
      <c r="D3959" s="14" t="s">
        <v>8531</v>
      </c>
      <c r="E3959" s="14" t="s">
        <v>5669</v>
      </c>
      <c r="F3959" s="14" t="s">
        <v>5663</v>
      </c>
      <c r="G3959" s="14" t="s">
        <v>8527</v>
      </c>
      <c r="H3959" s="14"/>
      <c r="I3959" s="14" t="s">
        <v>195</v>
      </c>
      <c r="J3959" s="14"/>
      <c r="K3959" s="14" t="s">
        <v>5670</v>
      </c>
      <c r="L3959" s="6" t="s">
        <v>5671</v>
      </c>
      <c r="M3959" s="14" t="s">
        <v>5672</v>
      </c>
      <c r="N3959" s="14"/>
      <c r="O3959" s="14" t="s">
        <v>5673</v>
      </c>
      <c r="P3959" s="14" t="str">
        <f>HYPERLINK("https://ceds.ed.gov/cedselementdetails.aspx?termid=18618")</f>
        <v>https://ceds.ed.gov/cedselementdetails.aspx?termid=18618</v>
      </c>
      <c r="Q3959" s="14" t="str">
        <f>HYPERLINK("https://ceds.ed.gov/elementComment.aspx?elementName=ISO 639-3 Language Code &amp;elementID=18618", "Click here to submit comment")</f>
        <v>Click here to submit comment</v>
      </c>
      <c r="R3959" s="14">
        <v>51217</v>
      </c>
    </row>
    <row r="3960" spans="1:18" ht="409.5" x14ac:dyDescent="0.25">
      <c r="A3960" s="14" t="s">
        <v>9103</v>
      </c>
      <c r="B3960" s="14" t="s">
        <v>9136</v>
      </c>
      <c r="C3960" s="14"/>
      <c r="D3960" s="14" t="s">
        <v>8531</v>
      </c>
      <c r="E3960" s="14" t="s">
        <v>5674</v>
      </c>
      <c r="F3960" s="14" t="s">
        <v>5675</v>
      </c>
      <c r="G3960" s="8" t="s">
        <v>8634</v>
      </c>
      <c r="H3960" s="14"/>
      <c r="I3960" s="14" t="s">
        <v>195</v>
      </c>
      <c r="J3960" s="14"/>
      <c r="K3960" s="14" t="s">
        <v>2856</v>
      </c>
      <c r="L3960" s="6" t="s">
        <v>5677</v>
      </c>
      <c r="M3960" s="14" t="s">
        <v>5678</v>
      </c>
      <c r="N3960" s="14"/>
      <c r="O3960" s="14" t="s">
        <v>5679</v>
      </c>
      <c r="P3960" s="14" t="str">
        <f>HYPERLINK("https://ceds.ed.gov/cedselementdetails.aspx?termid=18619")</f>
        <v>https://ceds.ed.gov/cedselementdetails.aspx?termid=18619</v>
      </c>
      <c r="Q3960" s="14" t="str">
        <f>HYPERLINK("https://ceds.ed.gov/elementComment.aspx?elementName=ISO 639-5 Language Family &amp;elementID=18619", "Click here to submit comment")</f>
        <v>Click here to submit comment</v>
      </c>
      <c r="R3960" s="14">
        <v>51224</v>
      </c>
    </row>
    <row r="3961" spans="1:18" ht="105" x14ac:dyDescent="0.25">
      <c r="A3961" s="16" t="s">
        <v>9103</v>
      </c>
      <c r="B3961" s="16" t="s">
        <v>9132</v>
      </c>
      <c r="C3961" s="19"/>
      <c r="D3961" s="19" t="s">
        <v>8531</v>
      </c>
      <c r="E3961" s="19" t="s">
        <v>7481</v>
      </c>
      <c r="F3961" s="19" t="s">
        <v>7482</v>
      </c>
      <c r="G3961" s="19" t="s">
        <v>37</v>
      </c>
      <c r="H3961" s="19" t="s">
        <v>727</v>
      </c>
      <c r="I3961" s="19"/>
      <c r="J3961" s="19" t="s">
        <v>149</v>
      </c>
      <c r="K3961" s="19"/>
      <c r="L3961" s="14" t="s">
        <v>150</v>
      </c>
      <c r="M3961" s="19" t="s">
        <v>7483</v>
      </c>
      <c r="N3961" s="19"/>
      <c r="O3961" s="19" t="s">
        <v>7484</v>
      </c>
      <c r="P3961" s="19" t="str">
        <f>HYPERLINK("https://ceds.ed.gov/cedselementdetails.aspx?termid=17412")</f>
        <v>https://ceds.ed.gov/cedselementdetails.aspx?termid=17412</v>
      </c>
      <c r="Q3961" s="19" t="str">
        <f>HYPERLINK("https://ceds.ed.gov/elementComment.aspx?elementName=Rubric Identifier &amp;elementID=17412", "Click here to submit comment")</f>
        <v>Click here to submit comment</v>
      </c>
      <c r="R3961" s="19">
        <v>49942</v>
      </c>
    </row>
    <row r="3962" spans="1:18" x14ac:dyDescent="0.25">
      <c r="A3962" s="16"/>
      <c r="B3962" s="16"/>
      <c r="C3962" s="20"/>
      <c r="D3962" s="20"/>
      <c r="E3962" s="20"/>
      <c r="F3962" s="20"/>
      <c r="G3962" s="20"/>
      <c r="H3962" s="20"/>
      <c r="I3962" s="20"/>
      <c r="J3962" s="20"/>
      <c r="K3962" s="20"/>
      <c r="L3962" s="14"/>
      <c r="M3962" s="20"/>
      <c r="N3962" s="20"/>
      <c r="O3962" s="20"/>
      <c r="P3962" s="20"/>
      <c r="Q3962" s="20"/>
      <c r="R3962" s="20"/>
    </row>
    <row r="3963" spans="1:18" ht="90" x14ac:dyDescent="0.25">
      <c r="A3963" s="16"/>
      <c r="B3963" s="16"/>
      <c r="C3963" s="21"/>
      <c r="D3963" s="21"/>
      <c r="E3963" s="21"/>
      <c r="F3963" s="21"/>
      <c r="G3963" s="21"/>
      <c r="H3963" s="21"/>
      <c r="I3963" s="21"/>
      <c r="J3963" s="21"/>
      <c r="K3963" s="21"/>
      <c r="L3963" s="14" t="s">
        <v>153</v>
      </c>
      <c r="M3963" s="21"/>
      <c r="N3963" s="21"/>
      <c r="O3963" s="21"/>
      <c r="P3963" s="21"/>
      <c r="Q3963" s="21"/>
      <c r="R3963" s="21"/>
    </row>
    <row r="3964" spans="1:18" ht="45" x14ac:dyDescent="0.25">
      <c r="A3964" s="14" t="s">
        <v>9103</v>
      </c>
      <c r="B3964" s="14" t="s">
        <v>9132</v>
      </c>
      <c r="C3964" s="14"/>
      <c r="D3964" s="14" t="s">
        <v>8531</v>
      </c>
      <c r="E3964" s="14" t="s">
        <v>7485</v>
      </c>
      <c r="F3964" s="14" t="s">
        <v>7486</v>
      </c>
      <c r="G3964" s="14" t="s">
        <v>37</v>
      </c>
      <c r="H3964" s="14" t="s">
        <v>727</v>
      </c>
      <c r="I3964" s="14"/>
      <c r="J3964" s="14" t="s">
        <v>97</v>
      </c>
      <c r="K3964" s="14"/>
      <c r="L3964" s="14"/>
      <c r="M3964" s="14" t="s">
        <v>7487</v>
      </c>
      <c r="N3964" s="14"/>
      <c r="O3964" s="14" t="s">
        <v>7488</v>
      </c>
      <c r="P3964" s="14" t="str">
        <f>HYPERLINK("https://ceds.ed.gov/cedselementdetails.aspx?termid=17411")</f>
        <v>https://ceds.ed.gov/cedselementdetails.aspx?termid=17411</v>
      </c>
      <c r="Q3964" s="14" t="str">
        <f>HYPERLINK("https://ceds.ed.gov/elementComment.aspx?elementName=Rubric Title &amp;elementID=17411", "Click here to submit comment")</f>
        <v>Click here to submit comment</v>
      </c>
      <c r="R3964" s="14">
        <v>49941</v>
      </c>
    </row>
    <row r="3965" spans="1:18" ht="45" x14ac:dyDescent="0.25">
      <c r="A3965" s="14" t="s">
        <v>9103</v>
      </c>
      <c r="B3965" s="14" t="s">
        <v>9132</v>
      </c>
      <c r="C3965" s="14"/>
      <c r="D3965" s="14" t="s">
        <v>8531</v>
      </c>
      <c r="E3965" s="14" t="s">
        <v>7477</v>
      </c>
      <c r="F3965" s="14" t="s">
        <v>7478</v>
      </c>
      <c r="G3965" s="14" t="s">
        <v>37</v>
      </c>
      <c r="H3965" s="14"/>
      <c r="I3965" s="14"/>
      <c r="J3965" s="14" t="s">
        <v>382</v>
      </c>
      <c r="K3965" s="14"/>
      <c r="L3965" s="14"/>
      <c r="M3965" s="14" t="s">
        <v>7479</v>
      </c>
      <c r="N3965" s="14"/>
      <c r="O3965" s="14" t="s">
        <v>7480</v>
      </c>
      <c r="P3965" s="14" t="str">
        <f>HYPERLINK("https://ceds.ed.gov/cedselementdetails.aspx?termid=18451")</f>
        <v>https://ceds.ed.gov/cedselementdetails.aspx?termid=18451</v>
      </c>
      <c r="Q3965" s="14" t="str">
        <f>HYPERLINK("https://ceds.ed.gov/elementComment.aspx?elementName=Rubric Description &amp;elementID=18451", "Click here to submit comment")</f>
        <v>Click here to submit comment</v>
      </c>
      <c r="R3965" s="14">
        <v>50408</v>
      </c>
    </row>
    <row r="3966" spans="1:18" ht="45" x14ac:dyDescent="0.25">
      <c r="A3966" s="14" t="s">
        <v>9103</v>
      </c>
      <c r="B3966" s="14" t="s">
        <v>9132</v>
      </c>
      <c r="C3966" s="14"/>
      <c r="D3966" s="14" t="s">
        <v>8531</v>
      </c>
      <c r="E3966" s="14" t="s">
        <v>7489</v>
      </c>
      <c r="F3966" s="14" t="s">
        <v>7490</v>
      </c>
      <c r="G3966" s="14" t="s">
        <v>37</v>
      </c>
      <c r="H3966" s="14" t="s">
        <v>727</v>
      </c>
      <c r="I3966" s="14"/>
      <c r="J3966" s="14" t="s">
        <v>57</v>
      </c>
      <c r="K3966" s="14"/>
      <c r="L3966" s="14"/>
      <c r="M3966" s="14" t="s">
        <v>7491</v>
      </c>
      <c r="N3966" s="14"/>
      <c r="O3966" s="14" t="s">
        <v>7492</v>
      </c>
      <c r="P3966" s="14" t="str">
        <f>HYPERLINK("https://ceds.ed.gov/cedselementdetails.aspx?termid=17413")</f>
        <v>https://ceds.ed.gov/cedselementdetails.aspx?termid=17413</v>
      </c>
      <c r="Q3966" s="14" t="str">
        <f>HYPERLINK("https://ceds.ed.gov/elementComment.aspx?elementName=Rubric URL Reference &amp;elementID=17413", "Click here to submit comment")</f>
        <v>Click here to submit comment</v>
      </c>
      <c r="R3966" s="14">
        <v>49945</v>
      </c>
    </row>
    <row r="3967" spans="1:18" ht="45" x14ac:dyDescent="0.25">
      <c r="A3967" s="14" t="s">
        <v>9103</v>
      </c>
      <c r="B3967" s="14" t="s">
        <v>9132</v>
      </c>
      <c r="C3967" s="14"/>
      <c r="D3967" s="14" t="s">
        <v>8531</v>
      </c>
      <c r="E3967" s="14" t="s">
        <v>7469</v>
      </c>
      <c r="F3967" s="14" t="s">
        <v>7470</v>
      </c>
      <c r="G3967" s="14" t="s">
        <v>37</v>
      </c>
      <c r="H3967" s="14"/>
      <c r="I3967" s="14"/>
      <c r="J3967" s="14" t="s">
        <v>175</v>
      </c>
      <c r="K3967" s="14"/>
      <c r="L3967" s="14"/>
      <c r="M3967" s="14" t="s">
        <v>7471</v>
      </c>
      <c r="N3967" s="14"/>
      <c r="O3967" s="14" t="s">
        <v>7472</v>
      </c>
      <c r="P3967" s="14" t="str">
        <f>HYPERLINK("https://ceds.ed.gov/cedselementdetails.aspx?termid=18449")</f>
        <v>https://ceds.ed.gov/cedselementdetails.aspx?termid=18449</v>
      </c>
      <c r="Q3967" s="14" t="str">
        <f>HYPERLINK("https://ceds.ed.gov/elementComment.aspx?elementName=Rubric Criterion Title &amp;elementID=18449", "Click here to submit comment")</f>
        <v>Click here to submit comment</v>
      </c>
      <c r="R3967" s="14">
        <v>50402</v>
      </c>
    </row>
    <row r="3968" spans="1:18" ht="45" x14ac:dyDescent="0.25">
      <c r="A3968" s="14" t="s">
        <v>9103</v>
      </c>
      <c r="B3968" s="14" t="s">
        <v>9132</v>
      </c>
      <c r="C3968" s="14"/>
      <c r="D3968" s="14" t="s">
        <v>8531</v>
      </c>
      <c r="E3968" s="14" t="s">
        <v>7441</v>
      </c>
      <c r="F3968" s="14" t="s">
        <v>7442</v>
      </c>
      <c r="G3968" s="14" t="s">
        <v>37</v>
      </c>
      <c r="H3968" s="14"/>
      <c r="I3968" s="14"/>
      <c r="J3968" s="14" t="s">
        <v>382</v>
      </c>
      <c r="K3968" s="14"/>
      <c r="L3968" s="14"/>
      <c r="M3968" s="14" t="s">
        <v>7443</v>
      </c>
      <c r="N3968" s="14"/>
      <c r="O3968" s="14" t="s">
        <v>7444</v>
      </c>
      <c r="P3968" s="14" t="str">
        <f>HYPERLINK("https://ceds.ed.gov/cedselementdetails.aspx?termid=18442")</f>
        <v>https://ceds.ed.gov/cedselementdetails.aspx?termid=18442</v>
      </c>
      <c r="Q3968" s="14" t="str">
        <f>HYPERLINK("https://ceds.ed.gov/elementComment.aspx?elementName=Rubric Criterion Description &amp;elementID=18442", "Click here to submit comment")</f>
        <v>Click here to submit comment</v>
      </c>
      <c r="R3968" s="14">
        <v>50380</v>
      </c>
    </row>
    <row r="3969" spans="1:18" ht="45" x14ac:dyDescent="0.25">
      <c r="A3969" s="14" t="s">
        <v>9103</v>
      </c>
      <c r="B3969" s="14" t="s">
        <v>9132</v>
      </c>
      <c r="C3969" s="14"/>
      <c r="D3969" s="14" t="s">
        <v>8531</v>
      </c>
      <c r="E3969" s="14" t="s">
        <v>7436</v>
      </c>
      <c r="F3969" s="14" t="s">
        <v>7437</v>
      </c>
      <c r="G3969" s="14" t="s">
        <v>37</v>
      </c>
      <c r="H3969" s="14"/>
      <c r="I3969" s="14"/>
      <c r="J3969" s="14" t="s">
        <v>97</v>
      </c>
      <c r="K3969" s="14"/>
      <c r="L3969" s="14"/>
      <c r="M3969" s="14" t="s">
        <v>7439</v>
      </c>
      <c r="N3969" s="14"/>
      <c r="O3969" s="14" t="s">
        <v>7440</v>
      </c>
      <c r="P3969" s="14" t="str">
        <f>HYPERLINK("https://ceds.ed.gov/cedselementdetails.aspx?termid=18441")</f>
        <v>https://ceds.ed.gov/cedselementdetails.aspx?termid=18441</v>
      </c>
      <c r="Q3969" s="14" t="str">
        <f>HYPERLINK("https://ceds.ed.gov/elementComment.aspx?elementName=Rubric Criterion Category &amp;elementID=18441", "Click here to submit comment")</f>
        <v>Click here to submit comment</v>
      </c>
      <c r="R3969" s="14">
        <v>50377</v>
      </c>
    </row>
    <row r="3970" spans="1:18" ht="45" x14ac:dyDescent="0.25">
      <c r="A3970" s="14" t="s">
        <v>9103</v>
      </c>
      <c r="B3970" s="14" t="s">
        <v>9132</v>
      </c>
      <c r="C3970" s="14"/>
      <c r="D3970" s="14" t="s">
        <v>8531</v>
      </c>
      <c r="E3970" s="14" t="s">
        <v>7465</v>
      </c>
      <c r="F3970" s="14" t="s">
        <v>7466</v>
      </c>
      <c r="G3970" s="14" t="s">
        <v>37</v>
      </c>
      <c r="H3970" s="14"/>
      <c r="I3970" s="14"/>
      <c r="J3970" s="14" t="s">
        <v>165</v>
      </c>
      <c r="K3970" s="14"/>
      <c r="L3970" s="14"/>
      <c r="M3970" s="14" t="s">
        <v>7467</v>
      </c>
      <c r="N3970" s="14"/>
      <c r="O3970" s="14" t="s">
        <v>7468</v>
      </c>
      <c r="P3970" s="14" t="str">
        <f>HYPERLINK("https://ceds.ed.gov/cedselementdetails.aspx?termid=18448")</f>
        <v>https://ceds.ed.gov/cedselementdetails.aspx?termid=18448</v>
      </c>
      <c r="Q3970" s="14" t="str">
        <f>HYPERLINK("https://ceds.ed.gov/elementComment.aspx?elementName=Rubric Criterion Position &amp;elementID=18448", "Click here to submit comment")</f>
        <v>Click here to submit comment</v>
      </c>
      <c r="R3970" s="14">
        <v>50399</v>
      </c>
    </row>
    <row r="3971" spans="1:18" ht="60" x14ac:dyDescent="0.25">
      <c r="A3971" s="14" t="s">
        <v>9103</v>
      </c>
      <c r="B3971" s="14" t="s">
        <v>9132</v>
      </c>
      <c r="C3971" s="14"/>
      <c r="D3971" s="14" t="s">
        <v>8531</v>
      </c>
      <c r="E3971" s="14" t="s">
        <v>7445</v>
      </c>
      <c r="F3971" s="14" t="s">
        <v>7446</v>
      </c>
      <c r="G3971" s="14" t="s">
        <v>37</v>
      </c>
      <c r="H3971" s="14"/>
      <c r="I3971" s="14"/>
      <c r="J3971" s="14" t="s">
        <v>382</v>
      </c>
      <c r="K3971" s="14"/>
      <c r="L3971" s="14"/>
      <c r="M3971" s="14" t="s">
        <v>7447</v>
      </c>
      <c r="N3971" s="14"/>
      <c r="O3971" s="14" t="s">
        <v>7448</v>
      </c>
      <c r="P3971" s="14" t="str">
        <f>HYPERLINK("https://ceds.ed.gov/cedselementdetails.aspx?termid=18443")</f>
        <v>https://ceds.ed.gov/cedselementdetails.aspx?termid=18443</v>
      </c>
      <c r="Q3971" s="14" t="str">
        <f>HYPERLINK("https://ceds.ed.gov/elementComment.aspx?elementName=Rubric Criterion Level Description &amp;elementID=18443", "Click here to submit comment")</f>
        <v>Click here to submit comment</v>
      </c>
      <c r="R3971" s="14">
        <v>50383</v>
      </c>
    </row>
    <row r="3972" spans="1:18" ht="75" x14ac:dyDescent="0.25">
      <c r="A3972" s="14" t="s">
        <v>9103</v>
      </c>
      <c r="B3972" s="14" t="s">
        <v>9132</v>
      </c>
      <c r="C3972" s="14"/>
      <c r="D3972" s="14" t="s">
        <v>8531</v>
      </c>
      <c r="E3972" s="14" t="s">
        <v>7449</v>
      </c>
      <c r="F3972" s="14" t="s">
        <v>7450</v>
      </c>
      <c r="G3972" s="14" t="s">
        <v>37</v>
      </c>
      <c r="H3972" s="14"/>
      <c r="I3972" s="14"/>
      <c r="J3972" s="14" t="s">
        <v>382</v>
      </c>
      <c r="K3972" s="14"/>
      <c r="L3972" s="14"/>
      <c r="M3972" s="14" t="s">
        <v>7451</v>
      </c>
      <c r="N3972" s="14"/>
      <c r="O3972" s="14" t="s">
        <v>7452</v>
      </c>
      <c r="P3972" s="14" t="str">
        <f>HYPERLINK("https://ceds.ed.gov/cedselementdetails.aspx?termid=18444")</f>
        <v>https://ceds.ed.gov/cedselementdetails.aspx?termid=18444</v>
      </c>
      <c r="Q3972" s="14" t="str">
        <f>HYPERLINK("https://ceds.ed.gov/elementComment.aspx?elementName=Rubric Criterion Level Feedback &amp;elementID=18444", "Click here to submit comment")</f>
        <v>Click here to submit comment</v>
      </c>
      <c r="R3972" s="14">
        <v>50387</v>
      </c>
    </row>
    <row r="3973" spans="1:18" ht="45" x14ac:dyDescent="0.25">
      <c r="A3973" s="14" t="s">
        <v>9103</v>
      </c>
      <c r="B3973" s="14" t="s">
        <v>9132</v>
      </c>
      <c r="C3973" s="14"/>
      <c r="D3973" s="14" t="s">
        <v>8531</v>
      </c>
      <c r="E3973" s="14" t="s">
        <v>7453</v>
      </c>
      <c r="F3973" s="14" t="s">
        <v>7454</v>
      </c>
      <c r="G3973" s="14" t="s">
        <v>37</v>
      </c>
      <c r="H3973" s="14"/>
      <c r="I3973" s="14"/>
      <c r="J3973" s="14" t="s">
        <v>165</v>
      </c>
      <c r="K3973" s="14"/>
      <c r="L3973" s="14"/>
      <c r="M3973" s="14" t="s">
        <v>7455</v>
      </c>
      <c r="N3973" s="14"/>
      <c r="O3973" s="14" t="s">
        <v>7456</v>
      </c>
      <c r="P3973" s="14" t="str">
        <f>HYPERLINK("https://ceds.ed.gov/cedselementdetails.aspx?termid=18445")</f>
        <v>https://ceds.ed.gov/cedselementdetails.aspx?termid=18445</v>
      </c>
      <c r="Q3973" s="14" t="str">
        <f>HYPERLINK("https://ceds.ed.gov/elementComment.aspx?elementName=Rubric Criterion Level Position &amp;elementID=18445", "Click here to submit comment")</f>
        <v>Click here to submit comment</v>
      </c>
      <c r="R3973" s="14">
        <v>50390</v>
      </c>
    </row>
    <row r="3974" spans="1:18" ht="60" x14ac:dyDescent="0.25">
      <c r="A3974" s="14" t="s">
        <v>9103</v>
      </c>
      <c r="B3974" s="14" t="s">
        <v>9132</v>
      </c>
      <c r="C3974" s="14"/>
      <c r="D3974" s="14" t="s">
        <v>8531</v>
      </c>
      <c r="E3974" s="14" t="s">
        <v>7457</v>
      </c>
      <c r="F3974" s="14" t="s">
        <v>7458</v>
      </c>
      <c r="G3974" s="14" t="s">
        <v>37</v>
      </c>
      <c r="H3974" s="14"/>
      <c r="I3974" s="14"/>
      <c r="J3974" s="14" t="s">
        <v>175</v>
      </c>
      <c r="K3974" s="14"/>
      <c r="L3974" s="14"/>
      <c r="M3974" s="14" t="s">
        <v>7459</v>
      </c>
      <c r="N3974" s="14"/>
      <c r="O3974" s="14" t="s">
        <v>7460</v>
      </c>
      <c r="P3974" s="14" t="str">
        <f>HYPERLINK("https://ceds.ed.gov/cedselementdetails.aspx?termid=18446")</f>
        <v>https://ceds.ed.gov/cedselementdetails.aspx?termid=18446</v>
      </c>
      <c r="Q3974" s="14" t="str">
        <f>HYPERLINK("https://ceds.ed.gov/elementComment.aspx?elementName=Rubric Criterion Level Quality Label &amp;elementID=18446", "Click here to submit comment")</f>
        <v>Click here to submit comment</v>
      </c>
      <c r="R3974" s="14">
        <v>50393</v>
      </c>
    </row>
    <row r="3975" spans="1:18" ht="45" x14ac:dyDescent="0.25">
      <c r="A3975" s="14" t="s">
        <v>9103</v>
      </c>
      <c r="B3975" s="14" t="s">
        <v>9132</v>
      </c>
      <c r="C3975" s="14"/>
      <c r="D3975" s="14" t="s">
        <v>8531</v>
      </c>
      <c r="E3975" s="14" t="s">
        <v>7461</v>
      </c>
      <c r="F3975" s="14" t="s">
        <v>7462</v>
      </c>
      <c r="G3975" s="14" t="s">
        <v>37</v>
      </c>
      <c r="H3975" s="14"/>
      <c r="I3975" s="14"/>
      <c r="J3975" s="14" t="s">
        <v>165</v>
      </c>
      <c r="K3975" s="14"/>
      <c r="L3975" s="14"/>
      <c r="M3975" s="14" t="s">
        <v>7463</v>
      </c>
      <c r="N3975" s="14"/>
      <c r="O3975" s="14" t="s">
        <v>7464</v>
      </c>
      <c r="P3975" s="14" t="str">
        <f>HYPERLINK("https://ceds.ed.gov/cedselementdetails.aspx?termid=18447")</f>
        <v>https://ceds.ed.gov/cedselementdetails.aspx?termid=18447</v>
      </c>
      <c r="Q3975" s="14" t="str">
        <f>HYPERLINK("https://ceds.ed.gov/elementComment.aspx?elementName=Rubric Criterion Level Score &amp;elementID=18447", "Click here to submit comment")</f>
        <v>Click here to submit comment</v>
      </c>
      <c r="R3975" s="14">
        <v>50396</v>
      </c>
    </row>
    <row r="3976" spans="1:18" ht="45" x14ac:dyDescent="0.25">
      <c r="A3976" s="14" t="s">
        <v>9103</v>
      </c>
      <c r="B3976" s="14" t="s">
        <v>9132</v>
      </c>
      <c r="C3976" s="14"/>
      <c r="D3976" s="14" t="s">
        <v>8531</v>
      </c>
      <c r="E3976" s="14" t="s">
        <v>7473</v>
      </c>
      <c r="F3976" s="14" t="s">
        <v>7474</v>
      </c>
      <c r="G3976" s="14" t="s">
        <v>37</v>
      </c>
      <c r="H3976" s="14"/>
      <c r="I3976" s="14"/>
      <c r="J3976" s="14" t="s">
        <v>165</v>
      </c>
      <c r="K3976" s="14"/>
      <c r="L3976" s="14"/>
      <c r="M3976" s="14" t="s">
        <v>7475</v>
      </c>
      <c r="N3976" s="14"/>
      <c r="O3976" s="14" t="s">
        <v>7476</v>
      </c>
      <c r="P3976" s="14" t="str">
        <f>HYPERLINK("https://ceds.ed.gov/cedselementdetails.aspx?termid=18450")</f>
        <v>https://ceds.ed.gov/cedselementdetails.aspx?termid=18450</v>
      </c>
      <c r="Q3976" s="14" t="str">
        <f>HYPERLINK("https://ceds.ed.gov/elementComment.aspx?elementName=Rubric Criterion Weight &amp;elementID=18450", "Click here to submit comment")</f>
        <v>Click here to submit comment</v>
      </c>
      <c r="R3976" s="14">
        <v>50405</v>
      </c>
    </row>
    <row r="3977" spans="1:18" ht="105" x14ac:dyDescent="0.25">
      <c r="A3977" s="19" t="s">
        <v>9103</v>
      </c>
      <c r="B3977" s="19" t="s">
        <v>9139</v>
      </c>
      <c r="C3977" s="19"/>
      <c r="D3977" s="19" t="s">
        <v>8531</v>
      </c>
      <c r="E3977" s="19" t="s">
        <v>1567</v>
      </c>
      <c r="F3977" s="19" t="s">
        <v>1568</v>
      </c>
      <c r="G3977" s="19" t="s">
        <v>37</v>
      </c>
      <c r="H3977" s="19" t="s">
        <v>1482</v>
      </c>
      <c r="I3977" s="19"/>
      <c r="J3977" s="19" t="s">
        <v>149</v>
      </c>
      <c r="K3977" s="19"/>
      <c r="L3977" s="14" t="s">
        <v>150</v>
      </c>
      <c r="M3977" s="19" t="s">
        <v>1569</v>
      </c>
      <c r="N3977" s="19"/>
      <c r="O3977" s="19" t="s">
        <v>1570</v>
      </c>
      <c r="P3977" s="19" t="str">
        <f>HYPERLINK("https://ceds.ed.gov/cedselementdetails.aspx?termid=17366")</f>
        <v>https://ceds.ed.gov/cedselementdetails.aspx?termid=17366</v>
      </c>
      <c r="Q3977" s="19" t="str">
        <f>HYPERLINK("https://ceds.ed.gov/elementComment.aspx?elementName=Assessment Subtest Identifier &amp;elementID=17366", "Click here to submit comment")</f>
        <v>Click here to submit comment</v>
      </c>
      <c r="R3977" s="19">
        <v>48210</v>
      </c>
    </row>
    <row r="3978" spans="1:18" x14ac:dyDescent="0.25">
      <c r="A3978" s="20"/>
      <c r="B3978" s="20"/>
      <c r="C3978" s="20"/>
      <c r="D3978" s="20"/>
      <c r="E3978" s="20"/>
      <c r="F3978" s="20"/>
      <c r="G3978" s="20"/>
      <c r="H3978" s="20"/>
      <c r="I3978" s="20"/>
      <c r="J3978" s="20"/>
      <c r="K3978" s="20"/>
      <c r="L3978" s="14"/>
      <c r="M3978" s="20"/>
      <c r="N3978" s="20"/>
      <c r="O3978" s="20"/>
      <c r="P3978" s="20"/>
      <c r="Q3978" s="20"/>
      <c r="R3978" s="20"/>
    </row>
    <row r="3979" spans="1:18" ht="90" x14ac:dyDescent="0.25">
      <c r="A3979" s="21"/>
      <c r="B3979" s="21"/>
      <c r="C3979" s="21"/>
      <c r="D3979" s="21"/>
      <c r="E3979" s="21"/>
      <c r="F3979" s="21"/>
      <c r="G3979" s="21"/>
      <c r="H3979" s="21"/>
      <c r="I3979" s="21"/>
      <c r="J3979" s="21"/>
      <c r="K3979" s="21"/>
      <c r="L3979" s="14" t="s">
        <v>153</v>
      </c>
      <c r="M3979" s="21"/>
      <c r="N3979" s="21"/>
      <c r="O3979" s="21"/>
      <c r="P3979" s="21"/>
      <c r="Q3979" s="21"/>
      <c r="R3979" s="21"/>
    </row>
    <row r="3980" spans="1:18" ht="75" x14ac:dyDescent="0.25">
      <c r="A3980" s="14" t="s">
        <v>9103</v>
      </c>
      <c r="B3980" s="14" t="s">
        <v>9139</v>
      </c>
      <c r="C3980" s="14"/>
      <c r="D3980" s="14" t="s">
        <v>8531</v>
      </c>
      <c r="E3980" s="14" t="s">
        <v>1571</v>
      </c>
      <c r="F3980" s="14" t="s">
        <v>1572</v>
      </c>
      <c r="G3980" s="8" t="s">
        <v>9114</v>
      </c>
      <c r="H3980" s="14"/>
      <c r="I3980" s="14"/>
      <c r="J3980" s="14"/>
      <c r="K3980" s="14"/>
      <c r="L3980" s="14"/>
      <c r="M3980" s="14" t="s">
        <v>1574</v>
      </c>
      <c r="N3980" s="14"/>
      <c r="O3980" s="14" t="s">
        <v>1575</v>
      </c>
      <c r="P3980" s="14" t="str">
        <f>HYPERLINK("https://ceds.ed.gov/cedselementdetails.aspx?termid=18016")</f>
        <v>https://ceds.ed.gov/cedselementdetails.aspx?termid=18016</v>
      </c>
      <c r="Q3980" s="14" t="str">
        <f>HYPERLINK("https://ceds.ed.gov/elementComment.aspx?elementName=Assessment Subtest Identifier Type &amp;elementID=18016", "Click here to submit comment")</f>
        <v>Click here to submit comment</v>
      </c>
      <c r="R3980" s="14">
        <v>48452</v>
      </c>
    </row>
    <row r="3981" spans="1:18" ht="165" x14ac:dyDescent="0.25">
      <c r="A3981" s="14" t="s">
        <v>9103</v>
      </c>
      <c r="B3981" s="14" t="s">
        <v>9139</v>
      </c>
      <c r="C3981" s="14"/>
      <c r="D3981" s="14" t="s">
        <v>8531</v>
      </c>
      <c r="E3981" s="14" t="s">
        <v>1597</v>
      </c>
      <c r="F3981" s="14" t="s">
        <v>1598</v>
      </c>
      <c r="G3981" s="14" t="s">
        <v>37</v>
      </c>
      <c r="H3981" s="14" t="s">
        <v>1601</v>
      </c>
      <c r="I3981" s="14"/>
      <c r="J3981" s="14" t="s">
        <v>175</v>
      </c>
      <c r="K3981" s="14"/>
      <c r="L3981" s="14"/>
      <c r="M3981" s="14" t="s">
        <v>1599</v>
      </c>
      <c r="N3981" s="14"/>
      <c r="O3981" s="14" t="s">
        <v>1600</v>
      </c>
      <c r="P3981" s="14" t="str">
        <f>HYPERLINK("https://ceds.ed.gov/cedselementdetails.aspx?termid=17275")</f>
        <v>https://ceds.ed.gov/cedselementdetails.aspx?termid=17275</v>
      </c>
      <c r="Q3981" s="14" t="str">
        <f>HYPERLINK("https://ceds.ed.gov/elementComment.aspx?elementName=Assessment Subtest Title &amp;elementID=17275", "Click here to submit comment")</f>
        <v>Click here to submit comment</v>
      </c>
      <c r="R3981" s="14">
        <v>48209</v>
      </c>
    </row>
    <row r="3982" spans="1:18" ht="45" x14ac:dyDescent="0.25">
      <c r="A3982" s="14" t="s">
        <v>9103</v>
      </c>
      <c r="B3982" s="14" t="s">
        <v>9139</v>
      </c>
      <c r="C3982" s="14"/>
      <c r="D3982" s="14" t="s">
        <v>8531</v>
      </c>
      <c r="E3982" s="14" t="s">
        <v>1558</v>
      </c>
      <c r="F3982" s="14" t="s">
        <v>1559</v>
      </c>
      <c r="G3982" s="14" t="s">
        <v>37</v>
      </c>
      <c r="H3982" s="14" t="s">
        <v>1562</v>
      </c>
      <c r="I3982" s="14"/>
      <c r="J3982" s="14" t="s">
        <v>97</v>
      </c>
      <c r="K3982" s="14"/>
      <c r="L3982" s="14"/>
      <c r="M3982" s="14" t="s">
        <v>1560</v>
      </c>
      <c r="N3982" s="14"/>
      <c r="O3982" s="14" t="s">
        <v>1561</v>
      </c>
      <c r="P3982" s="14" t="str">
        <f>HYPERLINK("https://ceds.ed.gov/cedselementdetails.aspx?termid=17367")</f>
        <v>https://ceds.ed.gov/cedselementdetails.aspx?termid=17367</v>
      </c>
      <c r="Q3982" s="14" t="str">
        <f>HYPERLINK("https://ceds.ed.gov/elementComment.aspx?elementName=Assessment Subtest Abbreviation &amp;elementID=17367", "Click here to submit comment")</f>
        <v>Click here to submit comment</v>
      </c>
      <c r="R3982" s="14">
        <v>48211</v>
      </c>
    </row>
    <row r="3983" spans="1:18" ht="150" x14ac:dyDescent="0.25">
      <c r="A3983" s="14" t="s">
        <v>9103</v>
      </c>
      <c r="B3983" s="14" t="s">
        <v>9139</v>
      </c>
      <c r="C3983" s="14"/>
      <c r="D3983" s="14" t="s">
        <v>8531</v>
      </c>
      <c r="E3983" s="14" t="s">
        <v>1563</v>
      </c>
      <c r="F3983" s="14" t="s">
        <v>1564</v>
      </c>
      <c r="G3983" s="14" t="s">
        <v>37</v>
      </c>
      <c r="H3983" s="14" t="s">
        <v>631</v>
      </c>
      <c r="I3983" s="14"/>
      <c r="J3983" s="14" t="s">
        <v>175</v>
      </c>
      <c r="K3983" s="14"/>
      <c r="L3983" s="14"/>
      <c r="M3983" s="14" t="s">
        <v>1565</v>
      </c>
      <c r="N3983" s="14"/>
      <c r="O3983" s="14" t="s">
        <v>1566</v>
      </c>
      <c r="P3983" s="14" t="str">
        <f>HYPERLINK("https://ceds.ed.gov/cedselementdetails.aspx?termid=17274")</f>
        <v>https://ceds.ed.gov/cedselementdetails.aspx?termid=17274</v>
      </c>
      <c r="Q3983" s="14" t="str">
        <f>HYPERLINK("https://ceds.ed.gov/elementComment.aspx?elementName=Assessment Subtest Description &amp;elementID=17274", "Click here to submit comment")</f>
        <v>Click here to submit comment</v>
      </c>
      <c r="R3983" s="14">
        <v>48208</v>
      </c>
    </row>
    <row r="3984" spans="1:18" ht="45" x14ac:dyDescent="0.25">
      <c r="A3984" s="14" t="s">
        <v>9103</v>
      </c>
      <c r="B3984" s="14" t="s">
        <v>9139</v>
      </c>
      <c r="C3984" s="14"/>
      <c r="D3984" s="14" t="s">
        <v>8531</v>
      </c>
      <c r="E3984" s="14" t="s">
        <v>1602</v>
      </c>
      <c r="F3984" s="14" t="s">
        <v>1603</v>
      </c>
      <c r="G3984" s="14" t="s">
        <v>37</v>
      </c>
      <c r="H3984" s="14" t="s">
        <v>1482</v>
      </c>
      <c r="I3984" s="14"/>
      <c r="J3984" s="14" t="s">
        <v>97</v>
      </c>
      <c r="K3984" s="14"/>
      <c r="L3984" s="14"/>
      <c r="M3984" s="14" t="s">
        <v>1604</v>
      </c>
      <c r="N3984" s="14"/>
      <c r="O3984" s="14" t="s">
        <v>1605</v>
      </c>
      <c r="P3984" s="14" t="str">
        <f>HYPERLINK("https://ceds.ed.gov/cedselementdetails.aspx?termid=17379")</f>
        <v>https://ceds.ed.gov/cedselementdetails.aspx?termid=17379</v>
      </c>
      <c r="Q3984" s="14" t="str">
        <f>HYPERLINK("https://ceds.ed.gov/elementComment.aspx?elementName=Assessment Subtest Version &amp;elementID=17379", "Click here to submit comment")</f>
        <v>Click here to submit comment</v>
      </c>
      <c r="R3984" s="14">
        <v>48213</v>
      </c>
    </row>
    <row r="3985" spans="1:18" ht="360" x14ac:dyDescent="0.25">
      <c r="A3985" s="14" t="s">
        <v>9103</v>
      </c>
      <c r="B3985" s="14" t="s">
        <v>9139</v>
      </c>
      <c r="C3985" s="14"/>
      <c r="D3985" s="14" t="s">
        <v>8531</v>
      </c>
      <c r="E3985" s="14" t="s">
        <v>1090</v>
      </c>
      <c r="F3985" s="14" t="s">
        <v>1091</v>
      </c>
      <c r="G3985" s="8" t="s">
        <v>8628</v>
      </c>
      <c r="H3985" s="14" t="s">
        <v>1096</v>
      </c>
      <c r="I3985" s="14"/>
      <c r="J3985" s="14"/>
      <c r="K3985" s="14"/>
      <c r="L3985" s="14"/>
      <c r="M3985" s="14" t="s">
        <v>1094</v>
      </c>
      <c r="N3985" s="14"/>
      <c r="O3985" s="14" t="s">
        <v>1095</v>
      </c>
      <c r="P3985" s="14" t="str">
        <f>HYPERLINK("https://ceds.ed.gov/cedselementdetails.aspx?termid=17177")</f>
        <v>https://ceds.ed.gov/cedselementdetails.aspx?termid=17177</v>
      </c>
      <c r="Q3985" s="14" t="str">
        <f>HYPERLINK("https://ceds.ed.gov/elementComment.aspx?elementName=Assessment Level for Which Designed &amp;elementID=17177", "Click here to submit comment")</f>
        <v>Click here to submit comment</v>
      </c>
      <c r="R3985" s="14">
        <v>50798</v>
      </c>
    </row>
    <row r="3986" spans="1:18" ht="90" customHeight="1" x14ac:dyDescent="0.25">
      <c r="A3986" s="19" t="s">
        <v>9103</v>
      </c>
      <c r="B3986" s="19" t="s">
        <v>9139</v>
      </c>
      <c r="C3986" s="19"/>
      <c r="D3986" s="19" t="s">
        <v>8531</v>
      </c>
      <c r="E3986" s="19" t="s">
        <v>576</v>
      </c>
      <c r="F3986" s="19" t="s">
        <v>577</v>
      </c>
      <c r="G3986" s="22" t="s">
        <v>8627</v>
      </c>
      <c r="H3986" s="19" t="s">
        <v>583</v>
      </c>
      <c r="I3986" s="19"/>
      <c r="J3986" s="19"/>
      <c r="K3986" s="19"/>
      <c r="L3986" s="14" t="s">
        <v>580</v>
      </c>
      <c r="M3986" s="19" t="s">
        <v>581</v>
      </c>
      <c r="N3986" s="19"/>
      <c r="O3986" s="19" t="s">
        <v>582</v>
      </c>
      <c r="P3986" s="19" t="str">
        <f>HYPERLINK("https://ceds.ed.gov/cedselementdetails.aspx?termid=18003")</f>
        <v>https://ceds.ed.gov/cedselementdetails.aspx?termid=18003</v>
      </c>
      <c r="Q3986" s="19" t="str">
        <f>HYPERLINK("https://ceds.ed.gov/elementComment.aspx?elementName=Assessment Early Learning Developmental Domain &amp;elementID=18003", "Click here to submit comment")</f>
        <v>Click here to submit comment</v>
      </c>
      <c r="R3986" s="19">
        <v>51304</v>
      </c>
    </row>
    <row r="3987" spans="1:18" x14ac:dyDescent="0.25">
      <c r="A3987" s="20"/>
      <c r="B3987" s="20"/>
      <c r="C3987" s="20"/>
      <c r="D3987" s="20"/>
      <c r="E3987" s="20"/>
      <c r="F3987" s="20"/>
      <c r="G3987" s="23"/>
      <c r="H3987" s="20"/>
      <c r="I3987" s="20"/>
      <c r="J3987" s="20"/>
      <c r="K3987" s="20"/>
      <c r="L3987" s="14"/>
      <c r="M3987" s="20"/>
      <c r="N3987" s="20"/>
      <c r="O3987" s="20"/>
      <c r="P3987" s="20"/>
      <c r="Q3987" s="20"/>
      <c r="R3987" s="20"/>
    </row>
    <row r="3988" spans="1:18" ht="30" x14ac:dyDescent="0.25">
      <c r="A3988" s="20"/>
      <c r="B3988" s="20"/>
      <c r="C3988" s="20"/>
      <c r="D3988" s="20"/>
      <c r="E3988" s="20"/>
      <c r="F3988" s="20"/>
      <c r="G3988" s="23"/>
      <c r="H3988" s="20"/>
      <c r="I3988" s="20"/>
      <c r="J3988" s="20"/>
      <c r="K3988" s="20"/>
      <c r="L3988" s="14" t="s">
        <v>584</v>
      </c>
      <c r="M3988" s="20"/>
      <c r="N3988" s="20"/>
      <c r="O3988" s="20"/>
      <c r="P3988" s="20"/>
      <c r="Q3988" s="20"/>
      <c r="R3988" s="20"/>
    </row>
    <row r="3989" spans="1:18" ht="45" x14ac:dyDescent="0.25">
      <c r="A3989" s="20"/>
      <c r="B3989" s="20"/>
      <c r="C3989" s="20"/>
      <c r="D3989" s="20"/>
      <c r="E3989" s="20"/>
      <c r="F3989" s="20"/>
      <c r="G3989" s="23"/>
      <c r="H3989" s="20"/>
      <c r="I3989" s="20"/>
      <c r="J3989" s="20"/>
      <c r="K3989" s="20"/>
      <c r="L3989" s="14" t="s">
        <v>585</v>
      </c>
      <c r="M3989" s="20"/>
      <c r="N3989" s="20"/>
      <c r="O3989" s="20"/>
      <c r="P3989" s="20"/>
      <c r="Q3989" s="20"/>
      <c r="R3989" s="20"/>
    </row>
    <row r="3990" spans="1:18" ht="75" x14ac:dyDescent="0.25">
      <c r="A3990" s="20"/>
      <c r="B3990" s="20"/>
      <c r="C3990" s="20"/>
      <c r="D3990" s="20"/>
      <c r="E3990" s="20"/>
      <c r="F3990" s="20"/>
      <c r="G3990" s="23"/>
      <c r="H3990" s="20"/>
      <c r="I3990" s="20"/>
      <c r="J3990" s="20"/>
      <c r="K3990" s="20"/>
      <c r="L3990" s="14" t="s">
        <v>586</v>
      </c>
      <c r="M3990" s="20"/>
      <c r="N3990" s="20"/>
      <c r="O3990" s="20"/>
      <c r="P3990" s="20"/>
      <c r="Q3990" s="20"/>
      <c r="R3990" s="20"/>
    </row>
    <row r="3991" spans="1:18" x14ac:dyDescent="0.25">
      <c r="A3991" s="20"/>
      <c r="B3991" s="20"/>
      <c r="C3991" s="20"/>
      <c r="D3991" s="20"/>
      <c r="E3991" s="20"/>
      <c r="F3991" s="20"/>
      <c r="G3991" s="23"/>
      <c r="H3991" s="20"/>
      <c r="I3991" s="20"/>
      <c r="J3991" s="20"/>
      <c r="K3991" s="20"/>
      <c r="L3991" s="14"/>
      <c r="M3991" s="20"/>
      <c r="N3991" s="20"/>
      <c r="O3991" s="20"/>
      <c r="P3991" s="20"/>
      <c r="Q3991" s="20"/>
      <c r="R3991" s="20"/>
    </row>
    <row r="3992" spans="1:18" ht="105" x14ac:dyDescent="0.25">
      <c r="A3992" s="21"/>
      <c r="B3992" s="21"/>
      <c r="C3992" s="21"/>
      <c r="D3992" s="21"/>
      <c r="E3992" s="21"/>
      <c r="F3992" s="21"/>
      <c r="G3992" s="24"/>
      <c r="H3992" s="21"/>
      <c r="I3992" s="21"/>
      <c r="J3992" s="21"/>
      <c r="K3992" s="21"/>
      <c r="L3992" s="14" t="s">
        <v>587</v>
      </c>
      <c r="M3992" s="21"/>
      <c r="N3992" s="21"/>
      <c r="O3992" s="21"/>
      <c r="P3992" s="21"/>
      <c r="Q3992" s="21"/>
      <c r="R3992" s="21"/>
    </row>
    <row r="3993" spans="1:18" ht="45" x14ac:dyDescent="0.25">
      <c r="A3993" s="14" t="s">
        <v>9103</v>
      </c>
      <c r="B3993" s="14" t="s">
        <v>9139</v>
      </c>
      <c r="C3993" s="14"/>
      <c r="D3993" s="14" t="s">
        <v>8531</v>
      </c>
      <c r="E3993" s="14" t="s">
        <v>1589</v>
      </c>
      <c r="F3993" s="14" t="s">
        <v>1590</v>
      </c>
      <c r="G3993" s="14" t="s">
        <v>37</v>
      </c>
      <c r="H3993" s="14"/>
      <c r="I3993" s="14"/>
      <c r="J3993" s="14" t="s">
        <v>135</v>
      </c>
      <c r="K3993" s="14"/>
      <c r="L3993" s="14"/>
      <c r="M3993" s="14" t="s">
        <v>1591</v>
      </c>
      <c r="N3993" s="14"/>
      <c r="O3993" s="14" t="s">
        <v>1592</v>
      </c>
      <c r="P3993" s="14" t="str">
        <f>HYPERLINK("https://ceds.ed.gov/cedselementdetails.aspx?termid=18075")</f>
        <v>https://ceds.ed.gov/cedselementdetails.aspx?termid=18075</v>
      </c>
      <c r="Q3993" s="14" t="str">
        <f>HYPERLINK("https://ceds.ed.gov/elementComment.aspx?elementName=Assessment Subtest Published Date &amp;elementID=18075", "Click here to submit comment")</f>
        <v>Click here to submit comment</v>
      </c>
      <c r="R3993" s="14">
        <v>48507</v>
      </c>
    </row>
    <row r="3994" spans="1:18" ht="45" x14ac:dyDescent="0.25">
      <c r="A3994" s="14" t="s">
        <v>9103</v>
      </c>
      <c r="B3994" s="14" t="s">
        <v>9139</v>
      </c>
      <c r="C3994" s="14"/>
      <c r="D3994" s="14" t="s">
        <v>8531</v>
      </c>
      <c r="E3994" s="14" t="s">
        <v>1580</v>
      </c>
      <c r="F3994" s="14" t="s">
        <v>1581</v>
      </c>
      <c r="G3994" s="14" t="s">
        <v>37</v>
      </c>
      <c r="H3994" s="14" t="s">
        <v>106</v>
      </c>
      <c r="I3994" s="14"/>
      <c r="J3994" s="14" t="s">
        <v>97</v>
      </c>
      <c r="K3994" s="14"/>
      <c r="L3994" s="14"/>
      <c r="M3994" s="14" t="s">
        <v>1582</v>
      </c>
      <c r="N3994" s="14"/>
      <c r="O3994" s="14" t="s">
        <v>1583</v>
      </c>
      <c r="P3994" s="14" t="str">
        <f>HYPERLINK("https://ceds.ed.gov/cedselementdetails.aspx?termid=17387")</f>
        <v>https://ceds.ed.gov/cedselementdetails.aspx?termid=17387</v>
      </c>
      <c r="Q3994" s="14" t="str">
        <f>HYPERLINK("https://ceds.ed.gov/elementComment.aspx?elementName=Assessment Subtest Minimum Value &amp;elementID=17387", "Click here to submit comment")</f>
        <v>Click here to submit comment</v>
      </c>
      <c r="R3994" s="14">
        <v>48214</v>
      </c>
    </row>
    <row r="3995" spans="1:18" ht="45" x14ac:dyDescent="0.25">
      <c r="A3995" s="14" t="s">
        <v>9103</v>
      </c>
      <c r="B3995" s="14" t="s">
        <v>9139</v>
      </c>
      <c r="C3995" s="14"/>
      <c r="D3995" s="14" t="s">
        <v>8531</v>
      </c>
      <c r="E3995" s="14" t="s">
        <v>1576</v>
      </c>
      <c r="F3995" s="14" t="s">
        <v>1577</v>
      </c>
      <c r="G3995" s="14" t="s">
        <v>37</v>
      </c>
      <c r="H3995" s="14" t="s">
        <v>106</v>
      </c>
      <c r="I3995" s="14"/>
      <c r="J3995" s="14" t="s">
        <v>97</v>
      </c>
      <c r="K3995" s="14"/>
      <c r="L3995" s="14"/>
      <c r="M3995" s="14" t="s">
        <v>1578</v>
      </c>
      <c r="N3995" s="14"/>
      <c r="O3995" s="14" t="s">
        <v>1579</v>
      </c>
      <c r="P3995" s="14" t="str">
        <f>HYPERLINK("https://ceds.ed.gov/cedselementdetails.aspx?termid=17388")</f>
        <v>https://ceds.ed.gov/cedselementdetails.aspx?termid=17388</v>
      </c>
      <c r="Q3995" s="14" t="str">
        <f>HYPERLINK("https://ceds.ed.gov/elementComment.aspx?elementName=Assessment Subtest Maximum Value &amp;elementID=17388", "Click here to submit comment")</f>
        <v>Click here to submit comment</v>
      </c>
      <c r="R3995" s="14">
        <v>48215</v>
      </c>
    </row>
    <row r="3996" spans="1:18" ht="45" x14ac:dyDescent="0.25">
      <c r="A3996" s="14" t="s">
        <v>9103</v>
      </c>
      <c r="B3996" s="14" t="s">
        <v>9139</v>
      </c>
      <c r="C3996" s="14"/>
      <c r="D3996" s="14" t="s">
        <v>8531</v>
      </c>
      <c r="E3996" s="14" t="s">
        <v>1584</v>
      </c>
      <c r="F3996" s="14" t="s">
        <v>1585</v>
      </c>
      <c r="G3996" s="14" t="s">
        <v>37</v>
      </c>
      <c r="H3996" s="14" t="s">
        <v>727</v>
      </c>
      <c r="I3996" s="14"/>
      <c r="J3996" s="14" t="s">
        <v>97</v>
      </c>
      <c r="K3996" s="14"/>
      <c r="L3996" s="14" t="s">
        <v>1586</v>
      </c>
      <c r="M3996" s="14" t="s">
        <v>1587</v>
      </c>
      <c r="N3996" s="14"/>
      <c r="O3996" s="14" t="s">
        <v>1588</v>
      </c>
      <c r="P3996" s="14" t="str">
        <f>HYPERLINK("https://ceds.ed.gov/cedselementdetails.aspx?termid=17389")</f>
        <v>https://ceds.ed.gov/cedselementdetails.aspx?termid=17389</v>
      </c>
      <c r="Q3996" s="14" t="str">
        <f>HYPERLINK("https://ceds.ed.gov/elementComment.aspx?elementName=Assessment Subtest Optimal Value &amp;elementID=17389", "Click here to submit comment")</f>
        <v>Click here to submit comment</v>
      </c>
      <c r="R3996" s="14">
        <v>48216</v>
      </c>
    </row>
    <row r="3997" spans="1:18" ht="330" x14ac:dyDescent="0.25">
      <c r="A3997" s="14" t="s">
        <v>9103</v>
      </c>
      <c r="B3997" s="14" t="s">
        <v>9139</v>
      </c>
      <c r="C3997" s="14"/>
      <c r="D3997" s="14" t="s">
        <v>8531</v>
      </c>
      <c r="E3997" s="14" t="s">
        <v>472</v>
      </c>
      <c r="F3997" s="14" t="s">
        <v>473</v>
      </c>
      <c r="G3997" s="8" t="s">
        <v>9111</v>
      </c>
      <c r="H3997" s="14" t="s">
        <v>478</v>
      </c>
      <c r="I3997" s="14"/>
      <c r="J3997" s="14"/>
      <c r="K3997" s="14"/>
      <c r="L3997" s="14"/>
      <c r="M3997" s="14" t="s">
        <v>476</v>
      </c>
      <c r="N3997" s="14"/>
      <c r="O3997" s="14" t="s">
        <v>477</v>
      </c>
      <c r="P3997" s="14" t="str">
        <f>HYPERLINK("https://ceds.ed.gov/cedselementdetails.aspx?termid=17021")</f>
        <v>https://ceds.ed.gov/cedselementdetails.aspx?termid=17021</v>
      </c>
      <c r="Q3997" s="14" t="str">
        <f>HYPERLINK("https://ceds.ed.gov/elementComment.aspx?elementName=Assessment Academic Subject &amp;elementID=17021", "Click here to submit comment")</f>
        <v>Click here to submit comment</v>
      </c>
      <c r="R3997" s="14">
        <v>48206</v>
      </c>
    </row>
    <row r="3998" spans="1:18" ht="165" x14ac:dyDescent="0.25">
      <c r="A3998" s="14" t="s">
        <v>9103</v>
      </c>
      <c r="B3998" s="14" t="s">
        <v>9139</v>
      </c>
      <c r="C3998" s="14"/>
      <c r="D3998" s="14" t="s">
        <v>8531</v>
      </c>
      <c r="E3998" s="14" t="s">
        <v>569</v>
      </c>
      <c r="F3998" s="14" t="s">
        <v>570</v>
      </c>
      <c r="G3998" s="8" t="s">
        <v>9140</v>
      </c>
      <c r="H3998" s="14" t="s">
        <v>575</v>
      </c>
      <c r="I3998" s="14"/>
      <c r="J3998" s="14"/>
      <c r="K3998" s="14"/>
      <c r="L3998" s="14"/>
      <c r="M3998" s="14" t="s">
        <v>573</v>
      </c>
      <c r="N3998" s="14"/>
      <c r="O3998" s="14" t="s">
        <v>574</v>
      </c>
      <c r="P3998" s="14" t="str">
        <f>HYPERLINK("https://ceds.ed.gov/cedselementdetails.aspx?termid=17598")</f>
        <v>https://ceds.ed.gov/cedselementdetails.aspx?termid=17598</v>
      </c>
      <c r="Q3998" s="14" t="str">
        <f>HYPERLINK("https://ceds.ed.gov/elementComment.aspx?elementName=Assessment Content Standard Type &amp;elementID=17598", "Click here to submit comment")</f>
        <v>Click here to submit comment</v>
      </c>
      <c r="R3998" s="14">
        <v>48217</v>
      </c>
    </row>
    <row r="3999" spans="1:18" ht="390" x14ac:dyDescent="0.25">
      <c r="A3999" s="14" t="s">
        <v>9103</v>
      </c>
      <c r="B3999" s="14" t="s">
        <v>9139</v>
      </c>
      <c r="C3999" s="14"/>
      <c r="D3999" s="14" t="s">
        <v>8531</v>
      </c>
      <c r="E3999" s="14" t="s">
        <v>1337</v>
      </c>
      <c r="F3999" s="14" t="s">
        <v>1338</v>
      </c>
      <c r="G3999" s="8" t="s">
        <v>9110</v>
      </c>
      <c r="H3999" s="14" t="s">
        <v>575</v>
      </c>
      <c r="I3999" s="14"/>
      <c r="J3999" s="14"/>
      <c r="K3999" s="14"/>
      <c r="L3999" s="14" t="s">
        <v>1341</v>
      </c>
      <c r="M3999" s="14" t="s">
        <v>1342</v>
      </c>
      <c r="N3999" s="14"/>
      <c r="O3999" s="14" t="s">
        <v>1343</v>
      </c>
      <c r="P3999" s="14" t="str">
        <f>HYPERLINK("https://ceds.ed.gov/cedselementdetails.aspx?termid=17026")</f>
        <v>https://ceds.ed.gov/cedselementdetails.aspx?termid=17026</v>
      </c>
      <c r="Q3999" s="14" t="str">
        <f>HYPERLINK("https://ceds.ed.gov/elementComment.aspx?elementName=Assessment Purpose &amp;elementID=17026", "Click here to submit comment")</f>
        <v>Click here to submit comment</v>
      </c>
      <c r="R3999" s="14">
        <v>48207</v>
      </c>
    </row>
    <row r="4000" spans="1:18" ht="45" x14ac:dyDescent="0.25">
      <c r="A4000" s="14" t="s">
        <v>9103</v>
      </c>
      <c r="B4000" s="14" t="s">
        <v>9139</v>
      </c>
      <c r="C4000" s="14"/>
      <c r="D4000" s="14" t="s">
        <v>8531</v>
      </c>
      <c r="E4000" s="14" t="s">
        <v>1593</v>
      </c>
      <c r="F4000" s="14" t="s">
        <v>1594</v>
      </c>
      <c r="G4000" s="14" t="s">
        <v>37</v>
      </c>
      <c r="H4000" s="14"/>
      <c r="I4000" s="14"/>
      <c r="J4000" s="14" t="s">
        <v>382</v>
      </c>
      <c r="K4000" s="14"/>
      <c r="L4000" s="14"/>
      <c r="M4000" s="14" t="s">
        <v>1595</v>
      </c>
      <c r="N4000" s="14"/>
      <c r="O4000" s="14" t="s">
        <v>1596</v>
      </c>
      <c r="P4000" s="14" t="str">
        <f>HYPERLINK("https://ceds.ed.gov/cedselementdetails.aspx?termid=17695")</f>
        <v>https://ceds.ed.gov/cedselementdetails.aspx?termid=17695</v>
      </c>
      <c r="Q4000" s="14" t="str">
        <f>HYPERLINK("https://ceds.ed.gov/elementComment.aspx?elementName=Assessment Subtest Rules &amp;elementID=17695", "Click here to submit comment")</f>
        <v>Click here to submit comment</v>
      </c>
      <c r="R4000" s="14">
        <v>48218</v>
      </c>
    </row>
    <row r="4001" spans="1:18" ht="60" x14ac:dyDescent="0.25">
      <c r="A4001" s="14" t="s">
        <v>9103</v>
      </c>
      <c r="B4001" s="14" t="s">
        <v>9139</v>
      </c>
      <c r="C4001" s="14"/>
      <c r="D4001" s="14" t="s">
        <v>8531</v>
      </c>
      <c r="E4001" s="14" t="s">
        <v>692</v>
      </c>
      <c r="F4001" s="14" t="s">
        <v>693</v>
      </c>
      <c r="G4001" s="14" t="s">
        <v>37</v>
      </c>
      <c r="H4001" s="14"/>
      <c r="I4001" s="14"/>
      <c r="J4001" s="14" t="s">
        <v>370</v>
      </c>
      <c r="K4001" s="14"/>
      <c r="L4001" s="14"/>
      <c r="M4001" s="14" t="s">
        <v>694</v>
      </c>
      <c r="N4001" s="14"/>
      <c r="O4001" s="14" t="s">
        <v>695</v>
      </c>
      <c r="P4001" s="14" t="str">
        <f>HYPERLINK("https://ceds.ed.gov/cedselementdetails.aspx?termid=18180")</f>
        <v>https://ceds.ed.gov/cedselementdetails.aspx?termid=18180</v>
      </c>
      <c r="Q4001" s="14" t="str">
        <f>HYPERLINK("https://ceds.ed.gov/elementComment.aspx?elementName=Assessment Form Subtest Tier &amp;elementID=18180", "Click here to submit comment")</f>
        <v>Click here to submit comment</v>
      </c>
      <c r="R4001" s="14">
        <v>48625</v>
      </c>
    </row>
    <row r="4002" spans="1:18" ht="60" x14ac:dyDescent="0.25">
      <c r="A4002" s="14" t="s">
        <v>9103</v>
      </c>
      <c r="B4002" s="14" t="s">
        <v>9139</v>
      </c>
      <c r="C4002" s="14"/>
      <c r="D4002" s="14" t="s">
        <v>8531</v>
      </c>
      <c r="E4002" s="14" t="s">
        <v>675</v>
      </c>
      <c r="F4002" s="14" t="s">
        <v>676</v>
      </c>
      <c r="G4002" s="14" t="s">
        <v>24</v>
      </c>
      <c r="H4002" s="14"/>
      <c r="I4002" s="14"/>
      <c r="J4002" s="14"/>
      <c r="K4002" s="14"/>
      <c r="L4002" s="14"/>
      <c r="M4002" s="14" t="s">
        <v>677</v>
      </c>
      <c r="N4002" s="14"/>
      <c r="O4002" s="14" t="s">
        <v>678</v>
      </c>
      <c r="P4002" s="14" t="str">
        <f>HYPERLINK("https://ceds.ed.gov/cedselementdetails.aspx?termid=18181")</f>
        <v>https://ceds.ed.gov/cedselementdetails.aspx?termid=18181</v>
      </c>
      <c r="Q4002" s="14" t="str">
        <f>HYPERLINK("https://ceds.ed.gov/elementComment.aspx?elementName=Assessment Form Subtest Container Only &amp;elementID=18181", "Click here to submit comment")</f>
        <v>Click here to submit comment</v>
      </c>
      <c r="R4002" s="14">
        <v>48626</v>
      </c>
    </row>
    <row r="4003" spans="1:18" ht="409.5" x14ac:dyDescent="0.25">
      <c r="A4003" s="14" t="s">
        <v>9103</v>
      </c>
      <c r="B4003" s="14" t="s">
        <v>9139</v>
      </c>
      <c r="C4003" s="14"/>
      <c r="D4003" s="14" t="s">
        <v>8531</v>
      </c>
      <c r="E4003" s="14" t="s">
        <v>1477</v>
      </c>
      <c r="F4003" s="14" t="s">
        <v>1478</v>
      </c>
      <c r="G4003" s="8" t="s">
        <v>8950</v>
      </c>
      <c r="H4003" s="14" t="s">
        <v>1482</v>
      </c>
      <c r="I4003" s="14"/>
      <c r="J4003" s="14"/>
      <c r="K4003" s="14"/>
      <c r="L4003" s="14"/>
      <c r="M4003" s="14" t="s">
        <v>1480</v>
      </c>
      <c r="N4003" s="14"/>
      <c r="O4003" s="14" t="s">
        <v>1481</v>
      </c>
      <c r="P4003" s="14" t="str">
        <f>HYPERLINK("https://ceds.ed.gov/cedselementdetails.aspx?termid=17368")</f>
        <v>https://ceds.ed.gov/cedselementdetails.aspx?termid=17368</v>
      </c>
      <c r="Q4003" s="14" t="str">
        <f>HYPERLINK("https://ceds.ed.gov/elementComment.aspx?elementName=Assessment Score Metric Type &amp;elementID=17368", "Click here to submit comment")</f>
        <v>Click here to submit comment</v>
      </c>
      <c r="R4003" s="14">
        <v>48212</v>
      </c>
    </row>
    <row r="4004" spans="1:18" ht="105" x14ac:dyDescent="0.25">
      <c r="A4004" s="19" t="s">
        <v>9103</v>
      </c>
      <c r="B4004" s="19" t="s">
        <v>9139</v>
      </c>
      <c r="C4004" s="19" t="s">
        <v>9141</v>
      </c>
      <c r="D4004" s="19" t="s">
        <v>8531</v>
      </c>
      <c r="E4004" s="19" t="s">
        <v>1301</v>
      </c>
      <c r="F4004" s="19" t="s">
        <v>1302</v>
      </c>
      <c r="G4004" s="19" t="s">
        <v>37</v>
      </c>
      <c r="H4004" s="19" t="s">
        <v>908</v>
      </c>
      <c r="I4004" s="19"/>
      <c r="J4004" s="19" t="s">
        <v>149</v>
      </c>
      <c r="K4004" s="19"/>
      <c r="L4004" s="14" t="s">
        <v>150</v>
      </c>
      <c r="M4004" s="19" t="s">
        <v>1303</v>
      </c>
      <c r="N4004" s="19"/>
      <c r="O4004" s="19" t="s">
        <v>1304</v>
      </c>
      <c r="P4004" s="19" t="str">
        <f>HYPERLINK("https://ceds.ed.gov/cedselementdetails.aspx?termid=17693")</f>
        <v>https://ceds.ed.gov/cedselementdetails.aspx?termid=17693</v>
      </c>
      <c r="Q4004" s="19" t="str">
        <f>HYPERLINK("https://ceds.ed.gov/elementComment.aspx?elementName=Assessment Performance Level Identifier &amp;elementID=17693", "Click here to submit comment")</f>
        <v>Click here to submit comment</v>
      </c>
      <c r="R4004" s="19">
        <v>51706</v>
      </c>
    </row>
    <row r="4005" spans="1:18" x14ac:dyDescent="0.25">
      <c r="A4005" s="20"/>
      <c r="B4005" s="20"/>
      <c r="C4005" s="20"/>
      <c r="D4005" s="20"/>
      <c r="E4005" s="20"/>
      <c r="F4005" s="20"/>
      <c r="G4005" s="20"/>
      <c r="H4005" s="20"/>
      <c r="I4005" s="20"/>
      <c r="J4005" s="20"/>
      <c r="K4005" s="20"/>
      <c r="L4005" s="14"/>
      <c r="M4005" s="20"/>
      <c r="N4005" s="20"/>
      <c r="O4005" s="20"/>
      <c r="P4005" s="20"/>
      <c r="Q4005" s="20"/>
      <c r="R4005" s="20"/>
    </row>
    <row r="4006" spans="1:18" ht="90" x14ac:dyDescent="0.25">
      <c r="A4006" s="21"/>
      <c r="B4006" s="21"/>
      <c r="C4006" s="21"/>
      <c r="D4006" s="21"/>
      <c r="E4006" s="21"/>
      <c r="F4006" s="21"/>
      <c r="G4006" s="21"/>
      <c r="H4006" s="21"/>
      <c r="I4006" s="21"/>
      <c r="J4006" s="21"/>
      <c r="K4006" s="21"/>
      <c r="L4006" s="14" t="s">
        <v>153</v>
      </c>
      <c r="M4006" s="21"/>
      <c r="N4006" s="21"/>
      <c r="O4006" s="21"/>
      <c r="P4006" s="21"/>
      <c r="Q4006" s="21"/>
      <c r="R4006" s="21"/>
    </row>
    <row r="4007" spans="1:18" ht="45" x14ac:dyDescent="0.25">
      <c r="A4007" s="14" t="s">
        <v>9103</v>
      </c>
      <c r="B4007" s="14" t="s">
        <v>9139</v>
      </c>
      <c r="C4007" s="14" t="s">
        <v>9141</v>
      </c>
      <c r="D4007" s="14" t="s">
        <v>8531</v>
      </c>
      <c r="E4007" s="14" t="s">
        <v>1305</v>
      </c>
      <c r="F4007" s="14" t="s">
        <v>1306</v>
      </c>
      <c r="G4007" s="14" t="s">
        <v>37</v>
      </c>
      <c r="H4007" s="14" t="s">
        <v>908</v>
      </c>
      <c r="I4007" s="14"/>
      <c r="J4007" s="14" t="s">
        <v>1307</v>
      </c>
      <c r="K4007" s="14"/>
      <c r="L4007" s="14"/>
      <c r="M4007" s="14" t="s">
        <v>1308</v>
      </c>
      <c r="N4007" s="14"/>
      <c r="O4007" s="14" t="s">
        <v>1309</v>
      </c>
      <c r="P4007" s="14" t="str">
        <f>HYPERLINK("https://ceds.ed.gov/cedselementdetails.aspx?termid=17694")</f>
        <v>https://ceds.ed.gov/cedselementdetails.aspx?termid=17694</v>
      </c>
      <c r="Q4007" s="14" t="str">
        <f>HYPERLINK("https://ceds.ed.gov/elementComment.aspx?elementName=Assessment Performance Level Label &amp;elementID=17694", "Click here to submit comment")</f>
        <v>Click here to submit comment</v>
      </c>
      <c r="R4007" s="14">
        <v>51707</v>
      </c>
    </row>
    <row r="4008" spans="1:18" ht="45" x14ac:dyDescent="0.25">
      <c r="A4008" s="14" t="s">
        <v>9103</v>
      </c>
      <c r="B4008" s="14" t="s">
        <v>9139</v>
      </c>
      <c r="C4008" s="14" t="s">
        <v>9141</v>
      </c>
      <c r="D4008" s="14" t="s">
        <v>8531</v>
      </c>
      <c r="E4008" s="14" t="s">
        <v>1310</v>
      </c>
      <c r="F4008" s="14" t="s">
        <v>1311</v>
      </c>
      <c r="G4008" s="14" t="s">
        <v>37</v>
      </c>
      <c r="H4008" s="14" t="s">
        <v>106</v>
      </c>
      <c r="I4008" s="14"/>
      <c r="J4008" s="14" t="s">
        <v>97</v>
      </c>
      <c r="K4008" s="14"/>
      <c r="L4008" s="14"/>
      <c r="M4008" s="14" t="s">
        <v>1312</v>
      </c>
      <c r="N4008" s="14"/>
      <c r="O4008" s="14" t="s">
        <v>1313</v>
      </c>
      <c r="P4008" s="14" t="str">
        <f>HYPERLINK("https://ceds.ed.gov/cedselementdetails.aspx?termid=17408")</f>
        <v>https://ceds.ed.gov/cedselementdetails.aspx?termid=17408</v>
      </c>
      <c r="Q4008" s="14" t="str">
        <f>HYPERLINK("https://ceds.ed.gov/elementComment.aspx?elementName=Assessment Performance Level Lower Cut Score &amp;elementID=17408", "Click here to submit comment")</f>
        <v>Click here to submit comment</v>
      </c>
      <c r="R4008" s="14">
        <v>51704</v>
      </c>
    </row>
    <row r="4009" spans="1:18" ht="45" x14ac:dyDescent="0.25">
      <c r="A4009" s="14" t="s">
        <v>9103</v>
      </c>
      <c r="B4009" s="14" t="s">
        <v>9139</v>
      </c>
      <c r="C4009" s="14" t="s">
        <v>9141</v>
      </c>
      <c r="D4009" s="14" t="s">
        <v>8531</v>
      </c>
      <c r="E4009" s="14" t="s">
        <v>1319</v>
      </c>
      <c r="F4009" s="14" t="s">
        <v>1320</v>
      </c>
      <c r="G4009" s="14" t="s">
        <v>37</v>
      </c>
      <c r="H4009" s="14" t="s">
        <v>106</v>
      </c>
      <c r="I4009" s="14"/>
      <c r="J4009" s="14" t="s">
        <v>97</v>
      </c>
      <c r="K4009" s="14"/>
      <c r="L4009" s="14"/>
      <c r="M4009" s="14" t="s">
        <v>1321</v>
      </c>
      <c r="N4009" s="14"/>
      <c r="O4009" s="14" t="s">
        <v>1322</v>
      </c>
      <c r="P4009" s="14" t="str">
        <f>HYPERLINK("https://ceds.ed.gov/cedselementdetails.aspx?termid=17409")</f>
        <v>https://ceds.ed.gov/cedselementdetails.aspx?termid=17409</v>
      </c>
      <c r="Q4009" s="14" t="str">
        <f>HYPERLINK("https://ceds.ed.gov/elementComment.aspx?elementName=Assessment Performance Level Upper Cut Score &amp;elementID=17409", "Click here to submit comment")</f>
        <v>Click here to submit comment</v>
      </c>
      <c r="R4009" s="14">
        <v>51705</v>
      </c>
    </row>
    <row r="4010" spans="1:18" ht="409.5" x14ac:dyDescent="0.25">
      <c r="A4010" s="14" t="s">
        <v>9103</v>
      </c>
      <c r="B4010" s="14" t="s">
        <v>9139</v>
      </c>
      <c r="C4010" s="14" t="s">
        <v>9141</v>
      </c>
      <c r="D4010" s="14" t="s">
        <v>8531</v>
      </c>
      <c r="E4010" s="14" t="s">
        <v>1314</v>
      </c>
      <c r="F4010" s="14" t="s">
        <v>1315</v>
      </c>
      <c r="G4010" s="8" t="s">
        <v>8950</v>
      </c>
      <c r="H4010" s="14" t="s">
        <v>106</v>
      </c>
      <c r="I4010" s="14"/>
      <c r="J4010" s="14" t="s">
        <v>97</v>
      </c>
      <c r="K4010" s="14"/>
      <c r="L4010" s="14"/>
      <c r="M4010" s="14" t="s">
        <v>1317</v>
      </c>
      <c r="N4010" s="14"/>
      <c r="O4010" s="14" t="s">
        <v>1318</v>
      </c>
      <c r="P4010" s="14" t="str">
        <f>HYPERLINK("https://ceds.ed.gov/cedselementdetails.aspx?termid=17407")</f>
        <v>https://ceds.ed.gov/cedselementdetails.aspx?termid=17407</v>
      </c>
      <c r="Q4010" s="14" t="str">
        <f>HYPERLINK("https://ceds.ed.gov/elementComment.aspx?elementName=Assessment Performance Level Score Metric &amp;elementID=17407", "Click here to submit comment")</f>
        <v>Click here to submit comment</v>
      </c>
      <c r="R4010" s="14">
        <v>51703</v>
      </c>
    </row>
    <row r="4011" spans="1:18" ht="45" x14ac:dyDescent="0.25">
      <c r="A4011" s="14" t="s">
        <v>9103</v>
      </c>
      <c r="B4011" s="14" t="s">
        <v>9139</v>
      </c>
      <c r="C4011" s="14" t="s">
        <v>9141</v>
      </c>
      <c r="D4011" s="14" t="s">
        <v>8531</v>
      </c>
      <c r="E4011" s="14" t="s">
        <v>1296</v>
      </c>
      <c r="F4011" s="14" t="s">
        <v>1297</v>
      </c>
      <c r="G4011" s="14" t="s">
        <v>37</v>
      </c>
      <c r="H4011" s="14"/>
      <c r="I4011" s="14"/>
      <c r="J4011" s="14" t="s">
        <v>382</v>
      </c>
      <c r="K4011" s="14"/>
      <c r="L4011" s="14"/>
      <c r="M4011" s="14" t="s">
        <v>1299</v>
      </c>
      <c r="N4011" s="14"/>
      <c r="O4011" s="14" t="s">
        <v>1300</v>
      </c>
      <c r="P4011" s="14" t="str">
        <f>HYPERLINK("https://ceds.ed.gov/cedselementdetails.aspx?termid=18184")</f>
        <v>https://ceds.ed.gov/cedselementdetails.aspx?termid=18184</v>
      </c>
      <c r="Q4011" s="14" t="str">
        <f>HYPERLINK("https://ceds.ed.gov/elementComment.aspx?elementName=Assessment Performance Level Descriptive Feedback &amp;elementID=18184", "Click here to submit comment")</f>
        <v>Click here to submit comment</v>
      </c>
      <c r="R4011" s="14">
        <v>51708</v>
      </c>
    </row>
    <row r="4012" spans="1:18" ht="75" x14ac:dyDescent="0.25">
      <c r="A4012" s="14" t="s">
        <v>9103</v>
      </c>
      <c r="B4012" s="14" t="s">
        <v>9142</v>
      </c>
      <c r="C4012" s="14"/>
      <c r="D4012" s="14" t="s">
        <v>8531</v>
      </c>
      <c r="E4012" s="14" t="s">
        <v>1446</v>
      </c>
      <c r="F4012" s="14" t="s">
        <v>1447</v>
      </c>
      <c r="G4012" s="14" t="s">
        <v>24</v>
      </c>
      <c r="H4012" s="14"/>
      <c r="I4012" s="14"/>
      <c r="J4012" s="14"/>
      <c r="K4012" s="14"/>
      <c r="L4012" s="14"/>
      <c r="M4012" s="14" t="s">
        <v>1448</v>
      </c>
      <c r="N4012" s="14"/>
      <c r="O4012" s="14" t="s">
        <v>1449</v>
      </c>
      <c r="P4012" s="14" t="str">
        <f>HYPERLINK("https://ceds.ed.gov/cedselementdetails.aspx?termid=18010")</f>
        <v>https://ceds.ed.gov/cedselementdetails.aspx?termid=18010</v>
      </c>
      <c r="Q4012" s="14" t="str">
        <f>HYPERLINK("https://ceds.ed.gov/elementComment.aspx?elementName=Assessment Result Preliminary Indicator &amp;elementID=18010", "Click here to submit comment")</f>
        <v>Click here to submit comment</v>
      </c>
      <c r="R4012" s="14">
        <v>48446</v>
      </c>
    </row>
    <row r="4013" spans="1:18" ht="210" x14ac:dyDescent="0.25">
      <c r="A4013" s="14" t="s">
        <v>9103</v>
      </c>
      <c r="B4013" s="14" t="s">
        <v>9142</v>
      </c>
      <c r="C4013" s="14"/>
      <c r="D4013" s="14" t="s">
        <v>8531</v>
      </c>
      <c r="E4013" s="14" t="s">
        <v>1466</v>
      </c>
      <c r="F4013" s="14" t="s">
        <v>1467</v>
      </c>
      <c r="G4013" s="14" t="s">
        <v>37</v>
      </c>
      <c r="H4013" s="14" t="s">
        <v>1472</v>
      </c>
      <c r="I4013" s="14"/>
      <c r="J4013" s="14" t="s">
        <v>1468</v>
      </c>
      <c r="K4013" s="14"/>
      <c r="L4013" s="14" t="s">
        <v>1469</v>
      </c>
      <c r="M4013" s="14" t="s">
        <v>1470</v>
      </c>
      <c r="N4013" s="14"/>
      <c r="O4013" s="14" t="s">
        <v>1471</v>
      </c>
      <c r="P4013" s="14" t="str">
        <f>HYPERLINK("https://ceds.ed.gov/cedselementdetails.aspx?termid=17245")</f>
        <v>https://ceds.ed.gov/cedselementdetails.aspx?termid=17245</v>
      </c>
      <c r="Q4013" s="14" t="str">
        <f>HYPERLINK("https://ceds.ed.gov/elementComment.aspx?elementName=Assessment Result Score Value &amp;elementID=17245", "Click here to submit comment")</f>
        <v>Click here to submit comment</v>
      </c>
      <c r="R4013" s="14">
        <v>48227</v>
      </c>
    </row>
    <row r="4014" spans="1:18" ht="180" x14ac:dyDescent="0.25">
      <c r="A4014" s="14" t="s">
        <v>9103</v>
      </c>
      <c r="B4014" s="14" t="s">
        <v>9142</v>
      </c>
      <c r="C4014" s="14"/>
      <c r="D4014" s="14" t="s">
        <v>8531</v>
      </c>
      <c r="E4014" s="14" t="s">
        <v>1404</v>
      </c>
      <c r="F4014" s="14" t="s">
        <v>1405</v>
      </c>
      <c r="G4014" s="8" t="s">
        <v>9143</v>
      </c>
      <c r="H4014" s="14"/>
      <c r="I4014" s="14"/>
      <c r="J4014" s="14"/>
      <c r="K4014" s="14"/>
      <c r="L4014" s="14" t="s">
        <v>1408</v>
      </c>
      <c r="M4014" s="14" t="s">
        <v>1409</v>
      </c>
      <c r="N4014" s="14"/>
      <c r="O4014" s="14" t="s">
        <v>1410</v>
      </c>
      <c r="P4014" s="14" t="str">
        <f>HYPERLINK("https://ceds.ed.gov/cedselementdetails.aspx?termid=18518")</f>
        <v>https://ceds.ed.gov/cedselementdetails.aspx?termid=18518</v>
      </c>
      <c r="Q4014" s="14" t="str">
        <f>HYPERLINK("https://ceds.ed.gov/elementComment.aspx?elementName=Assessment Result Data Type &amp;elementID=18518", "Click here to submit comment")</f>
        <v>Click here to submit comment</v>
      </c>
      <c r="R4014" s="14">
        <v>50813</v>
      </c>
    </row>
    <row r="4015" spans="1:18" ht="240" x14ac:dyDescent="0.25">
      <c r="A4015" s="14" t="s">
        <v>9103</v>
      </c>
      <c r="B4015" s="14" t="s">
        <v>9142</v>
      </c>
      <c r="C4015" s="14"/>
      <c r="D4015" s="14" t="s">
        <v>8531</v>
      </c>
      <c r="E4015" s="14" t="s">
        <v>1461</v>
      </c>
      <c r="F4015" s="14" t="s">
        <v>1462</v>
      </c>
      <c r="G4015" s="8" t="s">
        <v>9144</v>
      </c>
      <c r="H4015" s="14"/>
      <c r="I4015" s="14"/>
      <c r="J4015" s="14"/>
      <c r="K4015" s="14"/>
      <c r="L4015" s="14"/>
      <c r="M4015" s="14" t="s">
        <v>1464</v>
      </c>
      <c r="N4015" s="14"/>
      <c r="O4015" s="14" t="s">
        <v>1465</v>
      </c>
      <c r="P4015" s="14" t="str">
        <f>HYPERLINK("https://ceds.ed.gov/cedselementdetails.aspx?termid=18523")</f>
        <v>https://ceds.ed.gov/cedselementdetails.aspx?termid=18523</v>
      </c>
      <c r="Q4015" s="14" t="str">
        <f>HYPERLINK("https://ceds.ed.gov/elementComment.aspx?elementName=Assessment Result Score Type &amp;elementID=18523", "Click here to submit comment")</f>
        <v>Click here to submit comment</v>
      </c>
      <c r="R4015" s="14">
        <v>50822</v>
      </c>
    </row>
    <row r="4016" spans="1:18" ht="60" x14ac:dyDescent="0.25">
      <c r="A4016" s="14" t="s">
        <v>9103</v>
      </c>
      <c r="B4016" s="14" t="s">
        <v>9142</v>
      </c>
      <c r="C4016" s="14"/>
      <c r="D4016" s="14" t="s">
        <v>8531</v>
      </c>
      <c r="E4016" s="14" t="s">
        <v>1456</v>
      </c>
      <c r="F4016" s="14" t="s">
        <v>1457</v>
      </c>
      <c r="G4016" s="14" t="s">
        <v>37</v>
      </c>
      <c r="H4016" s="14"/>
      <c r="I4016" s="14"/>
      <c r="J4016" s="14" t="s">
        <v>165</v>
      </c>
      <c r="K4016" s="14"/>
      <c r="L4016" s="14" t="s">
        <v>1458</v>
      </c>
      <c r="M4016" s="14" t="s">
        <v>1459</v>
      </c>
      <c r="N4016" s="14"/>
      <c r="O4016" s="14" t="s">
        <v>1460</v>
      </c>
      <c r="P4016" s="14" t="str">
        <f>HYPERLINK("https://ceds.ed.gov/cedselementdetails.aspx?termid=18522")</f>
        <v>https://ceds.ed.gov/cedselementdetails.aspx?termid=18522</v>
      </c>
      <c r="Q4016" s="14" t="str">
        <f>HYPERLINK("https://ceds.ed.gov/elementComment.aspx?elementName=Assessment Result Score Standard Error &amp;elementID=18522", "Click here to submit comment")</f>
        <v>Click here to submit comment</v>
      </c>
      <c r="R4016" s="14">
        <v>50820</v>
      </c>
    </row>
    <row r="4017" spans="1:18" ht="120" x14ac:dyDescent="0.25">
      <c r="A4017" s="14" t="s">
        <v>9103</v>
      </c>
      <c r="B4017" s="14" t="s">
        <v>9142</v>
      </c>
      <c r="C4017" s="14"/>
      <c r="D4017" s="14" t="s">
        <v>8531</v>
      </c>
      <c r="E4017" s="14" t="s">
        <v>1442</v>
      </c>
      <c r="F4017" s="14" t="s">
        <v>1443</v>
      </c>
      <c r="G4017" s="14" t="s">
        <v>37</v>
      </c>
      <c r="H4017" s="14"/>
      <c r="I4017" s="14"/>
      <c r="J4017" s="14" t="s">
        <v>370</v>
      </c>
      <c r="K4017" s="14"/>
      <c r="L4017" s="14"/>
      <c r="M4017" s="14" t="s">
        <v>1444</v>
      </c>
      <c r="N4017" s="14"/>
      <c r="O4017" s="14" t="s">
        <v>1445</v>
      </c>
      <c r="P4017" s="14" t="str">
        <f>HYPERLINK("https://ceds.ed.gov/cedselementdetails.aspx?termid=18012")</f>
        <v>https://ceds.ed.gov/cedselementdetails.aspx?termid=18012</v>
      </c>
      <c r="Q4017" s="14" t="str">
        <f>HYPERLINK("https://ceds.ed.gov/elementComment.aspx?elementName=Assessment Result Number of Responses &amp;elementID=18012", "Click here to submit comment")</f>
        <v>Click here to submit comment</v>
      </c>
      <c r="R4017" s="14">
        <v>48448</v>
      </c>
    </row>
    <row r="4018" spans="1:18" ht="75" x14ac:dyDescent="0.25">
      <c r="A4018" s="14" t="s">
        <v>9103</v>
      </c>
      <c r="B4018" s="14" t="s">
        <v>9142</v>
      </c>
      <c r="C4018" s="14"/>
      <c r="D4018" s="14" t="s">
        <v>8531</v>
      </c>
      <c r="E4018" s="14" t="s">
        <v>1420</v>
      </c>
      <c r="F4018" s="14" t="s">
        <v>1421</v>
      </c>
      <c r="G4018" s="14" t="s">
        <v>37</v>
      </c>
      <c r="H4018" s="14" t="s">
        <v>908</v>
      </c>
      <c r="I4018" s="14"/>
      <c r="J4018" s="14" t="s">
        <v>129</v>
      </c>
      <c r="K4018" s="14"/>
      <c r="L4018" s="14"/>
      <c r="M4018" s="14" t="s">
        <v>1422</v>
      </c>
      <c r="N4018" s="14"/>
      <c r="O4018" s="14" t="s">
        <v>1423</v>
      </c>
      <c r="P4018" s="14" t="str">
        <f>HYPERLINK("https://ceds.ed.gov/cedselementdetails.aspx?termid=17890")</f>
        <v>https://ceds.ed.gov/cedselementdetails.aspx?termid=17890</v>
      </c>
      <c r="Q4018" s="14" t="str">
        <f>HYPERLINK("https://ceds.ed.gov/elementComment.aspx?elementName=Assessment Result Descriptive Feedback &amp;elementID=17890", "Click here to submit comment")</f>
        <v>Click here to submit comment</v>
      </c>
      <c r="R4018" s="14">
        <v>49341</v>
      </c>
    </row>
    <row r="4019" spans="1:18" ht="120" x14ac:dyDescent="0.25">
      <c r="A4019" s="14" t="s">
        <v>9103</v>
      </c>
      <c r="B4019" s="14" t="s">
        <v>9142</v>
      </c>
      <c r="C4019" s="14"/>
      <c r="D4019" s="14" t="s">
        <v>8531</v>
      </c>
      <c r="E4019" s="14" t="s">
        <v>1429</v>
      </c>
      <c r="F4019" s="14" t="s">
        <v>1430</v>
      </c>
      <c r="G4019" s="14" t="s">
        <v>37</v>
      </c>
      <c r="H4019" s="14"/>
      <c r="I4019" s="14"/>
      <c r="J4019" s="14" t="s">
        <v>175</v>
      </c>
      <c r="K4019" s="14"/>
      <c r="L4019" s="14"/>
      <c r="M4019" s="14" t="s">
        <v>1431</v>
      </c>
      <c r="N4019" s="14"/>
      <c r="O4019" s="14" t="s">
        <v>1432</v>
      </c>
      <c r="P4019" s="14" t="str">
        <f>HYPERLINK("https://ceds.ed.gov/cedselementdetails.aspx?termid=18076")</f>
        <v>https://ceds.ed.gov/cedselementdetails.aspx?termid=18076</v>
      </c>
      <c r="Q4019" s="14" t="str">
        <f>HYPERLINK("https://ceds.ed.gov/elementComment.aspx?elementName=Assessment Result Descriptive Feedback Source &amp;elementID=18076", "Click here to submit comment")</f>
        <v>Click here to submit comment</v>
      </c>
      <c r="R4019" s="14">
        <v>48508</v>
      </c>
    </row>
    <row r="4020" spans="1:18" ht="60" x14ac:dyDescent="0.25">
      <c r="A4020" s="14" t="s">
        <v>9103</v>
      </c>
      <c r="B4020" s="14" t="s">
        <v>9142</v>
      </c>
      <c r="C4020" s="14"/>
      <c r="D4020" s="14" t="s">
        <v>8531</v>
      </c>
      <c r="E4020" s="14" t="s">
        <v>1424</v>
      </c>
      <c r="F4020" s="14" t="s">
        <v>1425</v>
      </c>
      <c r="G4020" s="14" t="s">
        <v>37</v>
      </c>
      <c r="H4020" s="14"/>
      <c r="I4020" s="14"/>
      <c r="J4020" s="14" t="s">
        <v>941</v>
      </c>
      <c r="K4020" s="14"/>
      <c r="L4020" s="14"/>
      <c r="M4020" s="14" t="s">
        <v>1427</v>
      </c>
      <c r="N4020" s="14"/>
      <c r="O4020" s="14" t="s">
        <v>1428</v>
      </c>
      <c r="P4020" s="14" t="str">
        <f>HYPERLINK("https://ceds.ed.gov/cedselementdetails.aspx?termid=18520")</f>
        <v>https://ceds.ed.gov/cedselementdetails.aspx?termid=18520</v>
      </c>
      <c r="Q4020" s="14" t="str">
        <f>HYPERLINK("https://ceds.ed.gov/elementComment.aspx?elementName=Assessment Result Descriptive Feedback Date Time &amp;elementID=18520", "Click here to submit comment")</f>
        <v>Click here to submit comment</v>
      </c>
      <c r="R4020" s="14">
        <v>51118</v>
      </c>
    </row>
    <row r="4021" spans="1:18" ht="409.5" x14ac:dyDescent="0.25">
      <c r="A4021" s="14" t="s">
        <v>9103</v>
      </c>
      <c r="B4021" s="14" t="s">
        <v>9142</v>
      </c>
      <c r="C4021" s="14"/>
      <c r="D4021" s="14" t="s">
        <v>8531</v>
      </c>
      <c r="E4021" s="14" t="s">
        <v>1477</v>
      </c>
      <c r="F4021" s="14" t="s">
        <v>1478</v>
      </c>
      <c r="G4021" s="8" t="s">
        <v>8950</v>
      </c>
      <c r="H4021" s="14" t="s">
        <v>1482</v>
      </c>
      <c r="I4021" s="14"/>
      <c r="J4021" s="14"/>
      <c r="K4021" s="14"/>
      <c r="L4021" s="14"/>
      <c r="M4021" s="14" t="s">
        <v>1480</v>
      </c>
      <c r="N4021" s="14"/>
      <c r="O4021" s="14" t="s">
        <v>1481</v>
      </c>
      <c r="P4021" s="14" t="str">
        <f>HYPERLINK("https://ceds.ed.gov/cedselementdetails.aspx?termid=17368")</f>
        <v>https://ceds.ed.gov/cedselementdetails.aspx?termid=17368</v>
      </c>
      <c r="Q4021" s="14" t="str">
        <f>HYPERLINK("https://ceds.ed.gov/elementComment.aspx?elementName=Assessment Score Metric Type &amp;elementID=17368", "Click here to submit comment")</f>
        <v>Click here to submit comment</v>
      </c>
      <c r="R4021" s="14">
        <v>48515</v>
      </c>
    </row>
    <row r="4022" spans="1:18" ht="135" x14ac:dyDescent="0.25">
      <c r="A4022" s="14" t="s">
        <v>9103</v>
      </c>
      <c r="B4022" s="14" t="s">
        <v>9142</v>
      </c>
      <c r="C4022" s="14"/>
      <c r="D4022" s="14" t="s">
        <v>8531</v>
      </c>
      <c r="E4022" s="14" t="s">
        <v>1415</v>
      </c>
      <c r="F4022" s="14" t="s">
        <v>1416</v>
      </c>
      <c r="G4022" s="14" t="s">
        <v>37</v>
      </c>
      <c r="H4022" s="14"/>
      <c r="I4022" s="14"/>
      <c r="J4022" s="14" t="s">
        <v>135</v>
      </c>
      <c r="K4022" s="14"/>
      <c r="L4022" s="14" t="s">
        <v>1417</v>
      </c>
      <c r="M4022" s="14" t="s">
        <v>1418</v>
      </c>
      <c r="N4022" s="14"/>
      <c r="O4022" s="14" t="s">
        <v>1419</v>
      </c>
      <c r="P4022" s="14" t="str">
        <f>HYPERLINK("https://ceds.ed.gov/cedselementdetails.aspx?termid=17971")</f>
        <v>https://ceds.ed.gov/cedselementdetails.aspx?termid=17971</v>
      </c>
      <c r="Q4022" s="14" t="str">
        <f>HYPERLINK("https://ceds.ed.gov/elementComment.aspx?elementName=Assessment Result Date Updated &amp;elementID=17971", "Click here to submit comment")</f>
        <v>Click here to submit comment</v>
      </c>
      <c r="R4022" s="14">
        <v>48422</v>
      </c>
    </row>
    <row r="4023" spans="1:18" ht="45" x14ac:dyDescent="0.25">
      <c r="A4023" s="14" t="s">
        <v>9103</v>
      </c>
      <c r="B4023" s="14" t="s">
        <v>9142</v>
      </c>
      <c r="C4023" s="14"/>
      <c r="D4023" s="14" t="s">
        <v>8531</v>
      </c>
      <c r="E4023" s="14" t="s">
        <v>1411</v>
      </c>
      <c r="F4023" s="14" t="s">
        <v>1412</v>
      </c>
      <c r="G4023" s="14" t="s">
        <v>37</v>
      </c>
      <c r="H4023" s="14"/>
      <c r="I4023" s="14"/>
      <c r="J4023" s="14" t="s">
        <v>135</v>
      </c>
      <c r="K4023" s="14"/>
      <c r="L4023" s="14"/>
      <c r="M4023" s="14" t="s">
        <v>1413</v>
      </c>
      <c r="N4023" s="14"/>
      <c r="O4023" s="14" t="s">
        <v>1414</v>
      </c>
      <c r="P4023" s="14" t="str">
        <f>HYPERLINK("https://ceds.ed.gov/cedselementdetails.aspx?termid=17972")</f>
        <v>https://ceds.ed.gov/cedselementdetails.aspx?termid=17972</v>
      </c>
      <c r="Q4023" s="14" t="str">
        <f>HYPERLINK("https://ceds.ed.gov/elementComment.aspx?elementName=Assessment Result Date Created &amp;elementID=17972", "Click here to submit comment")</f>
        <v>Click here to submit comment</v>
      </c>
      <c r="R4023" s="14">
        <v>48423</v>
      </c>
    </row>
    <row r="4024" spans="1:18" ht="120" x14ac:dyDescent="0.25">
      <c r="A4024" s="14" t="s">
        <v>9103</v>
      </c>
      <c r="B4024" s="14" t="s">
        <v>9142</v>
      </c>
      <c r="C4024" s="14"/>
      <c r="D4024" s="14" t="s">
        <v>8531</v>
      </c>
      <c r="E4024" s="14" t="s">
        <v>1433</v>
      </c>
      <c r="F4024" s="14" t="s">
        <v>1434</v>
      </c>
      <c r="G4024" s="14" t="s">
        <v>37</v>
      </c>
      <c r="H4024" s="14"/>
      <c r="I4024" s="14"/>
      <c r="J4024" s="14" t="s">
        <v>382</v>
      </c>
      <c r="K4024" s="14"/>
      <c r="L4024" s="14"/>
      <c r="M4024" s="14" t="s">
        <v>1435</v>
      </c>
      <c r="N4024" s="14"/>
      <c r="O4024" s="14" t="s">
        <v>1436</v>
      </c>
      <c r="P4024" s="14" t="str">
        <f>HYPERLINK("https://ceds.ed.gov/cedselementdetails.aspx?termid=18185")</f>
        <v>https://ceds.ed.gov/cedselementdetails.aspx?termid=18185</v>
      </c>
      <c r="Q4024" s="14" t="str">
        <f>HYPERLINK("https://ceds.ed.gov/elementComment.aspx?elementName=Assessment Result Diagnostic Statement &amp;elementID=18185", "Click here to submit comment")</f>
        <v>Click here to submit comment</v>
      </c>
      <c r="R4024" s="14">
        <v>49844</v>
      </c>
    </row>
    <row r="4025" spans="1:18" ht="60" x14ac:dyDescent="0.25">
      <c r="A4025" s="14" t="s">
        <v>9103</v>
      </c>
      <c r="B4025" s="14" t="s">
        <v>9142</v>
      </c>
      <c r="C4025" s="14"/>
      <c r="D4025" s="14" t="s">
        <v>8531</v>
      </c>
      <c r="E4025" s="14" t="s">
        <v>1450</v>
      </c>
      <c r="F4025" s="14" t="s">
        <v>1451</v>
      </c>
      <c r="G4025" s="8" t="s">
        <v>9145</v>
      </c>
      <c r="H4025" s="14" t="s">
        <v>1455</v>
      </c>
      <c r="I4025" s="14"/>
      <c r="J4025" s="14"/>
      <c r="K4025" s="14"/>
      <c r="L4025" s="14"/>
      <c r="M4025" s="14" t="s">
        <v>1453</v>
      </c>
      <c r="N4025" s="14"/>
      <c r="O4025" s="14" t="s">
        <v>1454</v>
      </c>
      <c r="P4025" s="14" t="str">
        <f>HYPERLINK("https://ceds.ed.gov/cedselementdetails.aspx?termid=17564")</f>
        <v>https://ceds.ed.gov/cedselementdetails.aspx?termid=17564</v>
      </c>
      <c r="Q4025" s="14" t="str">
        <f>HYPERLINK("https://ceds.ed.gov/elementComment.aspx?elementName=Assessment Result Pretest Outcome &amp;elementID=17564", "Click here to submit comment")</f>
        <v>Click here to submit comment</v>
      </c>
      <c r="R4025" s="14">
        <v>48224</v>
      </c>
    </row>
    <row r="4026" spans="1:18" ht="60" x14ac:dyDescent="0.25">
      <c r="A4026" s="14" t="s">
        <v>9103</v>
      </c>
      <c r="B4026" s="14" t="s">
        <v>9142</v>
      </c>
      <c r="C4026" s="14"/>
      <c r="D4026" s="14" t="s">
        <v>8531</v>
      </c>
      <c r="E4026" s="14" t="s">
        <v>3542</v>
      </c>
      <c r="F4026" s="14" t="s">
        <v>3543</v>
      </c>
      <c r="G4026" s="14" t="s">
        <v>37</v>
      </c>
      <c r="H4026" s="14"/>
      <c r="I4026" s="14"/>
      <c r="J4026" s="14" t="s">
        <v>129</v>
      </c>
      <c r="K4026" s="14"/>
      <c r="L4026" s="14"/>
      <c r="M4026" s="14" t="s">
        <v>3544</v>
      </c>
      <c r="N4026" s="14"/>
      <c r="O4026" s="14" t="s">
        <v>3545</v>
      </c>
      <c r="P4026" s="14" t="str">
        <f>HYPERLINK("https://ceds.ed.gov/cedselementdetails.aspx?termid=18011")</f>
        <v>https://ceds.ed.gov/cedselementdetails.aspx?termid=18011</v>
      </c>
      <c r="Q4026" s="14" t="str">
        <f>HYPERLINK("https://ceds.ed.gov/elementComment.aspx?elementName=Diagnostic Statement Source &amp;elementID=18011", "Click here to submit comment")</f>
        <v>Click here to submit comment</v>
      </c>
      <c r="R4026" s="14">
        <v>48447</v>
      </c>
    </row>
    <row r="4027" spans="1:18" ht="60" x14ac:dyDescent="0.25">
      <c r="A4027" s="14" t="s">
        <v>9103</v>
      </c>
      <c r="B4027" s="14" t="s">
        <v>9142</v>
      </c>
      <c r="C4027" s="14"/>
      <c r="D4027" s="14" t="s">
        <v>8531</v>
      </c>
      <c r="E4027" s="14" t="s">
        <v>5524</v>
      </c>
      <c r="F4027" s="14" t="s">
        <v>5525</v>
      </c>
      <c r="G4027" s="14" t="s">
        <v>37</v>
      </c>
      <c r="H4027" s="14" t="s">
        <v>727</v>
      </c>
      <c r="I4027" s="14"/>
      <c r="J4027" s="14" t="s">
        <v>874</v>
      </c>
      <c r="K4027" s="14"/>
      <c r="L4027" s="14"/>
      <c r="M4027" s="14" t="s">
        <v>5526</v>
      </c>
      <c r="N4027" s="14"/>
      <c r="O4027" s="14" t="s">
        <v>5527</v>
      </c>
      <c r="P4027" s="14" t="str">
        <f>HYPERLINK("https://ceds.ed.gov/cedselementdetails.aspx?termid=17369")</f>
        <v>https://ceds.ed.gov/cedselementdetails.aspx?termid=17369</v>
      </c>
      <c r="Q4027" s="14" t="str">
        <f>HYPERLINK("https://ceds.ed.gov/elementComment.aspx?elementName=Instructional Recommendation &amp;elementID=17369", "Click here to submit comment")</f>
        <v>Click here to submit comment</v>
      </c>
      <c r="R4027" s="14">
        <v>50027</v>
      </c>
    </row>
    <row r="4028" spans="1:18" ht="195" x14ac:dyDescent="0.25">
      <c r="A4028" s="14" t="s">
        <v>9103</v>
      </c>
      <c r="B4028" s="14" t="s">
        <v>9142</v>
      </c>
      <c r="C4028" s="14" t="s">
        <v>9146</v>
      </c>
      <c r="D4028" s="14" t="s">
        <v>8531</v>
      </c>
      <c r="E4028" s="14" t="s">
        <v>4667</v>
      </c>
      <c r="F4028" s="14" t="s">
        <v>4668</v>
      </c>
      <c r="G4028" s="14" t="s">
        <v>37</v>
      </c>
      <c r="H4028" s="14" t="s">
        <v>4673</v>
      </c>
      <c r="I4028" s="14"/>
      <c r="J4028" s="14" t="s">
        <v>1468</v>
      </c>
      <c r="K4028" s="14"/>
      <c r="L4028" s="14" t="s">
        <v>4670</v>
      </c>
      <c r="M4028" s="14" t="s">
        <v>4671</v>
      </c>
      <c r="N4028" s="14"/>
      <c r="O4028" s="14" t="s">
        <v>4672</v>
      </c>
      <c r="P4028" s="14" t="str">
        <f>HYPERLINK("https://ceds.ed.gov/cedselementdetails.aspx?termid=17115")</f>
        <v>https://ceds.ed.gov/cedselementdetails.aspx?termid=17115</v>
      </c>
      <c r="Q4028" s="14" t="str">
        <f>HYPERLINK("https://ceds.ed.gov/elementComment.aspx?elementName=First Name &amp;elementID=17115", "Click here to submit comment")</f>
        <v>Click here to submit comment</v>
      </c>
      <c r="R4028" s="14">
        <v>50860</v>
      </c>
    </row>
    <row r="4029" spans="1:18" ht="195" customHeight="1" x14ac:dyDescent="0.25">
      <c r="A4029" s="19" t="s">
        <v>9103</v>
      </c>
      <c r="B4029" s="19" t="s">
        <v>9142</v>
      </c>
      <c r="C4029" s="19" t="s">
        <v>9146</v>
      </c>
      <c r="D4029" s="19" t="s">
        <v>8531</v>
      </c>
      <c r="E4029" s="19" t="s">
        <v>5727</v>
      </c>
      <c r="F4029" s="19" t="s">
        <v>5728</v>
      </c>
      <c r="G4029" s="19" t="s">
        <v>37</v>
      </c>
      <c r="H4029" s="19" t="s">
        <v>4673</v>
      </c>
      <c r="I4029" s="19"/>
      <c r="J4029" s="19" t="s">
        <v>1468</v>
      </c>
      <c r="K4029" s="19"/>
      <c r="L4029" s="14" t="s">
        <v>4746</v>
      </c>
      <c r="M4029" s="19" t="s">
        <v>5729</v>
      </c>
      <c r="N4029" s="19" t="s">
        <v>5730</v>
      </c>
      <c r="O4029" s="19" t="s">
        <v>5731</v>
      </c>
      <c r="P4029" s="19" t="str">
        <f>HYPERLINK("https://ceds.ed.gov/cedselementdetails.aspx?termid=17172")</f>
        <v>https://ceds.ed.gov/cedselementdetails.aspx?termid=17172</v>
      </c>
      <c r="Q4029" s="19" t="str">
        <f>HYPERLINK("https://ceds.ed.gov/elementComment.aspx?elementName=Last or Surname &amp;elementID=17172", "Click here to submit comment")</f>
        <v>Click here to submit comment</v>
      </c>
      <c r="R4029" s="19">
        <v>50864</v>
      </c>
    </row>
    <row r="4030" spans="1:18" ht="90" x14ac:dyDescent="0.25">
      <c r="A4030" s="21"/>
      <c r="B4030" s="21"/>
      <c r="C4030" s="21"/>
      <c r="D4030" s="21"/>
      <c r="E4030" s="21"/>
      <c r="F4030" s="21"/>
      <c r="G4030" s="21"/>
      <c r="H4030" s="21"/>
      <c r="I4030" s="21"/>
      <c r="J4030" s="21"/>
      <c r="K4030" s="21"/>
      <c r="L4030" s="14" t="s">
        <v>4750</v>
      </c>
      <c r="M4030" s="21"/>
      <c r="N4030" s="21"/>
      <c r="O4030" s="21"/>
      <c r="P4030" s="21"/>
      <c r="Q4030" s="21"/>
      <c r="R4030" s="21"/>
    </row>
    <row r="4031" spans="1:18" ht="105" x14ac:dyDescent="0.25">
      <c r="A4031" s="19" t="s">
        <v>9103</v>
      </c>
      <c r="B4031" s="19" t="s">
        <v>9142</v>
      </c>
      <c r="C4031" s="19" t="s">
        <v>9146</v>
      </c>
      <c r="D4031" s="19" t="s">
        <v>8531</v>
      </c>
      <c r="E4031" s="19" t="s">
        <v>6711</v>
      </c>
      <c r="F4031" s="19" t="s">
        <v>6712</v>
      </c>
      <c r="G4031" s="19" t="s">
        <v>37</v>
      </c>
      <c r="H4031" s="19"/>
      <c r="I4031" s="19"/>
      <c r="J4031" s="19" t="s">
        <v>149</v>
      </c>
      <c r="K4031" s="19"/>
      <c r="L4031" s="14" t="s">
        <v>150</v>
      </c>
      <c r="M4031" s="19" t="s">
        <v>6713</v>
      </c>
      <c r="N4031" s="19"/>
      <c r="O4031" s="19" t="s">
        <v>6714</v>
      </c>
      <c r="P4031" s="19" t="str">
        <f>HYPERLINK("https://ceds.ed.gov/cedselementdetails.aspx?termid=18551")</f>
        <v>https://ceds.ed.gov/cedselementdetails.aspx?termid=18551</v>
      </c>
      <c r="Q4031" s="19" t="str">
        <f>HYPERLINK("https://ceds.ed.gov/elementComment.aspx?elementName=Person Identifier &amp;elementID=18551", "Click here to submit comment")</f>
        <v>Click here to submit comment</v>
      </c>
      <c r="R4031" s="19">
        <v>50911</v>
      </c>
    </row>
    <row r="4032" spans="1:18" x14ac:dyDescent="0.25">
      <c r="A4032" s="20"/>
      <c r="B4032" s="20"/>
      <c r="C4032" s="20"/>
      <c r="D4032" s="20"/>
      <c r="E4032" s="20"/>
      <c r="F4032" s="20"/>
      <c r="G4032" s="20"/>
      <c r="H4032" s="20"/>
      <c r="I4032" s="20"/>
      <c r="J4032" s="20"/>
      <c r="K4032" s="20"/>
      <c r="L4032" s="14"/>
      <c r="M4032" s="20"/>
      <c r="N4032" s="20"/>
      <c r="O4032" s="20"/>
      <c r="P4032" s="20"/>
      <c r="Q4032" s="20"/>
      <c r="R4032" s="20"/>
    </row>
    <row r="4033" spans="1:18" ht="90" x14ac:dyDescent="0.25">
      <c r="A4033" s="21"/>
      <c r="B4033" s="21"/>
      <c r="C4033" s="21"/>
      <c r="D4033" s="21"/>
      <c r="E4033" s="21"/>
      <c r="F4033" s="21"/>
      <c r="G4033" s="21"/>
      <c r="H4033" s="21"/>
      <c r="I4033" s="21"/>
      <c r="J4033" s="21"/>
      <c r="K4033" s="21"/>
      <c r="L4033" s="14" t="s">
        <v>153</v>
      </c>
      <c r="M4033" s="21"/>
      <c r="N4033" s="21"/>
      <c r="O4033" s="21"/>
      <c r="P4033" s="21"/>
      <c r="Q4033" s="21"/>
      <c r="R4033" s="21"/>
    </row>
    <row r="4034" spans="1:18" ht="375" x14ac:dyDescent="0.25">
      <c r="A4034" s="14" t="s">
        <v>9103</v>
      </c>
      <c r="B4034" s="14" t="s">
        <v>9142</v>
      </c>
      <c r="C4034" s="14" t="s">
        <v>9146</v>
      </c>
      <c r="D4034" s="14" t="s">
        <v>8531</v>
      </c>
      <c r="E4034" s="14" t="s">
        <v>6705</v>
      </c>
      <c r="F4034" s="14" t="s">
        <v>6706</v>
      </c>
      <c r="G4034" s="8" t="s">
        <v>8676</v>
      </c>
      <c r="H4034" s="14"/>
      <c r="I4034" s="14"/>
      <c r="J4034" s="14"/>
      <c r="K4034" s="14"/>
      <c r="L4034" s="14"/>
      <c r="M4034" s="14" t="s">
        <v>6709</v>
      </c>
      <c r="N4034" s="14"/>
      <c r="O4034" s="14" t="s">
        <v>6710</v>
      </c>
      <c r="P4034" s="14" t="str">
        <f>HYPERLINK("https://ceds.ed.gov/cedselementdetails.aspx?termid=18550")</f>
        <v>https://ceds.ed.gov/cedselementdetails.aspx?termid=18550</v>
      </c>
      <c r="Q4034" s="14" t="str">
        <f>HYPERLINK("https://ceds.ed.gov/elementComment.aspx?elementName=Person Identification System &amp;elementID=18550", "Click here to submit comment")</f>
        <v>Click here to submit comment</v>
      </c>
      <c r="R4034" s="14">
        <v>50906</v>
      </c>
    </row>
    <row r="4035" spans="1:18" ht="105" x14ac:dyDescent="0.25">
      <c r="A4035" s="19" t="s">
        <v>9103</v>
      </c>
      <c r="B4035" s="19" t="s">
        <v>9142</v>
      </c>
      <c r="C4035" s="19" t="s">
        <v>9141</v>
      </c>
      <c r="D4035" s="19" t="s">
        <v>8531</v>
      </c>
      <c r="E4035" s="19" t="s">
        <v>1301</v>
      </c>
      <c r="F4035" s="19" t="s">
        <v>1302</v>
      </c>
      <c r="G4035" s="19" t="s">
        <v>37</v>
      </c>
      <c r="H4035" s="19" t="s">
        <v>908</v>
      </c>
      <c r="I4035" s="19"/>
      <c r="J4035" s="19" t="s">
        <v>149</v>
      </c>
      <c r="K4035" s="19"/>
      <c r="L4035" s="14" t="s">
        <v>150</v>
      </c>
      <c r="M4035" s="19" t="s">
        <v>1303</v>
      </c>
      <c r="N4035" s="19"/>
      <c r="O4035" s="19" t="s">
        <v>1304</v>
      </c>
      <c r="P4035" s="19" t="str">
        <f>HYPERLINK("https://ceds.ed.gov/cedselementdetails.aspx?termid=17693")</f>
        <v>https://ceds.ed.gov/cedselementdetails.aspx?termid=17693</v>
      </c>
      <c r="Q4035" s="19" t="str">
        <f>HYPERLINK("https://ceds.ed.gov/elementComment.aspx?elementName=Assessment Performance Level Identifier &amp;elementID=17693", "Click here to submit comment")</f>
        <v>Click here to submit comment</v>
      </c>
      <c r="R4035" s="19">
        <v>51700</v>
      </c>
    </row>
    <row r="4036" spans="1:18" x14ac:dyDescent="0.25">
      <c r="A4036" s="20"/>
      <c r="B4036" s="20"/>
      <c r="C4036" s="20"/>
      <c r="D4036" s="20"/>
      <c r="E4036" s="20"/>
      <c r="F4036" s="20"/>
      <c r="G4036" s="20"/>
      <c r="H4036" s="20"/>
      <c r="I4036" s="20"/>
      <c r="J4036" s="20"/>
      <c r="K4036" s="20"/>
      <c r="L4036" s="14"/>
      <c r="M4036" s="20"/>
      <c r="N4036" s="20"/>
      <c r="O4036" s="20"/>
      <c r="P4036" s="20"/>
      <c r="Q4036" s="20"/>
      <c r="R4036" s="20"/>
    </row>
    <row r="4037" spans="1:18" ht="90" x14ac:dyDescent="0.25">
      <c r="A4037" s="21"/>
      <c r="B4037" s="21"/>
      <c r="C4037" s="21"/>
      <c r="D4037" s="21"/>
      <c r="E4037" s="21"/>
      <c r="F4037" s="21"/>
      <c r="G4037" s="21"/>
      <c r="H4037" s="21"/>
      <c r="I4037" s="21"/>
      <c r="J4037" s="21"/>
      <c r="K4037" s="21"/>
      <c r="L4037" s="14" t="s">
        <v>153</v>
      </c>
      <c r="M4037" s="21"/>
      <c r="N4037" s="21"/>
      <c r="O4037" s="21"/>
      <c r="P4037" s="21"/>
      <c r="Q4037" s="21"/>
      <c r="R4037" s="21"/>
    </row>
    <row r="4038" spans="1:18" ht="45" x14ac:dyDescent="0.25">
      <c r="A4038" s="14" t="s">
        <v>9103</v>
      </c>
      <c r="B4038" s="14" t="s">
        <v>9142</v>
      </c>
      <c r="C4038" s="14" t="s">
        <v>9141</v>
      </c>
      <c r="D4038" s="14" t="s">
        <v>8531</v>
      </c>
      <c r="E4038" s="14" t="s">
        <v>1305</v>
      </c>
      <c r="F4038" s="14" t="s">
        <v>1306</v>
      </c>
      <c r="G4038" s="14" t="s">
        <v>37</v>
      </c>
      <c r="H4038" s="14" t="s">
        <v>908</v>
      </c>
      <c r="I4038" s="14"/>
      <c r="J4038" s="14" t="s">
        <v>1307</v>
      </c>
      <c r="K4038" s="14"/>
      <c r="L4038" s="14"/>
      <c r="M4038" s="14" t="s">
        <v>1308</v>
      </c>
      <c r="N4038" s="14"/>
      <c r="O4038" s="14" t="s">
        <v>1309</v>
      </c>
      <c r="P4038" s="14" t="str">
        <f>HYPERLINK("https://ceds.ed.gov/cedselementdetails.aspx?termid=17694")</f>
        <v>https://ceds.ed.gov/cedselementdetails.aspx?termid=17694</v>
      </c>
      <c r="Q4038" s="14" t="str">
        <f>HYPERLINK("https://ceds.ed.gov/elementComment.aspx?elementName=Assessment Performance Level Label &amp;elementID=17694", "Click here to submit comment")</f>
        <v>Click here to submit comment</v>
      </c>
      <c r="R4038" s="14">
        <v>51701</v>
      </c>
    </row>
    <row r="4039" spans="1:18" ht="45" x14ac:dyDescent="0.25">
      <c r="A4039" s="14" t="s">
        <v>9103</v>
      </c>
      <c r="B4039" s="14" t="s">
        <v>9142</v>
      </c>
      <c r="C4039" s="14" t="s">
        <v>9141</v>
      </c>
      <c r="D4039" s="14" t="s">
        <v>8531</v>
      </c>
      <c r="E4039" s="14" t="s">
        <v>1310</v>
      </c>
      <c r="F4039" s="14" t="s">
        <v>1311</v>
      </c>
      <c r="G4039" s="14" t="s">
        <v>37</v>
      </c>
      <c r="H4039" s="14" t="s">
        <v>106</v>
      </c>
      <c r="I4039" s="14"/>
      <c r="J4039" s="14" t="s">
        <v>97</v>
      </c>
      <c r="K4039" s="14"/>
      <c r="L4039" s="14"/>
      <c r="M4039" s="14" t="s">
        <v>1312</v>
      </c>
      <c r="N4039" s="14"/>
      <c r="O4039" s="14" t="s">
        <v>1313</v>
      </c>
      <c r="P4039" s="14" t="str">
        <f>HYPERLINK("https://ceds.ed.gov/cedselementdetails.aspx?termid=17408")</f>
        <v>https://ceds.ed.gov/cedselementdetails.aspx?termid=17408</v>
      </c>
      <c r="Q4039" s="14" t="str">
        <f>HYPERLINK("https://ceds.ed.gov/elementComment.aspx?elementName=Assessment Performance Level Lower Cut Score &amp;elementID=17408", "Click here to submit comment")</f>
        <v>Click here to submit comment</v>
      </c>
      <c r="R4039" s="14">
        <v>51698</v>
      </c>
    </row>
    <row r="4040" spans="1:18" ht="45" x14ac:dyDescent="0.25">
      <c r="A4040" s="14" t="s">
        <v>9103</v>
      </c>
      <c r="B4040" s="14" t="s">
        <v>9142</v>
      </c>
      <c r="C4040" s="14" t="s">
        <v>9141</v>
      </c>
      <c r="D4040" s="14" t="s">
        <v>8531</v>
      </c>
      <c r="E4040" s="14" t="s">
        <v>1319</v>
      </c>
      <c r="F4040" s="14" t="s">
        <v>1320</v>
      </c>
      <c r="G4040" s="14" t="s">
        <v>37</v>
      </c>
      <c r="H4040" s="14" t="s">
        <v>106</v>
      </c>
      <c r="I4040" s="14"/>
      <c r="J4040" s="14" t="s">
        <v>97</v>
      </c>
      <c r="K4040" s="14"/>
      <c r="L4040" s="14"/>
      <c r="M4040" s="14" t="s">
        <v>1321</v>
      </c>
      <c r="N4040" s="14"/>
      <c r="O4040" s="14" t="s">
        <v>1322</v>
      </c>
      <c r="P4040" s="14" t="str">
        <f>HYPERLINK("https://ceds.ed.gov/cedselementdetails.aspx?termid=17409")</f>
        <v>https://ceds.ed.gov/cedselementdetails.aspx?termid=17409</v>
      </c>
      <c r="Q4040" s="14" t="str">
        <f>HYPERLINK("https://ceds.ed.gov/elementComment.aspx?elementName=Assessment Performance Level Upper Cut Score &amp;elementID=17409", "Click here to submit comment")</f>
        <v>Click here to submit comment</v>
      </c>
      <c r="R4040" s="14">
        <v>51699</v>
      </c>
    </row>
    <row r="4041" spans="1:18" ht="409.5" x14ac:dyDescent="0.25">
      <c r="A4041" s="14" t="s">
        <v>9103</v>
      </c>
      <c r="B4041" s="14" t="s">
        <v>9142</v>
      </c>
      <c r="C4041" s="14" t="s">
        <v>9141</v>
      </c>
      <c r="D4041" s="14" t="s">
        <v>8531</v>
      </c>
      <c r="E4041" s="14" t="s">
        <v>1314</v>
      </c>
      <c r="F4041" s="14" t="s">
        <v>1315</v>
      </c>
      <c r="G4041" s="8" t="s">
        <v>8950</v>
      </c>
      <c r="H4041" s="14" t="s">
        <v>106</v>
      </c>
      <c r="I4041" s="14"/>
      <c r="J4041" s="14" t="s">
        <v>97</v>
      </c>
      <c r="K4041" s="14"/>
      <c r="L4041" s="14"/>
      <c r="M4041" s="14" t="s">
        <v>1317</v>
      </c>
      <c r="N4041" s="14"/>
      <c r="O4041" s="14" t="s">
        <v>1318</v>
      </c>
      <c r="P4041" s="14" t="str">
        <f>HYPERLINK("https://ceds.ed.gov/cedselementdetails.aspx?termid=17407")</f>
        <v>https://ceds.ed.gov/cedselementdetails.aspx?termid=17407</v>
      </c>
      <c r="Q4041" s="14" t="str">
        <f>HYPERLINK("https://ceds.ed.gov/elementComment.aspx?elementName=Assessment Performance Level Score Metric &amp;elementID=17407", "Click here to submit comment")</f>
        <v>Click here to submit comment</v>
      </c>
      <c r="R4041" s="14">
        <v>51697</v>
      </c>
    </row>
    <row r="4042" spans="1:18" ht="45" x14ac:dyDescent="0.25">
      <c r="A4042" s="14" t="s">
        <v>9103</v>
      </c>
      <c r="B4042" s="14" t="s">
        <v>9142</v>
      </c>
      <c r="C4042" s="14" t="s">
        <v>9141</v>
      </c>
      <c r="D4042" s="14" t="s">
        <v>8531</v>
      </c>
      <c r="E4042" s="14" t="s">
        <v>1296</v>
      </c>
      <c r="F4042" s="14" t="s">
        <v>1297</v>
      </c>
      <c r="G4042" s="14" t="s">
        <v>37</v>
      </c>
      <c r="H4042" s="14"/>
      <c r="I4042" s="14"/>
      <c r="J4042" s="14" t="s">
        <v>382</v>
      </c>
      <c r="K4042" s="14"/>
      <c r="L4042" s="14"/>
      <c r="M4042" s="14" t="s">
        <v>1299</v>
      </c>
      <c r="N4042" s="14"/>
      <c r="O4042" s="14" t="s">
        <v>1300</v>
      </c>
      <c r="P4042" s="14" t="str">
        <f>HYPERLINK("https://ceds.ed.gov/cedselementdetails.aspx?termid=18184")</f>
        <v>https://ceds.ed.gov/cedselementdetails.aspx?termid=18184</v>
      </c>
      <c r="Q4042" s="14" t="str">
        <f>HYPERLINK("https://ceds.ed.gov/elementComment.aspx?elementName=Assessment Performance Level Descriptive Feedback &amp;elementID=18184", "Click here to submit comment")</f>
        <v>Click here to submit comment</v>
      </c>
      <c r="R4042" s="14">
        <v>51702</v>
      </c>
    </row>
    <row r="4043" spans="1:18" ht="75" x14ac:dyDescent="0.25">
      <c r="A4043" s="14" t="s">
        <v>9103</v>
      </c>
      <c r="B4043" s="14" t="s">
        <v>9147</v>
      </c>
      <c r="C4043" s="14"/>
      <c r="D4043" s="14" t="s">
        <v>8531</v>
      </c>
      <c r="E4043" s="14" t="s">
        <v>1399</v>
      </c>
      <c r="F4043" s="14" t="s">
        <v>1400</v>
      </c>
      <c r="G4043" s="14" t="s">
        <v>37</v>
      </c>
      <c r="H4043" s="14"/>
      <c r="I4043" s="14"/>
      <c r="J4043" s="14" t="s">
        <v>129</v>
      </c>
      <c r="K4043" s="14"/>
      <c r="L4043" s="14" t="s">
        <v>1401</v>
      </c>
      <c r="M4043" s="14" t="s">
        <v>1402</v>
      </c>
      <c r="N4043" s="14"/>
      <c r="O4043" s="14" t="s">
        <v>1403</v>
      </c>
      <c r="P4043" s="14" t="str">
        <f>HYPERLINK("https://ceds.ed.gov/cedselementdetails.aspx?termid=18061")</f>
        <v>https://ceds.ed.gov/cedselementdetails.aspx?termid=18061</v>
      </c>
      <c r="Q4043" s="14" t="str">
        <f>HYPERLINK("https://ceds.ed.gov/elementComment.aspx?elementName=Assessment Registration Testing Indicator &amp;elementID=18061", "Click here to submit comment")</f>
        <v>Click here to submit comment</v>
      </c>
      <c r="R4043" s="14">
        <v>48496</v>
      </c>
    </row>
    <row r="4044" spans="1:18" ht="165" x14ac:dyDescent="0.25">
      <c r="A4044" s="14" t="s">
        <v>9103</v>
      </c>
      <c r="B4044" s="14" t="s">
        <v>9147</v>
      </c>
      <c r="C4044" s="14"/>
      <c r="D4044" s="14" t="s">
        <v>8531</v>
      </c>
      <c r="E4044" s="14" t="s">
        <v>704</v>
      </c>
      <c r="F4044" s="14" t="s">
        <v>705</v>
      </c>
      <c r="G4044" s="8" t="s">
        <v>9108</v>
      </c>
      <c r="H4044" s="14" t="s">
        <v>710</v>
      </c>
      <c r="I4044" s="14"/>
      <c r="J4044" s="14"/>
      <c r="K4044" s="14"/>
      <c r="L4044" s="14"/>
      <c r="M4044" s="14" t="s">
        <v>708</v>
      </c>
      <c r="N4044" s="14"/>
      <c r="O4044" s="14" t="s">
        <v>709</v>
      </c>
      <c r="P4044" s="14" t="str">
        <f>HYPERLINK("https://ceds.ed.gov/cedselementdetails.aspx?termid=17158")</f>
        <v>https://ceds.ed.gov/cedselementdetails.aspx?termid=17158</v>
      </c>
      <c r="Q4044" s="14" t="str">
        <f>HYPERLINK("https://ceds.ed.gov/elementComment.aspx?elementName=Assessment Identification System &amp;elementID=17158", "Click here to submit comment")</f>
        <v>Click here to submit comment</v>
      </c>
      <c r="R4044" s="14">
        <v>50785</v>
      </c>
    </row>
    <row r="4045" spans="1:18" ht="45" x14ac:dyDescent="0.25">
      <c r="A4045" s="14" t="s">
        <v>9103</v>
      </c>
      <c r="B4045" s="14" t="s">
        <v>9147</v>
      </c>
      <c r="C4045" s="14"/>
      <c r="D4045" s="14" t="s">
        <v>8531</v>
      </c>
      <c r="E4045" s="14" t="s">
        <v>1359</v>
      </c>
      <c r="F4045" s="14" t="s">
        <v>1360</v>
      </c>
      <c r="G4045" s="14" t="s">
        <v>37</v>
      </c>
      <c r="H4045" s="14"/>
      <c r="I4045" s="14"/>
      <c r="J4045" s="14" t="s">
        <v>941</v>
      </c>
      <c r="K4045" s="14"/>
      <c r="L4045" s="14"/>
      <c r="M4045" s="14" t="s">
        <v>1361</v>
      </c>
      <c r="N4045" s="14"/>
      <c r="O4045" s="14" t="s">
        <v>1362</v>
      </c>
      <c r="P4045" s="14" t="str">
        <f>HYPERLINK("https://ceds.ed.gov/cedselementdetails.aspx?termid=18019")</f>
        <v>https://ceds.ed.gov/cedselementdetails.aspx?termid=18019</v>
      </c>
      <c r="Q4045" s="14" t="str">
        <f>HYPERLINK("https://ceds.ed.gov/elementComment.aspx?elementName=Assessment Registration Creation Date &amp;elementID=18019", "Click here to submit comment")</f>
        <v>Click here to submit comment</v>
      </c>
      <c r="R4045" s="14">
        <v>48455</v>
      </c>
    </row>
    <row r="4046" spans="1:18" ht="75" x14ac:dyDescent="0.25">
      <c r="A4046" s="14" t="s">
        <v>9103</v>
      </c>
      <c r="B4046" s="14" t="s">
        <v>9147</v>
      </c>
      <c r="C4046" s="14"/>
      <c r="D4046" s="14" t="s">
        <v>8531</v>
      </c>
      <c r="E4046" s="14" t="s">
        <v>1386</v>
      </c>
      <c r="F4046" s="14" t="s">
        <v>1387</v>
      </c>
      <c r="G4046" s="14" t="s">
        <v>24</v>
      </c>
      <c r="H4046" s="14"/>
      <c r="I4046" s="14"/>
      <c r="J4046" s="14"/>
      <c r="K4046" s="14"/>
      <c r="L4046" s="14"/>
      <c r="M4046" s="14" t="s">
        <v>1388</v>
      </c>
      <c r="N4046" s="14"/>
      <c r="O4046" s="14" t="s">
        <v>1389</v>
      </c>
      <c r="P4046" s="14" t="str">
        <f>HYPERLINK("https://ceds.ed.gov/cedselementdetails.aspx?termid=18018")</f>
        <v>https://ceds.ed.gov/cedselementdetails.aspx?termid=18018</v>
      </c>
      <c r="Q4046" s="14" t="str">
        <f>HYPERLINK("https://ceds.ed.gov/elementComment.aspx?elementName=Assessment Registration Retest Indicator &amp;elementID=18018", "Click here to submit comment")</f>
        <v>Click here to submit comment</v>
      </c>
      <c r="R4046" s="14">
        <v>48454</v>
      </c>
    </row>
    <row r="4047" spans="1:18" ht="75" x14ac:dyDescent="0.25">
      <c r="A4047" s="19" t="s">
        <v>9103</v>
      </c>
      <c r="B4047" s="19" t="s">
        <v>9147</v>
      </c>
      <c r="C4047" s="19"/>
      <c r="D4047" s="19" t="s">
        <v>8531</v>
      </c>
      <c r="E4047" s="19" t="s">
        <v>1394</v>
      </c>
      <c r="F4047" s="19" t="s">
        <v>1395</v>
      </c>
      <c r="G4047" s="19" t="s">
        <v>37</v>
      </c>
      <c r="H4047" s="19"/>
      <c r="I4047" s="19"/>
      <c r="J4047" s="19" t="s">
        <v>149</v>
      </c>
      <c r="K4047" s="19"/>
      <c r="L4047" s="14" t="s">
        <v>1396</v>
      </c>
      <c r="M4047" s="19" t="s">
        <v>1397</v>
      </c>
      <c r="N4047" s="19"/>
      <c r="O4047" s="19" t="s">
        <v>1398</v>
      </c>
      <c r="P4047" s="19" t="str">
        <f>HYPERLINK("https://ceds.ed.gov/cedselementdetails.aspx?termid=18119")</f>
        <v>https://ceds.ed.gov/cedselementdetails.aspx?termid=18119</v>
      </c>
      <c r="Q4047" s="19" t="str">
        <f>HYPERLINK("https://ceds.ed.gov/elementComment.aspx?elementName=Assessment Registration Test Attempt Identifier &amp;elementID=18119", "Click here to submit comment")</f>
        <v>Click here to submit comment</v>
      </c>
      <c r="R4047" s="19">
        <v>49477</v>
      </c>
    </row>
    <row r="4048" spans="1:18" x14ac:dyDescent="0.25">
      <c r="A4048" s="20"/>
      <c r="B4048" s="20"/>
      <c r="C4048" s="20"/>
      <c r="D4048" s="20"/>
      <c r="E4048" s="20"/>
      <c r="F4048" s="20"/>
      <c r="G4048" s="20"/>
      <c r="H4048" s="20"/>
      <c r="I4048" s="20"/>
      <c r="J4048" s="20"/>
      <c r="K4048" s="20"/>
      <c r="L4048" s="14"/>
      <c r="M4048" s="20"/>
      <c r="N4048" s="20"/>
      <c r="O4048" s="20"/>
      <c r="P4048" s="20"/>
      <c r="Q4048" s="20"/>
      <c r="R4048" s="20"/>
    </row>
    <row r="4049" spans="1:18" ht="105" x14ac:dyDescent="0.25">
      <c r="A4049" s="20"/>
      <c r="B4049" s="20"/>
      <c r="C4049" s="20"/>
      <c r="D4049" s="20"/>
      <c r="E4049" s="20"/>
      <c r="F4049" s="20"/>
      <c r="G4049" s="20"/>
      <c r="H4049" s="20"/>
      <c r="I4049" s="20"/>
      <c r="J4049" s="20"/>
      <c r="K4049" s="20"/>
      <c r="L4049" s="14" t="s">
        <v>150</v>
      </c>
      <c r="M4049" s="20"/>
      <c r="N4049" s="20"/>
      <c r="O4049" s="20"/>
      <c r="P4049" s="20"/>
      <c r="Q4049" s="20"/>
      <c r="R4049" s="20"/>
    </row>
    <row r="4050" spans="1:18" x14ac:dyDescent="0.25">
      <c r="A4050" s="20"/>
      <c r="B4050" s="20"/>
      <c r="C4050" s="20"/>
      <c r="D4050" s="20"/>
      <c r="E4050" s="20"/>
      <c r="F4050" s="20"/>
      <c r="G4050" s="20"/>
      <c r="H4050" s="20"/>
      <c r="I4050" s="20"/>
      <c r="J4050" s="20"/>
      <c r="K4050" s="20"/>
      <c r="L4050" s="14"/>
      <c r="M4050" s="20"/>
      <c r="N4050" s="20"/>
      <c r="O4050" s="20"/>
      <c r="P4050" s="20"/>
      <c r="Q4050" s="20"/>
      <c r="R4050" s="20"/>
    </row>
    <row r="4051" spans="1:18" ht="90" x14ac:dyDescent="0.25">
      <c r="A4051" s="21"/>
      <c r="B4051" s="21"/>
      <c r="C4051" s="21"/>
      <c r="D4051" s="21"/>
      <c r="E4051" s="21"/>
      <c r="F4051" s="21"/>
      <c r="G4051" s="21"/>
      <c r="H4051" s="21"/>
      <c r="I4051" s="21"/>
      <c r="J4051" s="21"/>
      <c r="K4051" s="21"/>
      <c r="L4051" s="14" t="s">
        <v>153</v>
      </c>
      <c r="M4051" s="21"/>
      <c r="N4051" s="21"/>
      <c r="O4051" s="21"/>
      <c r="P4051" s="21"/>
      <c r="Q4051" s="21"/>
      <c r="R4051" s="21"/>
    </row>
    <row r="4052" spans="1:18" ht="240" x14ac:dyDescent="0.25">
      <c r="A4052" s="14" t="s">
        <v>9103</v>
      </c>
      <c r="B4052" s="14" t="s">
        <v>9147</v>
      </c>
      <c r="C4052" s="14"/>
      <c r="D4052" s="14" t="s">
        <v>8531</v>
      </c>
      <c r="E4052" s="14" t="s">
        <v>479</v>
      </c>
      <c r="F4052" s="14" t="s">
        <v>480</v>
      </c>
      <c r="G4052" s="8" t="s">
        <v>8885</v>
      </c>
      <c r="H4052" s="14" t="s">
        <v>106</v>
      </c>
      <c r="I4052" s="14"/>
      <c r="J4052" s="14"/>
      <c r="K4052" s="14"/>
      <c r="L4052" s="14"/>
      <c r="M4052" s="14" t="s">
        <v>483</v>
      </c>
      <c r="N4052" s="14"/>
      <c r="O4052" s="14" t="s">
        <v>484</v>
      </c>
      <c r="P4052" s="14" t="str">
        <f>HYPERLINK("https://ceds.ed.gov/cedselementdetails.aspx?termid=17374")</f>
        <v>https://ceds.ed.gov/cedselementdetails.aspx?termid=17374</v>
      </c>
      <c r="Q4052" s="14" t="str">
        <f>HYPERLINK("https://ceds.ed.gov/elementComment.aspx?elementName=Assessment Accommodation Category &amp;elementID=17374", "Click here to submit comment")</f>
        <v>Click here to submit comment</v>
      </c>
      <c r="R4052" s="14">
        <v>48220</v>
      </c>
    </row>
    <row r="4053" spans="1:18" ht="45" x14ac:dyDescent="0.25">
      <c r="A4053" s="14" t="s">
        <v>9103</v>
      </c>
      <c r="B4053" s="14" t="s">
        <v>9147</v>
      </c>
      <c r="C4053" s="14"/>
      <c r="D4053" s="14" t="s">
        <v>8531</v>
      </c>
      <c r="E4053" s="14" t="s">
        <v>94</v>
      </c>
      <c r="F4053" s="14" t="s">
        <v>95</v>
      </c>
      <c r="G4053" s="14" t="s">
        <v>37</v>
      </c>
      <c r="H4053" s="14"/>
      <c r="I4053" s="14"/>
      <c r="J4053" s="14" t="s">
        <v>97</v>
      </c>
      <c r="K4053" s="14"/>
      <c r="L4053" s="14"/>
      <c r="M4053" s="14" t="s">
        <v>98</v>
      </c>
      <c r="N4053" s="14"/>
      <c r="O4053" s="14" t="s">
        <v>99</v>
      </c>
      <c r="P4053" s="14" t="str">
        <f>HYPERLINK("https://ceds.ed.gov/cedselementdetails.aspx?termid=18116")</f>
        <v>https://ceds.ed.gov/cedselementdetails.aspx?termid=18116</v>
      </c>
      <c r="Q4053" s="14" t="str">
        <f>HYPERLINK("https://ceds.ed.gov/elementComment.aspx?elementName=Accommodation Other Description &amp;elementID=18116", "Click here to submit comment")</f>
        <v>Click here to submit comment</v>
      </c>
      <c r="R4053" s="14">
        <v>49701</v>
      </c>
    </row>
    <row r="4054" spans="1:18" ht="165" customHeight="1" x14ac:dyDescent="0.25">
      <c r="A4054" s="19" t="s">
        <v>9103</v>
      </c>
      <c r="B4054" s="19" t="s">
        <v>9147</v>
      </c>
      <c r="C4054" s="19"/>
      <c r="D4054" s="19" t="s">
        <v>8531</v>
      </c>
      <c r="E4054" s="19" t="s">
        <v>7605</v>
      </c>
      <c r="F4054" s="19" t="s">
        <v>326</v>
      </c>
      <c r="G4054" s="19" t="s">
        <v>37</v>
      </c>
      <c r="H4054" s="19" t="s">
        <v>7604</v>
      </c>
      <c r="I4054" s="19"/>
      <c r="J4054" s="19" t="s">
        <v>149</v>
      </c>
      <c r="K4054" s="19"/>
      <c r="L4054" s="14" t="s">
        <v>150</v>
      </c>
      <c r="M4054" s="19" t="s">
        <v>7606</v>
      </c>
      <c r="N4054" s="19"/>
      <c r="O4054" s="19" t="s">
        <v>7607</v>
      </c>
      <c r="P4054" s="19" t="str">
        <f>HYPERLINK("https://ceds.ed.gov/cedselementdetails.aspx?termid=17155")</f>
        <v>https://ceds.ed.gov/cedselementdetails.aspx?termid=17155</v>
      </c>
      <c r="Q4054" s="19" t="str">
        <f>HYPERLINK("https://ceds.ed.gov/elementComment.aspx?elementName=School Identifier &amp;elementID=17155", "Click here to submit comment")</f>
        <v>Click here to submit comment</v>
      </c>
      <c r="R4054" s="19">
        <v>48588</v>
      </c>
    </row>
    <row r="4055" spans="1:18" x14ac:dyDescent="0.25">
      <c r="A4055" s="20"/>
      <c r="B4055" s="20"/>
      <c r="C4055" s="20"/>
      <c r="D4055" s="20"/>
      <c r="E4055" s="20"/>
      <c r="F4055" s="20"/>
      <c r="G4055" s="20"/>
      <c r="H4055" s="20"/>
      <c r="I4055" s="20"/>
      <c r="J4055" s="20"/>
      <c r="K4055" s="20"/>
      <c r="L4055" s="14"/>
      <c r="M4055" s="20"/>
      <c r="N4055" s="20"/>
      <c r="O4055" s="20"/>
      <c r="P4055" s="20"/>
      <c r="Q4055" s="20"/>
      <c r="R4055" s="20"/>
    </row>
    <row r="4056" spans="1:18" ht="90" x14ac:dyDescent="0.25">
      <c r="A4056" s="21"/>
      <c r="B4056" s="21"/>
      <c r="C4056" s="21"/>
      <c r="D4056" s="21"/>
      <c r="E4056" s="21"/>
      <c r="F4056" s="21"/>
      <c r="G4056" s="21"/>
      <c r="H4056" s="21"/>
      <c r="I4056" s="21"/>
      <c r="J4056" s="21"/>
      <c r="K4056" s="21"/>
      <c r="L4056" s="14" t="s">
        <v>153</v>
      </c>
      <c r="M4056" s="21"/>
      <c r="N4056" s="21"/>
      <c r="O4056" s="21"/>
      <c r="P4056" s="21"/>
      <c r="Q4056" s="21"/>
      <c r="R4056" s="21"/>
    </row>
    <row r="4057" spans="1:18" ht="270" x14ac:dyDescent="0.25">
      <c r="A4057" s="14" t="s">
        <v>9103</v>
      </c>
      <c r="B4057" s="14" t="s">
        <v>9147</v>
      </c>
      <c r="C4057" s="14"/>
      <c r="D4057" s="14" t="s">
        <v>8531</v>
      </c>
      <c r="E4057" s="14" t="s">
        <v>7599</v>
      </c>
      <c r="F4057" s="14" t="s">
        <v>320</v>
      </c>
      <c r="G4057" s="8" t="s">
        <v>8736</v>
      </c>
      <c r="H4057" s="14" t="s">
        <v>7604</v>
      </c>
      <c r="I4057" s="14"/>
      <c r="J4057" s="14"/>
      <c r="K4057" s="14"/>
      <c r="L4057" s="14"/>
      <c r="M4057" s="14" t="s">
        <v>7602</v>
      </c>
      <c r="N4057" s="14"/>
      <c r="O4057" s="14" t="s">
        <v>7603</v>
      </c>
      <c r="P4057" s="14" t="str">
        <f>HYPERLINK("https://ceds.ed.gov/cedselementdetails.aspx?termid=17161")</f>
        <v>https://ceds.ed.gov/cedselementdetails.aspx?termid=17161</v>
      </c>
      <c r="Q4057" s="14" t="str">
        <f>HYPERLINK("https://ceds.ed.gov/elementComment.aspx?elementName=School Identification System &amp;elementID=17161", "Click here to submit comment")</f>
        <v>Click here to submit comment</v>
      </c>
      <c r="R4057" s="14">
        <v>48585</v>
      </c>
    </row>
    <row r="4058" spans="1:18" ht="120" customHeight="1" x14ac:dyDescent="0.25">
      <c r="A4058" s="19" t="s">
        <v>9103</v>
      </c>
      <c r="B4058" s="19" t="s">
        <v>9147</v>
      </c>
      <c r="C4058" s="19"/>
      <c r="D4058" s="19" t="s">
        <v>8531</v>
      </c>
      <c r="E4058" s="19" t="s">
        <v>6138</v>
      </c>
      <c r="F4058" s="19" t="s">
        <v>6139</v>
      </c>
      <c r="G4058" s="19" t="s">
        <v>37</v>
      </c>
      <c r="H4058" s="19" t="s">
        <v>6137</v>
      </c>
      <c r="I4058" s="19"/>
      <c r="J4058" s="19" t="s">
        <v>149</v>
      </c>
      <c r="K4058" s="19"/>
      <c r="L4058" s="14" t="s">
        <v>150</v>
      </c>
      <c r="M4058" s="19" t="s">
        <v>6140</v>
      </c>
      <c r="N4058" s="19" t="s">
        <v>6141</v>
      </c>
      <c r="O4058" s="19" t="s">
        <v>6142</v>
      </c>
      <c r="P4058" s="19" t="str">
        <f>HYPERLINK("https://ceds.ed.gov/cedselementdetails.aspx?termid=17153")</f>
        <v>https://ceds.ed.gov/cedselementdetails.aspx?termid=17153</v>
      </c>
      <c r="Q4058" s="19" t="str">
        <f>HYPERLINK("https://ceds.ed.gov/elementComment.aspx?elementName=Local Education Agency Identifier &amp;elementID=17153", "Click here to submit comment")</f>
        <v>Click here to submit comment</v>
      </c>
      <c r="R4058" s="19">
        <v>48594</v>
      </c>
    </row>
    <row r="4059" spans="1:18" x14ac:dyDescent="0.25">
      <c r="A4059" s="20"/>
      <c r="B4059" s="20"/>
      <c r="C4059" s="20"/>
      <c r="D4059" s="20"/>
      <c r="E4059" s="20"/>
      <c r="F4059" s="20"/>
      <c r="G4059" s="20"/>
      <c r="H4059" s="20"/>
      <c r="I4059" s="20"/>
      <c r="J4059" s="20"/>
      <c r="K4059" s="20"/>
      <c r="L4059" s="14"/>
      <c r="M4059" s="20"/>
      <c r="N4059" s="20"/>
      <c r="O4059" s="20"/>
      <c r="P4059" s="20"/>
      <c r="Q4059" s="20"/>
      <c r="R4059" s="20"/>
    </row>
    <row r="4060" spans="1:18" ht="90" x14ac:dyDescent="0.25">
      <c r="A4060" s="21"/>
      <c r="B4060" s="21"/>
      <c r="C4060" s="21"/>
      <c r="D4060" s="21"/>
      <c r="E4060" s="21"/>
      <c r="F4060" s="21"/>
      <c r="G4060" s="21"/>
      <c r="H4060" s="21"/>
      <c r="I4060" s="21"/>
      <c r="J4060" s="21"/>
      <c r="K4060" s="21"/>
      <c r="L4060" s="14" t="s">
        <v>153</v>
      </c>
      <c r="M4060" s="21"/>
      <c r="N4060" s="21"/>
      <c r="O4060" s="21"/>
      <c r="P4060" s="21"/>
      <c r="Q4060" s="21"/>
      <c r="R4060" s="21"/>
    </row>
    <row r="4061" spans="1:18" ht="240" x14ac:dyDescent="0.25">
      <c r="A4061" s="14" t="s">
        <v>9103</v>
      </c>
      <c r="B4061" s="14" t="s">
        <v>9147</v>
      </c>
      <c r="C4061" s="14"/>
      <c r="D4061" s="14" t="s">
        <v>8531</v>
      </c>
      <c r="E4061" s="14" t="s">
        <v>6130</v>
      </c>
      <c r="F4061" s="14" t="s">
        <v>6131</v>
      </c>
      <c r="G4061" s="8" t="s">
        <v>8790</v>
      </c>
      <c r="H4061" s="14" t="s">
        <v>6137</v>
      </c>
      <c r="I4061" s="14"/>
      <c r="J4061" s="14"/>
      <c r="K4061" s="14"/>
      <c r="L4061" s="14"/>
      <c r="M4061" s="14" t="s">
        <v>6134</v>
      </c>
      <c r="N4061" s="14" t="s">
        <v>6135</v>
      </c>
      <c r="O4061" s="14" t="s">
        <v>6136</v>
      </c>
      <c r="P4061" s="14" t="str">
        <f>HYPERLINK("https://ceds.ed.gov/cedselementdetails.aspx?termid=17159")</f>
        <v>https://ceds.ed.gov/cedselementdetails.aspx?termid=17159</v>
      </c>
      <c r="Q4061" s="14" t="str">
        <f>HYPERLINK("https://ceds.ed.gov/elementComment.aspx?elementName=Local Education Agency Identification System &amp;elementID=17159", "Click here to submit comment")</f>
        <v>Click here to submit comment</v>
      </c>
      <c r="R4061" s="14">
        <v>48591</v>
      </c>
    </row>
    <row r="4062" spans="1:18" ht="105" x14ac:dyDescent="0.25">
      <c r="A4062" s="19" t="s">
        <v>9103</v>
      </c>
      <c r="B4062" s="19" t="s">
        <v>9147</v>
      </c>
      <c r="C4062" s="19"/>
      <c r="D4062" s="19" t="s">
        <v>8531</v>
      </c>
      <c r="E4062" s="19" t="s">
        <v>7971</v>
      </c>
      <c r="F4062" s="19" t="s">
        <v>7972</v>
      </c>
      <c r="G4062" s="19" t="s">
        <v>37</v>
      </c>
      <c r="H4062" s="19"/>
      <c r="I4062" s="19"/>
      <c r="J4062" s="19" t="s">
        <v>149</v>
      </c>
      <c r="K4062" s="19"/>
      <c r="L4062" s="14" t="s">
        <v>150</v>
      </c>
      <c r="M4062" s="19" t="s">
        <v>7973</v>
      </c>
      <c r="N4062" s="19"/>
      <c r="O4062" s="19" t="s">
        <v>7974</v>
      </c>
      <c r="P4062" s="19" t="str">
        <f>HYPERLINK("https://ceds.ed.gov/cedselementdetails.aspx?termid=18462")</f>
        <v>https://ceds.ed.gov/cedselementdetails.aspx?termid=18462</v>
      </c>
      <c r="Q4062" s="19" t="str">
        <f>HYPERLINK("https://ceds.ed.gov/elementComment.aspx?elementName=State Agency Identifier &amp;elementID=18462", "Click here to submit comment")</f>
        <v>Click here to submit comment</v>
      </c>
      <c r="R4062" s="19">
        <v>50921</v>
      </c>
    </row>
    <row r="4063" spans="1:18" x14ac:dyDescent="0.25">
      <c r="A4063" s="20"/>
      <c r="B4063" s="20"/>
      <c r="C4063" s="20"/>
      <c r="D4063" s="20"/>
      <c r="E4063" s="20"/>
      <c r="F4063" s="20"/>
      <c r="G4063" s="20"/>
      <c r="H4063" s="20"/>
      <c r="I4063" s="20"/>
      <c r="J4063" s="20"/>
      <c r="K4063" s="20"/>
      <c r="L4063" s="14"/>
      <c r="M4063" s="20"/>
      <c r="N4063" s="20"/>
      <c r="O4063" s="20"/>
      <c r="P4063" s="20"/>
      <c r="Q4063" s="20"/>
      <c r="R4063" s="20"/>
    </row>
    <row r="4064" spans="1:18" ht="90" x14ac:dyDescent="0.25">
      <c r="A4064" s="21"/>
      <c r="B4064" s="21"/>
      <c r="C4064" s="21"/>
      <c r="D4064" s="21"/>
      <c r="E4064" s="21"/>
      <c r="F4064" s="21"/>
      <c r="G4064" s="21"/>
      <c r="H4064" s="21"/>
      <c r="I4064" s="21"/>
      <c r="J4064" s="21"/>
      <c r="K4064" s="21"/>
      <c r="L4064" s="14" t="s">
        <v>153</v>
      </c>
      <c r="M4064" s="21"/>
      <c r="N4064" s="21"/>
      <c r="O4064" s="21"/>
      <c r="P4064" s="21"/>
      <c r="Q4064" s="21"/>
      <c r="R4064" s="21"/>
    </row>
    <row r="4065" spans="1:18" ht="60" x14ac:dyDescent="0.25">
      <c r="A4065" s="14" t="s">
        <v>9103</v>
      </c>
      <c r="B4065" s="14" t="s">
        <v>9147</v>
      </c>
      <c r="C4065" s="14"/>
      <c r="D4065" s="14" t="s">
        <v>8531</v>
      </c>
      <c r="E4065" s="14" t="s">
        <v>7965</v>
      </c>
      <c r="F4065" s="14" t="s">
        <v>7966</v>
      </c>
      <c r="G4065" s="8" t="s">
        <v>8810</v>
      </c>
      <c r="H4065" s="14"/>
      <c r="I4065" s="14"/>
      <c r="J4065" s="14"/>
      <c r="K4065" s="14"/>
      <c r="L4065" s="14"/>
      <c r="M4065" s="14" t="s">
        <v>7969</v>
      </c>
      <c r="N4065" s="14"/>
      <c r="O4065" s="14" t="s">
        <v>7970</v>
      </c>
      <c r="P4065" s="14" t="str">
        <f>HYPERLINK("https://ceds.ed.gov/cedselementdetails.aspx?termid=18463")</f>
        <v>https://ceds.ed.gov/cedselementdetails.aspx?termid=18463</v>
      </c>
      <c r="Q4065" s="14" t="str">
        <f>HYPERLINK("https://ceds.ed.gov/elementComment.aspx?elementName=State Agency Identification System &amp;elementID=18463", "Click here to submit comment")</f>
        <v>Click here to submit comment</v>
      </c>
      <c r="R4065" s="14">
        <v>50920</v>
      </c>
    </row>
    <row r="4066" spans="1:18" ht="45" x14ac:dyDescent="0.25">
      <c r="A4066" s="14" t="s">
        <v>9103</v>
      </c>
      <c r="B4066" s="14" t="s">
        <v>9147</v>
      </c>
      <c r="C4066" s="14"/>
      <c r="D4066" s="14" t="s">
        <v>8531</v>
      </c>
      <c r="E4066" s="14" t="s">
        <v>632</v>
      </c>
      <c r="F4066" s="14" t="s">
        <v>633</v>
      </c>
      <c r="G4066" s="14" t="s">
        <v>37</v>
      </c>
      <c r="H4066" s="14" t="s">
        <v>106</v>
      </c>
      <c r="I4066" s="14"/>
      <c r="J4066" s="14" t="s">
        <v>97</v>
      </c>
      <c r="K4066" s="14"/>
      <c r="L4066" s="14"/>
      <c r="M4066" s="14" t="s">
        <v>635</v>
      </c>
      <c r="N4066" s="14"/>
      <c r="O4066" s="14" t="s">
        <v>636</v>
      </c>
      <c r="P4066" s="14" t="str">
        <f>HYPERLINK("https://ceds.ed.gov/cedselementdetails.aspx?termid=17365")</f>
        <v>https://ceds.ed.gov/cedselementdetails.aspx?termid=17365</v>
      </c>
      <c r="Q4066" s="14" t="str">
        <f>HYPERLINK("https://ceds.ed.gov/elementComment.aspx?elementName=Assessment Form Number &amp;elementID=17365", "Click here to submit comment")</f>
        <v>Click here to submit comment</v>
      </c>
      <c r="R4066" s="14">
        <v>50781</v>
      </c>
    </row>
    <row r="4067" spans="1:18" ht="45" customHeight="1" x14ac:dyDescent="0.25">
      <c r="A4067" s="19" t="s">
        <v>9103</v>
      </c>
      <c r="B4067" s="19" t="s">
        <v>9147</v>
      </c>
      <c r="C4067" s="19"/>
      <c r="D4067" s="19" t="s">
        <v>8531</v>
      </c>
      <c r="E4067" s="19" t="s">
        <v>1344</v>
      </c>
      <c r="F4067" s="19" t="s">
        <v>1345</v>
      </c>
      <c r="G4067" s="19" t="s">
        <v>37</v>
      </c>
      <c r="H4067" s="19"/>
      <c r="I4067" s="19"/>
      <c r="J4067" s="19" t="s">
        <v>149</v>
      </c>
      <c r="K4067" s="19"/>
      <c r="L4067" s="14" t="s">
        <v>1347</v>
      </c>
      <c r="M4067" s="19" t="s">
        <v>1348</v>
      </c>
      <c r="N4067" s="19"/>
      <c r="O4067" s="19" t="s">
        <v>1349</v>
      </c>
      <c r="P4067" s="19" t="str">
        <f>HYPERLINK("https://ceds.ed.gov/cedselementdetails.aspx?termid=17889")</f>
        <v>https://ceds.ed.gov/cedselementdetails.aspx?termid=17889</v>
      </c>
      <c r="Q4067" s="19" t="str">
        <f>HYPERLINK("https://ceds.ed.gov/elementComment.aspx?elementName=Assessment Registration Assignor Identifier &amp;elementID=17889", "Click here to submit comment")</f>
        <v>Click here to submit comment</v>
      </c>
      <c r="R4067" s="19">
        <v>49340</v>
      </c>
    </row>
    <row r="4068" spans="1:18" x14ac:dyDescent="0.25">
      <c r="A4068" s="20"/>
      <c r="B4068" s="20"/>
      <c r="C4068" s="20"/>
      <c r="D4068" s="20"/>
      <c r="E4068" s="20"/>
      <c r="F4068" s="20"/>
      <c r="G4068" s="20"/>
      <c r="H4068" s="20"/>
      <c r="I4068" s="20"/>
      <c r="J4068" s="20"/>
      <c r="K4068" s="20"/>
      <c r="L4068" s="14"/>
      <c r="M4068" s="20"/>
      <c r="N4068" s="20"/>
      <c r="O4068" s="20"/>
      <c r="P4068" s="20"/>
      <c r="Q4068" s="20"/>
      <c r="R4068" s="20"/>
    </row>
    <row r="4069" spans="1:18" ht="105" x14ac:dyDescent="0.25">
      <c r="A4069" s="20"/>
      <c r="B4069" s="20"/>
      <c r="C4069" s="20"/>
      <c r="D4069" s="20"/>
      <c r="E4069" s="20"/>
      <c r="F4069" s="20"/>
      <c r="G4069" s="20"/>
      <c r="H4069" s="20"/>
      <c r="I4069" s="20"/>
      <c r="J4069" s="20"/>
      <c r="K4069" s="20"/>
      <c r="L4069" s="14" t="s">
        <v>150</v>
      </c>
      <c r="M4069" s="20"/>
      <c r="N4069" s="20"/>
      <c r="O4069" s="20"/>
      <c r="P4069" s="20"/>
      <c r="Q4069" s="20"/>
      <c r="R4069" s="20"/>
    </row>
    <row r="4070" spans="1:18" x14ac:dyDescent="0.25">
      <c r="A4070" s="20"/>
      <c r="B4070" s="20"/>
      <c r="C4070" s="20"/>
      <c r="D4070" s="20"/>
      <c r="E4070" s="20"/>
      <c r="F4070" s="20"/>
      <c r="G4070" s="20"/>
      <c r="H4070" s="20"/>
      <c r="I4070" s="20"/>
      <c r="J4070" s="20"/>
      <c r="K4070" s="20"/>
      <c r="L4070" s="14"/>
      <c r="M4070" s="20"/>
      <c r="N4070" s="20"/>
      <c r="O4070" s="20"/>
      <c r="P4070" s="20"/>
      <c r="Q4070" s="20"/>
      <c r="R4070" s="20"/>
    </row>
    <row r="4071" spans="1:18" ht="90" x14ac:dyDescent="0.25">
      <c r="A4071" s="21"/>
      <c r="B4071" s="21"/>
      <c r="C4071" s="21"/>
      <c r="D4071" s="21"/>
      <c r="E4071" s="21"/>
      <c r="F4071" s="21"/>
      <c r="G4071" s="21"/>
      <c r="H4071" s="21"/>
      <c r="I4071" s="21"/>
      <c r="J4071" s="21"/>
      <c r="K4071" s="21"/>
      <c r="L4071" s="14" t="s">
        <v>153</v>
      </c>
      <c r="M4071" s="21"/>
      <c r="N4071" s="21"/>
      <c r="O4071" s="21"/>
      <c r="P4071" s="21"/>
      <c r="Q4071" s="21"/>
      <c r="R4071" s="21"/>
    </row>
    <row r="4072" spans="1:18" ht="409.5" x14ac:dyDescent="0.25">
      <c r="A4072" s="14" t="s">
        <v>9103</v>
      </c>
      <c r="B4072" s="14" t="s">
        <v>9147</v>
      </c>
      <c r="C4072" s="14"/>
      <c r="D4072" s="14" t="s">
        <v>8531</v>
      </c>
      <c r="E4072" s="14" t="s">
        <v>1367</v>
      </c>
      <c r="F4072" s="14" t="s">
        <v>1368</v>
      </c>
      <c r="G4072" s="8" t="s">
        <v>9148</v>
      </c>
      <c r="H4072" s="14"/>
      <c r="I4072" s="14" t="s">
        <v>195</v>
      </c>
      <c r="J4072" s="14"/>
      <c r="K4072" s="14" t="s">
        <v>1370</v>
      </c>
      <c r="L4072" s="14" t="s">
        <v>1371</v>
      </c>
      <c r="M4072" s="14" t="s">
        <v>1372</v>
      </c>
      <c r="N4072" s="14"/>
      <c r="O4072" s="14" t="s">
        <v>1373</v>
      </c>
      <c r="P4072" s="14" t="str">
        <f>HYPERLINK("https://ceds.ed.gov/cedselementdetails.aspx?termid=18063")</f>
        <v>https://ceds.ed.gov/cedselementdetails.aspx?termid=18063</v>
      </c>
      <c r="Q4072" s="14" t="str">
        <f>HYPERLINK("https://ceds.ed.gov/elementComment.aspx?elementName=Assessment Registration Grade Level to Be Assessed &amp;elementID=18063", "Click here to submit comment")</f>
        <v>Click here to submit comment</v>
      </c>
      <c r="R4072" s="14">
        <v>48498</v>
      </c>
    </row>
    <row r="4073" spans="1:18" ht="45" x14ac:dyDescent="0.25">
      <c r="A4073" s="14" t="s">
        <v>9103</v>
      </c>
      <c r="B4073" s="14" t="s">
        <v>9147</v>
      </c>
      <c r="C4073" s="14"/>
      <c r="D4073" s="14" t="s">
        <v>8531</v>
      </c>
      <c r="E4073" s="14" t="s">
        <v>1363</v>
      </c>
      <c r="F4073" s="14" t="s">
        <v>1364</v>
      </c>
      <c r="G4073" s="14" t="s">
        <v>37</v>
      </c>
      <c r="H4073" s="14"/>
      <c r="I4073" s="14"/>
      <c r="J4073" s="14" t="s">
        <v>370</v>
      </c>
      <c r="K4073" s="14"/>
      <c r="L4073" s="14"/>
      <c r="M4073" s="14" t="s">
        <v>1365</v>
      </c>
      <c r="N4073" s="14"/>
      <c r="O4073" s="14" t="s">
        <v>1366</v>
      </c>
      <c r="P4073" s="14" t="str">
        <f>HYPERLINK("https://ceds.ed.gov/cedselementdetails.aspx?termid=18017")</f>
        <v>https://ceds.ed.gov/cedselementdetails.aspx?termid=18017</v>
      </c>
      <c r="Q4073" s="14" t="str">
        <f>HYPERLINK("https://ceds.ed.gov/elementComment.aspx?elementName=Assessment Registration Days of Instruction &amp;elementID=18017", "Click here to submit comment")</f>
        <v>Click here to submit comment</v>
      </c>
      <c r="R4073" s="14">
        <v>48453</v>
      </c>
    </row>
    <row r="4074" spans="1:18" ht="45" x14ac:dyDescent="0.25">
      <c r="A4074" s="14" t="s">
        <v>9103</v>
      </c>
      <c r="B4074" s="14" t="s">
        <v>9147</v>
      </c>
      <c r="C4074" s="14"/>
      <c r="D4074" s="14" t="s">
        <v>8531</v>
      </c>
      <c r="E4074" s="14" t="s">
        <v>1374</v>
      </c>
      <c r="F4074" s="14" t="s">
        <v>1375</v>
      </c>
      <c r="G4074" s="8" t="s">
        <v>9149</v>
      </c>
      <c r="H4074" s="14" t="s">
        <v>583</v>
      </c>
      <c r="I4074" s="14"/>
      <c r="J4074" s="14"/>
      <c r="K4074" s="14"/>
      <c r="L4074" s="14"/>
      <c r="M4074" s="14" t="s">
        <v>1377</v>
      </c>
      <c r="N4074" s="14"/>
      <c r="O4074" s="14" t="s">
        <v>1378</v>
      </c>
      <c r="P4074" s="14" t="str">
        <f>HYPERLINK("https://ceds.ed.gov/cedselementdetails.aspx?termid=17025")</f>
        <v>https://ceds.ed.gov/cedselementdetails.aspx?termid=17025</v>
      </c>
      <c r="Q4074" s="14" t="str">
        <f>HYPERLINK("https://ceds.ed.gov/elementComment.aspx?elementName=Assessment Registration Participation Indicator &amp;elementID=17025", "Click here to submit comment")</f>
        <v>Click here to submit comment</v>
      </c>
      <c r="R4074" s="14">
        <v>48185</v>
      </c>
    </row>
    <row r="4075" spans="1:18" ht="120" x14ac:dyDescent="0.25">
      <c r="A4075" s="14" t="s">
        <v>9103</v>
      </c>
      <c r="B4075" s="14" t="s">
        <v>9147</v>
      </c>
      <c r="C4075" s="14"/>
      <c r="D4075" s="14" t="s">
        <v>8531</v>
      </c>
      <c r="E4075" s="14" t="s">
        <v>1277</v>
      </c>
      <c r="F4075" s="14" t="s">
        <v>1278</v>
      </c>
      <c r="G4075" s="8" t="s">
        <v>9150</v>
      </c>
      <c r="H4075" s="14" t="s">
        <v>727</v>
      </c>
      <c r="I4075" s="14"/>
      <c r="J4075" s="14"/>
      <c r="K4075" s="14"/>
      <c r="L4075" s="14"/>
      <c r="M4075" s="14" t="s">
        <v>1281</v>
      </c>
      <c r="N4075" s="14"/>
      <c r="O4075" s="14" t="s">
        <v>1282</v>
      </c>
      <c r="P4075" s="14" t="str">
        <f>HYPERLINK("https://ceds.ed.gov/cedselementdetails.aspx?termid=17377")</f>
        <v>https://ceds.ed.gov/cedselementdetails.aspx?termid=17377</v>
      </c>
      <c r="Q4075" s="14" t="str">
        <f>HYPERLINK("https://ceds.ed.gov/elementComment.aspx?elementName=Assessment Participant Session Platform Type &amp;elementID=17377", "Click here to submit comment")</f>
        <v>Click here to submit comment</v>
      </c>
      <c r="R4075" s="14">
        <v>50806</v>
      </c>
    </row>
    <row r="4076" spans="1:18" ht="345" x14ac:dyDescent="0.25">
      <c r="A4076" s="14" t="s">
        <v>9103</v>
      </c>
      <c r="B4076" s="14" t="s">
        <v>9147</v>
      </c>
      <c r="C4076" s="14"/>
      <c r="D4076" s="14" t="s">
        <v>8531</v>
      </c>
      <c r="E4076" s="14" t="s">
        <v>4824</v>
      </c>
      <c r="F4076" s="14" t="s">
        <v>4825</v>
      </c>
      <c r="G4076" s="8" t="s">
        <v>9151</v>
      </c>
      <c r="H4076" s="14" t="s">
        <v>4829</v>
      </c>
      <c r="I4076" s="14"/>
      <c r="J4076" s="14"/>
      <c r="K4076" s="14"/>
      <c r="L4076" s="14"/>
      <c r="M4076" s="14" t="s">
        <v>4827</v>
      </c>
      <c r="N4076" s="14"/>
      <c r="O4076" s="14" t="s">
        <v>4828</v>
      </c>
      <c r="P4076" s="14" t="str">
        <f>HYPERLINK("https://ceds.ed.gov/cedselementdetails.aspx?termid=17126")</f>
        <v>https://ceds.ed.gov/cedselementdetails.aspx?termid=17126</v>
      </c>
      <c r="Q4076" s="14" t="str">
        <f>HYPERLINK("https://ceds.ed.gov/elementComment.aspx?elementName=Grade Level When Assessed &amp;elementID=17126", "Click here to submit comment")</f>
        <v>Click here to submit comment</v>
      </c>
      <c r="R4076" s="14">
        <v>48219</v>
      </c>
    </row>
    <row r="4077" spans="1:18" ht="165" x14ac:dyDescent="0.25">
      <c r="A4077" s="14" t="s">
        <v>9103</v>
      </c>
      <c r="B4077" s="14" t="s">
        <v>9147</v>
      </c>
      <c r="C4077" s="14"/>
      <c r="D4077" s="14" t="s">
        <v>8531</v>
      </c>
      <c r="E4077" s="14" t="s">
        <v>1350</v>
      </c>
      <c r="F4077" s="14" t="s">
        <v>1351</v>
      </c>
      <c r="G4077" s="8" t="s">
        <v>9152</v>
      </c>
      <c r="H4077" s="14"/>
      <c r="I4077" s="14"/>
      <c r="J4077" s="14"/>
      <c r="K4077" s="14"/>
      <c r="L4077" s="14"/>
      <c r="M4077" s="14" t="s">
        <v>1353</v>
      </c>
      <c r="N4077" s="14"/>
      <c r="O4077" s="14" t="s">
        <v>1354</v>
      </c>
      <c r="P4077" s="14" t="str">
        <f>HYPERLINK("https://ceds.ed.gov/cedselementdetails.aspx?termid=18516")</f>
        <v>https://ceds.ed.gov/cedselementdetails.aspx?termid=18516</v>
      </c>
      <c r="Q4077" s="14" t="str">
        <f>HYPERLINK("https://ceds.ed.gov/elementComment.aspx?elementName=Assessment Registration Completion Status &amp;elementID=18516", "Click here to submit comment")</f>
        <v>Click here to submit comment</v>
      </c>
      <c r="R4077" s="14">
        <v>50808</v>
      </c>
    </row>
    <row r="4078" spans="1:18" ht="60" x14ac:dyDescent="0.25">
      <c r="A4078" s="14" t="s">
        <v>9103</v>
      </c>
      <c r="B4078" s="14" t="s">
        <v>9147</v>
      </c>
      <c r="C4078" s="14"/>
      <c r="D4078" s="14" t="s">
        <v>8531</v>
      </c>
      <c r="E4078" s="14" t="s">
        <v>1355</v>
      </c>
      <c r="F4078" s="14" t="s">
        <v>1356</v>
      </c>
      <c r="G4078" s="14" t="s">
        <v>37</v>
      </c>
      <c r="H4078" s="14"/>
      <c r="I4078" s="14"/>
      <c r="J4078" s="14" t="s">
        <v>941</v>
      </c>
      <c r="K4078" s="14"/>
      <c r="L4078" s="14"/>
      <c r="M4078" s="14" t="s">
        <v>1357</v>
      </c>
      <c r="N4078" s="14"/>
      <c r="O4078" s="14" t="s">
        <v>1358</v>
      </c>
      <c r="P4078" s="14" t="str">
        <f>HYPERLINK("https://ceds.ed.gov/cedselementdetails.aspx?termid=18517")</f>
        <v>https://ceds.ed.gov/cedselementdetails.aspx?termid=18517</v>
      </c>
      <c r="Q4078" s="14" t="str">
        <f>HYPERLINK("https://ceds.ed.gov/elementComment.aspx?elementName=Assessment Registration Completion Status Date Time &amp;elementID=18517", "Click here to submit comment")</f>
        <v>Click here to submit comment</v>
      </c>
      <c r="R4078" s="14">
        <v>50810</v>
      </c>
    </row>
    <row r="4079" spans="1:18" ht="180" x14ac:dyDescent="0.25">
      <c r="A4079" s="14" t="s">
        <v>9103</v>
      </c>
      <c r="B4079" s="14" t="s">
        <v>9147</v>
      </c>
      <c r="C4079" s="14"/>
      <c r="D4079" s="14" t="s">
        <v>8531</v>
      </c>
      <c r="E4079" s="14" t="s">
        <v>1379</v>
      </c>
      <c r="F4079" s="14" t="s">
        <v>1380</v>
      </c>
      <c r="G4079" s="8" t="s">
        <v>9153</v>
      </c>
      <c r="H4079" s="14" t="s">
        <v>1385</v>
      </c>
      <c r="I4079" s="14"/>
      <c r="J4079" s="14"/>
      <c r="K4079" s="14"/>
      <c r="L4079" s="14" t="s">
        <v>1382</v>
      </c>
      <c r="M4079" s="14" t="s">
        <v>1383</v>
      </c>
      <c r="N4079" s="14"/>
      <c r="O4079" s="14" t="s">
        <v>1384</v>
      </c>
      <c r="P4079" s="14" t="str">
        <f>HYPERLINK("https://ceds.ed.gov/cedselementdetails.aspx?termid=17531")</f>
        <v>https://ceds.ed.gov/cedselementdetails.aspx?termid=17531</v>
      </c>
      <c r="Q4079" s="14" t="str">
        <f>HYPERLINK("https://ceds.ed.gov/elementComment.aspx?elementName=Assessment Registration Reason Not Completing &amp;elementID=17531", "Click here to submit comment")</f>
        <v>Click here to submit comment</v>
      </c>
      <c r="R4079" s="14">
        <v>48221</v>
      </c>
    </row>
    <row r="4080" spans="1:18" ht="135" x14ac:dyDescent="0.25">
      <c r="A4080" s="14" t="s">
        <v>9103</v>
      </c>
      <c r="B4080" s="14" t="s">
        <v>9147</v>
      </c>
      <c r="C4080" s="14"/>
      <c r="D4080" s="14" t="s">
        <v>8531</v>
      </c>
      <c r="E4080" s="14" t="s">
        <v>7304</v>
      </c>
      <c r="F4080" s="14" t="s">
        <v>7305</v>
      </c>
      <c r="G4080" s="8" t="s">
        <v>9154</v>
      </c>
      <c r="H4080" s="14"/>
      <c r="I4080" s="14"/>
      <c r="J4080" s="14"/>
      <c r="K4080" s="14"/>
      <c r="L4080" s="14"/>
      <c r="M4080" s="14" t="s">
        <v>7307</v>
      </c>
      <c r="N4080" s="14"/>
      <c r="O4080" s="14" t="s">
        <v>7308</v>
      </c>
      <c r="P4080" s="14" t="str">
        <f>HYPERLINK("https://ceds.ed.gov/cedselementdetails.aspx?termid=17228")</f>
        <v>https://ceds.ed.gov/cedselementdetails.aspx?termid=17228</v>
      </c>
      <c r="Q4080" s="14" t="str">
        <f>HYPERLINK("https://ceds.ed.gov/elementComment.aspx?elementName=Reason Not Tested &amp;elementID=17228", "Click here to submit comment")</f>
        <v>Click here to submit comment</v>
      </c>
      <c r="R4080" s="14">
        <v>50028</v>
      </c>
    </row>
    <row r="4081" spans="1:18" ht="135" x14ac:dyDescent="0.25">
      <c r="A4081" s="14" t="s">
        <v>9103</v>
      </c>
      <c r="B4081" s="14" t="s">
        <v>9147</v>
      </c>
      <c r="C4081" s="14"/>
      <c r="D4081" s="14" t="s">
        <v>8531</v>
      </c>
      <c r="E4081" s="14" t="s">
        <v>1390</v>
      </c>
      <c r="F4081" s="14" t="s">
        <v>1391</v>
      </c>
      <c r="G4081" s="14" t="s">
        <v>37</v>
      </c>
      <c r="H4081" s="14"/>
      <c r="I4081" s="14"/>
      <c r="J4081" s="14" t="s">
        <v>135</v>
      </c>
      <c r="K4081" s="14"/>
      <c r="L4081" s="14"/>
      <c r="M4081" s="14" t="s">
        <v>1392</v>
      </c>
      <c r="N4081" s="14"/>
      <c r="O4081" s="14" t="s">
        <v>1393</v>
      </c>
      <c r="P4081" s="14" t="str">
        <f>HYPERLINK("https://ceds.ed.gov/cedselementdetails.aspx?termid=18062")</f>
        <v>https://ceds.ed.gov/cedselementdetails.aspx?termid=18062</v>
      </c>
      <c r="Q4081" s="14" t="str">
        <f>HYPERLINK("https://ceds.ed.gov/elementComment.aspx?elementName=Assessment Registration Score Publish Date &amp;elementID=18062", "Click here to submit comment")</f>
        <v>Click here to submit comment</v>
      </c>
      <c r="R4081" s="14">
        <v>48497</v>
      </c>
    </row>
    <row r="4082" spans="1:18" ht="75" x14ac:dyDescent="0.25">
      <c r="A4082" s="14" t="s">
        <v>9103</v>
      </c>
      <c r="B4082" s="14" t="s">
        <v>9147</v>
      </c>
      <c r="C4082" s="14"/>
      <c r="D4082" s="14" t="s">
        <v>8531</v>
      </c>
      <c r="E4082" s="14" t="s">
        <v>7595</v>
      </c>
      <c r="F4082" s="14" t="s">
        <v>7596</v>
      </c>
      <c r="G4082" s="14" t="s">
        <v>24</v>
      </c>
      <c r="H4082" s="14"/>
      <c r="I4082" s="14"/>
      <c r="J4082" s="14"/>
      <c r="K4082" s="14"/>
      <c r="L4082" s="14"/>
      <c r="M4082" s="14" t="s">
        <v>7597</v>
      </c>
      <c r="N4082" s="14"/>
      <c r="O4082" s="14" t="s">
        <v>7598</v>
      </c>
      <c r="P4082" s="14" t="str">
        <f>HYPERLINK("https://ceds.ed.gov/cedselementdetails.aspx?termid=18744")</f>
        <v>https://ceds.ed.gov/cedselementdetails.aspx?termid=18744</v>
      </c>
      <c r="Q4082" s="14" t="str">
        <f>HYPERLINK("https://ceds.ed.gov/elementComment.aspx?elementName=School Full Academic Year &amp;elementID=18744", "Click here to submit comment")</f>
        <v>Click here to submit comment</v>
      </c>
      <c r="R4082" s="14">
        <v>51991</v>
      </c>
    </row>
    <row r="4083" spans="1:18" ht="75" x14ac:dyDescent="0.25">
      <c r="A4083" s="14" t="s">
        <v>9103</v>
      </c>
      <c r="B4083" s="14" t="s">
        <v>9147</v>
      </c>
      <c r="C4083" s="14"/>
      <c r="D4083" s="14" t="s">
        <v>8531</v>
      </c>
      <c r="E4083" s="14" t="s">
        <v>5740</v>
      </c>
      <c r="F4083" s="14" t="s">
        <v>5741</v>
      </c>
      <c r="G4083" s="14" t="s">
        <v>24</v>
      </c>
      <c r="H4083" s="14"/>
      <c r="I4083" s="14"/>
      <c r="J4083" s="14"/>
      <c r="K4083" s="14"/>
      <c r="L4083" s="14"/>
      <c r="M4083" s="14" t="s">
        <v>5742</v>
      </c>
      <c r="N4083" s="14"/>
      <c r="O4083" s="14" t="s">
        <v>5743</v>
      </c>
      <c r="P4083" s="14" t="str">
        <f>HYPERLINK("https://ceds.ed.gov/cedselementdetails.aspx?termid=18743")</f>
        <v>https://ceds.ed.gov/cedselementdetails.aspx?termid=18743</v>
      </c>
      <c r="Q4083" s="14" t="str">
        <f>HYPERLINK("https://ceds.ed.gov/elementComment.aspx?elementName=LEA Full Academic Year &amp;elementID=18743", "Click here to submit comment")</f>
        <v>Click here to submit comment</v>
      </c>
      <c r="R4083" s="14">
        <v>51972</v>
      </c>
    </row>
    <row r="4084" spans="1:18" ht="75" x14ac:dyDescent="0.25">
      <c r="A4084" s="14" t="s">
        <v>9103</v>
      </c>
      <c r="B4084" s="14" t="s">
        <v>9147</v>
      </c>
      <c r="C4084" s="14"/>
      <c r="D4084" s="14" t="s">
        <v>8531</v>
      </c>
      <c r="E4084" s="14" t="s">
        <v>8000</v>
      </c>
      <c r="F4084" s="14" t="s">
        <v>8001</v>
      </c>
      <c r="G4084" s="14" t="s">
        <v>24</v>
      </c>
      <c r="H4084" s="14"/>
      <c r="I4084" s="14"/>
      <c r="J4084" s="14"/>
      <c r="K4084" s="14"/>
      <c r="L4084" s="14"/>
      <c r="M4084" s="14" t="s">
        <v>8002</v>
      </c>
      <c r="N4084" s="14"/>
      <c r="O4084" s="14" t="s">
        <v>8003</v>
      </c>
      <c r="P4084" s="14" t="str">
        <f>HYPERLINK("https://ceds.ed.gov/cedselementdetails.aspx?termid=18742")</f>
        <v>https://ceds.ed.gov/cedselementdetails.aspx?termid=18742</v>
      </c>
      <c r="Q4084" s="14" t="str">
        <f>HYPERLINK("https://ceds.ed.gov/elementComment.aspx?elementName=State Full Academic Year &amp;elementID=18742", "Click here to submit comment")</f>
        <v>Click here to submit comment</v>
      </c>
      <c r="R4084" s="14">
        <v>51994</v>
      </c>
    </row>
    <row r="4085" spans="1:18" ht="90" x14ac:dyDescent="0.25">
      <c r="A4085" s="14" t="s">
        <v>9103</v>
      </c>
      <c r="B4085" s="14" t="s">
        <v>9155</v>
      </c>
      <c r="C4085" s="14"/>
      <c r="D4085" s="14" t="s">
        <v>8531</v>
      </c>
      <c r="E4085" s="14" t="s">
        <v>1160</v>
      </c>
      <c r="F4085" s="14" t="s">
        <v>1161</v>
      </c>
      <c r="G4085" s="14" t="s">
        <v>8527</v>
      </c>
      <c r="H4085" s="14"/>
      <c r="I4085" s="14" t="s">
        <v>195</v>
      </c>
      <c r="J4085" s="14"/>
      <c r="K4085" s="14" t="s">
        <v>1086</v>
      </c>
      <c r="L4085" s="6" t="s">
        <v>1087</v>
      </c>
      <c r="M4085" s="14" t="s">
        <v>1163</v>
      </c>
      <c r="N4085" s="14"/>
      <c r="O4085" s="14" t="s">
        <v>1164</v>
      </c>
      <c r="P4085" s="14" t="str">
        <f>HYPERLINK("https://ceds.ed.gov/cedselementdetails.aspx?termid=18025")</f>
        <v>https://ceds.ed.gov/cedselementdetails.aspx?termid=18025</v>
      </c>
      <c r="Q4085" s="14" t="str">
        <f>HYPERLINK("https://ceds.ed.gov/elementComment.aspx?elementName=Assessment Need Language Type &amp;elementID=18025", "Click here to submit comment")</f>
        <v>Click here to submit comment</v>
      </c>
      <c r="R4085" s="14">
        <v>48463</v>
      </c>
    </row>
    <row r="4086" spans="1:18" ht="45" x14ac:dyDescent="0.25">
      <c r="A4086" s="14" t="s">
        <v>9103</v>
      </c>
      <c r="B4086" s="14" t="s">
        <v>9155</v>
      </c>
      <c r="C4086" s="14"/>
      <c r="D4086" s="14" t="s">
        <v>8531</v>
      </c>
      <c r="E4086" s="14" t="s">
        <v>1237</v>
      </c>
      <c r="F4086" s="14" t="s">
        <v>1238</v>
      </c>
      <c r="G4086" s="14" t="s">
        <v>37</v>
      </c>
      <c r="H4086" s="14"/>
      <c r="I4086" s="14"/>
      <c r="J4086" s="14" t="s">
        <v>382</v>
      </c>
      <c r="K4086" s="14"/>
      <c r="L4086" s="14"/>
      <c r="M4086" s="14" t="s">
        <v>1239</v>
      </c>
      <c r="N4086" s="14"/>
      <c r="O4086" s="14" t="s">
        <v>1240</v>
      </c>
      <c r="P4086" s="14" t="str">
        <f>HYPERLINK("https://ceds.ed.gov/cedselementdetails.aspx?termid=18101")</f>
        <v>https://ceds.ed.gov/cedselementdetails.aspx?termid=18101</v>
      </c>
      <c r="Q4086" s="14" t="str">
        <f>HYPERLINK("https://ceds.ed.gov/elementComment.aspx?elementName=Assessment Need Type &amp;elementID=18101", "Click here to submit comment")</f>
        <v>Click here to submit comment</v>
      </c>
      <c r="R4086" s="14">
        <v>48541</v>
      </c>
    </row>
    <row r="4087" spans="1:18" ht="45" x14ac:dyDescent="0.25">
      <c r="A4087" s="14" t="s">
        <v>9103</v>
      </c>
      <c r="B4087" s="14" t="s">
        <v>9155</v>
      </c>
      <c r="C4087" s="14"/>
      <c r="D4087" s="14" t="s">
        <v>8531</v>
      </c>
      <c r="E4087" s="14" t="s">
        <v>1323</v>
      </c>
      <c r="F4087" s="14" t="s">
        <v>1324</v>
      </c>
      <c r="G4087" s="14" t="s">
        <v>24</v>
      </c>
      <c r="H4087" s="14"/>
      <c r="I4087" s="14"/>
      <c r="J4087" s="14"/>
      <c r="K4087" s="14"/>
      <c r="L4087" s="14" t="s">
        <v>1325</v>
      </c>
      <c r="M4087" s="14" t="s">
        <v>1326</v>
      </c>
      <c r="N4087" s="14"/>
      <c r="O4087" s="14" t="s">
        <v>1327</v>
      </c>
      <c r="P4087" s="14" t="str">
        <f>HYPERLINK("https://ceds.ed.gov/cedselementdetails.aspx?termid=18008")</f>
        <v>https://ceds.ed.gov/cedselementdetails.aspx?termid=18008</v>
      </c>
      <c r="Q4087" s="14" t="str">
        <f>HYPERLINK("https://ceds.ed.gov/elementComment.aspx?elementName=Assessment Personal Needs Profile Activate by Default &amp;elementID=18008", "Click here to submit comment")</f>
        <v>Click here to submit comment</v>
      </c>
      <c r="R4087" s="14">
        <v>48444</v>
      </c>
    </row>
    <row r="4088" spans="1:18" ht="45" x14ac:dyDescent="0.25">
      <c r="A4088" s="14" t="s">
        <v>9103</v>
      </c>
      <c r="B4088" s="14" t="s">
        <v>9155</v>
      </c>
      <c r="C4088" s="14"/>
      <c r="D4088" s="14" t="s">
        <v>8531</v>
      </c>
      <c r="E4088" s="14" t="s">
        <v>1328</v>
      </c>
      <c r="F4088" s="14" t="s">
        <v>1329</v>
      </c>
      <c r="G4088" s="14" t="s">
        <v>24</v>
      </c>
      <c r="H4088" s="14"/>
      <c r="I4088" s="14"/>
      <c r="J4088" s="14"/>
      <c r="K4088" s="14"/>
      <c r="L4088" s="14" t="s">
        <v>1325</v>
      </c>
      <c r="M4088" s="14" t="s">
        <v>1330</v>
      </c>
      <c r="N4088" s="14"/>
      <c r="O4088" s="14" t="s">
        <v>1331</v>
      </c>
      <c r="P4088" s="14" t="str">
        <f>HYPERLINK("https://ceds.ed.gov/cedselementdetails.aspx?termid=18007")</f>
        <v>https://ceds.ed.gov/cedselementdetails.aspx?termid=18007</v>
      </c>
      <c r="Q4088" s="14" t="str">
        <f>HYPERLINK("https://ceds.ed.gov/elementComment.aspx?elementName=Assessment Personal Needs Profile Assigned Support &amp;elementID=18007", "Click here to submit comment")</f>
        <v>Click here to submit comment</v>
      </c>
      <c r="R4088" s="14">
        <v>48443</v>
      </c>
    </row>
    <row r="4089" spans="1:18" ht="90" x14ac:dyDescent="0.25">
      <c r="A4089" s="14" t="s">
        <v>9103</v>
      </c>
      <c r="B4089" s="14" t="s">
        <v>9155</v>
      </c>
      <c r="C4089" s="14" t="s">
        <v>9156</v>
      </c>
      <c r="D4089" s="14" t="s">
        <v>8531</v>
      </c>
      <c r="E4089" s="14" t="s">
        <v>1097</v>
      </c>
      <c r="F4089" s="14" t="s">
        <v>1098</v>
      </c>
      <c r="G4089" s="8" t="s">
        <v>9157</v>
      </c>
      <c r="H4089" s="14"/>
      <c r="I4089" s="14"/>
      <c r="J4089" s="14"/>
      <c r="K4089" s="14"/>
      <c r="L4089" s="14"/>
      <c r="M4089" s="14" t="s">
        <v>1101</v>
      </c>
      <c r="N4089" s="14"/>
      <c r="O4089" s="14" t="s">
        <v>1102</v>
      </c>
      <c r="P4089" s="14" t="str">
        <f>HYPERLINK("https://ceds.ed.gov/cedselementdetails.aspx?termid=18045")</f>
        <v>https://ceds.ed.gov/cedselementdetails.aspx?termid=18045</v>
      </c>
      <c r="Q4089" s="14" t="str">
        <f>HYPERLINK("https://ceds.ed.gov/elementComment.aspx?elementName=Assessment Need Alternative Representation Type &amp;elementID=18045", "Click here to submit comment")</f>
        <v>Click here to submit comment</v>
      </c>
      <c r="R4089" s="14">
        <v>48482</v>
      </c>
    </row>
    <row r="4090" spans="1:18" ht="75" x14ac:dyDescent="0.25">
      <c r="A4090" s="14" t="s">
        <v>9103</v>
      </c>
      <c r="B4090" s="14" t="s">
        <v>9155</v>
      </c>
      <c r="C4090" s="14" t="s">
        <v>9156</v>
      </c>
      <c r="D4090" s="14" t="s">
        <v>8531</v>
      </c>
      <c r="E4090" s="14" t="s">
        <v>1130</v>
      </c>
      <c r="F4090" s="14" t="s">
        <v>1131</v>
      </c>
      <c r="G4090" s="14" t="s">
        <v>24</v>
      </c>
      <c r="H4090" s="14"/>
      <c r="I4090" s="14"/>
      <c r="J4090" s="14"/>
      <c r="K4090" s="14"/>
      <c r="L4090" s="14"/>
      <c r="M4090" s="14" t="s">
        <v>1132</v>
      </c>
      <c r="N4090" s="14"/>
      <c r="O4090" s="14" t="s">
        <v>1133</v>
      </c>
      <c r="P4090" s="14" t="str">
        <f>HYPERLINK("https://ceds.ed.gov/cedselementdetails.aspx?termid=18050")</f>
        <v>https://ceds.ed.gov/cedselementdetails.aspx?termid=18050</v>
      </c>
      <c r="Q4090" s="14" t="str">
        <f>HYPERLINK("https://ceds.ed.gov/elementComment.aspx?elementName=Assessment Need Directions Only &amp;elementID=18050", "Click here to submit comment")</f>
        <v>Click here to submit comment</v>
      </c>
      <c r="R4090" s="14">
        <v>48486</v>
      </c>
    </row>
    <row r="4091" spans="1:18" ht="75" x14ac:dyDescent="0.25">
      <c r="A4091" s="14" t="s">
        <v>9103</v>
      </c>
      <c r="B4091" s="14" t="s">
        <v>9155</v>
      </c>
      <c r="C4091" s="14" t="s">
        <v>9156</v>
      </c>
      <c r="D4091" s="14" t="s">
        <v>8531</v>
      </c>
      <c r="E4091" s="14" t="s">
        <v>1138</v>
      </c>
      <c r="F4091" s="14" t="s">
        <v>1139</v>
      </c>
      <c r="G4091" s="8" t="s">
        <v>9158</v>
      </c>
      <c r="H4091" s="14"/>
      <c r="I4091" s="14"/>
      <c r="J4091" s="14"/>
      <c r="K4091" s="14"/>
      <c r="L4091" s="14"/>
      <c r="M4091" s="14" t="s">
        <v>1141</v>
      </c>
      <c r="N4091" s="14"/>
      <c r="O4091" s="14" t="s">
        <v>1142</v>
      </c>
      <c r="P4091" s="14" t="str">
        <f>HYPERLINK("https://ceds.ed.gov/cedselementdetails.aspx?termid=18026")</f>
        <v>https://ceds.ed.gov/cedselementdetails.aspx?termid=18026</v>
      </c>
      <c r="Q4091" s="14" t="str">
        <f>HYPERLINK("https://ceds.ed.gov/elementComment.aspx?elementName=Assessment Need Hazard Type &amp;elementID=18026", "Click here to submit comment")</f>
        <v>Click here to submit comment</v>
      </c>
      <c r="R4091" s="14">
        <v>48464</v>
      </c>
    </row>
    <row r="4092" spans="1:18" ht="90" x14ac:dyDescent="0.25">
      <c r="A4092" s="14" t="s">
        <v>9103</v>
      </c>
      <c r="B4092" s="14" t="s">
        <v>9155</v>
      </c>
      <c r="C4092" s="14" t="s">
        <v>9156</v>
      </c>
      <c r="D4092" s="14" t="s">
        <v>8531</v>
      </c>
      <c r="E4092" s="14" t="s">
        <v>1152</v>
      </c>
      <c r="F4092" s="14" t="s">
        <v>1153</v>
      </c>
      <c r="G4092" s="14" t="s">
        <v>8527</v>
      </c>
      <c r="H4092" s="14"/>
      <c r="I4092" s="14" t="s">
        <v>195</v>
      </c>
      <c r="J4092" s="14"/>
      <c r="K4092" s="14" t="s">
        <v>1086</v>
      </c>
      <c r="L4092" s="6" t="s">
        <v>1087</v>
      </c>
      <c r="M4092" s="14" t="s">
        <v>1154</v>
      </c>
      <c r="N4092" s="14"/>
      <c r="O4092" s="14" t="s">
        <v>1155</v>
      </c>
      <c r="P4092" s="14" t="str">
        <f>HYPERLINK("https://ceds.ed.gov/cedselementdetails.aspx?termid=18042")</f>
        <v>https://ceds.ed.gov/cedselementdetails.aspx?termid=18042</v>
      </c>
      <c r="Q4092" s="14" t="str">
        <f>HYPERLINK("https://ceds.ed.gov/elementComment.aspx?elementName=Assessment Need Item Translation Display Language Type &amp;elementID=18042", "Click here to submit comment")</f>
        <v>Click here to submit comment</v>
      </c>
      <c r="R4092" s="14">
        <v>48479</v>
      </c>
    </row>
    <row r="4093" spans="1:18" ht="90" x14ac:dyDescent="0.25">
      <c r="A4093" s="14" t="s">
        <v>9103</v>
      </c>
      <c r="B4093" s="14" t="s">
        <v>9155</v>
      </c>
      <c r="C4093" s="14" t="s">
        <v>9156</v>
      </c>
      <c r="D4093" s="14" t="s">
        <v>8531</v>
      </c>
      <c r="E4093" s="14" t="s">
        <v>1156</v>
      </c>
      <c r="F4093" s="14" t="s">
        <v>1157</v>
      </c>
      <c r="G4093" s="14" t="s">
        <v>8527</v>
      </c>
      <c r="H4093" s="14"/>
      <c r="I4093" s="14" t="s">
        <v>195</v>
      </c>
      <c r="J4093" s="14"/>
      <c r="K4093" s="14" t="s">
        <v>1086</v>
      </c>
      <c r="L4093" s="6" t="s">
        <v>1087</v>
      </c>
      <c r="M4093" s="14" t="s">
        <v>1158</v>
      </c>
      <c r="N4093" s="14"/>
      <c r="O4093" s="14" t="s">
        <v>1159</v>
      </c>
      <c r="P4093" s="14" t="str">
        <f>HYPERLINK("https://ceds.ed.gov/cedselementdetails.aspx?termid=18043")</f>
        <v>https://ceds.ed.gov/cedselementdetails.aspx?termid=18043</v>
      </c>
      <c r="Q4093" s="14" t="str">
        <f>HYPERLINK("https://ceds.ed.gov/elementComment.aspx?elementName=Assessment Need Keyword Translation Language Type &amp;elementID=18043", "Click here to submit comment")</f>
        <v>Click here to submit comment</v>
      </c>
      <c r="R4093" s="14">
        <v>48480</v>
      </c>
    </row>
    <row r="4094" spans="1:18" ht="180" x14ac:dyDescent="0.25">
      <c r="A4094" s="14" t="s">
        <v>9103</v>
      </c>
      <c r="B4094" s="14" t="s">
        <v>9155</v>
      </c>
      <c r="C4094" s="14" t="s">
        <v>9156</v>
      </c>
      <c r="D4094" s="14" t="s">
        <v>8531</v>
      </c>
      <c r="E4094" s="14" t="s">
        <v>1222</v>
      </c>
      <c r="F4094" s="14" t="s">
        <v>1223</v>
      </c>
      <c r="G4094" s="8" t="s">
        <v>9159</v>
      </c>
      <c r="H4094" s="14"/>
      <c r="I4094" s="14"/>
      <c r="J4094" s="14"/>
      <c r="K4094" s="14"/>
      <c r="L4094" s="14"/>
      <c r="M4094" s="14" t="s">
        <v>1225</v>
      </c>
      <c r="N4094" s="14"/>
      <c r="O4094" s="14" t="s">
        <v>1226</v>
      </c>
      <c r="P4094" s="14" t="str">
        <f>HYPERLINK("https://ceds.ed.gov/cedselementdetails.aspx?termid=18027")</f>
        <v>https://ceds.ed.gov/cedselementdetails.aspx?termid=18027</v>
      </c>
      <c r="Q4094" s="14" t="str">
        <f>HYPERLINK("https://ceds.ed.gov/elementComment.aspx?elementName=Assessment Need Support Tool Type &amp;elementID=18027", "Click here to submit comment")</f>
        <v>Click here to submit comment</v>
      </c>
      <c r="R4094" s="14">
        <v>48465</v>
      </c>
    </row>
    <row r="4095" spans="1:18" ht="75" x14ac:dyDescent="0.25">
      <c r="A4095" s="14" t="s">
        <v>9103</v>
      </c>
      <c r="B4095" s="14" t="s">
        <v>9155</v>
      </c>
      <c r="C4095" s="14" t="s">
        <v>9156</v>
      </c>
      <c r="D4095" s="14" t="s">
        <v>8531</v>
      </c>
      <c r="E4095" s="14" t="s">
        <v>1246</v>
      </c>
      <c r="F4095" s="14" t="s">
        <v>1247</v>
      </c>
      <c r="G4095" s="8" t="s">
        <v>9160</v>
      </c>
      <c r="H4095" s="14"/>
      <c r="I4095" s="14"/>
      <c r="J4095" s="14"/>
      <c r="K4095" s="14"/>
      <c r="L4095" s="14"/>
      <c r="M4095" s="14" t="s">
        <v>1249</v>
      </c>
      <c r="N4095" s="14"/>
      <c r="O4095" s="14" t="s">
        <v>1250</v>
      </c>
      <c r="P4095" s="14" t="str">
        <f>HYPERLINK("https://ceds.ed.gov/cedselementdetails.aspx?termid=18049")</f>
        <v>https://ceds.ed.gov/cedselementdetails.aspx?termid=18049</v>
      </c>
      <c r="Q4095" s="14" t="str">
        <f>HYPERLINK("https://ceds.ed.gov/elementComment.aspx?elementName=Assessment Need User Spoken Preference Type &amp;elementID=18049", "Click here to submit comment")</f>
        <v>Click here to submit comment</v>
      </c>
      <c r="R4095" s="14">
        <v>48485</v>
      </c>
    </row>
    <row r="4096" spans="1:18" ht="105" x14ac:dyDescent="0.25">
      <c r="A4096" s="14" t="s">
        <v>9103</v>
      </c>
      <c r="B4096" s="14" t="s">
        <v>9155</v>
      </c>
      <c r="C4096" s="14" t="s">
        <v>9161</v>
      </c>
      <c r="D4096" s="14" t="s">
        <v>8531</v>
      </c>
      <c r="E4096" s="14" t="s">
        <v>1231</v>
      </c>
      <c r="F4096" s="14" t="s">
        <v>1232</v>
      </c>
      <c r="G4096" s="14" t="s">
        <v>37</v>
      </c>
      <c r="H4096" s="14"/>
      <c r="I4096" s="14"/>
      <c r="J4096" s="14" t="s">
        <v>1234</v>
      </c>
      <c r="K4096" s="14"/>
      <c r="L4096" s="14"/>
      <c r="M4096" s="14" t="s">
        <v>1235</v>
      </c>
      <c r="N4096" s="14"/>
      <c r="O4096" s="14" t="s">
        <v>1236</v>
      </c>
      <c r="P4096" s="14" t="str">
        <f>HYPERLINK("https://ceds.ed.gov/cedselementdetails.aspx?termid=18055")</f>
        <v>https://ceds.ed.gov/cedselementdetails.aspx?termid=18055</v>
      </c>
      <c r="Q4096" s="14" t="str">
        <f>HYPERLINK("https://ceds.ed.gov/elementComment.aspx?elementName=Assessment Need Time Multiplier &amp;elementID=18055", "Click here to submit comment")</f>
        <v>Click here to submit comment</v>
      </c>
      <c r="R4096" s="14">
        <v>48490</v>
      </c>
    </row>
    <row r="4097" spans="1:18" ht="45" x14ac:dyDescent="0.25">
      <c r="A4097" s="14" t="s">
        <v>9103</v>
      </c>
      <c r="B4097" s="14" t="s">
        <v>9155</v>
      </c>
      <c r="C4097" s="14" t="s">
        <v>9162</v>
      </c>
      <c r="D4097" s="14" t="s">
        <v>8531</v>
      </c>
      <c r="E4097" s="14" t="s">
        <v>1183</v>
      </c>
      <c r="F4097" s="14" t="s">
        <v>1184</v>
      </c>
      <c r="G4097" s="14" t="s">
        <v>37</v>
      </c>
      <c r="H4097" s="14"/>
      <c r="I4097" s="14"/>
      <c r="J4097" s="14" t="s">
        <v>370</v>
      </c>
      <c r="K4097" s="14"/>
      <c r="L4097" s="14"/>
      <c r="M4097" s="14" t="s">
        <v>1185</v>
      </c>
      <c r="N4097" s="14"/>
      <c r="O4097" s="14" t="s">
        <v>1186</v>
      </c>
      <c r="P4097" s="14" t="str">
        <f>HYPERLINK("https://ceds.ed.gov/cedselementdetails.aspx?termid=18037")</f>
        <v>https://ceds.ed.gov/cedselementdetails.aspx?termid=18037</v>
      </c>
      <c r="Q4097" s="14" t="str">
        <f>HYPERLINK("https://ceds.ed.gov/elementComment.aspx?elementName=Assessment Need Number of Braille Cells &amp;elementID=18037", "Click here to submit comment")</f>
        <v>Click here to submit comment</v>
      </c>
      <c r="R4097" s="14">
        <v>48475</v>
      </c>
    </row>
    <row r="4098" spans="1:18" ht="45" x14ac:dyDescent="0.25">
      <c r="A4098" s="14" t="s">
        <v>9103</v>
      </c>
      <c r="B4098" s="14" t="s">
        <v>9155</v>
      </c>
      <c r="C4098" s="14" t="s">
        <v>9162</v>
      </c>
      <c r="D4098" s="14" t="s">
        <v>8531</v>
      </c>
      <c r="E4098" s="14" t="s">
        <v>1187</v>
      </c>
      <c r="F4098" s="14" t="s">
        <v>1188</v>
      </c>
      <c r="G4098" s="8" t="s">
        <v>9163</v>
      </c>
      <c r="H4098" s="14"/>
      <c r="I4098" s="14"/>
      <c r="J4098" s="14"/>
      <c r="K4098" s="14"/>
      <c r="L4098" s="14"/>
      <c r="M4098" s="14" t="s">
        <v>1190</v>
      </c>
      <c r="N4098" s="14"/>
      <c r="O4098" s="14" t="s">
        <v>1191</v>
      </c>
      <c r="P4098" s="14" t="str">
        <f>HYPERLINK("https://ceds.ed.gov/cedselementdetails.aspx?termid=18036")</f>
        <v>https://ceds.ed.gov/cedselementdetails.aspx?termid=18036</v>
      </c>
      <c r="Q4098" s="14" t="str">
        <f>HYPERLINK("https://ceds.ed.gov/elementComment.aspx?elementName=Assessment Need Number of Braille Dots Type &amp;elementID=18036", "Click here to submit comment")</f>
        <v>Click here to submit comment</v>
      </c>
      <c r="R4098" s="14">
        <v>48474</v>
      </c>
    </row>
    <row r="4099" spans="1:18" ht="45" x14ac:dyDescent="0.25">
      <c r="A4099" s="14" t="s">
        <v>9103</v>
      </c>
      <c r="B4099" s="14" t="s">
        <v>9155</v>
      </c>
      <c r="C4099" s="14" t="s">
        <v>9162</v>
      </c>
      <c r="D4099" s="14" t="s">
        <v>8531</v>
      </c>
      <c r="E4099" s="14" t="s">
        <v>1109</v>
      </c>
      <c r="F4099" s="14" t="s">
        <v>1110</v>
      </c>
      <c r="G4099" s="14" t="s">
        <v>37</v>
      </c>
      <c r="H4099" s="14"/>
      <c r="I4099" s="14"/>
      <c r="J4099" s="14" t="s">
        <v>1112</v>
      </c>
      <c r="K4099" s="14"/>
      <c r="L4099" s="14"/>
      <c r="M4099" s="14" t="s">
        <v>1113</v>
      </c>
      <c r="N4099" s="14"/>
      <c r="O4099" s="14" t="s">
        <v>1114</v>
      </c>
      <c r="P4099" s="14" t="str">
        <f>HYPERLINK("https://ceds.ed.gov/cedselementdetails.aspx?termid=18040")</f>
        <v>https://ceds.ed.gov/cedselementdetails.aspx?termid=18040</v>
      </c>
      <c r="Q4099" s="14" t="str">
        <f>HYPERLINK("https://ceds.ed.gov/elementComment.aspx?elementName=Assessment Need Braille Dot Pressure &amp;elementID=18040", "Click here to submit comment")</f>
        <v>Click here to submit comment</v>
      </c>
      <c r="R4099" s="14">
        <v>48477</v>
      </c>
    </row>
    <row r="4100" spans="1:18" ht="60" x14ac:dyDescent="0.25">
      <c r="A4100" s="14" t="s">
        <v>9103</v>
      </c>
      <c r="B4100" s="14" t="s">
        <v>9155</v>
      </c>
      <c r="C4100" s="14" t="s">
        <v>9162</v>
      </c>
      <c r="D4100" s="14" t="s">
        <v>8531</v>
      </c>
      <c r="E4100" s="14" t="s">
        <v>1115</v>
      </c>
      <c r="F4100" s="14" t="s">
        <v>1116</v>
      </c>
      <c r="G4100" s="8" t="s">
        <v>9164</v>
      </c>
      <c r="H4100" s="14"/>
      <c r="I4100" s="14"/>
      <c r="J4100" s="14"/>
      <c r="K4100" s="14"/>
      <c r="L4100" s="14"/>
      <c r="M4100" s="14" t="s">
        <v>1118</v>
      </c>
      <c r="N4100" s="14"/>
      <c r="O4100" s="14" t="s">
        <v>1119</v>
      </c>
      <c r="P4100" s="14" t="str">
        <f>HYPERLINK("https://ceds.ed.gov/cedselementdetails.aspx?termid=18035")</f>
        <v>https://ceds.ed.gov/cedselementdetails.aspx?termid=18035</v>
      </c>
      <c r="Q4100" s="14" t="str">
        <f>HYPERLINK("https://ceds.ed.gov/elementComment.aspx?elementName=Assessment Need Braille Grade Type &amp;elementID=18035", "Click here to submit comment")</f>
        <v>Click here to submit comment</v>
      </c>
      <c r="R4100" s="14">
        <v>48473</v>
      </c>
    </row>
    <row r="4101" spans="1:18" ht="105" x14ac:dyDescent="0.25">
      <c r="A4101" s="14" t="s">
        <v>9103</v>
      </c>
      <c r="B4101" s="14" t="s">
        <v>9155</v>
      </c>
      <c r="C4101" s="14" t="s">
        <v>9162</v>
      </c>
      <c r="D4101" s="14" t="s">
        <v>8531</v>
      </c>
      <c r="E4101" s="14" t="s">
        <v>1120</v>
      </c>
      <c r="F4101" s="14" t="s">
        <v>1121</v>
      </c>
      <c r="G4101" s="8" t="s">
        <v>9165</v>
      </c>
      <c r="H4101" s="14"/>
      <c r="I4101" s="14"/>
      <c r="J4101" s="14"/>
      <c r="K4101" s="14"/>
      <c r="L4101" s="14"/>
      <c r="M4101" s="14" t="s">
        <v>1123</v>
      </c>
      <c r="N4101" s="14"/>
      <c r="O4101" s="14" t="s">
        <v>1124</v>
      </c>
      <c r="P4101" s="14" t="str">
        <f>HYPERLINK("https://ceds.ed.gov/cedselementdetails.aspx?termid=18038")</f>
        <v>https://ceds.ed.gov/cedselementdetails.aspx?termid=18038</v>
      </c>
      <c r="Q4101" s="14" t="str">
        <f>HYPERLINK("https://ceds.ed.gov/elementComment.aspx?elementName=Assessment Need Braille Mark Type &amp;elementID=18038", "Click here to submit comment")</f>
        <v>Click here to submit comment</v>
      </c>
      <c r="R4101" s="14">
        <v>48476</v>
      </c>
    </row>
    <row r="4102" spans="1:18" ht="60" x14ac:dyDescent="0.25">
      <c r="A4102" s="14" t="s">
        <v>9103</v>
      </c>
      <c r="B4102" s="14" t="s">
        <v>9155</v>
      </c>
      <c r="C4102" s="14" t="s">
        <v>9162</v>
      </c>
      <c r="D4102" s="14" t="s">
        <v>8531</v>
      </c>
      <c r="E4102" s="14" t="s">
        <v>1125</v>
      </c>
      <c r="F4102" s="14" t="s">
        <v>1126</v>
      </c>
      <c r="G4102" s="8" t="s">
        <v>9166</v>
      </c>
      <c r="H4102" s="14"/>
      <c r="I4102" s="14"/>
      <c r="J4102" s="14"/>
      <c r="K4102" s="14"/>
      <c r="L4102" s="14"/>
      <c r="M4102" s="14" t="s">
        <v>1128</v>
      </c>
      <c r="N4102" s="14"/>
      <c r="O4102" s="14" t="s">
        <v>1129</v>
      </c>
      <c r="P4102" s="14" t="str">
        <f>HYPERLINK("https://ceds.ed.gov/cedselementdetails.aspx?termid=18041")</f>
        <v>https://ceds.ed.gov/cedselementdetails.aspx?termid=18041</v>
      </c>
      <c r="Q4102" s="14" t="str">
        <f>HYPERLINK("https://ceds.ed.gov/elementComment.aspx?elementName=Assessment Need Braille Status Cell Type &amp;elementID=18041", "Click here to submit comment")</f>
        <v>Click here to submit comment</v>
      </c>
      <c r="R4102" s="14">
        <v>48478</v>
      </c>
    </row>
    <row r="4103" spans="1:18" ht="60" x14ac:dyDescent="0.25">
      <c r="A4103" s="14" t="s">
        <v>9103</v>
      </c>
      <c r="B4103" s="14" t="s">
        <v>9155</v>
      </c>
      <c r="C4103" s="14" t="s">
        <v>9162</v>
      </c>
      <c r="D4103" s="14" t="s">
        <v>8531</v>
      </c>
      <c r="E4103" s="14" t="s">
        <v>1148</v>
      </c>
      <c r="F4103" s="14" t="s">
        <v>1149</v>
      </c>
      <c r="G4103" s="14" t="s">
        <v>24</v>
      </c>
      <c r="H4103" s="14"/>
      <c r="I4103" s="14"/>
      <c r="J4103" s="14"/>
      <c r="K4103" s="14"/>
      <c r="L4103" s="14"/>
      <c r="M4103" s="14" t="s">
        <v>1150</v>
      </c>
      <c r="N4103" s="14"/>
      <c r="O4103" s="14" t="s">
        <v>1151</v>
      </c>
      <c r="P4103" s="14" t="str">
        <f>HYPERLINK("https://ceds.ed.gov/cedselementdetails.aspx?termid=18033")</f>
        <v>https://ceds.ed.gov/cedselementdetails.aspx?termid=18033</v>
      </c>
      <c r="Q4103" s="14" t="str">
        <f>HYPERLINK("https://ceds.ed.gov/elementComment.aspx?elementName=Assessment Need Invert Color Choice &amp;elementID=18033", "Click here to submit comment")</f>
        <v>Click here to submit comment</v>
      </c>
      <c r="R4103" s="14">
        <v>48471</v>
      </c>
    </row>
    <row r="4104" spans="1:18" ht="60" x14ac:dyDescent="0.25">
      <c r="A4104" s="14" t="s">
        <v>9103</v>
      </c>
      <c r="B4104" s="14" t="s">
        <v>9155</v>
      </c>
      <c r="C4104" s="14" t="s">
        <v>9162</v>
      </c>
      <c r="D4104" s="14" t="s">
        <v>8531</v>
      </c>
      <c r="E4104" s="14" t="s">
        <v>1165</v>
      </c>
      <c r="F4104" s="14" t="s">
        <v>1166</v>
      </c>
      <c r="G4104" s="14" t="s">
        <v>37</v>
      </c>
      <c r="H4104" s="14"/>
      <c r="I4104" s="14"/>
      <c r="J4104" s="14" t="s">
        <v>1106</v>
      </c>
      <c r="K4104" s="14"/>
      <c r="L4104" s="14"/>
      <c r="M4104" s="14" t="s">
        <v>1167</v>
      </c>
      <c r="N4104" s="14"/>
      <c r="O4104" s="14" t="s">
        <v>1168</v>
      </c>
      <c r="P4104" s="14" t="str">
        <f>HYPERLINK("https://ceds.ed.gov/cedselementdetails.aspx?termid=18056")</f>
        <v>https://ceds.ed.gov/cedselementdetails.aspx?termid=18056</v>
      </c>
      <c r="Q4104" s="14" t="str">
        <f>HYPERLINK("https://ceds.ed.gov/elementComment.aspx?elementName=Assessment Need Line Reader Highlight Color &amp;elementID=18056", "Click here to submit comment")</f>
        <v>Click here to submit comment</v>
      </c>
      <c r="R4104" s="14">
        <v>48491</v>
      </c>
    </row>
    <row r="4105" spans="1:18" ht="75" x14ac:dyDescent="0.25">
      <c r="A4105" s="14" t="s">
        <v>9103</v>
      </c>
      <c r="B4105" s="14" t="s">
        <v>9155</v>
      </c>
      <c r="C4105" s="14" t="s">
        <v>9162</v>
      </c>
      <c r="D4105" s="14" t="s">
        <v>8531</v>
      </c>
      <c r="E4105" s="14" t="s">
        <v>1169</v>
      </c>
      <c r="F4105" s="14" t="s">
        <v>1170</v>
      </c>
      <c r="G4105" s="8" t="s">
        <v>9167</v>
      </c>
      <c r="H4105" s="14"/>
      <c r="I4105" s="14"/>
      <c r="J4105" s="14"/>
      <c r="K4105" s="14"/>
      <c r="L4105" s="14"/>
      <c r="M4105" s="14" t="s">
        <v>1172</v>
      </c>
      <c r="N4105" s="14"/>
      <c r="O4105" s="14" t="s">
        <v>1173</v>
      </c>
      <c r="P4105" s="14" t="str">
        <f>HYPERLINK("https://ceds.ed.gov/cedselementdetails.aspx?termid=18029")</f>
        <v>https://ceds.ed.gov/cedselementdetails.aspx?termid=18029</v>
      </c>
      <c r="Q4105" s="14" t="str">
        <f>HYPERLINK("https://ceds.ed.gov/elementComment.aspx?elementName=Assessment Need Link Indication Type &amp;elementID=18029", "Click here to submit comment")</f>
        <v>Click here to submit comment</v>
      </c>
      <c r="R4105" s="14">
        <v>48467</v>
      </c>
    </row>
    <row r="4106" spans="1:18" ht="60" x14ac:dyDescent="0.25">
      <c r="A4106" s="14" t="s">
        <v>9103</v>
      </c>
      <c r="B4106" s="14" t="s">
        <v>9155</v>
      </c>
      <c r="C4106" s="14" t="s">
        <v>9162</v>
      </c>
      <c r="D4106" s="14" t="s">
        <v>8531</v>
      </c>
      <c r="E4106" s="14" t="s">
        <v>1174</v>
      </c>
      <c r="F4106" s="14" t="s">
        <v>1175</v>
      </c>
      <c r="G4106" s="14" t="s">
        <v>37</v>
      </c>
      <c r="H4106" s="14"/>
      <c r="I4106" s="14"/>
      <c r="J4106" s="14" t="s">
        <v>1112</v>
      </c>
      <c r="K4106" s="14"/>
      <c r="L4106" s="14"/>
      <c r="M4106" s="14" t="s">
        <v>1176</v>
      </c>
      <c r="N4106" s="14"/>
      <c r="O4106" s="14" t="s">
        <v>1177</v>
      </c>
      <c r="P4106" s="14" t="str">
        <f>HYPERLINK("https://ceds.ed.gov/cedselementdetails.aspx?termid=18034")</f>
        <v>https://ceds.ed.gov/cedselementdetails.aspx?termid=18034</v>
      </c>
      <c r="Q4106" s="14" t="str">
        <f>HYPERLINK("https://ceds.ed.gov/elementComment.aspx?elementName=Assessment Need Magnification &amp;elementID=18034", "Click here to submit comment")</f>
        <v>Click here to submit comment</v>
      </c>
      <c r="R4106" s="14">
        <v>48472</v>
      </c>
    </row>
    <row r="4107" spans="1:18" ht="75" x14ac:dyDescent="0.25">
      <c r="A4107" s="14" t="s">
        <v>9103</v>
      </c>
      <c r="B4107" s="14" t="s">
        <v>9155</v>
      </c>
      <c r="C4107" s="14" t="s">
        <v>9162</v>
      </c>
      <c r="D4107" s="14" t="s">
        <v>8531</v>
      </c>
      <c r="E4107" s="14" t="s">
        <v>1178</v>
      </c>
      <c r="F4107" s="14" t="s">
        <v>1179</v>
      </c>
      <c r="G4107" s="8" t="s">
        <v>9168</v>
      </c>
      <c r="H4107" s="14"/>
      <c r="I4107" s="14"/>
      <c r="J4107" s="14"/>
      <c r="K4107" s="14"/>
      <c r="L4107" s="14"/>
      <c r="M4107" s="14" t="s">
        <v>1181</v>
      </c>
      <c r="N4107" s="14"/>
      <c r="O4107" s="14" t="s">
        <v>1182</v>
      </c>
      <c r="P4107" s="14" t="str">
        <f>HYPERLINK("https://ceds.ed.gov/cedselementdetails.aspx?termid=18051")</f>
        <v>https://ceds.ed.gov/cedselementdetails.aspx?termid=18051</v>
      </c>
      <c r="Q4107" s="14" t="str">
        <f>HYPERLINK("https://ceds.ed.gov/elementComment.aspx?elementName=Assessment Need Masking Type &amp;elementID=18051", "Click here to submit comment")</f>
        <v>Click here to submit comment</v>
      </c>
      <c r="R4107" s="14">
        <v>48487</v>
      </c>
    </row>
    <row r="4108" spans="1:18" ht="45" x14ac:dyDescent="0.25">
      <c r="A4108" s="14" t="s">
        <v>9103</v>
      </c>
      <c r="B4108" s="14" t="s">
        <v>9155</v>
      </c>
      <c r="C4108" s="14" t="s">
        <v>9162</v>
      </c>
      <c r="D4108" s="14" t="s">
        <v>8531</v>
      </c>
      <c r="E4108" s="14" t="s">
        <v>1196</v>
      </c>
      <c r="F4108" s="14" t="s">
        <v>1197</v>
      </c>
      <c r="G4108" s="14" t="s">
        <v>37</v>
      </c>
      <c r="H4108" s="14"/>
      <c r="I4108" s="14"/>
      <c r="J4108" s="14" t="s">
        <v>1112</v>
      </c>
      <c r="K4108" s="14"/>
      <c r="L4108" s="14"/>
      <c r="M4108" s="14" t="s">
        <v>1198</v>
      </c>
      <c r="N4108" s="14"/>
      <c r="O4108" s="14" t="s">
        <v>1199</v>
      </c>
      <c r="P4108" s="14" t="str">
        <f>HYPERLINK("https://ceds.ed.gov/cedselementdetails.aspx?termid=18031")</f>
        <v>https://ceds.ed.gov/cedselementdetails.aspx?termid=18031</v>
      </c>
      <c r="Q4108" s="14" t="str">
        <f>HYPERLINK("https://ceds.ed.gov/elementComment.aspx?elementName=Assessment Need Pitch &amp;elementID=18031", "Click here to submit comment")</f>
        <v>Click here to submit comment</v>
      </c>
      <c r="R4108" s="14">
        <v>48469</v>
      </c>
    </row>
    <row r="4109" spans="1:18" ht="60" x14ac:dyDescent="0.25">
      <c r="A4109" s="14" t="s">
        <v>9103</v>
      </c>
      <c r="B4109" s="14" t="s">
        <v>9155</v>
      </c>
      <c r="C4109" s="14" t="s">
        <v>9162</v>
      </c>
      <c r="D4109" s="14" t="s">
        <v>8531</v>
      </c>
      <c r="E4109" s="14" t="s">
        <v>1200</v>
      </c>
      <c r="F4109" s="14" t="s">
        <v>1201</v>
      </c>
      <c r="G4109" s="14" t="s">
        <v>24</v>
      </c>
      <c r="H4109" s="14"/>
      <c r="I4109" s="14"/>
      <c r="J4109" s="14"/>
      <c r="K4109" s="14"/>
      <c r="L4109" s="14"/>
      <c r="M4109" s="14" t="s">
        <v>1202</v>
      </c>
      <c r="N4109" s="14"/>
      <c r="O4109" s="14" t="s">
        <v>1203</v>
      </c>
      <c r="P4109" s="14" t="str">
        <f>HYPERLINK("https://ceds.ed.gov/cedselementdetails.aspx?termid=18048")</f>
        <v>https://ceds.ed.gov/cedselementdetails.aspx?termid=18048</v>
      </c>
      <c r="Q4109" s="14" t="str">
        <f>HYPERLINK("https://ceds.ed.gov/elementComment.aspx?elementName=Assessment Need Read at Start Preference &amp;elementID=18048", "Click here to submit comment")</f>
        <v>Click here to submit comment</v>
      </c>
      <c r="R4109" s="14">
        <v>48484</v>
      </c>
    </row>
    <row r="4110" spans="1:18" ht="45" x14ac:dyDescent="0.25">
      <c r="A4110" s="14" t="s">
        <v>9103</v>
      </c>
      <c r="B4110" s="14" t="s">
        <v>9155</v>
      </c>
      <c r="C4110" s="14" t="s">
        <v>9162</v>
      </c>
      <c r="D4110" s="14" t="s">
        <v>8531</v>
      </c>
      <c r="E4110" s="14" t="s">
        <v>1204</v>
      </c>
      <c r="F4110" s="14" t="s">
        <v>1205</v>
      </c>
      <c r="G4110" s="8" t="s">
        <v>9169</v>
      </c>
      <c r="H4110" s="14"/>
      <c r="I4110" s="14"/>
      <c r="J4110" s="14"/>
      <c r="K4110" s="14"/>
      <c r="L4110" s="14"/>
      <c r="M4110" s="14" t="s">
        <v>1207</v>
      </c>
      <c r="N4110" s="14"/>
      <c r="O4110" s="14" t="s">
        <v>1208</v>
      </c>
      <c r="P4110" s="14" t="str">
        <f>HYPERLINK("https://ceds.ed.gov/cedselementdetails.aspx?termid=18044")</f>
        <v>https://ceds.ed.gov/cedselementdetails.aspx?termid=18044</v>
      </c>
      <c r="Q4110" s="14" t="str">
        <f>HYPERLINK("https://ceds.ed.gov/elementComment.aspx?elementName=Assessment Need Signing Type &amp;elementID=18044", "Click here to submit comment")</f>
        <v>Click here to submit comment</v>
      </c>
      <c r="R4110" s="14">
        <v>48481</v>
      </c>
    </row>
    <row r="4111" spans="1:18" ht="105" x14ac:dyDescent="0.25">
      <c r="A4111" s="14" t="s">
        <v>9103</v>
      </c>
      <c r="B4111" s="14" t="s">
        <v>9155</v>
      </c>
      <c r="C4111" s="14" t="s">
        <v>9162</v>
      </c>
      <c r="D4111" s="14" t="s">
        <v>8531</v>
      </c>
      <c r="E4111" s="14" t="s">
        <v>1209</v>
      </c>
      <c r="F4111" s="14" t="s">
        <v>1210</v>
      </c>
      <c r="G4111" s="14" t="s">
        <v>37</v>
      </c>
      <c r="H4111" s="14"/>
      <c r="I4111" s="14"/>
      <c r="J4111" s="14" t="s">
        <v>57</v>
      </c>
      <c r="K4111" s="14"/>
      <c r="L4111" s="14"/>
      <c r="M4111" s="14" t="s">
        <v>1211</v>
      </c>
      <c r="N4111" s="14"/>
      <c r="O4111" s="14" t="s">
        <v>1212</v>
      </c>
      <c r="P4111" s="14" t="str">
        <f>HYPERLINK("https://ceds.ed.gov/cedselementdetails.aspx?termid=18053")</f>
        <v>https://ceds.ed.gov/cedselementdetails.aspx?termid=18053</v>
      </c>
      <c r="Q4111" s="14" t="str">
        <f>HYPERLINK("https://ceds.ed.gov/elementComment.aspx?elementName=Assessment Need Sound File URL &amp;elementID=18053", "Click here to submit comment")</f>
        <v>Click here to submit comment</v>
      </c>
      <c r="R4111" s="14">
        <v>48489</v>
      </c>
    </row>
    <row r="4112" spans="1:18" ht="45" x14ac:dyDescent="0.25">
      <c r="A4112" s="14" t="s">
        <v>9103</v>
      </c>
      <c r="B4112" s="14" t="s">
        <v>9155</v>
      </c>
      <c r="C4112" s="14" t="s">
        <v>9162</v>
      </c>
      <c r="D4112" s="14" t="s">
        <v>8531</v>
      </c>
      <c r="E4112" s="14" t="s">
        <v>1213</v>
      </c>
      <c r="F4112" s="14" t="s">
        <v>1214</v>
      </c>
      <c r="G4112" s="14" t="s">
        <v>37</v>
      </c>
      <c r="H4112" s="14"/>
      <c r="I4112" s="14"/>
      <c r="J4112" s="14" t="s">
        <v>370</v>
      </c>
      <c r="K4112" s="14"/>
      <c r="L4112" s="14"/>
      <c r="M4112" s="14" t="s">
        <v>1215</v>
      </c>
      <c r="N4112" s="14"/>
      <c r="O4112" s="14" t="s">
        <v>1216</v>
      </c>
      <c r="P4112" s="14" t="str">
        <f>HYPERLINK("https://ceds.ed.gov/cedselementdetails.aspx?termid=18030")</f>
        <v>https://ceds.ed.gov/cedselementdetails.aspx?termid=18030</v>
      </c>
      <c r="Q4112" s="14" t="str">
        <f>HYPERLINK("https://ceds.ed.gov/elementComment.aspx?elementName=Assessment Need Speech Rate &amp;elementID=18030", "Click here to submit comment")</f>
        <v>Click here to submit comment</v>
      </c>
      <c r="R4112" s="14">
        <v>48468</v>
      </c>
    </row>
    <row r="4113" spans="1:18" ht="45" x14ac:dyDescent="0.25">
      <c r="A4113" s="14" t="s">
        <v>9103</v>
      </c>
      <c r="B4113" s="14" t="s">
        <v>9155</v>
      </c>
      <c r="C4113" s="14" t="s">
        <v>9162</v>
      </c>
      <c r="D4113" s="14" t="s">
        <v>8531</v>
      </c>
      <c r="E4113" s="14" t="s">
        <v>1217</v>
      </c>
      <c r="F4113" s="14" t="s">
        <v>1218</v>
      </c>
      <c r="G4113" s="8" t="s">
        <v>9170</v>
      </c>
      <c r="H4113" s="14"/>
      <c r="I4113" s="14"/>
      <c r="J4113" s="14"/>
      <c r="K4113" s="14"/>
      <c r="L4113" s="14"/>
      <c r="M4113" s="14" t="s">
        <v>1220</v>
      </c>
      <c r="N4113" s="14"/>
      <c r="O4113" s="14" t="s">
        <v>1221</v>
      </c>
      <c r="P4113" s="14" t="str">
        <f>HYPERLINK("https://ceds.ed.gov/cedselementdetails.aspx?termid=18046")</f>
        <v>https://ceds.ed.gov/cedselementdetails.aspx?termid=18046</v>
      </c>
      <c r="Q4113" s="14" t="str">
        <f>HYPERLINK("https://ceds.ed.gov/elementComment.aspx?elementName=Assessment Need Spoken Source Preference Type &amp;elementID=18046", "Click here to submit comment")</f>
        <v>Click here to submit comment</v>
      </c>
      <c r="R4113" s="14">
        <v>48483</v>
      </c>
    </row>
    <row r="4114" spans="1:18" ht="45" x14ac:dyDescent="0.25">
      <c r="A4114" s="14" t="s">
        <v>9103</v>
      </c>
      <c r="B4114" s="14" t="s">
        <v>9155</v>
      </c>
      <c r="C4114" s="14" t="s">
        <v>9162</v>
      </c>
      <c r="D4114" s="14" t="s">
        <v>8531</v>
      </c>
      <c r="E4114" s="14" t="s">
        <v>1251</v>
      </c>
      <c r="F4114" s="14" t="s">
        <v>1252</v>
      </c>
      <c r="G4114" s="14" t="s">
        <v>37</v>
      </c>
      <c r="H4114" s="14"/>
      <c r="I4114" s="14"/>
      <c r="J4114" s="14" t="s">
        <v>1112</v>
      </c>
      <c r="K4114" s="14"/>
      <c r="L4114" s="14"/>
      <c r="M4114" s="14" t="s">
        <v>1253</v>
      </c>
      <c r="N4114" s="14"/>
      <c r="O4114" s="14" t="s">
        <v>1254</v>
      </c>
      <c r="P4114" s="14" t="str">
        <f>HYPERLINK("https://ceds.ed.gov/cedselementdetails.aspx?termid=18032")</f>
        <v>https://ceds.ed.gov/cedselementdetails.aspx?termid=18032</v>
      </c>
      <c r="Q4114" s="14" t="str">
        <f>HYPERLINK("https://ceds.ed.gov/elementComment.aspx?elementName=Assessment Need Volume &amp;elementID=18032", "Click here to submit comment")</f>
        <v>Click here to submit comment</v>
      </c>
      <c r="R4114" s="14">
        <v>48470</v>
      </c>
    </row>
    <row r="4115" spans="1:18" ht="105" x14ac:dyDescent="0.25">
      <c r="A4115" s="14" t="s">
        <v>9103</v>
      </c>
      <c r="B4115" s="14" t="s">
        <v>9155</v>
      </c>
      <c r="C4115" s="14" t="s">
        <v>9162</v>
      </c>
      <c r="D4115" s="14" t="s">
        <v>8531</v>
      </c>
      <c r="E4115" s="14" t="s">
        <v>1227</v>
      </c>
      <c r="F4115" s="14" t="s">
        <v>1228</v>
      </c>
      <c r="G4115" s="14" t="s">
        <v>37</v>
      </c>
      <c r="H4115" s="14"/>
      <c r="I4115" s="14"/>
      <c r="J4115" s="14" t="s">
        <v>382</v>
      </c>
      <c r="K4115" s="14"/>
      <c r="L4115" s="14"/>
      <c r="M4115" s="14" t="s">
        <v>1229</v>
      </c>
      <c r="N4115" s="14"/>
      <c r="O4115" s="14" t="s">
        <v>1230</v>
      </c>
      <c r="P4115" s="14" t="str">
        <f>HYPERLINK("https://ceds.ed.gov/cedselementdetails.aspx?termid=18052")</f>
        <v>https://ceds.ed.gov/cedselementdetails.aspx?termid=18052</v>
      </c>
      <c r="Q4115" s="14" t="str">
        <f>HYPERLINK("https://ceds.ed.gov/elementComment.aspx?elementName=Assessment Need Text Messaging String &amp;elementID=18052", "Click here to submit comment")</f>
        <v>Click here to submit comment</v>
      </c>
      <c r="R4115" s="14">
        <v>48488</v>
      </c>
    </row>
    <row r="4116" spans="1:18" ht="75" x14ac:dyDescent="0.25">
      <c r="A4116" s="14" t="s">
        <v>9103</v>
      </c>
      <c r="B4116" s="14" t="s">
        <v>9155</v>
      </c>
      <c r="C4116" s="14" t="s">
        <v>9162</v>
      </c>
      <c r="D4116" s="14" t="s">
        <v>8531</v>
      </c>
      <c r="E4116" s="14" t="s">
        <v>1241</v>
      </c>
      <c r="F4116" s="14" t="s">
        <v>1242</v>
      </c>
      <c r="G4116" s="8" t="s">
        <v>9171</v>
      </c>
      <c r="H4116" s="14"/>
      <c r="I4116" s="14"/>
      <c r="J4116" s="14"/>
      <c r="K4116" s="14"/>
      <c r="L4116" s="14"/>
      <c r="M4116" s="14" t="s">
        <v>1244</v>
      </c>
      <c r="N4116" s="14"/>
      <c r="O4116" s="14" t="s">
        <v>1245</v>
      </c>
      <c r="P4116" s="14" t="str">
        <f>HYPERLINK("https://ceds.ed.gov/cedselementdetails.aspx?termid=18028")</f>
        <v>https://ceds.ed.gov/cedselementdetails.aspx?termid=18028</v>
      </c>
      <c r="Q4116" s="14" t="str">
        <f>HYPERLINK("https://ceds.ed.gov/elementComment.aspx?elementName=Assessment Need Usage Type &amp;elementID=18028", "Click here to submit comment")</f>
        <v>Click here to submit comment</v>
      </c>
      <c r="R4116" s="14">
        <v>48466</v>
      </c>
    </row>
    <row r="4117" spans="1:18" ht="60" x14ac:dyDescent="0.25">
      <c r="A4117" s="14" t="s">
        <v>9103</v>
      </c>
      <c r="B4117" s="14" t="s">
        <v>9155</v>
      </c>
      <c r="C4117" s="14" t="s">
        <v>9172</v>
      </c>
      <c r="D4117" s="14" t="s">
        <v>8531</v>
      </c>
      <c r="E4117" s="14" t="s">
        <v>1103</v>
      </c>
      <c r="F4117" s="14" t="s">
        <v>1104</v>
      </c>
      <c r="G4117" s="14" t="s">
        <v>37</v>
      </c>
      <c r="H4117" s="14"/>
      <c r="I4117" s="14"/>
      <c r="J4117" s="14" t="s">
        <v>1106</v>
      </c>
      <c r="K4117" s="14"/>
      <c r="L4117" s="14"/>
      <c r="M4117" s="14" t="s">
        <v>1107</v>
      </c>
      <c r="N4117" s="14"/>
      <c r="O4117" s="14" t="s">
        <v>1108</v>
      </c>
      <c r="P4117" s="14" t="str">
        <f>HYPERLINK("https://ceds.ed.gov/cedselementdetails.aspx?termid=18059")</f>
        <v>https://ceds.ed.gov/cedselementdetails.aspx?termid=18059</v>
      </c>
      <c r="Q4117" s="14" t="str">
        <f>HYPERLINK("https://ceds.ed.gov/elementComment.aspx?elementName=Assessment Need Background Color &amp;elementID=18059", "Click here to submit comment")</f>
        <v>Click here to submit comment</v>
      </c>
      <c r="R4117" s="14">
        <v>48494</v>
      </c>
    </row>
    <row r="4118" spans="1:18" ht="60" x14ac:dyDescent="0.25">
      <c r="A4118" s="14" t="s">
        <v>9103</v>
      </c>
      <c r="B4118" s="14" t="s">
        <v>9155</v>
      </c>
      <c r="C4118" s="14" t="s">
        <v>9172</v>
      </c>
      <c r="D4118" s="14" t="s">
        <v>8531</v>
      </c>
      <c r="E4118" s="14" t="s">
        <v>1134</v>
      </c>
      <c r="F4118" s="14" t="s">
        <v>1135</v>
      </c>
      <c r="G4118" s="14" t="s">
        <v>37</v>
      </c>
      <c r="H4118" s="14"/>
      <c r="I4118" s="14"/>
      <c r="J4118" s="14" t="s">
        <v>1106</v>
      </c>
      <c r="K4118" s="14"/>
      <c r="L4118" s="14"/>
      <c r="M4118" s="14" t="s">
        <v>1136</v>
      </c>
      <c r="N4118" s="14"/>
      <c r="O4118" s="14" t="s">
        <v>1137</v>
      </c>
      <c r="P4118" s="14" t="str">
        <f>HYPERLINK("https://ceds.ed.gov/cedselementdetails.aspx?termid=18058")</f>
        <v>https://ceds.ed.gov/cedselementdetails.aspx?termid=18058</v>
      </c>
      <c r="Q4118" s="14" t="str">
        <f>HYPERLINK("https://ceds.ed.gov/elementComment.aspx?elementName=Assessment Need Foreground Color &amp;elementID=18058", "Click here to submit comment")</f>
        <v>Click here to submit comment</v>
      </c>
      <c r="R4118" s="14">
        <v>48493</v>
      </c>
    </row>
    <row r="4119" spans="1:18" ht="60" x14ac:dyDescent="0.25">
      <c r="A4119" s="14" t="s">
        <v>9103</v>
      </c>
      <c r="B4119" s="14" t="s">
        <v>9155</v>
      </c>
      <c r="C4119" s="14" t="s">
        <v>9172</v>
      </c>
      <c r="D4119" s="14" t="s">
        <v>8531</v>
      </c>
      <c r="E4119" s="14" t="s">
        <v>1143</v>
      </c>
      <c r="F4119" s="14" t="s">
        <v>1144</v>
      </c>
      <c r="G4119" s="8" t="s">
        <v>9173</v>
      </c>
      <c r="H4119" s="14"/>
      <c r="I4119" s="14"/>
      <c r="J4119" s="14"/>
      <c r="K4119" s="14"/>
      <c r="L4119" s="14"/>
      <c r="M4119" s="14" t="s">
        <v>1146</v>
      </c>
      <c r="N4119" s="14"/>
      <c r="O4119" s="14" t="s">
        <v>1147</v>
      </c>
      <c r="P4119" s="14" t="str">
        <f>HYPERLINK("https://ceds.ed.gov/cedselementdetails.aspx?termid=18060")</f>
        <v>https://ceds.ed.gov/cedselementdetails.aspx?termid=18060</v>
      </c>
      <c r="Q4119" s="14" t="str">
        <f>HYPERLINK("https://ceds.ed.gov/elementComment.aspx?elementName=Assessment Need Increased Whitespacing Type &amp;elementID=18060", "Click here to submit comment")</f>
        <v>Click here to submit comment</v>
      </c>
      <c r="R4119" s="14">
        <v>48495</v>
      </c>
    </row>
    <row r="4120" spans="1:18" ht="60" x14ac:dyDescent="0.25">
      <c r="A4120" s="14" t="s">
        <v>9103</v>
      </c>
      <c r="B4120" s="14" t="s">
        <v>9155</v>
      </c>
      <c r="C4120" s="14" t="s">
        <v>9172</v>
      </c>
      <c r="D4120" s="14" t="s">
        <v>8531</v>
      </c>
      <c r="E4120" s="14" t="s">
        <v>1192</v>
      </c>
      <c r="F4120" s="14" t="s">
        <v>1193</v>
      </c>
      <c r="G4120" s="14" t="s">
        <v>37</v>
      </c>
      <c r="H4120" s="14"/>
      <c r="I4120" s="14"/>
      <c r="J4120" s="14" t="s">
        <v>1106</v>
      </c>
      <c r="K4120" s="14"/>
      <c r="L4120" s="14"/>
      <c r="M4120" s="14" t="s">
        <v>1194</v>
      </c>
      <c r="N4120" s="14"/>
      <c r="O4120" s="14" t="s">
        <v>1195</v>
      </c>
      <c r="P4120" s="14" t="str">
        <f>HYPERLINK("https://ceds.ed.gov/cedselementdetails.aspx?termid=18057")</f>
        <v>https://ceds.ed.gov/cedselementdetails.aspx?termid=18057</v>
      </c>
      <c r="Q4120" s="14" t="str">
        <f>HYPERLINK("https://ceds.ed.gov/elementComment.aspx?elementName=Assessment Need Overlay Color &amp;elementID=18057", "Click here to submit comment")</f>
        <v>Click here to submit comment</v>
      </c>
      <c r="R4120" s="14">
        <v>48492</v>
      </c>
    </row>
    <row r="4121" spans="1:18" ht="165" customHeight="1" x14ac:dyDescent="0.25">
      <c r="A4121" s="19" t="s">
        <v>9103</v>
      </c>
      <c r="B4121" s="19" t="s">
        <v>9174</v>
      </c>
      <c r="C4121" s="19"/>
      <c r="D4121" s="19" t="s">
        <v>8531</v>
      </c>
      <c r="E4121" s="19" t="s">
        <v>711</v>
      </c>
      <c r="F4121" s="19" t="s">
        <v>712</v>
      </c>
      <c r="G4121" s="19" t="s">
        <v>37</v>
      </c>
      <c r="H4121" s="19" t="s">
        <v>716</v>
      </c>
      <c r="I4121" s="19"/>
      <c r="J4121" s="19" t="s">
        <v>149</v>
      </c>
      <c r="K4121" s="19"/>
      <c r="L4121" s="14" t="s">
        <v>150</v>
      </c>
      <c r="M4121" s="19" t="s">
        <v>714</v>
      </c>
      <c r="N4121" s="19"/>
      <c r="O4121" s="19" t="s">
        <v>715</v>
      </c>
      <c r="P4121" s="19" t="str">
        <f>HYPERLINK("https://ceds.ed.gov/cedselementdetails.aspx?termid=17152")</f>
        <v>https://ceds.ed.gov/cedselementdetails.aspx?termid=17152</v>
      </c>
      <c r="Q4121" s="19" t="str">
        <f>HYPERLINK("https://ceds.ed.gov/elementComment.aspx?elementName=Assessment Identifier &amp;elementID=17152", "Click here to submit comment")</f>
        <v>Click here to submit comment</v>
      </c>
      <c r="R4121" s="19">
        <v>48542</v>
      </c>
    </row>
    <row r="4122" spans="1:18" x14ac:dyDescent="0.25">
      <c r="A4122" s="20"/>
      <c r="B4122" s="20"/>
      <c r="C4122" s="20"/>
      <c r="D4122" s="20"/>
      <c r="E4122" s="20"/>
      <c r="F4122" s="20"/>
      <c r="G4122" s="20"/>
      <c r="H4122" s="20"/>
      <c r="I4122" s="20"/>
      <c r="J4122" s="20"/>
      <c r="K4122" s="20"/>
      <c r="L4122" s="14"/>
      <c r="M4122" s="20"/>
      <c r="N4122" s="20"/>
      <c r="O4122" s="20"/>
      <c r="P4122" s="20"/>
      <c r="Q4122" s="20"/>
      <c r="R4122" s="20"/>
    </row>
    <row r="4123" spans="1:18" ht="90" x14ac:dyDescent="0.25">
      <c r="A4123" s="21"/>
      <c r="B4123" s="21"/>
      <c r="C4123" s="21"/>
      <c r="D4123" s="21"/>
      <c r="E4123" s="21"/>
      <c r="F4123" s="21"/>
      <c r="G4123" s="21"/>
      <c r="H4123" s="21"/>
      <c r="I4123" s="21"/>
      <c r="J4123" s="21"/>
      <c r="K4123" s="21"/>
      <c r="L4123" s="14" t="s">
        <v>153</v>
      </c>
      <c r="M4123" s="21"/>
      <c r="N4123" s="21"/>
      <c r="O4123" s="21"/>
      <c r="P4123" s="21"/>
      <c r="Q4123" s="21"/>
      <c r="R4123" s="21"/>
    </row>
    <row r="4124" spans="1:18" ht="165" x14ac:dyDescent="0.25">
      <c r="A4124" s="14" t="s">
        <v>9103</v>
      </c>
      <c r="B4124" s="14" t="s">
        <v>9174</v>
      </c>
      <c r="C4124" s="14"/>
      <c r="D4124" s="14" t="s">
        <v>8531</v>
      </c>
      <c r="E4124" s="14" t="s">
        <v>704</v>
      </c>
      <c r="F4124" s="14" t="s">
        <v>705</v>
      </c>
      <c r="G4124" s="8" t="s">
        <v>9108</v>
      </c>
      <c r="H4124" s="14" t="s">
        <v>710</v>
      </c>
      <c r="I4124" s="14"/>
      <c r="J4124" s="14"/>
      <c r="K4124" s="14"/>
      <c r="L4124" s="14"/>
      <c r="M4124" s="14" t="s">
        <v>708</v>
      </c>
      <c r="N4124" s="14"/>
      <c r="O4124" s="14" t="s">
        <v>709</v>
      </c>
      <c r="P4124" s="14" t="str">
        <f>HYPERLINK("https://ceds.ed.gov/cedselementdetails.aspx?termid=17158")</f>
        <v>https://ceds.ed.gov/cedselementdetails.aspx?termid=17158</v>
      </c>
      <c r="Q4124" s="14" t="str">
        <f>HYPERLINK("https://ceds.ed.gov/elementComment.aspx?elementName=Assessment Identification System &amp;elementID=17158", "Click here to submit comment")</f>
        <v>Click here to submit comment</v>
      </c>
      <c r="R4124" s="14">
        <v>48183</v>
      </c>
    </row>
    <row r="4125" spans="1:18" ht="45" x14ac:dyDescent="0.25">
      <c r="A4125" s="14" t="s">
        <v>9103</v>
      </c>
      <c r="B4125" s="14" t="s">
        <v>9174</v>
      </c>
      <c r="C4125" s="14"/>
      <c r="D4125" s="14" t="s">
        <v>8531</v>
      </c>
      <c r="E4125" s="14" t="s">
        <v>491</v>
      </c>
      <c r="F4125" s="14" t="s">
        <v>492</v>
      </c>
      <c r="G4125" s="14" t="s">
        <v>37</v>
      </c>
      <c r="H4125" s="14"/>
      <c r="I4125" s="14"/>
      <c r="J4125" s="14" t="s">
        <v>97</v>
      </c>
      <c r="K4125" s="14"/>
      <c r="L4125" s="14"/>
      <c r="M4125" s="14" t="s">
        <v>493</v>
      </c>
      <c r="N4125" s="14"/>
      <c r="O4125" s="14" t="s">
        <v>494</v>
      </c>
      <c r="P4125" s="14" t="str">
        <f>HYPERLINK("https://ceds.ed.gov/cedselementdetails.aspx?termid=17962")</f>
        <v>https://ceds.ed.gov/cedselementdetails.aspx?termid=17962</v>
      </c>
      <c r="Q4125" s="14" t="str">
        <f>HYPERLINK("https://ceds.ed.gov/elementComment.aspx?elementName=Assessment Administration Code &amp;elementID=17962", "Click here to submit comment")</f>
        <v>Click here to submit comment</v>
      </c>
      <c r="R4125" s="14">
        <v>49849</v>
      </c>
    </row>
    <row r="4126" spans="1:18" ht="45" x14ac:dyDescent="0.25">
      <c r="A4126" s="14" t="s">
        <v>9103</v>
      </c>
      <c r="B4126" s="14" t="s">
        <v>9174</v>
      </c>
      <c r="C4126" s="14"/>
      <c r="D4126" s="14" t="s">
        <v>8531</v>
      </c>
      <c r="E4126" s="14" t="s">
        <v>504</v>
      </c>
      <c r="F4126" s="14" t="s">
        <v>505</v>
      </c>
      <c r="G4126" s="14" t="s">
        <v>37</v>
      </c>
      <c r="H4126" s="14"/>
      <c r="I4126" s="14"/>
      <c r="J4126" s="14" t="s">
        <v>97</v>
      </c>
      <c r="K4126" s="14"/>
      <c r="L4126" s="14"/>
      <c r="M4126" s="14" t="s">
        <v>506</v>
      </c>
      <c r="N4126" s="14"/>
      <c r="O4126" s="14" t="s">
        <v>507</v>
      </c>
      <c r="P4126" s="14" t="str">
        <f>HYPERLINK("https://ceds.ed.gov/cedselementdetails.aspx?termid=17978")</f>
        <v>https://ceds.ed.gov/cedselementdetails.aspx?termid=17978</v>
      </c>
      <c r="Q4126" s="14" t="str">
        <f>HYPERLINK("https://ceds.ed.gov/elementComment.aspx?elementName=Assessment Administration Name &amp;elementID=17978", "Click here to submit comment")</f>
        <v>Click here to submit comment</v>
      </c>
      <c r="R4126" s="14">
        <v>48429</v>
      </c>
    </row>
    <row r="4127" spans="1:18" ht="45" x14ac:dyDescent="0.25">
      <c r="A4127" s="14" t="s">
        <v>9103</v>
      </c>
      <c r="B4127" s="14" t="s">
        <v>9174</v>
      </c>
      <c r="C4127" s="14"/>
      <c r="D4127" s="14" t="s">
        <v>8531</v>
      </c>
      <c r="E4127" s="14" t="s">
        <v>520</v>
      </c>
      <c r="F4127" s="14" t="s">
        <v>521</v>
      </c>
      <c r="G4127" s="14" t="s">
        <v>37</v>
      </c>
      <c r="H4127" s="14"/>
      <c r="I4127" s="14"/>
      <c r="J4127" s="14" t="s">
        <v>501</v>
      </c>
      <c r="K4127" s="14"/>
      <c r="L4127" s="14"/>
      <c r="M4127" s="14" t="s">
        <v>522</v>
      </c>
      <c r="N4127" s="14"/>
      <c r="O4127" s="14" t="s">
        <v>523</v>
      </c>
      <c r="P4127" s="14" t="str">
        <f>HYPERLINK("https://ceds.ed.gov/cedselementdetails.aspx?termid=17964")</f>
        <v>https://ceds.ed.gov/cedselementdetails.aspx?termid=17964</v>
      </c>
      <c r="Q4127" s="14" t="str">
        <f>HYPERLINK("https://ceds.ed.gov/elementComment.aspx?elementName=Assessment Administration Start Time &amp;elementID=17964", "Click here to submit comment")</f>
        <v>Click here to submit comment</v>
      </c>
      <c r="R4127" s="14">
        <v>49854</v>
      </c>
    </row>
    <row r="4128" spans="1:18" ht="45" x14ac:dyDescent="0.25">
      <c r="A4128" s="14" t="s">
        <v>9103</v>
      </c>
      <c r="B4128" s="14" t="s">
        <v>9174</v>
      </c>
      <c r="C4128" s="14"/>
      <c r="D4128" s="14" t="s">
        <v>8531</v>
      </c>
      <c r="E4128" s="14" t="s">
        <v>499</v>
      </c>
      <c r="F4128" s="14" t="s">
        <v>500</v>
      </c>
      <c r="G4128" s="14" t="s">
        <v>37</v>
      </c>
      <c r="H4128" s="14"/>
      <c r="I4128" s="14"/>
      <c r="J4128" s="14" t="s">
        <v>501</v>
      </c>
      <c r="K4128" s="14"/>
      <c r="L4128" s="14"/>
      <c r="M4128" s="14" t="s">
        <v>502</v>
      </c>
      <c r="N4128" s="14"/>
      <c r="O4128" s="14" t="s">
        <v>503</v>
      </c>
      <c r="P4128" s="14" t="str">
        <f>HYPERLINK("https://ceds.ed.gov/cedselementdetails.aspx?termid=17966")</f>
        <v>https://ceds.ed.gov/cedselementdetails.aspx?termid=17966</v>
      </c>
      <c r="Q4128" s="14" t="str">
        <f>HYPERLINK("https://ceds.ed.gov/elementComment.aspx?elementName=Assessment Administration Finish Time &amp;elementID=17966", "Click here to submit comment")</f>
        <v>Click here to submit comment</v>
      </c>
      <c r="R4128" s="14">
        <v>49851</v>
      </c>
    </row>
    <row r="4129" spans="1:18" ht="45" x14ac:dyDescent="0.25">
      <c r="A4129" s="14" t="s">
        <v>9103</v>
      </c>
      <c r="B4129" s="14" t="s">
        <v>9174</v>
      </c>
      <c r="C4129" s="14"/>
      <c r="D4129" s="14" t="s">
        <v>8531</v>
      </c>
      <c r="E4129" s="14" t="s">
        <v>516</v>
      </c>
      <c r="F4129" s="14" t="s">
        <v>517</v>
      </c>
      <c r="G4129" s="14" t="s">
        <v>37</v>
      </c>
      <c r="H4129" s="14"/>
      <c r="I4129" s="14"/>
      <c r="J4129" s="14" t="s">
        <v>135</v>
      </c>
      <c r="K4129" s="14"/>
      <c r="L4129" s="14"/>
      <c r="M4129" s="14" t="s">
        <v>518</v>
      </c>
      <c r="N4129" s="14"/>
      <c r="O4129" s="14" t="s">
        <v>519</v>
      </c>
      <c r="P4129" s="14" t="str">
        <f>HYPERLINK("https://ceds.ed.gov/cedselementdetails.aspx?termid=17963")</f>
        <v>https://ceds.ed.gov/cedselementdetails.aspx?termid=17963</v>
      </c>
      <c r="Q4129" s="14" t="str">
        <f>HYPERLINK("https://ceds.ed.gov/elementComment.aspx?elementName=Assessment Administration Start Date &amp;elementID=17963", "Click here to submit comment")</f>
        <v>Click here to submit comment</v>
      </c>
      <c r="R4129" s="14">
        <v>49853</v>
      </c>
    </row>
    <row r="4130" spans="1:18" ht="45" x14ac:dyDescent="0.25">
      <c r="A4130" s="14" t="s">
        <v>9103</v>
      </c>
      <c r="B4130" s="14" t="s">
        <v>9174</v>
      </c>
      <c r="C4130" s="14"/>
      <c r="D4130" s="14" t="s">
        <v>8531</v>
      </c>
      <c r="E4130" s="14" t="s">
        <v>495</v>
      </c>
      <c r="F4130" s="14" t="s">
        <v>496</v>
      </c>
      <c r="G4130" s="14" t="s">
        <v>37</v>
      </c>
      <c r="H4130" s="14"/>
      <c r="I4130" s="14"/>
      <c r="J4130" s="14" t="s">
        <v>135</v>
      </c>
      <c r="K4130" s="14"/>
      <c r="L4130" s="14"/>
      <c r="M4130" s="14" t="s">
        <v>497</v>
      </c>
      <c r="N4130" s="14"/>
      <c r="O4130" s="14" t="s">
        <v>498</v>
      </c>
      <c r="P4130" s="14" t="str">
        <f>HYPERLINK("https://ceds.ed.gov/cedselementdetails.aspx?termid=17965")</f>
        <v>https://ceds.ed.gov/cedselementdetails.aspx?termid=17965</v>
      </c>
      <c r="Q4130" s="14" t="str">
        <f>HYPERLINK("https://ceds.ed.gov/elementComment.aspx?elementName=Assessment Administration Finish Date &amp;elementID=17965", "Click here to submit comment")</f>
        <v>Click here to submit comment</v>
      </c>
      <c r="R4130" s="14">
        <v>49850</v>
      </c>
    </row>
    <row r="4131" spans="1:18" ht="75" x14ac:dyDescent="0.25">
      <c r="A4131" s="14" t="s">
        <v>9103</v>
      </c>
      <c r="B4131" s="14" t="s">
        <v>9174</v>
      </c>
      <c r="C4131" s="14"/>
      <c r="D4131" s="14" t="s">
        <v>8531</v>
      </c>
      <c r="E4131" s="14" t="s">
        <v>485</v>
      </c>
      <c r="F4131" s="14" t="s">
        <v>486</v>
      </c>
      <c r="G4131" s="14" t="s">
        <v>37</v>
      </c>
      <c r="H4131" s="14"/>
      <c r="I4131" s="14"/>
      <c r="J4131" s="14" t="s">
        <v>175</v>
      </c>
      <c r="K4131" s="14"/>
      <c r="L4131" s="14" t="s">
        <v>488</v>
      </c>
      <c r="M4131" s="14" t="s">
        <v>489</v>
      </c>
      <c r="N4131" s="14"/>
      <c r="O4131" s="14" t="s">
        <v>490</v>
      </c>
      <c r="P4131" s="14" t="str">
        <f>HYPERLINK("https://ceds.ed.gov/cedselementdetails.aspx?termid=17968")</f>
        <v>https://ceds.ed.gov/cedselementdetails.aspx?termid=17968</v>
      </c>
      <c r="Q4131" s="14" t="str">
        <f>HYPERLINK("https://ceds.ed.gov/elementComment.aspx?elementName=Assessment Administration Assessment Family &amp;elementID=17968", "Click here to submit comment")</f>
        <v>Click here to submit comment</v>
      </c>
      <c r="R4131" s="14">
        <v>49848</v>
      </c>
    </row>
    <row r="4132" spans="1:18" ht="165" customHeight="1" x14ac:dyDescent="0.25">
      <c r="A4132" s="19" t="s">
        <v>9103</v>
      </c>
      <c r="B4132" s="19" t="s">
        <v>9174</v>
      </c>
      <c r="C4132" s="19"/>
      <c r="D4132" s="19" t="s">
        <v>8531</v>
      </c>
      <c r="E4132" s="19" t="s">
        <v>7605</v>
      </c>
      <c r="F4132" s="19" t="s">
        <v>326</v>
      </c>
      <c r="G4132" s="19" t="s">
        <v>37</v>
      </c>
      <c r="H4132" s="19" t="s">
        <v>7604</v>
      </c>
      <c r="I4132" s="19"/>
      <c r="J4132" s="19" t="s">
        <v>149</v>
      </c>
      <c r="K4132" s="19"/>
      <c r="L4132" s="14" t="s">
        <v>150</v>
      </c>
      <c r="M4132" s="19" t="s">
        <v>7606</v>
      </c>
      <c r="N4132" s="19"/>
      <c r="O4132" s="19" t="s">
        <v>7607</v>
      </c>
      <c r="P4132" s="19" t="str">
        <f>HYPERLINK("https://ceds.ed.gov/cedselementdetails.aspx?termid=17155")</f>
        <v>https://ceds.ed.gov/cedselementdetails.aspx?termid=17155</v>
      </c>
      <c r="Q4132" s="19" t="str">
        <f>HYPERLINK("https://ceds.ed.gov/elementComment.aspx?elementName=School Identifier &amp;elementID=17155", "Click here to submit comment")</f>
        <v>Click here to submit comment</v>
      </c>
      <c r="R4132" s="19">
        <v>48590</v>
      </c>
    </row>
    <row r="4133" spans="1:18" x14ac:dyDescent="0.25">
      <c r="A4133" s="20"/>
      <c r="B4133" s="20"/>
      <c r="C4133" s="20"/>
      <c r="D4133" s="20"/>
      <c r="E4133" s="20"/>
      <c r="F4133" s="20"/>
      <c r="G4133" s="20"/>
      <c r="H4133" s="20"/>
      <c r="I4133" s="20"/>
      <c r="J4133" s="20"/>
      <c r="K4133" s="20"/>
      <c r="L4133" s="14"/>
      <c r="M4133" s="20"/>
      <c r="N4133" s="20"/>
      <c r="O4133" s="20"/>
      <c r="P4133" s="20"/>
      <c r="Q4133" s="20"/>
      <c r="R4133" s="20"/>
    </row>
    <row r="4134" spans="1:18" ht="90" x14ac:dyDescent="0.25">
      <c r="A4134" s="21"/>
      <c r="B4134" s="21"/>
      <c r="C4134" s="21"/>
      <c r="D4134" s="21"/>
      <c r="E4134" s="21"/>
      <c r="F4134" s="21"/>
      <c r="G4134" s="21"/>
      <c r="H4134" s="21"/>
      <c r="I4134" s="21"/>
      <c r="J4134" s="21"/>
      <c r="K4134" s="21"/>
      <c r="L4134" s="14" t="s">
        <v>153</v>
      </c>
      <c r="M4134" s="21"/>
      <c r="N4134" s="21"/>
      <c r="O4134" s="21"/>
      <c r="P4134" s="21"/>
      <c r="Q4134" s="21"/>
      <c r="R4134" s="21"/>
    </row>
    <row r="4135" spans="1:18" ht="270" x14ac:dyDescent="0.25">
      <c r="A4135" s="14" t="s">
        <v>9103</v>
      </c>
      <c r="B4135" s="14" t="s">
        <v>9174</v>
      </c>
      <c r="C4135" s="14"/>
      <c r="D4135" s="14" t="s">
        <v>8531</v>
      </c>
      <c r="E4135" s="14" t="s">
        <v>7599</v>
      </c>
      <c r="F4135" s="14" t="s">
        <v>320</v>
      </c>
      <c r="G4135" s="8" t="s">
        <v>8736</v>
      </c>
      <c r="H4135" s="14" t="s">
        <v>7604</v>
      </c>
      <c r="I4135" s="14"/>
      <c r="J4135" s="14"/>
      <c r="K4135" s="14"/>
      <c r="L4135" s="14"/>
      <c r="M4135" s="14" t="s">
        <v>7602</v>
      </c>
      <c r="N4135" s="14"/>
      <c r="O4135" s="14" t="s">
        <v>7603</v>
      </c>
      <c r="P4135" s="14" t="str">
        <f>HYPERLINK("https://ceds.ed.gov/cedselementdetails.aspx?termid=17161")</f>
        <v>https://ceds.ed.gov/cedselementdetails.aspx?termid=17161</v>
      </c>
      <c r="Q4135" s="14" t="str">
        <f>HYPERLINK("https://ceds.ed.gov/elementComment.aspx?elementName=School Identification System &amp;elementID=17161", "Click here to submit comment")</f>
        <v>Click here to submit comment</v>
      </c>
      <c r="R4135" s="14">
        <v>48587</v>
      </c>
    </row>
    <row r="4136" spans="1:18" ht="120" customHeight="1" x14ac:dyDescent="0.25">
      <c r="A4136" s="19" t="s">
        <v>9103</v>
      </c>
      <c r="B4136" s="19" t="s">
        <v>9174</v>
      </c>
      <c r="C4136" s="19"/>
      <c r="D4136" s="19" t="s">
        <v>8531</v>
      </c>
      <c r="E4136" s="19" t="s">
        <v>6138</v>
      </c>
      <c r="F4136" s="19" t="s">
        <v>6139</v>
      </c>
      <c r="G4136" s="19" t="s">
        <v>37</v>
      </c>
      <c r="H4136" s="19" t="s">
        <v>6137</v>
      </c>
      <c r="I4136" s="19"/>
      <c r="J4136" s="19" t="s">
        <v>149</v>
      </c>
      <c r="K4136" s="19"/>
      <c r="L4136" s="14" t="s">
        <v>150</v>
      </c>
      <c r="M4136" s="19" t="s">
        <v>6140</v>
      </c>
      <c r="N4136" s="19" t="s">
        <v>6141</v>
      </c>
      <c r="O4136" s="19" t="s">
        <v>6142</v>
      </c>
      <c r="P4136" s="19" t="str">
        <f>HYPERLINK("https://ceds.ed.gov/cedselementdetails.aspx?termid=17153")</f>
        <v>https://ceds.ed.gov/cedselementdetails.aspx?termid=17153</v>
      </c>
      <c r="Q4136" s="19" t="str">
        <f>HYPERLINK("https://ceds.ed.gov/elementComment.aspx?elementName=Local Education Agency Identifier &amp;elementID=17153", "Click here to submit comment")</f>
        <v>Click here to submit comment</v>
      </c>
      <c r="R4136" s="19">
        <v>48596</v>
      </c>
    </row>
    <row r="4137" spans="1:18" x14ac:dyDescent="0.25">
      <c r="A4137" s="20"/>
      <c r="B4137" s="20"/>
      <c r="C4137" s="20"/>
      <c r="D4137" s="20"/>
      <c r="E4137" s="20"/>
      <c r="F4137" s="20"/>
      <c r="G4137" s="20"/>
      <c r="H4137" s="20"/>
      <c r="I4137" s="20"/>
      <c r="J4137" s="20"/>
      <c r="K4137" s="20"/>
      <c r="L4137" s="14"/>
      <c r="M4137" s="20"/>
      <c r="N4137" s="20"/>
      <c r="O4137" s="20"/>
      <c r="P4137" s="20"/>
      <c r="Q4137" s="20"/>
      <c r="R4137" s="20"/>
    </row>
    <row r="4138" spans="1:18" ht="90" x14ac:dyDescent="0.25">
      <c r="A4138" s="21"/>
      <c r="B4138" s="21"/>
      <c r="C4138" s="21"/>
      <c r="D4138" s="21"/>
      <c r="E4138" s="21"/>
      <c r="F4138" s="21"/>
      <c r="G4138" s="21"/>
      <c r="H4138" s="21"/>
      <c r="I4138" s="21"/>
      <c r="J4138" s="21"/>
      <c r="K4138" s="21"/>
      <c r="L4138" s="14" t="s">
        <v>153</v>
      </c>
      <c r="M4138" s="21"/>
      <c r="N4138" s="21"/>
      <c r="O4138" s="21"/>
      <c r="P4138" s="21"/>
      <c r="Q4138" s="21"/>
      <c r="R4138" s="21"/>
    </row>
    <row r="4139" spans="1:18" ht="240" x14ac:dyDescent="0.25">
      <c r="A4139" s="14" t="s">
        <v>9103</v>
      </c>
      <c r="B4139" s="14" t="s">
        <v>9174</v>
      </c>
      <c r="C4139" s="14"/>
      <c r="D4139" s="14" t="s">
        <v>8531</v>
      </c>
      <c r="E4139" s="14" t="s">
        <v>6130</v>
      </c>
      <c r="F4139" s="14" t="s">
        <v>6131</v>
      </c>
      <c r="G4139" s="8" t="s">
        <v>8790</v>
      </c>
      <c r="H4139" s="14" t="s">
        <v>6137</v>
      </c>
      <c r="I4139" s="14"/>
      <c r="J4139" s="14"/>
      <c r="K4139" s="14"/>
      <c r="L4139" s="14"/>
      <c r="M4139" s="14" t="s">
        <v>6134</v>
      </c>
      <c r="N4139" s="14" t="s">
        <v>6135</v>
      </c>
      <c r="O4139" s="14" t="s">
        <v>6136</v>
      </c>
      <c r="P4139" s="14" t="str">
        <f>HYPERLINK("https://ceds.ed.gov/cedselementdetails.aspx?termid=17159")</f>
        <v>https://ceds.ed.gov/cedselementdetails.aspx?termid=17159</v>
      </c>
      <c r="Q4139" s="14" t="str">
        <f>HYPERLINK("https://ceds.ed.gov/elementComment.aspx?elementName=Local Education Agency Identification System &amp;elementID=17159", "Click here to submit comment")</f>
        <v>Click here to submit comment</v>
      </c>
      <c r="R4139" s="14">
        <v>48593</v>
      </c>
    </row>
    <row r="4140" spans="1:18" ht="45" x14ac:dyDescent="0.25">
      <c r="A4140" s="14" t="s">
        <v>9103</v>
      </c>
      <c r="B4140" s="14" t="s">
        <v>9174</v>
      </c>
      <c r="C4140" s="14"/>
      <c r="D4140" s="14" t="s">
        <v>8531</v>
      </c>
      <c r="E4140" s="14" t="s">
        <v>508</v>
      </c>
      <c r="F4140" s="14" t="s">
        <v>509</v>
      </c>
      <c r="G4140" s="14" t="s">
        <v>37</v>
      </c>
      <c r="H4140" s="14"/>
      <c r="I4140" s="14"/>
      <c r="J4140" s="14" t="s">
        <v>175</v>
      </c>
      <c r="K4140" s="14"/>
      <c r="L4140" s="14"/>
      <c r="M4140" s="14" t="s">
        <v>510</v>
      </c>
      <c r="N4140" s="14"/>
      <c r="O4140" s="14" t="s">
        <v>511</v>
      </c>
      <c r="P4140" s="14" t="str">
        <f>HYPERLINK("https://ceds.ed.gov/cedselementdetails.aspx?termid=17967")</f>
        <v>https://ceds.ed.gov/cedselementdetails.aspx?termid=17967</v>
      </c>
      <c r="Q4140" s="14" t="str">
        <f>HYPERLINK("https://ceds.ed.gov/elementComment.aspx?elementName=Assessment Administration Organization Name &amp;elementID=17967", "Click here to submit comment")</f>
        <v>Click here to submit comment</v>
      </c>
      <c r="R4140" s="14">
        <v>49852</v>
      </c>
    </row>
    <row r="4141" spans="1:18" ht="45" x14ac:dyDescent="0.25">
      <c r="A4141" s="14" t="s">
        <v>9103</v>
      </c>
      <c r="B4141" s="14" t="s">
        <v>9174</v>
      </c>
      <c r="C4141" s="14"/>
      <c r="D4141" s="14" t="s">
        <v>8531</v>
      </c>
      <c r="E4141" s="14" t="s">
        <v>512</v>
      </c>
      <c r="F4141" s="14" t="s">
        <v>513</v>
      </c>
      <c r="G4141" s="14" t="s">
        <v>37</v>
      </c>
      <c r="H4141" s="14"/>
      <c r="I4141" s="14"/>
      <c r="J4141" s="14" t="s">
        <v>129</v>
      </c>
      <c r="K4141" s="14"/>
      <c r="L4141" s="14"/>
      <c r="M4141" s="14" t="s">
        <v>514</v>
      </c>
      <c r="N4141" s="14"/>
      <c r="O4141" s="14" t="s">
        <v>515</v>
      </c>
      <c r="P4141" s="14" t="str">
        <f>HYPERLINK("https://ceds.ed.gov/cedselementdetails.aspx?termid=18506")</f>
        <v>https://ceds.ed.gov/cedselementdetails.aspx?termid=18506</v>
      </c>
      <c r="Q4141" s="14" t="str">
        <f>HYPERLINK("https://ceds.ed.gov/elementComment.aspx?elementName=Assessment Administration Period Description &amp;elementID=18506", "Click here to submit comment")</f>
        <v>Click here to submit comment</v>
      </c>
      <c r="R4141" s="14">
        <v>51114</v>
      </c>
    </row>
    <row r="4142" spans="1:18" ht="45" x14ac:dyDescent="0.25">
      <c r="A4142" s="14" t="s">
        <v>9103</v>
      </c>
      <c r="B4142" s="14" t="s">
        <v>9174</v>
      </c>
      <c r="C4142" s="14"/>
      <c r="D4142" s="14" t="s">
        <v>8531</v>
      </c>
      <c r="E4142" s="14" t="s">
        <v>1483</v>
      </c>
      <c r="F4142" s="14" t="s">
        <v>1484</v>
      </c>
      <c r="G4142" s="14" t="s">
        <v>24</v>
      </c>
      <c r="H4142" s="14" t="s">
        <v>106</v>
      </c>
      <c r="I4142" s="14"/>
      <c r="J4142" s="14"/>
      <c r="K4142" s="14"/>
      <c r="L4142" s="14"/>
      <c r="M4142" s="14" t="s">
        <v>1486</v>
      </c>
      <c r="N4142" s="14"/>
      <c r="O4142" s="14" t="s">
        <v>1487</v>
      </c>
      <c r="P4142" s="14" t="str">
        <f>HYPERLINK("https://ceds.ed.gov/cedselementdetails.aspx?termid=17375")</f>
        <v>https://ceds.ed.gov/cedselementdetails.aspx?termid=17375</v>
      </c>
      <c r="Q4142" s="14" t="str">
        <f>HYPERLINK("https://ceds.ed.gov/elementComment.aspx?elementName=Assessment Secure Indicator &amp;elementID=17375", "Click here to submit comment")</f>
        <v>Click here to submit comment</v>
      </c>
      <c r="R4142" s="14">
        <v>48187</v>
      </c>
    </row>
    <row r="4143" spans="1:18" ht="45" x14ac:dyDescent="0.25">
      <c r="A4143" s="14" t="s">
        <v>9103</v>
      </c>
      <c r="B4143" s="14" t="s">
        <v>9175</v>
      </c>
      <c r="C4143" s="14"/>
      <c r="D4143" s="14" t="s">
        <v>8531</v>
      </c>
      <c r="E4143" s="14" t="s">
        <v>1544</v>
      </c>
      <c r="F4143" s="14" t="s">
        <v>1545</v>
      </c>
      <c r="G4143" s="8" t="s">
        <v>9176</v>
      </c>
      <c r="H4143" s="14"/>
      <c r="I4143" s="14"/>
      <c r="J4143" s="14"/>
      <c r="K4143" s="14"/>
      <c r="L4143" s="14"/>
      <c r="M4143" s="14" t="s">
        <v>1547</v>
      </c>
      <c r="N4143" s="14"/>
      <c r="O4143" s="14" t="s">
        <v>1548</v>
      </c>
      <c r="P4143" s="14" t="str">
        <f>HYPERLINK("https://ceds.ed.gov/cedselementdetails.aspx?termid=18020")</f>
        <v>https://ceds.ed.gov/cedselementdetails.aspx?termid=18020</v>
      </c>
      <c r="Q4143" s="14" t="str">
        <f>HYPERLINK("https://ceds.ed.gov/elementComment.aspx?elementName=Assessment Session Type &amp;elementID=18020", "Click here to submit comment")</f>
        <v>Click here to submit comment</v>
      </c>
      <c r="R4143" s="14">
        <v>48456</v>
      </c>
    </row>
    <row r="4144" spans="1:18" ht="45" x14ac:dyDescent="0.25">
      <c r="A4144" s="14" t="s">
        <v>9103</v>
      </c>
      <c r="B4144" s="14" t="s">
        <v>9175</v>
      </c>
      <c r="C4144" s="14"/>
      <c r="D4144" s="14" t="s">
        <v>8531</v>
      </c>
      <c r="E4144" s="14" t="s">
        <v>1508</v>
      </c>
      <c r="F4144" s="14" t="s">
        <v>1509</v>
      </c>
      <c r="G4144" s="14" t="s">
        <v>37</v>
      </c>
      <c r="H4144" s="14" t="s">
        <v>106</v>
      </c>
      <c r="I4144" s="14"/>
      <c r="J4144" s="14" t="s">
        <v>1510</v>
      </c>
      <c r="K4144" s="14"/>
      <c r="L4144" s="14"/>
      <c r="M4144" s="14" t="s">
        <v>1511</v>
      </c>
      <c r="N4144" s="14"/>
      <c r="O4144" s="14" t="s">
        <v>1512</v>
      </c>
      <c r="P4144" s="14" t="str">
        <f>HYPERLINK("https://ceds.ed.gov/cedselementdetails.aspx?termid=17590")</f>
        <v>https://ceds.ed.gov/cedselementdetails.aspx?termid=17590</v>
      </c>
      <c r="Q4144" s="14" t="str">
        <f>HYPERLINK("https://ceds.ed.gov/elementComment.aspx?elementName=Assessment Session Location &amp;elementID=17590", "Click here to submit comment")</f>
        <v>Click here to submit comment</v>
      </c>
      <c r="R4144" s="14">
        <v>48441</v>
      </c>
    </row>
    <row r="4145" spans="1:18" ht="165" customHeight="1" x14ac:dyDescent="0.25">
      <c r="A4145" s="19" t="s">
        <v>9103</v>
      </c>
      <c r="B4145" s="19" t="s">
        <v>9175</v>
      </c>
      <c r="C4145" s="19"/>
      <c r="D4145" s="19" t="s">
        <v>8531</v>
      </c>
      <c r="E4145" s="19" t="s">
        <v>7605</v>
      </c>
      <c r="F4145" s="19" t="s">
        <v>326</v>
      </c>
      <c r="G4145" s="19" t="s">
        <v>37</v>
      </c>
      <c r="H4145" s="19" t="s">
        <v>7604</v>
      </c>
      <c r="I4145" s="19"/>
      <c r="J4145" s="19" t="s">
        <v>149</v>
      </c>
      <c r="K4145" s="19"/>
      <c r="L4145" s="14" t="s">
        <v>150</v>
      </c>
      <c r="M4145" s="19" t="s">
        <v>7606</v>
      </c>
      <c r="N4145" s="19"/>
      <c r="O4145" s="19" t="s">
        <v>7607</v>
      </c>
      <c r="P4145" s="19" t="str">
        <f>HYPERLINK("https://ceds.ed.gov/cedselementdetails.aspx?termid=17155")</f>
        <v>https://ceds.ed.gov/cedselementdetails.aspx?termid=17155</v>
      </c>
      <c r="Q4145" s="19" t="str">
        <f>HYPERLINK("https://ceds.ed.gov/elementComment.aspx?elementName=School Identifier &amp;elementID=17155", "Click here to submit comment")</f>
        <v>Click here to submit comment</v>
      </c>
      <c r="R4145" s="19">
        <v>48589</v>
      </c>
    </row>
    <row r="4146" spans="1:18" x14ac:dyDescent="0.25">
      <c r="A4146" s="20"/>
      <c r="B4146" s="20"/>
      <c r="C4146" s="20"/>
      <c r="D4146" s="20"/>
      <c r="E4146" s="20"/>
      <c r="F4146" s="20"/>
      <c r="G4146" s="20"/>
      <c r="H4146" s="20"/>
      <c r="I4146" s="20"/>
      <c r="J4146" s="20"/>
      <c r="K4146" s="20"/>
      <c r="L4146" s="14"/>
      <c r="M4146" s="20"/>
      <c r="N4146" s="20"/>
      <c r="O4146" s="20"/>
      <c r="P4146" s="20"/>
      <c r="Q4146" s="20"/>
      <c r="R4146" s="20"/>
    </row>
    <row r="4147" spans="1:18" ht="90" x14ac:dyDescent="0.25">
      <c r="A4147" s="21"/>
      <c r="B4147" s="21"/>
      <c r="C4147" s="21"/>
      <c r="D4147" s="21"/>
      <c r="E4147" s="21"/>
      <c r="F4147" s="21"/>
      <c r="G4147" s="21"/>
      <c r="H4147" s="21"/>
      <c r="I4147" s="21"/>
      <c r="J4147" s="21"/>
      <c r="K4147" s="21"/>
      <c r="L4147" s="14" t="s">
        <v>153</v>
      </c>
      <c r="M4147" s="21"/>
      <c r="N4147" s="21"/>
      <c r="O4147" s="21"/>
      <c r="P4147" s="21"/>
      <c r="Q4147" s="21"/>
      <c r="R4147" s="21"/>
    </row>
    <row r="4148" spans="1:18" ht="270" x14ac:dyDescent="0.25">
      <c r="A4148" s="14" t="s">
        <v>9103</v>
      </c>
      <c r="B4148" s="14" t="s">
        <v>9175</v>
      </c>
      <c r="C4148" s="14"/>
      <c r="D4148" s="14" t="s">
        <v>8531</v>
      </c>
      <c r="E4148" s="14" t="s">
        <v>7599</v>
      </c>
      <c r="F4148" s="14" t="s">
        <v>320</v>
      </c>
      <c r="G4148" s="8" t="s">
        <v>8736</v>
      </c>
      <c r="H4148" s="14" t="s">
        <v>7604</v>
      </c>
      <c r="I4148" s="14"/>
      <c r="J4148" s="14"/>
      <c r="K4148" s="14"/>
      <c r="L4148" s="14"/>
      <c r="M4148" s="14" t="s">
        <v>7602</v>
      </c>
      <c r="N4148" s="14"/>
      <c r="O4148" s="14" t="s">
        <v>7603</v>
      </c>
      <c r="P4148" s="14" t="str">
        <f>HYPERLINK("https://ceds.ed.gov/cedselementdetails.aspx?termid=17161")</f>
        <v>https://ceds.ed.gov/cedselementdetails.aspx?termid=17161</v>
      </c>
      <c r="Q4148" s="14" t="str">
        <f>HYPERLINK("https://ceds.ed.gov/elementComment.aspx?elementName=School Identification System &amp;elementID=17161", "Click here to submit comment")</f>
        <v>Click here to submit comment</v>
      </c>
      <c r="R4148" s="14">
        <v>48586</v>
      </c>
    </row>
    <row r="4149" spans="1:18" ht="120" customHeight="1" x14ac:dyDescent="0.25">
      <c r="A4149" s="19" t="s">
        <v>9103</v>
      </c>
      <c r="B4149" s="19" t="s">
        <v>9175</v>
      </c>
      <c r="C4149" s="19"/>
      <c r="D4149" s="19" t="s">
        <v>8531</v>
      </c>
      <c r="E4149" s="19" t="s">
        <v>6138</v>
      </c>
      <c r="F4149" s="19" t="s">
        <v>6139</v>
      </c>
      <c r="G4149" s="19" t="s">
        <v>37</v>
      </c>
      <c r="H4149" s="19" t="s">
        <v>6137</v>
      </c>
      <c r="I4149" s="19"/>
      <c r="J4149" s="19" t="s">
        <v>149</v>
      </c>
      <c r="K4149" s="19"/>
      <c r="L4149" s="14" t="s">
        <v>150</v>
      </c>
      <c r="M4149" s="19" t="s">
        <v>6140</v>
      </c>
      <c r="N4149" s="19" t="s">
        <v>6141</v>
      </c>
      <c r="O4149" s="19" t="s">
        <v>6142</v>
      </c>
      <c r="P4149" s="19" t="str">
        <f>HYPERLINK("https://ceds.ed.gov/cedselementdetails.aspx?termid=17153")</f>
        <v>https://ceds.ed.gov/cedselementdetails.aspx?termid=17153</v>
      </c>
      <c r="Q4149" s="19" t="str">
        <f>HYPERLINK("https://ceds.ed.gov/elementComment.aspx?elementName=Local Education Agency Identifier &amp;elementID=17153", "Click here to submit comment")</f>
        <v>Click here to submit comment</v>
      </c>
      <c r="R4149" s="19">
        <v>48595</v>
      </c>
    </row>
    <row r="4150" spans="1:18" x14ac:dyDescent="0.25">
      <c r="A4150" s="20"/>
      <c r="B4150" s="20"/>
      <c r="C4150" s="20"/>
      <c r="D4150" s="20"/>
      <c r="E4150" s="20"/>
      <c r="F4150" s="20"/>
      <c r="G4150" s="20"/>
      <c r="H4150" s="20"/>
      <c r="I4150" s="20"/>
      <c r="J4150" s="20"/>
      <c r="K4150" s="20"/>
      <c r="L4150" s="14"/>
      <c r="M4150" s="20"/>
      <c r="N4150" s="20"/>
      <c r="O4150" s="20"/>
      <c r="P4150" s="20"/>
      <c r="Q4150" s="20"/>
      <c r="R4150" s="20"/>
    </row>
    <row r="4151" spans="1:18" ht="90" x14ac:dyDescent="0.25">
      <c r="A4151" s="21"/>
      <c r="B4151" s="21"/>
      <c r="C4151" s="21"/>
      <c r="D4151" s="21"/>
      <c r="E4151" s="21"/>
      <c r="F4151" s="21"/>
      <c r="G4151" s="21"/>
      <c r="H4151" s="21"/>
      <c r="I4151" s="21"/>
      <c r="J4151" s="21"/>
      <c r="K4151" s="21"/>
      <c r="L4151" s="14" t="s">
        <v>153</v>
      </c>
      <c r="M4151" s="21"/>
      <c r="N4151" s="21"/>
      <c r="O4151" s="21"/>
      <c r="P4151" s="21"/>
      <c r="Q4151" s="21"/>
      <c r="R4151" s="21"/>
    </row>
    <row r="4152" spans="1:18" ht="240" x14ac:dyDescent="0.25">
      <c r="A4152" s="14" t="s">
        <v>9103</v>
      </c>
      <c r="B4152" s="14" t="s">
        <v>9175</v>
      </c>
      <c r="C4152" s="14"/>
      <c r="D4152" s="14" t="s">
        <v>8531</v>
      </c>
      <c r="E4152" s="14" t="s">
        <v>6130</v>
      </c>
      <c r="F4152" s="14" t="s">
        <v>6131</v>
      </c>
      <c r="G4152" s="8" t="s">
        <v>8790</v>
      </c>
      <c r="H4152" s="14" t="s">
        <v>6137</v>
      </c>
      <c r="I4152" s="14"/>
      <c r="J4152" s="14"/>
      <c r="K4152" s="14"/>
      <c r="L4152" s="14"/>
      <c r="M4152" s="14" t="s">
        <v>6134</v>
      </c>
      <c r="N4152" s="14" t="s">
        <v>6135</v>
      </c>
      <c r="O4152" s="14" t="s">
        <v>6136</v>
      </c>
      <c r="P4152" s="14" t="str">
        <f>HYPERLINK("https://ceds.ed.gov/cedselementdetails.aspx?termid=17159")</f>
        <v>https://ceds.ed.gov/cedselementdetails.aspx?termid=17159</v>
      </c>
      <c r="Q4152" s="14" t="str">
        <f>HYPERLINK("https://ceds.ed.gov/elementComment.aspx?elementName=Local Education Agency Identification System &amp;elementID=17159", "Click here to submit comment")</f>
        <v>Click here to submit comment</v>
      </c>
      <c r="R4152" s="14">
        <v>48592</v>
      </c>
    </row>
    <row r="4153" spans="1:18" ht="45" x14ac:dyDescent="0.25">
      <c r="A4153" s="14" t="s">
        <v>9103</v>
      </c>
      <c r="B4153" s="14" t="s">
        <v>9175</v>
      </c>
      <c r="C4153" s="14"/>
      <c r="D4153" s="14" t="s">
        <v>8531</v>
      </c>
      <c r="E4153" s="14" t="s">
        <v>1522</v>
      </c>
      <c r="F4153" s="14" t="s">
        <v>1523</v>
      </c>
      <c r="G4153" s="14" t="s">
        <v>37</v>
      </c>
      <c r="H4153" s="14"/>
      <c r="I4153" s="14"/>
      <c r="J4153" s="14" t="s">
        <v>941</v>
      </c>
      <c r="K4153" s="14"/>
      <c r="L4153" s="14"/>
      <c r="M4153" s="14" t="s">
        <v>1524</v>
      </c>
      <c r="N4153" s="14"/>
      <c r="O4153" s="14" t="s">
        <v>1525</v>
      </c>
      <c r="P4153" s="14" t="str">
        <f>HYPERLINK("https://ceds.ed.gov/cedselementdetails.aspx?termid=18021")</f>
        <v>https://ceds.ed.gov/cedselementdetails.aspx?termid=18021</v>
      </c>
      <c r="Q4153" s="14" t="str">
        <f>HYPERLINK("https://ceds.ed.gov/elementComment.aspx?elementName=Assessment Session Scheduled Start Date Time &amp;elementID=18021", "Click here to submit comment")</f>
        <v>Click here to submit comment</v>
      </c>
      <c r="R4153" s="14">
        <v>48457</v>
      </c>
    </row>
    <row r="4154" spans="1:18" ht="75" x14ac:dyDescent="0.25">
      <c r="A4154" s="14" t="s">
        <v>9103</v>
      </c>
      <c r="B4154" s="14" t="s">
        <v>9175</v>
      </c>
      <c r="C4154" s="14"/>
      <c r="D4154" s="14" t="s">
        <v>8531</v>
      </c>
      <c r="E4154" s="14" t="s">
        <v>1518</v>
      </c>
      <c r="F4154" s="14" t="s">
        <v>1519</v>
      </c>
      <c r="G4154" s="14" t="s">
        <v>37</v>
      </c>
      <c r="H4154" s="14"/>
      <c r="I4154" s="14"/>
      <c r="J4154" s="14" t="s">
        <v>941</v>
      </c>
      <c r="K4154" s="14"/>
      <c r="L4154" s="14" t="s">
        <v>160</v>
      </c>
      <c r="M4154" s="14" t="s">
        <v>1520</v>
      </c>
      <c r="N4154" s="14"/>
      <c r="O4154" s="14" t="s">
        <v>1521</v>
      </c>
      <c r="P4154" s="14" t="str">
        <f>HYPERLINK("https://ceds.ed.gov/cedselementdetails.aspx?termid=18022")</f>
        <v>https://ceds.ed.gov/cedselementdetails.aspx?termid=18022</v>
      </c>
      <c r="Q4154" s="14" t="str">
        <f>HYPERLINK("https://ceds.ed.gov/elementComment.aspx?elementName=Assessment Session Scheduled End Date Time &amp;elementID=18022", "Click here to submit comment")</f>
        <v>Click here to submit comment</v>
      </c>
      <c r="R4154" s="14">
        <v>48458</v>
      </c>
    </row>
    <row r="4155" spans="1:18" ht="45" x14ac:dyDescent="0.25">
      <c r="A4155" s="14" t="s">
        <v>9103</v>
      </c>
      <c r="B4155" s="14" t="s">
        <v>9175</v>
      </c>
      <c r="C4155" s="14"/>
      <c r="D4155" s="14" t="s">
        <v>8531</v>
      </c>
      <c r="E4155" s="14" t="s">
        <v>1504</v>
      </c>
      <c r="F4155" s="14" t="s">
        <v>1505</v>
      </c>
      <c r="G4155" s="14" t="s">
        <v>37</v>
      </c>
      <c r="H4155" s="14" t="s">
        <v>106</v>
      </c>
      <c r="I4155" s="14"/>
      <c r="J4155" s="14" t="s">
        <v>946</v>
      </c>
      <c r="K4155" s="14"/>
      <c r="L4155" s="14"/>
      <c r="M4155" s="14" t="s">
        <v>1506</v>
      </c>
      <c r="N4155" s="14"/>
      <c r="O4155" s="14" t="s">
        <v>1507</v>
      </c>
      <c r="P4155" s="14" t="str">
        <f>HYPERLINK("https://ceds.ed.gov/cedselementdetails.aspx?termid=17399")</f>
        <v>https://ceds.ed.gov/cedselementdetails.aspx?termid=17399</v>
      </c>
      <c r="Q4155" s="14" t="str">
        <f>HYPERLINK("https://ceds.ed.gov/elementComment.aspx?elementName=Assessment Session Allotted Time &amp;elementID=17399", "Click here to submit comment")</f>
        <v>Click here to submit comment</v>
      </c>
      <c r="R4155" s="14">
        <v>48189</v>
      </c>
    </row>
    <row r="4156" spans="1:18" ht="90" x14ac:dyDescent="0.25">
      <c r="A4156" s="14" t="s">
        <v>9103</v>
      </c>
      <c r="B4156" s="14" t="s">
        <v>9175</v>
      </c>
      <c r="C4156" s="14"/>
      <c r="D4156" s="14" t="s">
        <v>8531</v>
      </c>
      <c r="E4156" s="14" t="s">
        <v>1494</v>
      </c>
      <c r="F4156" s="14" t="s">
        <v>1495</v>
      </c>
      <c r="G4156" s="14" t="s">
        <v>37</v>
      </c>
      <c r="H4156" s="14"/>
      <c r="I4156" s="14"/>
      <c r="J4156" s="14" t="s">
        <v>941</v>
      </c>
      <c r="K4156" s="14"/>
      <c r="L4156" s="14" t="s">
        <v>1496</v>
      </c>
      <c r="M4156" s="14" t="s">
        <v>1497</v>
      </c>
      <c r="N4156" s="14"/>
      <c r="O4156" s="14" t="s">
        <v>1498</v>
      </c>
      <c r="P4156" s="14" t="str">
        <f>HYPERLINK("https://ceds.ed.gov/cedselementdetails.aspx?termid=18023")</f>
        <v>https://ceds.ed.gov/cedselementdetails.aspx?termid=18023</v>
      </c>
      <c r="Q4156" s="14" t="str">
        <f>HYPERLINK("https://ceds.ed.gov/elementComment.aspx?elementName=Assessment Session Actual Start Date Time &amp;elementID=18023", "Click here to submit comment")</f>
        <v>Click here to submit comment</v>
      </c>
      <c r="R4156" s="14">
        <v>48459</v>
      </c>
    </row>
    <row r="4157" spans="1:18" ht="90" x14ac:dyDescent="0.25">
      <c r="A4157" s="14" t="s">
        <v>9103</v>
      </c>
      <c r="B4157" s="14" t="s">
        <v>9175</v>
      </c>
      <c r="C4157" s="14"/>
      <c r="D4157" s="14" t="s">
        <v>8531</v>
      </c>
      <c r="E4157" s="14" t="s">
        <v>1488</v>
      </c>
      <c r="F4157" s="14" t="s">
        <v>1489</v>
      </c>
      <c r="G4157" s="14" t="s">
        <v>37</v>
      </c>
      <c r="H4157" s="14"/>
      <c r="I4157" s="14"/>
      <c r="J4157" s="14" t="s">
        <v>941</v>
      </c>
      <c r="K4157" s="14"/>
      <c r="L4157" s="14" t="s">
        <v>1491</v>
      </c>
      <c r="M4157" s="14" t="s">
        <v>1492</v>
      </c>
      <c r="N4157" s="14"/>
      <c r="O4157" s="14" t="s">
        <v>1493</v>
      </c>
      <c r="P4157" s="14" t="str">
        <f>HYPERLINK("https://ceds.ed.gov/cedselementdetails.aspx?termid=18024")</f>
        <v>https://ceds.ed.gov/cedselementdetails.aspx?termid=18024</v>
      </c>
      <c r="Q4157" s="14" t="str">
        <f>HYPERLINK("https://ceds.ed.gov/elementComment.aspx?elementName=Assessment Session Actual End Date Time &amp;elementID=18024", "Click here to submit comment")</f>
        <v>Click here to submit comment</v>
      </c>
      <c r="R4157" s="14">
        <v>48461</v>
      </c>
    </row>
    <row r="4158" spans="1:18" ht="105" x14ac:dyDescent="0.25">
      <c r="A4158" s="19" t="s">
        <v>9103</v>
      </c>
      <c r="B4158" s="19" t="s">
        <v>9175</v>
      </c>
      <c r="C4158" s="19"/>
      <c r="D4158" s="19" t="s">
        <v>8531</v>
      </c>
      <c r="E4158" s="19" t="s">
        <v>1499</v>
      </c>
      <c r="F4158" s="19" t="s">
        <v>1500</v>
      </c>
      <c r="G4158" s="19" t="s">
        <v>37</v>
      </c>
      <c r="H4158" s="19" t="s">
        <v>106</v>
      </c>
      <c r="I4158" s="19"/>
      <c r="J4158" s="19" t="s">
        <v>149</v>
      </c>
      <c r="K4158" s="19"/>
      <c r="L4158" s="14" t="s">
        <v>150</v>
      </c>
      <c r="M4158" s="19" t="s">
        <v>1502</v>
      </c>
      <c r="N4158" s="19"/>
      <c r="O4158" s="19" t="s">
        <v>1503</v>
      </c>
      <c r="P4158" s="19" t="str">
        <f>HYPERLINK("https://ceds.ed.gov/cedselementdetails.aspx?termid=17400")</f>
        <v>https://ceds.ed.gov/cedselementdetails.aspx?termid=17400</v>
      </c>
      <c r="Q4158" s="19" t="str">
        <f>HYPERLINK("https://ceds.ed.gov/elementComment.aspx?elementName=Assessment Session Administrator Identifier &amp;elementID=17400", "Click here to submit comment")</f>
        <v>Click here to submit comment</v>
      </c>
      <c r="R4158" s="19">
        <v>48921</v>
      </c>
    </row>
    <row r="4159" spans="1:18" x14ac:dyDescent="0.25">
      <c r="A4159" s="20"/>
      <c r="B4159" s="20"/>
      <c r="C4159" s="20"/>
      <c r="D4159" s="20"/>
      <c r="E4159" s="20"/>
      <c r="F4159" s="20"/>
      <c r="G4159" s="20"/>
      <c r="H4159" s="20"/>
      <c r="I4159" s="20"/>
      <c r="J4159" s="20"/>
      <c r="K4159" s="20"/>
      <c r="L4159" s="14"/>
      <c r="M4159" s="20"/>
      <c r="N4159" s="20"/>
      <c r="O4159" s="20"/>
      <c r="P4159" s="20"/>
      <c r="Q4159" s="20"/>
      <c r="R4159" s="20"/>
    </row>
    <row r="4160" spans="1:18" ht="90" x14ac:dyDescent="0.25">
      <c r="A4160" s="21"/>
      <c r="B4160" s="21"/>
      <c r="C4160" s="21"/>
      <c r="D4160" s="21"/>
      <c r="E4160" s="21"/>
      <c r="F4160" s="21"/>
      <c r="G4160" s="21"/>
      <c r="H4160" s="21"/>
      <c r="I4160" s="21"/>
      <c r="J4160" s="21"/>
      <c r="K4160" s="21"/>
      <c r="L4160" s="14" t="s">
        <v>153</v>
      </c>
      <c r="M4160" s="21"/>
      <c r="N4160" s="21"/>
      <c r="O4160" s="21"/>
      <c r="P4160" s="21"/>
      <c r="Q4160" s="21"/>
      <c r="R4160" s="21"/>
    </row>
    <row r="4161" spans="1:18" ht="45" x14ac:dyDescent="0.25">
      <c r="A4161" s="19" t="s">
        <v>9103</v>
      </c>
      <c r="B4161" s="19" t="s">
        <v>9175</v>
      </c>
      <c r="C4161" s="19"/>
      <c r="D4161" s="19" t="s">
        <v>8531</v>
      </c>
      <c r="E4161" s="19" t="s">
        <v>1513</v>
      </c>
      <c r="F4161" s="19" t="s">
        <v>1514</v>
      </c>
      <c r="G4161" s="19" t="s">
        <v>37</v>
      </c>
      <c r="H4161" s="19" t="s">
        <v>106</v>
      </c>
      <c r="I4161" s="19"/>
      <c r="J4161" s="19" t="s">
        <v>149</v>
      </c>
      <c r="K4161" s="19"/>
      <c r="L4161" s="14" t="s">
        <v>1515</v>
      </c>
      <c r="M4161" s="19" t="s">
        <v>1516</v>
      </c>
      <c r="N4161" s="19"/>
      <c r="O4161" s="19" t="s">
        <v>1517</v>
      </c>
      <c r="P4161" s="19" t="str">
        <f>HYPERLINK("https://ceds.ed.gov/cedselementdetails.aspx?termid=17401")</f>
        <v>https://ceds.ed.gov/cedselementdetails.aspx?termid=17401</v>
      </c>
      <c r="Q4161" s="19" t="str">
        <f>HYPERLINK("https://ceds.ed.gov/elementComment.aspx?elementName=Assessment Session Proctor Identifier &amp;elementID=17401", "Click here to submit comment")</f>
        <v>Click here to submit comment</v>
      </c>
      <c r="R4161" s="19">
        <v>48190</v>
      </c>
    </row>
    <row r="4162" spans="1:18" x14ac:dyDescent="0.25">
      <c r="A4162" s="20"/>
      <c r="B4162" s="20"/>
      <c r="C4162" s="20"/>
      <c r="D4162" s="20"/>
      <c r="E4162" s="20"/>
      <c r="F4162" s="20"/>
      <c r="G4162" s="20"/>
      <c r="H4162" s="20"/>
      <c r="I4162" s="20"/>
      <c r="J4162" s="20"/>
      <c r="K4162" s="20"/>
      <c r="L4162" s="14"/>
      <c r="M4162" s="20"/>
      <c r="N4162" s="20"/>
      <c r="O4162" s="20"/>
      <c r="P4162" s="20"/>
      <c r="Q4162" s="20"/>
      <c r="R4162" s="20"/>
    </row>
    <row r="4163" spans="1:18" ht="105" x14ac:dyDescent="0.25">
      <c r="A4163" s="20"/>
      <c r="B4163" s="20"/>
      <c r="C4163" s="20"/>
      <c r="D4163" s="20"/>
      <c r="E4163" s="20"/>
      <c r="F4163" s="20"/>
      <c r="G4163" s="20"/>
      <c r="H4163" s="20"/>
      <c r="I4163" s="20"/>
      <c r="J4163" s="20"/>
      <c r="K4163" s="20"/>
      <c r="L4163" s="14" t="s">
        <v>150</v>
      </c>
      <c r="M4163" s="20"/>
      <c r="N4163" s="20"/>
      <c r="O4163" s="20"/>
      <c r="P4163" s="20"/>
      <c r="Q4163" s="20"/>
      <c r="R4163" s="20"/>
    </row>
    <row r="4164" spans="1:18" x14ac:dyDescent="0.25">
      <c r="A4164" s="20"/>
      <c r="B4164" s="20"/>
      <c r="C4164" s="20"/>
      <c r="D4164" s="20"/>
      <c r="E4164" s="20"/>
      <c r="F4164" s="20"/>
      <c r="G4164" s="20"/>
      <c r="H4164" s="20"/>
      <c r="I4164" s="20"/>
      <c r="J4164" s="20"/>
      <c r="K4164" s="20"/>
      <c r="L4164" s="14"/>
      <c r="M4164" s="20"/>
      <c r="N4164" s="20"/>
      <c r="O4164" s="20"/>
      <c r="P4164" s="20"/>
      <c r="Q4164" s="20"/>
      <c r="R4164" s="20"/>
    </row>
    <row r="4165" spans="1:18" ht="90" x14ac:dyDescent="0.25">
      <c r="A4165" s="21"/>
      <c r="B4165" s="21"/>
      <c r="C4165" s="21"/>
      <c r="D4165" s="21"/>
      <c r="E4165" s="21"/>
      <c r="F4165" s="21"/>
      <c r="G4165" s="21"/>
      <c r="H4165" s="21"/>
      <c r="I4165" s="21"/>
      <c r="J4165" s="21"/>
      <c r="K4165" s="21"/>
      <c r="L4165" s="14" t="s">
        <v>153</v>
      </c>
      <c r="M4165" s="21"/>
      <c r="N4165" s="21"/>
      <c r="O4165" s="21"/>
      <c r="P4165" s="21"/>
      <c r="Q4165" s="21"/>
      <c r="R4165" s="21"/>
    </row>
    <row r="4166" spans="1:18" ht="120" x14ac:dyDescent="0.25">
      <c r="A4166" s="14" t="s">
        <v>9103</v>
      </c>
      <c r="B4166" s="14" t="s">
        <v>9175</v>
      </c>
      <c r="C4166" s="14"/>
      <c r="D4166" s="14" t="s">
        <v>8531</v>
      </c>
      <c r="E4166" s="14" t="s">
        <v>1539</v>
      </c>
      <c r="F4166" s="14" t="s">
        <v>1540</v>
      </c>
      <c r="G4166" s="8" t="s">
        <v>9177</v>
      </c>
      <c r="H4166" s="14"/>
      <c r="I4166" s="14"/>
      <c r="J4166" s="14"/>
      <c r="K4166" s="14"/>
      <c r="L4166" s="14"/>
      <c r="M4166" s="14" t="s">
        <v>1542</v>
      </c>
      <c r="N4166" s="14"/>
      <c r="O4166" s="14" t="s">
        <v>1543</v>
      </c>
      <c r="P4166" s="14" t="str">
        <f>HYPERLINK("https://ceds.ed.gov/cedselementdetails.aspx?termid=18179")</f>
        <v>https://ceds.ed.gov/cedselementdetails.aspx?termid=18179</v>
      </c>
      <c r="Q4166" s="14" t="str">
        <f>HYPERLINK("https://ceds.ed.gov/elementComment.aspx?elementName=Assessment Session Staff Role Type &amp;elementID=18179", "Click here to submit comment")</f>
        <v>Click here to submit comment</v>
      </c>
      <c r="R4166" s="14">
        <v>48622</v>
      </c>
    </row>
    <row r="4167" spans="1:18" ht="409.5" x14ac:dyDescent="0.25">
      <c r="A4167" s="14" t="s">
        <v>9103</v>
      </c>
      <c r="B4167" s="14" t="s">
        <v>9175</v>
      </c>
      <c r="C4167" s="14"/>
      <c r="D4167" s="14" t="s">
        <v>8531</v>
      </c>
      <c r="E4167" s="14" t="s">
        <v>1530</v>
      </c>
      <c r="F4167" s="14" t="s">
        <v>1531</v>
      </c>
      <c r="G4167" s="8" t="s">
        <v>9178</v>
      </c>
      <c r="H4167" s="14" t="s">
        <v>106</v>
      </c>
      <c r="I4167" s="14"/>
      <c r="J4167" s="14"/>
      <c r="K4167" s="14"/>
      <c r="L4167" s="14"/>
      <c r="M4167" s="14" t="s">
        <v>1533</v>
      </c>
      <c r="N4167" s="14"/>
      <c r="O4167" s="14" t="s">
        <v>1534</v>
      </c>
      <c r="P4167" s="14" t="str">
        <f>HYPERLINK("https://ceds.ed.gov/cedselementdetails.aspx?termid=17380")</f>
        <v>https://ceds.ed.gov/cedselementdetails.aspx?termid=17380</v>
      </c>
      <c r="Q4167" s="14" t="str">
        <f>HYPERLINK("https://ceds.ed.gov/elementComment.aspx?elementName=Assessment Session Special Circumstance Type &amp;elementID=17380", "Click here to submit comment")</f>
        <v>Click here to submit comment</v>
      </c>
      <c r="R4167" s="14">
        <v>49846</v>
      </c>
    </row>
    <row r="4168" spans="1:18" ht="90" x14ac:dyDescent="0.25">
      <c r="A4168" s="14" t="s">
        <v>9103</v>
      </c>
      <c r="B4168" s="14" t="s">
        <v>9175</v>
      </c>
      <c r="C4168" s="14"/>
      <c r="D4168" s="14" t="s">
        <v>8531</v>
      </c>
      <c r="E4168" s="14" t="s">
        <v>1535</v>
      </c>
      <c r="F4168" s="14" t="s">
        <v>1536</v>
      </c>
      <c r="G4168" s="14" t="s">
        <v>37</v>
      </c>
      <c r="H4168" s="14"/>
      <c r="I4168" s="14"/>
      <c r="J4168" s="14" t="s">
        <v>175</v>
      </c>
      <c r="K4168" s="14"/>
      <c r="L4168" s="14"/>
      <c r="M4168" s="14" t="s">
        <v>1537</v>
      </c>
      <c r="N4168" s="14"/>
      <c r="O4168" s="14" t="s">
        <v>1538</v>
      </c>
      <c r="P4168" s="14" t="str">
        <f>HYPERLINK("https://ceds.ed.gov/cedselementdetails.aspx?termid=18077")</f>
        <v>https://ceds.ed.gov/cedselementdetails.aspx?termid=18077</v>
      </c>
      <c r="Q4168" s="14" t="str">
        <f>HYPERLINK("https://ceds.ed.gov/elementComment.aspx?elementName=Assessment Session Special Event Description &amp;elementID=18077", "Click here to submit comment")</f>
        <v>Click here to submit comment</v>
      </c>
      <c r="R4168" s="14">
        <v>48518</v>
      </c>
    </row>
    <row r="4169" spans="1:18" ht="150" x14ac:dyDescent="0.25">
      <c r="A4169" s="14" t="s">
        <v>9103</v>
      </c>
      <c r="B4169" s="14" t="s">
        <v>9175</v>
      </c>
      <c r="C4169" s="14"/>
      <c r="D4169" s="14" t="s">
        <v>8531</v>
      </c>
      <c r="E4169" s="14" t="s">
        <v>1526</v>
      </c>
      <c r="F4169" s="14" t="s">
        <v>1527</v>
      </c>
      <c r="G4169" s="14" t="s">
        <v>37</v>
      </c>
      <c r="H4169" s="14"/>
      <c r="I4169" s="14"/>
      <c r="J4169" s="14" t="s">
        <v>129</v>
      </c>
      <c r="K4169" s="14"/>
      <c r="L4169" s="14" t="s">
        <v>978</v>
      </c>
      <c r="M4169" s="14" t="s">
        <v>1528</v>
      </c>
      <c r="N4169" s="14"/>
      <c r="O4169" s="14" t="s">
        <v>1529</v>
      </c>
      <c r="P4169" s="14" t="str">
        <f>HYPERLINK("https://ceds.ed.gov/cedselementdetails.aspx?termid=17969")</f>
        <v>https://ceds.ed.gov/cedselementdetails.aspx?termid=17969</v>
      </c>
      <c r="Q4169" s="14" t="str">
        <f>HYPERLINK("https://ceds.ed.gov/elementComment.aspx?elementName=Assessment Session Security Issue &amp;elementID=17969", "Click here to submit comment")</f>
        <v>Click here to submit comment</v>
      </c>
      <c r="R4169" s="14">
        <v>48421</v>
      </c>
    </row>
    <row r="4170" spans="1:18" ht="105" x14ac:dyDescent="0.25">
      <c r="A4170" s="19" t="s">
        <v>9103</v>
      </c>
      <c r="B4170" s="19" t="s">
        <v>9141</v>
      </c>
      <c r="C4170" s="19"/>
      <c r="D4170" s="19" t="s">
        <v>8531</v>
      </c>
      <c r="E4170" s="19" t="s">
        <v>1301</v>
      </c>
      <c r="F4170" s="19" t="s">
        <v>1302</v>
      </c>
      <c r="G4170" s="19" t="s">
        <v>37</v>
      </c>
      <c r="H4170" s="19" t="s">
        <v>908</v>
      </c>
      <c r="I4170" s="19"/>
      <c r="J4170" s="19" t="s">
        <v>149</v>
      </c>
      <c r="K4170" s="19"/>
      <c r="L4170" s="14" t="s">
        <v>150</v>
      </c>
      <c r="M4170" s="19" t="s">
        <v>1303</v>
      </c>
      <c r="N4170" s="19"/>
      <c r="O4170" s="19" t="s">
        <v>1304</v>
      </c>
      <c r="P4170" s="19" t="str">
        <f>HYPERLINK("https://ceds.ed.gov/cedselementdetails.aspx?termid=17693")</f>
        <v>https://ceds.ed.gov/cedselementdetails.aspx?termid=17693</v>
      </c>
      <c r="Q4170" s="19" t="str">
        <f>HYPERLINK("https://ceds.ed.gov/elementComment.aspx?elementName=Assessment Performance Level Identifier &amp;elementID=17693", "Click here to submit comment")</f>
        <v>Click here to submit comment</v>
      </c>
      <c r="R4170" s="19">
        <v>48253</v>
      </c>
    </row>
    <row r="4171" spans="1:18" x14ac:dyDescent="0.25">
      <c r="A4171" s="20"/>
      <c r="B4171" s="20"/>
      <c r="C4171" s="20"/>
      <c r="D4171" s="20"/>
      <c r="E4171" s="20"/>
      <c r="F4171" s="20"/>
      <c r="G4171" s="20"/>
      <c r="H4171" s="20"/>
      <c r="I4171" s="20"/>
      <c r="J4171" s="20"/>
      <c r="K4171" s="20"/>
      <c r="L4171" s="14"/>
      <c r="M4171" s="20"/>
      <c r="N4171" s="20"/>
      <c r="O4171" s="20"/>
      <c r="P4171" s="20"/>
      <c r="Q4171" s="20"/>
      <c r="R4171" s="20"/>
    </row>
    <row r="4172" spans="1:18" ht="90" x14ac:dyDescent="0.25">
      <c r="A4172" s="21"/>
      <c r="B4172" s="21"/>
      <c r="C4172" s="21"/>
      <c r="D4172" s="21"/>
      <c r="E4172" s="21"/>
      <c r="F4172" s="21"/>
      <c r="G4172" s="21"/>
      <c r="H4172" s="21"/>
      <c r="I4172" s="21"/>
      <c r="J4172" s="21"/>
      <c r="K4172" s="21"/>
      <c r="L4172" s="14" t="s">
        <v>153</v>
      </c>
      <c r="M4172" s="21"/>
      <c r="N4172" s="21"/>
      <c r="O4172" s="21"/>
      <c r="P4172" s="21"/>
      <c r="Q4172" s="21"/>
      <c r="R4172" s="21"/>
    </row>
    <row r="4173" spans="1:18" ht="45" x14ac:dyDescent="0.25">
      <c r="A4173" s="14" t="s">
        <v>9103</v>
      </c>
      <c r="B4173" s="14" t="s">
        <v>9141</v>
      </c>
      <c r="C4173" s="14"/>
      <c r="D4173" s="14" t="s">
        <v>8531</v>
      </c>
      <c r="E4173" s="14" t="s">
        <v>1305</v>
      </c>
      <c r="F4173" s="14" t="s">
        <v>1306</v>
      </c>
      <c r="G4173" s="14" t="s">
        <v>37</v>
      </c>
      <c r="H4173" s="14" t="s">
        <v>908</v>
      </c>
      <c r="I4173" s="14"/>
      <c r="J4173" s="14" t="s">
        <v>1307</v>
      </c>
      <c r="K4173" s="14"/>
      <c r="L4173" s="14"/>
      <c r="M4173" s="14" t="s">
        <v>1308</v>
      </c>
      <c r="N4173" s="14"/>
      <c r="O4173" s="14" t="s">
        <v>1309</v>
      </c>
      <c r="P4173" s="14" t="str">
        <f>HYPERLINK("https://ceds.ed.gov/cedselementdetails.aspx?termid=17694")</f>
        <v>https://ceds.ed.gov/cedselementdetails.aspx?termid=17694</v>
      </c>
      <c r="Q4173" s="14" t="str">
        <f>HYPERLINK("https://ceds.ed.gov/elementComment.aspx?elementName=Assessment Performance Level Label &amp;elementID=17694", "Click here to submit comment")</f>
        <v>Click here to submit comment</v>
      </c>
      <c r="R4173" s="14">
        <v>48254</v>
      </c>
    </row>
    <row r="4174" spans="1:18" ht="45" x14ac:dyDescent="0.25">
      <c r="A4174" s="14" t="s">
        <v>9103</v>
      </c>
      <c r="B4174" s="14" t="s">
        <v>9141</v>
      </c>
      <c r="C4174" s="14"/>
      <c r="D4174" s="14" t="s">
        <v>8531</v>
      </c>
      <c r="E4174" s="14" t="s">
        <v>1310</v>
      </c>
      <c r="F4174" s="14" t="s">
        <v>1311</v>
      </c>
      <c r="G4174" s="14" t="s">
        <v>37</v>
      </c>
      <c r="H4174" s="14" t="s">
        <v>106</v>
      </c>
      <c r="I4174" s="14"/>
      <c r="J4174" s="14" t="s">
        <v>97</v>
      </c>
      <c r="K4174" s="14"/>
      <c r="L4174" s="14"/>
      <c r="M4174" s="14" t="s">
        <v>1312</v>
      </c>
      <c r="N4174" s="14"/>
      <c r="O4174" s="14" t="s">
        <v>1313</v>
      </c>
      <c r="P4174" s="14" t="str">
        <f>HYPERLINK("https://ceds.ed.gov/cedselementdetails.aspx?termid=17408")</f>
        <v>https://ceds.ed.gov/cedselementdetails.aspx?termid=17408</v>
      </c>
      <c r="Q4174" s="14" t="str">
        <f>HYPERLINK("https://ceds.ed.gov/elementComment.aspx?elementName=Assessment Performance Level Lower Cut Score &amp;elementID=17408", "Click here to submit comment")</f>
        <v>Click here to submit comment</v>
      </c>
      <c r="R4174" s="14">
        <v>48251</v>
      </c>
    </row>
    <row r="4175" spans="1:18" ht="45" x14ac:dyDescent="0.25">
      <c r="A4175" s="14" t="s">
        <v>9103</v>
      </c>
      <c r="B4175" s="14" t="s">
        <v>9141</v>
      </c>
      <c r="C4175" s="14"/>
      <c r="D4175" s="14" t="s">
        <v>8531</v>
      </c>
      <c r="E4175" s="14" t="s">
        <v>1319</v>
      </c>
      <c r="F4175" s="14" t="s">
        <v>1320</v>
      </c>
      <c r="G4175" s="14" t="s">
        <v>37</v>
      </c>
      <c r="H4175" s="14" t="s">
        <v>106</v>
      </c>
      <c r="I4175" s="14"/>
      <c r="J4175" s="14" t="s">
        <v>97</v>
      </c>
      <c r="K4175" s="14"/>
      <c r="L4175" s="14"/>
      <c r="M4175" s="14" t="s">
        <v>1321</v>
      </c>
      <c r="N4175" s="14"/>
      <c r="O4175" s="14" t="s">
        <v>1322</v>
      </c>
      <c r="P4175" s="14" t="str">
        <f>HYPERLINK("https://ceds.ed.gov/cedselementdetails.aspx?termid=17409")</f>
        <v>https://ceds.ed.gov/cedselementdetails.aspx?termid=17409</v>
      </c>
      <c r="Q4175" s="14" t="str">
        <f>HYPERLINK("https://ceds.ed.gov/elementComment.aspx?elementName=Assessment Performance Level Upper Cut Score &amp;elementID=17409", "Click here to submit comment")</f>
        <v>Click here to submit comment</v>
      </c>
      <c r="R4175" s="14">
        <v>48252</v>
      </c>
    </row>
    <row r="4176" spans="1:18" ht="409.5" x14ac:dyDescent="0.25">
      <c r="A4176" s="14" t="s">
        <v>9103</v>
      </c>
      <c r="B4176" s="14" t="s">
        <v>9141</v>
      </c>
      <c r="C4176" s="14"/>
      <c r="D4176" s="14" t="s">
        <v>8531</v>
      </c>
      <c r="E4176" s="14" t="s">
        <v>1314</v>
      </c>
      <c r="F4176" s="14" t="s">
        <v>1315</v>
      </c>
      <c r="G4176" s="8" t="s">
        <v>8950</v>
      </c>
      <c r="H4176" s="14" t="s">
        <v>106</v>
      </c>
      <c r="I4176" s="14"/>
      <c r="J4176" s="14" t="s">
        <v>97</v>
      </c>
      <c r="K4176" s="14"/>
      <c r="L4176" s="14"/>
      <c r="M4176" s="14" t="s">
        <v>1317</v>
      </c>
      <c r="N4176" s="14"/>
      <c r="O4176" s="14" t="s">
        <v>1318</v>
      </c>
      <c r="P4176" s="14" t="str">
        <f>HYPERLINK("https://ceds.ed.gov/cedselementdetails.aspx?termid=17407")</f>
        <v>https://ceds.ed.gov/cedselementdetails.aspx?termid=17407</v>
      </c>
      <c r="Q4176" s="14" t="str">
        <f>HYPERLINK("https://ceds.ed.gov/elementComment.aspx?elementName=Assessment Performance Level Score Metric &amp;elementID=17407", "Click here to submit comment")</f>
        <v>Click here to submit comment</v>
      </c>
      <c r="R4176" s="14">
        <v>48250</v>
      </c>
    </row>
    <row r="4177" spans="1:18" ht="45" x14ac:dyDescent="0.25">
      <c r="A4177" s="14" t="s">
        <v>9103</v>
      </c>
      <c r="B4177" s="14" t="s">
        <v>9141</v>
      </c>
      <c r="C4177" s="14"/>
      <c r="D4177" s="14" t="s">
        <v>8531</v>
      </c>
      <c r="E4177" s="14" t="s">
        <v>1296</v>
      </c>
      <c r="F4177" s="14" t="s">
        <v>1297</v>
      </c>
      <c r="G4177" s="14" t="s">
        <v>37</v>
      </c>
      <c r="H4177" s="14"/>
      <c r="I4177" s="14"/>
      <c r="J4177" s="14" t="s">
        <v>382</v>
      </c>
      <c r="K4177" s="14"/>
      <c r="L4177" s="14"/>
      <c r="M4177" s="14" t="s">
        <v>1299</v>
      </c>
      <c r="N4177" s="14"/>
      <c r="O4177" s="14" t="s">
        <v>1300</v>
      </c>
      <c r="P4177" s="14" t="str">
        <f>HYPERLINK("https://ceds.ed.gov/cedselementdetails.aspx?termid=18184")</f>
        <v>https://ceds.ed.gov/cedselementdetails.aspx?termid=18184</v>
      </c>
      <c r="Q4177" s="14" t="str">
        <f>HYPERLINK("https://ceds.ed.gov/elementComment.aspx?elementName=Assessment Performance Level Descriptive Feedback &amp;elementID=18184", "Click here to submit comment")</f>
        <v>Click here to submit comment</v>
      </c>
      <c r="R4177" s="14">
        <v>49843</v>
      </c>
    </row>
    <row r="4178" spans="1:18" ht="75" x14ac:dyDescent="0.25">
      <c r="A4178" s="19" t="s">
        <v>9103</v>
      </c>
      <c r="B4178" s="19" t="s">
        <v>9179</v>
      </c>
      <c r="C4178" s="19"/>
      <c r="D4178" s="19" t="s">
        <v>8531</v>
      </c>
      <c r="E4178" s="19" t="s">
        <v>1269</v>
      </c>
      <c r="F4178" s="19" t="s">
        <v>1270</v>
      </c>
      <c r="G4178" s="19" t="s">
        <v>37</v>
      </c>
      <c r="H4178" s="19"/>
      <c r="I4178" s="19"/>
      <c r="J4178" s="19" t="s">
        <v>149</v>
      </c>
      <c r="K4178" s="19"/>
      <c r="L4178" s="14" t="s">
        <v>619</v>
      </c>
      <c r="M4178" s="19" t="s">
        <v>1271</v>
      </c>
      <c r="N4178" s="19"/>
      <c r="O4178" s="19" t="s">
        <v>1272</v>
      </c>
      <c r="P4178" s="19" t="str">
        <f>HYPERLINK("https://ceds.ed.gov/cedselementdetails.aspx?termid=18515")</f>
        <v>https://ceds.ed.gov/cedselementdetails.aspx?termid=18515</v>
      </c>
      <c r="Q4178" s="19" t="str">
        <f>HYPERLINK("https://ceds.ed.gov/elementComment.aspx?elementName=Assessment Participant Session GUID &amp;elementID=18515", "Click here to submit comment")</f>
        <v>Click here to submit comment</v>
      </c>
      <c r="R4178" s="19">
        <v>50804</v>
      </c>
    </row>
    <row r="4179" spans="1:18" x14ac:dyDescent="0.25">
      <c r="A4179" s="20"/>
      <c r="B4179" s="20"/>
      <c r="C4179" s="20"/>
      <c r="D4179" s="20"/>
      <c r="E4179" s="20"/>
      <c r="F4179" s="20"/>
      <c r="G4179" s="20"/>
      <c r="H4179" s="20"/>
      <c r="I4179" s="20"/>
      <c r="J4179" s="20"/>
      <c r="K4179" s="20"/>
      <c r="L4179" s="14"/>
      <c r="M4179" s="20"/>
      <c r="N4179" s="20"/>
      <c r="O4179" s="20"/>
      <c r="P4179" s="20"/>
      <c r="Q4179" s="20"/>
      <c r="R4179" s="20"/>
    </row>
    <row r="4180" spans="1:18" ht="60" x14ac:dyDescent="0.25">
      <c r="A4180" s="21"/>
      <c r="B4180" s="21"/>
      <c r="C4180" s="21"/>
      <c r="D4180" s="21"/>
      <c r="E4180" s="21"/>
      <c r="F4180" s="21"/>
      <c r="G4180" s="21"/>
      <c r="H4180" s="21"/>
      <c r="I4180" s="21"/>
      <c r="J4180" s="21"/>
      <c r="K4180" s="21"/>
      <c r="L4180" s="14" t="s">
        <v>622</v>
      </c>
      <c r="M4180" s="21"/>
      <c r="N4180" s="21"/>
      <c r="O4180" s="21"/>
      <c r="P4180" s="21"/>
      <c r="Q4180" s="21"/>
      <c r="R4180" s="21"/>
    </row>
    <row r="4181" spans="1:18" ht="45" x14ac:dyDescent="0.25">
      <c r="A4181" s="14" t="s">
        <v>9103</v>
      </c>
      <c r="B4181" s="14" t="s">
        <v>9179</v>
      </c>
      <c r="C4181" s="14"/>
      <c r="D4181" s="14" t="s">
        <v>8531</v>
      </c>
      <c r="E4181" s="14" t="s">
        <v>1259</v>
      </c>
      <c r="F4181" s="14" t="s">
        <v>1260</v>
      </c>
      <c r="G4181" s="14" t="s">
        <v>37</v>
      </c>
      <c r="H4181" s="14"/>
      <c r="I4181" s="14"/>
      <c r="J4181" s="14" t="s">
        <v>129</v>
      </c>
      <c r="K4181" s="14"/>
      <c r="L4181" s="14"/>
      <c r="M4181" s="14" t="s">
        <v>1262</v>
      </c>
      <c r="N4181" s="14"/>
      <c r="O4181" s="14" t="s">
        <v>1263</v>
      </c>
      <c r="P4181" s="14" t="str">
        <f>HYPERLINK("https://ceds.ed.gov/cedselementdetails.aspx?termid=18514")</f>
        <v>https://ceds.ed.gov/cedselementdetails.aspx?termid=18514</v>
      </c>
      <c r="Q4181" s="14" t="str">
        <f>HYPERLINK("https://ceds.ed.gov/elementComment.aspx?elementName=Assessment Participant Session Database Name &amp;elementID=18514", "Click here to submit comment")</f>
        <v>Click here to submit comment</v>
      </c>
      <c r="R4181" s="14">
        <v>50802</v>
      </c>
    </row>
    <row r="4182" spans="1:18" ht="90" x14ac:dyDescent="0.25">
      <c r="A4182" s="14" t="s">
        <v>9103</v>
      </c>
      <c r="B4182" s="14" t="s">
        <v>9179</v>
      </c>
      <c r="C4182" s="14"/>
      <c r="D4182" s="14" t="s">
        <v>8531</v>
      </c>
      <c r="E4182" s="14" t="s">
        <v>1494</v>
      </c>
      <c r="F4182" s="14" t="s">
        <v>1495</v>
      </c>
      <c r="G4182" s="14" t="s">
        <v>37</v>
      </c>
      <c r="H4182" s="14"/>
      <c r="I4182" s="14"/>
      <c r="J4182" s="14" t="s">
        <v>941</v>
      </c>
      <c r="K4182" s="14"/>
      <c r="L4182" s="14" t="s">
        <v>1496</v>
      </c>
      <c r="M4182" s="14" t="s">
        <v>1497</v>
      </c>
      <c r="N4182" s="14"/>
      <c r="O4182" s="14" t="s">
        <v>1498</v>
      </c>
      <c r="P4182" s="14" t="str">
        <f>HYPERLINK("https://ceds.ed.gov/cedselementdetails.aspx?termid=18023")</f>
        <v>https://ceds.ed.gov/cedselementdetails.aspx?termid=18023</v>
      </c>
      <c r="Q4182" s="14" t="str">
        <f>HYPERLINK("https://ceds.ed.gov/elementComment.aspx?elementName=Assessment Session Actual Start Date Time &amp;elementID=18023", "Click here to submit comment")</f>
        <v>Click here to submit comment</v>
      </c>
      <c r="R4182" s="14">
        <v>48460</v>
      </c>
    </row>
    <row r="4183" spans="1:18" ht="90" x14ac:dyDescent="0.25">
      <c r="A4183" s="14" t="s">
        <v>9103</v>
      </c>
      <c r="B4183" s="14" t="s">
        <v>9179</v>
      </c>
      <c r="C4183" s="14"/>
      <c r="D4183" s="14" t="s">
        <v>8531</v>
      </c>
      <c r="E4183" s="14" t="s">
        <v>1488</v>
      </c>
      <c r="F4183" s="14" t="s">
        <v>1489</v>
      </c>
      <c r="G4183" s="14" t="s">
        <v>37</v>
      </c>
      <c r="H4183" s="14"/>
      <c r="I4183" s="14"/>
      <c r="J4183" s="14" t="s">
        <v>941</v>
      </c>
      <c r="K4183" s="14"/>
      <c r="L4183" s="14" t="s">
        <v>1491</v>
      </c>
      <c r="M4183" s="14" t="s">
        <v>1492</v>
      </c>
      <c r="N4183" s="14"/>
      <c r="O4183" s="14" t="s">
        <v>1493</v>
      </c>
      <c r="P4183" s="14" t="str">
        <f>HYPERLINK("https://ceds.ed.gov/cedselementdetails.aspx?termid=18024")</f>
        <v>https://ceds.ed.gov/cedselementdetails.aspx?termid=18024</v>
      </c>
      <c r="Q4183" s="14" t="str">
        <f>HYPERLINK("https://ceds.ed.gov/elementComment.aspx?elementName=Assessment Session Actual End Date Time &amp;elementID=18024", "Click here to submit comment")</f>
        <v>Click here to submit comment</v>
      </c>
      <c r="R4183" s="14">
        <v>48462</v>
      </c>
    </row>
    <row r="4184" spans="1:18" ht="45" x14ac:dyDescent="0.25">
      <c r="A4184" s="14" t="s">
        <v>9103</v>
      </c>
      <c r="B4184" s="14" t="s">
        <v>9179</v>
      </c>
      <c r="C4184" s="14"/>
      <c r="D4184" s="14" t="s">
        <v>8531</v>
      </c>
      <c r="E4184" s="14" t="s">
        <v>1264</v>
      </c>
      <c r="F4184" s="14" t="s">
        <v>1265</v>
      </c>
      <c r="G4184" s="14" t="s">
        <v>37</v>
      </c>
      <c r="H4184" s="14"/>
      <c r="I4184" s="14"/>
      <c r="J4184" s="14" t="s">
        <v>129</v>
      </c>
      <c r="K4184" s="14"/>
      <c r="L4184" s="14" t="s">
        <v>1266</v>
      </c>
      <c r="M4184" s="14" t="s">
        <v>1267</v>
      </c>
      <c r="N4184" s="14"/>
      <c r="O4184" s="14" t="s">
        <v>1268</v>
      </c>
      <c r="P4184" s="14" t="str">
        <f>HYPERLINK("https://ceds.ed.gov/cedselementdetails.aspx?termid=18006")</f>
        <v>https://ceds.ed.gov/cedselementdetails.aspx?termid=18006</v>
      </c>
      <c r="Q4184" s="14" t="str">
        <f>HYPERLINK("https://ceds.ed.gov/elementComment.aspx?elementName=Assessment Participant Session Delivery Device Details &amp;elementID=18006", "Click here to submit comment")</f>
        <v>Click here to submit comment</v>
      </c>
      <c r="R4184" s="14">
        <v>48442</v>
      </c>
    </row>
    <row r="4185" spans="1:18" ht="45" x14ac:dyDescent="0.25">
      <c r="A4185" s="14" t="s">
        <v>9103</v>
      </c>
      <c r="B4185" s="14" t="s">
        <v>9179</v>
      </c>
      <c r="C4185" s="14"/>
      <c r="D4185" s="14" t="s">
        <v>8531</v>
      </c>
      <c r="E4185" s="14" t="s">
        <v>1508</v>
      </c>
      <c r="F4185" s="14" t="s">
        <v>1509</v>
      </c>
      <c r="G4185" s="14" t="s">
        <v>37</v>
      </c>
      <c r="H4185" s="14" t="s">
        <v>106</v>
      </c>
      <c r="I4185" s="14"/>
      <c r="J4185" s="14" t="s">
        <v>1510</v>
      </c>
      <c r="K4185" s="14"/>
      <c r="L4185" s="14"/>
      <c r="M4185" s="14" t="s">
        <v>1511</v>
      </c>
      <c r="N4185" s="14"/>
      <c r="O4185" s="14" t="s">
        <v>1512</v>
      </c>
      <c r="P4185" s="14" t="str">
        <f>HYPERLINK("https://ceds.ed.gov/cedselementdetails.aspx?termid=17590")</f>
        <v>https://ceds.ed.gov/cedselementdetails.aspx?termid=17590</v>
      </c>
      <c r="Q4185" s="14" t="str">
        <f>HYPERLINK("https://ceds.ed.gov/elementComment.aspx?elementName=Assessment Session Location &amp;elementID=17590", "Click here to submit comment")</f>
        <v>Click here to submit comment</v>
      </c>
      <c r="R4185" s="14">
        <v>48922</v>
      </c>
    </row>
    <row r="4186" spans="1:18" ht="120" x14ac:dyDescent="0.25">
      <c r="A4186" s="14" t="s">
        <v>9103</v>
      </c>
      <c r="B4186" s="14" t="s">
        <v>9179</v>
      </c>
      <c r="C4186" s="14"/>
      <c r="D4186" s="14" t="s">
        <v>8531</v>
      </c>
      <c r="E4186" s="14" t="s">
        <v>1277</v>
      </c>
      <c r="F4186" s="14" t="s">
        <v>1278</v>
      </c>
      <c r="G4186" s="8" t="s">
        <v>9150</v>
      </c>
      <c r="H4186" s="14" t="s">
        <v>727</v>
      </c>
      <c r="I4186" s="14"/>
      <c r="J4186" s="14"/>
      <c r="K4186" s="14"/>
      <c r="L4186" s="14"/>
      <c r="M4186" s="14" t="s">
        <v>1281</v>
      </c>
      <c r="N4186" s="14"/>
      <c r="O4186" s="14" t="s">
        <v>1282</v>
      </c>
      <c r="P4186" s="14" t="str">
        <f>HYPERLINK("https://ceds.ed.gov/cedselementdetails.aspx?termid=17377")</f>
        <v>https://ceds.ed.gov/cedselementdetails.aspx?termid=17377</v>
      </c>
      <c r="Q4186" s="14" t="str">
        <f>HYPERLINK("https://ceds.ed.gov/elementComment.aspx?elementName=Assessment Participant Session Platform Type &amp;elementID=17377", "Click here to submit comment")</f>
        <v>Click here to submit comment</v>
      </c>
      <c r="R4186" s="14">
        <v>48188</v>
      </c>
    </row>
    <row r="4187" spans="1:18" ht="135" x14ac:dyDescent="0.25">
      <c r="A4187" s="14" t="s">
        <v>9103</v>
      </c>
      <c r="B4187" s="14" t="s">
        <v>9179</v>
      </c>
      <c r="C4187" s="14"/>
      <c r="D4187" s="14" t="s">
        <v>8531</v>
      </c>
      <c r="E4187" s="14" t="s">
        <v>1283</v>
      </c>
      <c r="F4187" s="14" t="s">
        <v>1284</v>
      </c>
      <c r="G4187" s="14" t="s">
        <v>37</v>
      </c>
      <c r="H4187" s="14"/>
      <c r="I4187" s="14"/>
      <c r="J4187" s="14" t="s">
        <v>57</v>
      </c>
      <c r="K4187" s="14"/>
      <c r="L4187" s="14" t="s">
        <v>1285</v>
      </c>
      <c r="M4187" s="14" t="s">
        <v>1286</v>
      </c>
      <c r="N4187" s="14"/>
      <c r="O4187" s="14" t="s">
        <v>1287</v>
      </c>
      <c r="P4187" s="14" t="str">
        <f>HYPERLINK("https://ceds.ed.gov/cedselementdetails.aspx?termid=18112")</f>
        <v>https://ceds.ed.gov/cedselementdetails.aspx?termid=18112</v>
      </c>
      <c r="Q4187" s="14" t="str">
        <f>HYPERLINK("https://ceds.ed.gov/elementComment.aspx?elementName=Assessment Participant Session Platform User Agent &amp;elementID=18112", "Click here to submit comment")</f>
        <v>Click here to submit comment</v>
      </c>
      <c r="R4187" s="14">
        <v>49473</v>
      </c>
    </row>
    <row r="4188" spans="1:18" ht="90" x14ac:dyDescent="0.25">
      <c r="A4188" s="14" t="s">
        <v>9103</v>
      </c>
      <c r="B4188" s="14" t="s">
        <v>9179</v>
      </c>
      <c r="C4188" s="14"/>
      <c r="D4188" s="14" t="s">
        <v>8531</v>
      </c>
      <c r="E4188" s="14" t="s">
        <v>1273</v>
      </c>
      <c r="F4188" s="14" t="s">
        <v>1274</v>
      </c>
      <c r="G4188" s="14" t="s">
        <v>8527</v>
      </c>
      <c r="H4188" s="14" t="s">
        <v>106</v>
      </c>
      <c r="I4188" s="14" t="s">
        <v>195</v>
      </c>
      <c r="J4188" s="14"/>
      <c r="K4188" s="14" t="s">
        <v>1086</v>
      </c>
      <c r="L4188" s="6" t="s">
        <v>1087</v>
      </c>
      <c r="M4188" s="14" t="s">
        <v>1275</v>
      </c>
      <c r="N4188" s="14"/>
      <c r="O4188" s="14" t="s">
        <v>1276</v>
      </c>
      <c r="P4188" s="14" t="str">
        <f>HYPERLINK("https://ceds.ed.gov/cedselementdetails.aspx?termid=17370")</f>
        <v>https://ceds.ed.gov/cedselementdetails.aspx?termid=17370</v>
      </c>
      <c r="Q4188" s="14" t="str">
        <f>HYPERLINK("https://ceds.ed.gov/elementComment.aspx?elementName=Assessment Participant Session Language &amp;elementID=17370", "Click here to submit comment")</f>
        <v>Click here to submit comment</v>
      </c>
      <c r="R4188" s="14">
        <v>48918</v>
      </c>
    </row>
    <row r="4189" spans="1:18" ht="240" x14ac:dyDescent="0.25">
      <c r="A4189" s="14" t="s">
        <v>9103</v>
      </c>
      <c r="B4189" s="14" t="s">
        <v>9179</v>
      </c>
      <c r="C4189" s="14"/>
      <c r="D4189" s="14" t="s">
        <v>8531</v>
      </c>
      <c r="E4189" s="14" t="s">
        <v>479</v>
      </c>
      <c r="F4189" s="14" t="s">
        <v>480</v>
      </c>
      <c r="G4189" s="8" t="s">
        <v>8885</v>
      </c>
      <c r="H4189" s="14" t="s">
        <v>106</v>
      </c>
      <c r="I4189" s="14"/>
      <c r="J4189" s="14"/>
      <c r="K4189" s="14"/>
      <c r="L4189" s="14"/>
      <c r="M4189" s="14" t="s">
        <v>483</v>
      </c>
      <c r="N4189" s="14"/>
      <c r="O4189" s="14" t="s">
        <v>484</v>
      </c>
      <c r="P4189" s="14" t="str">
        <f>HYPERLINK("https://ceds.ed.gov/cedselementdetails.aspx?termid=17374")</f>
        <v>https://ceds.ed.gov/cedselementdetails.aspx?termid=17374</v>
      </c>
      <c r="Q4189" s="14" t="str">
        <f>HYPERLINK("https://ceds.ed.gov/elementComment.aspx?elementName=Assessment Accommodation Category &amp;elementID=17374", "Click here to submit comment")</f>
        <v>Click here to submit comment</v>
      </c>
      <c r="R4189" s="14">
        <v>48833</v>
      </c>
    </row>
    <row r="4190" spans="1:18" ht="409.5" x14ac:dyDescent="0.25">
      <c r="A4190" s="14" t="s">
        <v>9103</v>
      </c>
      <c r="B4190" s="14" t="s">
        <v>9179</v>
      </c>
      <c r="C4190" s="14"/>
      <c r="D4190" s="14" t="s">
        <v>8531</v>
      </c>
      <c r="E4190" s="14" t="s">
        <v>100</v>
      </c>
      <c r="F4190" s="14" t="s">
        <v>101</v>
      </c>
      <c r="G4190" s="8" t="s">
        <v>8882</v>
      </c>
      <c r="H4190" s="14" t="s">
        <v>106</v>
      </c>
      <c r="I4190" s="14"/>
      <c r="J4190" s="14"/>
      <c r="K4190" s="14"/>
      <c r="L4190" s="14"/>
      <c r="M4190" s="14" t="s">
        <v>104</v>
      </c>
      <c r="N4190" s="14"/>
      <c r="O4190" s="14" t="s">
        <v>105</v>
      </c>
      <c r="P4190" s="14" t="str">
        <f>HYPERLINK("https://ceds.ed.gov/cedselementdetails.aspx?termid=17376")</f>
        <v>https://ceds.ed.gov/cedselementdetails.aspx?termid=17376</v>
      </c>
      <c r="Q4190" s="14" t="str">
        <f>HYPERLINK("https://ceds.ed.gov/elementComment.aspx?elementName=Accommodation Type &amp;elementID=17376", "Click here to submit comment")</f>
        <v>Click here to submit comment</v>
      </c>
      <c r="R4190" s="14">
        <v>49355</v>
      </c>
    </row>
    <row r="4191" spans="1:18" ht="45" x14ac:dyDescent="0.25">
      <c r="A4191" s="14" t="s">
        <v>9103</v>
      </c>
      <c r="B4191" s="14" t="s">
        <v>9179</v>
      </c>
      <c r="C4191" s="14"/>
      <c r="D4191" s="14" t="s">
        <v>8531</v>
      </c>
      <c r="E4191" s="14" t="s">
        <v>94</v>
      </c>
      <c r="F4191" s="14" t="s">
        <v>95</v>
      </c>
      <c r="G4191" s="14" t="s">
        <v>37</v>
      </c>
      <c r="H4191" s="14"/>
      <c r="I4191" s="14"/>
      <c r="J4191" s="14" t="s">
        <v>97</v>
      </c>
      <c r="K4191" s="14"/>
      <c r="L4191" s="14"/>
      <c r="M4191" s="14" t="s">
        <v>98</v>
      </c>
      <c r="N4191" s="14"/>
      <c r="O4191" s="14" t="s">
        <v>99</v>
      </c>
      <c r="P4191" s="14" t="str">
        <f>HYPERLINK("https://ceds.ed.gov/cedselementdetails.aspx?termid=18116")</f>
        <v>https://ceds.ed.gov/cedselementdetails.aspx?termid=18116</v>
      </c>
      <c r="Q4191" s="14" t="str">
        <f>HYPERLINK("https://ceds.ed.gov/elementComment.aspx?elementName=Accommodation Other Description &amp;elementID=18116", "Click here to submit comment")</f>
        <v>Click here to submit comment</v>
      </c>
      <c r="R4191" s="14">
        <v>49702</v>
      </c>
    </row>
    <row r="4192" spans="1:18" ht="45" x14ac:dyDescent="0.25">
      <c r="A4192" s="14" t="s">
        <v>9103</v>
      </c>
      <c r="B4192" s="14" t="s">
        <v>9179</v>
      </c>
      <c r="C4192" s="14"/>
      <c r="D4192" s="14" t="s">
        <v>8531</v>
      </c>
      <c r="E4192" s="14" t="s">
        <v>1292</v>
      </c>
      <c r="F4192" s="14" t="s">
        <v>1293</v>
      </c>
      <c r="G4192" s="14" t="s">
        <v>37</v>
      </c>
      <c r="H4192" s="14" t="s">
        <v>106</v>
      </c>
      <c r="I4192" s="14"/>
      <c r="J4192" s="14" t="s">
        <v>97</v>
      </c>
      <c r="K4192" s="14"/>
      <c r="L4192" s="14"/>
      <c r="M4192" s="14" t="s">
        <v>1294</v>
      </c>
      <c r="N4192" s="14"/>
      <c r="O4192" s="14" t="s">
        <v>1295</v>
      </c>
      <c r="P4192" s="14" t="str">
        <f>HYPERLINK("https://ceds.ed.gov/cedselementdetails.aspx?termid=17398")</f>
        <v>https://ceds.ed.gov/cedselementdetails.aspx?termid=17398</v>
      </c>
      <c r="Q4192" s="14" t="str">
        <f>HYPERLINK("https://ceds.ed.gov/elementComment.aspx?elementName=Assessment Participant Session Time Assessed &amp;elementID=17398", "Click here to submit comment")</f>
        <v>Click here to submit comment</v>
      </c>
      <c r="R4192" s="14">
        <v>48835</v>
      </c>
    </row>
    <row r="4193" spans="1:18" ht="75" x14ac:dyDescent="0.25">
      <c r="A4193" s="14" t="s">
        <v>9103</v>
      </c>
      <c r="B4193" s="14" t="s">
        <v>9179</v>
      </c>
      <c r="C4193" s="14"/>
      <c r="D4193" s="14" t="s">
        <v>8531</v>
      </c>
      <c r="E4193" s="14" t="s">
        <v>1288</v>
      </c>
      <c r="F4193" s="14" t="s">
        <v>1289</v>
      </c>
      <c r="G4193" s="14" t="s">
        <v>37</v>
      </c>
      <c r="H4193" s="14"/>
      <c r="I4193" s="14"/>
      <c r="J4193" s="14" t="s">
        <v>382</v>
      </c>
      <c r="K4193" s="14"/>
      <c r="L4193" s="14"/>
      <c r="M4193" s="14" t="s">
        <v>1290</v>
      </c>
      <c r="N4193" s="14"/>
      <c r="O4193" s="14" t="s">
        <v>1291</v>
      </c>
      <c r="P4193" s="14" t="str">
        <f>HYPERLINK("https://ceds.ed.gov/cedselementdetails.aspx?termid=18102")</f>
        <v>https://ceds.ed.gov/cedselementdetails.aspx?termid=18102</v>
      </c>
      <c r="Q4193" s="14" t="str">
        <f>HYPERLINK("https://ceds.ed.gov/elementComment.aspx?elementName=Assessment Participant Session Security Issue &amp;elementID=18102", "Click here to submit comment")</f>
        <v>Click here to submit comment</v>
      </c>
      <c r="R4193" s="14">
        <v>48544</v>
      </c>
    </row>
    <row r="4194" spans="1:18" ht="150" x14ac:dyDescent="0.25">
      <c r="A4194" s="14" t="s">
        <v>9103</v>
      </c>
      <c r="B4194" s="14" t="s">
        <v>9179</v>
      </c>
      <c r="C4194" s="14"/>
      <c r="D4194" s="14" t="s">
        <v>8531</v>
      </c>
      <c r="E4194" s="14" t="s">
        <v>1526</v>
      </c>
      <c r="F4194" s="14" t="s">
        <v>1527</v>
      </c>
      <c r="G4194" s="14" t="s">
        <v>37</v>
      </c>
      <c r="H4194" s="14"/>
      <c r="I4194" s="14"/>
      <c r="J4194" s="14" t="s">
        <v>129</v>
      </c>
      <c r="K4194" s="14"/>
      <c r="L4194" s="14" t="s">
        <v>978</v>
      </c>
      <c r="M4194" s="14" t="s">
        <v>1528</v>
      </c>
      <c r="N4194" s="14"/>
      <c r="O4194" s="14" t="s">
        <v>1529</v>
      </c>
      <c r="P4194" s="14" t="str">
        <f>HYPERLINK("https://ceds.ed.gov/cedselementdetails.aspx?termid=17969")</f>
        <v>https://ceds.ed.gov/cedselementdetails.aspx?termid=17969</v>
      </c>
      <c r="Q4194" s="14" t="str">
        <f>HYPERLINK("https://ceds.ed.gov/elementComment.aspx?elementName=Assessment Session Security Issue &amp;elementID=17969", "Click here to submit comment")</f>
        <v>Click here to submit comment</v>
      </c>
      <c r="R4194" s="14">
        <v>48516</v>
      </c>
    </row>
    <row r="4195" spans="1:18" ht="409.5" x14ac:dyDescent="0.25">
      <c r="A4195" s="14" t="s">
        <v>9103</v>
      </c>
      <c r="B4195" s="14" t="s">
        <v>9179</v>
      </c>
      <c r="C4195" s="14"/>
      <c r="D4195" s="14" t="s">
        <v>8531</v>
      </c>
      <c r="E4195" s="14" t="s">
        <v>1530</v>
      </c>
      <c r="F4195" s="14" t="s">
        <v>1531</v>
      </c>
      <c r="G4195" s="8" t="s">
        <v>9178</v>
      </c>
      <c r="H4195" s="14" t="s">
        <v>106</v>
      </c>
      <c r="I4195" s="14"/>
      <c r="J4195" s="14"/>
      <c r="K4195" s="14"/>
      <c r="L4195" s="14"/>
      <c r="M4195" s="14" t="s">
        <v>1533</v>
      </c>
      <c r="N4195" s="14"/>
      <c r="O4195" s="14" t="s">
        <v>1534</v>
      </c>
      <c r="P4195" s="14" t="str">
        <f>HYPERLINK("https://ceds.ed.gov/cedselementdetails.aspx?termid=17380")</f>
        <v>https://ceds.ed.gov/cedselementdetails.aspx?termid=17380</v>
      </c>
      <c r="Q4195" s="14" t="str">
        <f>HYPERLINK("https://ceds.ed.gov/elementComment.aspx?elementName=Assessment Session Special Circumstance Type &amp;elementID=17380", "Click here to submit comment")</f>
        <v>Click here to submit comment</v>
      </c>
      <c r="R4195" s="14">
        <v>49847</v>
      </c>
    </row>
    <row r="4196" spans="1:18" ht="90" x14ac:dyDescent="0.25">
      <c r="A4196" s="14" t="s">
        <v>9103</v>
      </c>
      <c r="B4196" s="14" t="s">
        <v>9179</v>
      </c>
      <c r="C4196" s="14"/>
      <c r="D4196" s="14" t="s">
        <v>8531</v>
      </c>
      <c r="E4196" s="14" t="s">
        <v>1535</v>
      </c>
      <c r="F4196" s="14" t="s">
        <v>1536</v>
      </c>
      <c r="G4196" s="14" t="s">
        <v>37</v>
      </c>
      <c r="H4196" s="14"/>
      <c r="I4196" s="14"/>
      <c r="J4196" s="14" t="s">
        <v>175</v>
      </c>
      <c r="K4196" s="14"/>
      <c r="L4196" s="14"/>
      <c r="M4196" s="14" t="s">
        <v>1537</v>
      </c>
      <c r="N4196" s="14"/>
      <c r="O4196" s="14" t="s">
        <v>1538</v>
      </c>
      <c r="P4196" s="14" t="str">
        <f>HYPERLINK("https://ceds.ed.gov/cedselementdetails.aspx?termid=18077")</f>
        <v>https://ceds.ed.gov/cedselementdetails.aspx?termid=18077</v>
      </c>
      <c r="Q4196" s="14" t="str">
        <f>HYPERLINK("https://ceds.ed.gov/elementComment.aspx?elementName=Assessment Session Special Event Description &amp;elementID=18077", "Click here to submit comment")</f>
        <v>Click here to submit comment</v>
      </c>
      <c r="R4196" s="14">
        <v>48517</v>
      </c>
    </row>
    <row r="4197" spans="1:18" ht="165" customHeight="1" x14ac:dyDescent="0.25">
      <c r="A4197" s="19" t="s">
        <v>9180</v>
      </c>
      <c r="B4197" s="19" t="s">
        <v>9181</v>
      </c>
      <c r="C4197" s="19"/>
      <c r="D4197" s="19" t="s">
        <v>8531</v>
      </c>
      <c r="E4197" s="19" t="s">
        <v>711</v>
      </c>
      <c r="F4197" s="19" t="s">
        <v>712</v>
      </c>
      <c r="G4197" s="19" t="s">
        <v>37</v>
      </c>
      <c r="H4197" s="19" t="s">
        <v>716</v>
      </c>
      <c r="I4197" s="19"/>
      <c r="J4197" s="19" t="s">
        <v>149</v>
      </c>
      <c r="K4197" s="19"/>
      <c r="L4197" s="14" t="s">
        <v>150</v>
      </c>
      <c r="M4197" s="19" t="s">
        <v>714</v>
      </c>
      <c r="N4197" s="19"/>
      <c r="O4197" s="19" t="s">
        <v>715</v>
      </c>
      <c r="P4197" s="19" t="str">
        <f>HYPERLINK("https://ceds.ed.gov/cedselementdetails.aspx?termid=17152")</f>
        <v>https://ceds.ed.gov/cedselementdetails.aspx?termid=17152</v>
      </c>
      <c r="Q4197" s="19" t="str">
        <f>HYPERLINK("https://ceds.ed.gov/elementComment.aspx?elementName=Assessment Identifier &amp;elementID=17152", "Click here to submit comment")</f>
        <v>Click here to submit comment</v>
      </c>
      <c r="R4197" s="19">
        <v>51811</v>
      </c>
    </row>
    <row r="4198" spans="1:18" x14ac:dyDescent="0.25">
      <c r="A4198" s="20"/>
      <c r="B4198" s="20"/>
      <c r="C4198" s="20"/>
      <c r="D4198" s="20"/>
      <c r="E4198" s="20"/>
      <c r="F4198" s="20"/>
      <c r="G4198" s="20"/>
      <c r="H4198" s="20"/>
      <c r="I4198" s="20"/>
      <c r="J4198" s="20"/>
      <c r="K4198" s="20"/>
      <c r="L4198" s="14"/>
      <c r="M4198" s="20"/>
      <c r="N4198" s="20"/>
      <c r="O4198" s="20"/>
      <c r="P4198" s="20"/>
      <c r="Q4198" s="20"/>
      <c r="R4198" s="20"/>
    </row>
    <row r="4199" spans="1:18" ht="90" x14ac:dyDescent="0.25">
      <c r="A4199" s="21"/>
      <c r="B4199" s="21"/>
      <c r="C4199" s="21"/>
      <c r="D4199" s="21"/>
      <c r="E4199" s="21"/>
      <c r="F4199" s="21"/>
      <c r="G4199" s="21"/>
      <c r="H4199" s="21"/>
      <c r="I4199" s="21"/>
      <c r="J4199" s="21"/>
      <c r="K4199" s="21"/>
      <c r="L4199" s="14" t="s">
        <v>153</v>
      </c>
      <c r="M4199" s="21"/>
      <c r="N4199" s="21"/>
      <c r="O4199" s="21"/>
      <c r="P4199" s="21"/>
      <c r="Q4199" s="21"/>
      <c r="R4199" s="21"/>
    </row>
    <row r="4200" spans="1:18" ht="165" x14ac:dyDescent="0.25">
      <c r="A4200" s="14" t="s">
        <v>9180</v>
      </c>
      <c r="B4200" s="14" t="s">
        <v>9181</v>
      </c>
      <c r="C4200" s="14"/>
      <c r="D4200" s="14" t="s">
        <v>8531</v>
      </c>
      <c r="E4200" s="14" t="s">
        <v>704</v>
      </c>
      <c r="F4200" s="14" t="s">
        <v>705</v>
      </c>
      <c r="G4200" s="8" t="s">
        <v>9108</v>
      </c>
      <c r="H4200" s="14" t="s">
        <v>710</v>
      </c>
      <c r="I4200" s="14"/>
      <c r="J4200" s="14"/>
      <c r="K4200" s="14"/>
      <c r="L4200" s="14"/>
      <c r="M4200" s="14" t="s">
        <v>708</v>
      </c>
      <c r="N4200" s="14"/>
      <c r="O4200" s="14" t="s">
        <v>709</v>
      </c>
      <c r="P4200" s="14" t="str">
        <f>HYPERLINK("https://ceds.ed.gov/cedselementdetails.aspx?termid=17158")</f>
        <v>https://ceds.ed.gov/cedselementdetails.aspx?termid=17158</v>
      </c>
      <c r="Q4200" s="14" t="str">
        <f>HYPERLINK("https://ceds.ed.gov/elementComment.aspx?elementName=Assessment Identification System &amp;elementID=17158", "Click here to submit comment")</f>
        <v>Click here to submit comment</v>
      </c>
      <c r="R4200" s="14">
        <v>51781</v>
      </c>
    </row>
    <row r="4201" spans="1:18" ht="45" x14ac:dyDescent="0.25">
      <c r="A4201" s="14" t="s">
        <v>9180</v>
      </c>
      <c r="B4201" s="14" t="s">
        <v>9181</v>
      </c>
      <c r="C4201" s="14"/>
      <c r="D4201" s="14" t="s">
        <v>8531</v>
      </c>
      <c r="E4201" s="14" t="s">
        <v>3107</v>
      </c>
      <c r="F4201" s="14" t="s">
        <v>3108</v>
      </c>
      <c r="G4201" s="14" t="s">
        <v>37</v>
      </c>
      <c r="H4201" s="14"/>
      <c r="I4201" s="14"/>
      <c r="J4201" s="14" t="s">
        <v>382</v>
      </c>
      <c r="K4201" s="14"/>
      <c r="L4201" s="14"/>
      <c r="M4201" s="14" t="s">
        <v>3110</v>
      </c>
      <c r="N4201" s="14"/>
      <c r="O4201" s="14" t="s">
        <v>3111</v>
      </c>
      <c r="P4201" s="14" t="str">
        <f>HYPERLINK("https://ceds.ed.gov/cedselementdetails.aspx?termid=18715")</f>
        <v>https://ceds.ed.gov/cedselementdetails.aspx?termid=18715</v>
      </c>
      <c r="Q4201" s="14" t="str">
        <f>HYPERLINK("https://ceds.ed.gov/elementComment.aspx?elementName=Credential Advanced Standing Description &amp;elementID=18715", "Click here to submit comment")</f>
        <v>Click here to submit comment</v>
      </c>
      <c r="R4201" s="14">
        <v>51883</v>
      </c>
    </row>
    <row r="4202" spans="1:18" ht="45" x14ac:dyDescent="0.25">
      <c r="A4202" s="14" t="s">
        <v>9180</v>
      </c>
      <c r="B4202" s="14" t="s">
        <v>9181</v>
      </c>
      <c r="C4202" s="14"/>
      <c r="D4202" s="14" t="s">
        <v>8531</v>
      </c>
      <c r="E4202" s="14" t="s">
        <v>3112</v>
      </c>
      <c r="F4202" s="14" t="s">
        <v>3113</v>
      </c>
      <c r="G4202" s="14" t="s">
        <v>37</v>
      </c>
      <c r="H4202" s="14"/>
      <c r="I4202" s="14"/>
      <c r="J4202" s="14" t="s">
        <v>57</v>
      </c>
      <c r="K4202" s="14"/>
      <c r="L4202" s="14"/>
      <c r="M4202" s="14" t="s">
        <v>3114</v>
      </c>
      <c r="N4202" s="14"/>
      <c r="O4202" s="14" t="s">
        <v>3115</v>
      </c>
      <c r="P4202" s="14" t="str">
        <f>HYPERLINK("https://ceds.ed.gov/cedselementdetails.aspx?termid=18716")</f>
        <v>https://ceds.ed.gov/cedselementdetails.aspx?termid=18716</v>
      </c>
      <c r="Q4202" s="14" t="str">
        <f>HYPERLINK("https://ceds.ed.gov/elementComment.aspx?elementName=Credential Advanced Standing URL &amp;elementID=18716", "Click here to submit comment")</f>
        <v>Click here to submit comment</v>
      </c>
      <c r="R4202" s="14">
        <v>51884</v>
      </c>
    </row>
    <row r="4203" spans="1:18" ht="45" x14ac:dyDescent="0.25">
      <c r="A4203" s="14" t="s">
        <v>9180</v>
      </c>
      <c r="B4203" s="14" t="s">
        <v>9181</v>
      </c>
      <c r="C4203" s="14"/>
      <c r="D4203" s="14" t="s">
        <v>8531</v>
      </c>
      <c r="E4203" s="14" t="s">
        <v>3139</v>
      </c>
      <c r="F4203" s="14" t="s">
        <v>3140</v>
      </c>
      <c r="G4203" s="14" t="s">
        <v>37</v>
      </c>
      <c r="H4203" s="14"/>
      <c r="I4203" s="14"/>
      <c r="J4203" s="14" t="s">
        <v>135</v>
      </c>
      <c r="K4203" s="14"/>
      <c r="L4203" s="14" t="s">
        <v>3141</v>
      </c>
      <c r="M4203" s="14" t="s">
        <v>3142</v>
      </c>
      <c r="N4203" s="14" t="s">
        <v>3143</v>
      </c>
      <c r="O4203" s="14" t="s">
        <v>3144</v>
      </c>
      <c r="P4203" s="14" t="str">
        <f>HYPERLINK("https://ceds.ed.gov/cedselementdetails.aspx?termid=18120")</f>
        <v>https://ceds.ed.gov/cedselementdetails.aspx?termid=18120</v>
      </c>
      <c r="Q4203" s="14" t="str">
        <f>HYPERLINK("https://ceds.ed.gov/elementComment.aspx?elementName=Credential Award Start Date &amp;elementID=18120", "Click here to submit comment")</f>
        <v>Click here to submit comment</v>
      </c>
      <c r="R4203" s="14">
        <v>51814</v>
      </c>
    </row>
    <row r="4204" spans="1:18" ht="75" x14ac:dyDescent="0.25">
      <c r="A4204" s="14" t="s">
        <v>9180</v>
      </c>
      <c r="B4204" s="14" t="s">
        <v>9181</v>
      </c>
      <c r="C4204" s="14"/>
      <c r="D4204" s="14" t="s">
        <v>8531</v>
      </c>
      <c r="E4204" s="14" t="s">
        <v>3120</v>
      </c>
      <c r="F4204" s="14" t="s">
        <v>3121</v>
      </c>
      <c r="G4204" s="14" t="s">
        <v>37</v>
      </c>
      <c r="H4204" s="14"/>
      <c r="I4204" s="14"/>
      <c r="J4204" s="14" t="s">
        <v>135</v>
      </c>
      <c r="K4204" s="14"/>
      <c r="L4204" s="14" t="s">
        <v>160</v>
      </c>
      <c r="M4204" s="14" t="s">
        <v>3122</v>
      </c>
      <c r="N4204" s="14" t="s">
        <v>3123</v>
      </c>
      <c r="O4204" s="14" t="s">
        <v>3124</v>
      </c>
      <c r="P4204" s="14" t="str">
        <f>HYPERLINK("https://ceds.ed.gov/cedselementdetails.aspx?termid=18121")</f>
        <v>https://ceds.ed.gov/cedselementdetails.aspx?termid=18121</v>
      </c>
      <c r="Q4204" s="14" t="str">
        <f>HYPERLINK("https://ceds.ed.gov/elementComment.aspx?elementName=Credential Award End Date &amp;elementID=18121", "Click here to submit comment")</f>
        <v>Click here to submit comment</v>
      </c>
      <c r="R4204" s="14">
        <v>51815</v>
      </c>
    </row>
    <row r="4205" spans="1:18" ht="45" x14ac:dyDescent="0.25">
      <c r="A4205" s="14" t="s">
        <v>9180</v>
      </c>
      <c r="B4205" s="14" t="s">
        <v>9181</v>
      </c>
      <c r="C4205" s="14"/>
      <c r="D4205" s="14" t="s">
        <v>8531</v>
      </c>
      <c r="E4205" s="14" t="s">
        <v>3145</v>
      </c>
      <c r="F4205" s="14" t="s">
        <v>3146</v>
      </c>
      <c r="G4205" s="14" t="s">
        <v>37</v>
      </c>
      <c r="H4205" s="14"/>
      <c r="I4205" s="14"/>
      <c r="J4205" s="14" t="s">
        <v>135</v>
      </c>
      <c r="K4205" s="14"/>
      <c r="L4205" s="14"/>
      <c r="M4205" s="14" t="s">
        <v>3147</v>
      </c>
      <c r="N4205" s="14"/>
      <c r="O4205" s="14" t="s">
        <v>3148</v>
      </c>
      <c r="P4205" s="14" t="str">
        <f>HYPERLINK("https://ceds.ed.gov/cedselementdetails.aspx?termid=18645")</f>
        <v>https://ceds.ed.gov/cedselementdetails.aspx?termid=18645</v>
      </c>
      <c r="Q4205" s="14" t="str">
        <f>HYPERLINK("https://ceds.ed.gov/elementComment.aspx?elementName=Credential Completion Date &amp;elementID=18645", "Click here to submit comment")</f>
        <v>Click here to submit comment</v>
      </c>
      <c r="R4205" s="14">
        <v>51889</v>
      </c>
    </row>
    <row r="4206" spans="1:18" ht="45" x14ac:dyDescent="0.25">
      <c r="A4206" s="14" t="s">
        <v>9180</v>
      </c>
      <c r="B4206" s="14" t="s">
        <v>9181</v>
      </c>
      <c r="C4206" s="14"/>
      <c r="D4206" s="14" t="s">
        <v>8531</v>
      </c>
      <c r="E4206" s="14" t="s">
        <v>3116</v>
      </c>
      <c r="F4206" s="14" t="s">
        <v>3117</v>
      </c>
      <c r="G4206" s="14" t="s">
        <v>37</v>
      </c>
      <c r="H4206" s="14"/>
      <c r="I4206" s="14"/>
      <c r="J4206" s="14" t="s">
        <v>129</v>
      </c>
      <c r="K4206" s="14"/>
      <c r="L4206" s="14"/>
      <c r="M4206" s="14" t="s">
        <v>3118</v>
      </c>
      <c r="N4206" s="14"/>
      <c r="O4206" s="14" t="s">
        <v>3119</v>
      </c>
      <c r="P4206" s="14" t="str">
        <f>HYPERLINK("https://ceds.ed.gov/cedselementdetails.aspx?termid=18718")</f>
        <v>https://ceds.ed.gov/cedselementdetails.aspx?termid=18718</v>
      </c>
      <c r="Q4206" s="14" t="str">
        <f>HYPERLINK("https://ceds.ed.gov/elementComment.aspx?elementName=Credential Award Approver Name &amp;elementID=18718", "Click here to submit comment")</f>
        <v>Click here to submit comment</v>
      </c>
      <c r="R4206" s="14">
        <v>51887</v>
      </c>
    </row>
    <row r="4207" spans="1:18" ht="60" x14ac:dyDescent="0.25">
      <c r="A4207" s="14" t="s">
        <v>9180</v>
      </c>
      <c r="B4207" s="14" t="s">
        <v>9181</v>
      </c>
      <c r="C4207" s="14"/>
      <c r="D4207" s="14" t="s">
        <v>8531</v>
      </c>
      <c r="E4207" s="14" t="s">
        <v>3125</v>
      </c>
      <c r="F4207" s="14" t="s">
        <v>3126</v>
      </c>
      <c r="G4207" s="14" t="s">
        <v>37</v>
      </c>
      <c r="H4207" s="14"/>
      <c r="I4207" s="14"/>
      <c r="J4207" s="14" t="s">
        <v>57</v>
      </c>
      <c r="K4207" s="14"/>
      <c r="L4207" s="14"/>
      <c r="M4207" s="14" t="s">
        <v>3127</v>
      </c>
      <c r="N4207" s="14"/>
      <c r="O4207" s="14" t="s">
        <v>3128</v>
      </c>
      <c r="P4207" s="14" t="str">
        <f>HYPERLINK("https://ceds.ed.gov/cedselementdetails.aspx?termid=18650")</f>
        <v>https://ceds.ed.gov/cedselementdetails.aspx?termid=18650</v>
      </c>
      <c r="Q4207" s="14" t="str">
        <f>HYPERLINK("https://ceds.ed.gov/elementComment.aspx?elementName=Credential Award Evidence URL &amp;elementID=18650", "Click here to submit comment")</f>
        <v>Click here to submit comment</v>
      </c>
      <c r="R4207" s="14">
        <v>51888</v>
      </c>
    </row>
    <row r="4208" spans="1:18" ht="45" x14ac:dyDescent="0.25">
      <c r="A4208" s="14" t="s">
        <v>9180</v>
      </c>
      <c r="B4208" s="14" t="s">
        <v>9181</v>
      </c>
      <c r="C4208" s="14"/>
      <c r="D4208" s="14" t="s">
        <v>8531</v>
      </c>
      <c r="E4208" s="14" t="s">
        <v>3129</v>
      </c>
      <c r="F4208" s="14" t="s">
        <v>3130</v>
      </c>
      <c r="G4208" s="14" t="s">
        <v>37</v>
      </c>
      <c r="H4208" s="14"/>
      <c r="I4208" s="14"/>
      <c r="J4208" s="14" t="s">
        <v>3131</v>
      </c>
      <c r="K4208" s="14"/>
      <c r="L4208" s="14"/>
      <c r="M4208" s="14" t="s">
        <v>3132</v>
      </c>
      <c r="N4208" s="14"/>
      <c r="O4208" s="14" t="s">
        <v>3133</v>
      </c>
      <c r="P4208" s="14" t="str">
        <f>HYPERLINK("https://ceds.ed.gov/cedselementdetails.aspx?termid=17898")</f>
        <v>https://ceds.ed.gov/cedselementdetails.aspx?termid=17898</v>
      </c>
      <c r="Q4208" s="14" t="str">
        <f>HYPERLINK("https://ceds.ed.gov/elementComment.aspx?elementName=Credential Award Issuer Name &amp;elementID=17898", "Click here to submit comment")</f>
        <v>Click here to submit comment</v>
      </c>
      <c r="R4208" s="14">
        <v>51805</v>
      </c>
    </row>
    <row r="4209" spans="1:18" ht="45" x14ac:dyDescent="0.25">
      <c r="A4209" s="14" t="s">
        <v>9180</v>
      </c>
      <c r="B4209" s="14" t="s">
        <v>9181</v>
      </c>
      <c r="C4209" s="14"/>
      <c r="D4209" s="14" t="s">
        <v>8531</v>
      </c>
      <c r="E4209" s="14" t="s">
        <v>3134</v>
      </c>
      <c r="F4209" s="14" t="s">
        <v>3135</v>
      </c>
      <c r="G4209" s="14" t="s">
        <v>37</v>
      </c>
      <c r="H4209" s="14"/>
      <c r="I4209" s="14"/>
      <c r="J4209" s="14" t="s">
        <v>57</v>
      </c>
      <c r="K4209" s="14"/>
      <c r="L4209" s="14" t="s">
        <v>3136</v>
      </c>
      <c r="M4209" s="14" t="s">
        <v>3137</v>
      </c>
      <c r="N4209" s="14"/>
      <c r="O4209" s="14" t="s">
        <v>3138</v>
      </c>
      <c r="P4209" s="14" t="str">
        <f>HYPERLINK("https://ceds.ed.gov/cedselementdetails.aspx?termid=17900")</f>
        <v>https://ceds.ed.gov/cedselementdetails.aspx?termid=17900</v>
      </c>
      <c r="Q4209" s="14" t="str">
        <f>HYPERLINK("https://ceds.ed.gov/elementComment.aspx?elementName=Credential Award Issuer Origin URL &amp;elementID=17900", "Click here to submit comment")</f>
        <v>Click here to submit comment</v>
      </c>
      <c r="R4209" s="14">
        <v>51806</v>
      </c>
    </row>
    <row r="4210" spans="1:18" ht="120" x14ac:dyDescent="0.25">
      <c r="A4210" s="14" t="s">
        <v>9180</v>
      </c>
      <c r="B4210" s="14" t="s">
        <v>9181</v>
      </c>
      <c r="C4210" s="14"/>
      <c r="D4210" s="14" t="s">
        <v>8531</v>
      </c>
      <c r="E4210" s="14" t="s">
        <v>3291</v>
      </c>
      <c r="F4210" s="14" t="s">
        <v>3292</v>
      </c>
      <c r="G4210" s="14" t="s">
        <v>37</v>
      </c>
      <c r="H4210" s="14"/>
      <c r="I4210" s="14"/>
      <c r="J4210" s="14" t="s">
        <v>129</v>
      </c>
      <c r="K4210" s="14"/>
      <c r="L4210" s="14" t="s">
        <v>3293</v>
      </c>
      <c r="M4210" s="14" t="s">
        <v>3294</v>
      </c>
      <c r="N4210" s="14"/>
      <c r="O4210" s="14" t="s">
        <v>3295</v>
      </c>
      <c r="P4210" s="14" t="str">
        <f>HYPERLINK("https://ceds.ed.gov/cedselementdetails.aspx?termid=17901")</f>
        <v>https://ceds.ed.gov/cedselementdetails.aspx?termid=17901</v>
      </c>
      <c r="Q4210" s="14" t="str">
        <f>HYPERLINK("https://ceds.ed.gov/elementComment.aspx?elementName=Credential Evidence Statement &amp;elementID=17901", "Click here to submit comment")</f>
        <v>Click here to submit comment</v>
      </c>
      <c r="R4210" s="14">
        <v>51807</v>
      </c>
    </row>
    <row r="4211" spans="1:18" ht="45" x14ac:dyDescent="0.25">
      <c r="A4211" s="14" t="s">
        <v>9180</v>
      </c>
      <c r="B4211" s="14" t="s">
        <v>9181</v>
      </c>
      <c r="C4211" s="14"/>
      <c r="D4211" s="14" t="s">
        <v>8531</v>
      </c>
      <c r="E4211" s="14" t="s">
        <v>3333</v>
      </c>
      <c r="F4211" s="14" t="s">
        <v>3334</v>
      </c>
      <c r="G4211" s="14" t="s">
        <v>24</v>
      </c>
      <c r="H4211" s="14"/>
      <c r="I4211" s="14"/>
      <c r="J4211" s="14"/>
      <c r="K4211" s="14"/>
      <c r="L4211" s="14"/>
      <c r="M4211" s="14" t="s">
        <v>3335</v>
      </c>
      <c r="N4211" s="14"/>
      <c r="O4211" s="14" t="s">
        <v>3336</v>
      </c>
      <c r="P4211" s="14" t="str">
        <f>HYPERLINK("https://ceds.ed.gov/cedselementdetails.aspx?termid=18732")</f>
        <v>https://ceds.ed.gov/cedselementdetails.aspx?termid=18732</v>
      </c>
      <c r="Q4211" s="14" t="str">
        <f>HYPERLINK("https://ceds.ed.gov/elementComment.aspx?elementName=Credential Revoked Indicator &amp;elementID=18732", "Click here to submit comment")</f>
        <v>Click here to submit comment</v>
      </c>
      <c r="R4211" s="14">
        <v>51904</v>
      </c>
    </row>
    <row r="4212" spans="1:18" ht="60" x14ac:dyDescent="0.25">
      <c r="A4212" s="14" t="s">
        <v>9180</v>
      </c>
      <c r="B4212" s="14" t="s">
        <v>9181</v>
      </c>
      <c r="C4212" s="14"/>
      <c r="D4212" s="14" t="s">
        <v>8531</v>
      </c>
      <c r="E4212" s="14" t="s">
        <v>3328</v>
      </c>
      <c r="F4212" s="14" t="s">
        <v>3329</v>
      </c>
      <c r="G4212" s="14" t="s">
        <v>37</v>
      </c>
      <c r="H4212" s="14"/>
      <c r="I4212" s="14"/>
      <c r="J4212" s="14" t="s">
        <v>135</v>
      </c>
      <c r="K4212" s="14"/>
      <c r="L4212" s="14" t="s">
        <v>3330</v>
      </c>
      <c r="M4212" s="14" t="s">
        <v>3331</v>
      </c>
      <c r="N4212" s="14"/>
      <c r="O4212" s="14" t="s">
        <v>3332</v>
      </c>
      <c r="P4212" s="14" t="str">
        <f>HYPERLINK("https://ceds.ed.gov/cedselementdetails.aspx?termid=18641")</f>
        <v>https://ceds.ed.gov/cedselementdetails.aspx?termid=18641</v>
      </c>
      <c r="Q4212" s="14" t="str">
        <f>HYPERLINK("https://ceds.ed.gov/elementComment.aspx?elementName=Credential Revoked Date &amp;elementID=18641", "Click here to submit comment")</f>
        <v>Click here to submit comment</v>
      </c>
      <c r="R4212" s="14">
        <v>51903</v>
      </c>
    </row>
    <row r="4213" spans="1:18" ht="45" x14ac:dyDescent="0.25">
      <c r="A4213" s="14" t="s">
        <v>9180</v>
      </c>
      <c r="B4213" s="14" t="s">
        <v>9181</v>
      </c>
      <c r="C4213" s="14"/>
      <c r="D4213" s="14" t="s">
        <v>8531</v>
      </c>
      <c r="E4213" s="14" t="s">
        <v>3337</v>
      </c>
      <c r="F4213" s="14" t="s">
        <v>3338</v>
      </c>
      <c r="G4213" s="14" t="s">
        <v>37</v>
      </c>
      <c r="H4213" s="14"/>
      <c r="I4213" s="14"/>
      <c r="J4213" s="14" t="s">
        <v>382</v>
      </c>
      <c r="K4213" s="14"/>
      <c r="L4213" s="14"/>
      <c r="M4213" s="14" t="s">
        <v>3339</v>
      </c>
      <c r="N4213" s="14"/>
      <c r="O4213" s="14" t="s">
        <v>3340</v>
      </c>
      <c r="P4213" s="14" t="str">
        <f>HYPERLINK("https://ceds.ed.gov/cedselementdetails.aspx?termid=18642")</f>
        <v>https://ceds.ed.gov/cedselementdetails.aspx?termid=18642</v>
      </c>
      <c r="Q4213" s="14" t="str">
        <f>HYPERLINK("https://ceds.ed.gov/elementComment.aspx?elementName=Credential Revoked Reason &amp;elementID=18642", "Click here to submit comment")</f>
        <v>Click here to submit comment</v>
      </c>
      <c r="R4213" s="14">
        <v>51905</v>
      </c>
    </row>
    <row r="4214" spans="1:18" ht="90" x14ac:dyDescent="0.25">
      <c r="A4214" s="14" t="s">
        <v>9180</v>
      </c>
      <c r="B4214" s="14" t="s">
        <v>9181</v>
      </c>
      <c r="C4214" s="14"/>
      <c r="D4214" s="14" t="s">
        <v>8531</v>
      </c>
      <c r="E4214" s="14" t="s">
        <v>6431</v>
      </c>
      <c r="F4214" s="14" t="s">
        <v>6432</v>
      </c>
      <c r="G4214" s="14" t="s">
        <v>37</v>
      </c>
      <c r="H4214" s="14" t="s">
        <v>72</v>
      </c>
      <c r="I4214" s="14"/>
      <c r="J4214" s="14" t="s">
        <v>1710</v>
      </c>
      <c r="K4214" s="14"/>
      <c r="L4214" s="14"/>
      <c r="M4214" s="14" t="s">
        <v>6434</v>
      </c>
      <c r="N4214" s="14"/>
      <c r="O4214" s="14" t="s">
        <v>6435</v>
      </c>
      <c r="P4214" s="14" t="str">
        <f>HYPERLINK("https://ceds.ed.gov/cedselementdetails.aspx?termid=17199")</f>
        <v>https://ceds.ed.gov/cedselementdetails.aspx?termid=17199</v>
      </c>
      <c r="Q4214" s="14" t="str">
        <f>HYPERLINK("https://ceds.ed.gov/elementComment.aspx?elementName=Number of Credits Attempted &amp;elementID=17199", "Click here to submit comment")</f>
        <v>Click here to submit comment</v>
      </c>
      <c r="R4214" s="14">
        <v>51774</v>
      </c>
    </row>
    <row r="4215" spans="1:18" ht="120" x14ac:dyDescent="0.25">
      <c r="A4215" s="14" t="s">
        <v>9180</v>
      </c>
      <c r="B4215" s="14" t="s">
        <v>9181</v>
      </c>
      <c r="C4215" s="14"/>
      <c r="D4215" s="14" t="s">
        <v>8531</v>
      </c>
      <c r="E4215" s="14" t="s">
        <v>6436</v>
      </c>
      <c r="F4215" s="14" t="s">
        <v>6437</v>
      </c>
      <c r="G4215" s="14" t="s">
        <v>37</v>
      </c>
      <c r="H4215" s="14" t="s">
        <v>6137</v>
      </c>
      <c r="I4215" s="14"/>
      <c r="J4215" s="14" t="s">
        <v>1710</v>
      </c>
      <c r="K4215" s="14"/>
      <c r="L4215" s="14"/>
      <c r="M4215" s="14" t="s">
        <v>6439</v>
      </c>
      <c r="N4215" s="14"/>
      <c r="O4215" s="14" t="s">
        <v>6440</v>
      </c>
      <c r="P4215" s="14" t="str">
        <f>HYPERLINK("https://ceds.ed.gov/cedselementdetails.aspx?termid=17200")</f>
        <v>https://ceds.ed.gov/cedselementdetails.aspx?termid=17200</v>
      </c>
      <c r="Q4215" s="14" t="str">
        <f>HYPERLINK("https://ceds.ed.gov/elementComment.aspx?elementName=Number of Credits Earned &amp;elementID=17200", "Click here to submit comment")</f>
        <v>Click here to submit comment</v>
      </c>
      <c r="R4215" s="14">
        <v>51775</v>
      </c>
    </row>
    <row r="4216" spans="1:18" ht="45" x14ac:dyDescent="0.25">
      <c r="A4216" s="14" t="s">
        <v>9180</v>
      </c>
      <c r="B4216" s="14" t="s">
        <v>9181</v>
      </c>
      <c r="C4216" s="14"/>
      <c r="D4216" s="14" t="s">
        <v>8531</v>
      </c>
      <c r="E4216" s="14" t="s">
        <v>3310</v>
      </c>
      <c r="F4216" s="14" t="s">
        <v>3311</v>
      </c>
      <c r="G4216" s="14" t="s">
        <v>37</v>
      </c>
      <c r="H4216" s="14"/>
      <c r="I4216" s="14"/>
      <c r="J4216" s="14" t="s">
        <v>57</v>
      </c>
      <c r="K4216" s="14"/>
      <c r="L4216" s="6" t="s">
        <v>3312</v>
      </c>
      <c r="M4216" s="14" t="s">
        <v>3313</v>
      </c>
      <c r="N4216" s="14"/>
      <c r="O4216" s="14" t="s">
        <v>3314</v>
      </c>
      <c r="P4216" s="14" t="str">
        <f>HYPERLINK("https://ceds.ed.gov/cedselementdetails.aspx?termid=18643")</f>
        <v>https://ceds.ed.gov/cedselementdetails.aspx?termid=18643</v>
      </c>
      <c r="Q4216" s="14" t="str">
        <f>HYPERLINK("https://ceds.ed.gov/elementComment.aspx?elementName=Credential Issuer Revocation List URL &amp;elementID=18643", "Click here to submit comment")</f>
        <v>Click here to submit comment</v>
      </c>
      <c r="R4216" s="14">
        <v>52160</v>
      </c>
    </row>
    <row r="4217" spans="1:18" ht="105" x14ac:dyDescent="0.25">
      <c r="A4217" s="19" t="s">
        <v>9180</v>
      </c>
      <c r="B4217" s="19" t="s">
        <v>9181</v>
      </c>
      <c r="C4217" s="19" t="s">
        <v>9182</v>
      </c>
      <c r="D4217" s="19" t="s">
        <v>8531</v>
      </c>
      <c r="E4217" s="19" t="s">
        <v>6711</v>
      </c>
      <c r="F4217" s="19" t="s">
        <v>6712</v>
      </c>
      <c r="G4217" s="19" t="s">
        <v>37</v>
      </c>
      <c r="H4217" s="19"/>
      <c r="I4217" s="19"/>
      <c r="J4217" s="19" t="s">
        <v>149</v>
      </c>
      <c r="K4217" s="19"/>
      <c r="L4217" s="14" t="s">
        <v>150</v>
      </c>
      <c r="M4217" s="19" t="s">
        <v>6713</v>
      </c>
      <c r="N4217" s="19"/>
      <c r="O4217" s="19" t="s">
        <v>6714</v>
      </c>
      <c r="P4217" s="19" t="str">
        <f>HYPERLINK("https://ceds.ed.gov/cedselementdetails.aspx?termid=18551")</f>
        <v>https://ceds.ed.gov/cedselementdetails.aspx?termid=18551</v>
      </c>
      <c r="Q4217" s="19" t="str">
        <f>HYPERLINK("https://ceds.ed.gov/elementComment.aspx?elementName=Person Identifier &amp;elementID=18551", "Click here to submit comment")</f>
        <v>Click here to submit comment</v>
      </c>
      <c r="R4217" s="19">
        <v>51846</v>
      </c>
    </row>
    <row r="4218" spans="1:18" x14ac:dyDescent="0.25">
      <c r="A4218" s="20"/>
      <c r="B4218" s="20"/>
      <c r="C4218" s="20"/>
      <c r="D4218" s="20"/>
      <c r="E4218" s="20"/>
      <c r="F4218" s="20"/>
      <c r="G4218" s="20"/>
      <c r="H4218" s="20"/>
      <c r="I4218" s="20"/>
      <c r="J4218" s="20"/>
      <c r="K4218" s="20"/>
      <c r="L4218" s="14"/>
      <c r="M4218" s="20"/>
      <c r="N4218" s="20"/>
      <c r="O4218" s="20"/>
      <c r="P4218" s="20"/>
      <c r="Q4218" s="20"/>
      <c r="R4218" s="20"/>
    </row>
    <row r="4219" spans="1:18" ht="90" x14ac:dyDescent="0.25">
      <c r="A4219" s="21"/>
      <c r="B4219" s="21"/>
      <c r="C4219" s="21"/>
      <c r="D4219" s="21"/>
      <c r="E4219" s="21"/>
      <c r="F4219" s="21"/>
      <c r="G4219" s="21"/>
      <c r="H4219" s="21"/>
      <c r="I4219" s="21"/>
      <c r="J4219" s="21"/>
      <c r="K4219" s="21"/>
      <c r="L4219" s="14" t="s">
        <v>153</v>
      </c>
      <c r="M4219" s="21"/>
      <c r="N4219" s="21"/>
      <c r="O4219" s="21"/>
      <c r="P4219" s="21"/>
      <c r="Q4219" s="21"/>
      <c r="R4219" s="21"/>
    </row>
    <row r="4220" spans="1:18" ht="375" x14ac:dyDescent="0.25">
      <c r="A4220" s="14" t="s">
        <v>9180</v>
      </c>
      <c r="B4220" s="14" t="s">
        <v>9181</v>
      </c>
      <c r="C4220" s="14" t="s">
        <v>9182</v>
      </c>
      <c r="D4220" s="14" t="s">
        <v>8531</v>
      </c>
      <c r="E4220" s="14" t="s">
        <v>6705</v>
      </c>
      <c r="F4220" s="14" t="s">
        <v>6706</v>
      </c>
      <c r="G4220" s="8" t="s">
        <v>8676</v>
      </c>
      <c r="H4220" s="14"/>
      <c r="I4220" s="14"/>
      <c r="J4220" s="14"/>
      <c r="K4220" s="14"/>
      <c r="L4220" s="14"/>
      <c r="M4220" s="14" t="s">
        <v>6709</v>
      </c>
      <c r="N4220" s="14"/>
      <c r="O4220" s="14" t="s">
        <v>6710</v>
      </c>
      <c r="P4220" s="14" t="str">
        <f>HYPERLINK("https://ceds.ed.gov/cedselementdetails.aspx?termid=18550")</f>
        <v>https://ceds.ed.gov/cedselementdetails.aspx?termid=18550</v>
      </c>
      <c r="Q4220" s="14" t="str">
        <f>HYPERLINK("https://ceds.ed.gov/elementComment.aspx?elementName=Person Identification System &amp;elementID=18550", "Click here to submit comment")</f>
        <v>Click here to submit comment</v>
      </c>
      <c r="R4220" s="14">
        <v>51837</v>
      </c>
    </row>
    <row r="4221" spans="1:18" ht="105" x14ac:dyDescent="0.25">
      <c r="A4221" s="19" t="s">
        <v>9180</v>
      </c>
      <c r="B4221" s="19" t="s">
        <v>9181</v>
      </c>
      <c r="C4221" s="19" t="s">
        <v>9182</v>
      </c>
      <c r="D4221" s="19" t="s">
        <v>8531</v>
      </c>
      <c r="E4221" s="19" t="s">
        <v>6530</v>
      </c>
      <c r="F4221" s="19" t="s">
        <v>6531</v>
      </c>
      <c r="G4221" s="19" t="s">
        <v>37</v>
      </c>
      <c r="H4221" s="19" t="s">
        <v>125</v>
      </c>
      <c r="I4221" s="19"/>
      <c r="J4221" s="19" t="s">
        <v>149</v>
      </c>
      <c r="K4221" s="19"/>
      <c r="L4221" s="14" t="s">
        <v>150</v>
      </c>
      <c r="M4221" s="19" t="s">
        <v>6533</v>
      </c>
      <c r="N4221" s="19"/>
      <c r="O4221" s="19" t="s">
        <v>6534</v>
      </c>
      <c r="P4221" s="19" t="str">
        <f>HYPERLINK("https://ceds.ed.gov/cedselementdetails.aspx?termid=17825")</f>
        <v>https://ceds.ed.gov/cedselementdetails.aspx?termid=17825</v>
      </c>
      <c r="Q4221" s="19" t="str">
        <f>HYPERLINK("https://ceds.ed.gov/elementComment.aspx?elementName=Organization Identifier &amp;elementID=17825", "Click here to submit comment")</f>
        <v>Click here to submit comment</v>
      </c>
      <c r="R4221" s="19">
        <v>51796</v>
      </c>
    </row>
    <row r="4222" spans="1:18" x14ac:dyDescent="0.25">
      <c r="A4222" s="20"/>
      <c r="B4222" s="20"/>
      <c r="C4222" s="20"/>
      <c r="D4222" s="20"/>
      <c r="E4222" s="20"/>
      <c r="F4222" s="20"/>
      <c r="G4222" s="20"/>
      <c r="H4222" s="20"/>
      <c r="I4222" s="20"/>
      <c r="J4222" s="20"/>
      <c r="K4222" s="20"/>
      <c r="L4222" s="14"/>
      <c r="M4222" s="20"/>
      <c r="N4222" s="20"/>
      <c r="O4222" s="20"/>
      <c r="P4222" s="20"/>
      <c r="Q4222" s="20"/>
      <c r="R4222" s="20"/>
    </row>
    <row r="4223" spans="1:18" ht="90" x14ac:dyDescent="0.25">
      <c r="A4223" s="21"/>
      <c r="B4223" s="21"/>
      <c r="C4223" s="21"/>
      <c r="D4223" s="21"/>
      <c r="E4223" s="21"/>
      <c r="F4223" s="21"/>
      <c r="G4223" s="21"/>
      <c r="H4223" s="21"/>
      <c r="I4223" s="21"/>
      <c r="J4223" s="21"/>
      <c r="K4223" s="21"/>
      <c r="L4223" s="14" t="s">
        <v>153</v>
      </c>
      <c r="M4223" s="21"/>
      <c r="N4223" s="21"/>
      <c r="O4223" s="21"/>
      <c r="P4223" s="21"/>
      <c r="Q4223" s="21"/>
      <c r="R4223" s="21"/>
    </row>
    <row r="4224" spans="1:18" ht="255" x14ac:dyDescent="0.25">
      <c r="A4224" s="14" t="s">
        <v>9180</v>
      </c>
      <c r="B4224" s="14" t="s">
        <v>9181</v>
      </c>
      <c r="C4224" s="14" t="s">
        <v>9182</v>
      </c>
      <c r="D4224" s="14" t="s">
        <v>8531</v>
      </c>
      <c r="E4224" s="14" t="s">
        <v>6524</v>
      </c>
      <c r="F4224" s="14" t="s">
        <v>6525</v>
      </c>
      <c r="G4224" s="8" t="s">
        <v>8534</v>
      </c>
      <c r="H4224" s="14" t="s">
        <v>125</v>
      </c>
      <c r="I4224" s="14"/>
      <c r="J4224" s="14"/>
      <c r="K4224" s="14"/>
      <c r="L4224" s="14"/>
      <c r="M4224" s="14" t="s">
        <v>6528</v>
      </c>
      <c r="N4224" s="14"/>
      <c r="O4224" s="14" t="s">
        <v>6529</v>
      </c>
      <c r="P4224" s="14" t="str">
        <f>HYPERLINK("https://ceds.ed.gov/cedselementdetails.aspx?termid=17827")</f>
        <v>https://ceds.ed.gov/cedselementdetails.aspx?termid=17827</v>
      </c>
      <c r="Q4224" s="14" t="str">
        <f>HYPERLINK("https://ceds.ed.gov/elementComment.aspx?elementName=Organization Identification System &amp;elementID=17827", "Click here to submit comment")</f>
        <v>Click here to submit comment</v>
      </c>
      <c r="R4224" s="14">
        <v>51799</v>
      </c>
    </row>
    <row r="4225" spans="1:18" ht="409.5" x14ac:dyDescent="0.25">
      <c r="A4225" s="14" t="s">
        <v>9180</v>
      </c>
      <c r="B4225" s="14" t="s">
        <v>9181</v>
      </c>
      <c r="C4225" s="14" t="s">
        <v>9182</v>
      </c>
      <c r="D4225" s="14" t="s">
        <v>8531</v>
      </c>
      <c r="E4225" s="14" t="s">
        <v>3416</v>
      </c>
      <c r="F4225" s="14" t="s">
        <v>3417</v>
      </c>
      <c r="G4225" s="8" t="s">
        <v>9183</v>
      </c>
      <c r="H4225" s="14"/>
      <c r="I4225" s="14"/>
      <c r="J4225" s="14"/>
      <c r="K4225" s="14"/>
      <c r="L4225" s="14" t="s">
        <v>3420</v>
      </c>
      <c r="M4225" s="14" t="s">
        <v>3421</v>
      </c>
      <c r="N4225" s="14"/>
      <c r="O4225" s="14" t="s">
        <v>3422</v>
      </c>
      <c r="P4225" s="14" t="str">
        <f>HYPERLINK("https://ceds.ed.gov/cedselementdetails.aspx?termid=18736")</f>
        <v>https://ceds.ed.gov/cedselementdetails.aspx?termid=18736</v>
      </c>
      <c r="Q4225" s="14" t="str">
        <f>HYPERLINK("https://ceds.ed.gov/elementComment.aspx?elementName=CTDL Organization Type &amp;elementID=18736", "Click here to submit comment")</f>
        <v>Click here to submit comment</v>
      </c>
      <c r="R4225" s="14">
        <v>51910</v>
      </c>
    </row>
    <row r="4226" spans="1:18" ht="105" x14ac:dyDescent="0.25">
      <c r="A4226" s="19" t="s">
        <v>9180</v>
      </c>
      <c r="B4226" s="19" t="s">
        <v>9184</v>
      </c>
      <c r="C4226" s="19"/>
      <c r="D4226" s="19" t="s">
        <v>8531</v>
      </c>
      <c r="E4226" s="19" t="s">
        <v>6711</v>
      </c>
      <c r="F4226" s="19" t="s">
        <v>6712</v>
      </c>
      <c r="G4226" s="19" t="s">
        <v>37</v>
      </c>
      <c r="H4226" s="19"/>
      <c r="I4226" s="19"/>
      <c r="J4226" s="19" t="s">
        <v>149</v>
      </c>
      <c r="K4226" s="19"/>
      <c r="L4226" s="14" t="s">
        <v>150</v>
      </c>
      <c r="M4226" s="19" t="s">
        <v>6713</v>
      </c>
      <c r="N4226" s="19"/>
      <c r="O4226" s="19" t="s">
        <v>6714</v>
      </c>
      <c r="P4226" s="19" t="str">
        <f>HYPERLINK("https://ceds.ed.gov/cedselementdetails.aspx?termid=18551")</f>
        <v>https://ceds.ed.gov/cedselementdetails.aspx?termid=18551</v>
      </c>
      <c r="Q4226" s="19" t="str">
        <f>HYPERLINK("https://ceds.ed.gov/elementComment.aspx?elementName=Person Identifier &amp;elementID=18551", "Click here to submit comment")</f>
        <v>Click here to submit comment</v>
      </c>
      <c r="R4226" s="19">
        <v>51847</v>
      </c>
    </row>
    <row r="4227" spans="1:18" x14ac:dyDescent="0.25">
      <c r="A4227" s="20"/>
      <c r="B4227" s="20"/>
      <c r="C4227" s="20"/>
      <c r="D4227" s="20"/>
      <c r="E4227" s="20"/>
      <c r="F4227" s="20"/>
      <c r="G4227" s="20"/>
      <c r="H4227" s="20"/>
      <c r="I4227" s="20"/>
      <c r="J4227" s="20"/>
      <c r="K4227" s="20"/>
      <c r="L4227" s="14"/>
      <c r="M4227" s="20"/>
      <c r="N4227" s="20"/>
      <c r="O4227" s="20"/>
      <c r="P4227" s="20"/>
      <c r="Q4227" s="20"/>
      <c r="R4227" s="20"/>
    </row>
    <row r="4228" spans="1:18" ht="90" x14ac:dyDescent="0.25">
      <c r="A4228" s="21"/>
      <c r="B4228" s="21"/>
      <c r="C4228" s="21"/>
      <c r="D4228" s="21"/>
      <c r="E4228" s="21"/>
      <c r="F4228" s="21"/>
      <c r="G4228" s="21"/>
      <c r="H4228" s="21"/>
      <c r="I4228" s="21"/>
      <c r="J4228" s="21"/>
      <c r="K4228" s="21"/>
      <c r="L4228" s="14" t="s">
        <v>153</v>
      </c>
      <c r="M4228" s="21"/>
      <c r="N4228" s="21"/>
      <c r="O4228" s="21"/>
      <c r="P4228" s="21"/>
      <c r="Q4228" s="21"/>
      <c r="R4228" s="21"/>
    </row>
    <row r="4229" spans="1:18" ht="375" x14ac:dyDescent="0.25">
      <c r="A4229" s="14" t="s">
        <v>9180</v>
      </c>
      <c r="B4229" s="14" t="s">
        <v>9184</v>
      </c>
      <c r="C4229" s="14"/>
      <c r="D4229" s="14" t="s">
        <v>8531</v>
      </c>
      <c r="E4229" s="14" t="s">
        <v>6705</v>
      </c>
      <c r="F4229" s="14" t="s">
        <v>6706</v>
      </c>
      <c r="G4229" s="8" t="s">
        <v>8676</v>
      </c>
      <c r="H4229" s="14"/>
      <c r="I4229" s="14"/>
      <c r="J4229" s="14"/>
      <c r="K4229" s="14"/>
      <c r="L4229" s="14"/>
      <c r="M4229" s="14" t="s">
        <v>6709</v>
      </c>
      <c r="N4229" s="14"/>
      <c r="O4229" s="14" t="s">
        <v>6710</v>
      </c>
      <c r="P4229" s="14" t="str">
        <f>HYPERLINK("https://ceds.ed.gov/cedselementdetails.aspx?termid=18550")</f>
        <v>https://ceds.ed.gov/cedselementdetails.aspx?termid=18550</v>
      </c>
      <c r="Q4229" s="14" t="str">
        <f>HYPERLINK("https://ceds.ed.gov/elementComment.aspx?elementName=Person Identification System &amp;elementID=18550", "Click here to submit comment")</f>
        <v>Click here to submit comment</v>
      </c>
      <c r="R4229" s="14">
        <v>51838</v>
      </c>
    </row>
    <row r="4230" spans="1:18" ht="105" x14ac:dyDescent="0.25">
      <c r="A4230" s="19" t="s">
        <v>9180</v>
      </c>
      <c r="B4230" s="19" t="s">
        <v>9184</v>
      </c>
      <c r="C4230" s="19"/>
      <c r="D4230" s="19" t="s">
        <v>8531</v>
      </c>
      <c r="E4230" s="19" t="s">
        <v>6530</v>
      </c>
      <c r="F4230" s="19" t="s">
        <v>6531</v>
      </c>
      <c r="G4230" s="19" t="s">
        <v>37</v>
      </c>
      <c r="H4230" s="19" t="s">
        <v>125</v>
      </c>
      <c r="I4230" s="19"/>
      <c r="J4230" s="19" t="s">
        <v>149</v>
      </c>
      <c r="K4230" s="19"/>
      <c r="L4230" s="14" t="s">
        <v>150</v>
      </c>
      <c r="M4230" s="19" t="s">
        <v>6533</v>
      </c>
      <c r="N4230" s="19"/>
      <c r="O4230" s="19" t="s">
        <v>6534</v>
      </c>
      <c r="P4230" s="19" t="str">
        <f>HYPERLINK("https://ceds.ed.gov/cedselementdetails.aspx?termid=17825")</f>
        <v>https://ceds.ed.gov/cedselementdetails.aspx?termid=17825</v>
      </c>
      <c r="Q4230" s="19" t="str">
        <f>HYPERLINK("https://ceds.ed.gov/elementComment.aspx?elementName=Organization Identifier &amp;elementID=17825", "Click here to submit comment")</f>
        <v>Click here to submit comment</v>
      </c>
      <c r="R4230" s="19">
        <v>51797</v>
      </c>
    </row>
    <row r="4231" spans="1:18" x14ac:dyDescent="0.25">
      <c r="A4231" s="20"/>
      <c r="B4231" s="20"/>
      <c r="C4231" s="20"/>
      <c r="D4231" s="20"/>
      <c r="E4231" s="20"/>
      <c r="F4231" s="20"/>
      <c r="G4231" s="20"/>
      <c r="H4231" s="20"/>
      <c r="I4231" s="20"/>
      <c r="J4231" s="20"/>
      <c r="K4231" s="20"/>
      <c r="L4231" s="14"/>
      <c r="M4231" s="20"/>
      <c r="N4231" s="20"/>
      <c r="O4231" s="20"/>
      <c r="P4231" s="20"/>
      <c r="Q4231" s="20"/>
      <c r="R4231" s="20"/>
    </row>
    <row r="4232" spans="1:18" ht="90" x14ac:dyDescent="0.25">
      <c r="A4232" s="21"/>
      <c r="B4232" s="21"/>
      <c r="C4232" s="21"/>
      <c r="D4232" s="21"/>
      <c r="E4232" s="21"/>
      <c r="F4232" s="21"/>
      <c r="G4232" s="21"/>
      <c r="H4232" s="21"/>
      <c r="I4232" s="21"/>
      <c r="J4232" s="21"/>
      <c r="K4232" s="21"/>
      <c r="L4232" s="14" t="s">
        <v>153</v>
      </c>
      <c r="M4232" s="21"/>
      <c r="N4232" s="21"/>
      <c r="O4232" s="21"/>
      <c r="P4232" s="21"/>
      <c r="Q4232" s="21"/>
      <c r="R4232" s="21"/>
    </row>
    <row r="4233" spans="1:18" ht="255" x14ac:dyDescent="0.25">
      <c r="A4233" s="14" t="s">
        <v>9180</v>
      </c>
      <c r="B4233" s="14" t="s">
        <v>9184</v>
      </c>
      <c r="C4233" s="14"/>
      <c r="D4233" s="14" t="s">
        <v>8531</v>
      </c>
      <c r="E4233" s="14" t="s">
        <v>6524</v>
      </c>
      <c r="F4233" s="14" t="s">
        <v>6525</v>
      </c>
      <c r="G4233" s="8" t="s">
        <v>8534</v>
      </c>
      <c r="H4233" s="14" t="s">
        <v>125</v>
      </c>
      <c r="I4233" s="14"/>
      <c r="J4233" s="14"/>
      <c r="K4233" s="14"/>
      <c r="L4233" s="14"/>
      <c r="M4233" s="14" t="s">
        <v>6528</v>
      </c>
      <c r="N4233" s="14"/>
      <c r="O4233" s="14" t="s">
        <v>6529</v>
      </c>
      <c r="P4233" s="14" t="str">
        <f>HYPERLINK("https://ceds.ed.gov/cedselementdetails.aspx?termid=17827")</f>
        <v>https://ceds.ed.gov/cedselementdetails.aspx?termid=17827</v>
      </c>
      <c r="Q4233" s="14" t="str">
        <f>HYPERLINK("https://ceds.ed.gov/elementComment.aspx?elementName=Organization Identification System &amp;elementID=17827", "Click here to submit comment")</f>
        <v>Click here to submit comment</v>
      </c>
      <c r="R4233" s="14">
        <v>51800</v>
      </c>
    </row>
    <row r="4234" spans="1:18" ht="409.5" x14ac:dyDescent="0.25">
      <c r="A4234" s="14" t="s">
        <v>9180</v>
      </c>
      <c r="B4234" s="14" t="s">
        <v>9184</v>
      </c>
      <c r="C4234" s="14"/>
      <c r="D4234" s="14" t="s">
        <v>8531</v>
      </c>
      <c r="E4234" s="14" t="s">
        <v>3416</v>
      </c>
      <c r="F4234" s="14" t="s">
        <v>3417</v>
      </c>
      <c r="G4234" s="8" t="s">
        <v>9183</v>
      </c>
      <c r="H4234" s="14"/>
      <c r="I4234" s="14"/>
      <c r="J4234" s="14"/>
      <c r="K4234" s="14"/>
      <c r="L4234" s="14" t="s">
        <v>3420</v>
      </c>
      <c r="M4234" s="14" t="s">
        <v>3421</v>
      </c>
      <c r="N4234" s="14"/>
      <c r="O4234" s="14" t="s">
        <v>3422</v>
      </c>
      <c r="P4234" s="14" t="str">
        <f>HYPERLINK("https://ceds.ed.gov/cedselementdetails.aspx?termid=18736")</f>
        <v>https://ceds.ed.gov/cedselementdetails.aspx?termid=18736</v>
      </c>
      <c r="Q4234" s="14" t="str">
        <f>HYPERLINK("https://ceds.ed.gov/elementComment.aspx?elementName=CTDL Organization Type &amp;elementID=18736", "Click here to submit comment")</f>
        <v>Click here to submit comment</v>
      </c>
      <c r="R4234" s="14">
        <v>51911</v>
      </c>
    </row>
    <row r="4235" spans="1:18" ht="135" x14ac:dyDescent="0.25">
      <c r="A4235" s="14" t="s">
        <v>9180</v>
      </c>
      <c r="B4235" s="14" t="s">
        <v>9184</v>
      </c>
      <c r="C4235" s="14"/>
      <c r="D4235" s="14" t="s">
        <v>8531</v>
      </c>
      <c r="E4235" s="14" t="s">
        <v>3149</v>
      </c>
      <c r="F4235" s="14" t="s">
        <v>3150</v>
      </c>
      <c r="G4235" s="8" t="s">
        <v>9185</v>
      </c>
      <c r="H4235" s="14"/>
      <c r="I4235" s="14"/>
      <c r="J4235" s="14"/>
      <c r="K4235" s="14"/>
      <c r="L4235" s="14" t="s">
        <v>3153</v>
      </c>
      <c r="M4235" s="14" t="s">
        <v>3154</v>
      </c>
      <c r="N4235" s="14"/>
      <c r="O4235" s="14" t="s">
        <v>3155</v>
      </c>
      <c r="P4235" s="14" t="str">
        <f>HYPERLINK("https://ceds.ed.gov/cedselementdetails.aspx?termid=18895")</f>
        <v>https://ceds.ed.gov/cedselementdetails.aspx?termid=18895</v>
      </c>
      <c r="Q4235" s="14" t="str">
        <f>HYPERLINK("https://ceds.ed.gov/elementComment.aspx?elementName=Credential Definition Agent Role Type &amp;elementID=18895", "Click here to submit comment")</f>
        <v>Click here to submit comment</v>
      </c>
      <c r="R4235" s="14">
        <v>52188</v>
      </c>
    </row>
    <row r="4236" spans="1:18" ht="195" x14ac:dyDescent="0.25">
      <c r="A4236" s="14" t="s">
        <v>9180</v>
      </c>
      <c r="B4236" s="14" t="s">
        <v>9186</v>
      </c>
      <c r="C4236" s="14"/>
      <c r="D4236" s="14" t="s">
        <v>8531</v>
      </c>
      <c r="E4236" s="14" t="s">
        <v>3206</v>
      </c>
      <c r="F4236" s="14" t="s">
        <v>3207</v>
      </c>
      <c r="G4236" s="14" t="s">
        <v>37</v>
      </c>
      <c r="H4236" s="14"/>
      <c r="I4236" s="14"/>
      <c r="J4236" s="14" t="s">
        <v>57</v>
      </c>
      <c r="K4236" s="14"/>
      <c r="L4236" s="14" t="s">
        <v>3209</v>
      </c>
      <c r="M4236" s="14" t="s">
        <v>3210</v>
      </c>
      <c r="N4236" s="14" t="s">
        <v>3211</v>
      </c>
      <c r="O4236" s="14" t="s">
        <v>3212</v>
      </c>
      <c r="P4236" s="14" t="str">
        <f>HYPERLINK("https://ceds.ed.gov/cedselementdetails.aspx?termid=18639")</f>
        <v>https://ceds.ed.gov/cedselementdetails.aspx?termid=18639</v>
      </c>
      <c r="Q4236" s="14" t="str">
        <f>HYPERLINK("https://ceds.ed.gov/elementComment.aspx?elementName=Credential Definition Identifier &amp;elementID=18639", "Click here to submit comment")</f>
        <v>Click here to submit comment</v>
      </c>
      <c r="R4236" s="14">
        <v>51891</v>
      </c>
    </row>
    <row r="4237" spans="1:18" ht="150" x14ac:dyDescent="0.25">
      <c r="A4237" s="14" t="s">
        <v>9180</v>
      </c>
      <c r="B4237" s="14" t="s">
        <v>9186</v>
      </c>
      <c r="C4237" s="14"/>
      <c r="D4237" s="14" t="s">
        <v>8531</v>
      </c>
      <c r="E4237" s="14" t="s">
        <v>3213</v>
      </c>
      <c r="F4237" s="14" t="s">
        <v>3214</v>
      </c>
      <c r="G4237" s="8" t="s">
        <v>9187</v>
      </c>
      <c r="H4237" s="14"/>
      <c r="I4237" s="14"/>
      <c r="J4237" s="14"/>
      <c r="K4237" s="14"/>
      <c r="L4237" s="14"/>
      <c r="M4237" s="14" t="s">
        <v>3216</v>
      </c>
      <c r="N4237" s="14" t="s">
        <v>3217</v>
      </c>
      <c r="O4237" s="14" t="s">
        <v>3218</v>
      </c>
      <c r="P4237" s="14" t="str">
        <f>HYPERLINK("https://ceds.ed.gov/cedselementdetails.aspx?termid=18720")</f>
        <v>https://ceds.ed.gov/cedselementdetails.aspx?termid=18720</v>
      </c>
      <c r="Q4237" s="14" t="str">
        <f>HYPERLINK("https://ceds.ed.gov/elementComment.aspx?elementName=Credential Definition Identifier System &amp;elementID=18720", "Click here to submit comment")</f>
        <v>Click here to submit comment</v>
      </c>
      <c r="R4237" s="14">
        <v>51892</v>
      </c>
    </row>
    <row r="4238" spans="1:18" ht="45" x14ac:dyDescent="0.25">
      <c r="A4238" s="14" t="s">
        <v>9180</v>
      </c>
      <c r="B4238" s="14" t="s">
        <v>9186</v>
      </c>
      <c r="C4238" s="14"/>
      <c r="D4238" s="14" t="s">
        <v>8531</v>
      </c>
      <c r="E4238" s="14" t="s">
        <v>3270</v>
      </c>
      <c r="F4238" s="14" t="s">
        <v>3271</v>
      </c>
      <c r="G4238" s="14" t="s">
        <v>37</v>
      </c>
      <c r="H4238" s="14"/>
      <c r="I4238" s="14"/>
      <c r="J4238" s="14" t="s">
        <v>129</v>
      </c>
      <c r="K4238" s="14"/>
      <c r="L4238" s="14"/>
      <c r="M4238" s="14" t="s">
        <v>3272</v>
      </c>
      <c r="N4238" s="14" t="s">
        <v>3273</v>
      </c>
      <c r="O4238" s="14" t="s">
        <v>3274</v>
      </c>
      <c r="P4238" s="14" t="str">
        <f>HYPERLINK("https://ceds.ed.gov/cedselementdetails.aspx?termid=17893")</f>
        <v>https://ceds.ed.gov/cedselementdetails.aspx?termid=17893</v>
      </c>
      <c r="Q4238" s="14" t="str">
        <f>HYPERLINK("https://ceds.ed.gov/elementComment.aspx?elementName=Credential Definition Title &amp;elementID=17893", "Click here to submit comment")</f>
        <v>Click here to submit comment</v>
      </c>
      <c r="R4238" s="14">
        <v>51163</v>
      </c>
    </row>
    <row r="4239" spans="1:18" ht="45" x14ac:dyDescent="0.25">
      <c r="A4239" s="14" t="s">
        <v>9180</v>
      </c>
      <c r="B4239" s="14" t="s">
        <v>9186</v>
      </c>
      <c r="C4239" s="14"/>
      <c r="D4239" s="14" t="s">
        <v>8531</v>
      </c>
      <c r="E4239" s="14" t="s">
        <v>3195</v>
      </c>
      <c r="F4239" s="14" t="s">
        <v>3196</v>
      </c>
      <c r="G4239" s="14" t="s">
        <v>37</v>
      </c>
      <c r="H4239" s="14"/>
      <c r="I4239" s="14"/>
      <c r="J4239" s="14" t="s">
        <v>129</v>
      </c>
      <c r="K4239" s="14"/>
      <c r="L4239" s="14"/>
      <c r="M4239" s="14" t="s">
        <v>3197</v>
      </c>
      <c r="N4239" s="14" t="s">
        <v>3198</v>
      </c>
      <c r="O4239" s="14" t="s">
        <v>3199</v>
      </c>
      <c r="P4239" s="14" t="str">
        <f>HYPERLINK("https://ceds.ed.gov/cedselementdetails.aspx?termid=17895")</f>
        <v>https://ceds.ed.gov/cedselementdetails.aspx?termid=17895</v>
      </c>
      <c r="Q4239" s="14" t="str">
        <f>HYPERLINK("https://ceds.ed.gov/elementComment.aspx?elementName=Credential Definition Description &amp;elementID=17895", "Click here to submit comment")</f>
        <v>Click here to submit comment</v>
      </c>
      <c r="R4239" s="14">
        <v>51165</v>
      </c>
    </row>
    <row r="4240" spans="1:18" ht="75" x14ac:dyDescent="0.25">
      <c r="A4240" s="14" t="s">
        <v>9180</v>
      </c>
      <c r="B4240" s="14" t="s">
        <v>9186</v>
      </c>
      <c r="C4240" s="14"/>
      <c r="D4240" s="14" t="s">
        <v>8531</v>
      </c>
      <c r="E4240" s="14" t="s">
        <v>3156</v>
      </c>
      <c r="F4240" s="14" t="s">
        <v>3157</v>
      </c>
      <c r="G4240" s="14" t="s">
        <v>37</v>
      </c>
      <c r="H4240" s="14"/>
      <c r="I4240" s="14"/>
      <c r="J4240" s="14" t="s">
        <v>129</v>
      </c>
      <c r="K4240" s="14"/>
      <c r="L4240" s="14"/>
      <c r="M4240" s="14" t="s">
        <v>3159</v>
      </c>
      <c r="N4240" s="14" t="s">
        <v>3160</v>
      </c>
      <c r="O4240" s="14" t="s">
        <v>3161</v>
      </c>
      <c r="P4240" s="14" t="str">
        <f>HYPERLINK("https://ceds.ed.gov/cedselementdetails.aspx?termid=18717")</f>
        <v>https://ceds.ed.gov/cedselementdetails.aspx?termid=18717</v>
      </c>
      <c r="Q4240" s="14" t="str">
        <f>HYPERLINK("https://ceds.ed.gov/elementComment.aspx?elementName=Credential Definition Alternate Name &amp;elementID=18717", "Click here to submit comment")</f>
        <v>Click here to submit comment</v>
      </c>
      <c r="R4240" s="14">
        <v>51885</v>
      </c>
    </row>
    <row r="4241" spans="1:18" ht="60" x14ac:dyDescent="0.25">
      <c r="A4241" s="14" t="s">
        <v>9180</v>
      </c>
      <c r="B4241" s="14" t="s">
        <v>9186</v>
      </c>
      <c r="C4241" s="14"/>
      <c r="D4241" s="14" t="s">
        <v>8531</v>
      </c>
      <c r="E4241" s="14" t="s">
        <v>3286</v>
      </c>
      <c r="F4241" s="14" t="s">
        <v>3287</v>
      </c>
      <c r="G4241" s="14" t="s">
        <v>37</v>
      </c>
      <c r="H4241" s="14"/>
      <c r="I4241" s="14"/>
      <c r="J4241" s="14" t="s">
        <v>165</v>
      </c>
      <c r="K4241" s="14"/>
      <c r="L4241" s="14"/>
      <c r="M4241" s="14" t="s">
        <v>3288</v>
      </c>
      <c r="N4241" s="14" t="s">
        <v>3289</v>
      </c>
      <c r="O4241" s="14" t="s">
        <v>3290</v>
      </c>
      <c r="P4241" s="14" t="str">
        <f>HYPERLINK("https://ceds.ed.gov/cedselementdetails.aspx?termid=18735")</f>
        <v>https://ceds.ed.gov/cedselementdetails.aspx?termid=18735</v>
      </c>
      <c r="Q4241" s="14" t="str">
        <f>HYPERLINK("https://ceds.ed.gov/elementComment.aspx?elementName=Credential Definition Version &amp;elementID=18735", "Click here to submit comment")</f>
        <v>Click here to submit comment</v>
      </c>
      <c r="R4241" s="14">
        <v>51909</v>
      </c>
    </row>
    <row r="4242" spans="1:18" ht="75" x14ac:dyDescent="0.25">
      <c r="A4242" s="14" t="s">
        <v>9180</v>
      </c>
      <c r="B4242" s="14" t="s">
        <v>9186</v>
      </c>
      <c r="C4242" s="14"/>
      <c r="D4242" s="14" t="s">
        <v>8531</v>
      </c>
      <c r="E4242" s="14" t="s">
        <v>3168</v>
      </c>
      <c r="F4242" s="14" t="s">
        <v>3169</v>
      </c>
      <c r="G4242" s="14" t="s">
        <v>37</v>
      </c>
      <c r="H4242" s="14"/>
      <c r="I4242" s="14"/>
      <c r="J4242" s="14" t="s">
        <v>97</v>
      </c>
      <c r="K4242" s="14"/>
      <c r="L4242" s="14" t="s">
        <v>3170</v>
      </c>
      <c r="M4242" s="14" t="s">
        <v>3171</v>
      </c>
      <c r="N4242" s="14" t="s">
        <v>3172</v>
      </c>
      <c r="O4242" s="14" t="s">
        <v>3173</v>
      </c>
      <c r="P4242" s="14" t="str">
        <f>HYPERLINK("https://ceds.ed.gov/cedselementdetails.aspx?termid=18211")</f>
        <v>https://ceds.ed.gov/cedselementdetails.aspx?termid=18211</v>
      </c>
      <c r="Q4242" s="14" t="str">
        <f>HYPERLINK("https://ceds.ed.gov/elementComment.aspx?elementName=Credential Definition Category System &amp;elementID=18211", "Click here to submit comment")</f>
        <v>Click here to submit comment</v>
      </c>
      <c r="R4242" s="14">
        <v>51162</v>
      </c>
    </row>
    <row r="4243" spans="1:18" ht="285" x14ac:dyDescent="0.25">
      <c r="A4243" s="14" t="s">
        <v>9180</v>
      </c>
      <c r="B4243" s="14" t="s">
        <v>9186</v>
      </c>
      <c r="C4243" s="14"/>
      <c r="D4243" s="14" t="s">
        <v>8531</v>
      </c>
      <c r="E4243" s="14" t="s">
        <v>3174</v>
      </c>
      <c r="F4243" s="14" t="s">
        <v>3175</v>
      </c>
      <c r="G4243" s="14" t="s">
        <v>37</v>
      </c>
      <c r="H4243" s="14"/>
      <c r="I4243" s="14"/>
      <c r="J4243" s="14" t="s">
        <v>175</v>
      </c>
      <c r="K4243" s="14"/>
      <c r="L4243" s="14" t="s">
        <v>3176</v>
      </c>
      <c r="M4243" s="14" t="s">
        <v>3177</v>
      </c>
      <c r="N4243" s="14" t="s">
        <v>3178</v>
      </c>
      <c r="O4243" s="14" t="s">
        <v>3179</v>
      </c>
      <c r="P4243" s="14" t="str">
        <f>HYPERLINK("https://ceds.ed.gov/cedselementdetails.aspx?termid=17892")</f>
        <v>https://ceds.ed.gov/cedselementdetails.aspx?termid=17892</v>
      </c>
      <c r="Q4243" s="14" t="str">
        <f>HYPERLINK("https://ceds.ed.gov/elementComment.aspx?elementName=Credential Definition Category Type &amp;elementID=17892", "Click here to submit comment")</f>
        <v>Click here to submit comment</v>
      </c>
      <c r="R4243" s="14">
        <v>51158</v>
      </c>
    </row>
    <row r="4244" spans="1:18" ht="75" x14ac:dyDescent="0.25">
      <c r="A4244" s="14" t="s">
        <v>9180</v>
      </c>
      <c r="B4244" s="14" t="s">
        <v>9186</v>
      </c>
      <c r="C4244" s="14"/>
      <c r="D4244" s="14" t="s">
        <v>8531</v>
      </c>
      <c r="E4244" s="14" t="s">
        <v>3264</v>
      </c>
      <c r="F4244" s="14" t="s">
        <v>3265</v>
      </c>
      <c r="G4244" s="8" t="s">
        <v>9188</v>
      </c>
      <c r="H4244" s="14"/>
      <c r="I4244" s="14"/>
      <c r="J4244" s="14"/>
      <c r="K4244" s="14"/>
      <c r="L4244" s="14"/>
      <c r="M4244" s="14" t="s">
        <v>3267</v>
      </c>
      <c r="N4244" s="14" t="s">
        <v>3268</v>
      </c>
      <c r="O4244" s="14" t="s">
        <v>3269</v>
      </c>
      <c r="P4244" s="14" t="str">
        <f>HYPERLINK("https://ceds.ed.gov/cedselementdetails.aspx?termid=18721")</f>
        <v>https://ceds.ed.gov/cedselementdetails.aspx?termid=18721</v>
      </c>
      <c r="Q4244" s="14" t="str">
        <f>HYPERLINK("https://ceds.ed.gov/elementComment.aspx?elementName=Credential Definition Status Type &amp;elementID=18721", "Click here to submit comment")</f>
        <v>Click here to submit comment</v>
      </c>
      <c r="R4244" s="14">
        <v>51906</v>
      </c>
    </row>
    <row r="4245" spans="1:18" ht="105" x14ac:dyDescent="0.25">
      <c r="A4245" s="14" t="s">
        <v>9180</v>
      </c>
      <c r="B4245" s="14" t="s">
        <v>9186</v>
      </c>
      <c r="C4245" s="14"/>
      <c r="D4245" s="14" t="s">
        <v>8531</v>
      </c>
      <c r="E4245" s="14" t="s">
        <v>3219</v>
      </c>
      <c r="F4245" s="14" t="s">
        <v>3220</v>
      </c>
      <c r="G4245" s="8" t="s">
        <v>9189</v>
      </c>
      <c r="H4245" s="14"/>
      <c r="I4245" s="14"/>
      <c r="J4245" s="14"/>
      <c r="K4245" s="14"/>
      <c r="L4245" s="14"/>
      <c r="M4245" s="14" t="s">
        <v>3222</v>
      </c>
      <c r="N4245" s="14" t="s">
        <v>3223</v>
      </c>
      <c r="O4245" s="14" t="s">
        <v>3224</v>
      </c>
      <c r="P4245" s="14" t="str">
        <f>HYPERLINK("https://ceds.ed.gov/cedselementdetails.aspx?termid=18730")</f>
        <v>https://ceds.ed.gov/cedselementdetails.aspx?termid=18730</v>
      </c>
      <c r="Q4245" s="14" t="str">
        <f>HYPERLINK("https://ceds.ed.gov/elementComment.aspx?elementName=Credential Definition Intended Purpose Type &amp;elementID=18730", "Click here to submit comment")</f>
        <v>Click here to submit comment</v>
      </c>
      <c r="R4245" s="14">
        <v>51893</v>
      </c>
    </row>
    <row r="4246" spans="1:18" ht="60" x14ac:dyDescent="0.25">
      <c r="A4246" s="14" t="s">
        <v>9180</v>
      </c>
      <c r="B4246" s="14" t="s">
        <v>9186</v>
      </c>
      <c r="C4246" s="14"/>
      <c r="D4246" s="14" t="s">
        <v>8531</v>
      </c>
      <c r="E4246" s="14" t="s">
        <v>3162</v>
      </c>
      <c r="F4246" s="14" t="s">
        <v>3163</v>
      </c>
      <c r="G4246" s="8" t="s">
        <v>9190</v>
      </c>
      <c r="H4246" s="14"/>
      <c r="I4246" s="14"/>
      <c r="J4246" s="14"/>
      <c r="K4246" s="14"/>
      <c r="L4246" s="14"/>
      <c r="M4246" s="14" t="s">
        <v>3165</v>
      </c>
      <c r="N4246" s="14" t="s">
        <v>3166</v>
      </c>
      <c r="O4246" s="14" t="s">
        <v>3167</v>
      </c>
      <c r="P4246" s="14" t="str">
        <f>HYPERLINK("https://ceds.ed.gov/cedselementdetails.aspx?termid=18719")</f>
        <v>https://ceds.ed.gov/cedselementdetails.aspx?termid=18719</v>
      </c>
      <c r="Q4246" s="14" t="str">
        <f>HYPERLINK("https://ceds.ed.gov/elementComment.aspx?elementName=Credential Definition Assessment Method Type &amp;elementID=18719", "Click here to submit comment")</f>
        <v>Click here to submit comment</v>
      </c>
      <c r="R4246" s="14">
        <v>51886</v>
      </c>
    </row>
    <row r="4247" spans="1:18" ht="45" x14ac:dyDescent="0.25">
      <c r="A4247" s="14" t="s">
        <v>9180</v>
      </c>
      <c r="B4247" s="14" t="s">
        <v>9186</v>
      </c>
      <c r="C4247" s="14"/>
      <c r="D4247" s="14" t="s">
        <v>8531</v>
      </c>
      <c r="E4247" s="14" t="s">
        <v>3180</v>
      </c>
      <c r="F4247" s="14" t="s">
        <v>3181</v>
      </c>
      <c r="G4247" s="14" t="s">
        <v>37</v>
      </c>
      <c r="H4247" s="14"/>
      <c r="I4247" s="14"/>
      <c r="J4247" s="14" t="s">
        <v>129</v>
      </c>
      <c r="K4247" s="14"/>
      <c r="L4247" s="14"/>
      <c r="M4247" s="14" t="s">
        <v>3182</v>
      </c>
      <c r="N4247" s="14" t="s">
        <v>3183</v>
      </c>
      <c r="O4247" s="14" t="s">
        <v>3184</v>
      </c>
      <c r="P4247" s="14" t="str">
        <f>HYPERLINK("https://ceds.ed.gov/cedselementdetails.aspx?termid=17896")</f>
        <v>https://ceds.ed.gov/cedselementdetails.aspx?termid=17896</v>
      </c>
      <c r="Q4247" s="14" t="str">
        <f>HYPERLINK("https://ceds.ed.gov/elementComment.aspx?elementName=Credential Definition Criteria &amp;elementID=17896", "Click here to submit comment")</f>
        <v>Click here to submit comment</v>
      </c>
      <c r="R4247" s="14">
        <v>51166</v>
      </c>
    </row>
    <row r="4248" spans="1:18" ht="75" x14ac:dyDescent="0.25">
      <c r="A4248" s="14" t="s">
        <v>9180</v>
      </c>
      <c r="B4248" s="14" t="s">
        <v>9186</v>
      </c>
      <c r="C4248" s="14"/>
      <c r="D4248" s="14" t="s">
        <v>8531</v>
      </c>
      <c r="E4248" s="14" t="s">
        <v>3185</v>
      </c>
      <c r="F4248" s="14" t="s">
        <v>3186</v>
      </c>
      <c r="G4248" s="14" t="s">
        <v>37</v>
      </c>
      <c r="H4248" s="14"/>
      <c r="I4248" s="14"/>
      <c r="J4248" s="14" t="s">
        <v>57</v>
      </c>
      <c r="K4248" s="14"/>
      <c r="L4248" s="14"/>
      <c r="M4248" s="14" t="s">
        <v>3187</v>
      </c>
      <c r="N4248" s="14" t="s">
        <v>3188</v>
      </c>
      <c r="O4248" s="14" t="s">
        <v>3189</v>
      </c>
      <c r="P4248" s="14" t="str">
        <f>HYPERLINK("https://ceds.ed.gov/cedselementdetails.aspx?termid=18113")</f>
        <v>https://ceds.ed.gov/cedselementdetails.aspx?termid=18113</v>
      </c>
      <c r="Q4248" s="14" t="str">
        <f>HYPERLINK("https://ceds.ed.gov/elementComment.aspx?elementName=Credential Definition Criteria URL &amp;elementID=18113", "Click here to submit comment")</f>
        <v>Click here to submit comment</v>
      </c>
      <c r="R4248" s="14">
        <v>51159</v>
      </c>
    </row>
    <row r="4249" spans="1:18" ht="45" x14ac:dyDescent="0.25">
      <c r="A4249" s="14" t="s">
        <v>9180</v>
      </c>
      <c r="B4249" s="14" t="s">
        <v>9186</v>
      </c>
      <c r="C4249" s="14"/>
      <c r="D4249" s="14" t="s">
        <v>8531</v>
      </c>
      <c r="E4249" s="14" t="s">
        <v>3200</v>
      </c>
      <c r="F4249" s="14" t="s">
        <v>3201</v>
      </c>
      <c r="G4249" s="14" t="s">
        <v>37</v>
      </c>
      <c r="H4249" s="14"/>
      <c r="I4249" s="14"/>
      <c r="J4249" s="14" t="s">
        <v>3202</v>
      </c>
      <c r="K4249" s="14"/>
      <c r="L4249" s="14"/>
      <c r="M4249" s="14" t="s">
        <v>3203</v>
      </c>
      <c r="N4249" s="14" t="s">
        <v>3204</v>
      </c>
      <c r="O4249" s="14" t="s">
        <v>3205</v>
      </c>
      <c r="P4249" s="14" t="str">
        <f>HYPERLINK("https://ceds.ed.gov/cedselementdetails.aspx?termid=18722")</f>
        <v>https://ceds.ed.gov/cedselementdetails.aspx?termid=18722</v>
      </c>
      <c r="Q4249" s="14" t="str">
        <f>HYPERLINK("https://ceds.ed.gov/elementComment.aspx?elementName=Credential Definition Estimated Duration &amp;elementID=18722", "Click here to submit comment")</f>
        <v>Click here to submit comment</v>
      </c>
      <c r="R4249" s="14">
        <v>51890</v>
      </c>
    </row>
    <row r="4250" spans="1:18" ht="45" x14ac:dyDescent="0.25">
      <c r="A4250" s="14" t="s">
        <v>9180</v>
      </c>
      <c r="B4250" s="14" t="s">
        <v>9186</v>
      </c>
      <c r="C4250" s="14"/>
      <c r="D4250" s="14" t="s">
        <v>8531</v>
      </c>
      <c r="E4250" s="14" t="s">
        <v>3252</v>
      </c>
      <c r="F4250" s="14" t="s">
        <v>3253</v>
      </c>
      <c r="G4250" s="14" t="s">
        <v>37</v>
      </c>
      <c r="H4250" s="14"/>
      <c r="I4250" s="14"/>
      <c r="J4250" s="14" t="s">
        <v>3202</v>
      </c>
      <c r="K4250" s="14"/>
      <c r="L4250" s="14"/>
      <c r="M4250" s="14" t="s">
        <v>3254</v>
      </c>
      <c r="N4250" s="14" t="s">
        <v>3255</v>
      </c>
      <c r="O4250" s="14" t="s">
        <v>3256</v>
      </c>
      <c r="P4250" s="14" t="str">
        <f>HYPERLINK("https://ceds.ed.gov/cedselementdetails.aspx?termid=18729")</f>
        <v>https://ceds.ed.gov/cedselementdetails.aspx?termid=18729</v>
      </c>
      <c r="Q4250" s="14" t="str">
        <f>HYPERLINK("https://ceds.ed.gov/elementComment.aspx?elementName=Credential Definition Minimum Duration &amp;elementID=18729", "Click here to submit comment")</f>
        <v>Click here to submit comment</v>
      </c>
      <c r="R4250" s="14">
        <v>51901</v>
      </c>
    </row>
    <row r="4251" spans="1:18" ht="45" x14ac:dyDescent="0.25">
      <c r="A4251" s="14" t="s">
        <v>9180</v>
      </c>
      <c r="B4251" s="14" t="s">
        <v>9186</v>
      </c>
      <c r="C4251" s="14"/>
      <c r="D4251" s="14" t="s">
        <v>8531</v>
      </c>
      <c r="E4251" s="14" t="s">
        <v>3242</v>
      </c>
      <c r="F4251" s="14" t="s">
        <v>3243</v>
      </c>
      <c r="G4251" s="14" t="s">
        <v>37</v>
      </c>
      <c r="H4251" s="14"/>
      <c r="I4251" s="14"/>
      <c r="J4251" s="14" t="s">
        <v>3202</v>
      </c>
      <c r="K4251" s="14"/>
      <c r="L4251" s="14"/>
      <c r="M4251" s="14" t="s">
        <v>3244</v>
      </c>
      <c r="N4251" s="14" t="s">
        <v>3245</v>
      </c>
      <c r="O4251" s="14" t="s">
        <v>3246</v>
      </c>
      <c r="P4251" s="14" t="str">
        <f>HYPERLINK("https://ceds.ed.gov/cedselementdetails.aspx?termid=18727")</f>
        <v>https://ceds.ed.gov/cedselementdetails.aspx?termid=18727</v>
      </c>
      <c r="Q4251" s="14" t="str">
        <f>HYPERLINK("https://ceds.ed.gov/elementComment.aspx?elementName=Credential Definition Maximum Duration &amp;elementID=18727", "Click here to submit comment")</f>
        <v>Click here to submit comment</v>
      </c>
      <c r="R4251" s="14">
        <v>51899</v>
      </c>
    </row>
    <row r="4252" spans="1:18" ht="45" x14ac:dyDescent="0.25">
      <c r="A4252" s="14" t="s">
        <v>9180</v>
      </c>
      <c r="B4252" s="14" t="s">
        <v>9186</v>
      </c>
      <c r="C4252" s="14"/>
      <c r="D4252" s="14" t="s">
        <v>8531</v>
      </c>
      <c r="E4252" s="14" t="s">
        <v>3247</v>
      </c>
      <c r="F4252" s="14" t="s">
        <v>3248</v>
      </c>
      <c r="G4252" s="14" t="s">
        <v>37</v>
      </c>
      <c r="H4252" s="14"/>
      <c r="I4252" s="14"/>
      <c r="J4252" s="14" t="s">
        <v>1922</v>
      </c>
      <c r="K4252" s="14"/>
      <c r="L4252" s="14"/>
      <c r="M4252" s="14" t="s">
        <v>3249</v>
      </c>
      <c r="N4252" s="14" t="s">
        <v>3250</v>
      </c>
      <c r="O4252" s="14" t="s">
        <v>3251</v>
      </c>
      <c r="P4252" s="14" t="str">
        <f>HYPERLINK("https://ceds.ed.gov/cedselementdetails.aspx?termid=18728")</f>
        <v>https://ceds.ed.gov/cedselementdetails.aspx?termid=18728</v>
      </c>
      <c r="Q4252" s="14" t="str">
        <f>HYPERLINK("https://ceds.ed.gov/elementComment.aspx?elementName=Credential Definition Minimum Age &amp;elementID=18728", "Click here to submit comment")</f>
        <v>Click here to submit comment</v>
      </c>
      <c r="R4252" s="14">
        <v>51900</v>
      </c>
    </row>
    <row r="4253" spans="1:18" ht="60" x14ac:dyDescent="0.25">
      <c r="A4253" s="14" t="s">
        <v>9180</v>
      </c>
      <c r="B4253" s="14" t="s">
        <v>9186</v>
      </c>
      <c r="C4253" s="14"/>
      <c r="D4253" s="14" t="s">
        <v>8531</v>
      </c>
      <c r="E4253" s="14" t="s">
        <v>3257</v>
      </c>
      <c r="F4253" s="14" t="s">
        <v>3258</v>
      </c>
      <c r="G4253" s="14" t="s">
        <v>3259</v>
      </c>
      <c r="H4253" s="14"/>
      <c r="I4253" s="14"/>
      <c r="J4253" s="14" t="s">
        <v>3260</v>
      </c>
      <c r="K4253" s="14"/>
      <c r="L4253" s="14"/>
      <c r="M4253" s="14" t="s">
        <v>3261</v>
      </c>
      <c r="N4253" s="14" t="s">
        <v>3262</v>
      </c>
      <c r="O4253" s="14" t="s">
        <v>3263</v>
      </c>
      <c r="P4253" s="14" t="str">
        <f>HYPERLINK("https://ceds.ed.gov/cedselementdetails.aspx?termid=18723")</f>
        <v>https://ceds.ed.gov/cedselementdetails.aspx?termid=18723</v>
      </c>
      <c r="Q4253" s="14" t="str">
        <f>HYPERLINK("https://ceds.ed.gov/elementComment.aspx?elementName=Credential Definition NAICS Industry Type &amp;elementID=18723", "Click here to submit comment")</f>
        <v>Click here to submit comment</v>
      </c>
      <c r="R4253" s="14">
        <v>51902</v>
      </c>
    </row>
    <row r="4254" spans="1:18" ht="60" x14ac:dyDescent="0.25">
      <c r="A4254" s="14" t="s">
        <v>9180</v>
      </c>
      <c r="B4254" s="14" t="s">
        <v>9186</v>
      </c>
      <c r="C4254" s="14"/>
      <c r="D4254" s="14" t="s">
        <v>8531</v>
      </c>
      <c r="E4254" s="14" t="s">
        <v>3280</v>
      </c>
      <c r="F4254" s="14" t="s">
        <v>3281</v>
      </c>
      <c r="G4254" s="8" t="s">
        <v>9191</v>
      </c>
      <c r="H4254" s="14"/>
      <c r="I4254" s="14"/>
      <c r="J4254" s="14"/>
      <c r="K4254" s="14"/>
      <c r="L4254" s="14"/>
      <c r="M4254" s="14" t="s">
        <v>3283</v>
      </c>
      <c r="N4254" s="14" t="s">
        <v>3284</v>
      </c>
      <c r="O4254" s="14" t="s">
        <v>3285</v>
      </c>
      <c r="P4254" s="14" t="str">
        <f>HYPERLINK("https://ceds.ed.gov/cedselementdetails.aspx?termid=18734")</f>
        <v>https://ceds.ed.gov/cedselementdetails.aspx?termid=18734</v>
      </c>
      <c r="Q4254" s="14" t="str">
        <f>HYPERLINK("https://ceds.ed.gov/elementComment.aspx?elementName=Credential Definition Verification Type &amp;elementID=18734", "Click here to submit comment")</f>
        <v>Click here to submit comment</v>
      </c>
      <c r="R4254" s="14">
        <v>51908</v>
      </c>
    </row>
    <row r="4255" spans="1:18" ht="45" x14ac:dyDescent="0.25">
      <c r="A4255" s="14" t="s">
        <v>9180</v>
      </c>
      <c r="B4255" s="14" t="s">
        <v>9186</v>
      </c>
      <c r="C4255" s="14"/>
      <c r="D4255" s="14" t="s">
        <v>8531</v>
      </c>
      <c r="E4255" s="14" t="s">
        <v>3225</v>
      </c>
      <c r="F4255" s="14" t="s">
        <v>3226</v>
      </c>
      <c r="G4255" s="14" t="s">
        <v>37</v>
      </c>
      <c r="H4255" s="14"/>
      <c r="I4255" s="14"/>
      <c r="J4255" s="14" t="s">
        <v>3227</v>
      </c>
      <c r="K4255" s="14"/>
      <c r="L4255" s="6" t="s">
        <v>3228</v>
      </c>
      <c r="M4255" s="14" t="s">
        <v>3229</v>
      </c>
      <c r="N4255" s="14" t="s">
        <v>3230</v>
      </c>
      <c r="O4255" s="14" t="s">
        <v>3231</v>
      </c>
      <c r="P4255" s="14" t="str">
        <f>HYPERLINK("https://ceds.ed.gov/cedselementdetails.aspx?termid=18724")</f>
        <v>https://ceds.ed.gov/cedselementdetails.aspx?termid=18724</v>
      </c>
      <c r="Q4255" s="14" t="str">
        <f>HYPERLINK("https://ceds.ed.gov/elementComment.aspx?elementName=Credential Definition Jurisdiction Region &amp;elementID=18724", "Click here to submit comment")</f>
        <v>Click here to submit comment</v>
      </c>
      <c r="R4255" s="14">
        <v>51896</v>
      </c>
    </row>
    <row r="4256" spans="1:18" ht="45" x14ac:dyDescent="0.25">
      <c r="A4256" s="14" t="s">
        <v>9180</v>
      </c>
      <c r="B4256" s="14" t="s">
        <v>9186</v>
      </c>
      <c r="C4256" s="14"/>
      <c r="D4256" s="14" t="s">
        <v>8531</v>
      </c>
      <c r="E4256" s="14" t="s">
        <v>3232</v>
      </c>
      <c r="F4256" s="14" t="s">
        <v>3233</v>
      </c>
      <c r="G4256" s="14" t="s">
        <v>37</v>
      </c>
      <c r="H4256" s="14"/>
      <c r="I4256" s="14"/>
      <c r="J4256" s="14" t="s">
        <v>3227</v>
      </c>
      <c r="K4256" s="14"/>
      <c r="L4256" s="6" t="s">
        <v>3228</v>
      </c>
      <c r="M4256" s="14" t="s">
        <v>3234</v>
      </c>
      <c r="N4256" s="14" t="s">
        <v>3235</v>
      </c>
      <c r="O4256" s="14" t="s">
        <v>3236</v>
      </c>
      <c r="P4256" s="14" t="str">
        <f>HYPERLINK("https://ceds.ed.gov/cedselementdetails.aspx?termid=18725")</f>
        <v>https://ceds.ed.gov/cedselementdetails.aspx?termid=18725</v>
      </c>
      <c r="Q4256" s="14" t="str">
        <f>HYPERLINK("https://ceds.ed.gov/elementComment.aspx?elementName=Credential Definition Jurisdiction Region Exception &amp;elementID=18725", "Click here to submit comment")</f>
        <v>Click here to submit comment</v>
      </c>
      <c r="R4256" s="14">
        <v>51897</v>
      </c>
    </row>
    <row r="4257" spans="1:18" ht="45" x14ac:dyDescent="0.25">
      <c r="A4257" s="14" t="s">
        <v>9180</v>
      </c>
      <c r="B4257" s="14" t="s">
        <v>9186</v>
      </c>
      <c r="C4257" s="14"/>
      <c r="D4257" s="14" t="s">
        <v>8531</v>
      </c>
      <c r="E4257" s="14" t="s">
        <v>3237</v>
      </c>
      <c r="F4257" s="14" t="s">
        <v>3238</v>
      </c>
      <c r="G4257" s="14" t="s">
        <v>37</v>
      </c>
      <c r="H4257" s="14"/>
      <c r="I4257" s="14"/>
      <c r="J4257" s="14" t="s">
        <v>382</v>
      </c>
      <c r="K4257" s="14"/>
      <c r="L4257" s="14"/>
      <c r="M4257" s="14" t="s">
        <v>3239</v>
      </c>
      <c r="N4257" s="14" t="s">
        <v>3240</v>
      </c>
      <c r="O4257" s="14" t="s">
        <v>3241</v>
      </c>
      <c r="P4257" s="14" t="str">
        <f>HYPERLINK("https://ceds.ed.gov/cedselementdetails.aspx?termid=18726")</f>
        <v>https://ceds.ed.gov/cedselementdetails.aspx?termid=18726</v>
      </c>
      <c r="Q4257" s="14" t="str">
        <f>HYPERLINK("https://ceds.ed.gov/elementComment.aspx?elementName=Credential Definition Keywords &amp;elementID=18726", "Click here to submit comment")</f>
        <v>Click here to submit comment</v>
      </c>
      <c r="R4257" s="14">
        <v>51898</v>
      </c>
    </row>
    <row r="4258" spans="1:18" ht="45" x14ac:dyDescent="0.25">
      <c r="A4258" s="14" t="s">
        <v>9180</v>
      </c>
      <c r="B4258" s="14" t="s">
        <v>9186</v>
      </c>
      <c r="C4258" s="14"/>
      <c r="D4258" s="14" t="s">
        <v>8531</v>
      </c>
      <c r="E4258" s="14" t="s">
        <v>3275</v>
      </c>
      <c r="F4258" s="14" t="s">
        <v>3276</v>
      </c>
      <c r="G4258" s="14" t="s">
        <v>37</v>
      </c>
      <c r="H4258" s="14"/>
      <c r="I4258" s="14"/>
      <c r="J4258" s="14" t="s">
        <v>382</v>
      </c>
      <c r="K4258" s="14"/>
      <c r="L4258" s="14"/>
      <c r="M4258" s="14" t="s">
        <v>3277</v>
      </c>
      <c r="N4258" s="14" t="s">
        <v>3278</v>
      </c>
      <c r="O4258" s="14" t="s">
        <v>3279</v>
      </c>
      <c r="P4258" s="14" t="str">
        <f>HYPERLINK("https://ceds.ed.gov/cedselementdetails.aspx?termid=18733")</f>
        <v>https://ceds.ed.gov/cedselementdetails.aspx?termid=18733</v>
      </c>
      <c r="Q4258" s="14" t="str">
        <f>HYPERLINK("https://ceds.ed.gov/elementComment.aspx?elementName=Credential Definition Validation Method Description &amp;elementID=18733", "Click here to submit comment")</f>
        <v>Click here to submit comment</v>
      </c>
      <c r="R4258" s="14">
        <v>51907</v>
      </c>
    </row>
    <row r="4259" spans="1:18" ht="60" x14ac:dyDescent="0.25">
      <c r="A4259" s="14" t="s">
        <v>9180</v>
      </c>
      <c r="B4259" s="14" t="s">
        <v>9186</v>
      </c>
      <c r="C4259" s="14"/>
      <c r="D4259" s="14" t="s">
        <v>8531</v>
      </c>
      <c r="E4259" s="14" t="s">
        <v>4006</v>
      </c>
      <c r="F4259" s="14" t="s">
        <v>4007</v>
      </c>
      <c r="G4259" s="14" t="s">
        <v>3259</v>
      </c>
      <c r="H4259" s="14"/>
      <c r="I4259" s="14"/>
      <c r="J4259" s="14" t="s">
        <v>3260</v>
      </c>
      <c r="K4259" s="14"/>
      <c r="L4259" s="14"/>
      <c r="M4259" s="14" t="s">
        <v>4009</v>
      </c>
      <c r="N4259" s="14"/>
      <c r="O4259" s="14" t="s">
        <v>4010</v>
      </c>
      <c r="P4259" s="14" t="str">
        <f>HYPERLINK("https://ceds.ed.gov/cedselementdetails.aspx?termid=18070")</f>
        <v>https://ceds.ed.gov/cedselementdetails.aspx?termid=18070</v>
      </c>
      <c r="Q4259" s="14" t="str">
        <f>HYPERLINK("https://ceds.ed.gov/elementComment.aspx?elementName=Employment NAICS Code &amp;elementID=18070", "Click here to submit comment")</f>
        <v>Click here to submit comment</v>
      </c>
      <c r="R4259" s="14">
        <v>51810</v>
      </c>
    </row>
    <row r="4260" spans="1:18" ht="360" x14ac:dyDescent="0.25">
      <c r="A4260" s="14" t="s">
        <v>9180</v>
      </c>
      <c r="B4260" s="14" t="s">
        <v>9186</v>
      </c>
      <c r="C4260" s="14"/>
      <c r="D4260" s="14" t="s">
        <v>8531</v>
      </c>
      <c r="E4260" s="14" t="s">
        <v>2182</v>
      </c>
      <c r="F4260" s="14" t="s">
        <v>2183</v>
      </c>
      <c r="G4260" s="8" t="s">
        <v>8942</v>
      </c>
      <c r="H4260" s="14"/>
      <c r="I4260" s="14"/>
      <c r="J4260" s="14"/>
      <c r="K4260" s="14"/>
      <c r="L4260" s="14" t="s">
        <v>2186</v>
      </c>
      <c r="M4260" s="14" t="s">
        <v>2187</v>
      </c>
      <c r="N4260" s="14"/>
      <c r="O4260" s="14" t="s">
        <v>2188</v>
      </c>
      <c r="P4260" s="14" t="str">
        <f>HYPERLINK("https://ceds.ed.gov/cedselementdetails.aspx?termid=18254")</f>
        <v>https://ceds.ed.gov/cedselementdetails.aspx?termid=18254</v>
      </c>
      <c r="Q4260" s="14" t="str">
        <f>HYPERLINK("https://ceds.ed.gov/elementComment.aspx?elementName=Career Cluster &amp;elementID=18254", "Click here to submit comment")</f>
        <v>Click here to submit comment</v>
      </c>
      <c r="R4260" s="14">
        <v>51822</v>
      </c>
    </row>
    <row r="4261" spans="1:18" ht="75" x14ac:dyDescent="0.25">
      <c r="A4261" s="14" t="s">
        <v>9180</v>
      </c>
      <c r="B4261" s="14" t="s">
        <v>9186</v>
      </c>
      <c r="C4261" s="14"/>
      <c r="D4261" s="14" t="s">
        <v>8531</v>
      </c>
      <c r="E4261" s="14" t="s">
        <v>2365</v>
      </c>
      <c r="F4261" s="14" t="s">
        <v>2366</v>
      </c>
      <c r="G4261" s="14" t="s">
        <v>8526</v>
      </c>
      <c r="H4261" s="14" t="s">
        <v>48</v>
      </c>
      <c r="I4261" s="14"/>
      <c r="J4261" s="14"/>
      <c r="K4261" s="14"/>
      <c r="L4261" s="14"/>
      <c r="M4261" s="14" t="s">
        <v>2368</v>
      </c>
      <c r="N4261" s="14" t="s">
        <v>2369</v>
      </c>
      <c r="O4261" s="14" t="s">
        <v>2370</v>
      </c>
      <c r="P4261" s="14" t="str">
        <f>HYPERLINK("https://ceds.ed.gov/cedselementdetails.aspx?termid=17043")</f>
        <v>https://ceds.ed.gov/cedselementdetails.aspx?termid=17043</v>
      </c>
      <c r="Q4261" s="14" t="str">
        <f>HYPERLINK("https://ceds.ed.gov/elementComment.aspx?elementName=Classification of Instructional Program Code &amp;elementID=17043", "Click here to submit comment")</f>
        <v>Click here to submit comment</v>
      </c>
      <c r="R4261" s="14">
        <v>51770</v>
      </c>
    </row>
    <row r="4262" spans="1:18" ht="90" x14ac:dyDescent="0.25">
      <c r="A4262" s="14" t="s">
        <v>9180</v>
      </c>
      <c r="B4262" s="14" t="s">
        <v>9186</v>
      </c>
      <c r="C4262" s="14"/>
      <c r="D4262" s="14" t="s">
        <v>8531</v>
      </c>
      <c r="E4262" s="14" t="s">
        <v>2625</v>
      </c>
      <c r="F4262" s="14" t="s">
        <v>2626</v>
      </c>
      <c r="G4262" s="14" t="s">
        <v>37</v>
      </c>
      <c r="H4262" s="14"/>
      <c r="I4262" s="14"/>
      <c r="J4262" s="14" t="s">
        <v>57</v>
      </c>
      <c r="K4262" s="14"/>
      <c r="L4262" s="14" t="s">
        <v>153</v>
      </c>
      <c r="M4262" s="14" t="s">
        <v>2628</v>
      </c>
      <c r="N4262" s="14" t="s">
        <v>2629</v>
      </c>
      <c r="O4262" s="14" t="s">
        <v>2630</v>
      </c>
      <c r="P4262" s="14" t="str">
        <f>HYPERLINK("https://ceds.ed.gov/cedselementdetails.aspx?termid=17874")</f>
        <v>https://ceds.ed.gov/cedselementdetails.aspx?termid=17874</v>
      </c>
      <c r="Q4262" s="14" t="str">
        <f>HYPERLINK("https://ceds.ed.gov/elementComment.aspx?elementName=Competency Definition URL &amp;elementID=17874", "Click here to submit comment")</f>
        <v>Click here to submit comment</v>
      </c>
      <c r="R4262" s="14">
        <v>51802</v>
      </c>
    </row>
    <row r="4263" spans="1:18" ht="60" x14ac:dyDescent="0.25">
      <c r="A4263" s="14" t="s">
        <v>9180</v>
      </c>
      <c r="B4263" s="14" t="s">
        <v>9186</v>
      </c>
      <c r="C4263" s="14"/>
      <c r="D4263" s="14" t="s">
        <v>8531</v>
      </c>
      <c r="E4263" s="14" t="s">
        <v>6492</v>
      </c>
      <c r="F4263" s="14" t="s">
        <v>6493</v>
      </c>
      <c r="G4263" s="14" t="s">
        <v>37</v>
      </c>
      <c r="H4263" s="14"/>
      <c r="I4263" s="14"/>
      <c r="J4263" s="14" t="s">
        <v>6494</v>
      </c>
      <c r="K4263" s="14"/>
      <c r="L4263" s="6" t="s">
        <v>6495</v>
      </c>
      <c r="M4263" s="14" t="s">
        <v>6496</v>
      </c>
      <c r="N4263" s="14"/>
      <c r="O4263" s="14" t="s">
        <v>6497</v>
      </c>
      <c r="P4263" s="14" t="str">
        <f>HYPERLINK("https://ceds.ed.gov/cedselementdetails.aspx?termid=18737")</f>
        <v>https://ceds.ed.gov/cedselementdetails.aspx?termid=18737</v>
      </c>
      <c r="Q4263" s="14" t="str">
        <f>HYPERLINK("https://ceds.ed.gov/elementComment.aspx?elementName=O*NET-SOC Occupation Type &amp;elementID=18737", "Click here to submit comment")</f>
        <v>Click here to submit comment</v>
      </c>
      <c r="R4263" s="14">
        <v>51973</v>
      </c>
    </row>
    <row r="4264" spans="1:18" ht="60" x14ac:dyDescent="0.25">
      <c r="A4264" s="14" t="s">
        <v>9180</v>
      </c>
      <c r="B4264" s="14" t="s">
        <v>9186</v>
      </c>
      <c r="C4264" s="14"/>
      <c r="D4264" s="14" t="s">
        <v>8531</v>
      </c>
      <c r="E4264" s="14" t="s">
        <v>3301</v>
      </c>
      <c r="F4264" s="14" t="s">
        <v>3302</v>
      </c>
      <c r="G4264" s="14" t="s">
        <v>37</v>
      </c>
      <c r="H4264" s="14"/>
      <c r="I4264" s="14"/>
      <c r="J4264" s="14" t="s">
        <v>57</v>
      </c>
      <c r="K4264" s="14"/>
      <c r="L4264" s="14" t="s">
        <v>3303</v>
      </c>
      <c r="M4264" s="14" t="s">
        <v>3304</v>
      </c>
      <c r="N4264" s="14"/>
      <c r="O4264" s="14" t="s">
        <v>3305</v>
      </c>
      <c r="P4264" s="14" t="str">
        <f>HYPERLINK("https://ceds.ed.gov/cedselementdetails.aspx?termid=17894")</f>
        <v>https://ceds.ed.gov/cedselementdetails.aspx?termid=17894</v>
      </c>
      <c r="Q4264" s="14" t="str">
        <f>HYPERLINK("https://ceds.ed.gov/elementComment.aspx?elementName=Credential Image URL &amp;elementID=17894", "Click here to submit comment")</f>
        <v>Click here to submit comment</v>
      </c>
      <c r="R4264" s="14">
        <v>51164</v>
      </c>
    </row>
    <row r="4265" spans="1:18" ht="75" x14ac:dyDescent="0.25">
      <c r="A4265" s="14" t="s">
        <v>9180</v>
      </c>
      <c r="B4265" s="14" t="s">
        <v>9186</v>
      </c>
      <c r="C4265" s="14"/>
      <c r="D4265" s="14" t="s">
        <v>8531</v>
      </c>
      <c r="E4265" s="14" t="s">
        <v>3190</v>
      </c>
      <c r="F4265" s="14" t="s">
        <v>3191</v>
      </c>
      <c r="G4265" s="14" t="s">
        <v>37</v>
      </c>
      <c r="H4265" s="14"/>
      <c r="I4265" s="14"/>
      <c r="J4265" s="14" t="s">
        <v>135</v>
      </c>
      <c r="K4265" s="14"/>
      <c r="L4265" s="14" t="s">
        <v>3192</v>
      </c>
      <c r="M4265" s="14" t="s">
        <v>3193</v>
      </c>
      <c r="N4265" s="14"/>
      <c r="O4265" s="14" t="s">
        <v>3194</v>
      </c>
      <c r="P4265" s="14" t="str">
        <f>HYPERLINK("https://ceds.ed.gov/cedselementdetails.aspx?termid=18891")</f>
        <v>https://ceds.ed.gov/cedselementdetails.aspx?termid=18891</v>
      </c>
      <c r="Q4265" s="14" t="str">
        <f>HYPERLINK("https://ceds.ed.gov/elementComment.aspx?elementName=Credential Definition Date Effective &amp;elementID=18891", "Click here to submit comment")</f>
        <v>Click here to submit comment</v>
      </c>
      <c r="R4265" s="14">
        <v>52186</v>
      </c>
    </row>
    <row r="4266" spans="1:18" ht="409.5" x14ac:dyDescent="0.25">
      <c r="A4266" s="14" t="s">
        <v>9180</v>
      </c>
      <c r="B4266" s="14" t="s">
        <v>9186</v>
      </c>
      <c r="C4266" s="14"/>
      <c r="D4266" s="14" t="s">
        <v>8531</v>
      </c>
      <c r="E4266" s="14" t="s">
        <v>3409</v>
      </c>
      <c r="F4266" s="14" t="s">
        <v>3410</v>
      </c>
      <c r="G4266" s="8" t="s">
        <v>9192</v>
      </c>
      <c r="H4266" s="14"/>
      <c r="I4266" s="14"/>
      <c r="J4266" s="14"/>
      <c r="K4266" s="14"/>
      <c r="L4266" s="6" t="s">
        <v>3412</v>
      </c>
      <c r="M4266" s="14" t="s">
        <v>3413</v>
      </c>
      <c r="N4266" s="14" t="s">
        <v>3414</v>
      </c>
      <c r="O4266" s="14" t="s">
        <v>3415</v>
      </c>
      <c r="P4266" s="14" t="str">
        <f>HYPERLINK("https://ceds.ed.gov/cedselementdetails.aspx?termid=18894")</f>
        <v>https://ceds.ed.gov/cedselementdetails.aspx?termid=18894</v>
      </c>
      <c r="Q4266" s="14" t="str">
        <f>HYPERLINK("https://ceds.ed.gov/elementComment.aspx?elementName=CTDL Audience Level Type &amp;elementID=18894", "Click here to submit comment")</f>
        <v>Click here to submit comment</v>
      </c>
      <c r="R4266" s="14">
        <v>52187</v>
      </c>
    </row>
    <row r="4267" spans="1:18" ht="195" x14ac:dyDescent="0.25">
      <c r="A4267" s="14" t="s">
        <v>9180</v>
      </c>
      <c r="B4267" s="14" t="s">
        <v>9193</v>
      </c>
      <c r="C4267" s="14"/>
      <c r="D4267" s="14" t="s">
        <v>8531</v>
      </c>
      <c r="E4267" s="14" t="s">
        <v>3206</v>
      </c>
      <c r="F4267" s="14" t="s">
        <v>3207</v>
      </c>
      <c r="G4267" s="14" t="s">
        <v>37</v>
      </c>
      <c r="H4267" s="14"/>
      <c r="I4267" s="14"/>
      <c r="J4267" s="14" t="s">
        <v>57</v>
      </c>
      <c r="K4267" s="14"/>
      <c r="L4267" s="14" t="s">
        <v>3209</v>
      </c>
      <c r="M4267" s="14" t="s">
        <v>3210</v>
      </c>
      <c r="N4267" s="14" t="s">
        <v>3211</v>
      </c>
      <c r="O4267" s="14" t="s">
        <v>3212</v>
      </c>
      <c r="P4267" s="14" t="str">
        <f>HYPERLINK("https://ceds.ed.gov/cedselementdetails.aspx?termid=18639")</f>
        <v>https://ceds.ed.gov/cedselementdetails.aspx?termid=18639</v>
      </c>
      <c r="Q4267" s="14" t="str">
        <f>HYPERLINK("https://ceds.ed.gov/elementComment.aspx?elementName=Credential Definition Identifier &amp;elementID=18639", "Click here to submit comment")</f>
        <v>Click here to submit comment</v>
      </c>
      <c r="R4267" s="14">
        <v>52161</v>
      </c>
    </row>
    <row r="4268" spans="1:18" ht="150" x14ac:dyDescent="0.25">
      <c r="A4268" s="14" t="s">
        <v>9180</v>
      </c>
      <c r="B4268" s="14" t="s">
        <v>9193</v>
      </c>
      <c r="C4268" s="14"/>
      <c r="D4268" s="14" t="s">
        <v>8531</v>
      </c>
      <c r="E4268" s="14" t="s">
        <v>3213</v>
      </c>
      <c r="F4268" s="14" t="s">
        <v>3214</v>
      </c>
      <c r="G4268" s="8" t="s">
        <v>9187</v>
      </c>
      <c r="H4268" s="14"/>
      <c r="I4268" s="14"/>
      <c r="J4268" s="14"/>
      <c r="K4268" s="14"/>
      <c r="L4268" s="14"/>
      <c r="M4268" s="14" t="s">
        <v>3216</v>
      </c>
      <c r="N4268" s="14" t="s">
        <v>3217</v>
      </c>
      <c r="O4268" s="14" t="s">
        <v>3218</v>
      </c>
      <c r="P4268" s="14" t="str">
        <f>HYPERLINK("https://ceds.ed.gov/cedselementdetails.aspx?termid=18720")</f>
        <v>https://ceds.ed.gov/cedselementdetails.aspx?termid=18720</v>
      </c>
      <c r="Q4268" s="14" t="str">
        <f>HYPERLINK("https://ceds.ed.gov/elementComment.aspx?elementName=Credential Definition Identifier System &amp;elementID=18720", "Click here to submit comment")</f>
        <v>Click here to submit comment</v>
      </c>
      <c r="R4268" s="14">
        <v>52162</v>
      </c>
    </row>
    <row r="4269" spans="1:18" ht="255" x14ac:dyDescent="0.25">
      <c r="A4269" s="14" t="s">
        <v>9180</v>
      </c>
      <c r="B4269" s="14" t="s">
        <v>9193</v>
      </c>
      <c r="C4269" s="14"/>
      <c r="D4269" s="14" t="s">
        <v>8531</v>
      </c>
      <c r="E4269" s="14" t="s">
        <v>6524</v>
      </c>
      <c r="F4269" s="14" t="s">
        <v>6525</v>
      </c>
      <c r="G4269" s="8" t="s">
        <v>8534</v>
      </c>
      <c r="H4269" s="14" t="s">
        <v>125</v>
      </c>
      <c r="I4269" s="14"/>
      <c r="J4269" s="14"/>
      <c r="K4269" s="14"/>
      <c r="L4269" s="14"/>
      <c r="M4269" s="14" t="s">
        <v>6528</v>
      </c>
      <c r="N4269" s="14"/>
      <c r="O4269" s="14" t="s">
        <v>6529</v>
      </c>
      <c r="P4269" s="14" t="str">
        <f>HYPERLINK("https://ceds.ed.gov/cedselementdetails.aspx?termid=17827")</f>
        <v>https://ceds.ed.gov/cedselementdetails.aspx?termid=17827</v>
      </c>
      <c r="Q4269" s="14" t="str">
        <f>HYPERLINK("https://ceds.ed.gov/elementComment.aspx?elementName=Organization Identification System &amp;elementID=17827", "Click here to submit comment")</f>
        <v>Click here to submit comment</v>
      </c>
      <c r="R4269" s="14">
        <v>52163</v>
      </c>
    </row>
    <row r="4270" spans="1:18" ht="105" x14ac:dyDescent="0.25">
      <c r="A4270" s="19" t="s">
        <v>9180</v>
      </c>
      <c r="B4270" s="19" t="s">
        <v>9193</v>
      </c>
      <c r="C4270" s="19"/>
      <c r="D4270" s="19" t="s">
        <v>8531</v>
      </c>
      <c r="E4270" s="19" t="s">
        <v>6530</v>
      </c>
      <c r="F4270" s="19" t="s">
        <v>6531</v>
      </c>
      <c r="G4270" s="19" t="s">
        <v>37</v>
      </c>
      <c r="H4270" s="19" t="s">
        <v>125</v>
      </c>
      <c r="I4270" s="19"/>
      <c r="J4270" s="19" t="s">
        <v>149</v>
      </c>
      <c r="K4270" s="19"/>
      <c r="L4270" s="14" t="s">
        <v>150</v>
      </c>
      <c r="M4270" s="19" t="s">
        <v>6533</v>
      </c>
      <c r="N4270" s="19"/>
      <c r="O4270" s="19" t="s">
        <v>6534</v>
      </c>
      <c r="P4270" s="19" t="str">
        <f>HYPERLINK("https://ceds.ed.gov/cedselementdetails.aspx?termid=17825")</f>
        <v>https://ceds.ed.gov/cedselementdetails.aspx?termid=17825</v>
      </c>
      <c r="Q4270" s="19" t="str">
        <f>HYPERLINK("https://ceds.ed.gov/elementComment.aspx?elementName=Organization Identifier &amp;elementID=17825", "Click here to submit comment")</f>
        <v>Click here to submit comment</v>
      </c>
      <c r="R4270" s="19">
        <v>52164</v>
      </c>
    </row>
    <row r="4271" spans="1:18" x14ac:dyDescent="0.25">
      <c r="A4271" s="20"/>
      <c r="B4271" s="20"/>
      <c r="C4271" s="20"/>
      <c r="D4271" s="20"/>
      <c r="E4271" s="20"/>
      <c r="F4271" s="20"/>
      <c r="G4271" s="20"/>
      <c r="H4271" s="20"/>
      <c r="I4271" s="20"/>
      <c r="J4271" s="20"/>
      <c r="K4271" s="20"/>
      <c r="L4271" s="14"/>
      <c r="M4271" s="20"/>
      <c r="N4271" s="20"/>
      <c r="O4271" s="20"/>
      <c r="P4271" s="20"/>
      <c r="Q4271" s="20"/>
      <c r="R4271" s="20"/>
    </row>
    <row r="4272" spans="1:18" ht="90" x14ac:dyDescent="0.25">
      <c r="A4272" s="21"/>
      <c r="B4272" s="21"/>
      <c r="C4272" s="21"/>
      <c r="D4272" s="21"/>
      <c r="E4272" s="21"/>
      <c r="F4272" s="21"/>
      <c r="G4272" s="21"/>
      <c r="H4272" s="21"/>
      <c r="I4272" s="21"/>
      <c r="J4272" s="21"/>
      <c r="K4272" s="21"/>
      <c r="L4272" s="14" t="s">
        <v>153</v>
      </c>
      <c r="M4272" s="21"/>
      <c r="N4272" s="21"/>
      <c r="O4272" s="21"/>
      <c r="P4272" s="21"/>
      <c r="Q4272" s="21"/>
      <c r="R4272" s="21"/>
    </row>
    <row r="4273" spans="1:18" ht="75" x14ac:dyDescent="0.25">
      <c r="A4273" s="14" t="s">
        <v>9180</v>
      </c>
      <c r="B4273" s="14" t="s">
        <v>9193</v>
      </c>
      <c r="C4273" s="14"/>
      <c r="D4273" s="14" t="s">
        <v>8531</v>
      </c>
      <c r="E4273" s="14" t="s">
        <v>3315</v>
      </c>
      <c r="F4273" s="14" t="s">
        <v>3316</v>
      </c>
      <c r="G4273" s="14" t="s">
        <v>37</v>
      </c>
      <c r="H4273" s="14"/>
      <c r="I4273" s="14"/>
      <c r="J4273" s="14" t="s">
        <v>135</v>
      </c>
      <c r="K4273" s="14"/>
      <c r="L4273" s="14" t="s">
        <v>160</v>
      </c>
      <c r="M4273" s="14" t="s">
        <v>3318</v>
      </c>
      <c r="N4273" s="14"/>
      <c r="O4273" s="14" t="s">
        <v>3319</v>
      </c>
      <c r="P4273" s="14" t="str">
        <f>HYPERLINK("https://ceds.ed.gov/cedselementdetails.aspx?termid=18893")</f>
        <v>https://ceds.ed.gov/cedselementdetails.aspx?termid=18893</v>
      </c>
      <c r="Q4273" s="14" t="str">
        <f>HYPERLINK("https://ceds.ed.gov/elementComment.aspx?elementName=Credential Offered End Date &amp;elementID=18893", "Click here to submit comment")</f>
        <v>Click here to submit comment</v>
      </c>
      <c r="R4273" s="14">
        <v>52189</v>
      </c>
    </row>
    <row r="4274" spans="1:18" ht="45" x14ac:dyDescent="0.25">
      <c r="A4274" s="14" t="s">
        <v>9180</v>
      </c>
      <c r="B4274" s="14" t="s">
        <v>9193</v>
      </c>
      <c r="C4274" s="14"/>
      <c r="D4274" s="14" t="s">
        <v>8531</v>
      </c>
      <c r="E4274" s="14" t="s">
        <v>3320</v>
      </c>
      <c r="F4274" s="14" t="s">
        <v>3321</v>
      </c>
      <c r="G4274" s="14" t="s">
        <v>37</v>
      </c>
      <c r="H4274" s="14"/>
      <c r="I4274" s="14"/>
      <c r="J4274" s="14" t="s">
        <v>135</v>
      </c>
      <c r="K4274" s="14"/>
      <c r="L4274" s="14"/>
      <c r="M4274" s="14" t="s">
        <v>3322</v>
      </c>
      <c r="N4274" s="14"/>
      <c r="O4274" s="14" t="s">
        <v>3323</v>
      </c>
      <c r="P4274" s="14" t="str">
        <f>HYPERLINK("https://ceds.ed.gov/cedselementdetails.aspx?termid=18892")</f>
        <v>https://ceds.ed.gov/cedselementdetails.aspx?termid=18892</v>
      </c>
      <c r="Q4274" s="14" t="str">
        <f>HYPERLINK("https://ceds.ed.gov/elementComment.aspx?elementName=Credential Offered Start Date &amp;elementID=18892", "Click here to submit comment")</f>
        <v>Click here to submit comment</v>
      </c>
      <c r="R4274" s="14">
        <v>52190</v>
      </c>
    </row>
    <row r="4275" spans="1:18" ht="45" x14ac:dyDescent="0.25">
      <c r="A4275" s="14" t="s">
        <v>9194</v>
      </c>
      <c r="B4275" s="14" t="s">
        <v>9195</v>
      </c>
      <c r="C4275" s="14"/>
      <c r="D4275" s="14" t="s">
        <v>8531</v>
      </c>
      <c r="E4275" s="14" t="s">
        <v>2659</v>
      </c>
      <c r="F4275" s="14" t="s">
        <v>2660</v>
      </c>
      <c r="G4275" s="14" t="s">
        <v>37</v>
      </c>
      <c r="H4275" s="14" t="s">
        <v>908</v>
      </c>
      <c r="I4275" s="14"/>
      <c r="J4275" s="14" t="s">
        <v>57</v>
      </c>
      <c r="K4275" s="14"/>
      <c r="L4275" s="14"/>
      <c r="M4275" s="14" t="s">
        <v>2662</v>
      </c>
      <c r="N4275" s="14" t="s">
        <v>2663</v>
      </c>
      <c r="O4275" s="14" t="s">
        <v>2664</v>
      </c>
      <c r="P4275" s="14" t="str">
        <f>HYPERLINK("https://ceds.ed.gov/cedselementdetails.aspx?termid=17670")</f>
        <v>https://ceds.ed.gov/cedselementdetails.aspx?termid=17670</v>
      </c>
      <c r="Q4275" s="14" t="str">
        <f>HYPERLINK("https://ceds.ed.gov/elementComment.aspx?elementName=Competency Framework Identifier URI &amp;elementID=17670", "Click here to submit comment")</f>
        <v>Click here to submit comment</v>
      </c>
      <c r="R4275" s="14">
        <v>48228</v>
      </c>
    </row>
    <row r="4276" spans="1:18" ht="45" x14ac:dyDescent="0.25">
      <c r="A4276" s="14" t="s">
        <v>9194</v>
      </c>
      <c r="B4276" s="14" t="s">
        <v>9195</v>
      </c>
      <c r="C4276" s="14"/>
      <c r="D4276" s="14" t="s">
        <v>8531</v>
      </c>
      <c r="E4276" s="14" t="s">
        <v>2654</v>
      </c>
      <c r="F4276" s="14" t="s">
        <v>2655</v>
      </c>
      <c r="G4276" s="14" t="s">
        <v>37</v>
      </c>
      <c r="H4276" s="14"/>
      <c r="I4276" s="14"/>
      <c r="J4276" s="14" t="s">
        <v>129</v>
      </c>
      <c r="K4276" s="14"/>
      <c r="L4276" s="14"/>
      <c r="M4276" s="14" t="s">
        <v>2656</v>
      </c>
      <c r="N4276" s="14" t="s">
        <v>2657</v>
      </c>
      <c r="O4276" s="14" t="s">
        <v>2658</v>
      </c>
      <c r="P4276" s="14" t="str">
        <f>HYPERLINK("https://ceds.ed.gov/cedselementdetails.aspx?termid=17674")</f>
        <v>https://ceds.ed.gov/cedselementdetails.aspx?termid=17674</v>
      </c>
      <c r="Q4276" s="14" t="str">
        <f>HYPERLINK("https://ceds.ed.gov/elementComment.aspx?elementName=Competency Framework Description &amp;elementID=17674", "Click here to submit comment")</f>
        <v>Click here to submit comment</v>
      </c>
      <c r="R4276" s="14">
        <v>48232</v>
      </c>
    </row>
    <row r="4277" spans="1:18" ht="60" x14ac:dyDescent="0.25">
      <c r="A4277" s="14" t="s">
        <v>9194</v>
      </c>
      <c r="B4277" s="14" t="s">
        <v>9195</v>
      </c>
      <c r="C4277" s="14"/>
      <c r="D4277" s="14" t="s">
        <v>8531</v>
      </c>
      <c r="E4277" s="14" t="s">
        <v>2727</v>
      </c>
      <c r="F4277" s="14" t="s">
        <v>2728</v>
      </c>
      <c r="G4277" s="14" t="s">
        <v>37</v>
      </c>
      <c r="H4277" s="14"/>
      <c r="I4277" s="14"/>
      <c r="J4277" s="14" t="s">
        <v>135</v>
      </c>
      <c r="K4277" s="14"/>
      <c r="L4277" s="14"/>
      <c r="M4277" s="14" t="s">
        <v>2729</v>
      </c>
      <c r="N4277" s="14" t="s">
        <v>2730</v>
      </c>
      <c r="O4277" s="14" t="s">
        <v>2731</v>
      </c>
      <c r="P4277" s="14" t="str">
        <f>HYPERLINK("https://ceds.ed.gov/cedselementdetails.aspx?termid=17677")</f>
        <v>https://ceds.ed.gov/cedselementdetails.aspx?termid=17677</v>
      </c>
      <c r="Q4277" s="14" t="str">
        <f>HYPERLINK("https://ceds.ed.gov/elementComment.aspx?elementName=Competency Framework Valid Start Date &amp;elementID=17677", "Click here to submit comment")</f>
        <v>Click here to submit comment</v>
      </c>
      <c r="R4277" s="14">
        <v>48235</v>
      </c>
    </row>
    <row r="4278" spans="1:18" ht="75" x14ac:dyDescent="0.25">
      <c r="A4278" s="14" t="s">
        <v>9194</v>
      </c>
      <c r="B4278" s="14" t="s">
        <v>9195</v>
      </c>
      <c r="C4278" s="14"/>
      <c r="D4278" s="14" t="s">
        <v>8531</v>
      </c>
      <c r="E4278" s="14" t="s">
        <v>2722</v>
      </c>
      <c r="F4278" s="14" t="s">
        <v>2723</v>
      </c>
      <c r="G4278" s="14" t="s">
        <v>37</v>
      </c>
      <c r="H4278" s="14"/>
      <c r="I4278" s="14"/>
      <c r="J4278" s="14" t="s">
        <v>135</v>
      </c>
      <c r="K4278" s="14"/>
      <c r="L4278" s="14" t="s">
        <v>160</v>
      </c>
      <c r="M4278" s="14" t="s">
        <v>2724</v>
      </c>
      <c r="N4278" s="14" t="s">
        <v>2725</v>
      </c>
      <c r="O4278" s="14" t="s">
        <v>2726</v>
      </c>
      <c r="P4278" s="14" t="str">
        <f>HYPERLINK("https://ceds.ed.gov/cedselementdetails.aspx?termid=17678")</f>
        <v>https://ceds.ed.gov/cedselementdetails.aspx?termid=17678</v>
      </c>
      <c r="Q4278" s="14" t="str">
        <f>HYPERLINK("https://ceds.ed.gov/elementComment.aspx?elementName=Competency Framework Valid End Date &amp;elementID=17678", "Click here to submit comment")</f>
        <v>Click here to submit comment</v>
      </c>
      <c r="R4278" s="14">
        <v>48236</v>
      </c>
    </row>
    <row r="4279" spans="1:18" ht="60" x14ac:dyDescent="0.25">
      <c r="A4279" s="14" t="s">
        <v>9194</v>
      </c>
      <c r="B4279" s="14" t="s">
        <v>9195</v>
      </c>
      <c r="C4279" s="14"/>
      <c r="D4279" s="14" t="s">
        <v>8531</v>
      </c>
      <c r="E4279" s="14" t="s">
        <v>2665</v>
      </c>
      <c r="F4279" s="14" t="s">
        <v>2666</v>
      </c>
      <c r="G4279" s="14" t="s">
        <v>37</v>
      </c>
      <c r="H4279" s="14"/>
      <c r="I4279" s="14"/>
      <c r="J4279" s="14" t="s">
        <v>1675</v>
      </c>
      <c r="K4279" s="14"/>
      <c r="L4279" s="14"/>
      <c r="M4279" s="14" t="s">
        <v>2667</v>
      </c>
      <c r="N4279" s="14" t="s">
        <v>2668</v>
      </c>
      <c r="O4279" s="14" t="s">
        <v>2669</v>
      </c>
      <c r="P4279" s="14" t="str">
        <f>HYPERLINK("https://ceds.ed.gov/cedselementdetails.aspx?termid=17676")</f>
        <v>https://ceds.ed.gov/cedselementdetails.aspx?termid=17676</v>
      </c>
      <c r="Q4279" s="14" t="str">
        <f>HYPERLINK("https://ceds.ed.gov/elementComment.aspx?elementName=Competency Framework Jurisdiction &amp;elementID=17676", "Click here to submit comment")</f>
        <v>Click here to submit comment</v>
      </c>
      <c r="R4279" s="14">
        <v>48234</v>
      </c>
    </row>
    <row r="4280" spans="1:18" ht="45" x14ac:dyDescent="0.25">
      <c r="A4280" s="14" t="s">
        <v>9194</v>
      </c>
      <c r="B4280" s="14" t="s">
        <v>9195</v>
      </c>
      <c r="C4280" s="14"/>
      <c r="D4280" s="14" t="s">
        <v>8531</v>
      </c>
      <c r="E4280" s="14" t="s">
        <v>2712</v>
      </c>
      <c r="F4280" s="14" t="s">
        <v>2713</v>
      </c>
      <c r="G4280" s="14" t="s">
        <v>37</v>
      </c>
      <c r="H4280" s="14" t="s">
        <v>908</v>
      </c>
      <c r="I4280" s="14"/>
      <c r="J4280" s="14" t="s">
        <v>97</v>
      </c>
      <c r="K4280" s="14"/>
      <c r="L4280" s="14"/>
      <c r="M4280" s="14" t="s">
        <v>2714</v>
      </c>
      <c r="N4280" s="14" t="s">
        <v>2715</v>
      </c>
      <c r="O4280" s="14" t="s">
        <v>2716</v>
      </c>
      <c r="P4280" s="14" t="str">
        <f>HYPERLINK("https://ceds.ed.gov/cedselementdetails.aspx?termid=17679")</f>
        <v>https://ceds.ed.gov/cedselementdetails.aspx?termid=17679</v>
      </c>
      <c r="Q4280" s="14" t="str">
        <f>HYPERLINK("https://ceds.ed.gov/elementComment.aspx?elementName=Competency Framework Subject &amp;elementID=17679", "Click here to submit comment")</f>
        <v>Click here to submit comment</v>
      </c>
      <c r="R4280" s="14">
        <v>48237</v>
      </c>
    </row>
    <row r="4281" spans="1:18" ht="45" x14ac:dyDescent="0.25">
      <c r="A4281" s="14" t="s">
        <v>9194</v>
      </c>
      <c r="B4281" s="14" t="s">
        <v>9195</v>
      </c>
      <c r="C4281" s="14"/>
      <c r="D4281" s="14" t="s">
        <v>8531</v>
      </c>
      <c r="E4281" s="14" t="s">
        <v>2717</v>
      </c>
      <c r="F4281" s="14" t="s">
        <v>2718</v>
      </c>
      <c r="G4281" s="14" t="s">
        <v>37</v>
      </c>
      <c r="H4281" s="14" t="s">
        <v>908</v>
      </c>
      <c r="I4281" s="14"/>
      <c r="J4281" s="14" t="s">
        <v>1675</v>
      </c>
      <c r="K4281" s="14"/>
      <c r="L4281" s="14"/>
      <c r="M4281" s="14" t="s">
        <v>2719</v>
      </c>
      <c r="N4281" s="14" t="s">
        <v>2720</v>
      </c>
      <c r="O4281" s="14" t="s">
        <v>2721</v>
      </c>
      <c r="P4281" s="14" t="str">
        <f>HYPERLINK("https://ceds.ed.gov/cedselementdetails.aspx?termid=17671")</f>
        <v>https://ceds.ed.gov/cedselementdetails.aspx?termid=17671</v>
      </c>
      <c r="Q4281" s="14" t="str">
        <f>HYPERLINK("https://ceds.ed.gov/elementComment.aspx?elementName=Competency Framework Title &amp;elementID=17671", "Click here to submit comment")</f>
        <v>Click here to submit comment</v>
      </c>
      <c r="R4281" s="14">
        <v>48229</v>
      </c>
    </row>
    <row r="4282" spans="1:18" ht="45" x14ac:dyDescent="0.25">
      <c r="A4282" s="14" t="s">
        <v>9194</v>
      </c>
      <c r="B4282" s="14" t="s">
        <v>9195</v>
      </c>
      <c r="C4282" s="14"/>
      <c r="D4282" s="14" t="s">
        <v>8531</v>
      </c>
      <c r="E4282" s="14" t="s">
        <v>2732</v>
      </c>
      <c r="F4282" s="14" t="s">
        <v>2733</v>
      </c>
      <c r="G4282" s="14" t="s">
        <v>37</v>
      </c>
      <c r="H4282" s="14" t="s">
        <v>908</v>
      </c>
      <c r="I4282" s="14"/>
      <c r="J4282" s="14" t="s">
        <v>97</v>
      </c>
      <c r="K4282" s="14"/>
      <c r="L4282" s="14"/>
      <c r="M4282" s="14" t="s">
        <v>2734</v>
      </c>
      <c r="N4282" s="14" t="s">
        <v>2735</v>
      </c>
      <c r="O4282" s="14" t="s">
        <v>2736</v>
      </c>
      <c r="P4282" s="14" t="str">
        <f>HYPERLINK("https://ceds.ed.gov/cedselementdetails.aspx?termid=17672")</f>
        <v>https://ceds.ed.gov/cedselementdetails.aspx?termid=17672</v>
      </c>
      <c r="Q4282" s="14" t="str">
        <f>HYPERLINK("https://ceds.ed.gov/elementComment.aspx?elementName=Competency Framework Version &amp;elementID=17672", "Click here to submit comment")</f>
        <v>Click here to submit comment</v>
      </c>
      <c r="R4282" s="14">
        <v>48230</v>
      </c>
    </row>
    <row r="4283" spans="1:18" ht="90" x14ac:dyDescent="0.25">
      <c r="A4283" s="14" t="s">
        <v>9194</v>
      </c>
      <c r="B4283" s="14" t="s">
        <v>9195</v>
      </c>
      <c r="C4283" s="14"/>
      <c r="D4283" s="14" t="s">
        <v>8531</v>
      </c>
      <c r="E4283" s="14" t="s">
        <v>2670</v>
      </c>
      <c r="F4283" s="14" t="s">
        <v>2671</v>
      </c>
      <c r="G4283" s="14" t="s">
        <v>8527</v>
      </c>
      <c r="H4283" s="14"/>
      <c r="I4283" s="14" t="s">
        <v>195</v>
      </c>
      <c r="J4283" s="14"/>
      <c r="K4283" s="14" t="s">
        <v>1086</v>
      </c>
      <c r="L4283" s="6" t="s">
        <v>1087</v>
      </c>
      <c r="M4283" s="14" t="s">
        <v>2672</v>
      </c>
      <c r="N4283" s="14" t="s">
        <v>2673</v>
      </c>
      <c r="O4283" s="14" t="s">
        <v>2674</v>
      </c>
      <c r="P4283" s="14" t="str">
        <f>HYPERLINK("https://ceds.ed.gov/cedselementdetails.aspx?termid=17880")</f>
        <v>https://ceds.ed.gov/cedselementdetails.aspx?termid=17880</v>
      </c>
      <c r="Q4283" s="14" t="str">
        <f>HYPERLINK("https://ceds.ed.gov/elementComment.aspx?elementName=Competency Framework Language &amp;elementID=17880", "Click here to submit comment")</f>
        <v>Click here to submit comment</v>
      </c>
      <c r="R4283" s="14">
        <v>49331</v>
      </c>
    </row>
    <row r="4284" spans="1:18" ht="45" x14ac:dyDescent="0.25">
      <c r="A4284" s="14" t="s">
        <v>9194</v>
      </c>
      <c r="B4284" s="14" t="s">
        <v>9195</v>
      </c>
      <c r="C4284" s="14"/>
      <c r="D4284" s="14" t="s">
        <v>8531</v>
      </c>
      <c r="E4284" s="14" t="s">
        <v>2675</v>
      </c>
      <c r="F4284" s="14" t="s">
        <v>2676</v>
      </c>
      <c r="G4284" s="14" t="s">
        <v>37</v>
      </c>
      <c r="H4284" s="14"/>
      <c r="I4284" s="14"/>
      <c r="J4284" s="14" t="s">
        <v>129</v>
      </c>
      <c r="K4284" s="14"/>
      <c r="L4284" s="14"/>
      <c r="M4284" s="14" t="s">
        <v>2677</v>
      </c>
      <c r="N4284" s="14" t="s">
        <v>2678</v>
      </c>
      <c r="O4284" s="14" t="s">
        <v>2679</v>
      </c>
      <c r="P4284" s="14" t="str">
        <f>HYPERLINK("https://ceds.ed.gov/cedselementdetails.aspx?termid=17882")</f>
        <v>https://ceds.ed.gov/cedselementdetails.aspx?termid=17882</v>
      </c>
      <c r="Q4284" s="14" t="str">
        <f>HYPERLINK("https://ceds.ed.gov/elementComment.aspx?elementName=Competency Framework License &amp;elementID=17882", "Click here to submit comment")</f>
        <v>Click here to submit comment</v>
      </c>
      <c r="R4284" s="14">
        <v>49333</v>
      </c>
    </row>
    <row r="4285" spans="1:18" ht="75" x14ac:dyDescent="0.25">
      <c r="A4285" s="14" t="s">
        <v>9194</v>
      </c>
      <c r="B4285" s="14" t="s">
        <v>9195</v>
      </c>
      <c r="C4285" s="14"/>
      <c r="D4285" s="14" t="s">
        <v>8531</v>
      </c>
      <c r="E4285" s="14" t="s">
        <v>2647</v>
      </c>
      <c r="F4285" s="14" t="s">
        <v>2648</v>
      </c>
      <c r="G4285" s="14" t="s">
        <v>37</v>
      </c>
      <c r="H4285" s="14"/>
      <c r="I4285" s="14"/>
      <c r="J4285" s="14" t="s">
        <v>1675</v>
      </c>
      <c r="K4285" s="14"/>
      <c r="L4285" s="14" t="s">
        <v>2650</v>
      </c>
      <c r="M4285" s="14" t="s">
        <v>2651</v>
      </c>
      <c r="N4285" s="14" t="s">
        <v>2652</v>
      </c>
      <c r="O4285" s="14" t="s">
        <v>2653</v>
      </c>
      <c r="P4285" s="14" t="str">
        <f>HYPERLINK("https://ceds.ed.gov/cedselementdetails.aspx?termid=17673")</f>
        <v>https://ceds.ed.gov/cedselementdetails.aspx?termid=17673</v>
      </c>
      <c r="Q4285" s="14" t="str">
        <f>HYPERLINK("https://ceds.ed.gov/elementComment.aspx?elementName=Competency Framework Creator &amp;elementID=17673", "Click here to submit comment")</f>
        <v>Click here to submit comment</v>
      </c>
      <c r="R4285" s="14">
        <v>48231</v>
      </c>
    </row>
    <row r="4286" spans="1:18" ht="45" x14ac:dyDescent="0.25">
      <c r="A4286" s="14" t="s">
        <v>9194</v>
      </c>
      <c r="B4286" s="14" t="s">
        <v>9195</v>
      </c>
      <c r="C4286" s="14"/>
      <c r="D4286" s="14" t="s">
        <v>8531</v>
      </c>
      <c r="E4286" s="14" t="s">
        <v>2680</v>
      </c>
      <c r="F4286" s="14" t="s">
        <v>2681</v>
      </c>
      <c r="G4286" s="14" t="s">
        <v>37</v>
      </c>
      <c r="H4286" s="14"/>
      <c r="I4286" s="14"/>
      <c r="J4286" s="14" t="s">
        <v>135</v>
      </c>
      <c r="K4286" s="14"/>
      <c r="L4286" s="14" t="s">
        <v>2682</v>
      </c>
      <c r="M4286" s="14" t="s">
        <v>2683</v>
      </c>
      <c r="N4286" s="14" t="s">
        <v>2684</v>
      </c>
      <c r="O4286" s="14" t="s">
        <v>2685</v>
      </c>
      <c r="P4286" s="14" t="str">
        <f>HYPERLINK("https://ceds.ed.gov/cedselementdetails.aspx?termid=18548")</f>
        <v>https://ceds.ed.gov/cedselementdetails.aspx?termid=18548</v>
      </c>
      <c r="Q4286" s="14" t="str">
        <f>HYPERLINK("https://ceds.ed.gov/elementComment.aspx?elementName=Competency Framework Publication Date &amp;elementID=18548", "Click here to submit comment")</f>
        <v>Click here to submit comment</v>
      </c>
      <c r="R4286" s="14">
        <v>50901</v>
      </c>
    </row>
    <row r="4287" spans="1:18" ht="90" x14ac:dyDescent="0.25">
      <c r="A4287" s="14" t="s">
        <v>9194</v>
      </c>
      <c r="B4287" s="14" t="s">
        <v>9195</v>
      </c>
      <c r="C4287" s="14"/>
      <c r="D4287" s="14" t="s">
        <v>8531</v>
      </c>
      <c r="E4287" s="14" t="s">
        <v>2686</v>
      </c>
      <c r="F4287" s="14" t="s">
        <v>2687</v>
      </c>
      <c r="G4287" s="8" t="s">
        <v>9196</v>
      </c>
      <c r="H4287" s="14"/>
      <c r="I4287" s="14"/>
      <c r="J4287" s="14"/>
      <c r="K4287" s="14"/>
      <c r="L4287" s="14"/>
      <c r="M4287" s="14" t="s">
        <v>2689</v>
      </c>
      <c r="N4287" s="14" t="s">
        <v>2690</v>
      </c>
      <c r="O4287" s="14" t="s">
        <v>2691</v>
      </c>
      <c r="P4287" s="14" t="str">
        <f>HYPERLINK("https://ceds.ed.gov/cedselementdetails.aspx?termid=17675")</f>
        <v>https://ceds.ed.gov/cedselementdetails.aspx?termid=17675</v>
      </c>
      <c r="Q4287" s="14" t="str">
        <f>HYPERLINK("https://ceds.ed.gov/elementComment.aspx?elementName=Competency Framework Publication Status &amp;elementID=17675", "Click here to submit comment")</f>
        <v>Click here to submit comment</v>
      </c>
      <c r="R4287" s="14">
        <v>48233</v>
      </c>
    </row>
    <row r="4288" spans="1:18" ht="45" x14ac:dyDescent="0.25">
      <c r="A4288" s="14" t="s">
        <v>9194</v>
      </c>
      <c r="B4288" s="14" t="s">
        <v>9195</v>
      </c>
      <c r="C4288" s="14"/>
      <c r="D4288" s="14" t="s">
        <v>8531</v>
      </c>
      <c r="E4288" s="14" t="s">
        <v>2692</v>
      </c>
      <c r="F4288" s="14" t="s">
        <v>2693</v>
      </c>
      <c r="G4288" s="14" t="s">
        <v>37</v>
      </c>
      <c r="H4288" s="14"/>
      <c r="I4288" s="14"/>
      <c r="J4288" s="14" t="s">
        <v>97</v>
      </c>
      <c r="K4288" s="14"/>
      <c r="L4288" s="14"/>
      <c r="M4288" s="14" t="s">
        <v>2694</v>
      </c>
      <c r="N4288" s="14" t="s">
        <v>2695</v>
      </c>
      <c r="O4288" s="14" t="s">
        <v>2696</v>
      </c>
      <c r="P4288" s="14" t="str">
        <f>HYPERLINK("https://ceds.ed.gov/cedselementdetails.aspx?termid=17884")</f>
        <v>https://ceds.ed.gov/cedselementdetails.aspx?termid=17884</v>
      </c>
      <c r="Q4288" s="14" t="str">
        <f>HYPERLINK("https://ceds.ed.gov/elementComment.aspx?elementName=Competency Framework Publisher &amp;elementID=17884", "Click here to submit comment")</f>
        <v>Click here to submit comment</v>
      </c>
      <c r="R4288" s="14">
        <v>49335</v>
      </c>
    </row>
    <row r="4289" spans="1:18" ht="45" x14ac:dyDescent="0.25">
      <c r="A4289" s="14" t="s">
        <v>9194</v>
      </c>
      <c r="B4289" s="14" t="s">
        <v>9195</v>
      </c>
      <c r="C4289" s="14"/>
      <c r="D4289" s="14" t="s">
        <v>8531</v>
      </c>
      <c r="E4289" s="14" t="s">
        <v>2697</v>
      </c>
      <c r="F4289" s="14" t="s">
        <v>2698</v>
      </c>
      <c r="G4289" s="14" t="s">
        <v>37</v>
      </c>
      <c r="H4289" s="14"/>
      <c r="I4289" s="14"/>
      <c r="J4289" s="14" t="s">
        <v>129</v>
      </c>
      <c r="K4289" s="14"/>
      <c r="L4289" s="14"/>
      <c r="M4289" s="14" t="s">
        <v>2699</v>
      </c>
      <c r="N4289" s="14" t="s">
        <v>2700</v>
      </c>
      <c r="O4289" s="14" t="s">
        <v>2701</v>
      </c>
      <c r="P4289" s="14" t="str">
        <f>HYPERLINK("https://ceds.ed.gov/cedselementdetails.aspx?termid=17885")</f>
        <v>https://ceds.ed.gov/cedselementdetails.aspx?termid=17885</v>
      </c>
      <c r="Q4289" s="14" t="str">
        <f>HYPERLINK("https://ceds.ed.gov/elementComment.aspx?elementName=Competency Framework Rights &amp;elementID=17885", "Click here to submit comment")</f>
        <v>Click here to submit comment</v>
      </c>
      <c r="R4289" s="14">
        <v>49336</v>
      </c>
    </row>
    <row r="4290" spans="1:18" ht="45" x14ac:dyDescent="0.25">
      <c r="A4290" s="14" t="s">
        <v>9194</v>
      </c>
      <c r="B4290" s="14" t="s">
        <v>9195</v>
      </c>
      <c r="C4290" s="14"/>
      <c r="D4290" s="14" t="s">
        <v>8531</v>
      </c>
      <c r="E4290" s="14" t="s">
        <v>2702</v>
      </c>
      <c r="F4290" s="14" t="s">
        <v>2703</v>
      </c>
      <c r="G4290" s="14" t="s">
        <v>37</v>
      </c>
      <c r="H4290" s="14"/>
      <c r="I4290" s="14"/>
      <c r="J4290" s="14" t="s">
        <v>97</v>
      </c>
      <c r="K4290" s="14"/>
      <c r="L4290" s="14"/>
      <c r="M4290" s="14" t="s">
        <v>2704</v>
      </c>
      <c r="N4290" s="14" t="s">
        <v>2705</v>
      </c>
      <c r="O4290" s="14" t="s">
        <v>2706</v>
      </c>
      <c r="P4290" s="14" t="str">
        <f>HYPERLINK("https://ceds.ed.gov/cedselementdetails.aspx?termid=17886")</f>
        <v>https://ceds.ed.gov/cedselementdetails.aspx?termid=17886</v>
      </c>
      <c r="Q4290" s="14" t="str">
        <f>HYPERLINK("https://ceds.ed.gov/elementComment.aspx?elementName=Competency Framework Rights Holder &amp;elementID=17886", "Click here to submit comment")</f>
        <v>Click here to submit comment</v>
      </c>
      <c r="R4290" s="14">
        <v>49337</v>
      </c>
    </row>
    <row r="4291" spans="1:18" ht="75" x14ac:dyDescent="0.25">
      <c r="A4291" s="14" t="s">
        <v>9194</v>
      </c>
      <c r="B4291" s="14" t="s">
        <v>9195</v>
      </c>
      <c r="C4291" s="14"/>
      <c r="D4291" s="14" t="s">
        <v>8531</v>
      </c>
      <c r="E4291" s="14" t="s">
        <v>2707</v>
      </c>
      <c r="F4291" s="14" t="s">
        <v>2708</v>
      </c>
      <c r="G4291" s="14" t="s">
        <v>37</v>
      </c>
      <c r="H4291" s="14"/>
      <c r="I4291" s="14"/>
      <c r="J4291" s="14" t="s">
        <v>57</v>
      </c>
      <c r="K4291" s="14"/>
      <c r="L4291" s="14" t="s">
        <v>2709</v>
      </c>
      <c r="M4291" s="14" t="s">
        <v>2710</v>
      </c>
      <c r="N4291" s="14"/>
      <c r="O4291" s="14" t="s">
        <v>2711</v>
      </c>
      <c r="P4291" s="14" t="str">
        <f>HYPERLINK("https://ceds.ed.gov/cedselementdetails.aspx?termid=18888")</f>
        <v>https://ceds.ed.gov/cedselementdetails.aspx?termid=18888</v>
      </c>
      <c r="Q4291" s="14" t="str">
        <f>HYPERLINK("https://ceds.ed.gov/elementComment.aspx?elementName=Competency Framework Source URL &amp;elementID=18888", "Click here to submit comment")</f>
        <v>Click here to submit comment</v>
      </c>
      <c r="R4291" s="14">
        <v>52185</v>
      </c>
    </row>
    <row r="4292" spans="1:18" ht="135" customHeight="1" x14ac:dyDescent="0.25">
      <c r="A4292" s="19" t="s">
        <v>9194</v>
      </c>
      <c r="B4292" s="19" t="s">
        <v>9197</v>
      </c>
      <c r="C4292" s="19"/>
      <c r="D4292" s="19" t="s">
        <v>8531</v>
      </c>
      <c r="E4292" s="19" t="s">
        <v>2506</v>
      </c>
      <c r="F4292" s="19" t="s">
        <v>2507</v>
      </c>
      <c r="G4292" s="19" t="s">
        <v>37</v>
      </c>
      <c r="H4292" s="19" t="s">
        <v>908</v>
      </c>
      <c r="I4292" s="19"/>
      <c r="J4292" s="19" t="s">
        <v>149</v>
      </c>
      <c r="K4292" s="19"/>
      <c r="L4292" s="14" t="s">
        <v>150</v>
      </c>
      <c r="M4292" s="19" t="s">
        <v>2508</v>
      </c>
      <c r="N4292" s="19" t="s">
        <v>2509</v>
      </c>
      <c r="O4292" s="19" t="s">
        <v>2510</v>
      </c>
      <c r="P4292" s="19" t="str">
        <f>HYPERLINK("https://ceds.ed.gov/cedselementdetails.aspx?termid=17666")</f>
        <v>https://ceds.ed.gov/cedselementdetails.aspx?termid=17666</v>
      </c>
      <c r="Q4292" s="19" t="str">
        <f>HYPERLINK("https://ceds.ed.gov/elementComment.aspx?elementName=Competency Definition Identifier &amp;elementID=17666", "Click here to submit comment")</f>
        <v>Click here to submit comment</v>
      </c>
      <c r="R4292" s="19">
        <v>48238</v>
      </c>
    </row>
    <row r="4293" spans="1:18" x14ac:dyDescent="0.25">
      <c r="A4293" s="20"/>
      <c r="B4293" s="20"/>
      <c r="C4293" s="20"/>
      <c r="D4293" s="20"/>
      <c r="E4293" s="20"/>
      <c r="F4293" s="20"/>
      <c r="G4293" s="20"/>
      <c r="H4293" s="20"/>
      <c r="I4293" s="20"/>
      <c r="J4293" s="20"/>
      <c r="K4293" s="20"/>
      <c r="L4293" s="14"/>
      <c r="M4293" s="20"/>
      <c r="N4293" s="20"/>
      <c r="O4293" s="20"/>
      <c r="P4293" s="20"/>
      <c r="Q4293" s="20"/>
      <c r="R4293" s="20"/>
    </row>
    <row r="4294" spans="1:18" ht="90" x14ac:dyDescent="0.25">
      <c r="A4294" s="21"/>
      <c r="B4294" s="21"/>
      <c r="C4294" s="21"/>
      <c r="D4294" s="21"/>
      <c r="E4294" s="21"/>
      <c r="F4294" s="21"/>
      <c r="G4294" s="21"/>
      <c r="H4294" s="21"/>
      <c r="I4294" s="21"/>
      <c r="J4294" s="21"/>
      <c r="K4294" s="21"/>
      <c r="L4294" s="14" t="s">
        <v>153</v>
      </c>
      <c r="M4294" s="21"/>
      <c r="N4294" s="21"/>
      <c r="O4294" s="21"/>
      <c r="P4294" s="21"/>
      <c r="Q4294" s="21"/>
      <c r="R4294" s="21"/>
    </row>
    <row r="4295" spans="1:18" ht="225" x14ac:dyDescent="0.25">
      <c r="A4295" s="14" t="s">
        <v>9194</v>
      </c>
      <c r="B4295" s="14" t="s">
        <v>9197</v>
      </c>
      <c r="C4295" s="14"/>
      <c r="D4295" s="14" t="s">
        <v>8531</v>
      </c>
      <c r="E4295" s="14" t="s">
        <v>2576</v>
      </c>
      <c r="F4295" s="14" t="s">
        <v>2577</v>
      </c>
      <c r="G4295" s="14" t="s">
        <v>37</v>
      </c>
      <c r="H4295" s="14" t="s">
        <v>908</v>
      </c>
      <c r="I4295" s="14"/>
      <c r="J4295" s="14" t="s">
        <v>382</v>
      </c>
      <c r="K4295" s="14"/>
      <c r="L4295" s="14" t="s">
        <v>2578</v>
      </c>
      <c r="M4295" s="14" t="s">
        <v>2579</v>
      </c>
      <c r="N4295" s="14" t="s">
        <v>2580</v>
      </c>
      <c r="O4295" s="14" t="s">
        <v>2581</v>
      </c>
      <c r="P4295" s="14" t="str">
        <f>HYPERLINK("https://ceds.ed.gov/cedselementdetails.aspx?termid=17667")</f>
        <v>https://ceds.ed.gov/cedselementdetails.aspx?termid=17667</v>
      </c>
      <c r="Q4295" s="14" t="str">
        <f>HYPERLINK("https://ceds.ed.gov/elementComment.aspx?elementName=Competency Definition Statement &amp;elementID=17667", "Click here to submit comment")</f>
        <v>Click here to submit comment</v>
      </c>
      <c r="R4295" s="14">
        <v>48239</v>
      </c>
    </row>
    <row r="4296" spans="1:18" ht="300" x14ac:dyDescent="0.25">
      <c r="A4296" s="14" t="s">
        <v>9194</v>
      </c>
      <c r="B4296" s="14" t="s">
        <v>9197</v>
      </c>
      <c r="C4296" s="14"/>
      <c r="D4296" s="14" t="s">
        <v>8531</v>
      </c>
      <c r="E4296" s="14" t="s">
        <v>2553</v>
      </c>
      <c r="F4296" s="14" t="s">
        <v>2554</v>
      </c>
      <c r="G4296" s="14" t="s">
        <v>37</v>
      </c>
      <c r="H4296" s="14" t="s">
        <v>908</v>
      </c>
      <c r="I4296" s="14"/>
      <c r="J4296" s="14" t="s">
        <v>149</v>
      </c>
      <c r="K4296" s="14"/>
      <c r="L4296" s="14" t="s">
        <v>2555</v>
      </c>
      <c r="M4296" s="14" t="s">
        <v>2556</v>
      </c>
      <c r="N4296" s="14" t="s">
        <v>2557</v>
      </c>
      <c r="O4296" s="14" t="s">
        <v>2558</v>
      </c>
      <c r="P4296" s="14" t="str">
        <f>HYPERLINK("https://ceds.ed.gov/cedselementdetails.aspx?termid=17691")</f>
        <v>https://ceds.ed.gov/cedselementdetails.aspx?termid=17691</v>
      </c>
      <c r="Q4296" s="14" t="str">
        <f>HYPERLINK("https://ceds.ed.gov/elementComment.aspx?elementName=Competency Definition Prerequisite Identifier &amp;elementID=17691", "Click here to submit comment")</f>
        <v>Click here to submit comment</v>
      </c>
      <c r="R4296" s="14">
        <v>48242</v>
      </c>
    </row>
    <row r="4297" spans="1:18" ht="90" x14ac:dyDescent="0.25">
      <c r="A4297" s="14" t="s">
        <v>9194</v>
      </c>
      <c r="B4297" s="14" t="s">
        <v>9197</v>
      </c>
      <c r="C4297" s="14"/>
      <c r="D4297" s="14" t="s">
        <v>8531</v>
      </c>
      <c r="E4297" s="14" t="s">
        <v>2625</v>
      </c>
      <c r="F4297" s="14" t="s">
        <v>2626</v>
      </c>
      <c r="G4297" s="14" t="s">
        <v>37</v>
      </c>
      <c r="H4297" s="14"/>
      <c r="I4297" s="14"/>
      <c r="J4297" s="14" t="s">
        <v>57</v>
      </c>
      <c r="K4297" s="14"/>
      <c r="L4297" s="14" t="s">
        <v>153</v>
      </c>
      <c r="M4297" s="14" t="s">
        <v>2628</v>
      </c>
      <c r="N4297" s="14" t="s">
        <v>2629</v>
      </c>
      <c r="O4297" s="14" t="s">
        <v>2630</v>
      </c>
      <c r="P4297" s="14" t="str">
        <f>HYPERLINK("https://ceds.ed.gov/cedselementdetails.aspx?termid=17874")</f>
        <v>https://ceds.ed.gov/cedselementdetails.aspx?termid=17874</v>
      </c>
      <c r="Q4297" s="14" t="str">
        <f>HYPERLINK("https://ceds.ed.gov/elementComment.aspx?elementName=Competency Definition URL &amp;elementID=17874", "Click here to submit comment")</f>
        <v>Click here to submit comment</v>
      </c>
      <c r="R4297" s="14">
        <v>49325</v>
      </c>
    </row>
    <row r="4298" spans="1:18" ht="90" x14ac:dyDescent="0.25">
      <c r="A4298" s="14" t="s">
        <v>9194</v>
      </c>
      <c r="B4298" s="14" t="s">
        <v>9197</v>
      </c>
      <c r="C4298" s="14"/>
      <c r="D4298" s="14" t="s">
        <v>8531</v>
      </c>
      <c r="E4298" s="14" t="s">
        <v>2476</v>
      </c>
      <c r="F4298" s="14" t="s">
        <v>2477</v>
      </c>
      <c r="G4298" s="14" t="s">
        <v>37</v>
      </c>
      <c r="H4298" s="14"/>
      <c r="I4298" s="14"/>
      <c r="J4298" s="14" t="s">
        <v>97</v>
      </c>
      <c r="K4298" s="14"/>
      <c r="L4298" s="14" t="s">
        <v>2479</v>
      </c>
      <c r="M4298" s="14" t="s">
        <v>2480</v>
      </c>
      <c r="N4298" s="14" t="s">
        <v>2481</v>
      </c>
      <c r="O4298" s="14" t="s">
        <v>2482</v>
      </c>
      <c r="P4298" s="14" t="str">
        <f>HYPERLINK("https://ceds.ed.gov/cedselementdetails.aspx?termid=17669")</f>
        <v>https://ceds.ed.gov/cedselementdetails.aspx?termid=17669</v>
      </c>
      <c r="Q4298" s="14" t="str">
        <f>HYPERLINK("https://ceds.ed.gov/elementComment.aspx?elementName=Competency Definition Code &amp;elementID=17669", "Click here to submit comment")</f>
        <v>Click here to submit comment</v>
      </c>
      <c r="R4298" s="14">
        <v>48241</v>
      </c>
    </row>
    <row r="4299" spans="1:18" ht="135" customHeight="1" x14ac:dyDescent="0.25">
      <c r="A4299" s="19" t="s">
        <v>9194</v>
      </c>
      <c r="B4299" s="19" t="s">
        <v>9197</v>
      </c>
      <c r="C4299" s="19"/>
      <c r="D4299" s="19" t="s">
        <v>8531</v>
      </c>
      <c r="E4299" s="19" t="s">
        <v>2543</v>
      </c>
      <c r="F4299" s="19" t="s">
        <v>2544</v>
      </c>
      <c r="G4299" s="19" t="s">
        <v>37</v>
      </c>
      <c r="H4299" s="19"/>
      <c r="I4299" s="19"/>
      <c r="J4299" s="19" t="s">
        <v>149</v>
      </c>
      <c r="K4299" s="19"/>
      <c r="L4299" s="14" t="s">
        <v>150</v>
      </c>
      <c r="M4299" s="19" t="s">
        <v>2545</v>
      </c>
      <c r="N4299" s="19" t="s">
        <v>2546</v>
      </c>
      <c r="O4299" s="19" t="s">
        <v>2547</v>
      </c>
      <c r="P4299" s="19" t="str">
        <f>HYPERLINK("https://ceds.ed.gov/cedselementdetails.aspx?termid=17872")</f>
        <v>https://ceds.ed.gov/cedselementdetails.aspx?termid=17872</v>
      </c>
      <c r="Q4299" s="19" t="str">
        <f>HYPERLINK("https://ceds.ed.gov/elementComment.aspx?elementName=Competency Definition Parent Identifier &amp;elementID=17872", "Click here to submit comment")</f>
        <v>Click here to submit comment</v>
      </c>
      <c r="R4299" s="19">
        <v>49322</v>
      </c>
    </row>
    <row r="4300" spans="1:18" x14ac:dyDescent="0.25">
      <c r="A4300" s="20"/>
      <c r="B4300" s="20"/>
      <c r="C4300" s="20"/>
      <c r="D4300" s="20"/>
      <c r="E4300" s="20"/>
      <c r="F4300" s="20"/>
      <c r="G4300" s="20"/>
      <c r="H4300" s="20"/>
      <c r="I4300" s="20"/>
      <c r="J4300" s="20"/>
      <c r="K4300" s="20"/>
      <c r="L4300" s="14"/>
      <c r="M4300" s="20"/>
      <c r="N4300" s="20"/>
      <c r="O4300" s="20"/>
      <c r="P4300" s="20"/>
      <c r="Q4300" s="20"/>
      <c r="R4300" s="20"/>
    </row>
    <row r="4301" spans="1:18" ht="90" x14ac:dyDescent="0.25">
      <c r="A4301" s="21"/>
      <c r="B4301" s="21"/>
      <c r="C4301" s="21"/>
      <c r="D4301" s="21"/>
      <c r="E4301" s="21"/>
      <c r="F4301" s="21"/>
      <c r="G4301" s="21"/>
      <c r="H4301" s="21"/>
      <c r="I4301" s="21"/>
      <c r="J4301" s="21"/>
      <c r="K4301" s="21"/>
      <c r="L4301" s="14" t="s">
        <v>153</v>
      </c>
      <c r="M4301" s="21"/>
      <c r="N4301" s="21"/>
      <c r="O4301" s="21"/>
      <c r="P4301" s="21"/>
      <c r="Q4301" s="21"/>
      <c r="R4301" s="21"/>
    </row>
    <row r="4302" spans="1:18" ht="60" x14ac:dyDescent="0.25">
      <c r="A4302" s="14" t="s">
        <v>9194</v>
      </c>
      <c r="B4302" s="14" t="s">
        <v>9197</v>
      </c>
      <c r="C4302" s="14"/>
      <c r="D4302" s="14" t="s">
        <v>8531</v>
      </c>
      <c r="E4302" s="14" t="s">
        <v>2538</v>
      </c>
      <c r="F4302" s="14" t="s">
        <v>2539</v>
      </c>
      <c r="G4302" s="14" t="s">
        <v>37</v>
      </c>
      <c r="H4302" s="14"/>
      <c r="I4302" s="14"/>
      <c r="J4302" s="14" t="s">
        <v>97</v>
      </c>
      <c r="K4302" s="14"/>
      <c r="L4302" s="14"/>
      <c r="M4302" s="14" t="s">
        <v>2540</v>
      </c>
      <c r="N4302" s="14" t="s">
        <v>2541</v>
      </c>
      <c r="O4302" s="14" t="s">
        <v>2542</v>
      </c>
      <c r="P4302" s="14" t="str">
        <f>HYPERLINK("https://ceds.ed.gov/cedselementdetails.aspx?termid=17873")</f>
        <v>https://ceds.ed.gov/cedselementdetails.aspx?termid=17873</v>
      </c>
      <c r="Q4302" s="14" t="str">
        <f>HYPERLINK("https://ceds.ed.gov/elementComment.aspx?elementName=Competency Definition Parent Code &amp;elementID=17873", "Click here to submit comment")</f>
        <v>Click here to submit comment</v>
      </c>
      <c r="R4302" s="14">
        <v>49324</v>
      </c>
    </row>
    <row r="4303" spans="1:18" ht="75" x14ac:dyDescent="0.25">
      <c r="A4303" s="14" t="s">
        <v>9194</v>
      </c>
      <c r="B4303" s="14" t="s">
        <v>9197</v>
      </c>
      <c r="C4303" s="14"/>
      <c r="D4303" s="14" t="s">
        <v>8531</v>
      </c>
      <c r="E4303" s="14" t="s">
        <v>2548</v>
      </c>
      <c r="F4303" s="14" t="s">
        <v>2549</v>
      </c>
      <c r="G4303" s="14" t="s">
        <v>37</v>
      </c>
      <c r="H4303" s="14"/>
      <c r="I4303" s="14"/>
      <c r="J4303" s="14" t="s">
        <v>57</v>
      </c>
      <c r="K4303" s="14"/>
      <c r="L4303" s="14"/>
      <c r="M4303" s="14" t="s">
        <v>2550</v>
      </c>
      <c r="N4303" s="14" t="s">
        <v>2551</v>
      </c>
      <c r="O4303" s="14" t="s">
        <v>2552</v>
      </c>
      <c r="P4303" s="14" t="str">
        <f>HYPERLINK("https://ceds.ed.gov/cedselementdetails.aspx?termid=18078")</f>
        <v>https://ceds.ed.gov/cedselementdetails.aspx?termid=18078</v>
      </c>
      <c r="Q4303" s="14" t="str">
        <f>HYPERLINK("https://ceds.ed.gov/elementComment.aspx?elementName=Competency Definition Parent URL &amp;elementID=18078", "Click here to submit comment")</f>
        <v>Click here to submit comment</v>
      </c>
      <c r="R4303" s="14">
        <v>48519</v>
      </c>
    </row>
    <row r="4304" spans="1:18" ht="409.5" x14ac:dyDescent="0.25">
      <c r="A4304" s="14" t="s">
        <v>9194</v>
      </c>
      <c r="B4304" s="14" t="s">
        <v>9197</v>
      </c>
      <c r="C4304" s="14"/>
      <c r="D4304" s="14" t="s">
        <v>8531</v>
      </c>
      <c r="E4304" s="14" t="s">
        <v>2499</v>
      </c>
      <c r="F4304" s="14" t="s">
        <v>2500</v>
      </c>
      <c r="G4304" s="8" t="s">
        <v>8679</v>
      </c>
      <c r="H4304" s="14"/>
      <c r="I4304" s="14"/>
      <c r="J4304" s="14"/>
      <c r="K4304" s="14"/>
      <c r="L4304" s="14" t="s">
        <v>2502</v>
      </c>
      <c r="M4304" s="14" t="s">
        <v>2503</v>
      </c>
      <c r="N4304" s="14" t="s">
        <v>2504</v>
      </c>
      <c r="O4304" s="14" t="s">
        <v>2505</v>
      </c>
      <c r="P4304" s="14" t="str">
        <f>HYPERLINK("https://ceds.ed.gov/cedselementdetails.aspx?termid=17701")</f>
        <v>https://ceds.ed.gov/cedselementdetails.aspx?termid=17701</v>
      </c>
      <c r="Q4304" s="14" t="str">
        <f>HYPERLINK("https://ceds.ed.gov/elementComment.aspx?elementName=Competency Definition Education Level &amp;elementID=17701", "Click here to submit comment")</f>
        <v>Click here to submit comment</v>
      </c>
      <c r="R4304" s="14">
        <v>48243</v>
      </c>
    </row>
    <row r="4305" spans="1:18" ht="255" x14ac:dyDescent="0.25">
      <c r="A4305" s="14" t="s">
        <v>9194</v>
      </c>
      <c r="B4305" s="14" t="s">
        <v>9197</v>
      </c>
      <c r="C4305" s="14"/>
      <c r="D4305" s="14" t="s">
        <v>8531</v>
      </c>
      <c r="E4305" s="14" t="s">
        <v>2493</v>
      </c>
      <c r="F4305" s="14" t="s">
        <v>2494</v>
      </c>
      <c r="G4305" s="14" t="s">
        <v>24</v>
      </c>
      <c r="H4305" s="14"/>
      <c r="I4305" s="14"/>
      <c r="J4305" s="14"/>
      <c r="K4305" s="14"/>
      <c r="L4305" s="14" t="s">
        <v>2495</v>
      </c>
      <c r="M4305" s="14" t="s">
        <v>2496</v>
      </c>
      <c r="N4305" s="14" t="s">
        <v>2497</v>
      </c>
      <c r="O4305" s="14" t="s">
        <v>2498</v>
      </c>
      <c r="P4305" s="14" t="str">
        <f>HYPERLINK("https://ceds.ed.gov/cedselementdetails.aspx?termid=18499")</f>
        <v>https://ceds.ed.gov/cedselementdetails.aspx?termid=18499</v>
      </c>
      <c r="Q4305" s="14" t="str">
        <f>HYPERLINK("https://ceds.ed.gov/elementComment.aspx?elementName=Competency Definition Current Version Indicator &amp;elementID=18499", "Click here to submit comment")</f>
        <v>Click here to submit comment</v>
      </c>
      <c r="R4305" s="14">
        <v>50682</v>
      </c>
    </row>
    <row r="4306" spans="1:18" ht="255" x14ac:dyDescent="0.25">
      <c r="A4306" s="19" t="s">
        <v>9194</v>
      </c>
      <c r="B4306" s="19" t="s">
        <v>9197</v>
      </c>
      <c r="C4306" s="19"/>
      <c r="D4306" s="19" t="s">
        <v>8531</v>
      </c>
      <c r="E4306" s="19" t="s">
        <v>2559</v>
      </c>
      <c r="F4306" s="19" t="s">
        <v>2560</v>
      </c>
      <c r="G4306" s="19" t="s">
        <v>37</v>
      </c>
      <c r="H4306" s="19"/>
      <c r="I4306" s="19"/>
      <c r="J4306" s="19" t="s">
        <v>149</v>
      </c>
      <c r="K4306" s="19"/>
      <c r="L4306" s="14" t="s">
        <v>2495</v>
      </c>
      <c r="M4306" s="19" t="s">
        <v>2561</v>
      </c>
      <c r="N4306" s="19" t="s">
        <v>2562</v>
      </c>
      <c r="O4306" s="19" t="s">
        <v>2563</v>
      </c>
      <c r="P4306" s="19" t="str">
        <f>HYPERLINK("https://ceds.ed.gov/cedselementdetails.aspx?termid=18498")</f>
        <v>https://ceds.ed.gov/cedselementdetails.aspx?termid=18498</v>
      </c>
      <c r="Q4306" s="19" t="str">
        <f>HYPERLINK("https://ceds.ed.gov/elementComment.aspx?elementName=Competency Definition Previous Version Identifier &amp;elementID=18498", "Click here to submit comment")</f>
        <v>Click here to submit comment</v>
      </c>
      <c r="R4306" s="19">
        <v>50679</v>
      </c>
    </row>
    <row r="4307" spans="1:18" x14ac:dyDescent="0.25">
      <c r="A4307" s="20"/>
      <c r="B4307" s="20"/>
      <c r="C4307" s="20"/>
      <c r="D4307" s="20"/>
      <c r="E4307" s="20"/>
      <c r="F4307" s="20"/>
      <c r="G4307" s="20"/>
      <c r="H4307" s="20"/>
      <c r="I4307" s="20"/>
      <c r="J4307" s="20"/>
      <c r="K4307" s="20"/>
      <c r="L4307" s="14"/>
      <c r="M4307" s="20"/>
      <c r="N4307" s="20"/>
      <c r="O4307" s="20"/>
      <c r="P4307" s="20"/>
      <c r="Q4307" s="20"/>
      <c r="R4307" s="20"/>
    </row>
    <row r="4308" spans="1:18" x14ac:dyDescent="0.25">
      <c r="A4308" s="20"/>
      <c r="B4308" s="20"/>
      <c r="C4308" s="20"/>
      <c r="D4308" s="20"/>
      <c r="E4308" s="20"/>
      <c r="F4308" s="20"/>
      <c r="G4308" s="20"/>
      <c r="H4308" s="20"/>
      <c r="I4308" s="20"/>
      <c r="J4308" s="20"/>
      <c r="K4308" s="20"/>
      <c r="L4308" s="14"/>
      <c r="M4308" s="20"/>
      <c r="N4308" s="20"/>
      <c r="O4308" s="20"/>
      <c r="P4308" s="20"/>
      <c r="Q4308" s="20"/>
      <c r="R4308" s="20"/>
    </row>
    <row r="4309" spans="1:18" ht="105" x14ac:dyDescent="0.25">
      <c r="A4309" s="20"/>
      <c r="B4309" s="20"/>
      <c r="C4309" s="20"/>
      <c r="D4309" s="20"/>
      <c r="E4309" s="20"/>
      <c r="F4309" s="20"/>
      <c r="G4309" s="20"/>
      <c r="H4309" s="20"/>
      <c r="I4309" s="20"/>
      <c r="J4309" s="20"/>
      <c r="K4309" s="20"/>
      <c r="L4309" s="14" t="s">
        <v>150</v>
      </c>
      <c r="M4309" s="20"/>
      <c r="N4309" s="20"/>
      <c r="O4309" s="20"/>
      <c r="P4309" s="20"/>
      <c r="Q4309" s="20"/>
      <c r="R4309" s="20"/>
    </row>
    <row r="4310" spans="1:18" x14ac:dyDescent="0.25">
      <c r="A4310" s="20"/>
      <c r="B4310" s="20"/>
      <c r="C4310" s="20"/>
      <c r="D4310" s="20"/>
      <c r="E4310" s="20"/>
      <c r="F4310" s="20"/>
      <c r="G4310" s="20"/>
      <c r="H4310" s="20"/>
      <c r="I4310" s="20"/>
      <c r="J4310" s="20"/>
      <c r="K4310" s="20"/>
      <c r="L4310" s="14"/>
      <c r="M4310" s="20"/>
      <c r="N4310" s="20"/>
      <c r="O4310" s="20"/>
      <c r="P4310" s="20"/>
      <c r="Q4310" s="20"/>
      <c r="R4310" s="20"/>
    </row>
    <row r="4311" spans="1:18" x14ac:dyDescent="0.25">
      <c r="A4311" s="20"/>
      <c r="B4311" s="20"/>
      <c r="C4311" s="20"/>
      <c r="D4311" s="20"/>
      <c r="E4311" s="20"/>
      <c r="F4311" s="20"/>
      <c r="G4311" s="20"/>
      <c r="H4311" s="20"/>
      <c r="I4311" s="20"/>
      <c r="J4311" s="20"/>
      <c r="K4311" s="20"/>
      <c r="L4311" s="14"/>
      <c r="M4311" s="20"/>
      <c r="N4311" s="20"/>
      <c r="O4311" s="20"/>
      <c r="P4311" s="20"/>
      <c r="Q4311" s="20"/>
      <c r="R4311" s="20"/>
    </row>
    <row r="4312" spans="1:18" ht="90" x14ac:dyDescent="0.25">
      <c r="A4312" s="21"/>
      <c r="B4312" s="21"/>
      <c r="C4312" s="21"/>
      <c r="D4312" s="21"/>
      <c r="E4312" s="21"/>
      <c r="F4312" s="21"/>
      <c r="G4312" s="21"/>
      <c r="H4312" s="21"/>
      <c r="I4312" s="21"/>
      <c r="J4312" s="21"/>
      <c r="K4312" s="21"/>
      <c r="L4312" s="14" t="s">
        <v>153</v>
      </c>
      <c r="M4312" s="21"/>
      <c r="N4312" s="21"/>
      <c r="O4312" s="21"/>
      <c r="P4312" s="21"/>
      <c r="Q4312" s="21"/>
      <c r="R4312" s="21"/>
    </row>
    <row r="4313" spans="1:18" ht="45" x14ac:dyDescent="0.25">
      <c r="A4313" s="14" t="s">
        <v>9194</v>
      </c>
      <c r="B4313" s="14" t="s">
        <v>9197</v>
      </c>
      <c r="C4313" s="14"/>
      <c r="D4313" s="14" t="s">
        <v>8531</v>
      </c>
      <c r="E4313" s="14" t="s">
        <v>2642</v>
      </c>
      <c r="F4313" s="14" t="s">
        <v>2643</v>
      </c>
      <c r="G4313" s="14" t="s">
        <v>37</v>
      </c>
      <c r="H4313" s="14"/>
      <c r="I4313" s="14"/>
      <c r="J4313" s="14" t="s">
        <v>382</v>
      </c>
      <c r="K4313" s="14"/>
      <c r="L4313" s="14"/>
      <c r="M4313" s="14" t="s">
        <v>2644</v>
      </c>
      <c r="N4313" s="14" t="s">
        <v>2645</v>
      </c>
      <c r="O4313" s="14" t="s">
        <v>2646</v>
      </c>
      <c r="P4313" s="14" t="str">
        <f>HYPERLINK("https://ceds.ed.gov/cedselementdetails.aspx?termid=18216")</f>
        <v>https://ceds.ed.gov/cedselementdetails.aspx?termid=18216</v>
      </c>
      <c r="Q4313" s="14" t="str">
        <f>HYPERLINK("https://ceds.ed.gov/elementComment.aspx?elementName=Competency Definition Version &amp;elementID=18216", "Click here to submit comment")</f>
        <v>Click here to submit comment</v>
      </c>
      <c r="R4313" s="14">
        <v>48723</v>
      </c>
    </row>
    <row r="4314" spans="1:18" ht="135" x14ac:dyDescent="0.25">
      <c r="A4314" s="14" t="s">
        <v>9194</v>
      </c>
      <c r="B4314" s="14" t="s">
        <v>9197</v>
      </c>
      <c r="C4314" s="14"/>
      <c r="D4314" s="14" t="s">
        <v>8531</v>
      </c>
      <c r="E4314" s="14" t="s">
        <v>2603</v>
      </c>
      <c r="F4314" s="14" t="s">
        <v>2604</v>
      </c>
      <c r="G4314" s="14" t="s">
        <v>37</v>
      </c>
      <c r="H4314" s="14" t="s">
        <v>908</v>
      </c>
      <c r="I4314" s="14"/>
      <c r="J4314" s="14" t="s">
        <v>175</v>
      </c>
      <c r="K4314" s="14"/>
      <c r="L4314" s="14" t="s">
        <v>2605</v>
      </c>
      <c r="M4314" s="14" t="s">
        <v>2606</v>
      </c>
      <c r="N4314" s="14" t="s">
        <v>2607</v>
      </c>
      <c r="O4314" s="14" t="s">
        <v>2608</v>
      </c>
      <c r="P4314" s="14" t="str">
        <f>HYPERLINK("https://ceds.ed.gov/cedselementdetails.aspx?termid=17668")</f>
        <v>https://ceds.ed.gov/cedselementdetails.aspx?termid=17668</v>
      </c>
      <c r="Q4314" s="14" t="str">
        <f>HYPERLINK("https://ceds.ed.gov/elementComment.aspx?elementName=Competency Definition Type &amp;elementID=17668", "Click here to submit comment")</f>
        <v>Click here to submit comment</v>
      </c>
      <c r="R4314" s="14">
        <v>48240</v>
      </c>
    </row>
    <row r="4315" spans="1:18" ht="135" x14ac:dyDescent="0.25">
      <c r="A4315" s="14" t="s">
        <v>9194</v>
      </c>
      <c r="B4315" s="14" t="s">
        <v>9197</v>
      </c>
      <c r="C4315" s="14"/>
      <c r="D4315" s="14" t="s">
        <v>8531</v>
      </c>
      <c r="E4315" s="14" t="s">
        <v>2609</v>
      </c>
      <c r="F4315" s="14" t="s">
        <v>2610</v>
      </c>
      <c r="G4315" s="14" t="s">
        <v>37</v>
      </c>
      <c r="H4315" s="14"/>
      <c r="I4315" s="14"/>
      <c r="J4315" s="14" t="s">
        <v>57</v>
      </c>
      <c r="K4315" s="14"/>
      <c r="L4315" s="14" t="s">
        <v>2611</v>
      </c>
      <c r="M4315" s="14" t="s">
        <v>2612</v>
      </c>
      <c r="N4315" s="14" t="s">
        <v>2613</v>
      </c>
      <c r="O4315" s="14" t="s">
        <v>2614</v>
      </c>
      <c r="P4315" s="14" t="str">
        <f>HYPERLINK("https://ceds.ed.gov/cedselementdetails.aspx?termid=18738")</f>
        <v>https://ceds.ed.gov/cedselementdetails.aspx?termid=18738</v>
      </c>
      <c r="Q4315" s="14" t="str">
        <f>HYPERLINK("https://ceds.ed.gov/elementComment.aspx?elementName=Competency Definition Type URL &amp;elementID=18738", "Click here to submit comment")</f>
        <v>Click here to submit comment</v>
      </c>
      <c r="R4315" s="14">
        <v>51874</v>
      </c>
    </row>
    <row r="4316" spans="1:18" ht="105" x14ac:dyDescent="0.25">
      <c r="A4316" s="14" t="s">
        <v>9194</v>
      </c>
      <c r="B4316" s="14" t="s">
        <v>9197</v>
      </c>
      <c r="C4316" s="14"/>
      <c r="D4316" s="14" t="s">
        <v>8531</v>
      </c>
      <c r="E4316" s="14" t="s">
        <v>2582</v>
      </c>
      <c r="F4316" s="14" t="s">
        <v>2583</v>
      </c>
      <c r="G4316" s="8" t="s">
        <v>9198</v>
      </c>
      <c r="H4316" s="14"/>
      <c r="I4316" s="14"/>
      <c r="J4316" s="14"/>
      <c r="K4316" s="14"/>
      <c r="L4316" s="14"/>
      <c r="M4316" s="14" t="s">
        <v>2585</v>
      </c>
      <c r="N4316" s="14" t="s">
        <v>2586</v>
      </c>
      <c r="O4316" s="14" t="s">
        <v>2587</v>
      </c>
      <c r="P4316" s="14" t="str">
        <f>HYPERLINK("https://ceds.ed.gov/cedselementdetails.aspx?termid=18380")</f>
        <v>https://ceds.ed.gov/cedselementdetails.aspx?termid=18380</v>
      </c>
      <c r="Q4316" s="14" t="str">
        <f>HYPERLINK("https://ceds.ed.gov/elementComment.aspx?elementName=Competency Definition Testability Type &amp;elementID=18380", "Click here to submit comment")</f>
        <v>Click here to submit comment</v>
      </c>
      <c r="R4316" s="14">
        <v>50512</v>
      </c>
    </row>
    <row r="4317" spans="1:18" ht="60" x14ac:dyDescent="0.25">
      <c r="A4317" s="14" t="s">
        <v>9194</v>
      </c>
      <c r="B4317" s="14" t="s">
        <v>9197</v>
      </c>
      <c r="C4317" s="14"/>
      <c r="D4317" s="14" t="s">
        <v>8531</v>
      </c>
      <c r="E4317" s="14" t="s">
        <v>2469</v>
      </c>
      <c r="F4317" s="14" t="s">
        <v>2470</v>
      </c>
      <c r="G4317" s="8" t="s">
        <v>9199</v>
      </c>
      <c r="H4317" s="14"/>
      <c r="I4317" s="14"/>
      <c r="J4317" s="14"/>
      <c r="K4317" s="14"/>
      <c r="L4317" s="14"/>
      <c r="M4317" s="14" t="s">
        <v>2473</v>
      </c>
      <c r="N4317" s="14" t="s">
        <v>2474</v>
      </c>
      <c r="O4317" s="14" t="s">
        <v>2475</v>
      </c>
      <c r="P4317" s="14" t="str">
        <f>HYPERLINK("https://ceds.ed.gov/cedselementdetails.aspx?termid=17875")</f>
        <v>https://ceds.ed.gov/cedselementdetails.aspx?termid=17875</v>
      </c>
      <c r="Q4317" s="14" t="str">
        <f>HYPERLINK("https://ceds.ed.gov/elementComment.aspx?elementName=Competency Definition Blooms Taxonomy Domain &amp;elementID=17875", "Click here to submit comment")</f>
        <v>Click here to submit comment</v>
      </c>
      <c r="R4317" s="14">
        <v>49326</v>
      </c>
    </row>
    <row r="4318" spans="1:18" ht="45" x14ac:dyDescent="0.25">
      <c r="A4318" s="14" t="s">
        <v>9194</v>
      </c>
      <c r="B4318" s="14" t="s">
        <v>9197</v>
      </c>
      <c r="C4318" s="14"/>
      <c r="D4318" s="14" t="s">
        <v>8531</v>
      </c>
      <c r="E4318" s="14" t="s">
        <v>2483</v>
      </c>
      <c r="F4318" s="14" t="s">
        <v>2484</v>
      </c>
      <c r="G4318" s="14" t="s">
        <v>37</v>
      </c>
      <c r="H4318" s="14"/>
      <c r="I4318" s="14"/>
      <c r="J4318" s="14" t="s">
        <v>129</v>
      </c>
      <c r="K4318" s="14"/>
      <c r="L4318" s="14"/>
      <c r="M4318" s="14" t="s">
        <v>2485</v>
      </c>
      <c r="N4318" s="14" t="s">
        <v>2486</v>
      </c>
      <c r="O4318" s="14" t="s">
        <v>2487</v>
      </c>
      <c r="P4318" s="14" t="str">
        <f>HYPERLINK("https://ceds.ed.gov/cedselementdetails.aspx?termid=17887")</f>
        <v>https://ceds.ed.gov/cedselementdetails.aspx?termid=17887</v>
      </c>
      <c r="Q4318" s="14" t="str">
        <f>HYPERLINK("https://ceds.ed.gov/elementComment.aspx?elementName=Competency Definition Concept Keyword &amp;elementID=17887", "Click here to submit comment")</f>
        <v>Click here to submit comment</v>
      </c>
      <c r="R4318" s="14">
        <v>49338</v>
      </c>
    </row>
    <row r="4319" spans="1:18" ht="75" x14ac:dyDescent="0.25">
      <c r="A4319" s="14" t="s">
        <v>9194</v>
      </c>
      <c r="B4319" s="14" t="s">
        <v>9197</v>
      </c>
      <c r="C4319" s="14"/>
      <c r="D4319" s="14" t="s">
        <v>8531</v>
      </c>
      <c r="E4319" s="14" t="s">
        <v>2488</v>
      </c>
      <c r="F4319" s="14" t="s">
        <v>2489</v>
      </c>
      <c r="G4319" s="14" t="s">
        <v>37</v>
      </c>
      <c r="H4319" s="14"/>
      <c r="I4319" s="14"/>
      <c r="J4319" s="14" t="s">
        <v>97</v>
      </c>
      <c r="K4319" s="14"/>
      <c r="L4319" s="14"/>
      <c r="M4319" s="14" t="s">
        <v>2490</v>
      </c>
      <c r="N4319" s="14" t="s">
        <v>2491</v>
      </c>
      <c r="O4319" s="14" t="s">
        <v>2492</v>
      </c>
      <c r="P4319" s="14" t="str">
        <f>HYPERLINK("https://ceds.ed.gov/cedselementdetails.aspx?termid=17888")</f>
        <v>https://ceds.ed.gov/cedselementdetails.aspx?termid=17888</v>
      </c>
      <c r="Q4319" s="14" t="str">
        <f>HYPERLINK("https://ceds.ed.gov/elementComment.aspx?elementName=Competency Definition Concept Term &amp;elementID=17888", "Click here to submit comment")</f>
        <v>Click here to submit comment</v>
      </c>
      <c r="R4319" s="14">
        <v>49339</v>
      </c>
    </row>
    <row r="4320" spans="1:18" ht="90" x14ac:dyDescent="0.25">
      <c r="A4320" s="14" t="s">
        <v>9194</v>
      </c>
      <c r="B4320" s="14" t="s">
        <v>9197</v>
      </c>
      <c r="C4320" s="14"/>
      <c r="D4320" s="14" t="s">
        <v>8531</v>
      </c>
      <c r="E4320" s="14" t="s">
        <v>2511</v>
      </c>
      <c r="F4320" s="14" t="s">
        <v>2512</v>
      </c>
      <c r="G4320" s="14" t="s">
        <v>8527</v>
      </c>
      <c r="H4320" s="14"/>
      <c r="I4320" s="14" t="s">
        <v>195</v>
      </c>
      <c r="J4320" s="14"/>
      <c r="K4320" s="14" t="s">
        <v>1086</v>
      </c>
      <c r="L4320" s="6" t="s">
        <v>1087</v>
      </c>
      <c r="M4320" s="14" t="s">
        <v>2513</v>
      </c>
      <c r="N4320" s="14" t="s">
        <v>2514</v>
      </c>
      <c r="O4320" s="14" t="s">
        <v>2515</v>
      </c>
      <c r="P4320" s="14" t="str">
        <f>HYPERLINK("https://ceds.ed.gov/cedselementdetails.aspx?termid=17881")</f>
        <v>https://ceds.ed.gov/cedselementdetails.aspx?termid=17881</v>
      </c>
      <c r="Q4320" s="14" t="str">
        <f>HYPERLINK("https://ceds.ed.gov/elementComment.aspx?elementName=Competency Definition Language &amp;elementID=17881", "Click here to submit comment")</f>
        <v>Click here to submit comment</v>
      </c>
      <c r="R4320" s="14">
        <v>49332</v>
      </c>
    </row>
    <row r="4321" spans="1:18" ht="60" x14ac:dyDescent="0.25">
      <c r="A4321" s="14" t="s">
        <v>9194</v>
      </c>
      <c r="B4321" s="14" t="s">
        <v>9197</v>
      </c>
      <c r="C4321" s="14"/>
      <c r="D4321" s="14" t="s">
        <v>8531</v>
      </c>
      <c r="E4321" s="14" t="s">
        <v>2516</v>
      </c>
      <c r="F4321" s="14" t="s">
        <v>2517</v>
      </c>
      <c r="G4321" s="14" t="s">
        <v>37</v>
      </c>
      <c r="H4321" s="14"/>
      <c r="I4321" s="14"/>
      <c r="J4321" s="14" t="s">
        <v>382</v>
      </c>
      <c r="K4321" s="14"/>
      <c r="L4321" s="14"/>
      <c r="M4321" s="14" t="s">
        <v>2518</v>
      </c>
      <c r="N4321" s="14" t="s">
        <v>2519</v>
      </c>
      <c r="O4321" s="14" t="s">
        <v>2520</v>
      </c>
      <c r="P4321" s="14" t="str">
        <f>HYPERLINK("https://ceds.ed.gov/cedselementdetails.aspx?termid=17883")</f>
        <v>https://ceds.ed.gov/cedselementdetails.aspx?termid=17883</v>
      </c>
      <c r="Q4321" s="14" t="str">
        <f>HYPERLINK("https://ceds.ed.gov/elementComment.aspx?elementName=Competency Definition License &amp;elementID=17883", "Click here to submit comment")</f>
        <v>Click here to submit comment</v>
      </c>
      <c r="R4321" s="14">
        <v>49334</v>
      </c>
    </row>
    <row r="4322" spans="1:18" ht="150" x14ac:dyDescent="0.25">
      <c r="A4322" s="14" t="s">
        <v>9194</v>
      </c>
      <c r="B4322" s="14" t="s">
        <v>9197</v>
      </c>
      <c r="C4322" s="14"/>
      <c r="D4322" s="14" t="s">
        <v>8531</v>
      </c>
      <c r="E4322" s="14" t="s">
        <v>2521</v>
      </c>
      <c r="F4322" s="14" t="s">
        <v>2522</v>
      </c>
      <c r="G4322" s="8" t="s">
        <v>9200</v>
      </c>
      <c r="H4322" s="14"/>
      <c r="I4322" s="14"/>
      <c r="J4322" s="14"/>
      <c r="K4322" s="14"/>
      <c r="L4322" s="14"/>
      <c r="M4322" s="14" t="s">
        <v>2524</v>
      </c>
      <c r="N4322" s="14" t="s">
        <v>2525</v>
      </c>
      <c r="O4322" s="14" t="s">
        <v>2526</v>
      </c>
      <c r="P4322" s="14" t="str">
        <f>HYPERLINK("https://ceds.ed.gov/cedselementdetails.aspx?termid=17876")</f>
        <v>https://ceds.ed.gov/cedselementdetails.aspx?termid=17876</v>
      </c>
      <c r="Q4322" s="14" t="str">
        <f>HYPERLINK("https://ceds.ed.gov/elementComment.aspx?elementName=Competency Definition Multiple Intelligence &amp;elementID=17876", "Click here to submit comment")</f>
        <v>Click here to submit comment</v>
      </c>
      <c r="R4322" s="14">
        <v>49327</v>
      </c>
    </row>
    <row r="4323" spans="1:18" ht="45" x14ac:dyDescent="0.25">
      <c r="A4323" s="14" t="s">
        <v>9194</v>
      </c>
      <c r="B4323" s="14" t="s">
        <v>9197</v>
      </c>
      <c r="C4323" s="14"/>
      <c r="D4323" s="14" t="s">
        <v>8531</v>
      </c>
      <c r="E4323" s="14" t="s">
        <v>2570</v>
      </c>
      <c r="F4323" s="14" t="s">
        <v>2571</v>
      </c>
      <c r="G4323" s="14" t="s">
        <v>37</v>
      </c>
      <c r="H4323" s="14"/>
      <c r="I4323" s="14" t="s">
        <v>195</v>
      </c>
      <c r="J4323" s="14" t="s">
        <v>97</v>
      </c>
      <c r="K4323" s="14" t="s">
        <v>2572</v>
      </c>
      <c r="L4323" s="14"/>
      <c r="M4323" s="14" t="s">
        <v>2573</v>
      </c>
      <c r="N4323" s="14" t="s">
        <v>2574</v>
      </c>
      <c r="O4323" s="14" t="s">
        <v>2575</v>
      </c>
      <c r="P4323" s="14" t="str">
        <f>HYPERLINK("https://ceds.ed.gov/cedselementdetails.aspx?termid=18378")</f>
        <v>https://ceds.ed.gov/cedselementdetails.aspx?termid=18378</v>
      </c>
      <c r="Q4323" s="14" t="str">
        <f>HYPERLINK("https://ceds.ed.gov/elementComment.aspx?elementName=Competency Definition Short Name &amp;elementID=18378", "Click here to submit comment")</f>
        <v>Click here to submit comment</v>
      </c>
      <c r="R4323" s="14">
        <v>50510</v>
      </c>
    </row>
    <row r="4324" spans="1:18" ht="105" x14ac:dyDescent="0.25">
      <c r="A4324" s="14" t="s">
        <v>9194</v>
      </c>
      <c r="B4324" s="14" t="s">
        <v>9197</v>
      </c>
      <c r="C4324" s="14"/>
      <c r="D4324" s="14" t="s">
        <v>8531</v>
      </c>
      <c r="E4324" s="14" t="s">
        <v>2527</v>
      </c>
      <c r="F4324" s="14" t="s">
        <v>2528</v>
      </c>
      <c r="G4324" s="8" t="s">
        <v>9201</v>
      </c>
      <c r="H4324" s="14"/>
      <c r="I4324" s="14"/>
      <c r="J4324" s="14"/>
      <c r="K4324" s="14"/>
      <c r="L4324" s="14"/>
      <c r="M4324" s="14" t="s">
        <v>2530</v>
      </c>
      <c r="N4324" s="14" t="s">
        <v>2531</v>
      </c>
      <c r="O4324" s="14" t="s">
        <v>2532</v>
      </c>
      <c r="P4324" s="14" t="str">
        <f>HYPERLINK("https://ceds.ed.gov/cedselementdetails.aspx?termid=18377")</f>
        <v>https://ceds.ed.gov/cedselementdetails.aspx?termid=18377</v>
      </c>
      <c r="Q4324" s="14" t="str">
        <f>HYPERLINK("https://ceds.ed.gov/elementComment.aspx?elementName=Competency Definition Node Accessibility Profile &amp;elementID=18377", "Click here to submit comment")</f>
        <v>Click here to submit comment</v>
      </c>
      <c r="R4324" s="14">
        <v>50509</v>
      </c>
    </row>
    <row r="4325" spans="1:18" ht="45" x14ac:dyDescent="0.25">
      <c r="A4325" s="14" t="s">
        <v>9194</v>
      </c>
      <c r="B4325" s="14" t="s">
        <v>9197</v>
      </c>
      <c r="C4325" s="14"/>
      <c r="D4325" s="14" t="s">
        <v>8531</v>
      </c>
      <c r="E4325" s="14" t="s">
        <v>2533</v>
      </c>
      <c r="F4325" s="14" t="s">
        <v>2534</v>
      </c>
      <c r="G4325" s="14" t="s">
        <v>37</v>
      </c>
      <c r="H4325" s="14"/>
      <c r="I4325" s="14"/>
      <c r="J4325" s="14" t="s">
        <v>382</v>
      </c>
      <c r="K4325" s="14"/>
      <c r="L4325" s="14"/>
      <c r="M4325" s="14" t="s">
        <v>2535</v>
      </c>
      <c r="N4325" s="14" t="s">
        <v>2536</v>
      </c>
      <c r="O4325" s="14" t="s">
        <v>2537</v>
      </c>
      <c r="P4325" s="14" t="str">
        <f>HYPERLINK("https://ceds.ed.gov/cedselementdetails.aspx?termid=18215")</f>
        <v>https://ceds.ed.gov/cedselementdetails.aspx?termid=18215</v>
      </c>
      <c r="Q4325" s="14" t="str">
        <f>HYPERLINK("https://ceds.ed.gov/elementComment.aspx?elementName=Competency Definition Notes &amp;elementID=18215", "Click here to submit comment")</f>
        <v>Click here to submit comment</v>
      </c>
      <c r="R4325" s="14">
        <v>48722</v>
      </c>
    </row>
    <row r="4326" spans="1:18" ht="45" x14ac:dyDescent="0.25">
      <c r="A4326" s="14" t="s">
        <v>9194</v>
      </c>
      <c r="B4326" s="14" t="s">
        <v>9197</v>
      </c>
      <c r="C4326" s="14"/>
      <c r="D4326" s="14" t="s">
        <v>8531</v>
      </c>
      <c r="E4326" s="14" t="s">
        <v>2598</v>
      </c>
      <c r="F4326" s="14" t="s">
        <v>2599</v>
      </c>
      <c r="G4326" s="14" t="s">
        <v>37</v>
      </c>
      <c r="H4326" s="14"/>
      <c r="I4326" s="14"/>
      <c r="J4326" s="14" t="s">
        <v>97</v>
      </c>
      <c r="K4326" s="14"/>
      <c r="L4326" s="14"/>
      <c r="M4326" s="14" t="s">
        <v>2600</v>
      </c>
      <c r="N4326" s="14" t="s">
        <v>2601</v>
      </c>
      <c r="O4326" s="14" t="s">
        <v>2602</v>
      </c>
      <c r="P4326" s="14" t="str">
        <f>HYPERLINK("https://ceds.ed.gov/cedselementdetails.aspx?termid=17910")</f>
        <v>https://ceds.ed.gov/cedselementdetails.aspx?termid=17910</v>
      </c>
      <c r="Q4326" s="14" t="str">
        <f>HYPERLINK("https://ceds.ed.gov/elementComment.aspx?elementName=Competency Definition Text Complexity System &amp;elementID=17910", "Click here to submit comment")</f>
        <v>Click here to submit comment</v>
      </c>
      <c r="R4326" s="14">
        <v>48369</v>
      </c>
    </row>
    <row r="4327" spans="1:18" ht="75" x14ac:dyDescent="0.25">
      <c r="A4327" s="14" t="s">
        <v>9194</v>
      </c>
      <c r="B4327" s="14" t="s">
        <v>9197</v>
      </c>
      <c r="C4327" s="14"/>
      <c r="D4327" s="14" t="s">
        <v>8531</v>
      </c>
      <c r="E4327" s="14" t="s">
        <v>2593</v>
      </c>
      <c r="F4327" s="14" t="s">
        <v>2594</v>
      </c>
      <c r="G4327" s="14" t="s">
        <v>37</v>
      </c>
      <c r="H4327" s="14"/>
      <c r="I4327" s="14"/>
      <c r="J4327" s="14" t="s">
        <v>165</v>
      </c>
      <c r="K4327" s="14"/>
      <c r="L4327" s="14"/>
      <c r="M4327" s="14" t="s">
        <v>2595</v>
      </c>
      <c r="N4327" s="14" t="s">
        <v>2596</v>
      </c>
      <c r="O4327" s="14" t="s">
        <v>2597</v>
      </c>
      <c r="P4327" s="14" t="str">
        <f>HYPERLINK("https://ceds.ed.gov/cedselementdetails.aspx?termid=18114")</f>
        <v>https://ceds.ed.gov/cedselementdetails.aspx?termid=18114</v>
      </c>
      <c r="Q4327" s="14" t="str">
        <f>HYPERLINK("https://ceds.ed.gov/elementComment.aspx?elementName=Competency Definition Text Complexity Minimum Value &amp;elementID=18114", "Click here to submit comment")</f>
        <v>Click here to submit comment</v>
      </c>
      <c r="R4327" s="14">
        <v>49699</v>
      </c>
    </row>
    <row r="4328" spans="1:18" ht="75" x14ac:dyDescent="0.25">
      <c r="A4328" s="14" t="s">
        <v>9194</v>
      </c>
      <c r="B4328" s="14" t="s">
        <v>9197</v>
      </c>
      <c r="C4328" s="14"/>
      <c r="D4328" s="14" t="s">
        <v>8531</v>
      </c>
      <c r="E4328" s="14" t="s">
        <v>2588</v>
      </c>
      <c r="F4328" s="14" t="s">
        <v>2589</v>
      </c>
      <c r="G4328" s="14" t="s">
        <v>37</v>
      </c>
      <c r="H4328" s="14"/>
      <c r="I4328" s="14"/>
      <c r="J4328" s="14" t="s">
        <v>165</v>
      </c>
      <c r="K4328" s="14"/>
      <c r="L4328" s="14"/>
      <c r="M4328" s="14" t="s">
        <v>2590</v>
      </c>
      <c r="N4328" s="14" t="s">
        <v>2591</v>
      </c>
      <c r="O4328" s="14" t="s">
        <v>2592</v>
      </c>
      <c r="P4328" s="14" t="str">
        <f>HYPERLINK("https://ceds.ed.gov/cedselementdetails.aspx?termid=18115")</f>
        <v>https://ceds.ed.gov/cedselementdetails.aspx?termid=18115</v>
      </c>
      <c r="Q4328" s="14" t="str">
        <f>HYPERLINK("https://ceds.ed.gov/elementComment.aspx?elementName=Competency Definition Text Complexity Maximum Value &amp;elementID=18115", "Click here to submit comment")</f>
        <v>Click here to submit comment</v>
      </c>
      <c r="R4328" s="14">
        <v>49700</v>
      </c>
    </row>
    <row r="4329" spans="1:18" ht="45" x14ac:dyDescent="0.25">
      <c r="A4329" s="14" t="s">
        <v>9194</v>
      </c>
      <c r="B4329" s="14" t="s">
        <v>9197</v>
      </c>
      <c r="C4329" s="14"/>
      <c r="D4329" s="14" t="s">
        <v>8531</v>
      </c>
      <c r="E4329" s="14" t="s">
        <v>2659</v>
      </c>
      <c r="F4329" s="14" t="s">
        <v>2660</v>
      </c>
      <c r="G4329" s="14" t="s">
        <v>37</v>
      </c>
      <c r="H4329" s="14" t="s">
        <v>908</v>
      </c>
      <c r="I4329" s="14"/>
      <c r="J4329" s="14" t="s">
        <v>57</v>
      </c>
      <c r="K4329" s="14"/>
      <c r="L4329" s="14"/>
      <c r="M4329" s="14" t="s">
        <v>2662</v>
      </c>
      <c r="N4329" s="14" t="s">
        <v>2663</v>
      </c>
      <c r="O4329" s="14" t="s">
        <v>2664</v>
      </c>
      <c r="P4329" s="14" t="str">
        <f>HYPERLINK("https://ceds.ed.gov/cedselementdetails.aspx?termid=17670")</f>
        <v>https://ceds.ed.gov/cedselementdetails.aspx?termid=17670</v>
      </c>
      <c r="Q4329" s="14" t="str">
        <f>HYPERLINK("https://ceds.ed.gov/elementComment.aspx?elementName=Competency Framework Identifier URI &amp;elementID=17670", "Click here to submit comment")</f>
        <v>Click here to submit comment</v>
      </c>
      <c r="R4329" s="14">
        <v>51997</v>
      </c>
    </row>
    <row r="4330" spans="1:18" ht="75" x14ac:dyDescent="0.25">
      <c r="A4330" s="14" t="s">
        <v>9194</v>
      </c>
      <c r="B4330" s="14" t="s">
        <v>9197</v>
      </c>
      <c r="C4330" s="14"/>
      <c r="D4330" s="14" t="s">
        <v>8531</v>
      </c>
      <c r="E4330" s="14" t="s">
        <v>2564</v>
      </c>
      <c r="F4330" s="14" t="s">
        <v>2565</v>
      </c>
      <c r="G4330" s="14" t="s">
        <v>37</v>
      </c>
      <c r="H4330" s="14"/>
      <c r="I4330" s="14"/>
      <c r="J4330" s="14" t="s">
        <v>175</v>
      </c>
      <c r="K4330" s="14"/>
      <c r="L4330" s="14" t="s">
        <v>2566</v>
      </c>
      <c r="M4330" s="14" t="s">
        <v>2567</v>
      </c>
      <c r="N4330" s="14" t="s">
        <v>2568</v>
      </c>
      <c r="O4330" s="14" t="s">
        <v>2569</v>
      </c>
      <c r="P4330" s="14" t="str">
        <f>HYPERLINK("https://ceds.ed.gov/cedselementdetails.aspx?termid=18549")</f>
        <v>https://ceds.ed.gov/cedselementdetails.aspx?termid=18549</v>
      </c>
      <c r="Q4330" s="14" t="str">
        <f>HYPERLINK("https://ceds.ed.gov/elementComment.aspx?elementName=Competency Definition Sequence &amp;elementID=18549", "Click here to submit comment")</f>
        <v>Click here to submit comment</v>
      </c>
      <c r="R4330" s="14">
        <v>52159</v>
      </c>
    </row>
    <row r="4331" spans="1:18" ht="60" x14ac:dyDescent="0.25">
      <c r="A4331" s="14" t="s">
        <v>9194</v>
      </c>
      <c r="B4331" s="14" t="s">
        <v>9197</v>
      </c>
      <c r="C4331" s="14"/>
      <c r="D4331" s="14" t="s">
        <v>8531</v>
      </c>
      <c r="E4331" s="14" t="s">
        <v>2615</v>
      </c>
      <c r="F4331" s="14" t="s">
        <v>2616</v>
      </c>
      <c r="G4331" s="14" t="s">
        <v>37</v>
      </c>
      <c r="H4331" s="14"/>
      <c r="I4331" s="14"/>
      <c r="J4331" s="14" t="s">
        <v>370</v>
      </c>
      <c r="K4331" s="14"/>
      <c r="L4331" s="14" t="s">
        <v>2617</v>
      </c>
      <c r="M4331" s="14" t="s">
        <v>2618</v>
      </c>
      <c r="N4331" s="14"/>
      <c r="O4331" s="14" t="s">
        <v>2619</v>
      </c>
      <c r="P4331" s="14" t="str">
        <f>HYPERLINK("https://ceds.ed.gov/cedselementdetails.aspx?termid=18890")</f>
        <v>https://ceds.ed.gov/cedselementdetails.aspx?termid=18890</v>
      </c>
      <c r="Q4331" s="14" t="str">
        <f>HYPERLINK("https://ceds.ed.gov/elementComment.aspx?elementName=Competency Definition Typical Age Range Maximum &amp;elementID=18890", "Click here to submit comment")</f>
        <v>Click here to submit comment</v>
      </c>
      <c r="R4331" s="14">
        <v>52182</v>
      </c>
    </row>
    <row r="4332" spans="1:18" ht="60" x14ac:dyDescent="0.25">
      <c r="A4332" s="14" t="s">
        <v>9194</v>
      </c>
      <c r="B4332" s="14" t="s">
        <v>9197</v>
      </c>
      <c r="C4332" s="14"/>
      <c r="D4332" s="14" t="s">
        <v>8531</v>
      </c>
      <c r="E4332" s="14" t="s">
        <v>2620</v>
      </c>
      <c r="F4332" s="14" t="s">
        <v>2621</v>
      </c>
      <c r="G4332" s="14" t="s">
        <v>37</v>
      </c>
      <c r="H4332" s="14"/>
      <c r="I4332" s="14"/>
      <c r="J4332" s="14" t="s">
        <v>370</v>
      </c>
      <c r="K4332" s="14"/>
      <c r="L4332" s="14" t="s">
        <v>2622</v>
      </c>
      <c r="M4332" s="14" t="s">
        <v>2623</v>
      </c>
      <c r="N4332" s="14"/>
      <c r="O4332" s="14" t="s">
        <v>2624</v>
      </c>
      <c r="P4332" s="14" t="str">
        <f>HYPERLINK("https://ceds.ed.gov/cedselementdetails.aspx?termid=18889")</f>
        <v>https://ceds.ed.gov/cedselementdetails.aspx?termid=18889</v>
      </c>
      <c r="Q4332" s="14" t="str">
        <f>HYPERLINK("https://ceds.ed.gov/elementComment.aspx?elementName=Competency Definition Typical Age Range Minimum &amp;elementID=18889", "Click here to submit comment")</f>
        <v>Click here to submit comment</v>
      </c>
      <c r="R4332" s="14">
        <v>52183</v>
      </c>
    </row>
    <row r="4333" spans="1:18" ht="75" x14ac:dyDescent="0.25">
      <c r="A4333" s="14" t="s">
        <v>9194</v>
      </c>
      <c r="B4333" s="14" t="s">
        <v>9197</v>
      </c>
      <c r="C4333" s="14"/>
      <c r="D4333" s="14" t="s">
        <v>8531</v>
      </c>
      <c r="E4333" s="14" t="s">
        <v>2707</v>
      </c>
      <c r="F4333" s="14" t="s">
        <v>2708</v>
      </c>
      <c r="G4333" s="14" t="s">
        <v>37</v>
      </c>
      <c r="H4333" s="14"/>
      <c r="I4333" s="14"/>
      <c r="J4333" s="14" t="s">
        <v>57</v>
      </c>
      <c r="K4333" s="14"/>
      <c r="L4333" s="14" t="s">
        <v>2709</v>
      </c>
      <c r="M4333" s="14" t="s">
        <v>2710</v>
      </c>
      <c r="N4333" s="14"/>
      <c r="O4333" s="14" t="s">
        <v>2711</v>
      </c>
      <c r="P4333" s="14" t="str">
        <f>HYPERLINK("https://ceds.ed.gov/cedselementdetails.aspx?termid=18888")</f>
        <v>https://ceds.ed.gov/cedselementdetails.aspx?termid=18888</v>
      </c>
      <c r="Q4333" s="14" t="str">
        <f>HYPERLINK("https://ceds.ed.gov/elementComment.aspx?elementName=Competency Framework Source URL &amp;elementID=18888", "Click here to submit comment")</f>
        <v>Click here to submit comment</v>
      </c>
      <c r="R4333" s="14">
        <v>52184</v>
      </c>
    </row>
    <row r="4334" spans="1:18" ht="120" x14ac:dyDescent="0.25">
      <c r="A4334" s="14" t="s">
        <v>9194</v>
      </c>
      <c r="B4334" s="14" t="s">
        <v>9197</v>
      </c>
      <c r="C4334" s="14"/>
      <c r="D4334" s="14" t="s">
        <v>8531</v>
      </c>
      <c r="E4334" s="14" t="s">
        <v>2631</v>
      </c>
      <c r="F4334" s="14" t="s">
        <v>2632</v>
      </c>
      <c r="G4334" s="14" t="s">
        <v>37</v>
      </c>
      <c r="H4334" s="14"/>
      <c r="I4334" s="14"/>
      <c r="J4334" s="14" t="s">
        <v>135</v>
      </c>
      <c r="K4334" s="14"/>
      <c r="L4334" s="14" t="s">
        <v>2633</v>
      </c>
      <c r="M4334" s="14" t="s">
        <v>2634</v>
      </c>
      <c r="N4334" s="14" t="s">
        <v>2635</v>
      </c>
      <c r="O4334" s="14" t="s">
        <v>2636</v>
      </c>
      <c r="P4334" s="14" t="str">
        <f>HYPERLINK("https://ceds.ed.gov/cedselementdetails.aspx?termid=18483")</f>
        <v>https://ceds.ed.gov/cedselementdetails.aspx?termid=18483</v>
      </c>
      <c r="Q4334" s="14" t="str">
        <f>HYPERLINK("https://ceds.ed.gov/elementComment.aspx?elementName=Competency Definition Valid End Date &amp;elementID=18483", "Click here to submit comment")</f>
        <v>Click here to submit comment</v>
      </c>
      <c r="R4334" s="14">
        <v>52199</v>
      </c>
    </row>
    <row r="4335" spans="1:18" ht="60" x14ac:dyDescent="0.25">
      <c r="A4335" s="14" t="s">
        <v>9194</v>
      </c>
      <c r="B4335" s="14" t="s">
        <v>9197</v>
      </c>
      <c r="C4335" s="14"/>
      <c r="D4335" s="14" t="s">
        <v>8531</v>
      </c>
      <c r="E4335" s="14" t="s">
        <v>2637</v>
      </c>
      <c r="F4335" s="14" t="s">
        <v>2638</v>
      </c>
      <c r="G4335" s="14" t="s">
        <v>37</v>
      </c>
      <c r="H4335" s="14"/>
      <c r="I4335" s="14"/>
      <c r="J4335" s="14" t="s">
        <v>135</v>
      </c>
      <c r="K4335" s="14"/>
      <c r="L4335" s="14"/>
      <c r="M4335" s="14" t="s">
        <v>2639</v>
      </c>
      <c r="N4335" s="14" t="s">
        <v>2640</v>
      </c>
      <c r="O4335" s="14" t="s">
        <v>2641</v>
      </c>
      <c r="P4335" s="14" t="str">
        <f>HYPERLINK("https://ceds.ed.gov/cedselementdetails.aspx?termid=18484")</f>
        <v>https://ceds.ed.gov/cedselementdetails.aspx?termid=18484</v>
      </c>
      <c r="Q4335" s="14" t="str">
        <f>HYPERLINK("https://ceds.ed.gov/elementComment.aspx?elementName=Competency Definition Valid Start Date &amp;elementID=18484", "Click here to submit comment")</f>
        <v>Click here to submit comment</v>
      </c>
      <c r="R4335" s="14">
        <v>52200</v>
      </c>
    </row>
    <row r="4336" spans="1:18" ht="75" x14ac:dyDescent="0.25">
      <c r="A4336" s="14" t="s">
        <v>9194</v>
      </c>
      <c r="B4336" s="14" t="s">
        <v>9197</v>
      </c>
      <c r="C4336" s="14" t="s">
        <v>9202</v>
      </c>
      <c r="D4336" s="14" t="s">
        <v>8531</v>
      </c>
      <c r="E4336" s="14" t="s">
        <v>2438</v>
      </c>
      <c r="F4336" s="14" t="s">
        <v>2439</v>
      </c>
      <c r="G4336" s="14" t="s">
        <v>37</v>
      </c>
      <c r="H4336" s="14"/>
      <c r="I4336" s="14"/>
      <c r="J4336" s="14" t="s">
        <v>57</v>
      </c>
      <c r="K4336" s="14"/>
      <c r="L4336" s="14"/>
      <c r="M4336" s="14" t="s">
        <v>2441</v>
      </c>
      <c r="N4336" s="14" t="s">
        <v>2442</v>
      </c>
      <c r="O4336" s="14" t="s">
        <v>2443</v>
      </c>
      <c r="P4336" s="14" t="str">
        <f>HYPERLINK("https://ceds.ed.gov/cedselementdetails.aspx?termid=17871")</f>
        <v>https://ceds.ed.gov/cedselementdetails.aspx?termid=17871</v>
      </c>
      <c r="Q4336" s="14" t="str">
        <f>HYPERLINK("https://ceds.ed.gov/elementComment.aspx?elementName=Competency Association Identifier URI &amp;elementID=17871", "Click here to submit comment")</f>
        <v>Click here to submit comment</v>
      </c>
      <c r="R4336" s="14">
        <v>49323</v>
      </c>
    </row>
    <row r="4337" spans="1:18" ht="409.5" customHeight="1" x14ac:dyDescent="0.25">
      <c r="A4337" s="19" t="s">
        <v>9194</v>
      </c>
      <c r="B4337" s="19" t="s">
        <v>9197</v>
      </c>
      <c r="C4337" s="19" t="s">
        <v>9202</v>
      </c>
      <c r="D4337" s="19" t="s">
        <v>8531</v>
      </c>
      <c r="E4337" s="19" t="s">
        <v>2454</v>
      </c>
      <c r="F4337" s="19" t="s">
        <v>2455</v>
      </c>
      <c r="G4337" s="22" t="s">
        <v>9203</v>
      </c>
      <c r="H4337" s="19"/>
      <c r="I4337" s="19"/>
      <c r="J4337" s="19"/>
      <c r="K4337" s="19"/>
      <c r="L4337" s="14" t="s">
        <v>2457</v>
      </c>
      <c r="M4337" s="19" t="s">
        <v>2458</v>
      </c>
      <c r="N4337" s="19" t="s">
        <v>2459</v>
      </c>
      <c r="O4337" s="19" t="s">
        <v>2460</v>
      </c>
      <c r="P4337" s="19" t="str">
        <f>HYPERLINK("https://ceds.ed.gov/cedselementdetails.aspx?termid=17869")</f>
        <v>https://ceds.ed.gov/cedselementdetails.aspx?termid=17869</v>
      </c>
      <c r="Q4337" s="19" t="str">
        <f>HYPERLINK("https://ceds.ed.gov/elementComment.aspx?elementName=Competency Association Type &amp;elementID=17869", "Click here to submit comment")</f>
        <v>Click here to submit comment</v>
      </c>
      <c r="R4337" s="19">
        <v>49320</v>
      </c>
    </row>
    <row r="4338" spans="1:18" x14ac:dyDescent="0.25">
      <c r="A4338" s="20"/>
      <c r="B4338" s="20"/>
      <c r="C4338" s="20"/>
      <c r="D4338" s="20"/>
      <c r="E4338" s="20"/>
      <c r="F4338" s="20"/>
      <c r="G4338" s="23"/>
      <c r="H4338" s="20"/>
      <c r="I4338" s="20"/>
      <c r="J4338" s="20"/>
      <c r="K4338" s="20"/>
      <c r="L4338" s="14"/>
      <c r="M4338" s="20"/>
      <c r="N4338" s="20"/>
      <c r="O4338" s="20"/>
      <c r="P4338" s="20"/>
      <c r="Q4338" s="20"/>
      <c r="R4338" s="20"/>
    </row>
    <row r="4339" spans="1:18" x14ac:dyDescent="0.25">
      <c r="A4339" s="20"/>
      <c r="B4339" s="20"/>
      <c r="C4339" s="20"/>
      <c r="D4339" s="20"/>
      <c r="E4339" s="20"/>
      <c r="F4339" s="20"/>
      <c r="G4339" s="23"/>
      <c r="H4339" s="20"/>
      <c r="I4339" s="20"/>
      <c r="J4339" s="20"/>
      <c r="K4339" s="20"/>
      <c r="L4339" s="14"/>
      <c r="M4339" s="20"/>
      <c r="N4339" s="20"/>
      <c r="O4339" s="20"/>
      <c r="P4339" s="20"/>
      <c r="Q4339" s="20"/>
      <c r="R4339" s="20"/>
    </row>
    <row r="4340" spans="1:18" ht="135" x14ac:dyDescent="0.25">
      <c r="A4340" s="21"/>
      <c r="B4340" s="21"/>
      <c r="C4340" s="21"/>
      <c r="D4340" s="21"/>
      <c r="E4340" s="21"/>
      <c r="F4340" s="21"/>
      <c r="G4340" s="24"/>
      <c r="H4340" s="21"/>
      <c r="I4340" s="21"/>
      <c r="J4340" s="21"/>
      <c r="K4340" s="21"/>
      <c r="L4340" s="14" t="s">
        <v>2461</v>
      </c>
      <c r="M4340" s="21"/>
      <c r="N4340" s="21"/>
      <c r="O4340" s="21"/>
      <c r="P4340" s="21"/>
      <c r="Q4340" s="21"/>
      <c r="R4340" s="21"/>
    </row>
    <row r="4341" spans="1:18" ht="45" x14ac:dyDescent="0.25">
      <c r="A4341" s="14" t="s">
        <v>9194</v>
      </c>
      <c r="B4341" s="14" t="s">
        <v>9197</v>
      </c>
      <c r="C4341" s="14" t="s">
        <v>9202</v>
      </c>
      <c r="D4341" s="14" t="s">
        <v>8531</v>
      </c>
      <c r="E4341" s="14" t="s">
        <v>2422</v>
      </c>
      <c r="F4341" s="14" t="s">
        <v>2423</v>
      </c>
      <c r="G4341" s="14" t="s">
        <v>37</v>
      </c>
      <c r="H4341" s="14"/>
      <c r="I4341" s="14"/>
      <c r="J4341" s="14" t="s">
        <v>129</v>
      </c>
      <c r="K4341" s="14"/>
      <c r="L4341" s="14"/>
      <c r="M4341" s="14" t="s">
        <v>2425</v>
      </c>
      <c r="N4341" s="14" t="s">
        <v>2426</v>
      </c>
      <c r="O4341" s="14" t="s">
        <v>2427</v>
      </c>
      <c r="P4341" s="14" t="str">
        <f>HYPERLINK("https://ceds.ed.gov/cedselementdetails.aspx?termid=18371")</f>
        <v>https://ceds.ed.gov/cedselementdetails.aspx?termid=18371</v>
      </c>
      <c r="Q4341" s="14" t="str">
        <f>HYPERLINK("https://ceds.ed.gov/elementComment.aspx?elementName=Competency Association Connection Citation &amp;elementID=18371", "Click here to submit comment")</f>
        <v>Click here to submit comment</v>
      </c>
      <c r="R4341" s="14">
        <v>50503</v>
      </c>
    </row>
    <row r="4342" spans="1:18" ht="45" x14ac:dyDescent="0.25">
      <c r="A4342" s="14" t="s">
        <v>9194</v>
      </c>
      <c r="B4342" s="14" t="s">
        <v>9197</v>
      </c>
      <c r="C4342" s="14" t="s">
        <v>9202</v>
      </c>
      <c r="D4342" s="14" t="s">
        <v>8531</v>
      </c>
      <c r="E4342" s="14" t="s">
        <v>2428</v>
      </c>
      <c r="F4342" s="14" t="s">
        <v>2429</v>
      </c>
      <c r="G4342" s="14" t="s">
        <v>37</v>
      </c>
      <c r="H4342" s="14"/>
      <c r="I4342" s="14"/>
      <c r="J4342" s="14" t="s">
        <v>97</v>
      </c>
      <c r="K4342" s="14"/>
      <c r="L4342" s="14"/>
      <c r="M4342" s="14" t="s">
        <v>2430</v>
      </c>
      <c r="N4342" s="14" t="s">
        <v>2431</v>
      </c>
      <c r="O4342" s="14" t="s">
        <v>2432</v>
      </c>
      <c r="P4342" s="14" t="str">
        <f>HYPERLINK("https://ceds.ed.gov/cedselementdetails.aspx?termid=18372")</f>
        <v>https://ceds.ed.gov/cedselementdetails.aspx?termid=18372</v>
      </c>
      <c r="Q4342" s="14" t="str">
        <f>HYPERLINK("https://ceds.ed.gov/elementComment.aspx?elementName=Competency Association Destination Node Name &amp;elementID=18372", "Click here to submit comment")</f>
        <v>Click here to submit comment</v>
      </c>
      <c r="R4342" s="14">
        <v>50504</v>
      </c>
    </row>
    <row r="4343" spans="1:18" ht="45" x14ac:dyDescent="0.25">
      <c r="A4343" s="14" t="s">
        <v>9194</v>
      </c>
      <c r="B4343" s="14" t="s">
        <v>9197</v>
      </c>
      <c r="C4343" s="14" t="s">
        <v>9202</v>
      </c>
      <c r="D4343" s="14" t="s">
        <v>8531</v>
      </c>
      <c r="E4343" s="14" t="s">
        <v>2433</v>
      </c>
      <c r="F4343" s="14" t="s">
        <v>2434</v>
      </c>
      <c r="G4343" s="14" t="s">
        <v>37</v>
      </c>
      <c r="H4343" s="14"/>
      <c r="I4343" s="14"/>
      <c r="J4343" s="14" t="s">
        <v>57</v>
      </c>
      <c r="K4343" s="14"/>
      <c r="L4343" s="14"/>
      <c r="M4343" s="14" t="s">
        <v>2435</v>
      </c>
      <c r="N4343" s="14" t="s">
        <v>2436</v>
      </c>
      <c r="O4343" s="14" t="s">
        <v>2437</v>
      </c>
      <c r="P4343" s="14" t="str">
        <f>HYPERLINK("https://ceds.ed.gov/cedselementdetails.aspx?termid=18373")</f>
        <v>https://ceds.ed.gov/cedselementdetails.aspx?termid=18373</v>
      </c>
      <c r="Q4343" s="14" t="str">
        <f>HYPERLINK("https://ceds.ed.gov/elementComment.aspx?elementName=Competency Association Destination Node URI &amp;elementID=18373", "Click here to submit comment")</f>
        <v>Click here to submit comment</v>
      </c>
      <c r="R4343" s="14">
        <v>50505</v>
      </c>
    </row>
    <row r="4344" spans="1:18" ht="45" x14ac:dyDescent="0.25">
      <c r="A4344" s="14" t="s">
        <v>9194</v>
      </c>
      <c r="B4344" s="14" t="s">
        <v>9197</v>
      </c>
      <c r="C4344" s="14" t="s">
        <v>9202</v>
      </c>
      <c r="D4344" s="14" t="s">
        <v>8531</v>
      </c>
      <c r="E4344" s="14" t="s">
        <v>2444</v>
      </c>
      <c r="F4344" s="14" t="s">
        <v>2445</v>
      </c>
      <c r="G4344" s="14" t="s">
        <v>37</v>
      </c>
      <c r="H4344" s="14"/>
      <c r="I4344" s="14"/>
      <c r="J4344" s="14" t="s">
        <v>97</v>
      </c>
      <c r="K4344" s="14"/>
      <c r="L4344" s="14"/>
      <c r="M4344" s="14" t="s">
        <v>2446</v>
      </c>
      <c r="N4344" s="14" t="s">
        <v>2447</v>
      </c>
      <c r="O4344" s="14" t="s">
        <v>2448</v>
      </c>
      <c r="P4344" s="14" t="str">
        <f>HYPERLINK("https://ceds.ed.gov/cedselementdetails.aspx?termid=18374")</f>
        <v>https://ceds.ed.gov/cedselementdetails.aspx?termid=18374</v>
      </c>
      <c r="Q4344" s="14" t="str">
        <f>HYPERLINK("https://ceds.ed.gov/elementComment.aspx?elementName=Competency Association Origin Node Name &amp;elementID=18374", "Click here to submit comment")</f>
        <v>Click here to submit comment</v>
      </c>
      <c r="R4344" s="14">
        <v>50506</v>
      </c>
    </row>
    <row r="4345" spans="1:18" ht="45" x14ac:dyDescent="0.25">
      <c r="A4345" s="14" t="s">
        <v>9194</v>
      </c>
      <c r="B4345" s="14" t="s">
        <v>9197</v>
      </c>
      <c r="C4345" s="14" t="s">
        <v>9202</v>
      </c>
      <c r="D4345" s="14" t="s">
        <v>8531</v>
      </c>
      <c r="E4345" s="14" t="s">
        <v>2449</v>
      </c>
      <c r="F4345" s="14" t="s">
        <v>2450</v>
      </c>
      <c r="G4345" s="14" t="s">
        <v>37</v>
      </c>
      <c r="H4345" s="14"/>
      <c r="I4345" s="14"/>
      <c r="J4345" s="14" t="s">
        <v>57</v>
      </c>
      <c r="K4345" s="14"/>
      <c r="L4345" s="14"/>
      <c r="M4345" s="14" t="s">
        <v>2451</v>
      </c>
      <c r="N4345" s="14" t="s">
        <v>2452</v>
      </c>
      <c r="O4345" s="14" t="s">
        <v>2453</v>
      </c>
      <c r="P4345" s="14" t="str">
        <f>HYPERLINK("https://ceds.ed.gov/cedselementdetails.aspx?termid=18375")</f>
        <v>https://ceds.ed.gov/cedselementdetails.aspx?termid=18375</v>
      </c>
      <c r="Q4345" s="14" t="str">
        <f>HYPERLINK("https://ceds.ed.gov/elementComment.aspx?elementName=Competency Association Origin Node URI &amp;elementID=18375", "Click here to submit comment")</f>
        <v>Click here to submit comment</v>
      </c>
      <c r="R4345" s="14">
        <v>50507</v>
      </c>
    </row>
    <row r="4346" spans="1:18" ht="135" x14ac:dyDescent="0.25">
      <c r="A4346" s="14" t="s">
        <v>9194</v>
      </c>
      <c r="B4346" s="14" t="s">
        <v>9197</v>
      </c>
      <c r="C4346" s="14" t="s">
        <v>9202</v>
      </c>
      <c r="D4346" s="14" t="s">
        <v>8531</v>
      </c>
      <c r="E4346" s="14" t="s">
        <v>2462</v>
      </c>
      <c r="F4346" s="14" t="s">
        <v>2463</v>
      </c>
      <c r="G4346" s="14" t="s">
        <v>37</v>
      </c>
      <c r="H4346" s="14"/>
      <c r="I4346" s="14"/>
      <c r="J4346" s="14" t="s">
        <v>2464</v>
      </c>
      <c r="K4346" s="14"/>
      <c r="L4346" s="14" t="s">
        <v>2465</v>
      </c>
      <c r="M4346" s="14" t="s">
        <v>2466</v>
      </c>
      <c r="N4346" s="14" t="s">
        <v>2467</v>
      </c>
      <c r="O4346" s="14" t="s">
        <v>2468</v>
      </c>
      <c r="P4346" s="14" t="str">
        <f>HYPERLINK("https://ceds.ed.gov/cedselementdetails.aspx?termid=18376")</f>
        <v>https://ceds.ed.gov/cedselementdetails.aspx?termid=18376</v>
      </c>
      <c r="Q4346" s="14" t="str">
        <f>HYPERLINK("https://ceds.ed.gov/elementComment.aspx?elementName=Competency Association Weight &amp;elementID=18376", "Click here to submit comment")</f>
        <v>Click here to submit comment</v>
      </c>
      <c r="R4346" s="14">
        <v>50508</v>
      </c>
    </row>
    <row r="4347" spans="1:18" ht="120" x14ac:dyDescent="0.25">
      <c r="A4347" s="14" t="s">
        <v>9194</v>
      </c>
      <c r="B4347" s="14" t="s">
        <v>9204</v>
      </c>
      <c r="C4347" s="14"/>
      <c r="D4347" s="14" t="s">
        <v>8531</v>
      </c>
      <c r="E4347" s="14" t="s">
        <v>2737</v>
      </c>
      <c r="F4347" s="14" t="s">
        <v>2738</v>
      </c>
      <c r="G4347" s="8" t="s">
        <v>9205</v>
      </c>
      <c r="H4347" s="14"/>
      <c r="I4347" s="14"/>
      <c r="J4347" s="14"/>
      <c r="K4347" s="14"/>
      <c r="L4347" s="14" t="s">
        <v>2741</v>
      </c>
      <c r="M4347" s="14" t="s">
        <v>2742</v>
      </c>
      <c r="N4347" s="14"/>
      <c r="O4347" s="14" t="s">
        <v>2743</v>
      </c>
      <c r="P4347" s="14" t="str">
        <f>HYPERLINK("https://ceds.ed.gov/cedselementdetails.aspx?termid=17877")</f>
        <v>https://ceds.ed.gov/cedselementdetails.aspx?termid=17877</v>
      </c>
      <c r="Q4347" s="14" t="str">
        <f>HYPERLINK("https://ceds.ed.gov/elementComment.aspx?elementName=Competency Set Completion Criteria &amp;elementID=17877", "Click here to submit comment")</f>
        <v>Click here to submit comment</v>
      </c>
      <c r="R4347" s="14">
        <v>49328</v>
      </c>
    </row>
    <row r="4348" spans="1:18" ht="90" x14ac:dyDescent="0.25">
      <c r="A4348" s="14" t="s">
        <v>9194</v>
      </c>
      <c r="B4348" s="14" t="s">
        <v>9204</v>
      </c>
      <c r="C4348" s="14"/>
      <c r="D4348" s="14" t="s">
        <v>8531</v>
      </c>
      <c r="E4348" s="14" t="s">
        <v>2744</v>
      </c>
      <c r="F4348" s="14" t="s">
        <v>2745</v>
      </c>
      <c r="G4348" s="14" t="s">
        <v>37</v>
      </c>
      <c r="H4348" s="14"/>
      <c r="I4348" s="14"/>
      <c r="J4348" s="14" t="s">
        <v>370</v>
      </c>
      <c r="K4348" s="14"/>
      <c r="L4348" s="14" t="s">
        <v>2746</v>
      </c>
      <c r="M4348" s="14" t="s">
        <v>2747</v>
      </c>
      <c r="N4348" s="14"/>
      <c r="O4348" s="14" t="s">
        <v>2748</v>
      </c>
      <c r="P4348" s="14" t="str">
        <f>HYPERLINK("https://ceds.ed.gov/cedselementdetails.aspx?termid=17878")</f>
        <v>https://ceds.ed.gov/cedselementdetails.aspx?termid=17878</v>
      </c>
      <c r="Q4348" s="14" t="str">
        <f>HYPERLINK("https://ceds.ed.gov/elementComment.aspx?elementName=Competency Set Completion Criteria Threshold &amp;elementID=17878", "Click here to submit comment")</f>
        <v>Click here to submit comment</v>
      </c>
      <c r="R4348" s="14">
        <v>49329</v>
      </c>
    </row>
    <row r="4349" spans="1:18" ht="45" x14ac:dyDescent="0.25">
      <c r="A4349" s="14" t="s">
        <v>9206</v>
      </c>
      <c r="B4349" s="14" t="s">
        <v>9207</v>
      </c>
      <c r="C4349" s="14"/>
      <c r="D4349" s="14" t="s">
        <v>8531</v>
      </c>
      <c r="E4349" s="14" t="s">
        <v>6049</v>
      </c>
      <c r="F4349" s="14" t="s">
        <v>6050</v>
      </c>
      <c r="G4349" s="14" t="s">
        <v>37</v>
      </c>
      <c r="H4349" s="14"/>
      <c r="I4349" s="14"/>
      <c r="J4349" s="14" t="s">
        <v>97</v>
      </c>
      <c r="K4349" s="14"/>
      <c r="L4349" s="14"/>
      <c r="M4349" s="14" t="s">
        <v>6051</v>
      </c>
      <c r="N4349" s="14"/>
      <c r="O4349" s="14" t="s">
        <v>6052</v>
      </c>
      <c r="P4349" s="14" t="str">
        <f>HYPERLINK("https://ceds.ed.gov/cedselementdetails.aspx?termid=17912")</f>
        <v>https://ceds.ed.gov/cedselementdetails.aspx?termid=17912</v>
      </c>
      <c r="Q4349" s="14" t="str">
        <f>HYPERLINK("https://ceds.ed.gov/elementComment.aspx?elementName=Learning Resource Title &amp;elementID=17912", "Click here to submit comment")</f>
        <v>Click here to submit comment</v>
      </c>
      <c r="R4349" s="14">
        <v>48371</v>
      </c>
    </row>
    <row r="4350" spans="1:18" ht="360" x14ac:dyDescent="0.25">
      <c r="A4350" s="14" t="s">
        <v>9206</v>
      </c>
      <c r="B4350" s="14" t="s">
        <v>9207</v>
      </c>
      <c r="C4350" s="14"/>
      <c r="D4350" s="14" t="s">
        <v>8531</v>
      </c>
      <c r="E4350" s="14" t="s">
        <v>6053</v>
      </c>
      <c r="F4350" s="14" t="s">
        <v>6054</v>
      </c>
      <c r="G4350" s="8" t="s">
        <v>9208</v>
      </c>
      <c r="H4350" s="14"/>
      <c r="I4350" s="14"/>
      <c r="J4350" s="14"/>
      <c r="K4350" s="14"/>
      <c r="L4350" s="14" t="s">
        <v>6056</v>
      </c>
      <c r="M4350" s="14" t="s">
        <v>6057</v>
      </c>
      <c r="N4350" s="14"/>
      <c r="O4350" s="14" t="s">
        <v>6058</v>
      </c>
      <c r="P4350" s="14" t="str">
        <f>HYPERLINK("https://ceds.ed.gov/cedselementdetails.aspx?termid=17929")</f>
        <v>https://ceds.ed.gov/cedselementdetails.aspx?termid=17929</v>
      </c>
      <c r="Q4350" s="14" t="str">
        <f>HYPERLINK("https://ceds.ed.gov/elementComment.aspx?elementName=Learning Resource Type &amp;elementID=17929", "Click here to submit comment")</f>
        <v>Click here to submit comment</v>
      </c>
      <c r="R4350" s="14">
        <v>48387</v>
      </c>
    </row>
    <row r="4351" spans="1:18" ht="45" x14ac:dyDescent="0.25">
      <c r="A4351" s="14" t="s">
        <v>9206</v>
      </c>
      <c r="B4351" s="14" t="s">
        <v>9207</v>
      </c>
      <c r="C4351" s="14"/>
      <c r="D4351" s="14" t="s">
        <v>8531</v>
      </c>
      <c r="E4351" s="14" t="s">
        <v>5939</v>
      </c>
      <c r="F4351" s="14" t="s">
        <v>5940</v>
      </c>
      <c r="G4351" s="14" t="s">
        <v>37</v>
      </c>
      <c r="H4351" s="14"/>
      <c r="I4351" s="14"/>
      <c r="J4351" s="14" t="s">
        <v>129</v>
      </c>
      <c r="K4351" s="14"/>
      <c r="L4351" s="14"/>
      <c r="M4351" s="14" t="s">
        <v>5941</v>
      </c>
      <c r="N4351" s="14"/>
      <c r="O4351" s="14" t="s">
        <v>5942</v>
      </c>
      <c r="P4351" s="14" t="str">
        <f>HYPERLINK("https://ceds.ed.gov/cedselementdetails.aspx?termid=18156")</f>
        <v>https://ceds.ed.gov/cedselementdetails.aspx?termid=18156</v>
      </c>
      <c r="Q4351" s="14" t="str">
        <f>HYPERLINK("https://ceds.ed.gov/elementComment.aspx?elementName=Learning Resource Description &amp;elementID=18156", "Click here to submit comment")</f>
        <v>Click here to submit comment</v>
      </c>
      <c r="R4351" s="14">
        <v>49346</v>
      </c>
    </row>
    <row r="4352" spans="1:18" ht="45" x14ac:dyDescent="0.25">
      <c r="A4352" s="14" t="s">
        <v>9206</v>
      </c>
      <c r="B4352" s="14" t="s">
        <v>9207</v>
      </c>
      <c r="C4352" s="14"/>
      <c r="D4352" s="14" t="s">
        <v>8531</v>
      </c>
      <c r="E4352" s="14" t="s">
        <v>6071</v>
      </c>
      <c r="F4352" s="14" t="s">
        <v>6072</v>
      </c>
      <c r="G4352" s="14" t="s">
        <v>37</v>
      </c>
      <c r="H4352" s="14"/>
      <c r="I4352" s="14"/>
      <c r="J4352" s="14" t="s">
        <v>97</v>
      </c>
      <c r="K4352" s="14"/>
      <c r="L4352" s="14"/>
      <c r="M4352" s="14" t="s">
        <v>6073</v>
      </c>
      <c r="N4352" s="14"/>
      <c r="O4352" s="14" t="s">
        <v>6074</v>
      </c>
      <c r="P4352" s="14" t="str">
        <f>HYPERLINK("https://ceds.ed.gov/cedselementdetails.aspx?termid=18182")</f>
        <v>https://ceds.ed.gov/cedselementdetails.aspx?termid=18182</v>
      </c>
      <c r="Q4352" s="14" t="str">
        <f>HYPERLINK("https://ceds.ed.gov/elementComment.aspx?elementName=Learning Resource Version &amp;elementID=18182", "Click here to submit comment")</f>
        <v>Click here to submit comment</v>
      </c>
      <c r="R4352" s="14">
        <v>48627</v>
      </c>
    </row>
    <row r="4353" spans="1:18" ht="75" x14ac:dyDescent="0.25">
      <c r="A4353" s="14" t="s">
        <v>9206</v>
      </c>
      <c r="B4353" s="14" t="s">
        <v>9207</v>
      </c>
      <c r="C4353" s="14"/>
      <c r="D4353" s="14" t="s">
        <v>8531</v>
      </c>
      <c r="E4353" s="14" t="s">
        <v>6067</v>
      </c>
      <c r="F4353" s="14" t="s">
        <v>6068</v>
      </c>
      <c r="G4353" s="14" t="s">
        <v>37</v>
      </c>
      <c r="H4353" s="14"/>
      <c r="I4353" s="14"/>
      <c r="J4353" s="14" t="s">
        <v>57</v>
      </c>
      <c r="K4353" s="14"/>
      <c r="L4353" s="14"/>
      <c r="M4353" s="14" t="s">
        <v>6069</v>
      </c>
      <c r="N4353" s="14"/>
      <c r="O4353" s="14" t="s">
        <v>6070</v>
      </c>
      <c r="P4353" s="14" t="str">
        <f>HYPERLINK("https://ceds.ed.gov/cedselementdetails.aspx?termid=17911")</f>
        <v>https://ceds.ed.gov/cedselementdetails.aspx?termid=17911</v>
      </c>
      <c r="Q4353" s="14" t="str">
        <f>HYPERLINK("https://ceds.ed.gov/elementComment.aspx?elementName=Learning Resource URL &amp;elementID=17911", "Click here to submit comment")</f>
        <v>Click here to submit comment</v>
      </c>
      <c r="R4353" s="14">
        <v>48370</v>
      </c>
    </row>
    <row r="4354" spans="1:18" ht="45" x14ac:dyDescent="0.25">
      <c r="A4354" s="14" t="s">
        <v>9206</v>
      </c>
      <c r="B4354" s="14" t="s">
        <v>9207</v>
      </c>
      <c r="C4354" s="14"/>
      <c r="D4354" s="14" t="s">
        <v>8531</v>
      </c>
      <c r="E4354" s="14" t="s">
        <v>5868</v>
      </c>
      <c r="F4354" s="14" t="s">
        <v>5869</v>
      </c>
      <c r="G4354" s="14" t="s">
        <v>37</v>
      </c>
      <c r="H4354" s="14"/>
      <c r="I4354" s="14"/>
      <c r="J4354" s="14" t="s">
        <v>57</v>
      </c>
      <c r="K4354" s="14"/>
      <c r="L4354" s="14"/>
      <c r="M4354" s="14" t="s">
        <v>5870</v>
      </c>
      <c r="N4354" s="14"/>
      <c r="O4354" s="14" t="s">
        <v>5871</v>
      </c>
      <c r="P4354" s="14" t="str">
        <f>HYPERLINK("https://ceds.ed.gov/cedselementdetails.aspx?termid=18361")</f>
        <v>https://ceds.ed.gov/cedselementdetails.aspx?termid=18361</v>
      </c>
      <c r="Q4354" s="14" t="str">
        <f>HYPERLINK("https://ceds.ed.gov/elementComment.aspx?elementName=Learning Resource Adaptation URL &amp;elementID=18361", "Click here to submit comment")</f>
        <v>Click here to submit comment</v>
      </c>
      <c r="R4354" s="14">
        <v>50251</v>
      </c>
    </row>
    <row r="4355" spans="1:18" ht="45" x14ac:dyDescent="0.25">
      <c r="A4355" s="14" t="s">
        <v>9206</v>
      </c>
      <c r="B4355" s="14" t="s">
        <v>9207</v>
      </c>
      <c r="C4355" s="14"/>
      <c r="D4355" s="14" t="s">
        <v>8531</v>
      </c>
      <c r="E4355" s="14" t="s">
        <v>5872</v>
      </c>
      <c r="F4355" s="14" t="s">
        <v>5873</v>
      </c>
      <c r="G4355" s="14" t="s">
        <v>37</v>
      </c>
      <c r="H4355" s="14"/>
      <c r="I4355" s="14"/>
      <c r="J4355" s="14" t="s">
        <v>57</v>
      </c>
      <c r="K4355" s="14"/>
      <c r="L4355" s="14"/>
      <c r="M4355" s="14" t="s">
        <v>5874</v>
      </c>
      <c r="N4355" s="14"/>
      <c r="O4355" s="14" t="s">
        <v>5875</v>
      </c>
      <c r="P4355" s="14" t="str">
        <f>HYPERLINK("https://ceds.ed.gov/cedselementdetails.aspx?termid=18367")</f>
        <v>https://ceds.ed.gov/cedselementdetails.aspx?termid=18367</v>
      </c>
      <c r="Q4355" s="14" t="str">
        <f>HYPERLINK("https://ceds.ed.gov/elementComment.aspx?elementName=Learning Resource Adapted From URL &amp;elementID=18367", "Click here to submit comment")</f>
        <v>Click here to submit comment</v>
      </c>
      <c r="R4355" s="14">
        <v>50275</v>
      </c>
    </row>
    <row r="4356" spans="1:18" ht="45" x14ac:dyDescent="0.25">
      <c r="A4356" s="14" t="s">
        <v>9206</v>
      </c>
      <c r="B4356" s="14" t="s">
        <v>9207</v>
      </c>
      <c r="C4356" s="14"/>
      <c r="D4356" s="14" t="s">
        <v>8531</v>
      </c>
      <c r="E4356" s="14" t="s">
        <v>5894</v>
      </c>
      <c r="F4356" s="14" t="s">
        <v>5895</v>
      </c>
      <c r="G4356" s="14" t="s">
        <v>37</v>
      </c>
      <c r="H4356" s="14"/>
      <c r="I4356" s="14"/>
      <c r="J4356" s="14" t="s">
        <v>57</v>
      </c>
      <c r="K4356" s="14"/>
      <c r="L4356" s="14" t="s">
        <v>5896</v>
      </c>
      <c r="M4356" s="14" t="s">
        <v>5897</v>
      </c>
      <c r="N4356" s="14"/>
      <c r="O4356" s="14" t="s">
        <v>5898</v>
      </c>
      <c r="P4356" s="14" t="str">
        <f>HYPERLINK("https://ceds.ed.gov/cedselementdetails.aspx?termid=17923")</f>
        <v>https://ceds.ed.gov/cedselementdetails.aspx?termid=17923</v>
      </c>
      <c r="Q4356" s="14" t="str">
        <f>HYPERLINK("https://ceds.ed.gov/elementComment.aspx?elementName=Learning Resource Based on URL &amp;elementID=17923", "Click here to submit comment")</f>
        <v>Click here to submit comment</v>
      </c>
      <c r="R4356" s="14">
        <v>48381</v>
      </c>
    </row>
    <row r="4357" spans="1:18" ht="225" x14ac:dyDescent="0.25">
      <c r="A4357" s="14" t="s">
        <v>9206</v>
      </c>
      <c r="B4357" s="14" t="s">
        <v>9207</v>
      </c>
      <c r="C4357" s="14"/>
      <c r="D4357" s="14" t="s">
        <v>8531</v>
      </c>
      <c r="E4357" s="14" t="s">
        <v>5845</v>
      </c>
      <c r="F4357" s="14" t="s">
        <v>5846</v>
      </c>
      <c r="G4357" s="8" t="s">
        <v>9209</v>
      </c>
      <c r="H4357" s="14"/>
      <c r="I4357" s="14"/>
      <c r="J4357" s="14"/>
      <c r="K4357" s="14"/>
      <c r="L4357" s="14" t="s">
        <v>5849</v>
      </c>
      <c r="M4357" s="14" t="s">
        <v>5850</v>
      </c>
      <c r="N4357" s="14"/>
      <c r="O4357" s="14" t="s">
        <v>5851</v>
      </c>
      <c r="P4357" s="14" t="str">
        <f>HYPERLINK("https://ceds.ed.gov/cedselementdetails.aspx?termid=18358")</f>
        <v>https://ceds.ed.gov/cedselementdetails.aspx?termid=18358</v>
      </c>
      <c r="Q4357" s="14" t="str">
        <f>HYPERLINK("https://ceds.ed.gov/elementComment.aspx?elementName=Learning Resource Access API Type &amp;elementID=18358", "Click here to submit comment")</f>
        <v>Click here to submit comment</v>
      </c>
      <c r="R4357" s="14">
        <v>50241</v>
      </c>
    </row>
    <row r="4358" spans="1:18" ht="60" x14ac:dyDescent="0.25">
      <c r="A4358" s="14" t="s">
        <v>9206</v>
      </c>
      <c r="B4358" s="14" t="s">
        <v>9207</v>
      </c>
      <c r="C4358" s="14"/>
      <c r="D4358" s="14" t="s">
        <v>8531</v>
      </c>
      <c r="E4358" s="14" t="s">
        <v>5852</v>
      </c>
      <c r="F4358" s="14" t="s">
        <v>5853</v>
      </c>
      <c r="G4358" s="8" t="s">
        <v>9210</v>
      </c>
      <c r="H4358" s="14"/>
      <c r="I4358" s="14"/>
      <c r="J4358" s="14"/>
      <c r="K4358" s="14"/>
      <c r="L4358" s="14"/>
      <c r="M4358" s="14" t="s">
        <v>5855</v>
      </c>
      <c r="N4358" s="14"/>
      <c r="O4358" s="14" t="s">
        <v>5856</v>
      </c>
      <c r="P4358" s="14" t="str">
        <f>HYPERLINK("https://ceds.ed.gov/cedselementdetails.aspx?termid=18359")</f>
        <v>https://ceds.ed.gov/cedselementdetails.aspx?termid=18359</v>
      </c>
      <c r="Q4358" s="14" t="str">
        <f>HYPERLINK("https://ceds.ed.gov/elementComment.aspx?elementName=Learning Resource Access Hazard Type &amp;elementID=18359", "Click here to submit comment")</f>
        <v>Click here to submit comment</v>
      </c>
      <c r="R4358" s="14">
        <v>50245</v>
      </c>
    </row>
    <row r="4359" spans="1:18" ht="105" x14ac:dyDescent="0.25">
      <c r="A4359" s="14" t="s">
        <v>9206</v>
      </c>
      <c r="B4359" s="14" t="s">
        <v>9207</v>
      </c>
      <c r="C4359" s="14"/>
      <c r="D4359" s="14" t="s">
        <v>8531</v>
      </c>
      <c r="E4359" s="14" t="s">
        <v>5857</v>
      </c>
      <c r="F4359" s="14" t="s">
        <v>5858</v>
      </c>
      <c r="G4359" s="8" t="s">
        <v>9211</v>
      </c>
      <c r="H4359" s="14"/>
      <c r="I4359" s="14"/>
      <c r="J4359" s="14"/>
      <c r="K4359" s="14"/>
      <c r="L4359" s="14" t="s">
        <v>5860</v>
      </c>
      <c r="M4359" s="14" t="s">
        <v>5861</v>
      </c>
      <c r="N4359" s="14"/>
      <c r="O4359" s="14" t="s">
        <v>5862</v>
      </c>
      <c r="P4359" s="14" t="str">
        <f>HYPERLINK("https://ceds.ed.gov/cedselementdetails.aspx?termid=18360")</f>
        <v>https://ceds.ed.gov/cedselementdetails.aspx?termid=18360</v>
      </c>
      <c r="Q4359" s="14" t="str">
        <f>HYPERLINK("https://ceds.ed.gov/elementComment.aspx?elementName=Learning Resource Access Mode Type &amp;elementID=18360", "Click here to submit comment")</f>
        <v>Click here to submit comment</v>
      </c>
      <c r="R4359" s="14">
        <v>50247</v>
      </c>
    </row>
    <row r="4360" spans="1:18" ht="165" x14ac:dyDescent="0.25">
      <c r="A4360" s="14" t="s">
        <v>9206</v>
      </c>
      <c r="B4360" s="14" t="s">
        <v>9207</v>
      </c>
      <c r="C4360" s="14"/>
      <c r="D4360" s="14" t="s">
        <v>8531</v>
      </c>
      <c r="E4360" s="14" t="s">
        <v>5863</v>
      </c>
      <c r="F4360" s="14" t="s">
        <v>5864</v>
      </c>
      <c r="G4360" s="8" t="s">
        <v>9212</v>
      </c>
      <c r="H4360" s="14"/>
      <c r="I4360" s="14"/>
      <c r="J4360" s="14"/>
      <c r="K4360" s="14"/>
      <c r="L4360" s="14"/>
      <c r="M4360" s="14" t="s">
        <v>5866</v>
      </c>
      <c r="N4360" s="14"/>
      <c r="O4360" s="14" t="s">
        <v>5867</v>
      </c>
      <c r="P4360" s="14" t="str">
        <f>HYPERLINK("https://ceds.ed.gov/cedselementdetails.aspx?termid=18537")</f>
        <v>https://ceds.ed.gov/cedselementdetails.aspx?termid=18537</v>
      </c>
      <c r="Q4360" s="14" t="str">
        <f>HYPERLINK("https://ceds.ed.gov/elementComment.aspx?elementName=Learning Resource Access Rights URL &amp;elementID=18537", "Click here to submit comment")</f>
        <v>Click here to submit comment</v>
      </c>
      <c r="R4360" s="14">
        <v>50893</v>
      </c>
    </row>
    <row r="4361" spans="1:18" ht="75" x14ac:dyDescent="0.25">
      <c r="A4361" s="14" t="s">
        <v>9206</v>
      </c>
      <c r="B4361" s="14" t="s">
        <v>9207</v>
      </c>
      <c r="C4361" s="14"/>
      <c r="D4361" s="14" t="s">
        <v>8531</v>
      </c>
      <c r="E4361" s="14" t="s">
        <v>5876</v>
      </c>
      <c r="F4361" s="14" t="s">
        <v>5877</v>
      </c>
      <c r="G4361" s="14" t="s">
        <v>24</v>
      </c>
      <c r="H4361" s="14"/>
      <c r="I4361" s="14"/>
      <c r="J4361" s="14"/>
      <c r="K4361" s="14"/>
      <c r="L4361" s="14" t="s">
        <v>5878</v>
      </c>
      <c r="M4361" s="14" t="s">
        <v>5879</v>
      </c>
      <c r="N4361" s="14"/>
      <c r="O4361" s="14" t="s">
        <v>5880</v>
      </c>
      <c r="P4361" s="14" t="str">
        <f>HYPERLINK("https://ceds.ed.gov/cedselementdetails.aspx?termid=18362")</f>
        <v>https://ceds.ed.gov/cedselementdetails.aspx?termid=18362</v>
      </c>
      <c r="Q4361" s="14" t="str">
        <f>HYPERLINK("https://ceds.ed.gov/elementComment.aspx?elementName=Learning Resource Assistive Technologies Compatible Indicator &amp;elementID=18362", "Click here to submit comment")</f>
        <v>Click here to submit comment</v>
      </c>
      <c r="R4361" s="14">
        <v>50255</v>
      </c>
    </row>
    <row r="4362" spans="1:18" ht="135" x14ac:dyDescent="0.25">
      <c r="A4362" s="14" t="s">
        <v>9206</v>
      </c>
      <c r="B4362" s="14" t="s">
        <v>9207</v>
      </c>
      <c r="C4362" s="14"/>
      <c r="D4362" s="14" t="s">
        <v>8531</v>
      </c>
      <c r="E4362" s="14" t="s">
        <v>5899</v>
      </c>
      <c r="F4362" s="14" t="s">
        <v>5900</v>
      </c>
      <c r="G4362" s="8" t="s">
        <v>9213</v>
      </c>
      <c r="H4362" s="14"/>
      <c r="I4362" s="14"/>
      <c r="J4362" s="14"/>
      <c r="K4362" s="14"/>
      <c r="L4362" s="14"/>
      <c r="M4362" s="14" t="s">
        <v>5902</v>
      </c>
      <c r="N4362" s="14"/>
      <c r="O4362" s="14" t="s">
        <v>5903</v>
      </c>
      <c r="P4362" s="14" t="str">
        <f>HYPERLINK("https://ceds.ed.gov/cedselementdetails.aspx?termid=18363")</f>
        <v>https://ceds.ed.gov/cedselementdetails.aspx?termid=18363</v>
      </c>
      <c r="Q4362" s="14" t="str">
        <f>HYPERLINK("https://ceds.ed.gov/elementComment.aspx?elementName=Learning Resource Book Format Type &amp;elementID=18363", "Click here to submit comment")</f>
        <v>Click here to submit comment</v>
      </c>
      <c r="R4362" s="14">
        <v>50259</v>
      </c>
    </row>
    <row r="4363" spans="1:18" ht="135" x14ac:dyDescent="0.25">
      <c r="A4363" s="14" t="s">
        <v>9206</v>
      </c>
      <c r="B4363" s="14" t="s">
        <v>9207</v>
      </c>
      <c r="C4363" s="14"/>
      <c r="D4363" s="14" t="s">
        <v>8531</v>
      </c>
      <c r="E4363" s="14" t="s">
        <v>5904</v>
      </c>
      <c r="F4363" s="14" t="s">
        <v>5905</v>
      </c>
      <c r="G4363" s="8" t="s">
        <v>9214</v>
      </c>
      <c r="H4363" s="14"/>
      <c r="I4363" s="14"/>
      <c r="J4363" s="14"/>
      <c r="K4363" s="14"/>
      <c r="L4363" s="14" t="s">
        <v>5907</v>
      </c>
      <c r="M4363" s="14" t="s">
        <v>5908</v>
      </c>
      <c r="N4363" s="14"/>
      <c r="O4363" s="14" t="s">
        <v>5909</v>
      </c>
      <c r="P4363" s="14" t="str">
        <f>HYPERLINK("https://ceds.ed.gov/cedselementdetails.aspx?termid=17879")</f>
        <v>https://ceds.ed.gov/cedselementdetails.aspx?termid=17879</v>
      </c>
      <c r="Q4363" s="14" t="str">
        <f>HYPERLINK("https://ceds.ed.gov/elementComment.aspx?elementName=Learning Resource Competency Alignment Type &amp;elementID=17879", "Click here to submit comment")</f>
        <v>Click here to submit comment</v>
      </c>
      <c r="R4363" s="14">
        <v>49330</v>
      </c>
    </row>
    <row r="4364" spans="1:18" ht="45" x14ac:dyDescent="0.25">
      <c r="A4364" s="14" t="s">
        <v>9206</v>
      </c>
      <c r="B4364" s="14" t="s">
        <v>9207</v>
      </c>
      <c r="C4364" s="14"/>
      <c r="D4364" s="14" t="s">
        <v>8531</v>
      </c>
      <c r="E4364" s="14" t="s">
        <v>5910</v>
      </c>
      <c r="F4364" s="14" t="s">
        <v>5911</v>
      </c>
      <c r="G4364" s="14" t="s">
        <v>37</v>
      </c>
      <c r="H4364" s="14"/>
      <c r="I4364" s="14"/>
      <c r="J4364" s="14" t="s">
        <v>129</v>
      </c>
      <c r="K4364" s="14"/>
      <c r="L4364" s="14"/>
      <c r="M4364" s="14" t="s">
        <v>5912</v>
      </c>
      <c r="N4364" s="14"/>
      <c r="O4364" s="14" t="s">
        <v>5913</v>
      </c>
      <c r="P4364" s="14" t="str">
        <f>HYPERLINK("https://ceds.ed.gov/cedselementdetails.aspx?termid=18159")</f>
        <v>https://ceds.ed.gov/cedselementdetails.aspx?termid=18159</v>
      </c>
      <c r="Q4364" s="14" t="str">
        <f>HYPERLINK("https://ceds.ed.gov/elementComment.aspx?elementName=Learning Resource Concept Keyword &amp;elementID=18159", "Click here to submit comment")</f>
        <v>Click here to submit comment</v>
      </c>
      <c r="R4364" s="14">
        <v>49349</v>
      </c>
    </row>
    <row r="4365" spans="1:18" ht="105" x14ac:dyDescent="0.25">
      <c r="A4365" s="14" t="s">
        <v>9206</v>
      </c>
      <c r="B4365" s="14" t="s">
        <v>9207</v>
      </c>
      <c r="C4365" s="14"/>
      <c r="D4365" s="14" t="s">
        <v>8531</v>
      </c>
      <c r="E4365" s="14" t="s">
        <v>5914</v>
      </c>
      <c r="F4365" s="14" t="s">
        <v>5915</v>
      </c>
      <c r="G4365" s="8" t="s">
        <v>9215</v>
      </c>
      <c r="H4365" s="14"/>
      <c r="I4365" s="14"/>
      <c r="J4365" s="14"/>
      <c r="K4365" s="14"/>
      <c r="L4365" s="14"/>
      <c r="M4365" s="14" t="s">
        <v>5917</v>
      </c>
      <c r="N4365" s="14"/>
      <c r="O4365" s="14" t="s">
        <v>5918</v>
      </c>
      <c r="P4365" s="14" t="str">
        <f>HYPERLINK("https://ceds.ed.gov/cedselementdetails.aspx?termid=18364")</f>
        <v>https://ceds.ed.gov/cedselementdetails.aspx?termid=18364</v>
      </c>
      <c r="Q4365" s="14" t="str">
        <f>HYPERLINK("https://ceds.ed.gov/elementComment.aspx?elementName=Learning Resource Control Flexibility Type &amp;elementID=18364", "Click here to submit comment")</f>
        <v>Click here to submit comment</v>
      </c>
      <c r="R4365" s="14">
        <v>50263</v>
      </c>
    </row>
    <row r="4366" spans="1:18" ht="45" x14ac:dyDescent="0.25">
      <c r="A4366" s="14" t="s">
        <v>9206</v>
      </c>
      <c r="B4366" s="14" t="s">
        <v>9207</v>
      </c>
      <c r="C4366" s="14"/>
      <c r="D4366" s="14" t="s">
        <v>8531</v>
      </c>
      <c r="E4366" s="14" t="s">
        <v>5919</v>
      </c>
      <c r="F4366" s="14" t="s">
        <v>5920</v>
      </c>
      <c r="G4366" s="14" t="s">
        <v>37</v>
      </c>
      <c r="H4366" s="14"/>
      <c r="I4366" s="14"/>
      <c r="J4366" s="14" t="s">
        <v>175</v>
      </c>
      <c r="K4366" s="14"/>
      <c r="L4366" s="14"/>
      <c r="M4366" s="14" t="s">
        <v>5921</v>
      </c>
      <c r="N4366" s="14"/>
      <c r="O4366" s="14" t="s">
        <v>5922</v>
      </c>
      <c r="P4366" s="14" t="str">
        <f>HYPERLINK("https://ceds.ed.gov/cedselementdetails.aspx?termid=18157")</f>
        <v>https://ceds.ed.gov/cedselementdetails.aspx?termid=18157</v>
      </c>
      <c r="Q4366" s="14" t="str">
        <f>HYPERLINK("https://ceds.ed.gov/elementComment.aspx?elementName=Learning Resource Copyright Holder Name &amp;elementID=18157", "Click here to submit comment")</f>
        <v>Click here to submit comment</v>
      </c>
      <c r="R4366" s="14">
        <v>49347</v>
      </c>
    </row>
    <row r="4367" spans="1:18" ht="105" x14ac:dyDescent="0.25">
      <c r="A4367" s="14" t="s">
        <v>9206</v>
      </c>
      <c r="B4367" s="14" t="s">
        <v>9207</v>
      </c>
      <c r="C4367" s="14"/>
      <c r="D4367" s="14" t="s">
        <v>8531</v>
      </c>
      <c r="E4367" s="14" t="s">
        <v>5943</v>
      </c>
      <c r="F4367" s="14" t="s">
        <v>5944</v>
      </c>
      <c r="G4367" s="14" t="s">
        <v>5945</v>
      </c>
      <c r="H4367" s="14"/>
      <c r="I4367" s="14"/>
      <c r="J4367" s="14"/>
      <c r="K4367" s="14"/>
      <c r="L4367" s="14"/>
      <c r="M4367" s="14" t="s">
        <v>5946</v>
      </c>
      <c r="N4367" s="14"/>
      <c r="O4367" s="14" t="s">
        <v>5947</v>
      </c>
      <c r="P4367" s="14" t="str">
        <f>HYPERLINK("https://ceds.ed.gov/cedselementdetails.aspx?termid=18365")</f>
        <v>https://ceds.ed.gov/cedselementdetails.aspx?termid=18365</v>
      </c>
      <c r="Q4367" s="14" t="str">
        <f>HYPERLINK("https://ceds.ed.gov/elementComment.aspx?elementName=Learning Resource Digital Media Sub Type &amp;elementID=18365", "Click here to submit comment")</f>
        <v>Click here to submit comment</v>
      </c>
      <c r="R4367" s="14">
        <v>50267</v>
      </c>
    </row>
    <row r="4368" spans="1:18" ht="150" x14ac:dyDescent="0.25">
      <c r="A4368" s="14" t="s">
        <v>9206</v>
      </c>
      <c r="B4368" s="14" t="s">
        <v>9207</v>
      </c>
      <c r="C4368" s="14"/>
      <c r="D4368" s="14" t="s">
        <v>8531</v>
      </c>
      <c r="E4368" s="14" t="s">
        <v>5948</v>
      </c>
      <c r="F4368" s="14" t="s">
        <v>5949</v>
      </c>
      <c r="G4368" s="8" t="s">
        <v>9216</v>
      </c>
      <c r="H4368" s="14"/>
      <c r="I4368" s="14"/>
      <c r="J4368" s="14"/>
      <c r="K4368" s="14"/>
      <c r="L4368" s="14"/>
      <c r="M4368" s="14" t="s">
        <v>5951</v>
      </c>
      <c r="N4368" s="14"/>
      <c r="O4368" s="14" t="s">
        <v>5952</v>
      </c>
      <c r="P4368" s="14" t="str">
        <f>HYPERLINK("https://ceds.ed.gov/cedselementdetails.aspx?termid=18366")</f>
        <v>https://ceds.ed.gov/cedselementdetails.aspx?termid=18366</v>
      </c>
      <c r="Q4368" s="14" t="str">
        <f>HYPERLINK("https://ceds.ed.gov/elementComment.aspx?elementName=Learning Resource Digital Media Type &amp;elementID=18366", "Click here to submit comment")</f>
        <v>Click here to submit comment</v>
      </c>
      <c r="R4368" s="14">
        <v>50271</v>
      </c>
    </row>
    <row r="4369" spans="1:18" ht="409.5" x14ac:dyDescent="0.25">
      <c r="A4369" s="14" t="s">
        <v>9206</v>
      </c>
      <c r="B4369" s="14" t="s">
        <v>9207</v>
      </c>
      <c r="C4369" s="14"/>
      <c r="D4369" s="14" t="s">
        <v>8531</v>
      </c>
      <c r="E4369" s="14" t="s">
        <v>6002</v>
      </c>
      <c r="F4369" s="14" t="s">
        <v>6003</v>
      </c>
      <c r="G4369" s="8" t="s">
        <v>9217</v>
      </c>
      <c r="H4369" s="14"/>
      <c r="I4369" s="14"/>
      <c r="J4369" s="14"/>
      <c r="K4369" s="14"/>
      <c r="L4369" s="14"/>
      <c r="M4369" s="14" t="s">
        <v>6005</v>
      </c>
      <c r="N4369" s="14"/>
      <c r="O4369" s="14" t="s">
        <v>6006</v>
      </c>
      <c r="P4369" s="14" t="str">
        <f>HYPERLINK("https://ceds.ed.gov/cedselementdetails.aspx?termid=18370")</f>
        <v>https://ceds.ed.gov/cedselementdetails.aspx?termid=18370</v>
      </c>
      <c r="Q4369" s="14" t="str">
        <f>HYPERLINK("https://ceds.ed.gov/elementComment.aspx?elementName=Learning Resource Physical Media Type &amp;elementID=18370", "Click here to submit comment")</f>
        <v>Click here to submit comment</v>
      </c>
      <c r="R4369" s="14">
        <v>50289</v>
      </c>
    </row>
    <row r="4370" spans="1:18" ht="345" x14ac:dyDescent="0.25">
      <c r="A4370" s="14" t="s">
        <v>9206</v>
      </c>
      <c r="B4370" s="14" t="s">
        <v>9207</v>
      </c>
      <c r="C4370" s="14"/>
      <c r="D4370" s="14" t="s">
        <v>8531</v>
      </c>
      <c r="E4370" s="14" t="s">
        <v>5987</v>
      </c>
      <c r="F4370" s="14" t="s">
        <v>5988</v>
      </c>
      <c r="G4370" s="8" t="s">
        <v>9218</v>
      </c>
      <c r="H4370" s="14"/>
      <c r="I4370" s="14"/>
      <c r="J4370" s="14"/>
      <c r="K4370" s="14"/>
      <c r="L4370" s="14" t="s">
        <v>5990</v>
      </c>
      <c r="M4370" s="14" t="s">
        <v>5991</v>
      </c>
      <c r="N4370" s="14"/>
      <c r="O4370" s="14" t="s">
        <v>5992</v>
      </c>
      <c r="P4370" s="14" t="str">
        <f>HYPERLINK("https://ceds.ed.gov/cedselementdetails.aspx?termid=18368")</f>
        <v>https://ceds.ed.gov/cedselementdetails.aspx?termid=18368</v>
      </c>
      <c r="Q4370" s="14" t="str">
        <f>HYPERLINK("https://ceds.ed.gov/elementComment.aspx?elementName=Learning Resource Media Feature Type &amp;elementID=18368", "Click here to submit comment")</f>
        <v>Click here to submit comment</v>
      </c>
      <c r="R4370" s="14">
        <v>50279</v>
      </c>
    </row>
    <row r="4371" spans="1:18" ht="409.5" x14ac:dyDescent="0.25">
      <c r="A4371" s="14" t="s">
        <v>9206</v>
      </c>
      <c r="B4371" s="14" t="s">
        <v>9207</v>
      </c>
      <c r="C4371" s="14"/>
      <c r="D4371" s="14" t="s">
        <v>8531</v>
      </c>
      <c r="E4371" s="14" t="s">
        <v>5953</v>
      </c>
      <c r="F4371" s="14" t="s">
        <v>5954</v>
      </c>
      <c r="G4371" s="8" t="s">
        <v>8938</v>
      </c>
      <c r="H4371" s="14"/>
      <c r="I4371" s="14"/>
      <c r="J4371" s="14"/>
      <c r="K4371" s="14"/>
      <c r="L4371" s="14"/>
      <c r="M4371" s="14" t="s">
        <v>5955</v>
      </c>
      <c r="N4371" s="14"/>
      <c r="O4371" s="14" t="s">
        <v>5956</v>
      </c>
      <c r="P4371" s="14" t="str">
        <f>HYPERLINK("https://ceds.ed.gov/cedselementdetails.aspx?termid=18212")</f>
        <v>https://ceds.ed.gov/cedselementdetails.aspx?termid=18212</v>
      </c>
      <c r="Q4371" s="14" t="str">
        <f>HYPERLINK("https://ceds.ed.gov/elementComment.aspx?elementName=Learning Resource Education Level  &amp;elementID=18212", "Click here to submit comment")</f>
        <v>Click here to submit comment</v>
      </c>
      <c r="R4371" s="14">
        <v>48716</v>
      </c>
    </row>
    <row r="4372" spans="1:18" ht="45" x14ac:dyDescent="0.25">
      <c r="A4372" s="14" t="s">
        <v>9206</v>
      </c>
      <c r="B4372" s="14" t="s">
        <v>9207</v>
      </c>
      <c r="C4372" s="14"/>
      <c r="D4372" s="14" t="s">
        <v>8531</v>
      </c>
      <c r="E4372" s="14" t="s">
        <v>6063</v>
      </c>
      <c r="F4372" s="14" t="s">
        <v>6064</v>
      </c>
      <c r="G4372" s="14" t="s">
        <v>37</v>
      </c>
      <c r="H4372" s="14"/>
      <c r="I4372" s="14"/>
      <c r="J4372" s="14" t="s">
        <v>370</v>
      </c>
      <c r="K4372" s="14"/>
      <c r="L4372" s="14"/>
      <c r="M4372" s="14" t="s">
        <v>6065</v>
      </c>
      <c r="N4372" s="14"/>
      <c r="O4372" s="14" t="s">
        <v>6066</v>
      </c>
      <c r="P4372" s="14" t="str">
        <f>HYPERLINK("https://ceds.ed.gov/cedselementdetails.aspx?termid=17926")</f>
        <v>https://ceds.ed.gov/cedselementdetails.aspx?termid=17926</v>
      </c>
      <c r="Q4372" s="14" t="str">
        <f>HYPERLINK("https://ceds.ed.gov/elementComment.aspx?elementName=Learning Resource Typical Age Range Minimum &amp;elementID=17926", "Click here to submit comment")</f>
        <v>Click here to submit comment</v>
      </c>
      <c r="R4372" s="14">
        <v>48384</v>
      </c>
    </row>
    <row r="4373" spans="1:18" ht="45" x14ac:dyDescent="0.25">
      <c r="A4373" s="14" t="s">
        <v>9206</v>
      </c>
      <c r="B4373" s="14" t="s">
        <v>9207</v>
      </c>
      <c r="C4373" s="14"/>
      <c r="D4373" s="14" t="s">
        <v>8531</v>
      </c>
      <c r="E4373" s="14" t="s">
        <v>6059</v>
      </c>
      <c r="F4373" s="14" t="s">
        <v>6060</v>
      </c>
      <c r="G4373" s="14" t="s">
        <v>37</v>
      </c>
      <c r="H4373" s="14"/>
      <c r="I4373" s="14"/>
      <c r="J4373" s="14" t="s">
        <v>370</v>
      </c>
      <c r="K4373" s="14"/>
      <c r="L4373" s="14"/>
      <c r="M4373" s="14" t="s">
        <v>6061</v>
      </c>
      <c r="N4373" s="14"/>
      <c r="O4373" s="14" t="s">
        <v>6062</v>
      </c>
      <c r="P4373" s="14" t="str">
        <f>HYPERLINK("https://ceds.ed.gov/cedselementdetails.aspx?termid=17927")</f>
        <v>https://ceds.ed.gov/cedselementdetails.aspx?termid=17927</v>
      </c>
      <c r="Q4373" s="14" t="str">
        <f>HYPERLINK("https://ceds.ed.gov/elementComment.aspx?elementName=Learning Resource Typical Age Range Maximum &amp;elementID=17927", "Click here to submit comment")</f>
        <v>Click here to submit comment</v>
      </c>
      <c r="R4373" s="14">
        <v>48385</v>
      </c>
    </row>
    <row r="4374" spans="1:18" ht="150" x14ac:dyDescent="0.25">
      <c r="A4374" s="14" t="s">
        <v>9206</v>
      </c>
      <c r="B4374" s="14" t="s">
        <v>9207</v>
      </c>
      <c r="C4374" s="14"/>
      <c r="D4374" s="14" t="s">
        <v>8531</v>
      </c>
      <c r="E4374" s="14" t="s">
        <v>5962</v>
      </c>
      <c r="F4374" s="14" t="s">
        <v>5963</v>
      </c>
      <c r="G4374" s="8" t="s">
        <v>9219</v>
      </c>
      <c r="H4374" s="14"/>
      <c r="I4374" s="14"/>
      <c r="J4374" s="14"/>
      <c r="K4374" s="14"/>
      <c r="L4374" s="14"/>
      <c r="M4374" s="14" t="s">
        <v>5965</v>
      </c>
      <c r="N4374" s="14"/>
      <c r="O4374" s="14" t="s">
        <v>5966</v>
      </c>
      <c r="P4374" s="14" t="str">
        <f>HYPERLINK("https://ceds.ed.gov/cedselementdetails.aspx?termid=17924")</f>
        <v>https://ceds.ed.gov/cedselementdetails.aspx?termid=17924</v>
      </c>
      <c r="Q4374" s="14" t="str">
        <f>HYPERLINK("https://ceds.ed.gov/elementComment.aspx?elementName=Learning Resource Intended End User Role &amp;elementID=17924", "Click here to submit comment")</f>
        <v>Click here to submit comment</v>
      </c>
      <c r="R4374" s="14">
        <v>48382</v>
      </c>
    </row>
    <row r="4375" spans="1:18" ht="105" x14ac:dyDescent="0.25">
      <c r="A4375" s="14" t="s">
        <v>9206</v>
      </c>
      <c r="B4375" s="14" t="s">
        <v>9207</v>
      </c>
      <c r="C4375" s="14"/>
      <c r="D4375" s="14" t="s">
        <v>8531</v>
      </c>
      <c r="E4375" s="14" t="s">
        <v>5957</v>
      </c>
      <c r="F4375" s="14" t="s">
        <v>5958</v>
      </c>
      <c r="G4375" s="8" t="s">
        <v>9220</v>
      </c>
      <c r="H4375" s="14"/>
      <c r="I4375" s="14"/>
      <c r="J4375" s="14"/>
      <c r="K4375" s="14"/>
      <c r="L4375" s="14"/>
      <c r="M4375" s="14" t="s">
        <v>5960</v>
      </c>
      <c r="N4375" s="14"/>
      <c r="O4375" s="14" t="s">
        <v>5961</v>
      </c>
      <c r="P4375" s="14" t="str">
        <f>HYPERLINK("https://ceds.ed.gov/cedselementdetails.aspx?termid=18005")</f>
        <v>https://ceds.ed.gov/cedselementdetails.aspx?termid=18005</v>
      </c>
      <c r="Q4375" s="14" t="str">
        <f>HYPERLINK("https://ceds.ed.gov/elementComment.aspx?elementName=Learning Resource Educational Use &amp;elementID=18005", "Click here to submit comment")</f>
        <v>Click here to submit comment</v>
      </c>
      <c r="R4375" s="14">
        <v>49698</v>
      </c>
    </row>
    <row r="4376" spans="1:18" ht="150" x14ac:dyDescent="0.25">
      <c r="A4376" s="14" t="s">
        <v>9206</v>
      </c>
      <c r="B4376" s="14" t="s">
        <v>9207</v>
      </c>
      <c r="C4376" s="14"/>
      <c r="D4376" s="14" t="s">
        <v>8531</v>
      </c>
      <c r="E4376" s="14" t="s">
        <v>5967</v>
      </c>
      <c r="F4376" s="14" t="s">
        <v>5968</v>
      </c>
      <c r="G4376" s="8" t="s">
        <v>9221</v>
      </c>
      <c r="H4376" s="14"/>
      <c r="I4376" s="14"/>
      <c r="J4376" s="14"/>
      <c r="K4376" s="14"/>
      <c r="L4376" s="14"/>
      <c r="M4376" s="14" t="s">
        <v>5970</v>
      </c>
      <c r="N4376" s="14"/>
      <c r="O4376" s="14" t="s">
        <v>5971</v>
      </c>
      <c r="P4376" s="14" t="str">
        <f>HYPERLINK("https://ceds.ed.gov/cedselementdetails.aspx?termid=18543")</f>
        <v>https://ceds.ed.gov/cedselementdetails.aspx?termid=18543</v>
      </c>
      <c r="Q4376" s="14" t="str">
        <f>HYPERLINK("https://ceds.ed.gov/elementComment.aspx?elementName=Learning Resource Interaction Mode &amp;elementID=18543", "Click here to submit comment")</f>
        <v>Click here to submit comment</v>
      </c>
      <c r="R4376" s="14">
        <v>50897</v>
      </c>
    </row>
    <row r="4377" spans="1:18" ht="60" x14ac:dyDescent="0.25">
      <c r="A4377" s="14" t="s">
        <v>9206</v>
      </c>
      <c r="B4377" s="14" t="s">
        <v>9207</v>
      </c>
      <c r="C4377" s="14"/>
      <c r="D4377" s="14" t="s">
        <v>8531</v>
      </c>
      <c r="E4377" s="14" t="s">
        <v>5972</v>
      </c>
      <c r="F4377" s="14" t="s">
        <v>5973</v>
      </c>
      <c r="G4377" s="8" t="s">
        <v>9222</v>
      </c>
      <c r="H4377" s="14"/>
      <c r="I4377" s="14"/>
      <c r="J4377" s="14"/>
      <c r="K4377" s="14"/>
      <c r="L4377" s="14"/>
      <c r="M4377" s="14" t="s">
        <v>5975</v>
      </c>
      <c r="N4377" s="14"/>
      <c r="O4377" s="14" t="s">
        <v>5976</v>
      </c>
      <c r="P4377" s="14" t="str">
        <f>HYPERLINK("https://ceds.ed.gov/cedselementdetails.aspx?termid=17928")</f>
        <v>https://ceds.ed.gov/cedselementdetails.aspx?termid=17928</v>
      </c>
      <c r="Q4377" s="14" t="str">
        <f>HYPERLINK("https://ceds.ed.gov/elementComment.aspx?elementName=Learning Resource Interactivity Type &amp;elementID=17928", "Click here to submit comment")</f>
        <v>Click here to submit comment</v>
      </c>
      <c r="R4377" s="14">
        <v>48386</v>
      </c>
    </row>
    <row r="4378" spans="1:18" ht="90" x14ac:dyDescent="0.25">
      <c r="A4378" s="19" t="s">
        <v>9206</v>
      </c>
      <c r="B4378" s="19" t="s">
        <v>9207</v>
      </c>
      <c r="C4378" s="19"/>
      <c r="D4378" s="19" t="s">
        <v>8531</v>
      </c>
      <c r="E4378" s="19" t="s">
        <v>5977</v>
      </c>
      <c r="F4378" s="19" t="s">
        <v>5978</v>
      </c>
      <c r="G4378" s="19" t="s">
        <v>8527</v>
      </c>
      <c r="H4378" s="19"/>
      <c r="I4378" s="19" t="s">
        <v>195</v>
      </c>
      <c r="J4378" s="19"/>
      <c r="K4378" s="19" t="s">
        <v>1086</v>
      </c>
      <c r="L4378" s="6" t="s">
        <v>1087</v>
      </c>
      <c r="M4378" s="19" t="s">
        <v>5979</v>
      </c>
      <c r="N4378" s="19"/>
      <c r="O4378" s="19" t="s">
        <v>5980</v>
      </c>
      <c r="P4378" s="19" t="str">
        <f>HYPERLINK("https://ceds.ed.gov/cedselementdetails.aspx?termid=17920")</f>
        <v>https://ceds.ed.gov/cedselementdetails.aspx?termid=17920</v>
      </c>
      <c r="Q4378" s="19" t="str">
        <f>HYPERLINK("https://ceds.ed.gov/elementComment.aspx?elementName=Learning Resource Language &amp;elementID=17920", "Click here to submit comment")</f>
        <v>Click here to submit comment</v>
      </c>
      <c r="R4378" s="19">
        <v>48378</v>
      </c>
    </row>
    <row r="4379" spans="1:18" ht="75" x14ac:dyDescent="0.25">
      <c r="A4379" s="21"/>
      <c r="B4379" s="21"/>
      <c r="C4379" s="21"/>
      <c r="D4379" s="21"/>
      <c r="E4379" s="21"/>
      <c r="F4379" s="21"/>
      <c r="G4379" s="21"/>
      <c r="H4379" s="21"/>
      <c r="I4379" s="21"/>
      <c r="J4379" s="21"/>
      <c r="K4379" s="21"/>
      <c r="L4379" s="14" t="s">
        <v>5981</v>
      </c>
      <c r="M4379" s="21"/>
      <c r="N4379" s="21"/>
      <c r="O4379" s="21"/>
      <c r="P4379" s="21"/>
      <c r="Q4379" s="21"/>
      <c r="R4379" s="21"/>
    </row>
    <row r="4380" spans="1:18" ht="210" x14ac:dyDescent="0.25">
      <c r="A4380" s="14" t="s">
        <v>9206</v>
      </c>
      <c r="B4380" s="14" t="s">
        <v>9207</v>
      </c>
      <c r="C4380" s="14"/>
      <c r="D4380" s="14" t="s">
        <v>8531</v>
      </c>
      <c r="E4380" s="14" t="s">
        <v>6023</v>
      </c>
      <c r="F4380" s="14" t="s">
        <v>6024</v>
      </c>
      <c r="G4380" s="14" t="s">
        <v>37</v>
      </c>
      <c r="H4380" s="14"/>
      <c r="I4380" s="14"/>
      <c r="J4380" s="14" t="s">
        <v>97</v>
      </c>
      <c r="K4380" s="14"/>
      <c r="L4380" s="14" t="s">
        <v>6025</v>
      </c>
      <c r="M4380" s="14" t="s">
        <v>6026</v>
      </c>
      <c r="N4380" s="14"/>
      <c r="O4380" s="14" t="s">
        <v>6027</v>
      </c>
      <c r="P4380" s="14" t="str">
        <f>HYPERLINK("https://ceds.ed.gov/cedselementdetails.aspx?termid=17914")</f>
        <v>https://ceds.ed.gov/cedselementdetails.aspx?termid=17914</v>
      </c>
      <c r="Q4380" s="14" t="str">
        <f>HYPERLINK("https://ceds.ed.gov/elementComment.aspx?elementName=Learning Resource Subject Code &amp;elementID=17914", "Click here to submit comment")</f>
        <v>Click here to submit comment</v>
      </c>
      <c r="R4380" s="14">
        <v>48373</v>
      </c>
    </row>
    <row r="4381" spans="1:18" ht="240" x14ac:dyDescent="0.25">
      <c r="A4381" s="14" t="s">
        <v>9206</v>
      </c>
      <c r="B4381" s="14" t="s">
        <v>9207</v>
      </c>
      <c r="C4381" s="14"/>
      <c r="D4381" s="14" t="s">
        <v>8531</v>
      </c>
      <c r="E4381" s="14" t="s">
        <v>6028</v>
      </c>
      <c r="F4381" s="14" t="s">
        <v>6029</v>
      </c>
      <c r="G4381" s="14" t="s">
        <v>37</v>
      </c>
      <c r="H4381" s="14"/>
      <c r="I4381" s="14"/>
      <c r="J4381" s="14" t="s">
        <v>97</v>
      </c>
      <c r="K4381" s="14"/>
      <c r="L4381" s="14" t="s">
        <v>6030</v>
      </c>
      <c r="M4381" s="14" t="s">
        <v>6031</v>
      </c>
      <c r="N4381" s="14"/>
      <c r="O4381" s="14" t="s">
        <v>6032</v>
      </c>
      <c r="P4381" s="14" t="str">
        <f>HYPERLINK("https://ceds.ed.gov/cedselementdetails.aspx?termid=17915")</f>
        <v>https://ceds.ed.gov/cedselementdetails.aspx?termid=17915</v>
      </c>
      <c r="Q4381" s="14" t="str">
        <f>HYPERLINK("https://ceds.ed.gov/elementComment.aspx?elementName=Learning Resource Subject Code System &amp;elementID=17915", "Click here to submit comment")</f>
        <v>Click here to submit comment</v>
      </c>
      <c r="R4381" s="14">
        <v>48374</v>
      </c>
    </row>
    <row r="4382" spans="1:18" ht="45" x14ac:dyDescent="0.25">
      <c r="A4382" s="14" t="s">
        <v>9206</v>
      </c>
      <c r="B4382" s="14" t="s">
        <v>9207</v>
      </c>
      <c r="C4382" s="14"/>
      <c r="D4382" s="14" t="s">
        <v>8531</v>
      </c>
      <c r="E4382" s="14" t="s">
        <v>6033</v>
      </c>
      <c r="F4382" s="14" t="s">
        <v>6034</v>
      </c>
      <c r="G4382" s="14" t="s">
        <v>37</v>
      </c>
      <c r="H4382" s="14"/>
      <c r="I4382" s="14"/>
      <c r="J4382" s="14" t="s">
        <v>97</v>
      </c>
      <c r="K4382" s="14"/>
      <c r="L4382" s="14"/>
      <c r="M4382" s="14" t="s">
        <v>6035</v>
      </c>
      <c r="N4382" s="14"/>
      <c r="O4382" s="14" t="s">
        <v>6036</v>
      </c>
      <c r="P4382" s="14" t="str">
        <f>HYPERLINK("https://ceds.ed.gov/cedselementdetails.aspx?termid=17913")</f>
        <v>https://ceds.ed.gov/cedselementdetails.aspx?termid=17913</v>
      </c>
      <c r="Q4382" s="14" t="str">
        <f>HYPERLINK("https://ceds.ed.gov/elementComment.aspx?elementName=Learning Resource Subject Name &amp;elementID=17913", "Click here to submit comment")</f>
        <v>Click here to submit comment</v>
      </c>
      <c r="R4382" s="14">
        <v>48372</v>
      </c>
    </row>
    <row r="4383" spans="1:18" ht="45" x14ac:dyDescent="0.25">
      <c r="A4383" s="14" t="s">
        <v>9206</v>
      </c>
      <c r="B4383" s="14" t="s">
        <v>9207</v>
      </c>
      <c r="C4383" s="14"/>
      <c r="D4383" s="14" t="s">
        <v>8531</v>
      </c>
      <c r="E4383" s="14" t="s">
        <v>6037</v>
      </c>
      <c r="F4383" s="14" t="s">
        <v>6038</v>
      </c>
      <c r="G4383" s="14" t="s">
        <v>37</v>
      </c>
      <c r="H4383" s="14"/>
      <c r="I4383" s="14"/>
      <c r="J4383" s="14" t="s">
        <v>97</v>
      </c>
      <c r="K4383" s="14"/>
      <c r="L4383" s="14"/>
      <c r="M4383" s="14" t="s">
        <v>6039</v>
      </c>
      <c r="N4383" s="14"/>
      <c r="O4383" s="14" t="s">
        <v>6040</v>
      </c>
      <c r="P4383" s="14" t="str">
        <f>HYPERLINK("https://ceds.ed.gov/cedselementdetails.aspx?termid=17931")</f>
        <v>https://ceds.ed.gov/cedselementdetails.aspx?termid=17931</v>
      </c>
      <c r="Q4383" s="14" t="str">
        <f>HYPERLINK("https://ceds.ed.gov/elementComment.aspx?elementName=Learning Resource Text Complexity System &amp;elementID=17931", "Click here to submit comment")</f>
        <v>Click here to submit comment</v>
      </c>
      <c r="R4383" s="14">
        <v>48389</v>
      </c>
    </row>
    <row r="4384" spans="1:18" ht="45" x14ac:dyDescent="0.25">
      <c r="A4384" s="14" t="s">
        <v>9206</v>
      </c>
      <c r="B4384" s="14" t="s">
        <v>9207</v>
      </c>
      <c r="C4384" s="14"/>
      <c r="D4384" s="14" t="s">
        <v>8531</v>
      </c>
      <c r="E4384" s="14" t="s">
        <v>6041</v>
      </c>
      <c r="F4384" s="14" t="s">
        <v>6042</v>
      </c>
      <c r="G4384" s="14" t="s">
        <v>37</v>
      </c>
      <c r="H4384" s="14"/>
      <c r="I4384" s="14"/>
      <c r="J4384" s="14" t="s">
        <v>97</v>
      </c>
      <c r="K4384" s="14"/>
      <c r="L4384" s="14"/>
      <c r="M4384" s="14" t="s">
        <v>6043</v>
      </c>
      <c r="N4384" s="14"/>
      <c r="O4384" s="14" t="s">
        <v>6044</v>
      </c>
      <c r="P4384" s="14" t="str">
        <f>HYPERLINK("https://ceds.ed.gov/cedselementdetails.aspx?termid=17930")</f>
        <v>https://ceds.ed.gov/cedselementdetails.aspx?termid=17930</v>
      </c>
      <c r="Q4384" s="14" t="str">
        <f>HYPERLINK("https://ceds.ed.gov/elementComment.aspx?elementName=Learning Resource Text Complexity Value &amp;elementID=17930", "Click here to submit comment")</f>
        <v>Click here to submit comment</v>
      </c>
      <c r="R4384" s="14">
        <v>48388</v>
      </c>
    </row>
    <row r="4385" spans="1:18" ht="60" x14ac:dyDescent="0.25">
      <c r="A4385" s="14" t="s">
        <v>9206</v>
      </c>
      <c r="B4385" s="14" t="s">
        <v>9207</v>
      </c>
      <c r="C4385" s="14"/>
      <c r="D4385" s="14" t="s">
        <v>8531</v>
      </c>
      <c r="E4385" s="14" t="s">
        <v>6045</v>
      </c>
      <c r="F4385" s="14" t="s">
        <v>6046</v>
      </c>
      <c r="G4385" s="14" t="s">
        <v>37</v>
      </c>
      <c r="H4385" s="14"/>
      <c r="I4385" s="14"/>
      <c r="J4385" s="14" t="s">
        <v>3202</v>
      </c>
      <c r="K4385" s="14"/>
      <c r="L4385" s="14"/>
      <c r="M4385" s="14" t="s">
        <v>6047</v>
      </c>
      <c r="N4385" s="14"/>
      <c r="O4385" s="14" t="s">
        <v>6048</v>
      </c>
      <c r="P4385" s="14" t="str">
        <f>HYPERLINK("https://ceds.ed.gov/cedselementdetails.aspx?termid=17925")</f>
        <v>https://ceds.ed.gov/cedselementdetails.aspx?termid=17925</v>
      </c>
      <c r="Q4385" s="14" t="str">
        <f>HYPERLINK("https://ceds.ed.gov/elementComment.aspx?elementName=Learning Resource Time Required &amp;elementID=17925", "Click here to submit comment")</f>
        <v>Click here to submit comment</v>
      </c>
      <c r="R4385" s="14">
        <v>48383</v>
      </c>
    </row>
    <row r="4386" spans="1:18" ht="45" x14ac:dyDescent="0.25">
      <c r="A4386" s="14" t="s">
        <v>9206</v>
      </c>
      <c r="B4386" s="14" t="s">
        <v>9207</v>
      </c>
      <c r="C4386" s="14"/>
      <c r="D4386" s="14" t="s">
        <v>8531</v>
      </c>
      <c r="E4386" s="14" t="s">
        <v>5982</v>
      </c>
      <c r="F4386" s="14" t="s">
        <v>5983</v>
      </c>
      <c r="G4386" s="14" t="s">
        <v>37</v>
      </c>
      <c r="H4386" s="14"/>
      <c r="I4386" s="14"/>
      <c r="J4386" s="14" t="s">
        <v>57</v>
      </c>
      <c r="K4386" s="14"/>
      <c r="L4386" s="14" t="s">
        <v>5984</v>
      </c>
      <c r="M4386" s="14" t="s">
        <v>5985</v>
      </c>
      <c r="N4386" s="14"/>
      <c r="O4386" s="14" t="s">
        <v>5986</v>
      </c>
      <c r="P4386" s="14" t="str">
        <f>HYPERLINK("https://ceds.ed.gov/cedselementdetails.aspx?termid=17922")</f>
        <v>https://ceds.ed.gov/cedselementdetails.aspx?termid=17922</v>
      </c>
      <c r="Q4386" s="14" t="str">
        <f>HYPERLINK("https://ceds.ed.gov/elementComment.aspx?elementName=Learning Resource License URL &amp;elementID=17922", "Click here to submit comment")</f>
        <v>Click here to submit comment</v>
      </c>
      <c r="R4386" s="14">
        <v>48380</v>
      </c>
    </row>
    <row r="4387" spans="1:18" ht="45" x14ac:dyDescent="0.25">
      <c r="A4387" s="14" t="s">
        <v>9206</v>
      </c>
      <c r="B4387" s="14" t="s">
        <v>9207</v>
      </c>
      <c r="C4387" s="14"/>
      <c r="D4387" s="14" t="s">
        <v>8531</v>
      </c>
      <c r="E4387" s="14" t="s">
        <v>5927</v>
      </c>
      <c r="F4387" s="14" t="s">
        <v>5928</v>
      </c>
      <c r="G4387" s="14" t="s">
        <v>37</v>
      </c>
      <c r="H4387" s="14"/>
      <c r="I4387" s="14"/>
      <c r="J4387" s="14" t="s">
        <v>175</v>
      </c>
      <c r="K4387" s="14"/>
      <c r="L4387" s="14"/>
      <c r="M4387" s="14" t="s">
        <v>5929</v>
      </c>
      <c r="N4387" s="14"/>
      <c r="O4387" s="14" t="s">
        <v>5930</v>
      </c>
      <c r="P4387" s="14" t="str">
        <f>HYPERLINK("https://ceds.ed.gov/cedselementdetails.aspx?termid=17918")</f>
        <v>https://ceds.ed.gov/cedselementdetails.aspx?termid=17918</v>
      </c>
      <c r="Q4387" s="14" t="str">
        <f>HYPERLINK("https://ceds.ed.gov/elementComment.aspx?elementName=Learning Resource Creator &amp;elementID=17918", "Click here to submit comment")</f>
        <v>Click here to submit comment</v>
      </c>
      <c r="R4387" s="14">
        <v>48376</v>
      </c>
    </row>
    <row r="4388" spans="1:18" ht="45" x14ac:dyDescent="0.25">
      <c r="A4388" s="14" t="s">
        <v>9206</v>
      </c>
      <c r="B4388" s="14" t="s">
        <v>9207</v>
      </c>
      <c r="C4388" s="14"/>
      <c r="D4388" s="14" t="s">
        <v>8531</v>
      </c>
      <c r="E4388" s="14" t="s">
        <v>5931</v>
      </c>
      <c r="F4388" s="14" t="s">
        <v>5932</v>
      </c>
      <c r="G4388" s="14" t="s">
        <v>37</v>
      </c>
      <c r="H4388" s="14"/>
      <c r="I4388" s="14"/>
      <c r="J4388" s="14" t="s">
        <v>135</v>
      </c>
      <c r="K4388" s="14"/>
      <c r="L4388" s="14"/>
      <c r="M4388" s="14" t="s">
        <v>5933</v>
      </c>
      <c r="N4388" s="14"/>
      <c r="O4388" s="14" t="s">
        <v>5934</v>
      </c>
      <c r="P4388" s="14" t="str">
        <f>HYPERLINK("https://ceds.ed.gov/cedselementdetails.aspx?termid=17916")</f>
        <v>https://ceds.ed.gov/cedselementdetails.aspx?termid=17916</v>
      </c>
      <c r="Q4388" s="14" t="str">
        <f>HYPERLINK("https://ceds.ed.gov/elementComment.aspx?elementName=Learning Resource Date Created &amp;elementID=17916", "Click here to submit comment")</f>
        <v>Click here to submit comment</v>
      </c>
      <c r="R4388" s="14">
        <v>48375</v>
      </c>
    </row>
    <row r="4389" spans="1:18" ht="45" x14ac:dyDescent="0.25">
      <c r="A4389" s="14" t="s">
        <v>9206</v>
      </c>
      <c r="B4389" s="14" t="s">
        <v>9207</v>
      </c>
      <c r="C4389" s="14"/>
      <c r="D4389" s="14" t="s">
        <v>8531</v>
      </c>
      <c r="E4389" s="14" t="s">
        <v>5935</v>
      </c>
      <c r="F4389" s="14" t="s">
        <v>5936</v>
      </c>
      <c r="G4389" s="14" t="s">
        <v>37</v>
      </c>
      <c r="H4389" s="14"/>
      <c r="I4389" s="14"/>
      <c r="J4389" s="14" t="s">
        <v>135</v>
      </c>
      <c r="K4389" s="14"/>
      <c r="L4389" s="14"/>
      <c r="M4389" s="14" t="s">
        <v>5937</v>
      </c>
      <c r="N4389" s="14"/>
      <c r="O4389" s="14" t="s">
        <v>5938</v>
      </c>
      <c r="P4389" s="14" t="str">
        <f>HYPERLINK("https://ceds.ed.gov/cedselementdetails.aspx?termid=18542")</f>
        <v>https://ceds.ed.gov/cedselementdetails.aspx?termid=18542</v>
      </c>
      <c r="Q4389" s="14" t="str">
        <f>HYPERLINK("https://ceds.ed.gov/elementComment.aspx?elementName=Learning Resource Date Modified &amp;elementID=18542", "Click here to submit comment")</f>
        <v>Click here to submit comment</v>
      </c>
      <c r="R4389" s="14">
        <v>50896</v>
      </c>
    </row>
    <row r="4390" spans="1:18" ht="45" x14ac:dyDescent="0.25">
      <c r="A4390" s="14" t="s">
        <v>9206</v>
      </c>
      <c r="B4390" s="14" t="s">
        <v>9207</v>
      </c>
      <c r="C4390" s="14"/>
      <c r="D4390" s="14" t="s">
        <v>8531</v>
      </c>
      <c r="E4390" s="14" t="s">
        <v>5881</v>
      </c>
      <c r="F4390" s="14" t="s">
        <v>5882</v>
      </c>
      <c r="G4390" s="14" t="s">
        <v>37</v>
      </c>
      <c r="H4390" s="14"/>
      <c r="I4390" s="14"/>
      <c r="J4390" s="14" t="s">
        <v>3934</v>
      </c>
      <c r="K4390" s="14"/>
      <c r="L4390" s="14"/>
      <c r="M4390" s="14" t="s">
        <v>5883</v>
      </c>
      <c r="N4390" s="14"/>
      <c r="O4390" s="14" t="s">
        <v>5884</v>
      </c>
      <c r="P4390" s="14" t="str">
        <f>HYPERLINK("https://ceds.ed.gov/cedselementdetails.aspx?termid=18544")</f>
        <v>https://ceds.ed.gov/cedselementdetails.aspx?termid=18544</v>
      </c>
      <c r="Q4390" s="14" t="str">
        <f>HYPERLINK("https://ceds.ed.gov/elementComment.aspx?elementName=Learning Resource Author Email &amp;elementID=18544", "Click here to submit comment")</f>
        <v>Click here to submit comment</v>
      </c>
      <c r="R4390" s="14">
        <v>50898</v>
      </c>
    </row>
    <row r="4391" spans="1:18" ht="45" x14ac:dyDescent="0.25">
      <c r="A4391" s="14" t="s">
        <v>9206</v>
      </c>
      <c r="B4391" s="14" t="s">
        <v>9207</v>
      </c>
      <c r="C4391" s="14"/>
      <c r="D4391" s="14" t="s">
        <v>8531</v>
      </c>
      <c r="E4391" s="14" t="s">
        <v>5885</v>
      </c>
      <c r="F4391" s="14" t="s">
        <v>5886</v>
      </c>
      <c r="G4391" s="8" t="s">
        <v>9223</v>
      </c>
      <c r="H4391" s="14"/>
      <c r="I4391" s="14"/>
      <c r="J4391" s="14"/>
      <c r="K4391" s="14"/>
      <c r="L4391" s="14"/>
      <c r="M4391" s="14" t="s">
        <v>5888</v>
      </c>
      <c r="N4391" s="14"/>
      <c r="O4391" s="14" t="s">
        <v>5889</v>
      </c>
      <c r="P4391" s="14" t="str">
        <f>HYPERLINK("https://ceds.ed.gov/cedselementdetails.aspx?termid=18540")</f>
        <v>https://ceds.ed.gov/cedselementdetails.aspx?termid=18540</v>
      </c>
      <c r="Q4391" s="14" t="str">
        <f>HYPERLINK("https://ceds.ed.gov/elementComment.aspx?elementName=Learning Resource Author Type &amp;elementID=18540", "Click here to submit comment")</f>
        <v>Click here to submit comment</v>
      </c>
      <c r="R4391" s="14">
        <v>50894</v>
      </c>
    </row>
    <row r="4392" spans="1:18" ht="45" x14ac:dyDescent="0.25">
      <c r="A4392" s="14" t="s">
        <v>9206</v>
      </c>
      <c r="B4392" s="14" t="s">
        <v>9207</v>
      </c>
      <c r="C4392" s="14"/>
      <c r="D4392" s="14" t="s">
        <v>8531</v>
      </c>
      <c r="E4392" s="14" t="s">
        <v>5890</v>
      </c>
      <c r="F4392" s="14" t="s">
        <v>5891</v>
      </c>
      <c r="G4392" s="14" t="s">
        <v>37</v>
      </c>
      <c r="H4392" s="14"/>
      <c r="I4392" s="14"/>
      <c r="J4392" s="14" t="s">
        <v>57</v>
      </c>
      <c r="K4392" s="14"/>
      <c r="L4392" s="14"/>
      <c r="M4392" s="14" t="s">
        <v>5892</v>
      </c>
      <c r="N4392" s="14"/>
      <c r="O4392" s="14" t="s">
        <v>5893</v>
      </c>
      <c r="P4392" s="14" t="str">
        <f>HYPERLINK("https://ceds.ed.gov/cedselementdetails.aspx?termid=18541")</f>
        <v>https://ceds.ed.gov/cedselementdetails.aspx?termid=18541</v>
      </c>
      <c r="Q4392" s="14" t="str">
        <f>HYPERLINK("https://ceds.ed.gov/elementComment.aspx?elementName=Learning Resource Author URL &amp;elementID=18541", "Click here to submit comment")</f>
        <v>Click here to submit comment</v>
      </c>
      <c r="R4392" s="14">
        <v>50895</v>
      </c>
    </row>
    <row r="4393" spans="1:18" ht="45" x14ac:dyDescent="0.25">
      <c r="A4393" s="14" t="s">
        <v>9206</v>
      </c>
      <c r="B4393" s="14" t="s">
        <v>9207</v>
      </c>
      <c r="C4393" s="14"/>
      <c r="D4393" s="14" t="s">
        <v>8531</v>
      </c>
      <c r="E4393" s="14" t="s">
        <v>6011</v>
      </c>
      <c r="F4393" s="14" t="s">
        <v>6012</v>
      </c>
      <c r="G4393" s="14" t="s">
        <v>37</v>
      </c>
      <c r="H4393" s="14"/>
      <c r="I4393" s="14"/>
      <c r="J4393" s="14" t="s">
        <v>3934</v>
      </c>
      <c r="K4393" s="14"/>
      <c r="L4393" s="14"/>
      <c r="M4393" s="14" t="s">
        <v>6013</v>
      </c>
      <c r="N4393" s="14"/>
      <c r="O4393" s="14" t="s">
        <v>6014</v>
      </c>
      <c r="P4393" s="14" t="str">
        <f>HYPERLINK("https://ceds.ed.gov/cedselementdetails.aspx?termid=18545")</f>
        <v>https://ceds.ed.gov/cedselementdetails.aspx?termid=18545</v>
      </c>
      <c r="Q4393" s="14" t="str">
        <f>HYPERLINK("https://ceds.ed.gov/elementComment.aspx?elementName=Learning Resource Publisher Email &amp;elementID=18545", "Click here to submit comment")</f>
        <v>Click here to submit comment</v>
      </c>
      <c r="R4393" s="14">
        <v>50899</v>
      </c>
    </row>
    <row r="4394" spans="1:18" ht="45" x14ac:dyDescent="0.25">
      <c r="A4394" s="14" t="s">
        <v>9206</v>
      </c>
      <c r="B4394" s="14" t="s">
        <v>9207</v>
      </c>
      <c r="C4394" s="14"/>
      <c r="D4394" s="14" t="s">
        <v>8531</v>
      </c>
      <c r="E4394" s="14" t="s">
        <v>6015</v>
      </c>
      <c r="F4394" s="14" t="s">
        <v>6016</v>
      </c>
      <c r="G4394" s="14" t="s">
        <v>37</v>
      </c>
      <c r="H4394" s="14"/>
      <c r="I4394" s="14"/>
      <c r="J4394" s="14" t="s">
        <v>175</v>
      </c>
      <c r="K4394" s="14"/>
      <c r="L4394" s="14"/>
      <c r="M4394" s="14" t="s">
        <v>6017</v>
      </c>
      <c r="N4394" s="14"/>
      <c r="O4394" s="14" t="s">
        <v>6018</v>
      </c>
      <c r="P4394" s="14" t="str">
        <f>HYPERLINK("https://ceds.ed.gov/cedselementdetails.aspx?termid=17919")</f>
        <v>https://ceds.ed.gov/cedselementdetails.aspx?termid=17919</v>
      </c>
      <c r="Q4394" s="14" t="str">
        <f>HYPERLINK("https://ceds.ed.gov/elementComment.aspx?elementName=Learning Resource Publisher Name &amp;elementID=17919", "Click here to submit comment")</f>
        <v>Click here to submit comment</v>
      </c>
      <c r="R4394" s="14">
        <v>48377</v>
      </c>
    </row>
    <row r="4395" spans="1:18" ht="45" x14ac:dyDescent="0.25">
      <c r="A4395" s="14" t="s">
        <v>9206</v>
      </c>
      <c r="B4395" s="14" t="s">
        <v>9207</v>
      </c>
      <c r="C4395" s="14"/>
      <c r="D4395" s="14" t="s">
        <v>8531</v>
      </c>
      <c r="E4395" s="14" t="s">
        <v>6019</v>
      </c>
      <c r="F4395" s="14" t="s">
        <v>6020</v>
      </c>
      <c r="G4395" s="14" t="s">
        <v>37</v>
      </c>
      <c r="H4395" s="14"/>
      <c r="I4395" s="14"/>
      <c r="J4395" s="14" t="s">
        <v>57</v>
      </c>
      <c r="K4395" s="14"/>
      <c r="L4395" s="14"/>
      <c r="M4395" s="14" t="s">
        <v>6021</v>
      </c>
      <c r="N4395" s="14"/>
      <c r="O4395" s="14" t="s">
        <v>6022</v>
      </c>
      <c r="P4395" s="14" t="str">
        <f>HYPERLINK("https://ceds.ed.gov/cedselementdetails.aspx?termid=18547")</f>
        <v>https://ceds.ed.gov/cedselementdetails.aspx?termid=18547</v>
      </c>
      <c r="Q4395" s="14" t="str">
        <f>HYPERLINK("https://ceds.ed.gov/elementComment.aspx?elementName=Learning Resource Publisher URL &amp;elementID=18547", "Click here to submit comment")</f>
        <v>Click here to submit comment</v>
      </c>
      <c r="R4395" s="14">
        <v>50900</v>
      </c>
    </row>
    <row r="4396" spans="1:18" ht="45" x14ac:dyDescent="0.25">
      <c r="A4396" s="14" t="s">
        <v>9206</v>
      </c>
      <c r="B4396" s="14" t="s">
        <v>9207</v>
      </c>
      <c r="C4396" s="14"/>
      <c r="D4396" s="14" t="s">
        <v>8531</v>
      </c>
      <c r="E4396" s="14" t="s">
        <v>5923</v>
      </c>
      <c r="F4396" s="14" t="s">
        <v>5924</v>
      </c>
      <c r="G4396" s="14" t="s">
        <v>37</v>
      </c>
      <c r="H4396" s="14"/>
      <c r="I4396" s="14"/>
      <c r="J4396" s="14" t="s">
        <v>2094</v>
      </c>
      <c r="K4396" s="14"/>
      <c r="L4396" s="14"/>
      <c r="M4396" s="14" t="s">
        <v>5925</v>
      </c>
      <c r="N4396" s="14"/>
      <c r="O4396" s="14" t="s">
        <v>5926</v>
      </c>
      <c r="P4396" s="14" t="str">
        <f>HYPERLINK("https://ceds.ed.gov/cedselementdetails.aspx?termid=18158")</f>
        <v>https://ceds.ed.gov/cedselementdetails.aspx?termid=18158</v>
      </c>
      <c r="Q4396" s="14" t="str">
        <f>HYPERLINK("https://ceds.ed.gov/elementComment.aspx?elementName=Learning Resource Copyright Year &amp;elementID=18158", "Click here to submit comment")</f>
        <v>Click here to submit comment</v>
      </c>
      <c r="R4396" s="14">
        <v>49348</v>
      </c>
    </row>
    <row r="4397" spans="1:18" ht="360" x14ac:dyDescent="0.25">
      <c r="A4397" s="14" t="s">
        <v>9206</v>
      </c>
      <c r="B4397" s="14" t="s">
        <v>9207</v>
      </c>
      <c r="C4397" s="14"/>
      <c r="D4397" s="14" t="s">
        <v>8531</v>
      </c>
      <c r="E4397" s="14" t="s">
        <v>2182</v>
      </c>
      <c r="F4397" s="14" t="s">
        <v>2183</v>
      </c>
      <c r="G4397" s="8" t="s">
        <v>8942</v>
      </c>
      <c r="H4397" s="14"/>
      <c r="I4397" s="14"/>
      <c r="J4397" s="14"/>
      <c r="K4397" s="14"/>
      <c r="L4397" s="14" t="s">
        <v>2186</v>
      </c>
      <c r="M4397" s="14" t="s">
        <v>2187</v>
      </c>
      <c r="N4397" s="14"/>
      <c r="O4397" s="14" t="s">
        <v>2188</v>
      </c>
      <c r="P4397" s="14" t="str">
        <f>HYPERLINK("https://ceds.ed.gov/cedselementdetails.aspx?termid=18254")</f>
        <v>https://ceds.ed.gov/cedselementdetails.aspx?termid=18254</v>
      </c>
      <c r="Q4397" s="14" t="str">
        <f>HYPERLINK("https://ceds.ed.gov/elementComment.aspx?elementName=Career Cluster &amp;elementID=18254", "Click here to submit comment")</f>
        <v>Click here to submit comment</v>
      </c>
      <c r="R4397" s="14">
        <v>50824</v>
      </c>
    </row>
    <row r="4398" spans="1:18" ht="75" x14ac:dyDescent="0.25">
      <c r="A4398" s="14" t="s">
        <v>9206</v>
      </c>
      <c r="B4398" s="14" t="s">
        <v>9207</v>
      </c>
      <c r="C4398" s="14"/>
      <c r="D4398" s="14" t="s">
        <v>8531</v>
      </c>
      <c r="E4398" s="14" t="s">
        <v>2438</v>
      </c>
      <c r="F4398" s="14" t="s">
        <v>2439</v>
      </c>
      <c r="G4398" s="14" t="s">
        <v>37</v>
      </c>
      <c r="H4398" s="14"/>
      <c r="I4398" s="14"/>
      <c r="J4398" s="14" t="s">
        <v>57</v>
      </c>
      <c r="K4398" s="14"/>
      <c r="L4398" s="14"/>
      <c r="M4398" s="14" t="s">
        <v>2441</v>
      </c>
      <c r="N4398" s="14" t="s">
        <v>2442</v>
      </c>
      <c r="O4398" s="14" t="s">
        <v>2443</v>
      </c>
      <c r="P4398" s="14" t="str">
        <f>HYPERLINK("https://ceds.ed.gov/cedselementdetails.aspx?termid=17871")</f>
        <v>https://ceds.ed.gov/cedselementdetails.aspx?termid=17871</v>
      </c>
      <c r="Q4398" s="14" t="str">
        <f>HYPERLINK("https://ceds.ed.gov/elementComment.aspx?elementName=Competency Association Identifier URI &amp;elementID=17871", "Click here to submit comment")</f>
        <v>Click here to submit comment</v>
      </c>
      <c r="R4398" s="14">
        <v>50659</v>
      </c>
    </row>
    <row r="4399" spans="1:18" ht="409.5" customHeight="1" x14ac:dyDescent="0.25">
      <c r="A4399" s="19" t="s">
        <v>9206</v>
      </c>
      <c r="B4399" s="19" t="s">
        <v>9207</v>
      </c>
      <c r="C4399" s="19"/>
      <c r="D4399" s="19" t="s">
        <v>8531</v>
      </c>
      <c r="E4399" s="19" t="s">
        <v>2454</v>
      </c>
      <c r="F4399" s="19" t="s">
        <v>2455</v>
      </c>
      <c r="G4399" s="22" t="s">
        <v>9203</v>
      </c>
      <c r="H4399" s="19"/>
      <c r="I4399" s="19"/>
      <c r="J4399" s="19"/>
      <c r="K4399" s="19"/>
      <c r="L4399" s="14" t="s">
        <v>2457</v>
      </c>
      <c r="M4399" s="19" t="s">
        <v>2458</v>
      </c>
      <c r="N4399" s="19" t="s">
        <v>2459</v>
      </c>
      <c r="O4399" s="19" t="s">
        <v>2460</v>
      </c>
      <c r="P4399" s="19" t="str">
        <f>HYPERLINK("https://ceds.ed.gov/cedselementdetails.aspx?termid=17869")</f>
        <v>https://ceds.ed.gov/cedselementdetails.aspx?termid=17869</v>
      </c>
      <c r="Q4399" s="19" t="str">
        <f>HYPERLINK("https://ceds.ed.gov/elementComment.aspx?elementName=Competency Association Type &amp;elementID=17869", "Click here to submit comment")</f>
        <v>Click here to submit comment</v>
      </c>
      <c r="R4399" s="19">
        <v>50565</v>
      </c>
    </row>
    <row r="4400" spans="1:18" x14ac:dyDescent="0.25">
      <c r="A4400" s="20"/>
      <c r="B4400" s="20"/>
      <c r="C4400" s="20"/>
      <c r="D4400" s="20"/>
      <c r="E4400" s="20"/>
      <c r="F4400" s="20"/>
      <c r="G4400" s="23"/>
      <c r="H4400" s="20"/>
      <c r="I4400" s="20"/>
      <c r="J4400" s="20"/>
      <c r="K4400" s="20"/>
      <c r="L4400" s="14"/>
      <c r="M4400" s="20"/>
      <c r="N4400" s="20"/>
      <c r="O4400" s="20"/>
      <c r="P4400" s="20"/>
      <c r="Q4400" s="20"/>
      <c r="R4400" s="20"/>
    </row>
    <row r="4401" spans="1:18" x14ac:dyDescent="0.25">
      <c r="A4401" s="20"/>
      <c r="B4401" s="20"/>
      <c r="C4401" s="20"/>
      <c r="D4401" s="20"/>
      <c r="E4401" s="20"/>
      <c r="F4401" s="20"/>
      <c r="G4401" s="23"/>
      <c r="H4401" s="20"/>
      <c r="I4401" s="20"/>
      <c r="J4401" s="20"/>
      <c r="K4401" s="20"/>
      <c r="L4401" s="14"/>
      <c r="M4401" s="20"/>
      <c r="N4401" s="20"/>
      <c r="O4401" s="20"/>
      <c r="P4401" s="20"/>
      <c r="Q4401" s="20"/>
      <c r="R4401" s="20"/>
    </row>
    <row r="4402" spans="1:18" ht="135" x14ac:dyDescent="0.25">
      <c r="A4402" s="21"/>
      <c r="B4402" s="21"/>
      <c r="C4402" s="21"/>
      <c r="D4402" s="21"/>
      <c r="E4402" s="21"/>
      <c r="F4402" s="21"/>
      <c r="G4402" s="24"/>
      <c r="H4402" s="21"/>
      <c r="I4402" s="21"/>
      <c r="J4402" s="21"/>
      <c r="K4402" s="21"/>
      <c r="L4402" s="14" t="s">
        <v>2461</v>
      </c>
      <c r="M4402" s="21"/>
      <c r="N4402" s="21"/>
      <c r="O4402" s="21"/>
      <c r="P4402" s="21"/>
      <c r="Q4402" s="21"/>
      <c r="R4402" s="21"/>
    </row>
    <row r="4403" spans="1:18" ht="60" x14ac:dyDescent="0.25">
      <c r="A4403" s="14" t="s">
        <v>9206</v>
      </c>
      <c r="B4403" s="14" t="s">
        <v>9207</v>
      </c>
      <c r="C4403" s="14" t="s">
        <v>9224</v>
      </c>
      <c r="D4403" s="14" t="s">
        <v>8531</v>
      </c>
      <c r="E4403" s="14" t="s">
        <v>5993</v>
      </c>
      <c r="F4403" s="14" t="s">
        <v>5994</v>
      </c>
      <c r="G4403" s="14" t="s">
        <v>37</v>
      </c>
      <c r="H4403" s="14"/>
      <c r="I4403" s="14"/>
      <c r="J4403" s="14" t="s">
        <v>370</v>
      </c>
      <c r="K4403" s="14"/>
      <c r="L4403" s="14"/>
      <c r="M4403" s="14" t="s">
        <v>5996</v>
      </c>
      <c r="N4403" s="14"/>
      <c r="O4403" s="14" t="s">
        <v>5997</v>
      </c>
      <c r="P4403" s="14" t="str">
        <f>HYPERLINK("https://ceds.ed.gov/cedselementdetails.aspx?termid=18369")</f>
        <v>https://ceds.ed.gov/cedselementdetails.aspx?termid=18369</v>
      </c>
      <c r="Q4403" s="14" t="str">
        <f>HYPERLINK("https://ceds.ed.gov/elementComment.aspx?elementName=Learning Resource Peer Rating Sample Size &amp;elementID=18369", "Click here to submit comment")</f>
        <v>Click here to submit comment</v>
      </c>
      <c r="R4403" s="14">
        <v>50285</v>
      </c>
    </row>
    <row r="4404" spans="1:18" ht="90" x14ac:dyDescent="0.25">
      <c r="A4404" s="14" t="s">
        <v>9206</v>
      </c>
      <c r="B4404" s="14" t="s">
        <v>9207</v>
      </c>
      <c r="C4404" s="14" t="s">
        <v>9224</v>
      </c>
      <c r="D4404" s="14" t="s">
        <v>8531</v>
      </c>
      <c r="E4404" s="14" t="s">
        <v>5998</v>
      </c>
      <c r="F4404" s="14" t="s">
        <v>5999</v>
      </c>
      <c r="G4404" s="14" t="s">
        <v>37</v>
      </c>
      <c r="H4404" s="14"/>
      <c r="I4404" s="14"/>
      <c r="J4404" s="14" t="s">
        <v>1112</v>
      </c>
      <c r="K4404" s="14"/>
      <c r="L4404" s="14"/>
      <c r="M4404" s="14" t="s">
        <v>6000</v>
      </c>
      <c r="N4404" s="14"/>
      <c r="O4404" s="14" t="s">
        <v>6001</v>
      </c>
      <c r="P4404" s="14" t="str">
        <f>HYPERLINK("https://ceds.ed.gov/cedselementdetails.aspx?termid=18161")</f>
        <v>https://ceds.ed.gov/cedselementdetails.aspx?termid=18161</v>
      </c>
      <c r="Q4404" s="14" t="str">
        <f>HYPERLINK("https://ceds.ed.gov/elementComment.aspx?elementName=Learning Resource Peer Rating Value &amp;elementID=18161", "Click here to submit comment")</f>
        <v>Click here to submit comment</v>
      </c>
      <c r="R4404" s="14">
        <v>49351</v>
      </c>
    </row>
    <row r="4405" spans="1:18" ht="45" x14ac:dyDescent="0.25">
      <c r="A4405" s="14" t="s">
        <v>9206</v>
      </c>
      <c r="B4405" s="14" t="s">
        <v>9207</v>
      </c>
      <c r="C4405" s="14" t="s">
        <v>9224</v>
      </c>
      <c r="D4405" s="14" t="s">
        <v>8531</v>
      </c>
      <c r="E4405" s="14" t="s">
        <v>6665</v>
      </c>
      <c r="F4405" s="14" t="s">
        <v>6666</v>
      </c>
      <c r="G4405" s="14" t="s">
        <v>37</v>
      </c>
      <c r="H4405" s="14"/>
      <c r="I4405" s="14"/>
      <c r="J4405" s="14" t="s">
        <v>135</v>
      </c>
      <c r="K4405" s="14"/>
      <c r="L4405" s="14"/>
      <c r="M4405" s="14" t="s">
        <v>6667</v>
      </c>
      <c r="N4405" s="14"/>
      <c r="O4405" s="14" t="s">
        <v>6668</v>
      </c>
      <c r="P4405" s="14" t="str">
        <f>HYPERLINK("https://ceds.ed.gov/cedselementdetails.aspx?termid=18171")</f>
        <v>https://ceds.ed.gov/cedselementdetails.aspx?termid=18171</v>
      </c>
      <c r="Q4405" s="14" t="str">
        <f>HYPERLINK("https://ceds.ed.gov/elementComment.aspx?elementName=Peer Rating Date &amp;elementID=18171", "Click here to submit comment")</f>
        <v>Click here to submit comment</v>
      </c>
      <c r="R4405" s="14">
        <v>48004</v>
      </c>
    </row>
    <row r="4406" spans="1:18" ht="45" x14ac:dyDescent="0.25">
      <c r="A4406" s="14" t="s">
        <v>9206</v>
      </c>
      <c r="B4406" s="14" t="s">
        <v>9225</v>
      </c>
      <c r="C4406" s="14"/>
      <c r="D4406" s="14" t="s">
        <v>8531</v>
      </c>
      <c r="E4406" s="14" t="s">
        <v>6678</v>
      </c>
      <c r="F4406" s="14" t="s">
        <v>6679</v>
      </c>
      <c r="G4406" s="14" t="s">
        <v>37</v>
      </c>
      <c r="H4406" s="14"/>
      <c r="I4406" s="14"/>
      <c r="J4406" s="14" t="s">
        <v>175</v>
      </c>
      <c r="K4406" s="14"/>
      <c r="L4406" s="14"/>
      <c r="M4406" s="14" t="s">
        <v>6680</v>
      </c>
      <c r="N4406" s="14"/>
      <c r="O4406" s="14" t="s">
        <v>6681</v>
      </c>
      <c r="P4406" s="14" t="str">
        <f>HYPERLINK("https://ceds.ed.gov/cedselementdetails.aspx?termid=18160")</f>
        <v>https://ceds.ed.gov/cedselementdetails.aspx?termid=18160</v>
      </c>
      <c r="Q4406" s="14" t="str">
        <f>HYPERLINK("https://ceds.ed.gov/elementComment.aspx?elementName=Peer Rating System Name &amp;elementID=18160", "Click here to submit comment")</f>
        <v>Click here to submit comment</v>
      </c>
      <c r="R4406" s="14">
        <v>49350</v>
      </c>
    </row>
    <row r="4407" spans="1:18" ht="45" x14ac:dyDescent="0.25">
      <c r="A4407" s="14" t="s">
        <v>9206</v>
      </c>
      <c r="B4407" s="14" t="s">
        <v>9225</v>
      </c>
      <c r="C4407" s="14"/>
      <c r="D4407" s="14" t="s">
        <v>8531</v>
      </c>
      <c r="E4407" s="14" t="s">
        <v>6674</v>
      </c>
      <c r="F4407" s="14" t="s">
        <v>6675</v>
      </c>
      <c r="G4407" s="14" t="s">
        <v>37</v>
      </c>
      <c r="H4407" s="14"/>
      <c r="I4407" s="14"/>
      <c r="J4407" s="14" t="s">
        <v>1112</v>
      </c>
      <c r="K4407" s="14"/>
      <c r="L4407" s="14"/>
      <c r="M4407" s="14" t="s">
        <v>6676</v>
      </c>
      <c r="N4407" s="14"/>
      <c r="O4407" s="14" t="s">
        <v>6677</v>
      </c>
      <c r="P4407" s="14" t="str">
        <f>HYPERLINK("https://ceds.ed.gov/cedselementdetails.aspx?termid=18163")</f>
        <v>https://ceds.ed.gov/cedselementdetails.aspx?termid=18163</v>
      </c>
      <c r="Q4407" s="14" t="str">
        <f>HYPERLINK("https://ceds.ed.gov/elementComment.aspx?elementName=Peer Rating System Minimum Value &amp;elementID=18163", "Click here to submit comment")</f>
        <v>Click here to submit comment</v>
      </c>
      <c r="R4407" s="14">
        <v>49353</v>
      </c>
    </row>
    <row r="4408" spans="1:18" ht="45" x14ac:dyDescent="0.25">
      <c r="A4408" s="14" t="s">
        <v>9206</v>
      </c>
      <c r="B4408" s="14" t="s">
        <v>9225</v>
      </c>
      <c r="C4408" s="14"/>
      <c r="D4408" s="14" t="s">
        <v>8531</v>
      </c>
      <c r="E4408" s="14" t="s">
        <v>6669</v>
      </c>
      <c r="F4408" s="14" t="s">
        <v>6670</v>
      </c>
      <c r="G4408" s="14" t="s">
        <v>37</v>
      </c>
      <c r="H4408" s="14"/>
      <c r="I4408" s="14"/>
      <c r="J4408" s="14" t="s">
        <v>1112</v>
      </c>
      <c r="K4408" s="14"/>
      <c r="L4408" s="14"/>
      <c r="M4408" s="14" t="s">
        <v>6672</v>
      </c>
      <c r="N4408" s="14"/>
      <c r="O4408" s="14" t="s">
        <v>6673</v>
      </c>
      <c r="P4408" s="14" t="str">
        <f>HYPERLINK("https://ceds.ed.gov/cedselementdetails.aspx?termid=18162")</f>
        <v>https://ceds.ed.gov/cedselementdetails.aspx?termid=18162</v>
      </c>
      <c r="Q4408" s="14" t="str">
        <f>HYPERLINK("https://ceds.ed.gov/elementComment.aspx?elementName=Peer Rating System Maximum Value &amp;elementID=18162", "Click here to submit comment")</f>
        <v>Click here to submit comment</v>
      </c>
      <c r="R4408" s="14">
        <v>49352</v>
      </c>
    </row>
    <row r="4409" spans="1:18" ht="75" x14ac:dyDescent="0.25">
      <c r="A4409" s="14" t="s">
        <v>9206</v>
      </c>
      <c r="B4409" s="14" t="s">
        <v>9225</v>
      </c>
      <c r="C4409" s="14"/>
      <c r="D4409" s="14" t="s">
        <v>8531</v>
      </c>
      <c r="E4409" s="14" t="s">
        <v>6682</v>
      </c>
      <c r="F4409" s="14" t="s">
        <v>6683</v>
      </c>
      <c r="G4409" s="14" t="s">
        <v>37</v>
      </c>
      <c r="H4409" s="14"/>
      <c r="I4409" s="14"/>
      <c r="J4409" s="14" t="s">
        <v>1112</v>
      </c>
      <c r="K4409" s="14"/>
      <c r="L4409" s="14"/>
      <c r="M4409" s="14" t="s">
        <v>6684</v>
      </c>
      <c r="N4409" s="14"/>
      <c r="O4409" s="14" t="s">
        <v>6685</v>
      </c>
      <c r="P4409" s="14" t="str">
        <f>HYPERLINK("https://ceds.ed.gov/cedselementdetails.aspx?termid=18164")</f>
        <v>https://ceds.ed.gov/cedselementdetails.aspx?termid=18164</v>
      </c>
      <c r="Q4409" s="14" t="str">
        <f>HYPERLINK("https://ceds.ed.gov/elementComment.aspx?elementName=Peer Rating System Optimum Value &amp;elementID=18164", "Click here to submit comment")</f>
        <v>Click here to submit comment</v>
      </c>
      <c r="R4409" s="14">
        <v>49354</v>
      </c>
    </row>
    <row r="4410" spans="1:18" ht="45" x14ac:dyDescent="0.25">
      <c r="A4410" s="14" t="s">
        <v>9226</v>
      </c>
      <c r="B4410" s="14" t="s">
        <v>8566</v>
      </c>
      <c r="C4410" s="14"/>
      <c r="D4410" s="14" t="s">
        <v>8531</v>
      </c>
      <c r="E4410" s="14" t="s">
        <v>6556</v>
      </c>
      <c r="F4410" s="14" t="s">
        <v>6557</v>
      </c>
      <c r="G4410" s="14" t="s">
        <v>37</v>
      </c>
      <c r="H4410" s="14"/>
      <c r="I4410" s="14"/>
      <c r="J4410" s="14" t="s">
        <v>3227</v>
      </c>
      <c r="K4410" s="14"/>
      <c r="L4410" s="14"/>
      <c r="M4410" s="14" t="s">
        <v>6559</v>
      </c>
      <c r="N4410" s="14"/>
      <c r="O4410" s="14" t="s">
        <v>6560</v>
      </c>
      <c r="P4410" s="14" t="str">
        <f>HYPERLINK("https://ceds.ed.gov/cedselementdetails.aspx?termid=18731")</f>
        <v>https://ceds.ed.gov/cedselementdetails.aspx?termid=18731</v>
      </c>
      <c r="Q4410" s="14" t="str">
        <f>HYPERLINK("https://ceds.ed.gov/elementComment.aspx?elementName=Organization Region GeoJSON &amp;elementID=18731", "Click here to submit comment")</f>
        <v>Click here to submit comment</v>
      </c>
      <c r="R4410" s="14">
        <v>51998</v>
      </c>
    </row>
    <row r="4411" spans="1:18" ht="120" customHeight="1" x14ac:dyDescent="0.25">
      <c r="A4411" s="19" t="s">
        <v>9226</v>
      </c>
      <c r="B4411" s="19" t="s">
        <v>8566</v>
      </c>
      <c r="C4411" s="19" t="s">
        <v>8533</v>
      </c>
      <c r="D4411" s="19" t="s">
        <v>8531</v>
      </c>
      <c r="E4411" s="19" t="s">
        <v>4147</v>
      </c>
      <c r="F4411" s="19" t="s">
        <v>4148</v>
      </c>
      <c r="G4411" s="19" t="s">
        <v>37</v>
      </c>
      <c r="H4411" s="19"/>
      <c r="I4411" s="19"/>
      <c r="J4411" s="19" t="s">
        <v>149</v>
      </c>
      <c r="K4411" s="19"/>
      <c r="L4411" s="14" t="s">
        <v>150</v>
      </c>
      <c r="M4411" s="19" t="s">
        <v>4150</v>
      </c>
      <c r="N4411" s="19"/>
      <c r="O4411" s="19" t="s">
        <v>4151</v>
      </c>
      <c r="P4411" s="19" t="str">
        <f>HYPERLINK("https://ceds.ed.gov/cedselementdetails.aspx?termid=17495")</f>
        <v>https://ceds.ed.gov/cedselementdetails.aspx?termid=17495</v>
      </c>
      <c r="Q4411" s="19" t="str">
        <f>HYPERLINK("https://ceds.ed.gov/elementComment.aspx?elementName=Facilities Identifier &amp;elementID=17495", "Click here to submit comment")</f>
        <v>Click here to submit comment</v>
      </c>
      <c r="R4411" s="19">
        <v>47867</v>
      </c>
    </row>
    <row r="4412" spans="1:18" x14ac:dyDescent="0.25">
      <c r="A4412" s="20"/>
      <c r="B4412" s="20"/>
      <c r="C4412" s="20"/>
      <c r="D4412" s="20"/>
      <c r="E4412" s="20"/>
      <c r="F4412" s="20"/>
      <c r="G4412" s="20"/>
      <c r="H4412" s="20"/>
      <c r="I4412" s="20"/>
      <c r="J4412" s="20"/>
      <c r="K4412" s="20"/>
      <c r="L4412" s="14"/>
      <c r="M4412" s="20"/>
      <c r="N4412" s="20"/>
      <c r="O4412" s="20"/>
      <c r="P4412" s="20"/>
      <c r="Q4412" s="20"/>
      <c r="R4412" s="20"/>
    </row>
    <row r="4413" spans="1:18" ht="90" x14ac:dyDescent="0.25">
      <c r="A4413" s="21"/>
      <c r="B4413" s="21"/>
      <c r="C4413" s="21"/>
      <c r="D4413" s="21"/>
      <c r="E4413" s="21"/>
      <c r="F4413" s="21"/>
      <c r="G4413" s="21"/>
      <c r="H4413" s="21"/>
      <c r="I4413" s="21"/>
      <c r="J4413" s="21"/>
      <c r="K4413" s="21"/>
      <c r="L4413" s="14" t="s">
        <v>153</v>
      </c>
      <c r="M4413" s="21"/>
      <c r="N4413" s="21"/>
      <c r="O4413" s="21"/>
      <c r="P4413" s="21"/>
      <c r="Q4413" s="21"/>
      <c r="R4413" s="21"/>
    </row>
    <row r="4414" spans="1:18" ht="45" x14ac:dyDescent="0.25">
      <c r="A4414" s="14" t="s">
        <v>9226</v>
      </c>
      <c r="B4414" s="14" t="s">
        <v>8566</v>
      </c>
      <c r="C4414" s="14" t="s">
        <v>8533</v>
      </c>
      <c r="D4414" s="14" t="s">
        <v>8531</v>
      </c>
      <c r="E4414" s="14" t="s">
        <v>6545</v>
      </c>
      <c r="F4414" s="14" t="s">
        <v>6546</v>
      </c>
      <c r="G4414" s="14" t="s">
        <v>37</v>
      </c>
      <c r="H4414" s="14" t="s">
        <v>238</v>
      </c>
      <c r="I4414" s="14"/>
      <c r="J4414" s="14" t="s">
        <v>175</v>
      </c>
      <c r="K4414" s="14"/>
      <c r="L4414" s="14"/>
      <c r="M4414" s="14" t="s">
        <v>6548</v>
      </c>
      <c r="N4414" s="14"/>
      <c r="O4414" s="14" t="s">
        <v>6549</v>
      </c>
      <c r="P4414" s="14" t="str">
        <f>HYPERLINK("https://ceds.ed.gov/cedselementdetails.aspx?termid=17204")</f>
        <v>https://ceds.ed.gov/cedselementdetails.aspx?termid=17204</v>
      </c>
      <c r="Q4414" s="14" t="str">
        <f>HYPERLINK("https://ceds.ed.gov/elementComment.aspx?elementName=Organization Name &amp;elementID=17204", "Click here to submit comment")</f>
        <v>Click here to submit comment</v>
      </c>
      <c r="R4414" s="14">
        <v>48599</v>
      </c>
    </row>
    <row r="4415" spans="1:18" ht="105" x14ac:dyDescent="0.25">
      <c r="A4415" s="19" t="s">
        <v>9226</v>
      </c>
      <c r="B4415" s="19" t="s">
        <v>8566</v>
      </c>
      <c r="C4415" s="19" t="s">
        <v>8533</v>
      </c>
      <c r="D4415" s="19" t="s">
        <v>8531</v>
      </c>
      <c r="E4415" s="19" t="s">
        <v>6530</v>
      </c>
      <c r="F4415" s="19" t="s">
        <v>6531</v>
      </c>
      <c r="G4415" s="19" t="s">
        <v>37</v>
      </c>
      <c r="H4415" s="19" t="s">
        <v>125</v>
      </c>
      <c r="I4415" s="19"/>
      <c r="J4415" s="19" t="s">
        <v>149</v>
      </c>
      <c r="K4415" s="19"/>
      <c r="L4415" s="14" t="s">
        <v>150</v>
      </c>
      <c r="M4415" s="19" t="s">
        <v>6533</v>
      </c>
      <c r="N4415" s="19"/>
      <c r="O4415" s="19" t="s">
        <v>6534</v>
      </c>
      <c r="P4415" s="19" t="str">
        <f>HYPERLINK("https://ceds.ed.gov/cedselementdetails.aspx?termid=17825")</f>
        <v>https://ceds.ed.gov/cedselementdetails.aspx?termid=17825</v>
      </c>
      <c r="Q4415" s="19" t="str">
        <f>HYPERLINK("https://ceds.ed.gov/elementComment.aspx?elementName=Organization Identifier &amp;elementID=17825", "Click here to submit comment")</f>
        <v>Click here to submit comment</v>
      </c>
      <c r="R4415" s="19">
        <v>48600</v>
      </c>
    </row>
    <row r="4416" spans="1:18" x14ac:dyDescent="0.25">
      <c r="A4416" s="20"/>
      <c r="B4416" s="20"/>
      <c r="C4416" s="20"/>
      <c r="D4416" s="20"/>
      <c r="E4416" s="20"/>
      <c r="F4416" s="20"/>
      <c r="G4416" s="20"/>
      <c r="H4416" s="20"/>
      <c r="I4416" s="20"/>
      <c r="J4416" s="20"/>
      <c r="K4416" s="20"/>
      <c r="L4416" s="14"/>
      <c r="M4416" s="20"/>
      <c r="N4416" s="20"/>
      <c r="O4416" s="20"/>
      <c r="P4416" s="20"/>
      <c r="Q4416" s="20"/>
      <c r="R4416" s="20"/>
    </row>
    <row r="4417" spans="1:18" ht="90" x14ac:dyDescent="0.25">
      <c r="A4417" s="21"/>
      <c r="B4417" s="21"/>
      <c r="C4417" s="21"/>
      <c r="D4417" s="21"/>
      <c r="E4417" s="21"/>
      <c r="F4417" s="21"/>
      <c r="G4417" s="21"/>
      <c r="H4417" s="21"/>
      <c r="I4417" s="21"/>
      <c r="J4417" s="21"/>
      <c r="K4417" s="21"/>
      <c r="L4417" s="14" t="s">
        <v>153</v>
      </c>
      <c r="M4417" s="21"/>
      <c r="N4417" s="21"/>
      <c r="O4417" s="21"/>
      <c r="P4417" s="21"/>
      <c r="Q4417" s="21"/>
      <c r="R4417" s="21"/>
    </row>
    <row r="4418" spans="1:18" ht="255" x14ac:dyDescent="0.25">
      <c r="A4418" s="14" t="s">
        <v>9226</v>
      </c>
      <c r="B4418" s="14" t="s">
        <v>8566</v>
      </c>
      <c r="C4418" s="14" t="s">
        <v>8533</v>
      </c>
      <c r="D4418" s="14" t="s">
        <v>8531</v>
      </c>
      <c r="E4418" s="14" t="s">
        <v>6524</v>
      </c>
      <c r="F4418" s="14" t="s">
        <v>6525</v>
      </c>
      <c r="G4418" s="8" t="s">
        <v>8534</v>
      </c>
      <c r="H4418" s="14" t="s">
        <v>125</v>
      </c>
      <c r="I4418" s="14"/>
      <c r="J4418" s="14"/>
      <c r="K4418" s="14"/>
      <c r="L4418" s="14"/>
      <c r="M4418" s="14" t="s">
        <v>6528</v>
      </c>
      <c r="N4418" s="14"/>
      <c r="O4418" s="14" t="s">
        <v>6529</v>
      </c>
      <c r="P4418" s="14" t="str">
        <f>HYPERLINK("https://ceds.ed.gov/cedselementdetails.aspx?termid=17827")</f>
        <v>https://ceds.ed.gov/cedselementdetails.aspx?termid=17827</v>
      </c>
      <c r="Q4418" s="14" t="str">
        <f>HYPERLINK("https://ceds.ed.gov/elementComment.aspx?elementName=Organization Identification System &amp;elementID=17827", "Click here to submit comment")</f>
        <v>Click here to submit comment</v>
      </c>
      <c r="R4418" s="14">
        <v>48601</v>
      </c>
    </row>
    <row r="4419" spans="1:18" ht="45" x14ac:dyDescent="0.25">
      <c r="A4419" s="14" t="s">
        <v>9226</v>
      </c>
      <c r="B4419" s="14" t="s">
        <v>8566</v>
      </c>
      <c r="C4419" s="14" t="s">
        <v>8533</v>
      </c>
      <c r="D4419" s="14" t="s">
        <v>8531</v>
      </c>
      <c r="E4419" s="14" t="s">
        <v>4198</v>
      </c>
      <c r="F4419" s="14" t="s">
        <v>4199</v>
      </c>
      <c r="G4419" s="14" t="s">
        <v>37</v>
      </c>
      <c r="H4419" s="14"/>
      <c r="I4419" s="14"/>
      <c r="J4419" s="14" t="s">
        <v>175</v>
      </c>
      <c r="K4419" s="14"/>
      <c r="L4419" s="14"/>
      <c r="M4419" s="14" t="s">
        <v>4200</v>
      </c>
      <c r="N4419" s="14"/>
      <c r="O4419" s="14" t="s">
        <v>4201</v>
      </c>
      <c r="P4419" s="14" t="str">
        <f>HYPERLINK("https://ceds.ed.gov/cedselementdetails.aspx?termid=18172")</f>
        <v>https://ceds.ed.gov/cedselementdetails.aspx?termid=18172</v>
      </c>
      <c r="Q4419" s="14" t="str">
        <f>HYPERLINK("https://ceds.ed.gov/elementComment.aspx?elementName=Facility Building Name &amp;elementID=18172", "Click here to submit comment")</f>
        <v>Click here to submit comment</v>
      </c>
      <c r="R4419" s="14">
        <v>48609</v>
      </c>
    </row>
    <row r="4420" spans="1:18" ht="409.5" x14ac:dyDescent="0.25">
      <c r="A4420" s="14" t="s">
        <v>9226</v>
      </c>
      <c r="B4420" s="14" t="s">
        <v>8566</v>
      </c>
      <c r="C4420" s="14" t="s">
        <v>8533</v>
      </c>
      <c r="D4420" s="14" t="s">
        <v>8531</v>
      </c>
      <c r="E4420" s="14" t="s">
        <v>6571</v>
      </c>
      <c r="F4420" s="14" t="s">
        <v>6572</v>
      </c>
      <c r="G4420" s="8" t="s">
        <v>8535</v>
      </c>
      <c r="H4420" s="14"/>
      <c r="I4420" s="14" t="s">
        <v>195</v>
      </c>
      <c r="J4420" s="14"/>
      <c r="K4420" s="14" t="s">
        <v>6574</v>
      </c>
      <c r="L4420" s="14" t="s">
        <v>6575</v>
      </c>
      <c r="M4420" s="14" t="s">
        <v>6576</v>
      </c>
      <c r="N4420" s="14"/>
      <c r="O4420" s="14" t="s">
        <v>6577</v>
      </c>
      <c r="P4420" s="14" t="str">
        <f>HYPERLINK("https://ceds.ed.gov/cedselementdetails.aspx?termid=18165")</f>
        <v>https://ceds.ed.gov/cedselementdetails.aspx?termid=18165</v>
      </c>
      <c r="Q4420" s="14" t="str">
        <f>HYPERLINK("https://ceds.ed.gov/elementComment.aspx?elementName=Organization Type &amp;elementID=18165", "Click here to submit comment")</f>
        <v>Click here to submit comment</v>
      </c>
      <c r="R4420" s="14">
        <v>52001</v>
      </c>
    </row>
    <row r="4421" spans="1:18" ht="60" x14ac:dyDescent="0.25">
      <c r="A4421" s="14" t="s">
        <v>9226</v>
      </c>
      <c r="B4421" s="14" t="s">
        <v>8566</v>
      </c>
      <c r="C4421" s="14" t="s">
        <v>8533</v>
      </c>
      <c r="D4421" s="14" t="s">
        <v>8531</v>
      </c>
      <c r="E4421" s="14" t="s">
        <v>1774</v>
      </c>
      <c r="F4421" s="14" t="s">
        <v>1775</v>
      </c>
      <c r="G4421" s="14" t="s">
        <v>37</v>
      </c>
      <c r="H4421" s="14"/>
      <c r="I4421" s="14"/>
      <c r="J4421" s="14" t="s">
        <v>97</v>
      </c>
      <c r="K4421" s="14"/>
      <c r="L4421" s="14"/>
      <c r="M4421" s="14" t="s">
        <v>1777</v>
      </c>
      <c r="N4421" s="14"/>
      <c r="O4421" s="14" t="s">
        <v>1778</v>
      </c>
      <c r="P4421" s="14" t="str">
        <f>HYPERLINK("https://ceds.ed.gov/cedselementdetails.aspx?termid=18757")</f>
        <v>https://ceds.ed.gov/cedselementdetails.aspx?termid=18757</v>
      </c>
      <c r="Q4421" s="14" t="str">
        <f>HYPERLINK("https://ceds.ed.gov/elementComment.aspx?elementName=Building Addition Code &amp;elementID=18757", "Click here to submit comment")</f>
        <v>Click here to submit comment</v>
      </c>
      <c r="R4421" s="14">
        <v>52082</v>
      </c>
    </row>
    <row r="4422" spans="1:18" ht="45" x14ac:dyDescent="0.25">
      <c r="A4422" s="14" t="s">
        <v>9226</v>
      </c>
      <c r="B4422" s="14" t="s">
        <v>8566</v>
      </c>
      <c r="C4422" s="14" t="s">
        <v>8533</v>
      </c>
      <c r="D4422" s="14" t="s">
        <v>8531</v>
      </c>
      <c r="E4422" s="14" t="s">
        <v>1779</v>
      </c>
      <c r="F4422" s="14" t="s">
        <v>1780</v>
      </c>
      <c r="G4422" s="14" t="s">
        <v>37</v>
      </c>
      <c r="H4422" s="14"/>
      <c r="I4422" s="14"/>
      <c r="J4422" s="14" t="s">
        <v>62</v>
      </c>
      <c r="K4422" s="14"/>
      <c r="L4422" s="14"/>
      <c r="M4422" s="14" t="s">
        <v>1781</v>
      </c>
      <c r="N4422" s="14"/>
      <c r="O4422" s="14" t="s">
        <v>1782</v>
      </c>
      <c r="P4422" s="14" t="str">
        <f>HYPERLINK("https://ceds.ed.gov/cedselementdetails.aspx?termid=18756")</f>
        <v>https://ceds.ed.gov/cedselementdetails.aspx?termid=18756</v>
      </c>
      <c r="Q4422" s="14" t="str">
        <f>HYPERLINK("https://ceds.ed.gov/elementComment.aspx?elementName=Building Addition Description &amp;elementID=18756", "Click here to submit comment")</f>
        <v>Click here to submit comment</v>
      </c>
      <c r="R4422" s="14">
        <v>52083</v>
      </c>
    </row>
    <row r="4423" spans="1:18" ht="165" x14ac:dyDescent="0.25">
      <c r="A4423" s="14" t="s">
        <v>9226</v>
      </c>
      <c r="B4423" s="14" t="s">
        <v>8566</v>
      </c>
      <c r="C4423" s="14" t="s">
        <v>8533</v>
      </c>
      <c r="D4423" s="14" t="s">
        <v>8531</v>
      </c>
      <c r="E4423" s="14" t="s">
        <v>1803</v>
      </c>
      <c r="F4423" s="14" t="s">
        <v>1804</v>
      </c>
      <c r="G4423" s="14" t="s">
        <v>37</v>
      </c>
      <c r="H4423" s="14"/>
      <c r="I4423" s="14"/>
      <c r="J4423" s="14" t="s">
        <v>97</v>
      </c>
      <c r="K4423" s="14"/>
      <c r="L4423" s="14"/>
      <c r="M4423" s="14" t="s">
        <v>1805</v>
      </c>
      <c r="N4423" s="14"/>
      <c r="O4423" s="14" t="s">
        <v>1806</v>
      </c>
      <c r="P4423" s="14" t="str">
        <f>HYPERLINK("https://ceds.ed.gov/cedselementdetails.aspx?termid=18745")</f>
        <v>https://ceds.ed.gov/cedselementdetails.aspx?termid=18745</v>
      </c>
      <c r="Q4423" s="14" t="str">
        <f>HYPERLINK("https://ceds.ed.gov/elementComment.aspx?elementName=Building Area &amp;elementID=18745", "Click here to submit comment")</f>
        <v>Click here to submit comment</v>
      </c>
      <c r="R4423" s="14">
        <v>52084</v>
      </c>
    </row>
    <row r="4424" spans="1:18" ht="195" x14ac:dyDescent="0.25">
      <c r="A4424" s="14" t="s">
        <v>9226</v>
      </c>
      <c r="B4424" s="14" t="s">
        <v>8566</v>
      </c>
      <c r="C4424" s="14" t="s">
        <v>8533</v>
      </c>
      <c r="D4424" s="14" t="s">
        <v>8531</v>
      </c>
      <c r="E4424" s="14" t="s">
        <v>1915</v>
      </c>
      <c r="F4424" s="14" t="s">
        <v>1916</v>
      </c>
      <c r="G4424" s="8" t="s">
        <v>9227</v>
      </c>
      <c r="H4424" s="14"/>
      <c r="I4424" s="14"/>
      <c r="J4424" s="14"/>
      <c r="K4424" s="14"/>
      <c r="L4424" s="14"/>
      <c r="M4424" s="14" t="s">
        <v>1918</v>
      </c>
      <c r="N4424" s="14"/>
      <c r="O4424" s="14" t="s">
        <v>1919</v>
      </c>
      <c r="P4424" s="14" t="str">
        <f>HYPERLINK("https://ceds.ed.gov/cedselementdetails.aspx?termid=18753")</f>
        <v>https://ceds.ed.gov/cedselementdetails.aspx?termid=18753</v>
      </c>
      <c r="Q4424" s="14" t="str">
        <f>HYPERLINK("https://ceds.ed.gov/elementComment.aspx?elementName=Building Historic Status &amp;elementID=18753", "Click here to submit comment")</f>
        <v>Click here to submit comment</v>
      </c>
      <c r="R4424" s="14">
        <v>52085</v>
      </c>
    </row>
    <row r="4425" spans="1:18" ht="60" x14ac:dyDescent="0.25">
      <c r="A4425" s="14" t="s">
        <v>9226</v>
      </c>
      <c r="B4425" s="14" t="s">
        <v>8566</v>
      </c>
      <c r="C4425" s="14" t="s">
        <v>8533</v>
      </c>
      <c r="D4425" s="14" t="s">
        <v>8531</v>
      </c>
      <c r="E4425" s="14" t="s">
        <v>1978</v>
      </c>
      <c r="F4425" s="14" t="s">
        <v>1979</v>
      </c>
      <c r="G4425" s="14" t="s">
        <v>37</v>
      </c>
      <c r="H4425" s="14"/>
      <c r="I4425" s="14"/>
      <c r="J4425" s="14" t="s">
        <v>1922</v>
      </c>
      <c r="K4425" s="14"/>
      <c r="L4425" s="14"/>
      <c r="M4425" s="14" t="s">
        <v>1980</v>
      </c>
      <c r="N4425" s="14"/>
      <c r="O4425" s="14" t="s">
        <v>1981</v>
      </c>
      <c r="P4425" s="14" t="str">
        <f>HYPERLINK("https://ceds.ed.gov/cedselementdetails.aspx?termid=18766")</f>
        <v>https://ceds.ed.gov/cedselementdetails.aspx?termid=18766</v>
      </c>
      <c r="Q4425" s="14" t="str">
        <f>HYPERLINK("https://ceds.ed.gov/elementComment.aspx?elementName=Building Number of Stories &amp;elementID=18766", "Click here to submit comment")</f>
        <v>Click here to submit comment</v>
      </c>
      <c r="R4425" s="14">
        <v>52086</v>
      </c>
    </row>
    <row r="4426" spans="1:18" ht="90" x14ac:dyDescent="0.25">
      <c r="A4426" s="14" t="s">
        <v>9226</v>
      </c>
      <c r="B4426" s="14" t="s">
        <v>8566</v>
      </c>
      <c r="C4426" s="14" t="s">
        <v>8533</v>
      </c>
      <c r="D4426" s="14" t="s">
        <v>8531</v>
      </c>
      <c r="E4426" s="14" t="s">
        <v>2011</v>
      </c>
      <c r="F4426" s="14" t="s">
        <v>2012</v>
      </c>
      <c r="G4426" s="8" t="s">
        <v>9228</v>
      </c>
      <c r="H4426" s="14"/>
      <c r="I4426" s="14"/>
      <c r="J4426" s="14"/>
      <c r="K4426" s="14"/>
      <c r="L4426" s="14"/>
      <c r="M4426" s="14" t="s">
        <v>2014</v>
      </c>
      <c r="N4426" s="14"/>
      <c r="O4426" s="14" t="s">
        <v>2015</v>
      </c>
      <c r="P4426" s="14" t="str">
        <f>HYPERLINK("https://ceds.ed.gov/cedselementdetails.aspx?termid=18758")</f>
        <v>https://ceds.ed.gov/cedselementdetails.aspx?termid=18758</v>
      </c>
      <c r="Q4426" s="14" t="str">
        <f>HYPERLINK("https://ceds.ed.gov/elementComment.aspx?elementName=Building Primary Use Type &amp;elementID=18758", "Click here to submit comment")</f>
        <v>Click here to submit comment</v>
      </c>
      <c r="R4426" s="14">
        <v>52087</v>
      </c>
    </row>
    <row r="4427" spans="1:18" ht="45" x14ac:dyDescent="0.25">
      <c r="A4427" s="14" t="s">
        <v>9226</v>
      </c>
      <c r="B4427" s="14" t="s">
        <v>8566</v>
      </c>
      <c r="C4427" s="14" t="s">
        <v>8533</v>
      </c>
      <c r="D4427" s="14" t="s">
        <v>8531</v>
      </c>
      <c r="E4427" s="14" t="s">
        <v>2092</v>
      </c>
      <c r="F4427" s="14" t="s">
        <v>2093</v>
      </c>
      <c r="G4427" s="14" t="s">
        <v>37</v>
      </c>
      <c r="H4427" s="14"/>
      <c r="I4427" s="14"/>
      <c r="J4427" s="14" t="s">
        <v>2094</v>
      </c>
      <c r="K4427" s="14"/>
      <c r="L4427" s="14"/>
      <c r="M4427" s="14" t="s">
        <v>2095</v>
      </c>
      <c r="N4427" s="14"/>
      <c r="O4427" s="14" t="s">
        <v>2096</v>
      </c>
      <c r="P4427" s="14" t="str">
        <f>HYPERLINK("https://ceds.ed.gov/cedselementdetails.aspx?termid=18769")</f>
        <v>https://ceds.ed.gov/cedselementdetails.aspx?termid=18769</v>
      </c>
      <c r="Q4427" s="14" t="str">
        <f>HYPERLINK("https://ceds.ed.gov/elementComment.aspx?elementName=Building Year Built &amp;elementID=18769", "Click here to submit comment")</f>
        <v>Click here to submit comment</v>
      </c>
      <c r="R4427" s="14">
        <v>52088</v>
      </c>
    </row>
    <row r="4428" spans="1:18" ht="105" x14ac:dyDescent="0.25">
      <c r="A4428" s="14" t="s">
        <v>9226</v>
      </c>
      <c r="B4428" s="14" t="s">
        <v>8566</v>
      </c>
      <c r="C4428" s="14" t="s">
        <v>8533</v>
      </c>
      <c r="D4428" s="14" t="s">
        <v>8531</v>
      </c>
      <c r="E4428" s="14" t="s">
        <v>2097</v>
      </c>
      <c r="F4428" s="14" t="s">
        <v>2098</v>
      </c>
      <c r="G4428" s="14" t="s">
        <v>37</v>
      </c>
      <c r="H4428" s="14"/>
      <c r="I4428" s="14"/>
      <c r="J4428" s="14" t="s">
        <v>2094</v>
      </c>
      <c r="K4428" s="14"/>
      <c r="L4428" s="14"/>
      <c r="M4428" s="14" t="s">
        <v>2099</v>
      </c>
      <c r="N4428" s="14"/>
      <c r="O4428" s="14" t="s">
        <v>2100</v>
      </c>
      <c r="P4428" s="14" t="str">
        <f>HYPERLINK("https://ceds.ed.gov/cedselementdetails.aspx?termid=18770")</f>
        <v>https://ceds.ed.gov/cedselementdetails.aspx?termid=18770</v>
      </c>
      <c r="Q4428" s="14" t="str">
        <f>HYPERLINK("https://ceds.ed.gov/elementComment.aspx?elementName=Building Year of Last Modernization &amp;elementID=18770", "Click here to submit comment")</f>
        <v>Click here to submit comment</v>
      </c>
      <c r="R4428" s="14">
        <v>52089</v>
      </c>
    </row>
    <row r="4429" spans="1:18" ht="90" x14ac:dyDescent="0.25">
      <c r="A4429" s="14" t="s">
        <v>9226</v>
      </c>
      <c r="B4429" s="14" t="s">
        <v>8566</v>
      </c>
      <c r="C4429" s="14" t="s">
        <v>8533</v>
      </c>
      <c r="D4429" s="14" t="s">
        <v>8531</v>
      </c>
      <c r="E4429" s="14" t="s">
        <v>2129</v>
      </c>
      <c r="F4429" s="14" t="s">
        <v>2130</v>
      </c>
      <c r="G4429" s="8" t="s">
        <v>9229</v>
      </c>
      <c r="H4429" s="14"/>
      <c r="I4429" s="14"/>
      <c r="J4429" s="14"/>
      <c r="K4429" s="14"/>
      <c r="L4429" s="14"/>
      <c r="M4429" s="14" t="s">
        <v>2132</v>
      </c>
      <c r="N4429" s="14"/>
      <c r="O4429" s="14" t="s">
        <v>2133</v>
      </c>
      <c r="P4429" s="14" t="str">
        <f>HYPERLINK("https://ceds.ed.gov/cedselementdetails.aspx?termid=18759")</f>
        <v>https://ceds.ed.gov/cedselementdetails.aspx?termid=18759</v>
      </c>
      <c r="Q4429" s="14" t="str">
        <f>HYPERLINK("https://ceds.ed.gov/elementComment.aspx?elementName=Campus Status &amp;elementID=18759", "Click here to submit comment")</f>
        <v>Click here to submit comment</v>
      </c>
      <c r="R4429" s="14">
        <v>52090</v>
      </c>
    </row>
    <row r="4430" spans="1:18" ht="90" x14ac:dyDescent="0.25">
      <c r="A4430" s="14" t="s">
        <v>9226</v>
      </c>
      <c r="B4430" s="14" t="s">
        <v>8566</v>
      </c>
      <c r="C4430" s="14" t="s">
        <v>8533</v>
      </c>
      <c r="D4430" s="14" t="s">
        <v>8531</v>
      </c>
      <c r="E4430" s="14" t="s">
        <v>2134</v>
      </c>
      <c r="F4430" s="14" t="s">
        <v>2135</v>
      </c>
      <c r="G4430" s="8" t="s">
        <v>9230</v>
      </c>
      <c r="H4430" s="14"/>
      <c r="I4430" s="14"/>
      <c r="J4430" s="14"/>
      <c r="K4430" s="14"/>
      <c r="L4430" s="14"/>
      <c r="M4430" s="14" t="s">
        <v>2137</v>
      </c>
      <c r="N4430" s="14"/>
      <c r="O4430" s="14" t="s">
        <v>2138</v>
      </c>
      <c r="P4430" s="14" t="str">
        <f>HYPERLINK("https://ceds.ed.gov/cedselementdetails.aspx?termid=18878")</f>
        <v>https://ceds.ed.gov/cedselementdetails.aspx?termid=18878</v>
      </c>
      <c r="Q4430" s="14" t="str">
        <f>HYPERLINK("https://ceds.ed.gov/elementComment.aspx?elementName=Campus Type &amp;elementID=18878", "Click here to submit comment")</f>
        <v>Click here to submit comment</v>
      </c>
      <c r="R4430" s="14">
        <v>52091</v>
      </c>
    </row>
    <row r="4431" spans="1:18" ht="45" x14ac:dyDescent="0.25">
      <c r="A4431" s="14" t="s">
        <v>9226</v>
      </c>
      <c r="B4431" s="14" t="s">
        <v>8566</v>
      </c>
      <c r="C4431" s="14" t="s">
        <v>8533</v>
      </c>
      <c r="D4431" s="14" t="s">
        <v>8531</v>
      </c>
      <c r="E4431" s="14" t="s">
        <v>4171</v>
      </c>
      <c r="F4431" s="14" t="s">
        <v>4172</v>
      </c>
      <c r="G4431" s="14" t="s">
        <v>37</v>
      </c>
      <c r="H4431" s="14"/>
      <c r="I4431" s="14"/>
      <c r="J4431" s="14" t="s">
        <v>135</v>
      </c>
      <c r="K4431" s="14"/>
      <c r="L4431" s="14"/>
      <c r="M4431" s="14" t="s">
        <v>4173</v>
      </c>
      <c r="N4431" s="14"/>
      <c r="O4431" s="14" t="s">
        <v>4174</v>
      </c>
      <c r="P4431" s="14" t="str">
        <f>HYPERLINK("https://ceds.ed.gov/cedselementdetails.aspx?termid=18749")</f>
        <v>https://ceds.ed.gov/cedselementdetails.aspx?termid=18749</v>
      </c>
      <c r="Q4431" s="14" t="str">
        <f>HYPERLINK("https://ceds.ed.gov/elementComment.aspx?elementName=Facility Acquisition Date &amp;elementID=18749", "Click here to submit comment")</f>
        <v>Click here to submit comment</v>
      </c>
      <c r="R4431" s="14">
        <v>52092</v>
      </c>
    </row>
    <row r="4432" spans="1:18" ht="45" x14ac:dyDescent="0.25">
      <c r="A4432" s="14" t="s">
        <v>9226</v>
      </c>
      <c r="B4432" s="14" t="s">
        <v>8566</v>
      </c>
      <c r="C4432" s="14" t="s">
        <v>8533</v>
      </c>
      <c r="D4432" s="14" t="s">
        <v>8531</v>
      </c>
      <c r="E4432" s="14" t="s">
        <v>4175</v>
      </c>
      <c r="F4432" s="14" t="s">
        <v>4176</v>
      </c>
      <c r="G4432" s="14" t="s">
        <v>37</v>
      </c>
      <c r="H4432" s="14"/>
      <c r="I4432" s="14"/>
      <c r="J4432" s="14" t="s">
        <v>2094</v>
      </c>
      <c r="K4432" s="14"/>
      <c r="L4432" s="14"/>
      <c r="M4432" s="14" t="s">
        <v>4177</v>
      </c>
      <c r="N4432" s="14"/>
      <c r="O4432" s="14" t="s">
        <v>4178</v>
      </c>
      <c r="P4432" s="14" t="str">
        <f>HYPERLINK("https://ceds.ed.gov/cedselementdetails.aspx?termid=18750")</f>
        <v>https://ceds.ed.gov/cedselementdetails.aspx?termid=18750</v>
      </c>
      <c r="Q4432" s="14" t="str">
        <f>HYPERLINK("https://ceds.ed.gov/elementComment.aspx?elementName=Facility Addition Year &amp;elementID=18750", "Click here to submit comment")</f>
        <v>Click here to submit comment</v>
      </c>
      <c r="R4432" s="14">
        <v>52093</v>
      </c>
    </row>
    <row r="4433" spans="1:18" ht="60" x14ac:dyDescent="0.25">
      <c r="A4433" s="14" t="s">
        <v>9226</v>
      </c>
      <c r="B4433" s="14" t="s">
        <v>8566</v>
      </c>
      <c r="C4433" s="14" t="s">
        <v>8533</v>
      </c>
      <c r="D4433" s="14" t="s">
        <v>8531</v>
      </c>
      <c r="E4433" s="14" t="s">
        <v>4193</v>
      </c>
      <c r="F4433" s="14" t="s">
        <v>4194</v>
      </c>
      <c r="G4433" s="14" t="s">
        <v>37</v>
      </c>
      <c r="H4433" s="14"/>
      <c r="I4433" s="14"/>
      <c r="J4433" s="14" t="s">
        <v>175</v>
      </c>
      <c r="K4433" s="14"/>
      <c r="L4433" s="14"/>
      <c r="M4433" s="14" t="s">
        <v>4195</v>
      </c>
      <c r="N4433" s="14" t="s">
        <v>4196</v>
      </c>
      <c r="O4433" s="14" t="s">
        <v>4197</v>
      </c>
      <c r="P4433" s="14" t="str">
        <f>HYPERLINK("https://ceds.ed.gov/cedselementdetails.aspx?termid=18755")</f>
        <v>https://ceds.ed.gov/cedselementdetails.aspx?termid=18755</v>
      </c>
      <c r="Q4433" s="14" t="str">
        <f>HYPERLINK("https://ceds.ed.gov/elementComment.aspx?elementName=Facility Block Number Area &amp;elementID=18755", "Click here to submit comment")</f>
        <v>Click here to submit comment</v>
      </c>
      <c r="R4433" s="14">
        <v>52094</v>
      </c>
    </row>
    <row r="4434" spans="1:18" ht="45" x14ac:dyDescent="0.25">
      <c r="A4434" s="14" t="s">
        <v>9226</v>
      </c>
      <c r="B4434" s="14" t="s">
        <v>8566</v>
      </c>
      <c r="C4434" s="14" t="s">
        <v>8533</v>
      </c>
      <c r="D4434" s="14" t="s">
        <v>8531</v>
      </c>
      <c r="E4434" s="14" t="s">
        <v>4202</v>
      </c>
      <c r="F4434" s="14" t="s">
        <v>4203</v>
      </c>
      <c r="G4434" s="8" t="s">
        <v>9231</v>
      </c>
      <c r="H4434" s="14"/>
      <c r="I4434" s="14"/>
      <c r="J4434" s="14"/>
      <c r="K4434" s="14"/>
      <c r="L4434" s="14"/>
      <c r="M4434" s="14" t="s">
        <v>4205</v>
      </c>
      <c r="N4434" s="14"/>
      <c r="O4434" s="14" t="s">
        <v>4206</v>
      </c>
      <c r="P4434" s="14" t="str">
        <f>HYPERLINK("https://ceds.ed.gov/cedselementdetails.aspx?termid=18751")</f>
        <v>https://ceds.ed.gov/cedselementdetails.aspx?termid=18751</v>
      </c>
      <c r="Q4434" s="14" t="str">
        <f>HYPERLINK("https://ceds.ed.gov/elementComment.aspx?elementName=Facility Building Permanency &amp;elementID=18751", "Click here to submit comment")</f>
        <v>Click here to submit comment</v>
      </c>
      <c r="R4434" s="14">
        <v>52095</v>
      </c>
    </row>
    <row r="4435" spans="1:18" ht="45" x14ac:dyDescent="0.25">
      <c r="A4435" s="14" t="s">
        <v>9226</v>
      </c>
      <c r="B4435" s="14" t="s">
        <v>8566</v>
      </c>
      <c r="C4435" s="14" t="s">
        <v>8533</v>
      </c>
      <c r="D4435" s="14" t="s">
        <v>8531</v>
      </c>
      <c r="E4435" s="14" t="s">
        <v>4212</v>
      </c>
      <c r="F4435" s="14" t="s">
        <v>4213</v>
      </c>
      <c r="G4435" s="14" t="s">
        <v>37</v>
      </c>
      <c r="H4435" s="14"/>
      <c r="I4435" s="14"/>
      <c r="J4435" s="14" t="s">
        <v>4214</v>
      </c>
      <c r="K4435" s="14"/>
      <c r="L4435" s="14"/>
      <c r="M4435" s="14" t="s">
        <v>4215</v>
      </c>
      <c r="N4435" s="14"/>
      <c r="O4435" s="14" t="s">
        <v>4216</v>
      </c>
      <c r="P4435" s="14" t="str">
        <f>HYPERLINK("https://ceds.ed.gov/cedselementdetails.aspx?termid=18760")</f>
        <v>https://ceds.ed.gov/cedselementdetails.aspx?termid=18760</v>
      </c>
      <c r="Q4435" s="14" t="str">
        <f>HYPERLINK("https://ceds.ed.gov/elementComment.aspx?elementName=Facility Census Tract &amp;elementID=18760", "Click here to submit comment")</f>
        <v>Click here to submit comment</v>
      </c>
      <c r="R4435" s="14">
        <v>52096</v>
      </c>
    </row>
    <row r="4436" spans="1:18" ht="45" x14ac:dyDescent="0.25">
      <c r="A4436" s="14" t="s">
        <v>9226</v>
      </c>
      <c r="B4436" s="14" t="s">
        <v>8566</v>
      </c>
      <c r="C4436" s="14" t="s">
        <v>8533</v>
      </c>
      <c r="D4436" s="14" t="s">
        <v>8531</v>
      </c>
      <c r="E4436" s="14" t="s">
        <v>4243</v>
      </c>
      <c r="F4436" s="14" t="s">
        <v>4244</v>
      </c>
      <c r="G4436" s="14" t="s">
        <v>37</v>
      </c>
      <c r="H4436" s="14"/>
      <c r="I4436" s="14"/>
      <c r="J4436" s="14" t="s">
        <v>135</v>
      </c>
      <c r="K4436" s="14"/>
      <c r="L4436" s="14"/>
      <c r="M4436" s="14" t="s">
        <v>4245</v>
      </c>
      <c r="N4436" s="14"/>
      <c r="O4436" s="14" t="s">
        <v>4246</v>
      </c>
      <c r="P4436" s="14" t="str">
        <f>HYPERLINK("https://ceds.ed.gov/cedselementdetails.aspx?termid=18761")</f>
        <v>https://ceds.ed.gov/cedselementdetails.aspx?termid=18761</v>
      </c>
      <c r="Q4436" s="14" t="str">
        <f>HYPERLINK("https://ceds.ed.gov/elementComment.aspx?elementName=Facility Construction Date &amp;elementID=18761", "Click here to submit comment")</f>
        <v>Click here to submit comment</v>
      </c>
      <c r="R4436" s="14">
        <v>52097</v>
      </c>
    </row>
    <row r="4437" spans="1:18" ht="45" x14ac:dyDescent="0.25">
      <c r="A4437" s="14" t="s">
        <v>9226</v>
      </c>
      <c r="B4437" s="14" t="s">
        <v>8566</v>
      </c>
      <c r="C4437" s="14" t="s">
        <v>8533</v>
      </c>
      <c r="D4437" s="14" t="s">
        <v>8531</v>
      </c>
      <c r="E4437" s="14" t="s">
        <v>4247</v>
      </c>
      <c r="F4437" s="14" t="s">
        <v>4248</v>
      </c>
      <c r="G4437" s="8" t="s">
        <v>9232</v>
      </c>
      <c r="H4437" s="14"/>
      <c r="I4437" s="14"/>
      <c r="J4437" s="14"/>
      <c r="K4437" s="14"/>
      <c r="L4437" s="14"/>
      <c r="M4437" s="14" t="s">
        <v>4250</v>
      </c>
      <c r="N4437" s="14"/>
      <c r="O4437" s="14" t="s">
        <v>4251</v>
      </c>
      <c r="P4437" s="14" t="str">
        <f>HYPERLINK("https://ceds.ed.gov/cedselementdetails.aspx?termid=18762")</f>
        <v>https://ceds.ed.gov/cedselementdetails.aspx?termid=18762</v>
      </c>
      <c r="Q4437" s="14" t="str">
        <f>HYPERLINK("https://ceds.ed.gov/elementComment.aspx?elementName=Facility Construction Date Type &amp;elementID=18762", "Click here to submit comment")</f>
        <v>Click here to submit comment</v>
      </c>
      <c r="R4437" s="14">
        <v>52098</v>
      </c>
    </row>
    <row r="4438" spans="1:18" ht="165" x14ac:dyDescent="0.25">
      <c r="A4438" s="14" t="s">
        <v>9226</v>
      </c>
      <c r="B4438" s="14" t="s">
        <v>8566</v>
      </c>
      <c r="C4438" s="14" t="s">
        <v>8533</v>
      </c>
      <c r="D4438" s="14" t="s">
        <v>8531</v>
      </c>
      <c r="E4438" s="14" t="s">
        <v>4252</v>
      </c>
      <c r="F4438" s="14" t="s">
        <v>4253</v>
      </c>
      <c r="G4438" s="8" t="s">
        <v>9233</v>
      </c>
      <c r="H4438" s="14"/>
      <c r="I4438" s="14"/>
      <c r="J4438" s="14"/>
      <c r="K4438" s="14"/>
      <c r="L4438" s="14"/>
      <c r="M4438" s="14" t="s">
        <v>4255</v>
      </c>
      <c r="N4438" s="14"/>
      <c r="O4438" s="14" t="s">
        <v>4256</v>
      </c>
      <c r="P4438" s="14" t="str">
        <f>HYPERLINK("https://ceds.ed.gov/cedselementdetails.aspx?termid=18763")</f>
        <v>https://ceds.ed.gov/cedselementdetails.aspx?termid=18763</v>
      </c>
      <c r="Q4438" s="14" t="str">
        <f>HYPERLINK("https://ceds.ed.gov/elementComment.aspx?elementName=Facility Construction Material Type &amp;elementID=18763", "Click here to submit comment")</f>
        <v>Click here to submit comment</v>
      </c>
      <c r="R4438" s="14">
        <v>52099</v>
      </c>
    </row>
    <row r="4439" spans="1:18" ht="45" x14ac:dyDescent="0.25">
      <c r="A4439" s="14" t="s">
        <v>9226</v>
      </c>
      <c r="B4439" s="14" t="s">
        <v>8566</v>
      </c>
      <c r="C4439" s="14" t="s">
        <v>8533</v>
      </c>
      <c r="D4439" s="14" t="s">
        <v>8531</v>
      </c>
      <c r="E4439" s="14" t="s">
        <v>4257</v>
      </c>
      <c r="F4439" s="14" t="s">
        <v>4258</v>
      </c>
      <c r="G4439" s="14" t="s">
        <v>37</v>
      </c>
      <c r="H4439" s="14"/>
      <c r="I4439" s="14"/>
      <c r="J4439" s="14" t="s">
        <v>2094</v>
      </c>
      <c r="K4439" s="14"/>
      <c r="L4439" s="14"/>
      <c r="M4439" s="14" t="s">
        <v>4259</v>
      </c>
      <c r="N4439" s="14"/>
      <c r="O4439" s="14" t="s">
        <v>4260</v>
      </c>
      <c r="P4439" s="14" t="str">
        <f>HYPERLINK("https://ceds.ed.gov/cedselementdetails.aspx?termid=18752")</f>
        <v>https://ceds.ed.gov/cedselementdetails.aspx?termid=18752</v>
      </c>
      <c r="Q4439" s="14" t="str">
        <f>HYPERLINK("https://ceds.ed.gov/elementComment.aspx?elementName=Facility Construction Year &amp;elementID=18752", "Click here to submit comment")</f>
        <v>Click here to submit comment</v>
      </c>
      <c r="R4439" s="14">
        <v>52100</v>
      </c>
    </row>
    <row r="4440" spans="1:18" ht="45" x14ac:dyDescent="0.25">
      <c r="A4440" s="14" t="s">
        <v>9226</v>
      </c>
      <c r="B4440" s="14" t="s">
        <v>8566</v>
      </c>
      <c r="C4440" s="14" t="s">
        <v>8533</v>
      </c>
      <c r="D4440" s="14" t="s">
        <v>8531</v>
      </c>
      <c r="E4440" s="14" t="s">
        <v>4269</v>
      </c>
      <c r="F4440" s="14" t="s">
        <v>4270</v>
      </c>
      <c r="G4440" s="14" t="s">
        <v>37</v>
      </c>
      <c r="H4440" s="14"/>
      <c r="I4440" s="14"/>
      <c r="J4440" s="14" t="s">
        <v>1922</v>
      </c>
      <c r="K4440" s="14"/>
      <c r="L4440" s="14"/>
      <c r="M4440" s="14" t="s">
        <v>4271</v>
      </c>
      <c r="N4440" s="14"/>
      <c r="O4440" s="14" t="s">
        <v>4272</v>
      </c>
      <c r="P4440" s="14" t="str">
        <f>HYPERLINK("https://ceds.ed.gov/cedselementdetails.aspx?termid=18764")</f>
        <v>https://ceds.ed.gov/cedselementdetails.aspx?termid=18764</v>
      </c>
      <c r="Q4440" s="14" t="str">
        <f>HYPERLINK("https://ceds.ed.gov/elementComment.aspx?elementName=Facility Expected Life &amp;elementID=18764", "Click here to submit comment")</f>
        <v>Click here to submit comment</v>
      </c>
      <c r="R4440" s="14">
        <v>52101</v>
      </c>
    </row>
    <row r="4441" spans="1:18" ht="45" x14ac:dyDescent="0.25">
      <c r="A4441" s="14" t="s">
        <v>9226</v>
      </c>
      <c r="B4441" s="14" t="s">
        <v>8566</v>
      </c>
      <c r="C4441" s="14" t="s">
        <v>8533</v>
      </c>
      <c r="D4441" s="14" t="s">
        <v>8531</v>
      </c>
      <c r="E4441" s="14" t="s">
        <v>4367</v>
      </c>
      <c r="F4441" s="14" t="s">
        <v>4368</v>
      </c>
      <c r="G4441" s="14" t="s">
        <v>24</v>
      </c>
      <c r="H4441" s="14"/>
      <c r="I4441" s="14"/>
      <c r="J4441" s="14"/>
      <c r="K4441" s="14"/>
      <c r="L4441" s="14"/>
      <c r="M4441" s="14" t="s">
        <v>4369</v>
      </c>
      <c r="N4441" s="14"/>
      <c r="O4441" s="14" t="s">
        <v>4370</v>
      </c>
      <c r="P4441" s="14" t="str">
        <f>HYPERLINK("https://ceds.ed.gov/cedselementdetails.aspx?termid=18887")</f>
        <v>https://ceds.ed.gov/cedselementdetails.aspx?termid=18887</v>
      </c>
      <c r="Q4441" s="14" t="str">
        <f>HYPERLINK("https://ceds.ed.gov/elementComment.aspx?elementName=Facility Ownership Indicator &amp;elementID=18887", "Click here to submit comment")</f>
        <v>Click here to submit comment</v>
      </c>
      <c r="R4441" s="14">
        <v>52102</v>
      </c>
    </row>
    <row r="4442" spans="1:18" ht="45" x14ac:dyDescent="0.25">
      <c r="A4442" s="14" t="s">
        <v>9226</v>
      </c>
      <c r="B4442" s="14" t="s">
        <v>8566</v>
      </c>
      <c r="C4442" s="14" t="s">
        <v>8533</v>
      </c>
      <c r="D4442" s="14" t="s">
        <v>8531</v>
      </c>
      <c r="E4442" s="14" t="s">
        <v>4377</v>
      </c>
      <c r="F4442" s="14" t="s">
        <v>4378</v>
      </c>
      <c r="G4442" s="14" t="s">
        <v>37</v>
      </c>
      <c r="H4442" s="14"/>
      <c r="I4442" s="14"/>
      <c r="J4442" s="14" t="s">
        <v>1710</v>
      </c>
      <c r="K4442" s="14"/>
      <c r="L4442" s="14"/>
      <c r="M4442" s="14" t="s">
        <v>4379</v>
      </c>
      <c r="N4442" s="14"/>
      <c r="O4442" s="14" t="s">
        <v>4380</v>
      </c>
      <c r="P4442" s="14" t="str">
        <f>HYPERLINK("https://ceds.ed.gov/cedselementdetails.aspx?termid=18765")</f>
        <v>https://ceds.ed.gov/cedselementdetails.aspx?termid=18765</v>
      </c>
      <c r="Q4442" s="14" t="str">
        <f>HYPERLINK("https://ceds.ed.gov/elementComment.aspx?elementName=Facility Replacement Value &amp;elementID=18765", "Click here to submit comment")</f>
        <v>Click here to submit comment</v>
      </c>
      <c r="R4442" s="14">
        <v>52103</v>
      </c>
    </row>
    <row r="4443" spans="1:18" ht="90" x14ac:dyDescent="0.25">
      <c r="A4443" s="14" t="s">
        <v>9226</v>
      </c>
      <c r="B4443" s="14" t="s">
        <v>8566</v>
      </c>
      <c r="C4443" s="14" t="s">
        <v>8533</v>
      </c>
      <c r="D4443" s="14" t="s">
        <v>8531</v>
      </c>
      <c r="E4443" s="14" t="s">
        <v>4381</v>
      </c>
      <c r="F4443" s="14" t="s">
        <v>4382</v>
      </c>
      <c r="G4443" s="14" t="s">
        <v>37</v>
      </c>
      <c r="H4443" s="14"/>
      <c r="I4443" s="14"/>
      <c r="J4443" s="14" t="s">
        <v>4383</v>
      </c>
      <c r="K4443" s="14"/>
      <c r="L4443" s="14"/>
      <c r="M4443" s="14" t="s">
        <v>4384</v>
      </c>
      <c r="N4443" s="14"/>
      <c r="O4443" s="14" t="s">
        <v>4385</v>
      </c>
      <c r="P4443" s="14" t="str">
        <f>HYPERLINK("https://ceds.ed.gov/cedselementdetails.aspx?termid=18754")</f>
        <v>https://ceds.ed.gov/cedselementdetails.aspx?termid=18754</v>
      </c>
      <c r="Q4443" s="14" t="str">
        <f>HYPERLINK("https://ceds.ed.gov/elementComment.aspx?elementName=Facility Site Area &amp;elementID=18754", "Click here to submit comment")</f>
        <v>Click here to submit comment</v>
      </c>
      <c r="R4443" s="14">
        <v>52104</v>
      </c>
    </row>
    <row r="4444" spans="1:18" ht="45" x14ac:dyDescent="0.25">
      <c r="A4444" s="14" t="s">
        <v>9226</v>
      </c>
      <c r="B4444" s="14" t="s">
        <v>8566</v>
      </c>
      <c r="C4444" s="14" t="s">
        <v>8533</v>
      </c>
      <c r="D4444" s="14" t="s">
        <v>8531</v>
      </c>
      <c r="E4444" s="14" t="s">
        <v>4386</v>
      </c>
      <c r="F4444" s="14" t="s">
        <v>4387</v>
      </c>
      <c r="G4444" s="14" t="s">
        <v>37</v>
      </c>
      <c r="H4444" s="14"/>
      <c r="I4444" s="14"/>
      <c r="J4444" s="14" t="s">
        <v>1307</v>
      </c>
      <c r="K4444" s="14"/>
      <c r="L4444" s="14"/>
      <c r="M4444" s="14" t="s">
        <v>4388</v>
      </c>
      <c r="N4444" s="14"/>
      <c r="O4444" s="14" t="s">
        <v>4389</v>
      </c>
      <c r="P4444" s="14" t="str">
        <f>HYPERLINK("https://ceds.ed.gov/cedselementdetails.aspx?termid=18767")</f>
        <v>https://ceds.ed.gov/cedselementdetails.aspx?termid=18767</v>
      </c>
      <c r="Q4444" s="14" t="str">
        <f>HYPERLINK("https://ceds.ed.gov/elementComment.aspx?elementName=Facility Site Identifier &amp;elementID=18767", "Click here to submit comment")</f>
        <v>Click here to submit comment</v>
      </c>
      <c r="R4444" s="14">
        <v>52105</v>
      </c>
    </row>
    <row r="4445" spans="1:18" ht="240" x14ac:dyDescent="0.25">
      <c r="A4445" s="14" t="s">
        <v>9226</v>
      </c>
      <c r="B4445" s="14" t="s">
        <v>8566</v>
      </c>
      <c r="C4445" s="14" t="s">
        <v>8533</v>
      </c>
      <c r="D4445" s="14" t="s">
        <v>8531</v>
      </c>
      <c r="E4445" s="14" t="s">
        <v>4390</v>
      </c>
      <c r="F4445" s="14" t="s">
        <v>4391</v>
      </c>
      <c r="G4445" s="8" t="s">
        <v>9234</v>
      </c>
      <c r="H4445" s="14"/>
      <c r="I4445" s="14"/>
      <c r="J4445" s="14"/>
      <c r="K4445" s="14"/>
      <c r="L4445" s="14"/>
      <c r="M4445" s="14" t="s">
        <v>4393</v>
      </c>
      <c r="N4445" s="14"/>
      <c r="O4445" s="14" t="s">
        <v>4394</v>
      </c>
      <c r="P4445" s="14" t="str">
        <f>HYPERLINK("https://ceds.ed.gov/cedselementdetails.aspx?termid=18768")</f>
        <v>https://ceds.ed.gov/cedselementdetails.aspx?termid=18768</v>
      </c>
      <c r="Q4445" s="14" t="str">
        <f>HYPERLINK("https://ceds.ed.gov/elementComment.aspx?elementName=Facility Site Improvement Location Type &amp;elementID=18768", "Click here to submit comment")</f>
        <v>Click here to submit comment</v>
      </c>
      <c r="R4445" s="14">
        <v>52106</v>
      </c>
    </row>
    <row r="4446" spans="1:18" ht="75" x14ac:dyDescent="0.25">
      <c r="A4446" s="14" t="s">
        <v>9226</v>
      </c>
      <c r="B4446" s="14" t="s">
        <v>8566</v>
      </c>
      <c r="C4446" s="14" t="s">
        <v>8533</v>
      </c>
      <c r="D4446" s="14" t="s">
        <v>8531</v>
      </c>
      <c r="E4446" s="14" t="s">
        <v>6561</v>
      </c>
      <c r="F4446" s="14" t="s">
        <v>6562</v>
      </c>
      <c r="G4446" s="8" t="s">
        <v>8537</v>
      </c>
      <c r="H4446" s="14"/>
      <c r="I4446" s="14" t="s">
        <v>195</v>
      </c>
      <c r="J4446" s="14"/>
      <c r="K4446" s="14" t="s">
        <v>2266</v>
      </c>
      <c r="L4446" s="14"/>
      <c r="M4446" s="14" t="s">
        <v>6565</v>
      </c>
      <c r="N4446" s="14"/>
      <c r="O4446" s="14" t="s">
        <v>6566</v>
      </c>
      <c r="P4446" s="14" t="str">
        <f>HYPERLINK("https://ceds.ed.gov/cedselementdetails.aspx?termid=18886")</f>
        <v>https://ceds.ed.gov/cedselementdetails.aspx?termid=18886</v>
      </c>
      <c r="Q4446" s="14" t="str">
        <f>HYPERLINK("https://ceds.ed.gov/elementComment.aspx?elementName=Organization Relationship Type &amp;elementID=18886", "Click here to submit comment")</f>
        <v>Click here to submit comment</v>
      </c>
      <c r="R4446" s="14">
        <v>52107</v>
      </c>
    </row>
    <row r="4447" spans="1:18" ht="90" x14ac:dyDescent="0.25">
      <c r="A4447" s="14" t="s">
        <v>9226</v>
      </c>
      <c r="B4447" s="14" t="s">
        <v>8566</v>
      </c>
      <c r="C4447" s="14" t="s">
        <v>8538</v>
      </c>
      <c r="D4447" s="14" t="s">
        <v>8531</v>
      </c>
      <c r="E4447" s="14" t="s">
        <v>226</v>
      </c>
      <c r="F4447" s="14" t="s">
        <v>227</v>
      </c>
      <c r="G4447" s="8" t="s">
        <v>8539</v>
      </c>
      <c r="H4447" s="14" t="s">
        <v>72</v>
      </c>
      <c r="I4447" s="14"/>
      <c r="J4447" s="14" t="s">
        <v>97</v>
      </c>
      <c r="K4447" s="14"/>
      <c r="L4447" s="14"/>
      <c r="M4447" s="14" t="s">
        <v>230</v>
      </c>
      <c r="N4447" s="14"/>
      <c r="O4447" s="14" t="s">
        <v>231</v>
      </c>
      <c r="P4447" s="14" t="str">
        <f>HYPERLINK("https://ceds.ed.gov/cedselementdetails.aspx?termid=17644")</f>
        <v>https://ceds.ed.gov/cedselementdetails.aspx?termid=17644</v>
      </c>
      <c r="Q4447" s="14" t="str">
        <f>HYPERLINK("https://ceds.ed.gov/elementComment.aspx?elementName=Address Type for Organization &amp;elementID=17644", "Click here to submit comment")</f>
        <v>Click here to submit comment</v>
      </c>
      <c r="R4447" s="14">
        <v>48602</v>
      </c>
    </row>
    <row r="4448" spans="1:18" ht="225" x14ac:dyDescent="0.25">
      <c r="A4448" s="14" t="s">
        <v>9226</v>
      </c>
      <c r="B4448" s="14" t="s">
        <v>8566</v>
      </c>
      <c r="C4448" s="14" t="s">
        <v>8538</v>
      </c>
      <c r="D4448" s="14" t="s">
        <v>8531</v>
      </c>
      <c r="E4448" s="14" t="s">
        <v>214</v>
      </c>
      <c r="F4448" s="14" t="s">
        <v>215</v>
      </c>
      <c r="G4448" s="14" t="s">
        <v>37</v>
      </c>
      <c r="H4448" s="14" t="s">
        <v>199</v>
      </c>
      <c r="I4448" s="14" t="s">
        <v>195</v>
      </c>
      <c r="J4448" s="14" t="s">
        <v>216</v>
      </c>
      <c r="K4448" s="14" t="s">
        <v>196</v>
      </c>
      <c r="L4448" s="14"/>
      <c r="M4448" s="14" t="s">
        <v>217</v>
      </c>
      <c r="N4448" s="14"/>
      <c r="O4448" s="14" t="s">
        <v>218</v>
      </c>
      <c r="P4448" s="14" t="str">
        <f>HYPERLINK("https://ceds.ed.gov/cedselementdetails.aspx?termid=17269")</f>
        <v>https://ceds.ed.gov/cedselementdetails.aspx?termid=17269</v>
      </c>
      <c r="Q4448" s="14" t="str">
        <f>HYPERLINK("https://ceds.ed.gov/elementComment.aspx?elementName=Address Street Number and Name &amp;elementID=17269", "Click here to submit comment")</f>
        <v>Click here to submit comment</v>
      </c>
      <c r="R4448" s="14">
        <v>48603</v>
      </c>
    </row>
    <row r="4449" spans="1:18" ht="225" x14ac:dyDescent="0.25">
      <c r="A4449" s="14" t="s">
        <v>9226</v>
      </c>
      <c r="B4449" s="14" t="s">
        <v>8566</v>
      </c>
      <c r="C4449" s="14" t="s">
        <v>8538</v>
      </c>
      <c r="D4449" s="14" t="s">
        <v>8531</v>
      </c>
      <c r="E4449" s="14" t="s">
        <v>192</v>
      </c>
      <c r="F4449" s="14" t="s">
        <v>193</v>
      </c>
      <c r="G4449" s="14" t="s">
        <v>37</v>
      </c>
      <c r="H4449" s="14" t="s">
        <v>199</v>
      </c>
      <c r="I4449" s="14" t="s">
        <v>195</v>
      </c>
      <c r="J4449" s="14" t="s">
        <v>175</v>
      </c>
      <c r="K4449" s="14" t="s">
        <v>196</v>
      </c>
      <c r="L4449" s="14"/>
      <c r="M4449" s="14" t="s">
        <v>197</v>
      </c>
      <c r="N4449" s="14"/>
      <c r="O4449" s="14" t="s">
        <v>198</v>
      </c>
      <c r="P4449" s="14" t="str">
        <f>HYPERLINK("https://ceds.ed.gov/cedselementdetails.aspx?termid=17019")</f>
        <v>https://ceds.ed.gov/cedselementdetails.aspx?termid=17019</v>
      </c>
      <c r="Q4449" s="14" t="str">
        <f>HYPERLINK("https://ceds.ed.gov/elementComment.aspx?elementName=Address Apartment Room or Suite Number &amp;elementID=17019", "Click here to submit comment")</f>
        <v>Click here to submit comment</v>
      </c>
      <c r="R4449" s="14">
        <v>48604</v>
      </c>
    </row>
    <row r="4450" spans="1:18" ht="225" x14ac:dyDescent="0.25">
      <c r="A4450" s="14" t="s">
        <v>9226</v>
      </c>
      <c r="B4450" s="14" t="s">
        <v>8566</v>
      </c>
      <c r="C4450" s="14" t="s">
        <v>8538</v>
      </c>
      <c r="D4450" s="14" t="s">
        <v>8531</v>
      </c>
      <c r="E4450" s="14" t="s">
        <v>200</v>
      </c>
      <c r="F4450" s="14" t="s">
        <v>201</v>
      </c>
      <c r="G4450" s="14" t="s">
        <v>37</v>
      </c>
      <c r="H4450" s="14" t="s">
        <v>199</v>
      </c>
      <c r="I4450" s="14"/>
      <c r="J4450" s="14" t="s">
        <v>97</v>
      </c>
      <c r="K4450" s="14"/>
      <c r="L4450" s="14"/>
      <c r="M4450" s="14" t="s">
        <v>202</v>
      </c>
      <c r="N4450" s="14"/>
      <c r="O4450" s="14" t="s">
        <v>203</v>
      </c>
      <c r="P4450" s="14" t="str">
        <f>HYPERLINK("https://ceds.ed.gov/cedselementdetails.aspx?termid=17040")</f>
        <v>https://ceds.ed.gov/cedselementdetails.aspx?termid=17040</v>
      </c>
      <c r="Q4450" s="14" t="str">
        <f>HYPERLINK("https://ceds.ed.gov/elementComment.aspx?elementName=Address City &amp;elementID=17040", "Click here to submit comment")</f>
        <v>Click here to submit comment</v>
      </c>
      <c r="R4450" s="14">
        <v>48605</v>
      </c>
    </row>
    <row r="4451" spans="1:18" ht="409.5" x14ac:dyDescent="0.25">
      <c r="A4451" s="14" t="s">
        <v>9226</v>
      </c>
      <c r="B4451" s="14" t="s">
        <v>8566</v>
      </c>
      <c r="C4451" s="14" t="s">
        <v>8538</v>
      </c>
      <c r="D4451" s="14" t="s">
        <v>8531</v>
      </c>
      <c r="E4451" s="14" t="s">
        <v>7960</v>
      </c>
      <c r="F4451" s="14" t="s">
        <v>7961</v>
      </c>
      <c r="G4451" s="8" t="s">
        <v>8540</v>
      </c>
      <c r="H4451" s="14" t="s">
        <v>7964</v>
      </c>
      <c r="I4451" s="14"/>
      <c r="J4451" s="14"/>
      <c r="K4451" s="14"/>
      <c r="L4451" s="14"/>
      <c r="M4451" s="14" t="s">
        <v>7962</v>
      </c>
      <c r="N4451" s="14"/>
      <c r="O4451" s="14" t="s">
        <v>7963</v>
      </c>
      <c r="P4451" s="14" t="str">
        <f>HYPERLINK("https://ceds.ed.gov/cedselementdetails.aspx?termid=17267")</f>
        <v>https://ceds.ed.gov/cedselementdetails.aspx?termid=17267</v>
      </c>
      <c r="Q4451" s="14" t="str">
        <f>HYPERLINK("https://ceds.ed.gov/elementComment.aspx?elementName=State Abbreviation &amp;elementID=17267", "Click here to submit comment")</f>
        <v>Click here to submit comment</v>
      </c>
      <c r="R4451" s="14">
        <v>48608</v>
      </c>
    </row>
    <row r="4452" spans="1:18" ht="225" x14ac:dyDescent="0.25">
      <c r="A4452" s="14" t="s">
        <v>9226</v>
      </c>
      <c r="B4452" s="14" t="s">
        <v>8566</v>
      </c>
      <c r="C4452" s="14" t="s">
        <v>8538</v>
      </c>
      <c r="D4452" s="14" t="s">
        <v>8531</v>
      </c>
      <c r="E4452" s="14" t="s">
        <v>209</v>
      </c>
      <c r="F4452" s="14" t="s">
        <v>210</v>
      </c>
      <c r="G4452" s="14" t="s">
        <v>37</v>
      </c>
      <c r="H4452" s="14" t="s">
        <v>199</v>
      </c>
      <c r="I4452" s="14"/>
      <c r="J4452" s="14" t="s">
        <v>211</v>
      </c>
      <c r="K4452" s="14"/>
      <c r="L4452" s="14"/>
      <c r="M4452" s="14" t="s">
        <v>212</v>
      </c>
      <c r="N4452" s="14"/>
      <c r="O4452" s="14" t="s">
        <v>213</v>
      </c>
      <c r="P4452" s="14" t="str">
        <f>HYPERLINK("https://ceds.ed.gov/cedselementdetails.aspx?termid=17214")</f>
        <v>https://ceds.ed.gov/cedselementdetails.aspx?termid=17214</v>
      </c>
      <c r="Q4452" s="14" t="str">
        <f>HYPERLINK("https://ceds.ed.gov/elementComment.aspx?elementName=Address Postal Code &amp;elementID=17214", "Click here to submit comment")</f>
        <v>Click here to submit comment</v>
      </c>
      <c r="R4452" s="14">
        <v>48606</v>
      </c>
    </row>
    <row r="4453" spans="1:18" ht="225" x14ac:dyDescent="0.25">
      <c r="A4453" s="14" t="s">
        <v>9226</v>
      </c>
      <c r="B4453" s="14" t="s">
        <v>8566</v>
      </c>
      <c r="C4453" s="14" t="s">
        <v>8538</v>
      </c>
      <c r="D4453" s="14" t="s">
        <v>8531</v>
      </c>
      <c r="E4453" s="14" t="s">
        <v>204</v>
      </c>
      <c r="F4453" s="14" t="s">
        <v>205</v>
      </c>
      <c r="G4453" s="14" t="s">
        <v>37</v>
      </c>
      <c r="H4453" s="14" t="s">
        <v>199</v>
      </c>
      <c r="I4453" s="14"/>
      <c r="J4453" s="14" t="s">
        <v>97</v>
      </c>
      <c r="K4453" s="14"/>
      <c r="L4453" s="14"/>
      <c r="M4453" s="14" t="s">
        <v>207</v>
      </c>
      <c r="N4453" s="14"/>
      <c r="O4453" s="14" t="s">
        <v>208</v>
      </c>
      <c r="P4453" s="14" t="str">
        <f>HYPERLINK("https://ceds.ed.gov/cedselementdetails.aspx?termid=17190")</f>
        <v>https://ceds.ed.gov/cedselementdetails.aspx?termid=17190</v>
      </c>
      <c r="Q4453" s="14" t="str">
        <f>HYPERLINK("https://ceds.ed.gov/elementComment.aspx?elementName=Address County Name &amp;elementID=17190", "Click here to submit comment")</f>
        <v>Click here to submit comment</v>
      </c>
      <c r="R4453" s="14">
        <v>48607</v>
      </c>
    </row>
    <row r="4454" spans="1:18" ht="75" x14ac:dyDescent="0.25">
      <c r="A4454" s="14" t="s">
        <v>9226</v>
      </c>
      <c r="B4454" s="14" t="s">
        <v>8566</v>
      </c>
      <c r="C4454" s="14" t="s">
        <v>8538</v>
      </c>
      <c r="D4454" s="14" t="s">
        <v>8531</v>
      </c>
      <c r="E4454" s="14" t="s">
        <v>5736</v>
      </c>
      <c r="F4454" s="14" t="s">
        <v>5737</v>
      </c>
      <c r="G4454" s="14" t="s">
        <v>37</v>
      </c>
      <c r="H4454" s="14"/>
      <c r="I4454" s="14"/>
      <c r="J4454" s="14" t="s">
        <v>1307</v>
      </c>
      <c r="K4454" s="14"/>
      <c r="L4454" s="14"/>
      <c r="M4454" s="14" t="s">
        <v>5739</v>
      </c>
      <c r="N4454" s="14"/>
      <c r="O4454" s="14" t="s">
        <v>5736</v>
      </c>
      <c r="P4454" s="14" t="str">
        <f>HYPERLINK("https://ceds.ed.gov/cedselementdetails.aspx?termid=17599")</f>
        <v>https://ceds.ed.gov/cedselementdetails.aspx?termid=17599</v>
      </c>
      <c r="Q4454" s="14" t="str">
        <f>HYPERLINK("https://ceds.ed.gov/elementComment.aspx?elementName=Latitude &amp;elementID=17599", "Click here to submit comment")</f>
        <v>Click here to submit comment</v>
      </c>
      <c r="R4454" s="14">
        <v>51254</v>
      </c>
    </row>
    <row r="4455" spans="1:18" ht="75" x14ac:dyDescent="0.25">
      <c r="A4455" s="14" t="s">
        <v>9226</v>
      </c>
      <c r="B4455" s="14" t="s">
        <v>8566</v>
      </c>
      <c r="C4455" s="14" t="s">
        <v>8538</v>
      </c>
      <c r="D4455" s="14" t="s">
        <v>8531</v>
      </c>
      <c r="E4455" s="14" t="s">
        <v>6174</v>
      </c>
      <c r="F4455" s="14" t="s">
        <v>6175</v>
      </c>
      <c r="G4455" s="14" t="s">
        <v>37</v>
      </c>
      <c r="H4455" s="14"/>
      <c r="I4455" s="14"/>
      <c r="J4455" s="14" t="s">
        <v>1307</v>
      </c>
      <c r="K4455" s="14"/>
      <c r="L4455" s="14"/>
      <c r="M4455" s="14" t="s">
        <v>6176</v>
      </c>
      <c r="N4455" s="14"/>
      <c r="O4455" s="14" t="s">
        <v>6174</v>
      </c>
      <c r="P4455" s="14" t="str">
        <f>HYPERLINK("https://ceds.ed.gov/cedselementdetails.aspx?termid=17600")</f>
        <v>https://ceds.ed.gov/cedselementdetails.aspx?termid=17600</v>
      </c>
      <c r="Q4455" s="14" t="str">
        <f>HYPERLINK("https://ceds.ed.gov/elementComment.aspx?elementName=Longitude &amp;elementID=17600", "Click here to submit comment")</f>
        <v>Click here to submit comment</v>
      </c>
      <c r="R4455" s="14">
        <v>51277</v>
      </c>
    </row>
    <row r="4456" spans="1:18" ht="45" x14ac:dyDescent="0.25">
      <c r="A4456" s="14" t="s">
        <v>9226</v>
      </c>
      <c r="B4456" s="14" t="s">
        <v>8566</v>
      </c>
      <c r="C4456" s="14" t="s">
        <v>8538</v>
      </c>
      <c r="D4456" s="14" t="s">
        <v>8531</v>
      </c>
      <c r="E4456" s="14" t="s">
        <v>2039</v>
      </c>
      <c r="F4456" s="14" t="s">
        <v>2040</v>
      </c>
      <c r="G4456" s="14" t="s">
        <v>37</v>
      </c>
      <c r="H4456" s="14"/>
      <c r="I4456" s="14" t="s">
        <v>195</v>
      </c>
      <c r="J4456" s="14" t="s">
        <v>175</v>
      </c>
      <c r="K4456" s="14" t="s">
        <v>196</v>
      </c>
      <c r="L4456" s="14"/>
      <c r="M4456" s="14" t="s">
        <v>2042</v>
      </c>
      <c r="N4456" s="14"/>
      <c r="O4456" s="14" t="s">
        <v>2043</v>
      </c>
      <c r="P4456" s="14" t="str">
        <f>HYPERLINK("https://ceds.ed.gov/cedselementdetails.aspx?termid=17595")</f>
        <v>https://ceds.ed.gov/cedselementdetails.aspx?termid=17595</v>
      </c>
      <c r="Q4456" s="14" t="str">
        <f>HYPERLINK("https://ceds.ed.gov/elementComment.aspx?elementName=Building Site Number &amp;elementID=17595", "Click here to submit comment")</f>
        <v>Click here to submit comment</v>
      </c>
      <c r="R4456" s="14">
        <v>51999</v>
      </c>
    </row>
    <row r="4457" spans="1:18" ht="195" x14ac:dyDescent="0.25">
      <c r="A4457" s="14" t="s">
        <v>9226</v>
      </c>
      <c r="B4457" s="14" t="s">
        <v>8566</v>
      </c>
      <c r="C4457" s="14" t="s">
        <v>8538</v>
      </c>
      <c r="D4457" s="14" t="s">
        <v>8531</v>
      </c>
      <c r="E4457" s="14" t="s">
        <v>2860</v>
      </c>
      <c r="F4457" s="14" t="s">
        <v>2861</v>
      </c>
      <c r="G4457" s="14" t="s">
        <v>37</v>
      </c>
      <c r="H4457" s="14"/>
      <c r="I4457" s="14" t="s">
        <v>195</v>
      </c>
      <c r="J4457" s="14" t="s">
        <v>2863</v>
      </c>
      <c r="K4457" s="14" t="s">
        <v>2864</v>
      </c>
      <c r="L4457" s="14"/>
      <c r="M4457" s="14" t="s">
        <v>2865</v>
      </c>
      <c r="N4457" s="14"/>
      <c r="O4457" s="14" t="s">
        <v>2866</v>
      </c>
      <c r="P4457" s="14" t="str">
        <f>HYPERLINK("https://ceds.ed.gov/cedselementdetails.aspx?termid=18176")</f>
        <v>https://ceds.ed.gov/cedselementdetails.aspx?termid=18176</v>
      </c>
      <c r="Q4457" s="14" t="str">
        <f>HYPERLINK("https://ceds.ed.gov/elementComment.aspx?elementName=County ANSI Code &amp;elementID=18176", "Click here to submit comment")</f>
        <v>Click here to submit comment</v>
      </c>
      <c r="R4457" s="14">
        <v>52000</v>
      </c>
    </row>
    <row r="4458" spans="1:18" ht="60" x14ac:dyDescent="0.25">
      <c r="A4458" s="14" t="s">
        <v>9226</v>
      </c>
      <c r="B4458" s="14" t="s">
        <v>8566</v>
      </c>
      <c r="C4458" s="14" t="s">
        <v>8538</v>
      </c>
      <c r="D4458" s="14" t="s">
        <v>8541</v>
      </c>
      <c r="E4458" s="14" t="s">
        <v>3651</v>
      </c>
      <c r="F4458" s="14" t="s">
        <v>3652</v>
      </c>
      <c r="G4458" s="14" t="s">
        <v>3430</v>
      </c>
      <c r="H4458" s="14"/>
      <c r="I4458" s="14" t="s">
        <v>188</v>
      </c>
      <c r="J4458" s="14"/>
      <c r="K4458" s="14" t="s">
        <v>1721</v>
      </c>
      <c r="L4458" s="14"/>
      <c r="M4458" s="14" t="s">
        <v>3654</v>
      </c>
      <c r="N4458" s="14"/>
      <c r="O4458" s="14" t="s">
        <v>3655</v>
      </c>
      <c r="P4458" s="14" t="str">
        <f>HYPERLINK("https://ceds.ed.gov/cedselementdetails.aspx?termid=18905")</f>
        <v>https://ceds.ed.gov/cedselementdetails.aspx?termid=18905</v>
      </c>
      <c r="Q4458" s="14" t="str">
        <f>HYPERLINK("https://ceds.ed.gov/elementComment.aspx?elementName=Do Not Publish Indicator &amp;elementID=18905", "Click here to submit comment")</f>
        <v>Click here to submit comment</v>
      </c>
      <c r="R4458" s="14">
        <v>52310</v>
      </c>
    </row>
    <row r="4459" spans="1:18" ht="135" x14ac:dyDescent="0.25">
      <c r="A4459" s="14" t="s">
        <v>9226</v>
      </c>
      <c r="B4459" s="14" t="s">
        <v>8566</v>
      </c>
      <c r="C4459" s="14" t="s">
        <v>9235</v>
      </c>
      <c r="D4459" s="14" t="s">
        <v>8531</v>
      </c>
      <c r="E4459" s="14" t="s">
        <v>1789</v>
      </c>
      <c r="F4459" s="14" t="s">
        <v>1790</v>
      </c>
      <c r="G4459" s="8" t="s">
        <v>9236</v>
      </c>
      <c r="H4459" s="14"/>
      <c r="I4459" s="14"/>
      <c r="J4459" s="14"/>
      <c r="K4459" s="14"/>
      <c r="L4459" s="14"/>
      <c r="M4459" s="14" t="s">
        <v>1793</v>
      </c>
      <c r="N4459" s="14"/>
      <c r="O4459" s="14" t="s">
        <v>1794</v>
      </c>
      <c r="P4459" s="14" t="str">
        <f>HYPERLINK("https://ceds.ed.gov/cedselementdetails.aspx?termid=18771")</f>
        <v>https://ceds.ed.gov/cedselementdetails.aspx?termid=18771</v>
      </c>
      <c r="Q4459" s="14" t="str">
        <f>HYPERLINK("https://ceds.ed.gov/elementComment.aspx?elementName=Building Air Distribution System Type &amp;elementID=18771", "Click here to submit comment")</f>
        <v>Click here to submit comment</v>
      </c>
      <c r="R4459" s="14">
        <v>52017</v>
      </c>
    </row>
    <row r="4460" spans="1:18" ht="120" x14ac:dyDescent="0.25">
      <c r="A4460" s="14" t="s">
        <v>9226</v>
      </c>
      <c r="B4460" s="14" t="s">
        <v>8566</v>
      </c>
      <c r="C4460" s="14" t="s">
        <v>9235</v>
      </c>
      <c r="D4460" s="14" t="s">
        <v>8531</v>
      </c>
      <c r="E4460" s="14" t="s">
        <v>1847</v>
      </c>
      <c r="F4460" s="14" t="s">
        <v>1848</v>
      </c>
      <c r="G4460" s="8" t="s">
        <v>9237</v>
      </c>
      <c r="H4460" s="14"/>
      <c r="I4460" s="14"/>
      <c r="J4460" s="14"/>
      <c r="K4460" s="14"/>
      <c r="L4460" s="14"/>
      <c r="M4460" s="14" t="s">
        <v>1850</v>
      </c>
      <c r="N4460" s="14"/>
      <c r="O4460" s="14" t="s">
        <v>1851</v>
      </c>
      <c r="P4460" s="14" t="str">
        <f>HYPERLINK("https://ceds.ed.gov/cedselementdetails.aspx?termid=18772")</f>
        <v>https://ceds.ed.gov/cedselementdetails.aspx?termid=18772</v>
      </c>
      <c r="Q4460" s="14" t="str">
        <f>HYPERLINK("https://ceds.ed.gov/elementComment.aspx?elementName=Building Communications Management Component System Type &amp;elementID=18772", "Click here to submit comment")</f>
        <v>Click here to submit comment</v>
      </c>
      <c r="R4460" s="14">
        <v>52018</v>
      </c>
    </row>
    <row r="4461" spans="1:18" ht="150" x14ac:dyDescent="0.25">
      <c r="A4461" s="14" t="s">
        <v>9226</v>
      </c>
      <c r="B4461" s="14" t="s">
        <v>8566</v>
      </c>
      <c r="C4461" s="14" t="s">
        <v>9235</v>
      </c>
      <c r="D4461" s="14" t="s">
        <v>8531</v>
      </c>
      <c r="E4461" s="14" t="s">
        <v>1857</v>
      </c>
      <c r="F4461" s="14" t="s">
        <v>1858</v>
      </c>
      <c r="G4461" s="8" t="s">
        <v>9238</v>
      </c>
      <c r="H4461" s="14"/>
      <c r="I4461" s="14"/>
      <c r="J4461" s="14"/>
      <c r="K4461" s="14"/>
      <c r="L4461" s="14"/>
      <c r="M4461" s="14" t="s">
        <v>1860</v>
      </c>
      <c r="N4461" s="14"/>
      <c r="O4461" s="14" t="s">
        <v>1861</v>
      </c>
      <c r="P4461" s="14" t="str">
        <f>HYPERLINK("https://ceds.ed.gov/cedselementdetails.aspx?termid=18775")</f>
        <v>https://ceds.ed.gov/cedselementdetails.aspx?termid=18775</v>
      </c>
      <c r="Q4461" s="14" t="str">
        <f>HYPERLINK("https://ceds.ed.gov/elementComment.aspx?elementName=Building Cooling Generation System Type &amp;elementID=18775", "Click here to submit comment")</f>
        <v>Click here to submit comment</v>
      </c>
      <c r="R4461" s="14">
        <v>52019</v>
      </c>
    </row>
    <row r="4462" spans="1:18" ht="165" x14ac:dyDescent="0.25">
      <c r="A4462" s="14" t="s">
        <v>9226</v>
      </c>
      <c r="B4462" s="14" t="s">
        <v>8566</v>
      </c>
      <c r="C4462" s="14" t="s">
        <v>9235</v>
      </c>
      <c r="D4462" s="14" t="s">
        <v>8531</v>
      </c>
      <c r="E4462" s="14" t="s">
        <v>1871</v>
      </c>
      <c r="F4462" s="14" t="s">
        <v>1872</v>
      </c>
      <c r="G4462" s="8" t="s">
        <v>9239</v>
      </c>
      <c r="H4462" s="14"/>
      <c r="I4462" s="14"/>
      <c r="J4462" s="14"/>
      <c r="K4462" s="14"/>
      <c r="L4462" s="14"/>
      <c r="M4462" s="14" t="s">
        <v>1874</v>
      </c>
      <c r="N4462" s="14"/>
      <c r="O4462" s="14" t="s">
        <v>1875</v>
      </c>
      <c r="P4462" s="14" t="str">
        <f>HYPERLINK("https://ceds.ed.gov/cedselementdetails.aspx?termid=18776")</f>
        <v>https://ceds.ed.gov/cedselementdetails.aspx?termid=18776</v>
      </c>
      <c r="Q4462" s="14" t="str">
        <f>HYPERLINK("https://ceds.ed.gov/elementComment.aspx?elementName=Building Electrical System Type &amp;elementID=18776", "Click here to submit comment")</f>
        <v>Click here to submit comment</v>
      </c>
      <c r="R4462" s="14">
        <v>52020</v>
      </c>
    </row>
    <row r="4463" spans="1:18" ht="135" x14ac:dyDescent="0.25">
      <c r="A4463" s="14" t="s">
        <v>9226</v>
      </c>
      <c r="B4463" s="14" t="s">
        <v>8566</v>
      </c>
      <c r="C4463" s="14" t="s">
        <v>9235</v>
      </c>
      <c r="D4463" s="14" t="s">
        <v>8531</v>
      </c>
      <c r="E4463" s="14" t="s">
        <v>1895</v>
      </c>
      <c r="F4463" s="14" t="s">
        <v>1896</v>
      </c>
      <c r="G4463" s="8" t="s">
        <v>9240</v>
      </c>
      <c r="H4463" s="14"/>
      <c r="I4463" s="14"/>
      <c r="J4463" s="14"/>
      <c r="K4463" s="14"/>
      <c r="L4463" s="14"/>
      <c r="M4463" s="14" t="s">
        <v>1898</v>
      </c>
      <c r="N4463" s="14"/>
      <c r="O4463" s="14" t="s">
        <v>1899</v>
      </c>
      <c r="P4463" s="14" t="str">
        <f>HYPERLINK("https://ceds.ed.gov/cedselementdetails.aspx?termid=18779")</f>
        <v>https://ceds.ed.gov/cedselementdetails.aspx?termid=18779</v>
      </c>
      <c r="Q4463" s="14" t="str">
        <f>HYPERLINK("https://ceds.ed.gov/elementComment.aspx?elementName=Building Fire Protection System Type &amp;elementID=18779", "Click here to submit comment")</f>
        <v>Click here to submit comment</v>
      </c>
      <c r="R4463" s="14">
        <v>52021</v>
      </c>
    </row>
    <row r="4464" spans="1:18" ht="165" x14ac:dyDescent="0.25">
      <c r="A4464" s="14" t="s">
        <v>9226</v>
      </c>
      <c r="B4464" s="14" t="s">
        <v>8566</v>
      </c>
      <c r="C4464" s="14" t="s">
        <v>9235</v>
      </c>
      <c r="D4464" s="14" t="s">
        <v>8531</v>
      </c>
      <c r="E4464" s="14" t="s">
        <v>1910</v>
      </c>
      <c r="F4464" s="14" t="s">
        <v>1911</v>
      </c>
      <c r="G4464" s="8" t="s">
        <v>9241</v>
      </c>
      <c r="H4464" s="14"/>
      <c r="I4464" s="14"/>
      <c r="J4464" s="14"/>
      <c r="K4464" s="14"/>
      <c r="L4464" s="14"/>
      <c r="M4464" s="14" t="s">
        <v>1913</v>
      </c>
      <c r="N4464" s="14"/>
      <c r="O4464" s="14" t="s">
        <v>1914</v>
      </c>
      <c r="P4464" s="14" t="str">
        <f>HYPERLINK("https://ceds.ed.gov/cedselementdetails.aspx?termid=18780")</f>
        <v>https://ceds.ed.gov/cedselementdetails.aspx?termid=18780</v>
      </c>
      <c r="Q4464" s="14" t="str">
        <f>HYPERLINK("https://ceds.ed.gov/elementComment.aspx?elementName=Building Heating Generation System Type &amp;elementID=18780", "Click here to submit comment")</f>
        <v>Click here to submit comment</v>
      </c>
      <c r="R4464" s="14">
        <v>52022</v>
      </c>
    </row>
    <row r="4465" spans="1:18" ht="150" x14ac:dyDescent="0.25">
      <c r="A4465" s="14" t="s">
        <v>9226</v>
      </c>
      <c r="B4465" s="14" t="s">
        <v>8566</v>
      </c>
      <c r="C4465" s="14" t="s">
        <v>9235</v>
      </c>
      <c r="D4465" s="14" t="s">
        <v>8531</v>
      </c>
      <c r="E4465" s="14" t="s">
        <v>1925</v>
      </c>
      <c r="F4465" s="14" t="s">
        <v>1926</v>
      </c>
      <c r="G4465" s="8" t="s">
        <v>9242</v>
      </c>
      <c r="H4465" s="14"/>
      <c r="I4465" s="14"/>
      <c r="J4465" s="14"/>
      <c r="K4465" s="14"/>
      <c r="L4465" s="14"/>
      <c r="M4465" s="14" t="s">
        <v>1928</v>
      </c>
      <c r="N4465" s="14"/>
      <c r="O4465" s="14" t="s">
        <v>1929</v>
      </c>
      <c r="P4465" s="14" t="str">
        <f>HYPERLINK("https://ceds.ed.gov/cedselementdetails.aspx?termid=18781")</f>
        <v>https://ceds.ed.gov/cedselementdetails.aspx?termid=18781</v>
      </c>
      <c r="Q4465" s="14" t="str">
        <f>HYPERLINK("https://ceds.ed.gov/elementComment.aspx?elementName=Building HVAC System Type &amp;elementID=18781", "Click here to submit comment")</f>
        <v>Click here to submit comment</v>
      </c>
      <c r="R4465" s="14">
        <v>52023</v>
      </c>
    </row>
    <row r="4466" spans="1:18" ht="75" x14ac:dyDescent="0.25">
      <c r="A4466" s="14" t="s">
        <v>9226</v>
      </c>
      <c r="B4466" s="14" t="s">
        <v>8566</v>
      </c>
      <c r="C4466" s="14" t="s">
        <v>9235</v>
      </c>
      <c r="D4466" s="14" t="s">
        <v>8531</v>
      </c>
      <c r="E4466" s="14" t="s">
        <v>1935</v>
      </c>
      <c r="F4466" s="14" t="s">
        <v>1936</v>
      </c>
      <c r="G4466" s="14" t="s">
        <v>37</v>
      </c>
      <c r="H4466" s="14"/>
      <c r="I4466" s="14"/>
      <c r="J4466" s="14" t="s">
        <v>62</v>
      </c>
      <c r="K4466" s="14"/>
      <c r="L4466" s="14"/>
      <c r="M4466" s="14" t="s">
        <v>1937</v>
      </c>
      <c r="N4466" s="14"/>
      <c r="O4466" s="14" t="s">
        <v>1938</v>
      </c>
      <c r="P4466" s="14" t="str">
        <f>HYPERLINK("https://ceds.ed.gov/cedselementdetails.aspx?termid=18782")</f>
        <v>https://ceds.ed.gov/cedselementdetails.aspx?termid=18782</v>
      </c>
      <c r="Q4466" s="14" t="str">
        <f>HYPERLINK("https://ceds.ed.gov/elementComment.aspx?elementName=Building Institutional Equipment Description &amp;elementID=18782", "Click here to submit comment")</f>
        <v>Click here to submit comment</v>
      </c>
      <c r="R4466" s="14">
        <v>52024</v>
      </c>
    </row>
    <row r="4467" spans="1:18" ht="90" x14ac:dyDescent="0.25">
      <c r="A4467" s="14" t="s">
        <v>9226</v>
      </c>
      <c r="B4467" s="14" t="s">
        <v>8566</v>
      </c>
      <c r="C4467" s="14" t="s">
        <v>9235</v>
      </c>
      <c r="D4467" s="14" t="s">
        <v>8531</v>
      </c>
      <c r="E4467" s="14" t="s">
        <v>1964</v>
      </c>
      <c r="F4467" s="14" t="s">
        <v>1965</v>
      </c>
      <c r="G4467" s="8" t="s">
        <v>9243</v>
      </c>
      <c r="H4467" s="14"/>
      <c r="I4467" s="14"/>
      <c r="J4467" s="14"/>
      <c r="K4467" s="14"/>
      <c r="L4467" s="14"/>
      <c r="M4467" s="14" t="s">
        <v>1967</v>
      </c>
      <c r="N4467" s="14"/>
      <c r="O4467" s="14" t="s">
        <v>1968</v>
      </c>
      <c r="P4467" s="14" t="str">
        <f>HYPERLINK("https://ceds.ed.gov/cedselementdetails.aspx?termid=18783")</f>
        <v>https://ceds.ed.gov/cedselementdetails.aspx?termid=18783</v>
      </c>
      <c r="Q4467" s="14" t="str">
        <f>HYPERLINK("https://ceds.ed.gov/elementComment.aspx?elementName=Building Mechanical Conveying System Type &amp;elementID=18783", "Click here to submit comment")</f>
        <v>Click here to submit comment</v>
      </c>
      <c r="R4467" s="14">
        <v>52025</v>
      </c>
    </row>
    <row r="4468" spans="1:18" ht="75" x14ac:dyDescent="0.25">
      <c r="A4468" s="14" t="s">
        <v>9226</v>
      </c>
      <c r="B4468" s="14" t="s">
        <v>8566</v>
      </c>
      <c r="C4468" s="14" t="s">
        <v>9235</v>
      </c>
      <c r="D4468" s="14" t="s">
        <v>8531</v>
      </c>
      <c r="E4468" s="14" t="s">
        <v>1969</v>
      </c>
      <c r="F4468" s="14" t="s">
        <v>1970</v>
      </c>
      <c r="G4468" s="8" t="s">
        <v>9244</v>
      </c>
      <c r="H4468" s="14"/>
      <c r="I4468" s="14"/>
      <c r="J4468" s="14"/>
      <c r="K4468" s="14"/>
      <c r="L4468" s="14"/>
      <c r="M4468" s="14" t="s">
        <v>1972</v>
      </c>
      <c r="N4468" s="14"/>
      <c r="O4468" s="14" t="s">
        <v>1973</v>
      </c>
      <c r="P4468" s="14" t="str">
        <f>HYPERLINK("https://ceds.ed.gov/cedselementdetails.aspx?termid=18790")</f>
        <v>https://ceds.ed.gov/cedselementdetails.aspx?termid=18790</v>
      </c>
      <c r="Q4468" s="14" t="str">
        <f>HYPERLINK("https://ceds.ed.gov/elementComment.aspx?elementName=Building Mechanical System Type &amp;elementID=18790", "Click here to submit comment")</f>
        <v>Click here to submit comment</v>
      </c>
      <c r="R4468" s="14">
        <v>52026</v>
      </c>
    </row>
    <row r="4469" spans="1:18" ht="240" x14ac:dyDescent="0.25">
      <c r="A4469" s="14" t="s">
        <v>9226</v>
      </c>
      <c r="B4469" s="14" t="s">
        <v>8566</v>
      </c>
      <c r="C4469" s="14" t="s">
        <v>9235</v>
      </c>
      <c r="D4469" s="14" t="s">
        <v>8531</v>
      </c>
      <c r="E4469" s="14" t="s">
        <v>2006</v>
      </c>
      <c r="F4469" s="14" t="s">
        <v>2007</v>
      </c>
      <c r="G4469" s="8" t="s">
        <v>9245</v>
      </c>
      <c r="H4469" s="14"/>
      <c r="I4469" s="14"/>
      <c r="J4469" s="14"/>
      <c r="K4469" s="14"/>
      <c r="L4469" s="14"/>
      <c r="M4469" s="14" t="s">
        <v>2009</v>
      </c>
      <c r="N4469" s="14"/>
      <c r="O4469" s="14" t="s">
        <v>2010</v>
      </c>
      <c r="P4469" s="14" t="str">
        <f>HYPERLINK("https://ceds.ed.gov/cedselementdetails.aspx?termid=18784")</f>
        <v>https://ceds.ed.gov/cedselementdetails.aspx?termid=18784</v>
      </c>
      <c r="Q4469" s="14" t="str">
        <f>HYPERLINK("https://ceds.ed.gov/elementComment.aspx?elementName=Building Plumbing System Type &amp;elementID=18784", "Click here to submit comment")</f>
        <v>Click here to submit comment</v>
      </c>
      <c r="R4469" s="14">
        <v>52027</v>
      </c>
    </row>
    <row r="4470" spans="1:18" ht="105" x14ac:dyDescent="0.25">
      <c r="A4470" s="14" t="s">
        <v>9226</v>
      </c>
      <c r="B4470" s="14" t="s">
        <v>8566</v>
      </c>
      <c r="C4470" s="14" t="s">
        <v>9235</v>
      </c>
      <c r="D4470" s="14" t="s">
        <v>8531</v>
      </c>
      <c r="E4470" s="14" t="s">
        <v>2030</v>
      </c>
      <c r="F4470" s="14" t="s">
        <v>2031</v>
      </c>
      <c r="G4470" s="8" t="s">
        <v>9246</v>
      </c>
      <c r="H4470" s="14"/>
      <c r="I4470" s="14"/>
      <c r="J4470" s="14"/>
      <c r="K4470" s="14"/>
      <c r="L4470" s="14"/>
      <c r="M4470" s="14" t="s">
        <v>2033</v>
      </c>
      <c r="N4470" s="14"/>
      <c r="O4470" s="14" t="s">
        <v>2034</v>
      </c>
      <c r="P4470" s="14" t="str">
        <f>HYPERLINK("https://ceds.ed.gov/cedselementdetails.aspx?termid=18785")</f>
        <v>https://ceds.ed.gov/cedselementdetails.aspx?termid=18785</v>
      </c>
      <c r="Q4470" s="14" t="str">
        <f>HYPERLINK("https://ceds.ed.gov/elementComment.aspx?elementName=Building Security System Type &amp;elementID=18785", "Click here to submit comment")</f>
        <v>Click here to submit comment</v>
      </c>
      <c r="R4470" s="14">
        <v>52028</v>
      </c>
    </row>
    <row r="4471" spans="1:18" ht="180" x14ac:dyDescent="0.25">
      <c r="A4471" s="14" t="s">
        <v>9226</v>
      </c>
      <c r="B4471" s="14" t="s">
        <v>8566</v>
      </c>
      <c r="C4471" s="14" t="s">
        <v>9235</v>
      </c>
      <c r="D4471" s="14" t="s">
        <v>8531</v>
      </c>
      <c r="E4471" s="14" t="s">
        <v>2068</v>
      </c>
      <c r="F4471" s="14" t="s">
        <v>2069</v>
      </c>
      <c r="G4471" s="8" t="s">
        <v>9247</v>
      </c>
      <c r="H4471" s="14"/>
      <c r="I4471" s="14"/>
      <c r="J4471" s="14"/>
      <c r="K4471" s="14"/>
      <c r="L4471" s="14"/>
      <c r="M4471" s="14" t="s">
        <v>2071</v>
      </c>
      <c r="N4471" s="14"/>
      <c r="O4471" s="14" t="s">
        <v>2072</v>
      </c>
      <c r="P4471" s="14" t="str">
        <f>HYPERLINK("https://ceds.ed.gov/cedselementdetails.aspx?termid=18792")</f>
        <v>https://ceds.ed.gov/cedselementdetails.aspx?termid=18792</v>
      </c>
      <c r="Q4471" s="14" t="str">
        <f>HYPERLINK("https://ceds.ed.gov/elementComment.aspx?elementName=Building System Type &amp;elementID=18792", "Click here to submit comment")</f>
        <v>Click here to submit comment</v>
      </c>
      <c r="R4471" s="14">
        <v>52029</v>
      </c>
    </row>
    <row r="4472" spans="1:18" ht="105" x14ac:dyDescent="0.25">
      <c r="A4472" s="14" t="s">
        <v>9226</v>
      </c>
      <c r="B4472" s="14" t="s">
        <v>8566</v>
      </c>
      <c r="C4472" s="14" t="s">
        <v>9235</v>
      </c>
      <c r="D4472" s="14" t="s">
        <v>8531</v>
      </c>
      <c r="E4472" s="14" t="s">
        <v>2073</v>
      </c>
      <c r="F4472" s="14" t="s">
        <v>2074</v>
      </c>
      <c r="G4472" s="8" t="s">
        <v>9248</v>
      </c>
      <c r="H4472" s="14"/>
      <c r="I4472" s="14"/>
      <c r="J4472" s="14"/>
      <c r="K4472" s="14"/>
      <c r="L4472" s="14"/>
      <c r="M4472" s="14" t="s">
        <v>2076</v>
      </c>
      <c r="N4472" s="14"/>
      <c r="O4472" s="14" t="s">
        <v>2077</v>
      </c>
      <c r="P4472" s="14" t="str">
        <f>HYPERLINK("https://ceds.ed.gov/cedselementdetails.aspx?termid=18788")</f>
        <v>https://ceds.ed.gov/cedselementdetails.aspx?termid=18788</v>
      </c>
      <c r="Q4472" s="14" t="str">
        <f>HYPERLINK("https://ceds.ed.gov/elementComment.aspx?elementName=Building Technology Wiring System Type &amp;elementID=18788", "Click here to submit comment")</f>
        <v>Click here to submit comment</v>
      </c>
      <c r="R4472" s="14">
        <v>52030</v>
      </c>
    </row>
    <row r="4473" spans="1:18" ht="75" x14ac:dyDescent="0.25">
      <c r="A4473" s="14" t="s">
        <v>9226</v>
      </c>
      <c r="B4473" s="14" t="s">
        <v>8566</v>
      </c>
      <c r="C4473" s="14" t="s">
        <v>9235</v>
      </c>
      <c r="D4473" s="14" t="s">
        <v>8531</v>
      </c>
      <c r="E4473" s="14" t="s">
        <v>2087</v>
      </c>
      <c r="F4473" s="14" t="s">
        <v>2088</v>
      </c>
      <c r="G4473" s="8" t="s">
        <v>9249</v>
      </c>
      <c r="H4473" s="14"/>
      <c r="I4473" s="14"/>
      <c r="J4473" s="14"/>
      <c r="K4473" s="14"/>
      <c r="L4473" s="14"/>
      <c r="M4473" s="14" t="s">
        <v>2090</v>
      </c>
      <c r="N4473" s="14"/>
      <c r="O4473" s="14" t="s">
        <v>2091</v>
      </c>
      <c r="P4473" s="14" t="str">
        <f>HYPERLINK("https://ceds.ed.gov/cedselementdetails.aspx?termid=18793")</f>
        <v>https://ceds.ed.gov/cedselementdetails.aspx?termid=18793</v>
      </c>
      <c r="Q4473" s="14" t="str">
        <f>HYPERLINK("https://ceds.ed.gov/elementComment.aspx?elementName=Building Vertical Transportation System Type &amp;elementID=18793", "Click here to submit comment")</f>
        <v>Click here to submit comment</v>
      </c>
      <c r="R4473" s="14">
        <v>52031</v>
      </c>
    </row>
    <row r="4474" spans="1:18" ht="150" x14ac:dyDescent="0.25">
      <c r="A4474" s="14" t="s">
        <v>9226</v>
      </c>
      <c r="B4474" s="14" t="s">
        <v>8566</v>
      </c>
      <c r="C4474" s="14" t="s">
        <v>9235</v>
      </c>
      <c r="D4474" s="14" t="s">
        <v>8531</v>
      </c>
      <c r="E4474" s="14" t="s">
        <v>4179</v>
      </c>
      <c r="F4474" s="14" t="s">
        <v>4180</v>
      </c>
      <c r="G4474" s="8" t="s">
        <v>9250</v>
      </c>
      <c r="H4474" s="14"/>
      <c r="I4474" s="14"/>
      <c r="J4474" s="14"/>
      <c r="K4474" s="14"/>
      <c r="L4474" s="14"/>
      <c r="M4474" s="14" t="s">
        <v>4182</v>
      </c>
      <c r="N4474" s="14"/>
      <c r="O4474" s="14" t="s">
        <v>4183</v>
      </c>
      <c r="P4474" s="14" t="str">
        <f>HYPERLINK("https://ceds.ed.gov/cedselementdetails.aspx?termid=18777")</f>
        <v>https://ceds.ed.gov/cedselementdetails.aspx?termid=18777</v>
      </c>
      <c r="Q4474" s="14" t="str">
        <f>HYPERLINK("https://ceds.ed.gov/elementComment.aspx?elementName=Facility Applicable Federal Mandate Type &amp;elementID=18777", "Click here to submit comment")</f>
        <v>Click here to submit comment</v>
      </c>
      <c r="R4474" s="14">
        <v>52032</v>
      </c>
    </row>
    <row r="4475" spans="1:18" ht="120" x14ac:dyDescent="0.25">
      <c r="A4475" s="14" t="s">
        <v>9226</v>
      </c>
      <c r="B4475" s="14" t="s">
        <v>8566</v>
      </c>
      <c r="C4475" s="14" t="s">
        <v>9235</v>
      </c>
      <c r="D4475" s="14" t="s">
        <v>8531</v>
      </c>
      <c r="E4475" s="14" t="s">
        <v>4230</v>
      </c>
      <c r="F4475" s="14" t="s">
        <v>4231</v>
      </c>
      <c r="G4475" s="8" t="s">
        <v>9251</v>
      </c>
      <c r="H4475" s="14"/>
      <c r="I4475" s="14"/>
      <c r="J4475" s="14"/>
      <c r="K4475" s="14"/>
      <c r="L4475" s="14"/>
      <c r="M4475" s="14" t="s">
        <v>4233</v>
      </c>
      <c r="N4475" s="14"/>
      <c r="O4475" s="14" t="s">
        <v>4234</v>
      </c>
      <c r="P4475" s="14" t="str">
        <f>HYPERLINK("https://ceds.ed.gov/cedselementdetails.aspx?termid=18773")</f>
        <v>https://ceds.ed.gov/cedselementdetails.aspx?termid=18773</v>
      </c>
      <c r="Q4475" s="14" t="str">
        <f>HYPERLINK("https://ceds.ed.gov/elementComment.aspx?elementName=Facility Compliance Status &amp;elementID=18773", "Click here to submit comment")</f>
        <v>Click here to submit comment</v>
      </c>
      <c r="R4475" s="14">
        <v>52033</v>
      </c>
    </row>
    <row r="4476" spans="1:18" ht="255" x14ac:dyDescent="0.25">
      <c r="A4476" s="14" t="s">
        <v>9226</v>
      </c>
      <c r="B4476" s="14" t="s">
        <v>8566</v>
      </c>
      <c r="C4476" s="14" t="s">
        <v>9235</v>
      </c>
      <c r="D4476" s="14" t="s">
        <v>8531</v>
      </c>
      <c r="E4476" s="14" t="s">
        <v>4273</v>
      </c>
      <c r="F4476" s="14" t="s">
        <v>4274</v>
      </c>
      <c r="G4476" s="8" t="s">
        <v>9252</v>
      </c>
      <c r="H4476" s="14"/>
      <c r="I4476" s="14"/>
      <c r="J4476" s="14"/>
      <c r="K4476" s="14"/>
      <c r="L4476" s="14"/>
      <c r="M4476" s="14" t="s">
        <v>4276</v>
      </c>
      <c r="N4476" s="14"/>
      <c r="O4476" s="14" t="s">
        <v>4277</v>
      </c>
      <c r="P4476" s="14" t="str">
        <f>HYPERLINK("https://ceds.ed.gov/cedselementdetails.aspx?termid=18778")</f>
        <v>https://ceds.ed.gov/cedselementdetails.aspx?termid=18778</v>
      </c>
      <c r="Q4476" s="14" t="str">
        <f>HYPERLINK("https://ceds.ed.gov/elementComment.aspx?elementName=Facility Federal Mandate Interest Type &amp;elementID=18778", "Click here to submit comment")</f>
        <v>Click here to submit comment</v>
      </c>
      <c r="R4476" s="14">
        <v>52034</v>
      </c>
    </row>
    <row r="4477" spans="1:18" ht="45" x14ac:dyDescent="0.25">
      <c r="A4477" s="14" t="s">
        <v>9226</v>
      </c>
      <c r="B4477" s="14" t="s">
        <v>8566</v>
      </c>
      <c r="C4477" s="14" t="s">
        <v>9235</v>
      </c>
      <c r="D4477" s="14" t="s">
        <v>8531</v>
      </c>
      <c r="E4477" s="14" t="s">
        <v>4330</v>
      </c>
      <c r="F4477" s="14" t="s">
        <v>4331</v>
      </c>
      <c r="G4477" s="14" t="s">
        <v>37</v>
      </c>
      <c r="H4477" s="14"/>
      <c r="I4477" s="14"/>
      <c r="J4477" s="14" t="s">
        <v>175</v>
      </c>
      <c r="K4477" s="14"/>
      <c r="L4477" s="14"/>
      <c r="M4477" s="14" t="s">
        <v>4332</v>
      </c>
      <c r="N4477" s="14"/>
      <c r="O4477" s="14" t="s">
        <v>4333</v>
      </c>
      <c r="P4477" s="14" t="str">
        <f>HYPERLINK("https://ceds.ed.gov/cedselementdetails.aspx?termid=18789")</f>
        <v>https://ceds.ed.gov/cedselementdetails.aspx?termid=18789</v>
      </c>
      <c r="Q4477" s="14" t="str">
        <f>HYPERLINK("https://ceds.ed.gov/elementComment.aspx?elementName=Facility Location of Hazardous Materials &amp;elementID=18789", "Click here to submit comment")</f>
        <v>Click here to submit comment</v>
      </c>
      <c r="R4477" s="14">
        <v>52035</v>
      </c>
    </row>
    <row r="4478" spans="1:18" ht="90" x14ac:dyDescent="0.25">
      <c r="A4478" s="14" t="s">
        <v>9226</v>
      </c>
      <c r="B4478" s="14" t="s">
        <v>8566</v>
      </c>
      <c r="C4478" s="14" t="s">
        <v>9235</v>
      </c>
      <c r="D4478" s="14" t="s">
        <v>8531</v>
      </c>
      <c r="E4478" s="14" t="s">
        <v>4358</v>
      </c>
      <c r="F4478" s="14" t="s">
        <v>4359</v>
      </c>
      <c r="G4478" s="14" t="s">
        <v>37</v>
      </c>
      <c r="H4478" s="14"/>
      <c r="I4478" s="14"/>
      <c r="J4478" s="14" t="s">
        <v>382</v>
      </c>
      <c r="K4478" s="14"/>
      <c r="L4478" s="14"/>
      <c r="M4478" s="14" t="s">
        <v>4360</v>
      </c>
      <c r="N4478" s="14"/>
      <c r="O4478" s="14" t="s">
        <v>4361</v>
      </c>
      <c r="P4478" s="14" t="str">
        <f>HYPERLINK("https://ceds.ed.gov/cedselementdetails.aspx?termid=18791")</f>
        <v>https://ceds.ed.gov/cedselementdetails.aspx?termid=18791</v>
      </c>
      <c r="Q4478" s="14" t="str">
        <f>HYPERLINK("https://ceds.ed.gov/elementComment.aspx?elementName=Facility Nearby Environmental Hazard Description &amp;elementID=18791", "Click here to submit comment")</f>
        <v>Click here to submit comment</v>
      </c>
      <c r="R4478" s="14">
        <v>52036</v>
      </c>
    </row>
    <row r="4479" spans="1:18" ht="240" x14ac:dyDescent="0.25">
      <c r="A4479" s="14" t="s">
        <v>9226</v>
      </c>
      <c r="B4479" s="14" t="s">
        <v>8566</v>
      </c>
      <c r="C4479" s="14" t="s">
        <v>9235</v>
      </c>
      <c r="D4479" s="14" t="s">
        <v>8531</v>
      </c>
      <c r="E4479" s="14" t="s">
        <v>4414</v>
      </c>
      <c r="F4479" s="14" t="s">
        <v>4415</v>
      </c>
      <c r="G4479" s="8" t="s">
        <v>9253</v>
      </c>
      <c r="H4479" s="14"/>
      <c r="I4479" s="14"/>
      <c r="J4479" s="14"/>
      <c r="K4479" s="14"/>
      <c r="L4479" s="14"/>
      <c r="M4479" s="14" t="s">
        <v>4417</v>
      </c>
      <c r="N4479" s="14"/>
      <c r="O4479" s="14" t="s">
        <v>4418</v>
      </c>
      <c r="P4479" s="14" t="str">
        <f>HYPERLINK("https://ceds.ed.gov/cedselementdetails.aspx?termid=18786")</f>
        <v>https://ceds.ed.gov/cedselementdetails.aspx?termid=18786</v>
      </c>
      <c r="Q4479" s="14" t="str">
        <f>HYPERLINK("https://ceds.ed.gov/elementComment.aspx?elementName=Facility State or Local Mandate Interest Type &amp;elementID=18786", "Click here to submit comment")</f>
        <v>Click here to submit comment</v>
      </c>
      <c r="R4479" s="14">
        <v>52037</v>
      </c>
    </row>
    <row r="4480" spans="1:18" ht="45" x14ac:dyDescent="0.25">
      <c r="A4480" s="14" t="s">
        <v>9226</v>
      </c>
      <c r="B4480" s="14" t="s">
        <v>8566</v>
      </c>
      <c r="C4480" s="14" t="s">
        <v>9235</v>
      </c>
      <c r="D4480" s="14" t="s">
        <v>8531</v>
      </c>
      <c r="E4480" s="14" t="s">
        <v>4419</v>
      </c>
      <c r="F4480" s="14" t="s">
        <v>4420</v>
      </c>
      <c r="G4480" s="14" t="s">
        <v>37</v>
      </c>
      <c r="H4480" s="14"/>
      <c r="I4480" s="14"/>
      <c r="J4480" s="14" t="s">
        <v>175</v>
      </c>
      <c r="K4480" s="14"/>
      <c r="L4480" s="14"/>
      <c r="M4480" s="14" t="s">
        <v>4421</v>
      </c>
      <c r="N4480" s="14"/>
      <c r="O4480" s="14" t="s">
        <v>4422</v>
      </c>
      <c r="P4480" s="14" t="str">
        <f>HYPERLINK("https://ceds.ed.gov/cedselementdetails.aspx?termid=18787")</f>
        <v>https://ceds.ed.gov/cedselementdetails.aspx?termid=18787</v>
      </c>
      <c r="Q4480" s="14" t="str">
        <f>HYPERLINK("https://ceds.ed.gov/elementComment.aspx?elementName=Facility State or Local Mandate Name &amp;elementID=18787", "Click here to submit comment")</f>
        <v>Click here to submit comment</v>
      </c>
      <c r="R4480" s="14">
        <v>52038</v>
      </c>
    </row>
    <row r="4481" spans="1:18" ht="255" x14ac:dyDescent="0.25">
      <c r="A4481" s="14" t="s">
        <v>9226</v>
      </c>
      <c r="B4481" s="14" t="s">
        <v>8566</v>
      </c>
      <c r="C4481" s="14" t="s">
        <v>9235</v>
      </c>
      <c r="D4481" s="14" t="s">
        <v>8531</v>
      </c>
      <c r="E4481" s="14" t="s">
        <v>4423</v>
      </c>
      <c r="F4481" s="14" t="s">
        <v>4424</v>
      </c>
      <c r="G4481" s="8" t="s">
        <v>9254</v>
      </c>
      <c r="H4481" s="14"/>
      <c r="I4481" s="14"/>
      <c r="J4481" s="14"/>
      <c r="K4481" s="14"/>
      <c r="L4481" s="14"/>
      <c r="M4481" s="14" t="s">
        <v>4426</v>
      </c>
      <c r="N4481" s="14"/>
      <c r="O4481" s="14" t="s">
        <v>4427</v>
      </c>
      <c r="P4481" s="14" t="str">
        <f>HYPERLINK("https://ceds.ed.gov/cedselementdetails.aspx?termid=18774")</f>
        <v>https://ceds.ed.gov/cedselementdetails.aspx?termid=18774</v>
      </c>
      <c r="Q4481" s="14" t="str">
        <f>HYPERLINK("https://ceds.ed.gov/elementComment.aspx?elementName=Facility System or Component Condition &amp;elementID=18774", "Click here to submit comment")</f>
        <v>Click here to submit comment</v>
      </c>
      <c r="R4481" s="14">
        <v>52039</v>
      </c>
    </row>
    <row r="4482" spans="1:18" ht="45" x14ac:dyDescent="0.25">
      <c r="A4482" s="14" t="s">
        <v>9226</v>
      </c>
      <c r="B4482" s="14" t="s">
        <v>8566</v>
      </c>
      <c r="C4482" s="14" t="s">
        <v>9255</v>
      </c>
      <c r="D4482" s="14" t="s">
        <v>8531</v>
      </c>
      <c r="E4482" s="14" t="s">
        <v>2749</v>
      </c>
      <c r="F4482" s="14" t="s">
        <v>2750</v>
      </c>
      <c r="G4482" s="14" t="s">
        <v>37</v>
      </c>
      <c r="H4482" s="14"/>
      <c r="I4482" s="14"/>
      <c r="J4482" s="14" t="s">
        <v>135</v>
      </c>
      <c r="K4482" s="14"/>
      <c r="L4482" s="14"/>
      <c r="M4482" s="14" t="s">
        <v>2752</v>
      </c>
      <c r="N4482" s="14"/>
      <c r="O4482" s="14" t="s">
        <v>2753</v>
      </c>
      <c r="P4482" s="14" t="str">
        <f>HYPERLINK("https://ceds.ed.gov/cedselementdetails.aspx?termid=18879")</f>
        <v>https://ceds.ed.gov/cedselementdetails.aspx?termid=18879</v>
      </c>
      <c r="Q4482" s="14" t="str">
        <f>HYPERLINK("https://ceds.ed.gov/elementComment.aspx?elementName=Component or Fixture Check Date &amp;elementID=18879", "Click here to submit comment")</f>
        <v>Click here to submit comment</v>
      </c>
      <c r="R4482" s="14">
        <v>52040</v>
      </c>
    </row>
    <row r="4483" spans="1:18" ht="60" x14ac:dyDescent="0.25">
      <c r="A4483" s="14" t="s">
        <v>9226</v>
      </c>
      <c r="B4483" s="14" t="s">
        <v>8566</v>
      </c>
      <c r="C4483" s="14" t="s">
        <v>9255</v>
      </c>
      <c r="D4483" s="14" t="s">
        <v>8531</v>
      </c>
      <c r="E4483" s="14" t="s">
        <v>2754</v>
      </c>
      <c r="F4483" s="14" t="s">
        <v>2755</v>
      </c>
      <c r="G4483" s="14" t="s">
        <v>37</v>
      </c>
      <c r="H4483" s="14"/>
      <c r="I4483" s="14"/>
      <c r="J4483" s="14" t="s">
        <v>135</v>
      </c>
      <c r="K4483" s="14"/>
      <c r="L4483" s="14"/>
      <c r="M4483" s="14" t="s">
        <v>2756</v>
      </c>
      <c r="N4483" s="14"/>
      <c r="O4483" s="14" t="s">
        <v>2757</v>
      </c>
      <c r="P4483" s="14" t="str">
        <f>HYPERLINK("https://ceds.ed.gov/cedselementdetails.aspx?termid=18881")</f>
        <v>https://ceds.ed.gov/cedselementdetails.aspx?termid=18881</v>
      </c>
      <c r="Q4483" s="14" t="str">
        <f>HYPERLINK("https://ceds.ed.gov/elementComment.aspx?elementName=Component or Fixture Scheduled Serviced Date &amp;elementID=18881", "Click here to submit comment")</f>
        <v>Click here to submit comment</v>
      </c>
      <c r="R4483" s="14">
        <v>52041</v>
      </c>
    </row>
    <row r="4484" spans="1:18" ht="60" x14ac:dyDescent="0.25">
      <c r="A4484" s="14" t="s">
        <v>9226</v>
      </c>
      <c r="B4484" s="14" t="s">
        <v>8566</v>
      </c>
      <c r="C4484" s="14" t="s">
        <v>9255</v>
      </c>
      <c r="D4484" s="14" t="s">
        <v>8531</v>
      </c>
      <c r="E4484" s="14" t="s">
        <v>2758</v>
      </c>
      <c r="F4484" s="14" t="s">
        <v>2759</v>
      </c>
      <c r="G4484" s="14" t="s">
        <v>37</v>
      </c>
      <c r="H4484" s="14"/>
      <c r="I4484" s="14"/>
      <c r="J4484" s="14" t="s">
        <v>135</v>
      </c>
      <c r="K4484" s="14"/>
      <c r="L4484" s="14"/>
      <c r="M4484" s="14" t="s">
        <v>2760</v>
      </c>
      <c r="N4484" s="14"/>
      <c r="O4484" s="14" t="s">
        <v>2761</v>
      </c>
      <c r="P4484" s="14" t="str">
        <f>HYPERLINK("https://ceds.ed.gov/cedselementdetails.aspx?termid=18880")</f>
        <v>https://ceds.ed.gov/cedselementdetails.aspx?termid=18880</v>
      </c>
      <c r="Q4484" s="14" t="str">
        <f>HYPERLINK("https://ceds.ed.gov/elementComment.aspx?elementName=Component or Fixture Serviced Date &amp;elementID=18880", "Click here to submit comment")</f>
        <v>Click here to submit comment</v>
      </c>
      <c r="R4484" s="14">
        <v>52042</v>
      </c>
    </row>
    <row r="4485" spans="1:18" ht="90" x14ac:dyDescent="0.25">
      <c r="A4485" s="14" t="s">
        <v>9226</v>
      </c>
      <c r="B4485" s="14" t="s">
        <v>8566</v>
      </c>
      <c r="C4485" s="14" t="s">
        <v>9255</v>
      </c>
      <c r="D4485" s="14" t="s">
        <v>8531</v>
      </c>
      <c r="E4485" s="14" t="s">
        <v>2762</v>
      </c>
      <c r="F4485" s="14" t="s">
        <v>2763</v>
      </c>
      <c r="G4485" s="14" t="s">
        <v>37</v>
      </c>
      <c r="H4485" s="14"/>
      <c r="I4485" s="14"/>
      <c r="J4485" s="14" t="s">
        <v>1922</v>
      </c>
      <c r="K4485" s="14"/>
      <c r="L4485" s="14"/>
      <c r="M4485" s="14" t="s">
        <v>2764</v>
      </c>
      <c r="N4485" s="14"/>
      <c r="O4485" s="14" t="s">
        <v>2765</v>
      </c>
      <c r="P4485" s="14" t="str">
        <f>HYPERLINK("https://ceds.ed.gov/cedselementdetails.aspx?termid=18882")</f>
        <v>https://ceds.ed.gov/cedselementdetails.aspx?termid=18882</v>
      </c>
      <c r="Q4485" s="14" t="str">
        <f>HYPERLINK("https://ceds.ed.gov/elementComment.aspx?elementName=Component or Fixture Useful Life &amp;elementID=18882", "Click here to submit comment")</f>
        <v>Click here to submit comment</v>
      </c>
      <c r="R4485" s="14">
        <v>52043</v>
      </c>
    </row>
    <row r="4486" spans="1:18" ht="45" x14ac:dyDescent="0.25">
      <c r="A4486" s="14" t="s">
        <v>9226</v>
      </c>
      <c r="B4486" s="14" t="s">
        <v>8566</v>
      </c>
      <c r="C4486" s="14" t="s">
        <v>9256</v>
      </c>
      <c r="D4486" s="14" t="s">
        <v>8531</v>
      </c>
      <c r="E4486" s="14" t="s">
        <v>4400</v>
      </c>
      <c r="F4486" s="14" t="s">
        <v>4401</v>
      </c>
      <c r="G4486" s="14" t="s">
        <v>37</v>
      </c>
      <c r="H4486" s="14"/>
      <c r="I4486" s="14"/>
      <c r="J4486" s="14" t="s">
        <v>129</v>
      </c>
      <c r="K4486" s="14"/>
      <c r="L4486" s="14"/>
      <c r="M4486" s="14" t="s">
        <v>4402</v>
      </c>
      <c r="N4486" s="14"/>
      <c r="O4486" s="14" t="s">
        <v>4403</v>
      </c>
      <c r="P4486" s="14" t="str">
        <f>HYPERLINK("https://ceds.ed.gov/cedselementdetails.aspx?termid=18174")</f>
        <v>https://ceds.ed.gov/cedselementdetails.aspx?termid=18174</v>
      </c>
      <c r="Q4486" s="14" t="str">
        <f>HYPERLINK("https://ceds.ed.gov/elementComment.aspx?elementName=Facility Space Description &amp;elementID=18174", "Click here to submit comment")</f>
        <v>Click here to submit comment</v>
      </c>
      <c r="R4486" s="14">
        <v>48611</v>
      </c>
    </row>
    <row r="4487" spans="1:18" ht="375" x14ac:dyDescent="0.25">
      <c r="A4487" s="14" t="s">
        <v>9226</v>
      </c>
      <c r="B4487" s="14" t="s">
        <v>8566</v>
      </c>
      <c r="C4487" s="14" t="s">
        <v>9256</v>
      </c>
      <c r="D4487" s="14" t="s">
        <v>8531</v>
      </c>
      <c r="E4487" s="14" t="s">
        <v>1783</v>
      </c>
      <c r="F4487" s="14" t="s">
        <v>1784</v>
      </c>
      <c r="G4487" s="8" t="s">
        <v>9257</v>
      </c>
      <c r="H4487" s="14"/>
      <c r="I4487" s="14"/>
      <c r="J4487" s="14"/>
      <c r="K4487" s="14"/>
      <c r="L4487" s="14"/>
      <c r="M4487" s="14" t="s">
        <v>1787</v>
      </c>
      <c r="N4487" s="14"/>
      <c r="O4487" s="14" t="s">
        <v>1788</v>
      </c>
      <c r="P4487" s="14" t="str">
        <f>HYPERLINK("https://ceds.ed.gov/cedselementdetails.aspx?termid=18794")</f>
        <v>https://ceds.ed.gov/cedselementdetails.aspx?termid=18794</v>
      </c>
      <c r="Q4487" s="14" t="str">
        <f>HYPERLINK("https://ceds.ed.gov/elementComment.aspx?elementName=Building Administrative Space Type &amp;elementID=18794", "Click here to submit comment")</f>
        <v>Click here to submit comment</v>
      </c>
      <c r="R4487" s="14">
        <v>52044</v>
      </c>
    </row>
    <row r="4488" spans="1:18" ht="45" x14ac:dyDescent="0.25">
      <c r="A4488" s="14" t="s">
        <v>9226</v>
      </c>
      <c r="B4488" s="14" t="s">
        <v>8566</v>
      </c>
      <c r="C4488" s="14" t="s">
        <v>9256</v>
      </c>
      <c r="D4488" s="14" t="s">
        <v>8531</v>
      </c>
      <c r="E4488" s="14" t="s">
        <v>1795</v>
      </c>
      <c r="F4488" s="14" t="s">
        <v>1796</v>
      </c>
      <c r="G4488" s="14" t="s">
        <v>37</v>
      </c>
      <c r="H4488" s="14"/>
      <c r="I4488" s="14"/>
      <c r="J4488" s="14" t="s">
        <v>1510</v>
      </c>
      <c r="K4488" s="14"/>
      <c r="L4488" s="14"/>
      <c r="M4488" s="14" t="s">
        <v>1797</v>
      </c>
      <c r="N4488" s="14"/>
      <c r="O4488" s="14" t="s">
        <v>1798</v>
      </c>
      <c r="P4488" s="14" t="str">
        <f>HYPERLINK("https://ceds.ed.gov/cedselementdetails.aspx?termid=18815")</f>
        <v>https://ceds.ed.gov/cedselementdetails.aspx?termid=18815</v>
      </c>
      <c r="Q4488" s="14" t="str">
        <f>HYPERLINK("https://ceds.ed.gov/elementComment.aspx?elementName=Building Architect Name &amp;elementID=18815", "Click here to submit comment")</f>
        <v>Click here to submit comment</v>
      </c>
      <c r="R4488" s="14">
        <v>52045</v>
      </c>
    </row>
    <row r="4489" spans="1:18" ht="45" x14ac:dyDescent="0.25">
      <c r="A4489" s="14" t="s">
        <v>9226</v>
      </c>
      <c r="B4489" s="14" t="s">
        <v>8566</v>
      </c>
      <c r="C4489" s="14" t="s">
        <v>9256</v>
      </c>
      <c r="D4489" s="14" t="s">
        <v>8531</v>
      </c>
      <c r="E4489" s="14" t="s">
        <v>1799</v>
      </c>
      <c r="F4489" s="14" t="s">
        <v>1800</v>
      </c>
      <c r="G4489" s="14" t="s">
        <v>37</v>
      </c>
      <c r="H4489" s="14"/>
      <c r="I4489" s="14"/>
      <c r="J4489" s="14" t="s">
        <v>175</v>
      </c>
      <c r="K4489" s="14"/>
      <c r="L4489" s="14"/>
      <c r="M4489" s="14" t="s">
        <v>1801</v>
      </c>
      <c r="N4489" s="14"/>
      <c r="O4489" s="14" t="s">
        <v>1802</v>
      </c>
      <c r="P4489" s="14" t="str">
        <f>HYPERLINK("https://ceds.ed.gov/cedselementdetails.aspx?termid=18816")</f>
        <v>https://ceds.ed.gov/cedselementdetails.aspx?termid=18816</v>
      </c>
      <c r="Q4489" s="14" t="str">
        <f>HYPERLINK("https://ceds.ed.gov/elementComment.aspx?elementName=Building Architectural Firm Name &amp;elementID=18816", "Click here to submit comment")</f>
        <v>Click here to submit comment</v>
      </c>
      <c r="R4489" s="14">
        <v>52046</v>
      </c>
    </row>
    <row r="4490" spans="1:18" ht="135" x14ac:dyDescent="0.25">
      <c r="A4490" s="14" t="s">
        <v>9226</v>
      </c>
      <c r="B4490" s="14" t="s">
        <v>8566</v>
      </c>
      <c r="C4490" s="14" t="s">
        <v>9256</v>
      </c>
      <c r="D4490" s="14" t="s">
        <v>8531</v>
      </c>
      <c r="E4490" s="14" t="s">
        <v>1807</v>
      </c>
      <c r="F4490" s="14" t="s">
        <v>1808</v>
      </c>
      <c r="G4490" s="8" t="s">
        <v>9258</v>
      </c>
      <c r="H4490" s="14"/>
      <c r="I4490" s="14"/>
      <c r="J4490" s="14"/>
      <c r="K4490" s="14"/>
      <c r="L4490" s="14"/>
      <c r="M4490" s="14" t="s">
        <v>1810</v>
      </c>
      <c r="N4490" s="14"/>
      <c r="O4490" s="14" t="s">
        <v>1811</v>
      </c>
      <c r="P4490" s="14" t="str">
        <f>HYPERLINK("https://ceds.ed.gov/cedselementdetails.aspx?termid=18795")</f>
        <v>https://ceds.ed.gov/cedselementdetails.aspx?termid=18795</v>
      </c>
      <c r="Q4490" s="14" t="str">
        <f>HYPERLINK("https://ceds.ed.gov/elementComment.aspx?elementName=Building Art Specialty Space Type &amp;elementID=18795", "Click here to submit comment")</f>
        <v>Click here to submit comment</v>
      </c>
      <c r="R4490" s="14">
        <v>52047</v>
      </c>
    </row>
    <row r="4491" spans="1:18" ht="135" x14ac:dyDescent="0.25">
      <c r="A4491" s="14" t="s">
        <v>9226</v>
      </c>
      <c r="B4491" s="14" t="s">
        <v>8566</v>
      </c>
      <c r="C4491" s="14" t="s">
        <v>9256</v>
      </c>
      <c r="D4491" s="14" t="s">
        <v>8531</v>
      </c>
      <c r="E4491" s="14" t="s">
        <v>1812</v>
      </c>
      <c r="F4491" s="14" t="s">
        <v>1813</v>
      </c>
      <c r="G4491" s="8" t="s">
        <v>9259</v>
      </c>
      <c r="H4491" s="14"/>
      <c r="I4491" s="14"/>
      <c r="J4491" s="14"/>
      <c r="K4491" s="14"/>
      <c r="L4491" s="14"/>
      <c r="M4491" s="14" t="s">
        <v>1815</v>
      </c>
      <c r="N4491" s="14"/>
      <c r="O4491" s="14" t="s">
        <v>1816</v>
      </c>
      <c r="P4491" s="14" t="str">
        <f>HYPERLINK("https://ceds.ed.gov/cedselementdetails.aspx?termid=18817")</f>
        <v>https://ceds.ed.gov/cedselementdetails.aspx?termid=18817</v>
      </c>
      <c r="Q4491" s="14" t="str">
        <f>HYPERLINK("https://ceds.ed.gov/elementComment.aspx?elementName=Building Assembly Space Type &amp;elementID=18817", "Click here to submit comment")</f>
        <v>Click here to submit comment</v>
      </c>
      <c r="R4491" s="14">
        <v>52048</v>
      </c>
    </row>
    <row r="4492" spans="1:18" ht="105" x14ac:dyDescent="0.25">
      <c r="A4492" s="14" t="s">
        <v>9226</v>
      </c>
      <c r="B4492" s="14" t="s">
        <v>8566</v>
      </c>
      <c r="C4492" s="14" t="s">
        <v>9256</v>
      </c>
      <c r="D4492" s="14" t="s">
        <v>8531</v>
      </c>
      <c r="E4492" s="14" t="s">
        <v>1817</v>
      </c>
      <c r="F4492" s="14" t="s">
        <v>1818</v>
      </c>
      <c r="G4492" s="8" t="s">
        <v>9260</v>
      </c>
      <c r="H4492" s="14"/>
      <c r="I4492" s="14"/>
      <c r="J4492" s="14"/>
      <c r="K4492" s="14"/>
      <c r="L4492" s="14"/>
      <c r="M4492" s="14" t="s">
        <v>1820</v>
      </c>
      <c r="N4492" s="14"/>
      <c r="O4492" s="14" t="s">
        <v>1821</v>
      </c>
      <c r="P4492" s="14" t="str">
        <f>HYPERLINK("https://ceds.ed.gov/cedselementdetails.aspx?termid=18796")</f>
        <v>https://ceds.ed.gov/cedselementdetails.aspx?termid=18796</v>
      </c>
      <c r="Q4492" s="14" t="str">
        <f>HYPERLINK("https://ceds.ed.gov/elementComment.aspx?elementName=Building Basic Classroom Design Type &amp;elementID=18796", "Click here to submit comment")</f>
        <v>Click here to submit comment</v>
      </c>
      <c r="R4492" s="14">
        <v>52049</v>
      </c>
    </row>
    <row r="4493" spans="1:18" ht="409.5" x14ac:dyDescent="0.25">
      <c r="A4493" s="14" t="s">
        <v>9226</v>
      </c>
      <c r="B4493" s="14" t="s">
        <v>8566</v>
      </c>
      <c r="C4493" s="14" t="s">
        <v>9256</v>
      </c>
      <c r="D4493" s="14" t="s">
        <v>8531</v>
      </c>
      <c r="E4493" s="14" t="s">
        <v>1826</v>
      </c>
      <c r="F4493" s="14" t="s">
        <v>1827</v>
      </c>
      <c r="G4493" s="8" t="s">
        <v>9261</v>
      </c>
      <c r="H4493" s="14"/>
      <c r="I4493" s="14"/>
      <c r="J4493" s="14"/>
      <c r="K4493" s="14"/>
      <c r="L4493" s="14"/>
      <c r="M4493" s="14" t="s">
        <v>1829</v>
      </c>
      <c r="N4493" s="14"/>
      <c r="O4493" s="14" t="s">
        <v>1830</v>
      </c>
      <c r="P4493" s="14" t="str">
        <f>HYPERLINK("https://ceds.ed.gov/cedselementdetails.aspx?termid=18798")</f>
        <v>https://ceds.ed.gov/cedselementdetails.aspx?termid=18798</v>
      </c>
      <c r="Q4493" s="14" t="str">
        <f>HYPERLINK("https://ceds.ed.gov/elementComment.aspx?elementName=Building Career-Technical Education Space Type &amp;elementID=18798", "Click here to submit comment")</f>
        <v>Click here to submit comment</v>
      </c>
      <c r="R4493" s="14">
        <v>52050</v>
      </c>
    </row>
    <row r="4494" spans="1:18" ht="150" x14ac:dyDescent="0.25">
      <c r="A4494" s="14" t="s">
        <v>9226</v>
      </c>
      <c r="B4494" s="14" t="s">
        <v>8566</v>
      </c>
      <c r="C4494" s="14" t="s">
        <v>9256</v>
      </c>
      <c r="D4494" s="14" t="s">
        <v>8531</v>
      </c>
      <c r="E4494" s="14" t="s">
        <v>1837</v>
      </c>
      <c r="F4494" s="14" t="s">
        <v>1838</v>
      </c>
      <c r="G4494" s="8" t="s">
        <v>9262</v>
      </c>
      <c r="H4494" s="14"/>
      <c r="I4494" s="14"/>
      <c r="J4494" s="14"/>
      <c r="K4494" s="14"/>
      <c r="L4494" s="14"/>
      <c r="M4494" s="14" t="s">
        <v>1840</v>
      </c>
      <c r="N4494" s="14"/>
      <c r="O4494" s="14" t="s">
        <v>1841</v>
      </c>
      <c r="P4494" s="14" t="str">
        <f>HYPERLINK("https://ceds.ed.gov/cedselementdetails.aspx?termid=18799")</f>
        <v>https://ceds.ed.gov/cedselementdetails.aspx?termid=18799</v>
      </c>
      <c r="Q4494" s="14" t="str">
        <f>HYPERLINK("https://ceds.ed.gov/elementComment.aspx?elementName=Building Circulation Space Type &amp;elementID=18799", "Click here to submit comment")</f>
        <v>Click here to submit comment</v>
      </c>
      <c r="R4494" s="14">
        <v>52051</v>
      </c>
    </row>
    <row r="4495" spans="1:18" ht="240" x14ac:dyDescent="0.25">
      <c r="A4495" s="14" t="s">
        <v>9226</v>
      </c>
      <c r="B4495" s="14" t="s">
        <v>8566</v>
      </c>
      <c r="C4495" s="14" t="s">
        <v>9256</v>
      </c>
      <c r="D4495" s="14" t="s">
        <v>8531</v>
      </c>
      <c r="E4495" s="14" t="s">
        <v>1866</v>
      </c>
      <c r="F4495" s="14" t="s">
        <v>1867</v>
      </c>
      <c r="G4495" s="8" t="s">
        <v>9263</v>
      </c>
      <c r="H4495" s="14"/>
      <c r="I4495" s="14"/>
      <c r="J4495" s="14"/>
      <c r="K4495" s="14"/>
      <c r="L4495" s="14"/>
      <c r="M4495" s="14" t="s">
        <v>1869</v>
      </c>
      <c r="N4495" s="14"/>
      <c r="O4495" s="14" t="s">
        <v>1870</v>
      </c>
      <c r="P4495" s="14" t="str">
        <f>HYPERLINK("https://ceds.ed.gov/cedselementdetails.aspx?termid=18797")</f>
        <v>https://ceds.ed.gov/cedselementdetails.aspx?termid=18797</v>
      </c>
      <c r="Q4495" s="14" t="str">
        <f>HYPERLINK("https://ceds.ed.gov/elementComment.aspx?elementName=Building Design Type &amp;elementID=18797", "Click here to submit comment")</f>
        <v>Click here to submit comment</v>
      </c>
      <c r="R4495" s="14">
        <v>52052</v>
      </c>
    </row>
    <row r="4496" spans="1:18" ht="165" x14ac:dyDescent="0.25">
      <c r="A4496" s="14" t="s">
        <v>9226</v>
      </c>
      <c r="B4496" s="14" t="s">
        <v>8566</v>
      </c>
      <c r="C4496" s="14" t="s">
        <v>9256</v>
      </c>
      <c r="D4496" s="14" t="s">
        <v>8531</v>
      </c>
      <c r="E4496" s="14" t="s">
        <v>1890</v>
      </c>
      <c r="F4496" s="14" t="s">
        <v>1891</v>
      </c>
      <c r="G4496" s="8" t="s">
        <v>9264</v>
      </c>
      <c r="H4496" s="14"/>
      <c r="I4496" s="14"/>
      <c r="J4496" s="14"/>
      <c r="K4496" s="14"/>
      <c r="L4496" s="14"/>
      <c r="M4496" s="14" t="s">
        <v>1893</v>
      </c>
      <c r="N4496" s="14"/>
      <c r="O4496" s="14" t="s">
        <v>1894</v>
      </c>
      <c r="P4496" s="14" t="str">
        <f>HYPERLINK("https://ceds.ed.gov/cedselementdetails.aspx?termid=18800")</f>
        <v>https://ceds.ed.gov/cedselementdetails.aspx?termid=18800</v>
      </c>
      <c r="Q4496" s="14" t="str">
        <f>HYPERLINK("https://ceds.ed.gov/elementComment.aspx?elementName=Building Environmental or Energy Performance Rating Category &amp;elementID=18800", "Click here to submit comment")</f>
        <v>Click here to submit comment</v>
      </c>
      <c r="R4496" s="14">
        <v>52053</v>
      </c>
    </row>
    <row r="4497" spans="1:18" ht="315" x14ac:dyDescent="0.25">
      <c r="A4497" s="14" t="s">
        <v>9226</v>
      </c>
      <c r="B4497" s="14" t="s">
        <v>8566</v>
      </c>
      <c r="C4497" s="14" t="s">
        <v>9256</v>
      </c>
      <c r="D4497" s="14" t="s">
        <v>8531</v>
      </c>
      <c r="E4497" s="14" t="s">
        <v>1900</v>
      </c>
      <c r="F4497" s="14" t="s">
        <v>1901</v>
      </c>
      <c r="G4497" s="8" t="s">
        <v>9265</v>
      </c>
      <c r="H4497" s="14"/>
      <c r="I4497" s="14"/>
      <c r="J4497" s="14"/>
      <c r="K4497" s="14"/>
      <c r="L4497" s="14"/>
      <c r="M4497" s="14" t="s">
        <v>1903</v>
      </c>
      <c r="N4497" s="14"/>
      <c r="O4497" s="14" t="s">
        <v>1904</v>
      </c>
      <c r="P4497" s="14" t="str">
        <f>HYPERLINK("https://ceds.ed.gov/cedselementdetails.aspx?termid=18802")</f>
        <v>https://ceds.ed.gov/cedselementdetails.aspx?termid=18802</v>
      </c>
      <c r="Q4497" s="14" t="str">
        <f>HYPERLINK("https://ceds.ed.gov/elementComment.aspx?elementName=Building Food Service Space Type &amp;elementID=18802", "Click here to submit comment")</f>
        <v>Click here to submit comment</v>
      </c>
      <c r="R4497" s="14">
        <v>52054</v>
      </c>
    </row>
    <row r="4498" spans="1:18" ht="75" x14ac:dyDescent="0.25">
      <c r="A4498" s="14" t="s">
        <v>9226</v>
      </c>
      <c r="B4498" s="14" t="s">
        <v>8566</v>
      </c>
      <c r="C4498" s="14" t="s">
        <v>9256</v>
      </c>
      <c r="D4498" s="14" t="s">
        <v>8531</v>
      </c>
      <c r="E4498" s="14" t="s">
        <v>1905</v>
      </c>
      <c r="F4498" s="14" t="s">
        <v>1906</v>
      </c>
      <c r="G4498" s="8" t="s">
        <v>9266</v>
      </c>
      <c r="H4498" s="14"/>
      <c r="I4498" s="14"/>
      <c r="J4498" s="14"/>
      <c r="K4498" s="14"/>
      <c r="L4498" s="14"/>
      <c r="M4498" s="14" t="s">
        <v>1908</v>
      </c>
      <c r="N4498" s="14"/>
      <c r="O4498" s="14" t="s">
        <v>1909</v>
      </c>
      <c r="P4498" s="14" t="str">
        <f>HYPERLINK("https://ceds.ed.gov/cedselementdetails.aspx?termid=18824")</f>
        <v>https://ceds.ed.gov/cedselementdetails.aspx?termid=18824</v>
      </c>
      <c r="Q4498" s="14" t="str">
        <f>HYPERLINK("https://ceds.ed.gov/elementComment.aspx?elementName=Building Full Service Kitchen Type &amp;elementID=18824", "Click here to submit comment")</f>
        <v>Click here to submit comment</v>
      </c>
      <c r="R4498" s="14">
        <v>52055</v>
      </c>
    </row>
    <row r="4499" spans="1:18" ht="240" x14ac:dyDescent="0.25">
      <c r="A4499" s="14" t="s">
        <v>9226</v>
      </c>
      <c r="B4499" s="14" t="s">
        <v>8566</v>
      </c>
      <c r="C4499" s="14" t="s">
        <v>9256</v>
      </c>
      <c r="D4499" s="14" t="s">
        <v>8531</v>
      </c>
      <c r="E4499" s="14" t="s">
        <v>1930</v>
      </c>
      <c r="F4499" s="14" t="s">
        <v>1931</v>
      </c>
      <c r="G4499" s="8" t="s">
        <v>9267</v>
      </c>
      <c r="H4499" s="14"/>
      <c r="I4499" s="14"/>
      <c r="J4499" s="14"/>
      <c r="K4499" s="14"/>
      <c r="L4499" s="14"/>
      <c r="M4499" s="14" t="s">
        <v>1933</v>
      </c>
      <c r="N4499" s="14"/>
      <c r="O4499" s="14" t="s">
        <v>1934</v>
      </c>
      <c r="P4499" s="14" t="str">
        <f>HYPERLINK("https://ceds.ed.gov/cedselementdetails.aspx?termid=18803")</f>
        <v>https://ceds.ed.gov/cedselementdetails.aspx?termid=18803</v>
      </c>
      <c r="Q4499" s="14" t="str">
        <f>HYPERLINK("https://ceds.ed.gov/elementComment.aspx?elementName=Building Indoor Athletic or Physical Education Space Type &amp;elementID=18803", "Click here to submit comment")</f>
        <v>Click here to submit comment</v>
      </c>
      <c r="R4499" s="14">
        <v>52056</v>
      </c>
    </row>
    <row r="4500" spans="1:18" ht="135" x14ac:dyDescent="0.25">
      <c r="A4500" s="14" t="s">
        <v>9226</v>
      </c>
      <c r="B4500" s="14" t="s">
        <v>8566</v>
      </c>
      <c r="C4500" s="14" t="s">
        <v>9256</v>
      </c>
      <c r="D4500" s="14" t="s">
        <v>8531</v>
      </c>
      <c r="E4500" s="14" t="s">
        <v>1959</v>
      </c>
      <c r="F4500" s="14" t="s">
        <v>1960</v>
      </c>
      <c r="G4500" s="8" t="s">
        <v>9268</v>
      </c>
      <c r="H4500" s="14"/>
      <c r="I4500" s="14"/>
      <c r="J4500" s="14"/>
      <c r="K4500" s="14"/>
      <c r="L4500" s="14"/>
      <c r="M4500" s="14" t="s">
        <v>1962</v>
      </c>
      <c r="N4500" s="14"/>
      <c r="O4500" s="14" t="s">
        <v>1963</v>
      </c>
      <c r="P4500" s="14" t="str">
        <f>HYPERLINK("https://ceds.ed.gov/cedselementdetails.aspx?termid=18804")</f>
        <v>https://ceds.ed.gov/cedselementdetails.aspx?termid=18804</v>
      </c>
      <c r="Q4500" s="14" t="str">
        <f>HYPERLINK("https://ceds.ed.gov/elementComment.aspx?elementName=Building Library or Media Center Specialty Space Type &amp;elementID=18804", "Click here to submit comment")</f>
        <v>Click here to submit comment</v>
      </c>
      <c r="R4500" s="14">
        <v>52057</v>
      </c>
    </row>
    <row r="4501" spans="1:18" ht="270" x14ac:dyDescent="0.25">
      <c r="A4501" s="14" t="s">
        <v>9226</v>
      </c>
      <c r="B4501" s="14" t="s">
        <v>8566</v>
      </c>
      <c r="C4501" s="14" t="s">
        <v>9256</v>
      </c>
      <c r="D4501" s="14" t="s">
        <v>8531</v>
      </c>
      <c r="E4501" s="14" t="s">
        <v>1986</v>
      </c>
      <c r="F4501" s="14" t="s">
        <v>1987</v>
      </c>
      <c r="G4501" s="8" t="s">
        <v>9269</v>
      </c>
      <c r="H4501" s="14"/>
      <c r="I4501" s="14"/>
      <c r="J4501" s="14"/>
      <c r="K4501" s="14"/>
      <c r="L4501" s="14"/>
      <c r="M4501" s="14" t="s">
        <v>1989</v>
      </c>
      <c r="N4501" s="14"/>
      <c r="O4501" s="14" t="s">
        <v>1990</v>
      </c>
      <c r="P4501" s="14" t="str">
        <f>HYPERLINK("https://ceds.ed.gov/cedselementdetails.aspx?termid=18805")</f>
        <v>https://ceds.ed.gov/cedselementdetails.aspx?termid=18805</v>
      </c>
      <c r="Q4501" s="14" t="str">
        <f>HYPERLINK("https://ceds.ed.gov/elementComment.aspx?elementName=Building Operations or Maintenance Space Type &amp;elementID=18805", "Click here to submit comment")</f>
        <v>Click here to submit comment</v>
      </c>
      <c r="R4501" s="14">
        <v>52058</v>
      </c>
    </row>
    <row r="4502" spans="1:18" ht="240" x14ac:dyDescent="0.25">
      <c r="A4502" s="14" t="s">
        <v>9226</v>
      </c>
      <c r="B4502" s="14" t="s">
        <v>8566</v>
      </c>
      <c r="C4502" s="14" t="s">
        <v>9256</v>
      </c>
      <c r="D4502" s="14" t="s">
        <v>8531</v>
      </c>
      <c r="E4502" s="14" t="s">
        <v>1991</v>
      </c>
      <c r="F4502" s="14" t="s">
        <v>1992</v>
      </c>
      <c r="G4502" s="8" t="s">
        <v>9270</v>
      </c>
      <c r="H4502" s="14"/>
      <c r="I4502" s="14"/>
      <c r="J4502" s="14"/>
      <c r="K4502" s="14"/>
      <c r="L4502" s="14"/>
      <c r="M4502" s="14" t="s">
        <v>1994</v>
      </c>
      <c r="N4502" s="14"/>
      <c r="O4502" s="14" t="s">
        <v>1995</v>
      </c>
      <c r="P4502" s="14" t="str">
        <f>HYPERLINK("https://ceds.ed.gov/cedselementdetails.aspx?termid=18806")</f>
        <v>https://ceds.ed.gov/cedselementdetails.aspx?termid=18806</v>
      </c>
      <c r="Q4502" s="14" t="str">
        <f>HYPERLINK("https://ceds.ed.gov/elementComment.aspx?elementName=Building Outdoor Athletic or Physical Education Space Type &amp;elementID=18806", "Click here to submit comment")</f>
        <v>Click here to submit comment</v>
      </c>
      <c r="R4502" s="14">
        <v>52059</v>
      </c>
    </row>
    <row r="4503" spans="1:18" ht="135" x14ac:dyDescent="0.25">
      <c r="A4503" s="14" t="s">
        <v>9226</v>
      </c>
      <c r="B4503" s="14" t="s">
        <v>8566</v>
      </c>
      <c r="C4503" s="14" t="s">
        <v>9256</v>
      </c>
      <c r="D4503" s="14" t="s">
        <v>8531</v>
      </c>
      <c r="E4503" s="14" t="s">
        <v>1996</v>
      </c>
      <c r="F4503" s="14" t="s">
        <v>1997</v>
      </c>
      <c r="G4503" s="8" t="s">
        <v>9271</v>
      </c>
      <c r="H4503" s="14"/>
      <c r="I4503" s="14"/>
      <c r="J4503" s="14"/>
      <c r="K4503" s="14"/>
      <c r="L4503" s="14"/>
      <c r="M4503" s="14" t="s">
        <v>1999</v>
      </c>
      <c r="N4503" s="14"/>
      <c r="O4503" s="14" t="s">
        <v>2000</v>
      </c>
      <c r="P4503" s="14" t="str">
        <f>HYPERLINK("https://ceds.ed.gov/cedselementdetails.aspx?termid=18807")</f>
        <v>https://ceds.ed.gov/cedselementdetails.aspx?termid=18807</v>
      </c>
      <c r="Q4503" s="14" t="str">
        <f>HYPERLINK("https://ceds.ed.gov/elementComment.aspx?elementName=Building Outdoor or Non-athletic Space Type &amp;elementID=18807", "Click here to submit comment")</f>
        <v>Click here to submit comment</v>
      </c>
      <c r="R4503" s="14">
        <v>52060</v>
      </c>
    </row>
    <row r="4504" spans="1:18" ht="300" x14ac:dyDescent="0.25">
      <c r="A4504" s="14" t="s">
        <v>9226</v>
      </c>
      <c r="B4504" s="14" t="s">
        <v>8566</v>
      </c>
      <c r="C4504" s="14" t="s">
        <v>9256</v>
      </c>
      <c r="D4504" s="14" t="s">
        <v>8531</v>
      </c>
      <c r="E4504" s="14" t="s">
        <v>2001</v>
      </c>
      <c r="F4504" s="14" t="s">
        <v>2002</v>
      </c>
      <c r="G4504" s="8" t="s">
        <v>9272</v>
      </c>
      <c r="H4504" s="14"/>
      <c r="I4504" s="14"/>
      <c r="J4504" s="14"/>
      <c r="K4504" s="14"/>
      <c r="L4504" s="14"/>
      <c r="M4504" s="14" t="s">
        <v>2004</v>
      </c>
      <c r="N4504" s="14"/>
      <c r="O4504" s="14" t="s">
        <v>2005</v>
      </c>
      <c r="P4504" s="14" t="str">
        <f>HYPERLINK("https://ceds.ed.gov/cedselementdetails.aspx?termid=18808")</f>
        <v>https://ceds.ed.gov/cedselementdetails.aspx?termid=18808</v>
      </c>
      <c r="Q4504" s="14" t="str">
        <f>HYPERLINK("https://ceds.ed.gov/elementComment.aspx?elementName=Building Performing Arts Specialty Space Type &amp;elementID=18808", "Click here to submit comment")</f>
        <v>Click here to submit comment</v>
      </c>
      <c r="R4504" s="14">
        <v>52061</v>
      </c>
    </row>
    <row r="4505" spans="1:18" ht="255" x14ac:dyDescent="0.25">
      <c r="A4505" s="14" t="s">
        <v>9226</v>
      </c>
      <c r="B4505" s="14" t="s">
        <v>8566</v>
      </c>
      <c r="C4505" s="14" t="s">
        <v>9256</v>
      </c>
      <c r="D4505" s="14" t="s">
        <v>8531</v>
      </c>
      <c r="E4505" s="14" t="s">
        <v>2020</v>
      </c>
      <c r="F4505" s="14" t="s">
        <v>2021</v>
      </c>
      <c r="G4505" s="8" t="s">
        <v>9273</v>
      </c>
      <c r="H4505" s="14"/>
      <c r="I4505" s="14"/>
      <c r="J4505" s="14"/>
      <c r="K4505" s="14"/>
      <c r="L4505" s="14"/>
      <c r="M4505" s="14" t="s">
        <v>2023</v>
      </c>
      <c r="N4505" s="14"/>
      <c r="O4505" s="14" t="s">
        <v>2024</v>
      </c>
      <c r="P4505" s="14" t="str">
        <f>HYPERLINK("https://ceds.ed.gov/cedselementdetails.aspx?termid=18809")</f>
        <v>https://ceds.ed.gov/cedselementdetails.aspx?termid=18809</v>
      </c>
      <c r="Q4505" s="14" t="str">
        <f>HYPERLINK("https://ceds.ed.gov/elementComment.aspx?elementName=Building School Design Type &amp;elementID=18809", "Click here to submit comment")</f>
        <v>Click here to submit comment</v>
      </c>
      <c r="R4505" s="14">
        <v>52062</v>
      </c>
    </row>
    <row r="4506" spans="1:18" ht="210" x14ac:dyDescent="0.25">
      <c r="A4506" s="14" t="s">
        <v>9226</v>
      </c>
      <c r="B4506" s="14" t="s">
        <v>8566</v>
      </c>
      <c r="C4506" s="14" t="s">
        <v>9256</v>
      </c>
      <c r="D4506" s="14" t="s">
        <v>8531</v>
      </c>
      <c r="E4506" s="14" t="s">
        <v>2025</v>
      </c>
      <c r="F4506" s="14" t="s">
        <v>2026</v>
      </c>
      <c r="G4506" s="8" t="s">
        <v>9274</v>
      </c>
      <c r="H4506" s="14"/>
      <c r="I4506" s="14"/>
      <c r="J4506" s="14"/>
      <c r="K4506" s="14"/>
      <c r="L4506" s="14"/>
      <c r="M4506" s="14" t="s">
        <v>2028</v>
      </c>
      <c r="N4506" s="14"/>
      <c r="O4506" s="14" t="s">
        <v>2029</v>
      </c>
      <c r="P4506" s="14" t="str">
        <f>HYPERLINK("https://ceds.ed.gov/cedselementdetails.aspx?termid=18810")</f>
        <v>https://ceds.ed.gov/cedselementdetails.aspx?termid=18810</v>
      </c>
      <c r="Q4506" s="14" t="str">
        <f>HYPERLINK("https://ceds.ed.gov/elementComment.aspx?elementName=Building Science Specialty Space Type &amp;elementID=18810", "Click here to submit comment")</f>
        <v>Click here to submit comment</v>
      </c>
      <c r="R4506" s="14">
        <v>52063</v>
      </c>
    </row>
    <row r="4507" spans="1:18" ht="45" x14ac:dyDescent="0.25">
      <c r="A4507" s="14" t="s">
        <v>9226</v>
      </c>
      <c r="B4507" s="14" t="s">
        <v>8566</v>
      </c>
      <c r="C4507" s="14" t="s">
        <v>9256</v>
      </c>
      <c r="D4507" s="14" t="s">
        <v>8531</v>
      </c>
      <c r="E4507" s="14" t="s">
        <v>2035</v>
      </c>
      <c r="F4507" s="14" t="s">
        <v>2036</v>
      </c>
      <c r="G4507" s="14" t="s">
        <v>37</v>
      </c>
      <c r="H4507" s="14"/>
      <c r="I4507" s="14"/>
      <c r="J4507" s="14" t="s">
        <v>62</v>
      </c>
      <c r="K4507" s="14"/>
      <c r="L4507" s="14"/>
      <c r="M4507" s="14" t="s">
        <v>2037</v>
      </c>
      <c r="N4507" s="14"/>
      <c r="O4507" s="14" t="s">
        <v>2038</v>
      </c>
      <c r="P4507" s="14" t="str">
        <f>HYPERLINK("https://ceds.ed.gov/cedselementdetails.aspx?termid=18831")</f>
        <v>https://ceds.ed.gov/cedselementdetails.aspx?termid=18831</v>
      </c>
      <c r="Q4507" s="14" t="str">
        <f>HYPERLINK("https://ceds.ed.gov/elementComment.aspx?elementName=Building Site Improvement Description &amp;elementID=18831", "Click here to submit comment")</f>
        <v>Click here to submit comment</v>
      </c>
      <c r="R4507" s="14">
        <v>52064</v>
      </c>
    </row>
    <row r="4508" spans="1:18" ht="255" x14ac:dyDescent="0.25">
      <c r="A4508" s="14" t="s">
        <v>9226</v>
      </c>
      <c r="B4508" s="14" t="s">
        <v>8566</v>
      </c>
      <c r="C4508" s="14" t="s">
        <v>9256</v>
      </c>
      <c r="D4508" s="14" t="s">
        <v>8531</v>
      </c>
      <c r="E4508" s="14" t="s">
        <v>2049</v>
      </c>
      <c r="F4508" s="14" t="s">
        <v>2050</v>
      </c>
      <c r="G4508" s="8" t="s">
        <v>9275</v>
      </c>
      <c r="H4508" s="14"/>
      <c r="I4508" s="14"/>
      <c r="J4508" s="14"/>
      <c r="K4508" s="14"/>
      <c r="L4508" s="14"/>
      <c r="M4508" s="14" t="s">
        <v>2052</v>
      </c>
      <c r="N4508" s="14"/>
      <c r="O4508" s="14" t="s">
        <v>2053</v>
      </c>
      <c r="P4508" s="14" t="str">
        <f>HYPERLINK("https://ceds.ed.gov/cedselementdetails.aspx?termid=18812")</f>
        <v>https://ceds.ed.gov/cedselementdetails.aspx?termid=18812</v>
      </c>
      <c r="Q4508" s="14" t="str">
        <f>HYPERLINK("https://ceds.ed.gov/elementComment.aspx?elementName=Building Space Design Type &amp;elementID=18812", "Click here to submit comment")</f>
        <v>Click here to submit comment</v>
      </c>
      <c r="R4508" s="14">
        <v>52065</v>
      </c>
    </row>
    <row r="4509" spans="1:18" ht="135" x14ac:dyDescent="0.25">
      <c r="A4509" s="14" t="s">
        <v>9226</v>
      </c>
      <c r="B4509" s="14" t="s">
        <v>8566</v>
      </c>
      <c r="C4509" s="14" t="s">
        <v>9256</v>
      </c>
      <c r="D4509" s="14" t="s">
        <v>8531</v>
      </c>
      <c r="E4509" s="14" t="s">
        <v>2058</v>
      </c>
      <c r="F4509" s="14" t="s">
        <v>2059</v>
      </c>
      <c r="G4509" s="8" t="s">
        <v>9276</v>
      </c>
      <c r="H4509" s="14"/>
      <c r="I4509" s="14"/>
      <c r="J4509" s="14"/>
      <c r="K4509" s="14"/>
      <c r="L4509" s="14"/>
      <c r="M4509" s="14" t="s">
        <v>2061</v>
      </c>
      <c r="N4509" s="14"/>
      <c r="O4509" s="14" t="s">
        <v>2062</v>
      </c>
      <c r="P4509" s="14" t="str">
        <f>HYPERLINK("https://ceds.ed.gov/cedselementdetails.aspx?termid=18813")</f>
        <v>https://ceds.ed.gov/cedselementdetails.aspx?termid=18813</v>
      </c>
      <c r="Q4509" s="14" t="str">
        <f>HYPERLINK("https://ceds.ed.gov/elementComment.aspx?elementName=Building Special Education Specialty Space Type &amp;elementID=18813", "Click here to submit comment")</f>
        <v>Click here to submit comment</v>
      </c>
      <c r="R4509" s="14">
        <v>52066</v>
      </c>
    </row>
    <row r="4510" spans="1:18" ht="165" x14ac:dyDescent="0.25">
      <c r="A4510" s="14" t="s">
        <v>9226</v>
      </c>
      <c r="B4510" s="14" t="s">
        <v>8566</v>
      </c>
      <c r="C4510" s="14" t="s">
        <v>9256</v>
      </c>
      <c r="D4510" s="14" t="s">
        <v>8531</v>
      </c>
      <c r="E4510" s="14" t="s">
        <v>2063</v>
      </c>
      <c r="F4510" s="14" t="s">
        <v>2064</v>
      </c>
      <c r="G4510" s="8" t="s">
        <v>9277</v>
      </c>
      <c r="H4510" s="14"/>
      <c r="I4510" s="14"/>
      <c r="J4510" s="14"/>
      <c r="K4510" s="14"/>
      <c r="L4510" s="14"/>
      <c r="M4510" s="14" t="s">
        <v>2066</v>
      </c>
      <c r="N4510" s="14"/>
      <c r="O4510" s="14" t="s">
        <v>2067</v>
      </c>
      <c r="P4510" s="14" t="str">
        <f>HYPERLINK("https://ceds.ed.gov/cedselementdetails.aspx?termid=18814")</f>
        <v>https://ceds.ed.gov/cedselementdetails.aspx?termid=18814</v>
      </c>
      <c r="Q4510" s="14" t="str">
        <f>HYPERLINK("https://ceds.ed.gov/elementComment.aspx?elementName=Building Student Support Space Type &amp;elementID=18814", "Click here to submit comment")</f>
        <v>Click here to submit comment</v>
      </c>
      <c r="R4510" s="14">
        <v>52067</v>
      </c>
    </row>
    <row r="4511" spans="1:18" ht="60" x14ac:dyDescent="0.25">
      <c r="A4511" s="14" t="s">
        <v>9226</v>
      </c>
      <c r="B4511" s="14" t="s">
        <v>8566</v>
      </c>
      <c r="C4511" s="14" t="s">
        <v>9256</v>
      </c>
      <c r="D4511" s="14" t="s">
        <v>8531</v>
      </c>
      <c r="E4511" s="14" t="s">
        <v>4222</v>
      </c>
      <c r="F4511" s="14" t="s">
        <v>4223</v>
      </c>
      <c r="G4511" s="14" t="s">
        <v>37</v>
      </c>
      <c r="H4511" s="14"/>
      <c r="I4511" s="14"/>
      <c r="J4511" s="14" t="s">
        <v>135</v>
      </c>
      <c r="K4511" s="14"/>
      <c r="L4511" s="14"/>
      <c r="M4511" s="14" t="s">
        <v>4224</v>
      </c>
      <c r="N4511" s="14"/>
      <c r="O4511" s="14" t="s">
        <v>4225</v>
      </c>
      <c r="P4511" s="14" t="str">
        <f>HYPERLINK("https://ceds.ed.gov/cedselementdetails.aspx?termid=18818")</f>
        <v>https://ceds.ed.gov/cedselementdetails.aspx?termid=18818</v>
      </c>
      <c r="Q4511" s="14" t="str">
        <f>HYPERLINK("https://ceds.ed.gov/elementComment.aspx?elementName=Facility Compliance Determination Date &amp;elementID=18818", "Click here to submit comment")</f>
        <v>Click here to submit comment</v>
      </c>
      <c r="R4511" s="14">
        <v>52068</v>
      </c>
    </row>
    <row r="4512" spans="1:18" ht="75" x14ac:dyDescent="0.25">
      <c r="A4512" s="14" t="s">
        <v>9226</v>
      </c>
      <c r="B4512" s="14" t="s">
        <v>8566</v>
      </c>
      <c r="C4512" s="14" t="s">
        <v>9256</v>
      </c>
      <c r="D4512" s="14" t="s">
        <v>8531</v>
      </c>
      <c r="E4512" s="14" t="s">
        <v>4226</v>
      </c>
      <c r="F4512" s="14" t="s">
        <v>4227</v>
      </c>
      <c r="G4512" s="14" t="s">
        <v>37</v>
      </c>
      <c r="H4512" s="14"/>
      <c r="I4512" s="14"/>
      <c r="J4512" s="14" t="s">
        <v>62</v>
      </c>
      <c r="K4512" s="14"/>
      <c r="L4512" s="14"/>
      <c r="M4512" s="14" t="s">
        <v>4228</v>
      </c>
      <c r="N4512" s="14"/>
      <c r="O4512" s="14" t="s">
        <v>4229</v>
      </c>
      <c r="P4512" s="14" t="str">
        <f>HYPERLINK("https://ceds.ed.gov/cedselementdetails.aspx?termid=18819")</f>
        <v>https://ceds.ed.gov/cedselementdetails.aspx?termid=18819</v>
      </c>
      <c r="Q4512" s="14" t="str">
        <f>HYPERLINK("https://ceds.ed.gov/elementComment.aspx?elementName=Facility Compliance Name &amp;elementID=18819", "Click here to submit comment")</f>
        <v>Click here to submit comment</v>
      </c>
      <c r="R4512" s="14">
        <v>52069</v>
      </c>
    </row>
    <row r="4513" spans="1:18" ht="60" x14ac:dyDescent="0.25">
      <c r="A4513" s="14" t="s">
        <v>9226</v>
      </c>
      <c r="B4513" s="14" t="s">
        <v>8566</v>
      </c>
      <c r="C4513" s="14" t="s">
        <v>9256</v>
      </c>
      <c r="D4513" s="14" t="s">
        <v>8531</v>
      </c>
      <c r="E4513" s="14" t="s">
        <v>4235</v>
      </c>
      <c r="F4513" s="14" t="s">
        <v>4236</v>
      </c>
      <c r="G4513" s="14" t="s">
        <v>37</v>
      </c>
      <c r="H4513" s="14"/>
      <c r="I4513" s="14"/>
      <c r="J4513" s="14" t="s">
        <v>62</v>
      </c>
      <c r="K4513" s="14"/>
      <c r="L4513" s="14"/>
      <c r="M4513" s="14" t="s">
        <v>4237</v>
      </c>
      <c r="N4513" s="14"/>
      <c r="O4513" s="14" t="s">
        <v>4238</v>
      </c>
      <c r="P4513" s="14" t="str">
        <f>HYPERLINK("https://ceds.ed.gov/cedselementdetails.aspx?termid=18820")</f>
        <v>https://ceds.ed.gov/cedselementdetails.aspx?termid=18820</v>
      </c>
      <c r="Q4513" s="14" t="str">
        <f>HYPERLINK("https://ceds.ed.gov/elementComment.aspx?elementName=Facility Component Deficiency Description &amp;elementID=18820", "Click here to submit comment")</f>
        <v>Click here to submit comment</v>
      </c>
      <c r="R4513" s="14">
        <v>52070</v>
      </c>
    </row>
    <row r="4514" spans="1:18" ht="60" x14ac:dyDescent="0.25">
      <c r="A4514" s="14" t="s">
        <v>9226</v>
      </c>
      <c r="B4514" s="14" t="s">
        <v>8566</v>
      </c>
      <c r="C4514" s="14" t="s">
        <v>9256</v>
      </c>
      <c r="D4514" s="14" t="s">
        <v>8531</v>
      </c>
      <c r="E4514" s="14" t="s">
        <v>4239</v>
      </c>
      <c r="F4514" s="14" t="s">
        <v>4240</v>
      </c>
      <c r="G4514" s="14" t="s">
        <v>37</v>
      </c>
      <c r="H4514" s="14"/>
      <c r="I4514" s="14"/>
      <c r="J4514" s="14" t="s">
        <v>97</v>
      </c>
      <c r="K4514" s="14"/>
      <c r="L4514" s="14"/>
      <c r="M4514" s="14" t="s">
        <v>4241</v>
      </c>
      <c r="N4514" s="14"/>
      <c r="O4514" s="14" t="s">
        <v>4242</v>
      </c>
      <c r="P4514" s="14" t="str">
        <f>HYPERLINK("https://ceds.ed.gov/cedselementdetails.aspx?termid=18821")</f>
        <v>https://ceds.ed.gov/cedselementdetails.aspx?termid=18821</v>
      </c>
      <c r="Q4514" s="14" t="str">
        <f>HYPERLINK("https://ceds.ed.gov/elementComment.aspx?elementName=Facility Component Identification Code &amp;elementID=18821", "Click here to submit comment")</f>
        <v>Click here to submit comment</v>
      </c>
      <c r="R4514" s="14">
        <v>52071</v>
      </c>
    </row>
    <row r="4515" spans="1:18" ht="45" x14ac:dyDescent="0.25">
      <c r="A4515" s="14" t="s">
        <v>9226</v>
      </c>
      <c r="B4515" s="14" t="s">
        <v>8566</v>
      </c>
      <c r="C4515" s="14" t="s">
        <v>9256</v>
      </c>
      <c r="D4515" s="14" t="s">
        <v>8531</v>
      </c>
      <c r="E4515" s="14" t="s">
        <v>4265</v>
      </c>
      <c r="F4515" s="14" t="s">
        <v>4266</v>
      </c>
      <c r="G4515" s="14" t="s">
        <v>37</v>
      </c>
      <c r="H4515" s="14"/>
      <c r="I4515" s="14"/>
      <c r="J4515" s="14" t="s">
        <v>1710</v>
      </c>
      <c r="K4515" s="14"/>
      <c r="L4515" s="14"/>
      <c r="M4515" s="14" t="s">
        <v>4267</v>
      </c>
      <c r="N4515" s="14"/>
      <c r="O4515" s="14" t="s">
        <v>4268</v>
      </c>
      <c r="P4515" s="14" t="str">
        <f>HYPERLINK("https://ceds.ed.gov/cedselementdetails.aspx?termid=18822")</f>
        <v>https://ceds.ed.gov/cedselementdetails.aspx?termid=18822</v>
      </c>
      <c r="Q4515" s="14" t="str">
        <f>HYPERLINK("https://ceds.ed.gov/elementComment.aspx?elementName=Facility Estimated Cost to Eliminate Deferred Maintenance &amp;elementID=18822", "Click here to submit comment")</f>
        <v>Click here to submit comment</v>
      </c>
      <c r="R4515" s="14">
        <v>52072</v>
      </c>
    </row>
    <row r="4516" spans="1:18" ht="105" x14ac:dyDescent="0.25">
      <c r="A4516" s="14" t="s">
        <v>9226</v>
      </c>
      <c r="B4516" s="14" t="s">
        <v>8566</v>
      </c>
      <c r="C4516" s="14" t="s">
        <v>9256</v>
      </c>
      <c r="D4516" s="14" t="s">
        <v>8531</v>
      </c>
      <c r="E4516" s="14" t="s">
        <v>4284</v>
      </c>
      <c r="F4516" s="14" t="s">
        <v>4285</v>
      </c>
      <c r="G4516" s="8" t="s">
        <v>9278</v>
      </c>
      <c r="H4516" s="14"/>
      <c r="I4516" s="14"/>
      <c r="J4516" s="14"/>
      <c r="K4516" s="14"/>
      <c r="L4516" s="14"/>
      <c r="M4516" s="14" t="s">
        <v>4287</v>
      </c>
      <c r="N4516" s="14"/>
      <c r="O4516" s="14" t="s">
        <v>4288</v>
      </c>
      <c r="P4516" s="14" t="str">
        <f>HYPERLINK("https://ceds.ed.gov/cedselementdetails.aspx?termid=18801")</f>
        <v>https://ceds.ed.gov/cedselementdetails.aspx?termid=18801</v>
      </c>
      <c r="Q4516" s="14" t="str">
        <f>HYPERLINK("https://ceds.ed.gov/elementComment.aspx?elementName=Facility Furnishings Type &amp;elementID=18801", "Click here to submit comment")</f>
        <v>Click here to submit comment</v>
      </c>
      <c r="R4516" s="14">
        <v>52073</v>
      </c>
    </row>
    <row r="4517" spans="1:18" ht="45" x14ac:dyDescent="0.25">
      <c r="A4517" s="14" t="s">
        <v>9226</v>
      </c>
      <c r="B4517" s="14" t="s">
        <v>8566</v>
      </c>
      <c r="C4517" s="14" t="s">
        <v>9256</v>
      </c>
      <c r="D4517" s="14" t="s">
        <v>8531</v>
      </c>
      <c r="E4517" s="14" t="s">
        <v>4289</v>
      </c>
      <c r="F4517" s="14" t="s">
        <v>4290</v>
      </c>
      <c r="G4517" s="14" t="s">
        <v>37</v>
      </c>
      <c r="H4517" s="14"/>
      <c r="I4517" s="14"/>
      <c r="J4517" s="14" t="s">
        <v>135</v>
      </c>
      <c r="K4517" s="14"/>
      <c r="L4517" s="14"/>
      <c r="M4517" s="14" t="s">
        <v>4291</v>
      </c>
      <c r="N4517" s="14"/>
      <c r="O4517" s="14" t="s">
        <v>4292</v>
      </c>
      <c r="P4517" s="14" t="str">
        <f>HYPERLINK("https://ceds.ed.gov/cedselementdetails.aspx?termid=18823")</f>
        <v>https://ceds.ed.gov/cedselementdetails.aspx?termid=18823</v>
      </c>
      <c r="Q4517" s="14" t="str">
        <f>HYPERLINK("https://ceds.ed.gov/elementComment.aspx?elementName=Facility Hazardous Condition Expected Remediation Date &amp;elementID=18823", "Click here to submit comment")</f>
        <v>Click here to submit comment</v>
      </c>
      <c r="R4517" s="14">
        <v>52074</v>
      </c>
    </row>
    <row r="4518" spans="1:18" ht="45" x14ac:dyDescent="0.25">
      <c r="A4518" s="14" t="s">
        <v>9226</v>
      </c>
      <c r="B4518" s="14" t="s">
        <v>8566</v>
      </c>
      <c r="C4518" s="14" t="s">
        <v>9256</v>
      </c>
      <c r="D4518" s="14" t="s">
        <v>8531</v>
      </c>
      <c r="E4518" s="14" t="s">
        <v>4298</v>
      </c>
      <c r="F4518" s="14" t="s">
        <v>4299</v>
      </c>
      <c r="G4518" s="14" t="s">
        <v>37</v>
      </c>
      <c r="H4518" s="14"/>
      <c r="I4518" s="14"/>
      <c r="J4518" s="14" t="s">
        <v>1468</v>
      </c>
      <c r="K4518" s="14"/>
      <c r="L4518" s="14"/>
      <c r="M4518" s="14" t="s">
        <v>4300</v>
      </c>
      <c r="N4518" s="14"/>
      <c r="O4518" s="14" t="s">
        <v>4301</v>
      </c>
      <c r="P4518" s="14" t="str">
        <f>HYPERLINK("https://ceds.ed.gov/cedselementdetails.aspx?termid=18827")</f>
        <v>https://ceds.ed.gov/cedselementdetails.aspx?termid=18827</v>
      </c>
      <c r="Q4518" s="14" t="str">
        <f>HYPERLINK("https://ceds.ed.gov/elementComment.aspx?elementName=Facility Inspection Score Result Description &amp;elementID=18827", "Click here to submit comment")</f>
        <v>Click here to submit comment</v>
      </c>
      <c r="R4518" s="14">
        <v>52075</v>
      </c>
    </row>
    <row r="4519" spans="1:18" ht="45" x14ac:dyDescent="0.25">
      <c r="A4519" s="14" t="s">
        <v>9226</v>
      </c>
      <c r="B4519" s="14" t="s">
        <v>8566</v>
      </c>
      <c r="C4519" s="14" t="s">
        <v>9256</v>
      </c>
      <c r="D4519" s="14" t="s">
        <v>8531</v>
      </c>
      <c r="E4519" s="14" t="s">
        <v>4302</v>
      </c>
      <c r="F4519" s="14" t="s">
        <v>4303</v>
      </c>
      <c r="G4519" s="14" t="s">
        <v>37</v>
      </c>
      <c r="H4519" s="14"/>
      <c r="I4519" s="14"/>
      <c r="J4519" s="14" t="s">
        <v>62</v>
      </c>
      <c r="K4519" s="14"/>
      <c r="L4519" s="14"/>
      <c r="M4519" s="14" t="s">
        <v>4304</v>
      </c>
      <c r="N4519" s="14"/>
      <c r="O4519" s="14" t="s">
        <v>4305</v>
      </c>
      <c r="P4519" s="14" t="str">
        <f>HYPERLINK("https://ceds.ed.gov/cedselementdetails.aspx?termid=18828")</f>
        <v>https://ceds.ed.gov/cedselementdetails.aspx?termid=18828</v>
      </c>
      <c r="Q4519" s="14" t="str">
        <f>HYPERLINK("https://ceds.ed.gov/elementComment.aspx?elementName=Facility Inspection Violation Description &amp;elementID=18828", "Click here to submit comment")</f>
        <v>Click here to submit comment</v>
      </c>
      <c r="R4519" s="14">
        <v>52076</v>
      </c>
    </row>
    <row r="4520" spans="1:18" ht="270" x14ac:dyDescent="0.25">
      <c r="A4520" s="14" t="s">
        <v>9226</v>
      </c>
      <c r="B4520" s="14" t="s">
        <v>8566</v>
      </c>
      <c r="C4520" s="14" t="s">
        <v>9256</v>
      </c>
      <c r="D4520" s="14" t="s">
        <v>8531</v>
      </c>
      <c r="E4520" s="14" t="s">
        <v>4395</v>
      </c>
      <c r="F4520" s="14" t="s">
        <v>4396</v>
      </c>
      <c r="G4520" s="8" t="s">
        <v>9279</v>
      </c>
      <c r="H4520" s="14"/>
      <c r="I4520" s="14"/>
      <c r="J4520" s="14"/>
      <c r="K4520" s="14"/>
      <c r="L4520" s="14"/>
      <c r="M4520" s="14" t="s">
        <v>4398</v>
      </c>
      <c r="N4520" s="14"/>
      <c r="O4520" s="14" t="s">
        <v>4399</v>
      </c>
      <c r="P4520" s="14" t="str">
        <f>HYPERLINK("https://ceds.ed.gov/cedselementdetails.aspx?termid=18811")</f>
        <v>https://ceds.ed.gov/cedselementdetails.aspx?termid=18811</v>
      </c>
      <c r="Q4520" s="14" t="str">
        <f>HYPERLINK("https://ceds.ed.gov/elementComment.aspx?elementName=Facility Site Outdoor Area Type &amp;elementID=18811", "Click here to submit comment")</f>
        <v>Click here to submit comment</v>
      </c>
      <c r="R4520" s="14">
        <v>52077</v>
      </c>
    </row>
    <row r="4521" spans="1:18" ht="45" x14ac:dyDescent="0.25">
      <c r="A4521" s="14" t="s">
        <v>9226</v>
      </c>
      <c r="B4521" s="14" t="s">
        <v>8566</v>
      </c>
      <c r="C4521" s="14" t="s">
        <v>9256</v>
      </c>
      <c r="D4521" s="14" t="s">
        <v>8531</v>
      </c>
      <c r="E4521" s="14" t="s">
        <v>4922</v>
      </c>
      <c r="F4521" s="14" t="s">
        <v>4923</v>
      </c>
      <c r="G4521" s="14" t="s">
        <v>37</v>
      </c>
      <c r="H4521" s="14"/>
      <c r="I4521" s="14"/>
      <c r="J4521" s="14" t="s">
        <v>62</v>
      </c>
      <c r="K4521" s="14"/>
      <c r="L4521" s="14"/>
      <c r="M4521" s="14" t="s">
        <v>4924</v>
      </c>
      <c r="N4521" s="14"/>
      <c r="O4521" s="14" t="s">
        <v>4925</v>
      </c>
      <c r="P4521" s="14" t="str">
        <f>HYPERLINK("https://ceds.ed.gov/cedselementdetails.aspx?termid=18825")</f>
        <v>https://ceds.ed.gov/cedselementdetails.aspx?termid=18825</v>
      </c>
      <c r="Q4521" s="14" t="str">
        <f>HYPERLINK("https://ceds.ed.gov/elementComment.aspx?elementName=Hazardous Material or Condition Description &amp;elementID=18825", "Click here to submit comment")</f>
        <v>Click here to submit comment</v>
      </c>
      <c r="R4521" s="14">
        <v>52078</v>
      </c>
    </row>
    <row r="4522" spans="1:18" ht="45" x14ac:dyDescent="0.25">
      <c r="A4522" s="14" t="s">
        <v>9226</v>
      </c>
      <c r="B4522" s="14" t="s">
        <v>8566</v>
      </c>
      <c r="C4522" s="14" t="s">
        <v>9256</v>
      </c>
      <c r="D4522" s="14" t="s">
        <v>8531</v>
      </c>
      <c r="E4522" s="14" t="s">
        <v>4926</v>
      </c>
      <c r="F4522" s="14" t="s">
        <v>4927</v>
      </c>
      <c r="G4522" s="14" t="s">
        <v>37</v>
      </c>
      <c r="H4522" s="14"/>
      <c r="I4522" s="14"/>
      <c r="J4522" s="14" t="s">
        <v>135</v>
      </c>
      <c r="K4522" s="14"/>
      <c r="L4522" s="14"/>
      <c r="M4522" s="14" t="s">
        <v>4928</v>
      </c>
      <c r="N4522" s="14"/>
      <c r="O4522" s="14" t="s">
        <v>4929</v>
      </c>
      <c r="P4522" s="14" t="str">
        <f>HYPERLINK("https://ceds.ed.gov/cedselementdetails.aspx?termid=18826")</f>
        <v>https://ceds.ed.gov/cedselementdetails.aspx?termid=18826</v>
      </c>
      <c r="Q4522" s="14" t="str">
        <f>HYPERLINK("https://ceds.ed.gov/elementComment.aspx?elementName=Hazardous Material or Condition Testing Date &amp;elementID=18826", "Click here to submit comment")</f>
        <v>Click here to submit comment</v>
      </c>
      <c r="R4522" s="14">
        <v>52079</v>
      </c>
    </row>
    <row r="4523" spans="1:18" ht="45" x14ac:dyDescent="0.25">
      <c r="A4523" s="14" t="s">
        <v>9226</v>
      </c>
      <c r="B4523" s="14" t="s">
        <v>8566</v>
      </c>
      <c r="C4523" s="14" t="s">
        <v>9256</v>
      </c>
      <c r="D4523" s="14" t="s">
        <v>8531</v>
      </c>
      <c r="E4523" s="14" t="s">
        <v>5476</v>
      </c>
      <c r="F4523" s="14" t="s">
        <v>5477</v>
      </c>
      <c r="G4523" s="14" t="s">
        <v>37</v>
      </c>
      <c r="H4523" s="14"/>
      <c r="I4523" s="14"/>
      <c r="J4523" s="14" t="s">
        <v>2094</v>
      </c>
      <c r="K4523" s="14"/>
      <c r="L4523" s="14"/>
      <c r="M4523" s="14" t="s">
        <v>5478</v>
      </c>
      <c r="N4523" s="14"/>
      <c r="O4523" s="14" t="s">
        <v>5479</v>
      </c>
      <c r="P4523" s="14" t="str">
        <f>HYPERLINK("https://ceds.ed.gov/cedselementdetails.aspx?termid=18829")</f>
        <v>https://ceds.ed.gov/cedselementdetails.aspx?termid=18829</v>
      </c>
      <c r="Q4523" s="14" t="str">
        <f>HYPERLINK("https://ceds.ed.gov/elementComment.aspx?elementName=Installation Date &amp;elementID=18829", "Click here to submit comment")</f>
        <v>Click here to submit comment</v>
      </c>
      <c r="R4523" s="14">
        <v>52080</v>
      </c>
    </row>
    <row r="4524" spans="1:18" ht="60" x14ac:dyDescent="0.25">
      <c r="A4524" s="14" t="s">
        <v>9226</v>
      </c>
      <c r="B4524" s="14" t="s">
        <v>8566</v>
      </c>
      <c r="C4524" s="14" t="s">
        <v>9256</v>
      </c>
      <c r="D4524" s="14" t="s">
        <v>8531</v>
      </c>
      <c r="E4524" s="14" t="s">
        <v>6096</v>
      </c>
      <c r="F4524" s="14" t="s">
        <v>6097</v>
      </c>
      <c r="G4524" s="14" t="s">
        <v>37</v>
      </c>
      <c r="H4524" s="14"/>
      <c r="I4524" s="14"/>
      <c r="J4524" s="14" t="s">
        <v>1710</v>
      </c>
      <c r="K4524" s="14"/>
      <c r="L4524" s="14"/>
      <c r="M4524" s="14" t="s">
        <v>6098</v>
      </c>
      <c r="N4524" s="14"/>
      <c r="O4524" s="14" t="s">
        <v>6099</v>
      </c>
      <c r="P4524" s="14" t="str">
        <f>HYPERLINK("https://ceds.ed.gov/cedselementdetails.aspx?termid=18830")</f>
        <v>https://ceds.ed.gov/cedselementdetails.aspx?termid=18830</v>
      </c>
      <c r="Q4524" s="14" t="str">
        <f>HYPERLINK("https://ceds.ed.gov/elementComment.aspx?elementName=Life-cycle Cost &amp;elementID=18830", "Click here to submit comment")</f>
        <v>Click here to submit comment</v>
      </c>
      <c r="R4524" s="14">
        <v>52081</v>
      </c>
    </row>
    <row r="4525" spans="1:18" ht="360" x14ac:dyDescent="0.25">
      <c r="A4525" s="14" t="s">
        <v>9226</v>
      </c>
      <c r="B4525" s="14" t="s">
        <v>8566</v>
      </c>
      <c r="C4525" s="14" t="s">
        <v>9280</v>
      </c>
      <c r="D4525" s="14" t="s">
        <v>8531</v>
      </c>
      <c r="E4525" s="14" t="s">
        <v>2082</v>
      </c>
      <c r="F4525" s="14" t="s">
        <v>2083</v>
      </c>
      <c r="G4525" s="8" t="s">
        <v>9281</v>
      </c>
      <c r="H4525" s="14"/>
      <c r="I4525" s="14"/>
      <c r="J4525" s="14"/>
      <c r="K4525" s="14"/>
      <c r="L4525" s="14"/>
      <c r="M4525" s="14" t="s">
        <v>2085</v>
      </c>
      <c r="N4525" s="14"/>
      <c r="O4525" s="14" t="s">
        <v>2086</v>
      </c>
      <c r="P4525" s="14" t="str">
        <f>HYPERLINK("https://ceds.ed.gov/cedselementdetails.aspx?termid=18173")</f>
        <v>https://ceds.ed.gov/cedselementdetails.aspx?termid=18173</v>
      </c>
      <c r="Q4525" s="14" t="str">
        <f>HYPERLINK("https://ceds.ed.gov/elementComment.aspx?elementName=Building Use Type &amp;elementID=18173", "Click here to submit comment")</f>
        <v>Click here to submit comment</v>
      </c>
      <c r="R4525" s="14">
        <v>48610</v>
      </c>
    </row>
    <row r="4526" spans="1:18" ht="255" x14ac:dyDescent="0.25">
      <c r="A4526" s="14" t="s">
        <v>9226</v>
      </c>
      <c r="B4526" s="14" t="s">
        <v>8566</v>
      </c>
      <c r="C4526" s="14" t="s">
        <v>9280</v>
      </c>
      <c r="D4526" s="14" t="s">
        <v>8531</v>
      </c>
      <c r="E4526" s="14" t="s">
        <v>4404</v>
      </c>
      <c r="F4526" s="14" t="s">
        <v>4405</v>
      </c>
      <c r="G4526" s="8" t="s">
        <v>9282</v>
      </c>
      <c r="H4526" s="14"/>
      <c r="I4526" s="14"/>
      <c r="J4526" s="14"/>
      <c r="K4526" s="14"/>
      <c r="L4526" s="14"/>
      <c r="M4526" s="14" t="s">
        <v>4407</v>
      </c>
      <c r="N4526" s="14"/>
      <c r="O4526" s="14" t="s">
        <v>4408</v>
      </c>
      <c r="P4526" s="14" t="str">
        <f>HYPERLINK("https://ceds.ed.gov/cedselementdetails.aspx?termid=18175")</f>
        <v>https://ceds.ed.gov/cedselementdetails.aspx?termid=18175</v>
      </c>
      <c r="Q4526" s="14" t="str">
        <f>HYPERLINK("https://ceds.ed.gov/elementComment.aspx?elementName=Facility Space Use Type &amp;elementID=18175", "Click here to submit comment")</f>
        <v>Click here to submit comment</v>
      </c>
      <c r="R4526" s="14">
        <v>48612</v>
      </c>
    </row>
    <row r="4527" spans="1:18" ht="45" x14ac:dyDescent="0.25">
      <c r="A4527" s="14" t="s">
        <v>9226</v>
      </c>
      <c r="B4527" s="14" t="s">
        <v>8566</v>
      </c>
      <c r="C4527" s="14" t="s">
        <v>9280</v>
      </c>
      <c r="D4527" s="14" t="s">
        <v>8531</v>
      </c>
      <c r="E4527" s="14" t="s">
        <v>1714</v>
      </c>
      <c r="F4527" s="14" t="s">
        <v>1715</v>
      </c>
      <c r="G4527" s="14" t="s">
        <v>24</v>
      </c>
      <c r="H4527" s="14"/>
      <c r="I4527" s="14"/>
      <c r="J4527" s="14"/>
      <c r="K4527" s="14"/>
      <c r="L4527" s="14"/>
      <c r="M4527" s="14" t="s">
        <v>1717</v>
      </c>
      <c r="N4527" s="14"/>
      <c r="O4527" s="14" t="s">
        <v>1718</v>
      </c>
      <c r="P4527" s="14" t="str">
        <f>HYPERLINK("https://ceds.ed.gov/cedselementdetails.aspx?termid=18883")</f>
        <v>https://ceds.ed.gov/cedselementdetails.aspx?termid=18883</v>
      </c>
      <c r="Q4527" s="14" t="str">
        <f>HYPERLINK("https://ceds.ed.gov/elementComment.aspx?elementName=Available Utilized Instructional Space &amp;elementID=18883", "Click here to submit comment")</f>
        <v>Click here to submit comment</v>
      </c>
      <c r="R4527" s="14">
        <v>52130</v>
      </c>
    </row>
    <row r="4528" spans="1:18" ht="60" x14ac:dyDescent="0.25">
      <c r="A4528" s="14" t="s">
        <v>9226</v>
      </c>
      <c r="B4528" s="14" t="s">
        <v>8566</v>
      </c>
      <c r="C4528" s="14" t="s">
        <v>9280</v>
      </c>
      <c r="D4528" s="14" t="s">
        <v>8531</v>
      </c>
      <c r="E4528" s="14" t="s">
        <v>1822</v>
      </c>
      <c r="F4528" s="14" t="s">
        <v>1823</v>
      </c>
      <c r="G4528" s="14" t="s">
        <v>24</v>
      </c>
      <c r="H4528" s="14"/>
      <c r="I4528" s="14"/>
      <c r="J4528" s="14"/>
      <c r="K4528" s="14"/>
      <c r="L4528" s="14"/>
      <c r="M4528" s="14" t="s">
        <v>1824</v>
      </c>
      <c r="N4528" s="14"/>
      <c r="O4528" s="14" t="s">
        <v>1825</v>
      </c>
      <c r="P4528" s="14" t="str">
        <f>HYPERLINK("https://ceds.ed.gov/cedselementdetails.aspx?termid=18884")</f>
        <v>https://ceds.ed.gov/cedselementdetails.aspx?termid=18884</v>
      </c>
      <c r="Q4528" s="14" t="str">
        <f>HYPERLINK("https://ceds.ed.gov/elementComment.aspx?elementName=Building Capacity Factor Indicator &amp;elementID=18884", "Click here to submit comment")</f>
        <v>Click here to submit comment</v>
      </c>
      <c r="R4528" s="14">
        <v>52131</v>
      </c>
    </row>
    <row r="4529" spans="1:18" ht="180" x14ac:dyDescent="0.25">
      <c r="A4529" s="14" t="s">
        <v>9226</v>
      </c>
      <c r="B4529" s="14" t="s">
        <v>8566</v>
      </c>
      <c r="C4529" s="14" t="s">
        <v>9280</v>
      </c>
      <c r="D4529" s="14" t="s">
        <v>8531</v>
      </c>
      <c r="E4529" s="14" t="s">
        <v>1852</v>
      </c>
      <c r="F4529" s="14" t="s">
        <v>1853</v>
      </c>
      <c r="G4529" s="8" t="s">
        <v>9283</v>
      </c>
      <c r="H4529" s="14"/>
      <c r="I4529" s="14"/>
      <c r="J4529" s="14"/>
      <c r="K4529" s="14"/>
      <c r="L4529" s="14"/>
      <c r="M4529" s="14" t="s">
        <v>1855</v>
      </c>
      <c r="N4529" s="14"/>
      <c r="O4529" s="14" t="s">
        <v>1856</v>
      </c>
      <c r="P4529" s="14" t="str">
        <f>HYPERLINK("https://ceds.ed.gov/cedselementdetails.aspx?termid=18836")</f>
        <v>https://ceds.ed.gov/cedselementdetails.aspx?termid=18836</v>
      </c>
      <c r="Q4529" s="14" t="str">
        <f>HYPERLINK("https://ceds.ed.gov/elementComment.aspx?elementName=Building Community Use Space Type &amp;elementID=18836", "Click here to submit comment")</f>
        <v>Click here to submit comment</v>
      </c>
      <c r="R4529" s="14">
        <v>52132</v>
      </c>
    </row>
    <row r="4530" spans="1:18" ht="60" x14ac:dyDescent="0.25">
      <c r="A4530" s="14" t="s">
        <v>9226</v>
      </c>
      <c r="B4530" s="14" t="s">
        <v>8566</v>
      </c>
      <c r="C4530" s="14" t="s">
        <v>9280</v>
      </c>
      <c r="D4530" s="14" t="s">
        <v>8531</v>
      </c>
      <c r="E4530" s="14" t="s">
        <v>1920</v>
      </c>
      <c r="F4530" s="14" t="s">
        <v>1921</v>
      </c>
      <c r="G4530" s="14" t="s">
        <v>37</v>
      </c>
      <c r="H4530" s="14"/>
      <c r="I4530" s="14"/>
      <c r="J4530" s="14" t="s">
        <v>1922</v>
      </c>
      <c r="K4530" s="14"/>
      <c r="L4530" s="14"/>
      <c r="M4530" s="14" t="s">
        <v>1923</v>
      </c>
      <c r="N4530" s="14"/>
      <c r="O4530" s="14" t="s">
        <v>1924</v>
      </c>
      <c r="P4530" s="14" t="str">
        <f>HYPERLINK("https://ceds.ed.gov/cedselementdetails.aspx?termid=18837")</f>
        <v>https://ceds.ed.gov/cedselementdetails.aspx?termid=18837</v>
      </c>
      <c r="Q4530" s="14" t="str">
        <f>HYPERLINK("https://ceds.ed.gov/elementComment.aspx?elementName=Building Hours of Public Use Per Week &amp;elementID=18837", "Click here to submit comment")</f>
        <v>Click here to submit comment</v>
      </c>
      <c r="R4530" s="14">
        <v>52133</v>
      </c>
    </row>
    <row r="4531" spans="1:18" ht="45" x14ac:dyDescent="0.25">
      <c r="A4531" s="14" t="s">
        <v>9226</v>
      </c>
      <c r="B4531" s="14" t="s">
        <v>8566</v>
      </c>
      <c r="C4531" s="14" t="s">
        <v>9280</v>
      </c>
      <c r="D4531" s="14" t="s">
        <v>8531</v>
      </c>
      <c r="E4531" s="14" t="s">
        <v>1939</v>
      </c>
      <c r="F4531" s="14" t="s">
        <v>1940</v>
      </c>
      <c r="G4531" s="8" t="s">
        <v>9284</v>
      </c>
      <c r="H4531" s="14"/>
      <c r="I4531" s="14"/>
      <c r="J4531" s="14"/>
      <c r="K4531" s="14"/>
      <c r="L4531" s="14"/>
      <c r="M4531" s="14" t="s">
        <v>1942</v>
      </c>
      <c r="N4531" s="14"/>
      <c r="O4531" s="14" t="s">
        <v>1943</v>
      </c>
      <c r="P4531" s="14" t="str">
        <f>HYPERLINK("https://ceds.ed.gov/cedselementdetails.aspx?termid=18832")</f>
        <v>https://ceds.ed.gov/cedselementdetails.aspx?termid=18832</v>
      </c>
      <c r="Q4531" s="14" t="str">
        <f>HYPERLINK("https://ceds.ed.gov/elementComment.aspx?elementName=Building Instructional Space Factor Type &amp;elementID=18832", "Click here to submit comment")</f>
        <v>Click here to submit comment</v>
      </c>
      <c r="R4531" s="14">
        <v>52134</v>
      </c>
    </row>
    <row r="4532" spans="1:18" ht="120" x14ac:dyDescent="0.25">
      <c r="A4532" s="14" t="s">
        <v>9226</v>
      </c>
      <c r="B4532" s="14" t="s">
        <v>8566</v>
      </c>
      <c r="C4532" s="14" t="s">
        <v>9280</v>
      </c>
      <c r="D4532" s="14" t="s">
        <v>8531</v>
      </c>
      <c r="E4532" s="14" t="s">
        <v>1944</v>
      </c>
      <c r="F4532" s="14" t="s">
        <v>1945</v>
      </c>
      <c r="G4532" s="8" t="s">
        <v>9285</v>
      </c>
      <c r="H4532" s="14"/>
      <c r="I4532" s="14"/>
      <c r="J4532" s="14"/>
      <c r="K4532" s="14"/>
      <c r="L4532" s="14"/>
      <c r="M4532" s="14" t="s">
        <v>1947</v>
      </c>
      <c r="N4532" s="14"/>
      <c r="O4532" s="14" t="s">
        <v>1948</v>
      </c>
      <c r="P4532" s="14" t="str">
        <f>HYPERLINK("https://ceds.ed.gov/cedselementdetails.aspx?termid=18833")</f>
        <v>https://ceds.ed.gov/cedselementdetails.aspx?termid=18833</v>
      </c>
      <c r="Q4532" s="14" t="str">
        <f>HYPERLINK("https://ceds.ed.gov/elementComment.aspx?elementName=Building Joint Use Rationale Type &amp;elementID=18833", "Click here to submit comment")</f>
        <v>Click here to submit comment</v>
      </c>
      <c r="R4532" s="14">
        <v>52135</v>
      </c>
    </row>
    <row r="4533" spans="1:18" ht="75" x14ac:dyDescent="0.25">
      <c r="A4533" s="14" t="s">
        <v>9226</v>
      </c>
      <c r="B4533" s="14" t="s">
        <v>8566</v>
      </c>
      <c r="C4533" s="14" t="s">
        <v>9280</v>
      </c>
      <c r="D4533" s="14" t="s">
        <v>8531</v>
      </c>
      <c r="E4533" s="14" t="s">
        <v>1949</v>
      </c>
      <c r="F4533" s="14" t="s">
        <v>1950</v>
      </c>
      <c r="G4533" s="8" t="s">
        <v>9286</v>
      </c>
      <c r="H4533" s="14"/>
      <c r="I4533" s="14"/>
      <c r="J4533" s="14"/>
      <c r="K4533" s="14"/>
      <c r="L4533" s="14"/>
      <c r="M4533" s="14" t="s">
        <v>1952</v>
      </c>
      <c r="N4533" s="14"/>
      <c r="O4533" s="14" t="s">
        <v>1953</v>
      </c>
      <c r="P4533" s="14" t="str">
        <f>HYPERLINK("https://ceds.ed.gov/cedselementdetails.aspx?termid=18834")</f>
        <v>https://ceds.ed.gov/cedselementdetails.aspx?termid=18834</v>
      </c>
      <c r="Q4533" s="14" t="str">
        <f>HYPERLINK("https://ceds.ed.gov/elementComment.aspx?elementName=Building Joint Use Scheduling Type &amp;elementID=18834", "Click here to submit comment")</f>
        <v>Click here to submit comment</v>
      </c>
      <c r="R4533" s="14">
        <v>52136</v>
      </c>
    </row>
    <row r="4534" spans="1:18" ht="90" x14ac:dyDescent="0.25">
      <c r="A4534" s="14" t="s">
        <v>9226</v>
      </c>
      <c r="B4534" s="14" t="s">
        <v>8566</v>
      </c>
      <c r="C4534" s="14" t="s">
        <v>9280</v>
      </c>
      <c r="D4534" s="14" t="s">
        <v>8531</v>
      </c>
      <c r="E4534" s="14" t="s">
        <v>1954</v>
      </c>
      <c r="F4534" s="14" t="s">
        <v>1955</v>
      </c>
      <c r="G4534" s="8" t="s">
        <v>9287</v>
      </c>
      <c r="H4534" s="14"/>
      <c r="I4534" s="14"/>
      <c r="J4534" s="14"/>
      <c r="K4534" s="14"/>
      <c r="L4534" s="14"/>
      <c r="M4534" s="14" t="s">
        <v>1957</v>
      </c>
      <c r="N4534" s="14"/>
      <c r="O4534" s="14" t="s">
        <v>1958</v>
      </c>
      <c r="P4534" s="14" t="str">
        <f>HYPERLINK("https://ceds.ed.gov/cedselementdetails.aspx?termid=18835")</f>
        <v>https://ceds.ed.gov/cedselementdetails.aspx?termid=18835</v>
      </c>
      <c r="Q4534" s="14" t="str">
        <f>HYPERLINK("https://ceds.ed.gov/elementComment.aspx?elementName=Building Joint User Type &amp;elementID=18835", "Click here to submit comment")</f>
        <v>Click here to submit comment</v>
      </c>
      <c r="R4534" s="14">
        <v>52137</v>
      </c>
    </row>
    <row r="4535" spans="1:18" ht="60" x14ac:dyDescent="0.25">
      <c r="A4535" s="14" t="s">
        <v>9226</v>
      </c>
      <c r="B4535" s="14" t="s">
        <v>8566</v>
      </c>
      <c r="C4535" s="14" t="s">
        <v>9280</v>
      </c>
      <c r="D4535" s="14" t="s">
        <v>8531</v>
      </c>
      <c r="E4535" s="14" t="s">
        <v>1974</v>
      </c>
      <c r="F4535" s="14" t="s">
        <v>1975</v>
      </c>
      <c r="G4535" s="14" t="s">
        <v>37</v>
      </c>
      <c r="H4535" s="14"/>
      <c r="I4535" s="14"/>
      <c r="J4535" s="14" t="s">
        <v>1710</v>
      </c>
      <c r="K4535" s="14"/>
      <c r="L4535" s="14"/>
      <c r="M4535" s="14" t="s">
        <v>1976</v>
      </c>
      <c r="N4535" s="14"/>
      <c r="O4535" s="14" t="s">
        <v>1977</v>
      </c>
      <c r="P4535" s="14" t="str">
        <f>HYPERLINK("https://ceds.ed.gov/cedselementdetails.aspx?termid=18838")</f>
        <v>https://ceds.ed.gov/cedselementdetails.aspx?termid=18838</v>
      </c>
      <c r="Q4535" s="14" t="str">
        <f>HYPERLINK("https://ceds.ed.gov/elementComment.aspx?elementName=Building Net Area of Instructional Space &amp;elementID=18838", "Click here to submit comment")</f>
        <v>Click here to submit comment</v>
      </c>
      <c r="R4535" s="14">
        <v>52138</v>
      </c>
    </row>
    <row r="4536" spans="1:18" ht="60" x14ac:dyDescent="0.25">
      <c r="A4536" s="14" t="s">
        <v>9226</v>
      </c>
      <c r="B4536" s="14" t="s">
        <v>8566</v>
      </c>
      <c r="C4536" s="14" t="s">
        <v>9280</v>
      </c>
      <c r="D4536" s="14" t="s">
        <v>8531</v>
      </c>
      <c r="E4536" s="14" t="s">
        <v>1982</v>
      </c>
      <c r="F4536" s="14" t="s">
        <v>1983</v>
      </c>
      <c r="G4536" s="14" t="s">
        <v>37</v>
      </c>
      <c r="H4536" s="14"/>
      <c r="I4536" s="14"/>
      <c r="J4536" s="14" t="s">
        <v>1922</v>
      </c>
      <c r="K4536" s="14"/>
      <c r="L4536" s="14"/>
      <c r="M4536" s="14" t="s">
        <v>1984</v>
      </c>
      <c r="N4536" s="14"/>
      <c r="O4536" s="14" t="s">
        <v>1985</v>
      </c>
      <c r="P4536" s="14" t="str">
        <f>HYPERLINK("https://ceds.ed.gov/cedselementdetails.aspx?termid=18839")</f>
        <v>https://ceds.ed.gov/cedselementdetails.aspx?termid=18839</v>
      </c>
      <c r="Q4536" s="14" t="str">
        <f>HYPERLINK("https://ceds.ed.gov/elementComment.aspx?elementName=Building Number of Teaching Stations &amp;elementID=18839", "Click here to submit comment")</f>
        <v>Click here to submit comment</v>
      </c>
      <c r="R4536" s="14">
        <v>52139</v>
      </c>
    </row>
    <row r="4537" spans="1:18" ht="75" x14ac:dyDescent="0.25">
      <c r="A4537" s="14" t="s">
        <v>9226</v>
      </c>
      <c r="B4537" s="14" t="s">
        <v>8566</v>
      </c>
      <c r="C4537" s="14" t="s">
        <v>9280</v>
      </c>
      <c r="D4537" s="14" t="s">
        <v>8531</v>
      </c>
      <c r="E4537" s="14" t="s">
        <v>2016</v>
      </c>
      <c r="F4537" s="14" t="s">
        <v>2017</v>
      </c>
      <c r="G4537" s="14" t="s">
        <v>37</v>
      </c>
      <c r="H4537" s="14"/>
      <c r="I4537" s="14"/>
      <c r="J4537" s="14" t="s">
        <v>62</v>
      </c>
      <c r="K4537" s="14"/>
      <c r="L4537" s="14"/>
      <c r="M4537" s="14" t="s">
        <v>2018</v>
      </c>
      <c r="N4537" s="14"/>
      <c r="O4537" s="14" t="s">
        <v>2019</v>
      </c>
      <c r="P4537" s="14" t="str">
        <f>HYPERLINK("https://ceds.ed.gov/cedselementdetails.aspx?termid=18840")</f>
        <v>https://ceds.ed.gov/cedselementdetails.aspx?termid=18840</v>
      </c>
      <c r="Q4537" s="14" t="str">
        <f>HYPERLINK("https://ceds.ed.gov/elementComment.aspx?elementName=Building Public Use Policy Description &amp;elementID=18840", "Click here to submit comment")</f>
        <v>Click here to submit comment</v>
      </c>
      <c r="R4537" s="14">
        <v>52140</v>
      </c>
    </row>
    <row r="4538" spans="1:18" ht="120" x14ac:dyDescent="0.25">
      <c r="A4538" s="14" t="s">
        <v>9226</v>
      </c>
      <c r="B4538" s="14" t="s">
        <v>8566</v>
      </c>
      <c r="C4538" s="14" t="s">
        <v>9280</v>
      </c>
      <c r="D4538" s="14" t="s">
        <v>8531</v>
      </c>
      <c r="E4538" s="14" t="s">
        <v>2044</v>
      </c>
      <c r="F4538" s="14" t="s">
        <v>2045</v>
      </c>
      <c r="G4538" s="8" t="s">
        <v>9288</v>
      </c>
      <c r="H4538" s="14"/>
      <c r="I4538" s="14"/>
      <c r="J4538" s="14"/>
      <c r="K4538" s="14"/>
      <c r="L4538" s="14"/>
      <c r="M4538" s="14" t="s">
        <v>2047</v>
      </c>
      <c r="N4538" s="14"/>
      <c r="O4538" s="14" t="s">
        <v>2048</v>
      </c>
      <c r="P4538" s="14" t="str">
        <f>HYPERLINK("https://ceds.ed.gov/cedselementdetails.aspx?termid=18841")</f>
        <v>https://ceds.ed.gov/cedselementdetails.aspx?termid=18841</v>
      </c>
      <c r="Q4538" s="14" t="str">
        <f>HYPERLINK("https://ceds.ed.gov/elementComment.aspx?elementName=Building Site Use Restrictions Type &amp;elementID=18841", "Click here to submit comment")</f>
        <v>Click here to submit comment</v>
      </c>
      <c r="R4538" s="14">
        <v>52141</v>
      </c>
    </row>
    <row r="4539" spans="1:18" ht="90" x14ac:dyDescent="0.25">
      <c r="A4539" s="14" t="s">
        <v>9226</v>
      </c>
      <c r="B4539" s="14" t="s">
        <v>8566</v>
      </c>
      <c r="C4539" s="14" t="s">
        <v>9280</v>
      </c>
      <c r="D4539" s="14" t="s">
        <v>8531</v>
      </c>
      <c r="E4539" s="14" t="s">
        <v>2054</v>
      </c>
      <c r="F4539" s="14" t="s">
        <v>2055</v>
      </c>
      <c r="G4539" s="14" t="s">
        <v>37</v>
      </c>
      <c r="H4539" s="14"/>
      <c r="I4539" s="14"/>
      <c r="J4539" s="14" t="s">
        <v>1710</v>
      </c>
      <c r="K4539" s="14"/>
      <c r="L4539" s="14"/>
      <c r="M4539" s="14" t="s">
        <v>2056</v>
      </c>
      <c r="N4539" s="14"/>
      <c r="O4539" s="14" t="s">
        <v>2057</v>
      </c>
      <c r="P4539" s="14" t="str">
        <f>HYPERLINK("https://ceds.ed.gov/cedselementdetails.aspx?termid=18842")</f>
        <v>https://ceds.ed.gov/cedselementdetails.aspx?termid=18842</v>
      </c>
      <c r="Q4539" s="14" t="str">
        <f>HYPERLINK("https://ceds.ed.gov/elementComment.aspx?elementName=Building Space Utilization Area &amp;elementID=18842", "Click here to submit comment")</f>
        <v>Click here to submit comment</v>
      </c>
      <c r="R4539" s="14">
        <v>52142</v>
      </c>
    </row>
    <row r="4540" spans="1:18" ht="75" x14ac:dyDescent="0.25">
      <c r="A4540" s="14" t="s">
        <v>9226</v>
      </c>
      <c r="B4540" s="14" t="s">
        <v>8566</v>
      </c>
      <c r="C4540" s="14" t="s">
        <v>9280</v>
      </c>
      <c r="D4540" s="14" t="s">
        <v>8531</v>
      </c>
      <c r="E4540" s="14" t="s">
        <v>2078</v>
      </c>
      <c r="F4540" s="14" t="s">
        <v>2079</v>
      </c>
      <c r="G4540" s="14" t="s">
        <v>24</v>
      </c>
      <c r="H4540" s="14"/>
      <c r="I4540" s="14"/>
      <c r="J4540" s="14"/>
      <c r="K4540" s="14"/>
      <c r="L4540" s="14"/>
      <c r="M4540" s="14" t="s">
        <v>2080</v>
      </c>
      <c r="N4540" s="14"/>
      <c r="O4540" s="14" t="s">
        <v>2081</v>
      </c>
      <c r="P4540" s="14" t="str">
        <f>HYPERLINK("https://ceds.ed.gov/cedselementdetails.aspx?termid=18844")</f>
        <v>https://ceds.ed.gov/cedselementdetails.aspx?termid=18844</v>
      </c>
      <c r="Q4540" s="14" t="str">
        <f>HYPERLINK("https://ceds.ed.gov/elementComment.aspx?elementName=Building Unassigned Space Indicator &amp;elementID=18844", "Click here to submit comment")</f>
        <v>Click here to submit comment</v>
      </c>
      <c r="R4540" s="14">
        <v>52143</v>
      </c>
    </row>
    <row r="4541" spans="1:18" ht="90" x14ac:dyDescent="0.25">
      <c r="A4541" s="14" t="s">
        <v>9226</v>
      </c>
      <c r="B4541" s="14" t="s">
        <v>8566</v>
      </c>
      <c r="C4541" s="14" t="s">
        <v>9280</v>
      </c>
      <c r="D4541" s="14" t="s">
        <v>8531</v>
      </c>
      <c r="E4541" s="14" t="s">
        <v>4261</v>
      </c>
      <c r="F4541" s="14" t="s">
        <v>4262</v>
      </c>
      <c r="G4541" s="14" t="s">
        <v>37</v>
      </c>
      <c r="H4541" s="14"/>
      <c r="I4541" s="14"/>
      <c r="J4541" s="14" t="s">
        <v>1922</v>
      </c>
      <c r="K4541" s="14"/>
      <c r="L4541" s="14"/>
      <c r="M4541" s="14" t="s">
        <v>4263</v>
      </c>
      <c r="N4541" s="14"/>
      <c r="O4541" s="14" t="s">
        <v>4264</v>
      </c>
      <c r="P4541" s="14" t="str">
        <f>HYPERLINK("https://ceds.ed.gov/cedselementdetails.aspx?termid=18885")</f>
        <v>https://ceds.ed.gov/cedselementdetails.aspx?termid=18885</v>
      </c>
      <c r="Q4541" s="14" t="str">
        <f>HYPERLINK("https://ceds.ed.gov/elementComment.aspx?elementName=Facility Enrollment Capacity &amp;elementID=18885", "Click here to submit comment")</f>
        <v>Click here to submit comment</v>
      </c>
      <c r="R4541" s="14">
        <v>52144</v>
      </c>
    </row>
    <row r="4542" spans="1:18" ht="120" x14ac:dyDescent="0.25">
      <c r="A4542" s="14" t="s">
        <v>9226</v>
      </c>
      <c r="B4542" s="14" t="s">
        <v>8566</v>
      </c>
      <c r="C4542" s="14" t="s">
        <v>9289</v>
      </c>
      <c r="D4542" s="14" t="s">
        <v>8531</v>
      </c>
      <c r="E4542" s="14" t="s">
        <v>1831</v>
      </c>
      <c r="F4542" s="14" t="s">
        <v>1832</v>
      </c>
      <c r="G4542" s="8" t="s">
        <v>9290</v>
      </c>
      <c r="H4542" s="14"/>
      <c r="I4542" s="14"/>
      <c r="J4542" s="14"/>
      <c r="K4542" s="14"/>
      <c r="L4542" s="14"/>
      <c r="M4542" s="14" t="s">
        <v>1835</v>
      </c>
      <c r="N4542" s="14"/>
      <c r="O4542" s="14" t="s">
        <v>1836</v>
      </c>
      <c r="P4542" s="14" t="str">
        <f>HYPERLINK("https://ceds.ed.gov/cedselementdetails.aspx?termid=18846")</f>
        <v>https://ceds.ed.gov/cedselementdetails.aspx?termid=18846</v>
      </c>
      <c r="Q4542" s="14" t="str">
        <f>HYPERLINK("https://ceds.ed.gov/elementComment.aspx?elementName=Building Charter School Realty Access Type &amp;elementID=18846", "Click here to submit comment")</f>
        <v>Click here to submit comment</v>
      </c>
      <c r="R4542" s="14">
        <v>52108</v>
      </c>
    </row>
    <row r="4543" spans="1:18" ht="90" x14ac:dyDescent="0.25">
      <c r="A4543" s="14" t="s">
        <v>9226</v>
      </c>
      <c r="B4543" s="14" t="s">
        <v>8566</v>
      </c>
      <c r="C4543" s="14" t="s">
        <v>9289</v>
      </c>
      <c r="D4543" s="14" t="s">
        <v>8531</v>
      </c>
      <c r="E4543" s="14" t="s">
        <v>1842</v>
      </c>
      <c r="F4543" s="14" t="s">
        <v>1843</v>
      </c>
      <c r="G4543" s="8" t="s">
        <v>9291</v>
      </c>
      <c r="H4543" s="14"/>
      <c r="I4543" s="14"/>
      <c r="J4543" s="14"/>
      <c r="K4543" s="14"/>
      <c r="L4543" s="14"/>
      <c r="M4543" s="14" t="s">
        <v>1845</v>
      </c>
      <c r="N4543" s="14"/>
      <c r="O4543" s="14" t="s">
        <v>1846</v>
      </c>
      <c r="P4543" s="14" t="str">
        <f>HYPERLINK("https://ceds.ed.gov/cedselementdetails.aspx?termid=18847")</f>
        <v>https://ceds.ed.gov/cedselementdetails.aspx?termid=18847</v>
      </c>
      <c r="Q4543" s="14" t="str">
        <f>HYPERLINK("https://ceds.ed.gov/elementComment.aspx?elementName=Building Cleaning Standard Type &amp;elementID=18847", "Click here to submit comment")</f>
        <v>Click here to submit comment</v>
      </c>
      <c r="R4543" s="14">
        <v>52109</v>
      </c>
    </row>
    <row r="4544" spans="1:18" ht="45" x14ac:dyDescent="0.25">
      <c r="A4544" s="14" t="s">
        <v>9226</v>
      </c>
      <c r="B4544" s="14" t="s">
        <v>8566</v>
      </c>
      <c r="C4544" s="14" t="s">
        <v>9289</v>
      </c>
      <c r="D4544" s="14" t="s">
        <v>8531</v>
      </c>
      <c r="E4544" s="14" t="s">
        <v>1862</v>
      </c>
      <c r="F4544" s="14" t="s">
        <v>1863</v>
      </c>
      <c r="G4544" s="14" t="s">
        <v>37</v>
      </c>
      <c r="H4544" s="14"/>
      <c r="I4544" s="14"/>
      <c r="J4544" s="14" t="s">
        <v>135</v>
      </c>
      <c r="K4544" s="14"/>
      <c r="L4544" s="14"/>
      <c r="M4544" s="14" t="s">
        <v>1864</v>
      </c>
      <c r="N4544" s="14"/>
      <c r="O4544" s="14" t="s">
        <v>1865</v>
      </c>
      <c r="P4544" s="14" t="str">
        <f>HYPERLINK("https://ceds.ed.gov/cedselementdetails.aspx?termid=18861")</f>
        <v>https://ceds.ed.gov/cedselementdetails.aspx?termid=18861</v>
      </c>
      <c r="Q4544" s="14" t="str">
        <f>HYPERLINK("https://ceds.ed.gov/elementComment.aspx?elementName=Building Date of Certificate of Occupancy &amp;elementID=18861", "Click here to submit comment")</f>
        <v>Click here to submit comment</v>
      </c>
      <c r="R4544" s="14">
        <v>52110</v>
      </c>
    </row>
    <row r="4545" spans="1:18" ht="165" x14ac:dyDescent="0.25">
      <c r="A4545" s="14" t="s">
        <v>9226</v>
      </c>
      <c r="B4545" s="14" t="s">
        <v>8566</v>
      </c>
      <c r="C4545" s="14" t="s">
        <v>9289</v>
      </c>
      <c r="D4545" s="14" t="s">
        <v>8531</v>
      </c>
      <c r="E4545" s="14" t="s">
        <v>1876</v>
      </c>
      <c r="F4545" s="14" t="s">
        <v>1877</v>
      </c>
      <c r="G4545" s="8" t="s">
        <v>9292</v>
      </c>
      <c r="H4545" s="14"/>
      <c r="I4545" s="14"/>
      <c r="J4545" s="14"/>
      <c r="K4545" s="14"/>
      <c r="L4545" s="14"/>
      <c r="M4545" s="14" t="s">
        <v>1879</v>
      </c>
      <c r="N4545" s="14"/>
      <c r="O4545" s="14" t="s">
        <v>1880</v>
      </c>
      <c r="P4545" s="14" t="str">
        <f>HYPERLINK("https://ceds.ed.gov/cedselementdetails.aspx?termid=18849")</f>
        <v>https://ceds.ed.gov/cedselementdetails.aspx?termid=18849</v>
      </c>
      <c r="Q4545" s="14" t="str">
        <f>HYPERLINK("https://ceds.ed.gov/elementComment.aspx?elementName=Building Energy Conservation Measure Type &amp;elementID=18849", "Click here to submit comment")</f>
        <v>Click here to submit comment</v>
      </c>
      <c r="R4545" s="14">
        <v>52111</v>
      </c>
    </row>
    <row r="4546" spans="1:18" ht="75" x14ac:dyDescent="0.25">
      <c r="A4546" s="14" t="s">
        <v>9226</v>
      </c>
      <c r="B4546" s="14" t="s">
        <v>8566</v>
      </c>
      <c r="C4546" s="14" t="s">
        <v>9289</v>
      </c>
      <c r="D4546" s="14" t="s">
        <v>8531</v>
      </c>
      <c r="E4546" s="14" t="s">
        <v>1881</v>
      </c>
      <c r="F4546" s="14" t="s">
        <v>1882</v>
      </c>
      <c r="G4546" s="14" t="s">
        <v>37</v>
      </c>
      <c r="H4546" s="14"/>
      <c r="I4546" s="14"/>
      <c r="J4546" s="14" t="s">
        <v>175</v>
      </c>
      <c r="K4546" s="14"/>
      <c r="L4546" s="14"/>
      <c r="M4546" s="14" t="s">
        <v>1883</v>
      </c>
      <c r="N4546" s="14"/>
      <c r="O4546" s="14" t="s">
        <v>1884</v>
      </c>
      <c r="P4546" s="14" t="str">
        <f>HYPERLINK("https://ceds.ed.gov/cedselementdetails.aspx?termid=18850")</f>
        <v>https://ceds.ed.gov/cedselementdetails.aspx?termid=18850</v>
      </c>
      <c r="Q4546" s="14" t="str">
        <f>HYPERLINK("https://ceds.ed.gov/elementComment.aspx?elementName=Building Energy Service Company Name &amp;elementID=18850", "Click here to submit comment")</f>
        <v>Click here to submit comment</v>
      </c>
      <c r="R4546" s="14">
        <v>52112</v>
      </c>
    </row>
    <row r="4547" spans="1:18" ht="180" x14ac:dyDescent="0.25">
      <c r="A4547" s="14" t="s">
        <v>9226</v>
      </c>
      <c r="B4547" s="14" t="s">
        <v>8566</v>
      </c>
      <c r="C4547" s="14" t="s">
        <v>9289</v>
      </c>
      <c r="D4547" s="14" t="s">
        <v>8531</v>
      </c>
      <c r="E4547" s="14" t="s">
        <v>1885</v>
      </c>
      <c r="F4547" s="14" t="s">
        <v>1886</v>
      </c>
      <c r="G4547" s="8" t="s">
        <v>9293</v>
      </c>
      <c r="H4547" s="14"/>
      <c r="I4547" s="14"/>
      <c r="J4547" s="14"/>
      <c r="K4547" s="14"/>
      <c r="L4547" s="14"/>
      <c r="M4547" s="14" t="s">
        <v>1888</v>
      </c>
      <c r="N4547" s="14"/>
      <c r="O4547" s="14" t="s">
        <v>1889</v>
      </c>
      <c r="P4547" s="14" t="str">
        <f>HYPERLINK("https://ceds.ed.gov/cedselementdetails.aspx?termid=18851")</f>
        <v>https://ceds.ed.gov/cedselementdetails.aspx?termid=18851</v>
      </c>
      <c r="Q4547" s="14" t="str">
        <f>HYPERLINK("https://ceds.ed.gov/elementComment.aspx?elementName=Building Energy Source Type &amp;elementID=18851", "Click here to submit comment")</f>
        <v>Click here to submit comment</v>
      </c>
      <c r="R4547" s="14">
        <v>52113</v>
      </c>
    </row>
    <row r="4548" spans="1:18" ht="345" x14ac:dyDescent="0.25">
      <c r="A4548" s="14" t="s">
        <v>9226</v>
      </c>
      <c r="B4548" s="14" t="s">
        <v>8566</v>
      </c>
      <c r="C4548" s="14" t="s">
        <v>9289</v>
      </c>
      <c r="D4548" s="14" t="s">
        <v>8531</v>
      </c>
      <c r="E4548" s="14" t="s">
        <v>4152</v>
      </c>
      <c r="F4548" s="14" t="s">
        <v>4153</v>
      </c>
      <c r="G4548" s="8" t="s">
        <v>9294</v>
      </c>
      <c r="H4548" s="14"/>
      <c r="I4548" s="14"/>
      <c r="J4548" s="14"/>
      <c r="K4548" s="14"/>
      <c r="L4548" s="14"/>
      <c r="M4548" s="14" t="s">
        <v>4155</v>
      </c>
      <c r="N4548" s="14"/>
      <c r="O4548" s="14" t="s">
        <v>4156</v>
      </c>
      <c r="P4548" s="14" t="str">
        <f>HYPERLINK("https://ceds.ed.gov/cedselementdetails.aspx?termid=18852")</f>
        <v>https://ceds.ed.gov/cedselementdetails.aspx?termid=18852</v>
      </c>
      <c r="Q4548" s="14" t="str">
        <f>HYPERLINK("https://ceds.ed.gov/elementComment.aspx?elementName=Facilities Management Emergency Type &amp;elementID=18852", "Click here to submit comment")</f>
        <v>Click here to submit comment</v>
      </c>
      <c r="R4548" s="14">
        <v>52114</v>
      </c>
    </row>
    <row r="4549" spans="1:18" ht="60" x14ac:dyDescent="0.25">
      <c r="A4549" s="14" t="s">
        <v>9226</v>
      </c>
      <c r="B4549" s="14" t="s">
        <v>8566</v>
      </c>
      <c r="C4549" s="14" t="s">
        <v>9289</v>
      </c>
      <c r="D4549" s="14" t="s">
        <v>8531</v>
      </c>
      <c r="E4549" s="14" t="s">
        <v>4157</v>
      </c>
      <c r="F4549" s="14" t="s">
        <v>4158</v>
      </c>
      <c r="G4549" s="8" t="s">
        <v>9295</v>
      </c>
      <c r="H4549" s="14"/>
      <c r="I4549" s="14"/>
      <c r="J4549" s="14"/>
      <c r="K4549" s="14"/>
      <c r="L4549" s="14"/>
      <c r="M4549" s="14" t="s">
        <v>4160</v>
      </c>
      <c r="N4549" s="14"/>
      <c r="O4549" s="14" t="s">
        <v>4161</v>
      </c>
      <c r="P4549" s="14" t="str">
        <f>HYPERLINK("https://ceds.ed.gov/cedselementdetails.aspx?termid=18866")</f>
        <v>https://ceds.ed.gov/cedselementdetails.aspx?termid=18866</v>
      </c>
      <c r="Q4549" s="14" t="str">
        <f>HYPERLINK("https://ceds.ed.gov/elementComment.aspx?elementName=Facilities Mandate Authority Type &amp;elementID=18866", "Click here to submit comment")</f>
        <v>Click here to submit comment</v>
      </c>
      <c r="R4549" s="14">
        <v>52115</v>
      </c>
    </row>
    <row r="4550" spans="1:18" ht="45" x14ac:dyDescent="0.25">
      <c r="A4550" s="14" t="s">
        <v>9226</v>
      </c>
      <c r="B4550" s="14" t="s">
        <v>8566</v>
      </c>
      <c r="C4550" s="14" t="s">
        <v>9289</v>
      </c>
      <c r="D4550" s="14" t="s">
        <v>8531</v>
      </c>
      <c r="E4550" s="14" t="s">
        <v>4162</v>
      </c>
      <c r="F4550" s="14" t="s">
        <v>4163</v>
      </c>
      <c r="G4550" s="14" t="s">
        <v>37</v>
      </c>
      <c r="H4550" s="14"/>
      <c r="I4550" s="14"/>
      <c r="J4550" s="14" t="s">
        <v>62</v>
      </c>
      <c r="K4550" s="14"/>
      <c r="L4550" s="14"/>
      <c r="M4550" s="14" t="s">
        <v>4164</v>
      </c>
      <c r="N4550" s="14"/>
      <c r="O4550" s="14" t="s">
        <v>4165</v>
      </c>
      <c r="P4550" s="14" t="str">
        <f>HYPERLINK("https://ceds.ed.gov/cedselementdetails.aspx?termid=18863")</f>
        <v>https://ceds.ed.gov/cedselementdetails.aspx?termid=18863</v>
      </c>
      <c r="Q4550" s="14" t="str">
        <f>HYPERLINK("https://ceds.ed.gov/elementComment.aspx?elementName=Facilities Plan Description &amp;elementID=18863", "Click here to submit comment")</f>
        <v>Click here to submit comment</v>
      </c>
      <c r="R4550" s="14">
        <v>52116</v>
      </c>
    </row>
    <row r="4551" spans="1:18" ht="150" x14ac:dyDescent="0.25">
      <c r="A4551" s="14" t="s">
        <v>9226</v>
      </c>
      <c r="B4551" s="14" t="s">
        <v>8566</v>
      </c>
      <c r="C4551" s="14" t="s">
        <v>9289</v>
      </c>
      <c r="D4551" s="14" t="s">
        <v>8531</v>
      </c>
      <c r="E4551" s="14" t="s">
        <v>4166</v>
      </c>
      <c r="F4551" s="14" t="s">
        <v>4167</v>
      </c>
      <c r="G4551" s="8" t="s">
        <v>9296</v>
      </c>
      <c r="H4551" s="14"/>
      <c r="I4551" s="14"/>
      <c r="J4551" s="14"/>
      <c r="K4551" s="14"/>
      <c r="L4551" s="14"/>
      <c r="M4551" s="14" t="s">
        <v>4169</v>
      </c>
      <c r="N4551" s="14"/>
      <c r="O4551" s="14" t="s">
        <v>4170</v>
      </c>
      <c r="P4551" s="14" t="str">
        <f>HYPERLINK("https://ceds.ed.gov/cedselementdetails.aspx?termid=18864")</f>
        <v>https://ceds.ed.gov/cedselementdetails.aspx?termid=18864</v>
      </c>
      <c r="Q4551" s="14" t="str">
        <f>HYPERLINK("https://ceds.ed.gov/elementComment.aspx?elementName=Facilities Plan Type &amp;elementID=18864", "Click here to submit comment")</f>
        <v>Click here to submit comment</v>
      </c>
      <c r="R4551" s="14">
        <v>52117</v>
      </c>
    </row>
    <row r="4552" spans="1:18" ht="60" x14ac:dyDescent="0.25">
      <c r="A4552" s="14" t="s">
        <v>9226</v>
      </c>
      <c r="B4552" s="14" t="s">
        <v>8566</v>
      </c>
      <c r="C4552" s="14" t="s">
        <v>9289</v>
      </c>
      <c r="D4552" s="14" t="s">
        <v>8531</v>
      </c>
      <c r="E4552" s="14" t="s">
        <v>4184</v>
      </c>
      <c r="F4552" s="14" t="s">
        <v>4185</v>
      </c>
      <c r="G4552" s="14" t="s">
        <v>37</v>
      </c>
      <c r="H4552" s="14"/>
      <c r="I4552" s="14"/>
      <c r="J4552" s="14" t="s">
        <v>135</v>
      </c>
      <c r="K4552" s="14"/>
      <c r="L4552" s="14"/>
      <c r="M4552" s="14" t="s">
        <v>4186</v>
      </c>
      <c r="N4552" s="14"/>
      <c r="O4552" s="14" t="s">
        <v>4187</v>
      </c>
      <c r="P4552" s="14" t="str">
        <f>HYPERLINK("https://ceds.ed.gov/cedselementdetails.aspx?termid=18862")</f>
        <v>https://ceds.ed.gov/cedselementdetails.aspx?termid=18862</v>
      </c>
      <c r="Q4552" s="14" t="str">
        <f>HYPERLINK("https://ceds.ed.gov/elementComment.aspx?elementName=Facility Audit Date &amp;elementID=18862", "Click here to submit comment")</f>
        <v>Click here to submit comment</v>
      </c>
      <c r="R4552" s="14">
        <v>52118</v>
      </c>
    </row>
    <row r="4553" spans="1:18" ht="150" x14ac:dyDescent="0.25">
      <c r="A4553" s="14" t="s">
        <v>9226</v>
      </c>
      <c r="B4553" s="14" t="s">
        <v>8566</v>
      </c>
      <c r="C4553" s="14" t="s">
        <v>9289</v>
      </c>
      <c r="D4553" s="14" t="s">
        <v>8531</v>
      </c>
      <c r="E4553" s="14" t="s">
        <v>4188</v>
      </c>
      <c r="F4553" s="14" t="s">
        <v>4189</v>
      </c>
      <c r="G4553" s="8" t="s">
        <v>9297</v>
      </c>
      <c r="H4553" s="14"/>
      <c r="I4553" s="14"/>
      <c r="J4553" s="14"/>
      <c r="K4553" s="14"/>
      <c r="L4553" s="14"/>
      <c r="M4553" s="14" t="s">
        <v>4191</v>
      </c>
      <c r="N4553" s="14"/>
      <c r="O4553" s="14" t="s">
        <v>4192</v>
      </c>
      <c r="P4553" s="14" t="str">
        <f>HYPERLINK("https://ceds.ed.gov/cedselementdetails.aspx?termid=18845")</f>
        <v>https://ceds.ed.gov/cedselementdetails.aspx?termid=18845</v>
      </c>
      <c r="Q4553" s="14" t="str">
        <f>HYPERLINK("https://ceds.ed.gov/elementComment.aspx?elementName=Facility Audit Type &amp;elementID=18845", "Click here to submit comment")</f>
        <v>Click here to submit comment</v>
      </c>
      <c r="R4553" s="14">
        <v>52119</v>
      </c>
    </row>
    <row r="4554" spans="1:18" ht="90" x14ac:dyDescent="0.25">
      <c r="A4554" s="14" t="s">
        <v>9226</v>
      </c>
      <c r="B4554" s="14" t="s">
        <v>8566</v>
      </c>
      <c r="C4554" s="14" t="s">
        <v>9289</v>
      </c>
      <c r="D4554" s="14" t="s">
        <v>8531</v>
      </c>
      <c r="E4554" s="14" t="s">
        <v>4207</v>
      </c>
      <c r="F4554" s="14" t="s">
        <v>4208</v>
      </c>
      <c r="G4554" s="8" t="s">
        <v>9298</v>
      </c>
      <c r="H4554" s="14"/>
      <c r="I4554" s="14"/>
      <c r="J4554" s="14"/>
      <c r="K4554" s="14"/>
      <c r="L4554" s="14"/>
      <c r="M4554" s="14" t="s">
        <v>4210</v>
      </c>
      <c r="N4554" s="14"/>
      <c r="O4554" s="14" t="s">
        <v>4211</v>
      </c>
      <c r="P4554" s="14" t="str">
        <f>HYPERLINK("https://ceds.ed.gov/cedselementdetails.aspx?termid=18853")</f>
        <v>https://ceds.ed.gov/cedselementdetails.aspx?termid=18853</v>
      </c>
      <c r="Q4554" s="14" t="str">
        <f>HYPERLINK("https://ceds.ed.gov/elementComment.aspx?elementName=Facility Capital Program Management Type &amp;elementID=18853", "Click here to submit comment")</f>
        <v>Click here to submit comment</v>
      </c>
      <c r="R4554" s="14">
        <v>52120</v>
      </c>
    </row>
    <row r="4555" spans="1:18" ht="135" x14ac:dyDescent="0.25">
      <c r="A4555" s="14" t="s">
        <v>9226</v>
      </c>
      <c r="B4555" s="14" t="s">
        <v>8566</v>
      </c>
      <c r="C4555" s="14" t="s">
        <v>9289</v>
      </c>
      <c r="D4555" s="14" t="s">
        <v>8531</v>
      </c>
      <c r="E4555" s="14" t="s">
        <v>4217</v>
      </c>
      <c r="F4555" s="14" t="s">
        <v>4218</v>
      </c>
      <c r="G4555" s="8" t="s">
        <v>9299</v>
      </c>
      <c r="H4555" s="14"/>
      <c r="I4555" s="14"/>
      <c r="J4555" s="14"/>
      <c r="K4555" s="14"/>
      <c r="L4555" s="14"/>
      <c r="M4555" s="14" t="s">
        <v>4220</v>
      </c>
      <c r="N4555" s="14"/>
      <c r="O4555" s="14" t="s">
        <v>4221</v>
      </c>
      <c r="P4555" s="14" t="str">
        <f>HYPERLINK("https://ceds.ed.gov/cedselementdetails.aspx?termid=18848")</f>
        <v>https://ceds.ed.gov/cedselementdetails.aspx?termid=18848</v>
      </c>
      <c r="Q4555" s="14" t="str">
        <f>HYPERLINK("https://ceds.ed.gov/elementComment.aspx?elementName=Facility Compliance Agency Type &amp;elementID=18848", "Click here to submit comment")</f>
        <v>Click here to submit comment</v>
      </c>
      <c r="R4555" s="14">
        <v>52121</v>
      </c>
    </row>
    <row r="4556" spans="1:18" ht="409.5" x14ac:dyDescent="0.25">
      <c r="A4556" s="14" t="s">
        <v>9226</v>
      </c>
      <c r="B4556" s="14" t="s">
        <v>8566</v>
      </c>
      <c r="C4556" s="14" t="s">
        <v>9289</v>
      </c>
      <c r="D4556" s="14" t="s">
        <v>8531</v>
      </c>
      <c r="E4556" s="14" t="s">
        <v>4293</v>
      </c>
      <c r="F4556" s="14" t="s">
        <v>4294</v>
      </c>
      <c r="G4556" s="8" t="s">
        <v>9300</v>
      </c>
      <c r="H4556" s="14"/>
      <c r="I4556" s="14"/>
      <c r="J4556" s="14"/>
      <c r="K4556" s="14"/>
      <c r="L4556" s="14"/>
      <c r="M4556" s="14" t="s">
        <v>4296</v>
      </c>
      <c r="N4556" s="14"/>
      <c r="O4556" s="14" t="s">
        <v>4297</v>
      </c>
      <c r="P4556" s="14" t="str">
        <f>HYPERLINK("https://ceds.ed.gov/cedselementdetails.aspx?termid=18855")</f>
        <v>https://ceds.ed.gov/cedselementdetails.aspx?termid=18855</v>
      </c>
      <c r="Q4556" s="14" t="str">
        <f>HYPERLINK("https://ceds.ed.gov/elementComment.aspx?elementName=Facility Hazardous Materials or Condition Type &amp;elementID=18855", "Click here to submit comment")</f>
        <v>Click here to submit comment</v>
      </c>
      <c r="R4556" s="14">
        <v>52122</v>
      </c>
    </row>
    <row r="4557" spans="1:18" ht="90" x14ac:dyDescent="0.25">
      <c r="A4557" s="14" t="s">
        <v>9226</v>
      </c>
      <c r="B4557" s="14" t="s">
        <v>8566</v>
      </c>
      <c r="C4557" s="14" t="s">
        <v>9289</v>
      </c>
      <c r="D4557" s="14" t="s">
        <v>8531</v>
      </c>
      <c r="E4557" s="14" t="s">
        <v>4306</v>
      </c>
      <c r="F4557" s="14" t="s">
        <v>4307</v>
      </c>
      <c r="G4557" s="8" t="s">
        <v>9301</v>
      </c>
      <c r="H4557" s="14"/>
      <c r="I4557" s="14"/>
      <c r="J4557" s="14"/>
      <c r="K4557" s="14"/>
      <c r="L4557" s="14"/>
      <c r="M4557" s="14" t="s">
        <v>4309</v>
      </c>
      <c r="N4557" s="14"/>
      <c r="O4557" s="14" t="s">
        <v>4310</v>
      </c>
      <c r="P4557" s="14" t="str">
        <f>HYPERLINK("https://ceds.ed.gov/cedselementdetails.aspx?termid=18856")</f>
        <v>https://ceds.ed.gov/cedselementdetails.aspx?termid=18856</v>
      </c>
      <c r="Q4557" s="14" t="str">
        <f>HYPERLINK("https://ceds.ed.gov/elementComment.aspx?elementName=Facility Joint Development Type &amp;elementID=18856", "Click here to submit comment")</f>
        <v>Click here to submit comment</v>
      </c>
      <c r="R4557" s="14">
        <v>52123</v>
      </c>
    </row>
    <row r="4558" spans="1:18" ht="90" x14ac:dyDescent="0.25">
      <c r="A4558" s="14" t="s">
        <v>9226</v>
      </c>
      <c r="B4558" s="14" t="s">
        <v>8566</v>
      </c>
      <c r="C4558" s="14" t="s">
        <v>9289</v>
      </c>
      <c r="D4558" s="14" t="s">
        <v>8531</v>
      </c>
      <c r="E4558" s="14" t="s">
        <v>4334</v>
      </c>
      <c r="F4558" s="14" t="s">
        <v>4335</v>
      </c>
      <c r="G4558" s="8" t="s">
        <v>9302</v>
      </c>
      <c r="H4558" s="14"/>
      <c r="I4558" s="14"/>
      <c r="J4558" s="14"/>
      <c r="K4558" s="14"/>
      <c r="L4558" s="14"/>
      <c r="M4558" s="14" t="s">
        <v>4337</v>
      </c>
      <c r="N4558" s="14"/>
      <c r="O4558" s="14" t="s">
        <v>4338</v>
      </c>
      <c r="P4558" s="14" t="str">
        <f>HYPERLINK("https://ceds.ed.gov/cedselementdetails.aspx?termid=18857")</f>
        <v>https://ceds.ed.gov/cedselementdetails.aspx?termid=18857</v>
      </c>
      <c r="Q4558" s="14" t="str">
        <f>HYPERLINK("https://ceds.ed.gov/elementComment.aspx?elementName=Facility Maintenance Standard Type &amp;elementID=18857", "Click here to submit comment")</f>
        <v>Click here to submit comment</v>
      </c>
      <c r="R4558" s="14">
        <v>52124</v>
      </c>
    </row>
    <row r="4559" spans="1:18" ht="120" x14ac:dyDescent="0.25">
      <c r="A4559" s="14" t="s">
        <v>9226</v>
      </c>
      <c r="B4559" s="14" t="s">
        <v>8566</v>
      </c>
      <c r="C4559" s="14" t="s">
        <v>9289</v>
      </c>
      <c r="D4559" s="14" t="s">
        <v>8531</v>
      </c>
      <c r="E4559" s="14" t="s">
        <v>4353</v>
      </c>
      <c r="F4559" s="14" t="s">
        <v>4354</v>
      </c>
      <c r="G4559" s="8" t="s">
        <v>9303</v>
      </c>
      <c r="H4559" s="14"/>
      <c r="I4559" s="14"/>
      <c r="J4559" s="14"/>
      <c r="K4559" s="14"/>
      <c r="L4559" s="14"/>
      <c r="M4559" s="14" t="s">
        <v>4356</v>
      </c>
      <c r="N4559" s="14"/>
      <c r="O4559" s="14" t="s">
        <v>4357</v>
      </c>
      <c r="P4559" s="14" t="str">
        <f>HYPERLINK("https://ceds.ed.gov/cedselementdetails.aspx?termid=18858")</f>
        <v>https://ceds.ed.gov/cedselementdetails.aspx?termid=18858</v>
      </c>
      <c r="Q4559" s="14" t="str">
        <f>HYPERLINK("https://ceds.ed.gov/elementComment.aspx?elementName=Facility Naturally Occurring Hazard Type &amp;elementID=18858", "Click here to submit comment")</f>
        <v>Click here to submit comment</v>
      </c>
      <c r="R4559" s="14">
        <v>52125</v>
      </c>
    </row>
    <row r="4560" spans="1:18" ht="120" x14ac:dyDescent="0.25">
      <c r="A4560" s="14" t="s">
        <v>9226</v>
      </c>
      <c r="B4560" s="14" t="s">
        <v>8566</v>
      </c>
      <c r="C4560" s="14" t="s">
        <v>9289</v>
      </c>
      <c r="D4560" s="14" t="s">
        <v>8531</v>
      </c>
      <c r="E4560" s="14" t="s">
        <v>4362</v>
      </c>
      <c r="F4560" s="14" t="s">
        <v>4363</v>
      </c>
      <c r="G4560" s="8" t="s">
        <v>9304</v>
      </c>
      <c r="H4560" s="14"/>
      <c r="I4560" s="14"/>
      <c r="J4560" s="14"/>
      <c r="K4560" s="14"/>
      <c r="L4560" s="14"/>
      <c r="M4560" s="14" t="s">
        <v>4365</v>
      </c>
      <c r="N4560" s="14"/>
      <c r="O4560" s="14" t="s">
        <v>4366</v>
      </c>
      <c r="P4560" s="14" t="str">
        <f>HYPERLINK("https://ceds.ed.gov/cedselementdetails.aspx?termid=18854")</f>
        <v>https://ceds.ed.gov/cedselementdetails.aspx?termid=18854</v>
      </c>
      <c r="Q4560" s="14" t="str">
        <f>HYPERLINK("https://ceds.ed.gov/elementComment.aspx?elementName=Facility Operations Management Type &amp;elementID=18854", "Click here to submit comment")</f>
        <v>Click here to submit comment</v>
      </c>
      <c r="R4560" s="14">
        <v>52126</v>
      </c>
    </row>
    <row r="4561" spans="1:18" ht="150" x14ac:dyDescent="0.25">
      <c r="A4561" s="14" t="s">
        <v>9226</v>
      </c>
      <c r="B4561" s="14" t="s">
        <v>8566</v>
      </c>
      <c r="C4561" s="14" t="s">
        <v>9289</v>
      </c>
      <c r="D4561" s="14" t="s">
        <v>8531</v>
      </c>
      <c r="E4561" s="14" t="s">
        <v>4409</v>
      </c>
      <c r="F4561" s="14" t="s">
        <v>4410</v>
      </c>
      <c r="G4561" s="8" t="s">
        <v>9305</v>
      </c>
      <c r="H4561" s="14"/>
      <c r="I4561" s="14"/>
      <c r="J4561" s="14"/>
      <c r="K4561" s="14"/>
      <c r="L4561" s="14"/>
      <c r="M4561" s="14" t="s">
        <v>4412</v>
      </c>
      <c r="N4561" s="14"/>
      <c r="O4561" s="14" t="s">
        <v>4413</v>
      </c>
      <c r="P4561" s="14" t="str">
        <f>HYPERLINK("https://ceds.ed.gov/cedselementdetails.aspx?termid=18865")</f>
        <v>https://ceds.ed.gov/cedselementdetails.aspx?termid=18865</v>
      </c>
      <c r="Q4561" s="14" t="str">
        <f>HYPERLINK("https://ceds.ed.gov/elementComment.aspx?elementName=Facility Standard Type &amp;elementID=18865", "Click here to submit comment")</f>
        <v>Click here to submit comment</v>
      </c>
      <c r="R4561" s="14">
        <v>52127</v>
      </c>
    </row>
    <row r="4562" spans="1:18" ht="45" x14ac:dyDescent="0.25">
      <c r="A4562" s="14" t="s">
        <v>9226</v>
      </c>
      <c r="B4562" s="14" t="s">
        <v>8566</v>
      </c>
      <c r="C4562" s="14" t="s">
        <v>9289</v>
      </c>
      <c r="D4562" s="14" t="s">
        <v>8531</v>
      </c>
      <c r="E4562" s="14" t="s">
        <v>4432</v>
      </c>
      <c r="F4562" s="14" t="s">
        <v>4433</v>
      </c>
      <c r="G4562" s="8" t="s">
        <v>9306</v>
      </c>
      <c r="H4562" s="14"/>
      <c r="I4562" s="14"/>
      <c r="J4562" s="14"/>
      <c r="K4562" s="14"/>
      <c r="L4562" s="14"/>
      <c r="M4562" s="14" t="s">
        <v>4435</v>
      </c>
      <c r="N4562" s="14"/>
      <c r="O4562" s="14" t="s">
        <v>4436</v>
      </c>
      <c r="P4562" s="14" t="str">
        <f>HYPERLINK("https://ceds.ed.gov/cedselementdetails.aspx?termid=18859")</f>
        <v>https://ceds.ed.gov/cedselementdetails.aspx?termid=18859</v>
      </c>
      <c r="Q4562" s="14" t="str">
        <f>HYPERLINK("https://ceds.ed.gov/elementComment.aspx?elementName=Facility Utility Provider Type &amp;elementID=18859", "Click here to submit comment")</f>
        <v>Click here to submit comment</v>
      </c>
      <c r="R4562" s="14">
        <v>52128</v>
      </c>
    </row>
    <row r="4563" spans="1:18" ht="165" x14ac:dyDescent="0.25">
      <c r="A4563" s="14" t="s">
        <v>9226</v>
      </c>
      <c r="B4563" s="14" t="s">
        <v>8566</v>
      </c>
      <c r="C4563" s="14" t="s">
        <v>9289</v>
      </c>
      <c r="D4563" s="14" t="s">
        <v>8531</v>
      </c>
      <c r="E4563" s="14" t="s">
        <v>4437</v>
      </c>
      <c r="F4563" s="14" t="s">
        <v>4438</v>
      </c>
      <c r="G4563" s="8" t="s">
        <v>9307</v>
      </c>
      <c r="H4563" s="14"/>
      <c r="I4563" s="14"/>
      <c r="J4563" s="14"/>
      <c r="K4563" s="14"/>
      <c r="L4563" s="14"/>
      <c r="M4563" s="14" t="s">
        <v>4440</v>
      </c>
      <c r="N4563" s="14"/>
      <c r="O4563" s="14" t="s">
        <v>4441</v>
      </c>
      <c r="P4563" s="14" t="str">
        <f>HYPERLINK("https://ceds.ed.gov/cedselementdetails.aspx?termid=18860")</f>
        <v>https://ceds.ed.gov/cedselementdetails.aspx?termid=18860</v>
      </c>
      <c r="Q4563" s="14" t="str">
        <f>HYPERLINK("https://ceds.ed.gov/elementComment.aspx?elementName=Facility Utility Type &amp;elementID=18860", "Click here to submit comment")</f>
        <v>Click here to submit comment</v>
      </c>
      <c r="R4563" s="14">
        <v>52129</v>
      </c>
    </row>
    <row r="4564" spans="1:18" ht="60" x14ac:dyDescent="0.25">
      <c r="A4564" s="14" t="s">
        <v>9226</v>
      </c>
      <c r="B4564" s="14" t="s">
        <v>8566</v>
      </c>
      <c r="C4564" s="14" t="s">
        <v>9308</v>
      </c>
      <c r="D4564" s="14" t="s">
        <v>8531</v>
      </c>
      <c r="E4564" s="14" t="s">
        <v>4278</v>
      </c>
      <c r="F4564" s="14" t="s">
        <v>4279</v>
      </c>
      <c r="G4564" s="8" t="s">
        <v>9309</v>
      </c>
      <c r="H4564" s="14"/>
      <c r="I4564" s="14"/>
      <c r="J4564" s="14"/>
      <c r="K4564" s="14"/>
      <c r="L4564" s="14"/>
      <c r="M4564" s="14" t="s">
        <v>4282</v>
      </c>
      <c r="N4564" s="14"/>
      <c r="O4564" s="14" t="s">
        <v>4283</v>
      </c>
      <c r="P4564" s="14" t="str">
        <f>HYPERLINK("https://ceds.ed.gov/cedselementdetails.aspx?termid=18867")</f>
        <v>https://ceds.ed.gov/cedselementdetails.aspx?termid=18867</v>
      </c>
      <c r="Q4564" s="14" t="str">
        <f>HYPERLINK("https://ceds.ed.gov/elementComment.aspx?elementName=Facility Financing Fee Type &amp;elementID=18867", "Click here to submit comment")</f>
        <v>Click here to submit comment</v>
      </c>
      <c r="R4564" s="14">
        <v>52009</v>
      </c>
    </row>
    <row r="4565" spans="1:18" ht="45" x14ac:dyDescent="0.25">
      <c r="A4565" s="14" t="s">
        <v>9226</v>
      </c>
      <c r="B4565" s="14" t="s">
        <v>8566</v>
      </c>
      <c r="C4565" s="14" t="s">
        <v>9308</v>
      </c>
      <c r="D4565" s="14" t="s">
        <v>8531</v>
      </c>
      <c r="E4565" s="14" t="s">
        <v>4311</v>
      </c>
      <c r="F4565" s="14" t="s">
        <v>4312</v>
      </c>
      <c r="G4565" s="14" t="s">
        <v>37</v>
      </c>
      <c r="H4565" s="14"/>
      <c r="I4565" s="14"/>
      <c r="J4565" s="14" t="s">
        <v>1710</v>
      </c>
      <c r="K4565" s="14"/>
      <c r="L4565" s="14"/>
      <c r="M4565" s="14" t="s">
        <v>4313</v>
      </c>
      <c r="N4565" s="14"/>
      <c r="O4565" s="14" t="s">
        <v>4314</v>
      </c>
      <c r="P4565" s="14" t="str">
        <f>HYPERLINK("https://ceds.ed.gov/cedselementdetails.aspx?termid=18868")</f>
        <v>https://ceds.ed.gov/cedselementdetails.aspx?termid=18868</v>
      </c>
      <c r="Q4565" s="14" t="str">
        <f>HYPERLINK("https://ceds.ed.gov/elementComment.aspx?elementName=Facility Lease Amount &amp;elementID=18868", "Click here to submit comment")</f>
        <v>Click here to submit comment</v>
      </c>
      <c r="R4565" s="14">
        <v>52010</v>
      </c>
    </row>
    <row r="4566" spans="1:18" ht="60" x14ac:dyDescent="0.25">
      <c r="A4566" s="14" t="s">
        <v>9226</v>
      </c>
      <c r="B4566" s="14" t="s">
        <v>8566</v>
      </c>
      <c r="C4566" s="14" t="s">
        <v>9308</v>
      </c>
      <c r="D4566" s="14" t="s">
        <v>8531</v>
      </c>
      <c r="E4566" s="14" t="s">
        <v>4315</v>
      </c>
      <c r="F4566" s="14" t="s">
        <v>4316</v>
      </c>
      <c r="G4566" s="8" t="s">
        <v>9310</v>
      </c>
      <c r="H4566" s="14"/>
      <c r="I4566" s="14"/>
      <c r="J4566" s="14"/>
      <c r="K4566" s="14"/>
      <c r="L4566" s="14"/>
      <c r="M4566" s="14" t="s">
        <v>4318</v>
      </c>
      <c r="N4566" s="14"/>
      <c r="O4566" s="14" t="s">
        <v>4319</v>
      </c>
      <c r="P4566" s="14" t="str">
        <f>HYPERLINK("https://ceds.ed.gov/cedselementdetails.aspx?termid=18869")</f>
        <v>https://ceds.ed.gov/cedselementdetails.aspx?termid=18869</v>
      </c>
      <c r="Q4566" s="14" t="str">
        <f>HYPERLINK("https://ceds.ed.gov/elementComment.aspx?elementName=Facility Lease Amount Category &amp;elementID=18869", "Click here to submit comment")</f>
        <v>Click here to submit comment</v>
      </c>
      <c r="R4566" s="14">
        <v>52011</v>
      </c>
    </row>
    <row r="4567" spans="1:18" ht="105" x14ac:dyDescent="0.25">
      <c r="A4567" s="14" t="s">
        <v>9226</v>
      </c>
      <c r="B4567" s="14" t="s">
        <v>8566</v>
      </c>
      <c r="C4567" s="14" t="s">
        <v>9308</v>
      </c>
      <c r="D4567" s="14" t="s">
        <v>8531</v>
      </c>
      <c r="E4567" s="14" t="s">
        <v>4320</v>
      </c>
      <c r="F4567" s="14" t="s">
        <v>4321</v>
      </c>
      <c r="G4567" s="8" t="s">
        <v>9311</v>
      </c>
      <c r="H4567" s="14"/>
      <c r="I4567" s="14"/>
      <c r="J4567" s="14"/>
      <c r="K4567" s="14"/>
      <c r="L4567" s="14"/>
      <c r="M4567" s="14" t="s">
        <v>4323</v>
      </c>
      <c r="N4567" s="14"/>
      <c r="O4567" s="14" t="s">
        <v>4324</v>
      </c>
      <c r="P4567" s="14" t="str">
        <f>HYPERLINK("https://ceds.ed.gov/cedselementdetails.aspx?termid=18870")</f>
        <v>https://ceds.ed.gov/cedselementdetails.aspx?termid=18870</v>
      </c>
      <c r="Q4567" s="14" t="str">
        <f>HYPERLINK("https://ceds.ed.gov/elementComment.aspx?elementName=Facility Lease Type &amp;elementID=18870", "Click here to submit comment")</f>
        <v>Click here to submit comment</v>
      </c>
      <c r="R4567" s="14">
        <v>52012</v>
      </c>
    </row>
    <row r="4568" spans="1:18" ht="60" x14ac:dyDescent="0.25">
      <c r="A4568" s="14" t="s">
        <v>9226</v>
      </c>
      <c r="B4568" s="14" t="s">
        <v>8566</v>
      </c>
      <c r="C4568" s="14" t="s">
        <v>9308</v>
      </c>
      <c r="D4568" s="14" t="s">
        <v>8531</v>
      </c>
      <c r="E4568" s="14" t="s">
        <v>4339</v>
      </c>
      <c r="F4568" s="14" t="s">
        <v>4340</v>
      </c>
      <c r="G4568" s="14" t="s">
        <v>37</v>
      </c>
      <c r="H4568" s="14"/>
      <c r="I4568" s="14"/>
      <c r="J4568" s="14" t="s">
        <v>1710</v>
      </c>
      <c r="K4568" s="14"/>
      <c r="L4568" s="14"/>
      <c r="M4568" s="14" t="s">
        <v>4341</v>
      </c>
      <c r="N4568" s="14"/>
      <c r="O4568" s="14" t="s">
        <v>4342</v>
      </c>
      <c r="P4568" s="14" t="str">
        <f>HYPERLINK("https://ceds.ed.gov/cedselementdetails.aspx?termid=18871")</f>
        <v>https://ceds.ed.gov/cedselementdetails.aspx?termid=18871</v>
      </c>
      <c r="Q4568" s="14" t="str">
        <f>HYPERLINK("https://ceds.ed.gov/elementComment.aspx?elementName=Facility Mortgage Interest Amount &amp;elementID=18871", "Click here to submit comment")</f>
        <v>Click here to submit comment</v>
      </c>
      <c r="R4568" s="14">
        <v>52013</v>
      </c>
    </row>
    <row r="4569" spans="1:18" ht="210" x14ac:dyDescent="0.25">
      <c r="A4569" s="14" t="s">
        <v>9226</v>
      </c>
      <c r="B4569" s="14" t="s">
        <v>8566</v>
      </c>
      <c r="C4569" s="14" t="s">
        <v>9308</v>
      </c>
      <c r="D4569" s="14" t="s">
        <v>8531</v>
      </c>
      <c r="E4569" s="14" t="s">
        <v>4343</v>
      </c>
      <c r="F4569" s="14" t="s">
        <v>4344</v>
      </c>
      <c r="G4569" s="8" t="s">
        <v>9312</v>
      </c>
      <c r="H4569" s="14"/>
      <c r="I4569" s="14"/>
      <c r="J4569" s="14"/>
      <c r="K4569" s="14"/>
      <c r="L4569" s="14"/>
      <c r="M4569" s="14" t="s">
        <v>4346</v>
      </c>
      <c r="N4569" s="14"/>
      <c r="O4569" s="14" t="s">
        <v>4347</v>
      </c>
      <c r="P4569" s="14" t="str">
        <f>HYPERLINK("https://ceds.ed.gov/cedselementdetails.aspx?termid=18872")</f>
        <v>https://ceds.ed.gov/cedselementdetails.aspx?termid=18872</v>
      </c>
      <c r="Q4569" s="14" t="str">
        <f>HYPERLINK("https://ceds.ed.gov/elementComment.aspx?elementName=Facility Mortgage Interest Type &amp;elementID=18872", "Click here to submit comment")</f>
        <v>Click here to submit comment</v>
      </c>
      <c r="R4569" s="14">
        <v>52014</v>
      </c>
    </row>
    <row r="4570" spans="1:18" ht="60" x14ac:dyDescent="0.25">
      <c r="A4570" s="14" t="s">
        <v>9226</v>
      </c>
      <c r="B4570" s="14" t="s">
        <v>8566</v>
      </c>
      <c r="C4570" s="14" t="s">
        <v>9308</v>
      </c>
      <c r="D4570" s="14" t="s">
        <v>8531</v>
      </c>
      <c r="E4570" s="14" t="s">
        <v>4348</v>
      </c>
      <c r="F4570" s="14" t="s">
        <v>4349</v>
      </c>
      <c r="G4570" s="8" t="s">
        <v>9313</v>
      </c>
      <c r="H4570" s="14"/>
      <c r="I4570" s="14"/>
      <c r="J4570" s="14"/>
      <c r="K4570" s="14"/>
      <c r="L4570" s="14"/>
      <c r="M4570" s="14" t="s">
        <v>4351</v>
      </c>
      <c r="N4570" s="14"/>
      <c r="O4570" s="14" t="s">
        <v>4352</v>
      </c>
      <c r="P4570" s="14" t="str">
        <f>HYPERLINK("https://ceds.ed.gov/cedselementdetails.aspx?termid=18873")</f>
        <v>https://ceds.ed.gov/cedselementdetails.aspx?termid=18873</v>
      </c>
      <c r="Q4570" s="14" t="str">
        <f>HYPERLINK("https://ceds.ed.gov/elementComment.aspx?elementName=Facility Mortgage Type &amp;elementID=18873", "Click here to submit comment")</f>
        <v>Click here to submit comment</v>
      </c>
      <c r="R4570" s="14">
        <v>52015</v>
      </c>
    </row>
    <row r="4571" spans="1:18" ht="45" x14ac:dyDescent="0.25">
      <c r="A4571" s="14" t="s">
        <v>9226</v>
      </c>
      <c r="B4571" s="14" t="s">
        <v>8566</v>
      </c>
      <c r="C4571" s="14" t="s">
        <v>9308</v>
      </c>
      <c r="D4571" s="14" t="s">
        <v>8531</v>
      </c>
      <c r="E4571" s="14" t="s">
        <v>4428</v>
      </c>
      <c r="F4571" s="14" t="s">
        <v>4429</v>
      </c>
      <c r="G4571" s="14" t="s">
        <v>37</v>
      </c>
      <c r="H4571" s="14"/>
      <c r="I4571" s="14"/>
      <c r="J4571" s="14" t="s">
        <v>1710</v>
      </c>
      <c r="K4571" s="14"/>
      <c r="L4571" s="14"/>
      <c r="M4571" s="14" t="s">
        <v>4430</v>
      </c>
      <c r="N4571" s="14"/>
      <c r="O4571" s="14" t="s">
        <v>4431</v>
      </c>
      <c r="P4571" s="14" t="str">
        <f>HYPERLINK("https://ceds.ed.gov/cedselementdetails.aspx?termid=18877")</f>
        <v>https://ceds.ed.gov/cedselementdetails.aspx?termid=18877</v>
      </c>
      <c r="Q4571" s="14" t="str">
        <f>HYPERLINK("https://ceds.ed.gov/elementComment.aspx?elementName=Facility Total Assessed Value &amp;elementID=18877", "Click here to submit comment")</f>
        <v>Click here to submit comment</v>
      </c>
      <c r="R4571" s="14">
        <v>52016</v>
      </c>
    </row>
    <row r="4572" spans="1:18" ht="105" x14ac:dyDescent="0.25">
      <c r="A4572" s="14" t="s">
        <v>9314</v>
      </c>
      <c r="B4572" s="14" t="s">
        <v>9315</v>
      </c>
      <c r="C4572" s="14"/>
      <c r="D4572" s="14" t="s">
        <v>8531</v>
      </c>
      <c r="E4572" s="14" t="s">
        <v>2839</v>
      </c>
      <c r="F4572" s="14" t="s">
        <v>2840</v>
      </c>
      <c r="G4572" s="14" t="s">
        <v>37</v>
      </c>
      <c r="H4572" s="14"/>
      <c r="I4572" s="14"/>
      <c r="J4572" s="14" t="s">
        <v>135</v>
      </c>
      <c r="K4572" s="14"/>
      <c r="L4572" s="14" t="s">
        <v>2842</v>
      </c>
      <c r="M4572" s="14" t="s">
        <v>2843</v>
      </c>
      <c r="N4572" s="14"/>
      <c r="O4572" s="14" t="s">
        <v>2844</v>
      </c>
      <c r="P4572" s="14" t="str">
        <f>HYPERLINK("https://ceds.ed.gov/cedselementdetails.aspx?termid=18741")</f>
        <v>https://ceds.ed.gov/cedselementdetails.aspx?termid=18741</v>
      </c>
      <c r="Q4572" s="14" t="str">
        <f>HYPERLINK("https://ceds.ed.gov/elementComment.aspx?elementName=Count Date &amp;elementID=18741", "Click here to submit comment")</f>
        <v>Click here to submit comment</v>
      </c>
      <c r="R4572" s="14">
        <v>51877</v>
      </c>
    </row>
    <row r="4573" spans="1:18" ht="105" x14ac:dyDescent="0.25">
      <c r="A4573" s="14" t="s">
        <v>9314</v>
      </c>
      <c r="B4573" s="14" t="s">
        <v>9315</v>
      </c>
      <c r="C4573" s="14"/>
      <c r="D4573" s="14" t="s">
        <v>8531</v>
      </c>
      <c r="E4573" s="14" t="s">
        <v>7380</v>
      </c>
      <c r="F4573" s="14" t="s">
        <v>7381</v>
      </c>
      <c r="G4573" s="14" t="s">
        <v>37</v>
      </c>
      <c r="H4573" s="14"/>
      <c r="I4573" s="14"/>
      <c r="J4573" s="14" t="s">
        <v>135</v>
      </c>
      <c r="K4573" s="14"/>
      <c r="L4573" s="14" t="s">
        <v>2842</v>
      </c>
      <c r="M4573" s="14" t="s">
        <v>7382</v>
      </c>
      <c r="N4573" s="14"/>
      <c r="O4573" s="14" t="s">
        <v>7383</v>
      </c>
      <c r="P4573" s="14" t="str">
        <f>HYPERLINK("https://ceds.ed.gov/cedselementdetails.aspx?termid=18740")</f>
        <v>https://ceds.ed.gov/cedselementdetails.aspx?termid=18740</v>
      </c>
      <c r="Q4573" s="14" t="str">
        <f>HYPERLINK("https://ceds.ed.gov/elementComment.aspx?elementName=Report Date &amp;elementID=18740", "Click here to submit comment")</f>
        <v>Click here to submit comment</v>
      </c>
      <c r="R4573" s="14">
        <v>51990</v>
      </c>
    </row>
    <row r="4574" spans="1:18" ht="105" x14ac:dyDescent="0.25">
      <c r="A4574" s="14" t="s">
        <v>9314</v>
      </c>
      <c r="B4574" s="14" t="s">
        <v>9315</v>
      </c>
      <c r="C4574" s="14"/>
      <c r="D4574" s="14" t="s">
        <v>8531</v>
      </c>
      <c r="E4574" s="14" t="s">
        <v>8089</v>
      </c>
      <c r="F4574" s="14" t="s">
        <v>8090</v>
      </c>
      <c r="G4574" s="14" t="s">
        <v>37</v>
      </c>
      <c r="H4574" s="14"/>
      <c r="I4574" s="14"/>
      <c r="J4574" s="14" t="s">
        <v>135</v>
      </c>
      <c r="K4574" s="14"/>
      <c r="L4574" s="14" t="s">
        <v>2842</v>
      </c>
      <c r="M4574" s="14" t="s">
        <v>8091</v>
      </c>
      <c r="N4574" s="14"/>
      <c r="O4574" s="14" t="s">
        <v>8092</v>
      </c>
      <c r="P4574" s="14" t="str">
        <f>HYPERLINK("https://ceds.ed.gov/cedselementdetails.aspx?termid=18739")</f>
        <v>https://ceds.ed.gov/cedselementdetails.aspx?termid=18739</v>
      </c>
      <c r="Q4574" s="14" t="str">
        <f>HYPERLINK("https://ceds.ed.gov/elementComment.aspx?elementName=Submission Date &amp;elementID=18739", "Click here to submit comment")</f>
        <v>Click here to submit comment</v>
      </c>
      <c r="R4574" s="14">
        <v>51995</v>
      </c>
    </row>
    <row r="4575" spans="1:18" ht="60" x14ac:dyDescent="0.25">
      <c r="A4575" s="14" t="s">
        <v>9314</v>
      </c>
      <c r="B4575" s="14" t="s">
        <v>9315</v>
      </c>
      <c r="C4575" s="14"/>
      <c r="D4575" s="14" t="s">
        <v>8531</v>
      </c>
      <c r="E4575" s="14" t="s">
        <v>7325</v>
      </c>
      <c r="F4575" s="14" t="s">
        <v>7326</v>
      </c>
      <c r="G4575" s="14" t="s">
        <v>37</v>
      </c>
      <c r="H4575" s="14"/>
      <c r="I4575" s="14"/>
      <c r="J4575" s="14" t="s">
        <v>941</v>
      </c>
      <c r="K4575" s="14"/>
      <c r="L4575" s="14" t="s">
        <v>7327</v>
      </c>
      <c r="M4575" s="14" t="s">
        <v>7328</v>
      </c>
      <c r="N4575" s="14"/>
      <c r="O4575" s="14" t="s">
        <v>7329</v>
      </c>
      <c r="P4575" s="14" t="str">
        <f>HYPERLINK("https://ceds.ed.gov/cedselementdetails.aspx?termid=18899")</f>
        <v>https://ceds.ed.gov/cedselementdetails.aspx?termid=18899</v>
      </c>
      <c r="Q4575" s="14" t="str">
        <f>HYPERLINK("https://ceds.ed.gov/elementComment.aspx?elementName=Record End Date Time &amp;elementID=18899", "Click here to submit comment")</f>
        <v>Click here to submit comment</v>
      </c>
      <c r="R4575" s="14">
        <v>52191</v>
      </c>
    </row>
    <row r="4576" spans="1:18" ht="45" x14ac:dyDescent="0.25">
      <c r="A4576" s="14" t="s">
        <v>9314</v>
      </c>
      <c r="B4576" s="14" t="s">
        <v>9315</v>
      </c>
      <c r="C4576" s="14"/>
      <c r="D4576" s="14" t="s">
        <v>8531</v>
      </c>
      <c r="E4576" s="14" t="s">
        <v>7330</v>
      </c>
      <c r="F4576" s="14" t="s">
        <v>7331</v>
      </c>
      <c r="G4576" s="14" t="s">
        <v>37</v>
      </c>
      <c r="H4576" s="14"/>
      <c r="I4576" s="14"/>
      <c r="J4576" s="14" t="s">
        <v>941</v>
      </c>
      <c r="K4576" s="14"/>
      <c r="L4576" s="14" t="s">
        <v>7332</v>
      </c>
      <c r="M4576" s="14" t="s">
        <v>7333</v>
      </c>
      <c r="N4576" s="14"/>
      <c r="O4576" s="14" t="s">
        <v>7334</v>
      </c>
      <c r="P4576" s="14" t="str">
        <f>HYPERLINK("https://ceds.ed.gov/cedselementdetails.aspx?termid=18898")</f>
        <v>https://ceds.ed.gov/cedselementdetails.aspx?termid=18898</v>
      </c>
      <c r="Q4576" s="14" t="str">
        <f>HYPERLINK("https://ceds.ed.gov/elementComment.aspx?elementName=Record Start Date Time &amp;elementID=18898", "Click here to submit comment")</f>
        <v>Click here to submit comment</v>
      </c>
      <c r="R4576" s="14">
        <v>52192</v>
      </c>
    </row>
    <row r="4577" spans="1:18" ht="45" x14ac:dyDescent="0.25">
      <c r="A4577" s="14" t="s">
        <v>9316</v>
      </c>
      <c r="B4577" s="14" t="s">
        <v>9317</v>
      </c>
      <c r="C4577" s="14"/>
      <c r="D4577" s="14" t="s">
        <v>8531</v>
      </c>
      <c r="E4577" s="14" t="s">
        <v>1655</v>
      </c>
      <c r="F4577" s="14" t="s">
        <v>1656</v>
      </c>
      <c r="G4577" s="14" t="s">
        <v>37</v>
      </c>
      <c r="H4577" s="14"/>
      <c r="I4577" s="14"/>
      <c r="J4577" s="14" t="s">
        <v>175</v>
      </c>
      <c r="K4577" s="14"/>
      <c r="L4577" s="14"/>
      <c r="M4577" s="14" t="s">
        <v>1657</v>
      </c>
      <c r="N4577" s="14"/>
      <c r="O4577" s="14" t="s">
        <v>1658</v>
      </c>
      <c r="P4577" s="14" t="str">
        <f>HYPERLINK("https://ceds.ed.gov/cedselementdetails.aspx?termid=18122")</f>
        <v>https://ceds.ed.gov/cedselementdetails.aspx?termid=18122</v>
      </c>
      <c r="Q4577" s="14" t="str">
        <f>HYPERLINK("https://ceds.ed.gov/elementComment.aspx?elementName=Authentication Identity Provider Name &amp;elementID=18122", "Click here to submit comment")</f>
        <v>Click here to submit comment</v>
      </c>
      <c r="R4577" s="14">
        <v>50733</v>
      </c>
    </row>
    <row r="4578" spans="1:18" ht="45" x14ac:dyDescent="0.25">
      <c r="A4578" s="14" t="s">
        <v>9316</v>
      </c>
      <c r="B4578" s="14" t="s">
        <v>9317</v>
      </c>
      <c r="C4578" s="14"/>
      <c r="D4578" s="14" t="s">
        <v>8531</v>
      </c>
      <c r="E4578" s="14" t="s">
        <v>1663</v>
      </c>
      <c r="F4578" s="14" t="s">
        <v>1664</v>
      </c>
      <c r="G4578" s="14" t="s">
        <v>37</v>
      </c>
      <c r="H4578" s="14"/>
      <c r="I4578" s="14"/>
      <c r="J4578" s="14" t="s">
        <v>57</v>
      </c>
      <c r="K4578" s="14"/>
      <c r="L4578" s="14"/>
      <c r="M4578" s="14" t="s">
        <v>1665</v>
      </c>
      <c r="N4578" s="14"/>
      <c r="O4578" s="14" t="s">
        <v>1666</v>
      </c>
      <c r="P4578" s="14" t="str">
        <f>HYPERLINK("https://ceds.ed.gov/cedselementdetails.aspx?termid=18123")</f>
        <v>https://ceds.ed.gov/cedselementdetails.aspx?termid=18123</v>
      </c>
      <c r="Q4578" s="14" t="str">
        <f>HYPERLINK("https://ceds.ed.gov/elementComment.aspx?elementName=Authentication Identity Provider URI &amp;elementID=18123", "Click here to submit comment")</f>
        <v>Click here to submit comment</v>
      </c>
      <c r="R4578" s="14">
        <v>50734</v>
      </c>
    </row>
    <row r="4579" spans="1:18" ht="60" x14ac:dyDescent="0.25">
      <c r="A4579" s="14" t="s">
        <v>9316</v>
      </c>
      <c r="B4579" s="14" t="s">
        <v>9317</v>
      </c>
      <c r="C4579" s="14"/>
      <c r="D4579" s="14" t="s">
        <v>8531</v>
      </c>
      <c r="E4579" s="14" t="s">
        <v>1659</v>
      </c>
      <c r="F4579" s="14" t="s">
        <v>1660</v>
      </c>
      <c r="G4579" s="14" t="s">
        <v>37</v>
      </c>
      <c r="H4579" s="14"/>
      <c r="I4579" s="14"/>
      <c r="J4579" s="14" t="s">
        <v>135</v>
      </c>
      <c r="K4579" s="14"/>
      <c r="L4579" s="14"/>
      <c r="M4579" s="14" t="s">
        <v>1661</v>
      </c>
      <c r="N4579" s="14"/>
      <c r="O4579" s="14" t="s">
        <v>1662</v>
      </c>
      <c r="P4579" s="14" t="str">
        <f>HYPERLINK("https://ceds.ed.gov/cedselementdetails.aspx?termid=18125")</f>
        <v>https://ceds.ed.gov/cedselementdetails.aspx?termid=18125</v>
      </c>
      <c r="Q4579" s="14" t="str">
        <f>HYPERLINK("https://ceds.ed.gov/elementComment.aspx?elementName=Authentication Identity Provider Start Date &amp;elementID=18125", "Click here to submit comment")</f>
        <v>Click here to submit comment</v>
      </c>
      <c r="R4579" s="14">
        <v>50736</v>
      </c>
    </row>
    <row r="4580" spans="1:18" ht="75" x14ac:dyDescent="0.25">
      <c r="A4580" s="14" t="s">
        <v>9316</v>
      </c>
      <c r="B4580" s="14" t="s">
        <v>9317</v>
      </c>
      <c r="C4580" s="14"/>
      <c r="D4580" s="14" t="s">
        <v>8531</v>
      </c>
      <c r="E4580" s="14" t="s">
        <v>1646</v>
      </c>
      <c r="F4580" s="14" t="s">
        <v>1647</v>
      </c>
      <c r="G4580" s="14" t="s">
        <v>37</v>
      </c>
      <c r="H4580" s="14"/>
      <c r="I4580" s="14"/>
      <c r="J4580" s="14" t="s">
        <v>135</v>
      </c>
      <c r="K4580" s="14"/>
      <c r="L4580" s="14" t="s">
        <v>160</v>
      </c>
      <c r="M4580" s="14" t="s">
        <v>1649</v>
      </c>
      <c r="N4580" s="14"/>
      <c r="O4580" s="14" t="s">
        <v>1650</v>
      </c>
      <c r="P4580" s="14" t="str">
        <f>HYPERLINK("https://ceds.ed.gov/cedselementdetails.aspx?termid=18126")</f>
        <v>https://ceds.ed.gov/cedselementdetails.aspx?termid=18126</v>
      </c>
      <c r="Q4580" s="14" t="str">
        <f>HYPERLINK("https://ceds.ed.gov/elementComment.aspx?elementName=Authentication Identity Provider End Date &amp;elementID=18126", "Click here to submit comment")</f>
        <v>Click here to submit comment</v>
      </c>
      <c r="R4580" s="14">
        <v>50737</v>
      </c>
    </row>
    <row r="4581" spans="1:18" ht="105" x14ac:dyDescent="0.25">
      <c r="A4581" s="19" t="s">
        <v>9316</v>
      </c>
      <c r="B4581" s="19" t="s">
        <v>9317</v>
      </c>
      <c r="C4581" s="19"/>
      <c r="D4581" s="19" t="s">
        <v>8531</v>
      </c>
      <c r="E4581" s="19" t="s">
        <v>1651</v>
      </c>
      <c r="F4581" s="19" t="s">
        <v>1652</v>
      </c>
      <c r="G4581" s="19" t="s">
        <v>37</v>
      </c>
      <c r="H4581" s="19"/>
      <c r="I4581" s="19"/>
      <c r="J4581" s="19" t="s">
        <v>149</v>
      </c>
      <c r="K4581" s="19"/>
      <c r="L4581" s="14" t="s">
        <v>150</v>
      </c>
      <c r="M4581" s="19" t="s">
        <v>1653</v>
      </c>
      <c r="N4581" s="19"/>
      <c r="O4581" s="19" t="s">
        <v>1654</v>
      </c>
      <c r="P4581" s="19" t="str">
        <f>HYPERLINK("https://ceds.ed.gov/cedselementdetails.aspx?termid=18124")</f>
        <v>https://ceds.ed.gov/cedselementdetails.aspx?termid=18124</v>
      </c>
      <c r="Q4581" s="19" t="str">
        <f>HYPERLINK("https://ceds.ed.gov/elementComment.aspx?elementName=Authentication Identity Provider Login Identifier &amp;elementID=18124", "Click here to submit comment")</f>
        <v>Click here to submit comment</v>
      </c>
      <c r="R4581" s="19">
        <v>50735</v>
      </c>
    </row>
    <row r="4582" spans="1:18" x14ac:dyDescent="0.25">
      <c r="A4582" s="20"/>
      <c r="B4582" s="20"/>
      <c r="C4582" s="20"/>
      <c r="D4582" s="20"/>
      <c r="E4582" s="20"/>
      <c r="F4582" s="20"/>
      <c r="G4582" s="20"/>
      <c r="H4582" s="20"/>
      <c r="I4582" s="20"/>
      <c r="J4582" s="20"/>
      <c r="K4582" s="20"/>
      <c r="L4582" s="14"/>
      <c r="M4582" s="20"/>
      <c r="N4582" s="20"/>
      <c r="O4582" s="20"/>
      <c r="P4582" s="20"/>
      <c r="Q4582" s="20"/>
      <c r="R4582" s="20"/>
    </row>
    <row r="4583" spans="1:18" ht="90" x14ac:dyDescent="0.25">
      <c r="A4583" s="21"/>
      <c r="B4583" s="21"/>
      <c r="C4583" s="21"/>
      <c r="D4583" s="21"/>
      <c r="E4583" s="21"/>
      <c r="F4583" s="21"/>
      <c r="G4583" s="21"/>
      <c r="H4583" s="21"/>
      <c r="I4583" s="21"/>
      <c r="J4583" s="21"/>
      <c r="K4583" s="21"/>
      <c r="L4583" s="14" t="s">
        <v>153</v>
      </c>
      <c r="M4583" s="21"/>
      <c r="N4583" s="21"/>
      <c r="O4583" s="21"/>
      <c r="P4583" s="21"/>
      <c r="Q4583" s="21"/>
      <c r="R4583" s="21"/>
    </row>
    <row r="4584" spans="1:18" ht="45" x14ac:dyDescent="0.25">
      <c r="A4584" s="14" t="s">
        <v>9316</v>
      </c>
      <c r="B4584" s="14" t="s">
        <v>9318</v>
      </c>
      <c r="C4584" s="14"/>
      <c r="D4584" s="14" t="s">
        <v>8531</v>
      </c>
      <c r="E4584" s="14" t="s">
        <v>1672</v>
      </c>
      <c r="F4584" s="14" t="s">
        <v>1673</v>
      </c>
      <c r="G4584" s="14" t="s">
        <v>37</v>
      </c>
      <c r="H4584" s="14"/>
      <c r="I4584" s="14"/>
      <c r="J4584" s="14" t="s">
        <v>1675</v>
      </c>
      <c r="K4584" s="14"/>
      <c r="L4584" s="14"/>
      <c r="M4584" s="14" t="s">
        <v>1676</v>
      </c>
      <c r="N4584" s="14"/>
      <c r="O4584" s="14" t="s">
        <v>1677</v>
      </c>
      <c r="P4584" s="14" t="str">
        <f>HYPERLINK("https://ceds.ed.gov/cedselementdetails.aspx?termid=18127")</f>
        <v>https://ceds.ed.gov/cedselementdetails.aspx?termid=18127</v>
      </c>
      <c r="Q4584" s="14" t="str">
        <f>HYPERLINK("https://ceds.ed.gov/elementComment.aspx?elementName=Authorization Application Name &amp;elementID=18127", "Click here to submit comment")</f>
        <v>Click here to submit comment</v>
      </c>
      <c r="R4584" s="14">
        <v>50738</v>
      </c>
    </row>
    <row r="4585" spans="1:18" ht="45" x14ac:dyDescent="0.25">
      <c r="A4585" s="14" t="s">
        <v>9316</v>
      </c>
      <c r="B4585" s="14" t="s">
        <v>9318</v>
      </c>
      <c r="C4585" s="14"/>
      <c r="D4585" s="14" t="s">
        <v>8531</v>
      </c>
      <c r="E4585" s="14" t="s">
        <v>1682</v>
      </c>
      <c r="F4585" s="14" t="s">
        <v>1683</v>
      </c>
      <c r="G4585" s="14" t="s">
        <v>37</v>
      </c>
      <c r="H4585" s="14"/>
      <c r="I4585" s="14"/>
      <c r="J4585" s="14" t="s">
        <v>57</v>
      </c>
      <c r="K4585" s="14"/>
      <c r="L4585" s="14"/>
      <c r="M4585" s="14" t="s">
        <v>1684</v>
      </c>
      <c r="N4585" s="14"/>
      <c r="O4585" s="14" t="s">
        <v>1685</v>
      </c>
      <c r="P4585" s="14" t="str">
        <f>HYPERLINK("https://ceds.ed.gov/cedselementdetails.aspx?termid=18128")</f>
        <v>https://ceds.ed.gov/cedselementdetails.aspx?termid=18128</v>
      </c>
      <c r="Q4585" s="14" t="str">
        <f>HYPERLINK("https://ceds.ed.gov/elementComment.aspx?elementName=Authorization Application URI &amp;elementID=18128", "Click here to submit comment")</f>
        <v>Click here to submit comment</v>
      </c>
      <c r="R4585" s="14">
        <v>50739</v>
      </c>
    </row>
    <row r="4586" spans="1:18" ht="45" x14ac:dyDescent="0.25">
      <c r="A4586" s="14" t="s">
        <v>9316</v>
      </c>
      <c r="B4586" s="14" t="s">
        <v>9318</v>
      </c>
      <c r="C4586" s="14"/>
      <c r="D4586" s="14" t="s">
        <v>8531</v>
      </c>
      <c r="E4586" s="14" t="s">
        <v>1698</v>
      </c>
      <c r="F4586" s="14" t="s">
        <v>1699</v>
      </c>
      <c r="G4586" s="14" t="s">
        <v>37</v>
      </c>
      <c r="H4586" s="14"/>
      <c r="I4586" s="14"/>
      <c r="J4586" s="14" t="s">
        <v>135</v>
      </c>
      <c r="K4586" s="14"/>
      <c r="L4586" s="14"/>
      <c r="M4586" s="14" t="s">
        <v>1700</v>
      </c>
      <c r="N4586" s="14"/>
      <c r="O4586" s="14" t="s">
        <v>1701</v>
      </c>
      <c r="P4586" s="14" t="str">
        <f>HYPERLINK("https://ceds.ed.gov/cedselementdetails.aspx?termid=18130")</f>
        <v>https://ceds.ed.gov/cedselementdetails.aspx?termid=18130</v>
      </c>
      <c r="Q4586" s="14" t="str">
        <f>HYPERLINK("https://ceds.ed.gov/elementComment.aspx?elementName=Authorization Start Date &amp;elementID=18130", "Click here to submit comment")</f>
        <v>Click here to submit comment</v>
      </c>
      <c r="R4586" s="14">
        <v>50741</v>
      </c>
    </row>
    <row r="4587" spans="1:18" ht="75" x14ac:dyDescent="0.25">
      <c r="A4587" s="14" t="s">
        <v>9316</v>
      </c>
      <c r="B4587" s="14" t="s">
        <v>9318</v>
      </c>
      <c r="C4587" s="14"/>
      <c r="D4587" s="14" t="s">
        <v>8531</v>
      </c>
      <c r="E4587" s="14" t="s">
        <v>1694</v>
      </c>
      <c r="F4587" s="14" t="s">
        <v>1695</v>
      </c>
      <c r="G4587" s="14" t="s">
        <v>37</v>
      </c>
      <c r="H4587" s="14"/>
      <c r="I4587" s="14"/>
      <c r="J4587" s="14" t="s">
        <v>135</v>
      </c>
      <c r="K4587" s="14"/>
      <c r="L4587" s="14" t="s">
        <v>160</v>
      </c>
      <c r="M4587" s="14" t="s">
        <v>1696</v>
      </c>
      <c r="N4587" s="14"/>
      <c r="O4587" s="14" t="s">
        <v>1697</v>
      </c>
      <c r="P4587" s="14" t="str">
        <f>HYPERLINK("https://ceds.ed.gov/cedselementdetails.aspx?termid=18131")</f>
        <v>https://ceds.ed.gov/cedselementdetails.aspx?termid=18131</v>
      </c>
      <c r="Q4587" s="14" t="str">
        <f>HYPERLINK("https://ceds.ed.gov/elementComment.aspx?elementName=Authorization End Date &amp;elementID=18131", "Click here to submit comment")</f>
        <v>Click here to submit comment</v>
      </c>
      <c r="R4587" s="14">
        <v>50742</v>
      </c>
    </row>
    <row r="4588" spans="1:18" ht="45" x14ac:dyDescent="0.25">
      <c r="A4588" s="14" t="s">
        <v>9316</v>
      </c>
      <c r="B4588" s="14" t="s">
        <v>9318</v>
      </c>
      <c r="C4588" s="14"/>
      <c r="D4588" s="14" t="s">
        <v>8531</v>
      </c>
      <c r="E4588" s="14" t="s">
        <v>1678</v>
      </c>
      <c r="F4588" s="14" t="s">
        <v>1679</v>
      </c>
      <c r="G4588" s="14" t="s">
        <v>37</v>
      </c>
      <c r="H4588" s="14"/>
      <c r="I4588" s="14"/>
      <c r="J4588" s="14" t="s">
        <v>175</v>
      </c>
      <c r="K4588" s="14"/>
      <c r="L4588" s="14"/>
      <c r="M4588" s="14" t="s">
        <v>1680</v>
      </c>
      <c r="N4588" s="14"/>
      <c r="O4588" s="14" t="s">
        <v>1681</v>
      </c>
      <c r="P4588" s="14" t="str">
        <f>HYPERLINK("https://ceds.ed.gov/cedselementdetails.aspx?termid=18129")</f>
        <v>https://ceds.ed.gov/cedselementdetails.aspx?termid=18129</v>
      </c>
      <c r="Q4588" s="14" t="str">
        <f>HYPERLINK("https://ceds.ed.gov/elementComment.aspx?elementName=Authorization Application Role Name &amp;elementID=18129", "Click here to submit comment")</f>
        <v>Click here to submit comment</v>
      </c>
      <c r="R4588" s="14">
        <v>50740</v>
      </c>
    </row>
  </sheetData>
  <autoFilter ref="A1:R4" xr:uid="{A18455B6-171B-42E0-94AD-3270492B93AC}"/>
  <mergeCells count="5117">
    <mergeCell ref="N4581:N4583"/>
    <mergeCell ref="O4581:O4583"/>
    <mergeCell ref="P4581:P4583"/>
    <mergeCell ref="Q4581:Q4583"/>
    <mergeCell ref="R4581:R4583"/>
    <mergeCell ref="G4581:G4583"/>
    <mergeCell ref="H4581:H4583"/>
    <mergeCell ref="I4581:I4583"/>
    <mergeCell ref="J4581:J4583"/>
    <mergeCell ref="K4581:K4583"/>
    <mergeCell ref="M4581:M4583"/>
    <mergeCell ref="A4581:A4583"/>
    <mergeCell ref="B4581:B4583"/>
    <mergeCell ref="C4581:C4583"/>
    <mergeCell ref="D4581:D4583"/>
    <mergeCell ref="E4581:E4583"/>
    <mergeCell ref="F4581:F4583"/>
    <mergeCell ref="M4415:M4417"/>
    <mergeCell ref="N4415:N4417"/>
    <mergeCell ref="O4415:O4417"/>
    <mergeCell ref="P4415:P4417"/>
    <mergeCell ref="Q4415:Q4417"/>
    <mergeCell ref="R4415:R4417"/>
    <mergeCell ref="F4415:F4417"/>
    <mergeCell ref="G4415:G4417"/>
    <mergeCell ref="H4415:H4417"/>
    <mergeCell ref="I4415:I4417"/>
    <mergeCell ref="J4415:J4417"/>
    <mergeCell ref="K4415:K4417"/>
    <mergeCell ref="N4411:N4413"/>
    <mergeCell ref="O4411:O4413"/>
    <mergeCell ref="P4411:P4413"/>
    <mergeCell ref="Q4411:Q4413"/>
    <mergeCell ref="R4411:R4413"/>
    <mergeCell ref="A4415:A4417"/>
    <mergeCell ref="B4415:B4417"/>
    <mergeCell ref="C4415:C4417"/>
    <mergeCell ref="D4415:D4417"/>
    <mergeCell ref="E4415:E4417"/>
    <mergeCell ref="G4411:G4413"/>
    <mergeCell ref="H4411:H4413"/>
    <mergeCell ref="I4411:I4413"/>
    <mergeCell ref="J4411:J4413"/>
    <mergeCell ref="K4411:K4413"/>
    <mergeCell ref="M4411:M4413"/>
    <mergeCell ref="A4411:A4413"/>
    <mergeCell ref="B4411:B4413"/>
    <mergeCell ref="C4411:C4413"/>
    <mergeCell ref="D4411:D4413"/>
    <mergeCell ref="E4411:E4413"/>
    <mergeCell ref="F4411:F4413"/>
    <mergeCell ref="M4399:M4402"/>
    <mergeCell ref="N4399:N4402"/>
    <mergeCell ref="O4399:O4402"/>
    <mergeCell ref="P4399:P4402"/>
    <mergeCell ref="Q4399:Q4402"/>
    <mergeCell ref="R4399:R4402"/>
    <mergeCell ref="F4399:F4402"/>
    <mergeCell ref="G4399:G4402"/>
    <mergeCell ref="H4399:H4402"/>
    <mergeCell ref="I4399:I4402"/>
    <mergeCell ref="J4399:J4402"/>
    <mergeCell ref="K4399:K4402"/>
    <mergeCell ref="E4378:E4379"/>
    <mergeCell ref="D4378:D4379"/>
    <mergeCell ref="C4378:C4379"/>
    <mergeCell ref="B4378:B4379"/>
    <mergeCell ref="A4378:A4379"/>
    <mergeCell ref="A4399:A4402"/>
    <mergeCell ref="B4399:B4402"/>
    <mergeCell ref="C4399:C4402"/>
    <mergeCell ref="D4399:D4402"/>
    <mergeCell ref="E4399:E4402"/>
    <mergeCell ref="K4378:K4379"/>
    <mergeCell ref="J4378:J4379"/>
    <mergeCell ref="I4378:I4379"/>
    <mergeCell ref="H4378:H4379"/>
    <mergeCell ref="G4378:G4379"/>
    <mergeCell ref="F4378:F4379"/>
    <mergeCell ref="R4378:R4379"/>
    <mergeCell ref="Q4378:Q4379"/>
    <mergeCell ref="P4378:P4379"/>
    <mergeCell ref="O4378:O4379"/>
    <mergeCell ref="N4378:N4379"/>
    <mergeCell ref="M4378:M4379"/>
    <mergeCell ref="M4337:M4340"/>
    <mergeCell ref="N4337:N4340"/>
    <mergeCell ref="O4337:O4340"/>
    <mergeCell ref="P4337:P4340"/>
    <mergeCell ref="Q4337:Q4340"/>
    <mergeCell ref="R4337:R4340"/>
    <mergeCell ref="F4337:F4340"/>
    <mergeCell ref="G4337:G4340"/>
    <mergeCell ref="H4337:H4340"/>
    <mergeCell ref="I4337:I4340"/>
    <mergeCell ref="J4337:J4340"/>
    <mergeCell ref="K4337:K4340"/>
    <mergeCell ref="E4306:E4312"/>
    <mergeCell ref="D4306:D4312"/>
    <mergeCell ref="C4306:C4312"/>
    <mergeCell ref="B4306:B4312"/>
    <mergeCell ref="A4306:A4312"/>
    <mergeCell ref="A4337:A4340"/>
    <mergeCell ref="B4337:B4340"/>
    <mergeCell ref="C4337:C4340"/>
    <mergeCell ref="D4337:D4340"/>
    <mergeCell ref="E4337:E4340"/>
    <mergeCell ref="K4306:K4312"/>
    <mergeCell ref="J4306:J4312"/>
    <mergeCell ref="I4306:I4312"/>
    <mergeCell ref="H4306:H4312"/>
    <mergeCell ref="G4306:G4312"/>
    <mergeCell ref="F4306:F4312"/>
    <mergeCell ref="R4306:R4312"/>
    <mergeCell ref="Q4306:Q4312"/>
    <mergeCell ref="P4306:P4312"/>
    <mergeCell ref="O4306:O4312"/>
    <mergeCell ref="N4306:N4312"/>
    <mergeCell ref="M4306:M4312"/>
    <mergeCell ref="M4299:M4301"/>
    <mergeCell ref="N4299:N4301"/>
    <mergeCell ref="O4299:O4301"/>
    <mergeCell ref="P4299:P4301"/>
    <mergeCell ref="Q4299:Q4301"/>
    <mergeCell ref="R4299:R4301"/>
    <mergeCell ref="F4299:F4301"/>
    <mergeCell ref="G4299:G4301"/>
    <mergeCell ref="H4299:H4301"/>
    <mergeCell ref="I4299:I4301"/>
    <mergeCell ref="J4299:J4301"/>
    <mergeCell ref="K4299:K4301"/>
    <mergeCell ref="N4292:N4294"/>
    <mergeCell ref="O4292:O4294"/>
    <mergeCell ref="P4292:P4294"/>
    <mergeCell ref="Q4292:Q4294"/>
    <mergeCell ref="R4292:R4294"/>
    <mergeCell ref="A4299:A4301"/>
    <mergeCell ref="B4299:B4301"/>
    <mergeCell ref="C4299:C4301"/>
    <mergeCell ref="D4299:D4301"/>
    <mergeCell ref="E4299:E4301"/>
    <mergeCell ref="G4292:G4294"/>
    <mergeCell ref="H4292:H4294"/>
    <mergeCell ref="I4292:I4294"/>
    <mergeCell ref="J4292:J4294"/>
    <mergeCell ref="K4292:K4294"/>
    <mergeCell ref="M4292:M4294"/>
    <mergeCell ref="A4292:A4294"/>
    <mergeCell ref="B4292:B4294"/>
    <mergeCell ref="C4292:C4294"/>
    <mergeCell ref="D4292:D4294"/>
    <mergeCell ref="E4292:E4294"/>
    <mergeCell ref="F4292:F4294"/>
    <mergeCell ref="M4270:M4272"/>
    <mergeCell ref="N4270:N4272"/>
    <mergeCell ref="O4270:O4272"/>
    <mergeCell ref="P4270:P4272"/>
    <mergeCell ref="Q4270:Q4272"/>
    <mergeCell ref="R4270:R4272"/>
    <mergeCell ref="F4270:F4272"/>
    <mergeCell ref="G4270:G4272"/>
    <mergeCell ref="H4270:H4272"/>
    <mergeCell ref="I4270:I4272"/>
    <mergeCell ref="J4270:J4272"/>
    <mergeCell ref="K4270:K4272"/>
    <mergeCell ref="N4230:N4232"/>
    <mergeCell ref="O4230:O4232"/>
    <mergeCell ref="P4230:P4232"/>
    <mergeCell ref="Q4230:Q4232"/>
    <mergeCell ref="R4230:R4232"/>
    <mergeCell ref="A4270:A4272"/>
    <mergeCell ref="B4270:B4272"/>
    <mergeCell ref="C4270:C4272"/>
    <mergeCell ref="D4270:D4272"/>
    <mergeCell ref="E4270:E4272"/>
    <mergeCell ref="G4230:G4232"/>
    <mergeCell ref="H4230:H4232"/>
    <mergeCell ref="I4230:I4232"/>
    <mergeCell ref="J4230:J4232"/>
    <mergeCell ref="K4230:K4232"/>
    <mergeCell ref="M4230:M4232"/>
    <mergeCell ref="O4226:O4228"/>
    <mergeCell ref="P4226:P4228"/>
    <mergeCell ref="Q4226:Q4228"/>
    <mergeCell ref="R4226:R4228"/>
    <mergeCell ref="A4230:A4232"/>
    <mergeCell ref="B4230:B4232"/>
    <mergeCell ref="C4230:C4232"/>
    <mergeCell ref="D4230:D4232"/>
    <mergeCell ref="E4230:E4232"/>
    <mergeCell ref="F4230:F4232"/>
    <mergeCell ref="H4226:H4228"/>
    <mergeCell ref="I4226:I4228"/>
    <mergeCell ref="J4226:J4228"/>
    <mergeCell ref="K4226:K4228"/>
    <mergeCell ref="M4226:M4228"/>
    <mergeCell ref="N4226:N4228"/>
    <mergeCell ref="P4221:P4223"/>
    <mergeCell ref="Q4221:Q4223"/>
    <mergeCell ref="R4221:R4223"/>
    <mergeCell ref="A4226:A4228"/>
    <mergeCell ref="B4226:B4228"/>
    <mergeCell ref="C4226:C4228"/>
    <mergeCell ref="D4226:D4228"/>
    <mergeCell ref="E4226:E4228"/>
    <mergeCell ref="F4226:F4228"/>
    <mergeCell ref="G4226:G4228"/>
    <mergeCell ref="I4221:I4223"/>
    <mergeCell ref="J4221:J4223"/>
    <mergeCell ref="K4221:K4223"/>
    <mergeCell ref="M4221:M4223"/>
    <mergeCell ref="N4221:N4223"/>
    <mergeCell ref="O4221:O4223"/>
    <mergeCell ref="Q4217:Q4219"/>
    <mergeCell ref="R4217:R4219"/>
    <mergeCell ref="A4221:A4223"/>
    <mergeCell ref="B4221:B4223"/>
    <mergeCell ref="C4221:C4223"/>
    <mergeCell ref="D4221:D4223"/>
    <mergeCell ref="E4221:E4223"/>
    <mergeCell ref="F4221:F4223"/>
    <mergeCell ref="G4221:G4223"/>
    <mergeCell ref="H4221:H4223"/>
    <mergeCell ref="J4217:J4219"/>
    <mergeCell ref="K4217:K4219"/>
    <mergeCell ref="M4217:M4219"/>
    <mergeCell ref="N4217:N4219"/>
    <mergeCell ref="O4217:O4219"/>
    <mergeCell ref="P4217:P4219"/>
    <mergeCell ref="R4197:R4199"/>
    <mergeCell ref="A4217:A4219"/>
    <mergeCell ref="B4217:B4219"/>
    <mergeCell ref="C4217:C4219"/>
    <mergeCell ref="D4217:D4219"/>
    <mergeCell ref="E4217:E4219"/>
    <mergeCell ref="F4217:F4219"/>
    <mergeCell ref="G4217:G4219"/>
    <mergeCell ref="H4217:H4219"/>
    <mergeCell ref="I4217:I4219"/>
    <mergeCell ref="I4197:I4199"/>
    <mergeCell ref="J4197:J4199"/>
    <mergeCell ref="K4197:K4199"/>
    <mergeCell ref="M4197:M4199"/>
    <mergeCell ref="N4197:N4199"/>
    <mergeCell ref="O4197:O4199"/>
    <mergeCell ref="A4197:A4199"/>
    <mergeCell ref="B4197:B4199"/>
    <mergeCell ref="C4197:C4199"/>
    <mergeCell ref="D4197:D4199"/>
    <mergeCell ref="E4197:E4199"/>
    <mergeCell ref="F4197:F4199"/>
    <mergeCell ref="G4197:G4199"/>
    <mergeCell ref="H4197:H4199"/>
    <mergeCell ref="O4178:O4180"/>
    <mergeCell ref="P4178:P4180"/>
    <mergeCell ref="Q4178:Q4180"/>
    <mergeCell ref="R4178:R4180"/>
    <mergeCell ref="P4197:P4199"/>
    <mergeCell ref="Q4197:Q4199"/>
    <mergeCell ref="H4178:H4180"/>
    <mergeCell ref="I4178:I4180"/>
    <mergeCell ref="J4178:J4180"/>
    <mergeCell ref="K4178:K4180"/>
    <mergeCell ref="M4178:M4180"/>
    <mergeCell ref="N4178:N4180"/>
    <mergeCell ref="P4170:P4172"/>
    <mergeCell ref="Q4170:Q4172"/>
    <mergeCell ref="R4170:R4172"/>
    <mergeCell ref="A4178:A4180"/>
    <mergeCell ref="B4178:B4180"/>
    <mergeCell ref="C4178:C4180"/>
    <mergeCell ref="D4178:D4180"/>
    <mergeCell ref="E4178:E4180"/>
    <mergeCell ref="F4178:F4180"/>
    <mergeCell ref="G4178:G4180"/>
    <mergeCell ref="I4170:I4172"/>
    <mergeCell ref="J4170:J4172"/>
    <mergeCell ref="K4170:K4172"/>
    <mergeCell ref="M4170:M4172"/>
    <mergeCell ref="N4170:N4172"/>
    <mergeCell ref="O4170:O4172"/>
    <mergeCell ref="R4158:R4160"/>
    <mergeCell ref="R4161:R4165"/>
    <mergeCell ref="A4170:A4172"/>
    <mergeCell ref="B4170:B4172"/>
    <mergeCell ref="C4170:C4172"/>
    <mergeCell ref="D4170:D4172"/>
    <mergeCell ref="E4170:E4172"/>
    <mergeCell ref="F4170:F4172"/>
    <mergeCell ref="G4170:G4172"/>
    <mergeCell ref="H4170:H4172"/>
    <mergeCell ref="F4161:F4165"/>
    <mergeCell ref="E4161:E4165"/>
    <mergeCell ref="D4161:D4165"/>
    <mergeCell ref="C4161:C4165"/>
    <mergeCell ref="B4161:B4165"/>
    <mergeCell ref="A4161:A4165"/>
    <mergeCell ref="M4161:M4165"/>
    <mergeCell ref="K4161:K4165"/>
    <mergeCell ref="J4161:J4165"/>
    <mergeCell ref="I4161:I4165"/>
    <mergeCell ref="H4161:H4165"/>
    <mergeCell ref="G4161:G4165"/>
    <mergeCell ref="N4158:N4160"/>
    <mergeCell ref="O4158:O4160"/>
    <mergeCell ref="P4158:P4160"/>
    <mergeCell ref="Q4158:Q4160"/>
    <mergeCell ref="Q4161:Q4165"/>
    <mergeCell ref="P4161:P4165"/>
    <mergeCell ref="O4161:O4165"/>
    <mergeCell ref="N4161:N4165"/>
    <mergeCell ref="G4158:G4160"/>
    <mergeCell ref="H4158:H4160"/>
    <mergeCell ref="I4158:I4160"/>
    <mergeCell ref="J4158:J4160"/>
    <mergeCell ref="K4158:K4160"/>
    <mergeCell ref="M4158:M4160"/>
    <mergeCell ref="A4158:A4160"/>
    <mergeCell ref="B4158:B4160"/>
    <mergeCell ref="C4158:C4160"/>
    <mergeCell ref="D4158:D4160"/>
    <mergeCell ref="E4158:E4160"/>
    <mergeCell ref="F4158:F4160"/>
    <mergeCell ref="M4149:M4151"/>
    <mergeCell ref="N4149:N4151"/>
    <mergeCell ref="O4149:O4151"/>
    <mergeCell ref="P4149:P4151"/>
    <mergeCell ref="Q4149:Q4151"/>
    <mergeCell ref="R4149:R4151"/>
    <mergeCell ref="F4149:F4151"/>
    <mergeCell ref="G4149:G4151"/>
    <mergeCell ref="H4149:H4151"/>
    <mergeCell ref="I4149:I4151"/>
    <mergeCell ref="J4149:J4151"/>
    <mergeCell ref="K4149:K4151"/>
    <mergeCell ref="N4145:N4147"/>
    <mergeCell ref="O4145:O4147"/>
    <mergeCell ref="P4145:P4147"/>
    <mergeCell ref="Q4145:Q4147"/>
    <mergeCell ref="R4145:R4147"/>
    <mergeCell ref="A4149:A4151"/>
    <mergeCell ref="B4149:B4151"/>
    <mergeCell ref="C4149:C4151"/>
    <mergeCell ref="D4149:D4151"/>
    <mergeCell ref="E4149:E4151"/>
    <mergeCell ref="G4145:G4147"/>
    <mergeCell ref="H4145:H4147"/>
    <mergeCell ref="I4145:I4147"/>
    <mergeCell ref="J4145:J4147"/>
    <mergeCell ref="K4145:K4147"/>
    <mergeCell ref="M4145:M4147"/>
    <mergeCell ref="A4145:A4147"/>
    <mergeCell ref="B4145:B4147"/>
    <mergeCell ref="C4145:C4147"/>
    <mergeCell ref="D4145:D4147"/>
    <mergeCell ref="E4145:E4147"/>
    <mergeCell ref="F4145:F4147"/>
    <mergeCell ref="M4136:M4138"/>
    <mergeCell ref="N4136:N4138"/>
    <mergeCell ref="O4136:O4138"/>
    <mergeCell ref="P4136:P4138"/>
    <mergeCell ref="Q4136:Q4138"/>
    <mergeCell ref="R4136:R4138"/>
    <mergeCell ref="F4136:F4138"/>
    <mergeCell ref="G4136:G4138"/>
    <mergeCell ref="H4136:H4138"/>
    <mergeCell ref="I4136:I4138"/>
    <mergeCell ref="J4136:J4138"/>
    <mergeCell ref="K4136:K4138"/>
    <mergeCell ref="N4132:N4134"/>
    <mergeCell ref="O4132:O4134"/>
    <mergeCell ref="P4132:P4134"/>
    <mergeCell ref="Q4132:Q4134"/>
    <mergeCell ref="R4132:R4134"/>
    <mergeCell ref="A4136:A4138"/>
    <mergeCell ref="B4136:B4138"/>
    <mergeCell ref="C4136:C4138"/>
    <mergeCell ref="D4136:D4138"/>
    <mergeCell ref="E4136:E4138"/>
    <mergeCell ref="G4132:G4134"/>
    <mergeCell ref="H4132:H4134"/>
    <mergeCell ref="I4132:I4134"/>
    <mergeCell ref="J4132:J4134"/>
    <mergeCell ref="K4132:K4134"/>
    <mergeCell ref="M4132:M4134"/>
    <mergeCell ref="A4132:A4134"/>
    <mergeCell ref="B4132:B4134"/>
    <mergeCell ref="C4132:C4134"/>
    <mergeCell ref="D4132:D4134"/>
    <mergeCell ref="E4132:E4134"/>
    <mergeCell ref="F4132:F4134"/>
    <mergeCell ref="M4121:M4123"/>
    <mergeCell ref="N4121:N4123"/>
    <mergeCell ref="O4121:O4123"/>
    <mergeCell ref="P4121:P4123"/>
    <mergeCell ref="Q4121:Q4123"/>
    <mergeCell ref="R4121:R4123"/>
    <mergeCell ref="F4121:F4123"/>
    <mergeCell ref="G4121:G4123"/>
    <mergeCell ref="H4121:H4123"/>
    <mergeCell ref="I4121:I4123"/>
    <mergeCell ref="J4121:J4123"/>
    <mergeCell ref="K4121:K4123"/>
    <mergeCell ref="E4067:E4071"/>
    <mergeCell ref="D4067:D4071"/>
    <mergeCell ref="C4067:C4071"/>
    <mergeCell ref="B4067:B4071"/>
    <mergeCell ref="A4067:A4071"/>
    <mergeCell ref="A4121:A4123"/>
    <mergeCell ref="B4121:B4123"/>
    <mergeCell ref="C4121:C4123"/>
    <mergeCell ref="D4121:D4123"/>
    <mergeCell ref="E4121:E4123"/>
    <mergeCell ref="K4067:K4071"/>
    <mergeCell ref="J4067:J4071"/>
    <mergeCell ref="I4067:I4071"/>
    <mergeCell ref="H4067:H4071"/>
    <mergeCell ref="G4067:G4071"/>
    <mergeCell ref="F4067:F4071"/>
    <mergeCell ref="R4067:R4071"/>
    <mergeCell ref="Q4067:Q4071"/>
    <mergeCell ref="P4067:P4071"/>
    <mergeCell ref="O4067:O4071"/>
    <mergeCell ref="N4067:N4071"/>
    <mergeCell ref="M4067:M4071"/>
    <mergeCell ref="M4062:M4064"/>
    <mergeCell ref="N4062:N4064"/>
    <mergeCell ref="O4062:O4064"/>
    <mergeCell ref="P4062:P4064"/>
    <mergeCell ref="Q4062:Q4064"/>
    <mergeCell ref="R4062:R4064"/>
    <mergeCell ref="F4062:F4064"/>
    <mergeCell ref="G4062:G4064"/>
    <mergeCell ref="H4062:H4064"/>
    <mergeCell ref="I4062:I4064"/>
    <mergeCell ref="J4062:J4064"/>
    <mergeCell ref="K4062:K4064"/>
    <mergeCell ref="N4058:N4060"/>
    <mergeCell ref="O4058:O4060"/>
    <mergeCell ref="P4058:P4060"/>
    <mergeCell ref="Q4058:Q4060"/>
    <mergeCell ref="R4058:R4060"/>
    <mergeCell ref="A4062:A4064"/>
    <mergeCell ref="B4062:B4064"/>
    <mergeCell ref="C4062:C4064"/>
    <mergeCell ref="D4062:D4064"/>
    <mergeCell ref="E4062:E4064"/>
    <mergeCell ref="G4058:G4060"/>
    <mergeCell ref="H4058:H4060"/>
    <mergeCell ref="I4058:I4060"/>
    <mergeCell ref="J4058:J4060"/>
    <mergeCell ref="K4058:K4060"/>
    <mergeCell ref="M4058:M4060"/>
    <mergeCell ref="A4058:A4060"/>
    <mergeCell ref="B4058:B4060"/>
    <mergeCell ref="C4058:C4060"/>
    <mergeCell ref="D4058:D4060"/>
    <mergeCell ref="E4058:E4060"/>
    <mergeCell ref="F4058:F4060"/>
    <mergeCell ref="M4054:M4056"/>
    <mergeCell ref="N4054:N4056"/>
    <mergeCell ref="O4054:O4056"/>
    <mergeCell ref="P4054:P4056"/>
    <mergeCell ref="Q4054:Q4056"/>
    <mergeCell ref="R4054:R4056"/>
    <mergeCell ref="F4054:F4056"/>
    <mergeCell ref="G4054:G4056"/>
    <mergeCell ref="H4054:H4056"/>
    <mergeCell ref="I4054:I4056"/>
    <mergeCell ref="J4054:J4056"/>
    <mergeCell ref="K4054:K4056"/>
    <mergeCell ref="E4047:E4051"/>
    <mergeCell ref="D4047:D4051"/>
    <mergeCell ref="C4047:C4051"/>
    <mergeCell ref="B4047:B4051"/>
    <mergeCell ref="A4047:A4051"/>
    <mergeCell ref="A4054:A4056"/>
    <mergeCell ref="B4054:B4056"/>
    <mergeCell ref="C4054:C4056"/>
    <mergeCell ref="D4054:D4056"/>
    <mergeCell ref="E4054:E4056"/>
    <mergeCell ref="K4047:K4051"/>
    <mergeCell ref="J4047:J4051"/>
    <mergeCell ref="I4047:I4051"/>
    <mergeCell ref="H4047:H4051"/>
    <mergeCell ref="G4047:G4051"/>
    <mergeCell ref="F4047:F4051"/>
    <mergeCell ref="R4047:R4051"/>
    <mergeCell ref="Q4047:Q4051"/>
    <mergeCell ref="P4047:P4051"/>
    <mergeCell ref="O4047:O4051"/>
    <mergeCell ref="N4047:N4051"/>
    <mergeCell ref="M4047:M4051"/>
    <mergeCell ref="M4035:M4037"/>
    <mergeCell ref="N4035:N4037"/>
    <mergeCell ref="O4035:O4037"/>
    <mergeCell ref="P4035:P4037"/>
    <mergeCell ref="Q4035:Q4037"/>
    <mergeCell ref="R4035:R4037"/>
    <mergeCell ref="F4035:F4037"/>
    <mergeCell ref="G4035:G4037"/>
    <mergeCell ref="H4035:H4037"/>
    <mergeCell ref="I4035:I4037"/>
    <mergeCell ref="J4035:J4037"/>
    <mergeCell ref="K4035:K4037"/>
    <mergeCell ref="N4031:N4033"/>
    <mergeCell ref="O4031:O4033"/>
    <mergeCell ref="P4031:P4033"/>
    <mergeCell ref="Q4031:Q4033"/>
    <mergeCell ref="R4031:R4033"/>
    <mergeCell ref="A4035:A4037"/>
    <mergeCell ref="B4035:B4037"/>
    <mergeCell ref="C4035:C4037"/>
    <mergeCell ref="D4035:D4037"/>
    <mergeCell ref="E4035:E4037"/>
    <mergeCell ref="G4031:G4033"/>
    <mergeCell ref="H4031:H4033"/>
    <mergeCell ref="I4031:I4033"/>
    <mergeCell ref="J4031:J4033"/>
    <mergeCell ref="K4031:K4033"/>
    <mergeCell ref="M4031:M4033"/>
    <mergeCell ref="A4031:A4033"/>
    <mergeCell ref="B4031:B4033"/>
    <mergeCell ref="C4031:C4033"/>
    <mergeCell ref="D4031:D4033"/>
    <mergeCell ref="E4031:E4033"/>
    <mergeCell ref="F4031:F4033"/>
    <mergeCell ref="M4029:M4030"/>
    <mergeCell ref="N4029:N4030"/>
    <mergeCell ref="O4029:O4030"/>
    <mergeCell ref="P4029:P4030"/>
    <mergeCell ref="Q4029:Q4030"/>
    <mergeCell ref="R4029:R4030"/>
    <mergeCell ref="F4029:F4030"/>
    <mergeCell ref="G4029:G4030"/>
    <mergeCell ref="H4029:H4030"/>
    <mergeCell ref="I4029:I4030"/>
    <mergeCell ref="J4029:J4030"/>
    <mergeCell ref="K4029:K4030"/>
    <mergeCell ref="N4004:N4006"/>
    <mergeCell ref="O4004:O4006"/>
    <mergeCell ref="P4004:P4006"/>
    <mergeCell ref="Q4004:Q4006"/>
    <mergeCell ref="R4004:R4006"/>
    <mergeCell ref="A4029:A4030"/>
    <mergeCell ref="B4029:B4030"/>
    <mergeCell ref="C4029:C4030"/>
    <mergeCell ref="D4029:D4030"/>
    <mergeCell ref="E4029:E4030"/>
    <mergeCell ref="G4004:G4006"/>
    <mergeCell ref="H4004:H4006"/>
    <mergeCell ref="I4004:I4006"/>
    <mergeCell ref="J4004:J4006"/>
    <mergeCell ref="K4004:K4006"/>
    <mergeCell ref="M4004:M4006"/>
    <mergeCell ref="A4004:A4006"/>
    <mergeCell ref="B4004:B4006"/>
    <mergeCell ref="C4004:C4006"/>
    <mergeCell ref="D4004:D4006"/>
    <mergeCell ref="E4004:E4006"/>
    <mergeCell ref="F4004:F4006"/>
    <mergeCell ref="F3986:F3992"/>
    <mergeCell ref="E3986:E3992"/>
    <mergeCell ref="D3986:D3992"/>
    <mergeCell ref="C3986:C3992"/>
    <mergeCell ref="B3986:B3992"/>
    <mergeCell ref="A3986:A3992"/>
    <mergeCell ref="M3986:M3992"/>
    <mergeCell ref="K3986:K3992"/>
    <mergeCell ref="J3986:J3992"/>
    <mergeCell ref="I3986:I3992"/>
    <mergeCell ref="H3986:H3992"/>
    <mergeCell ref="G3986:G3992"/>
    <mergeCell ref="N3977:N3979"/>
    <mergeCell ref="O3977:O3979"/>
    <mergeCell ref="P3977:P3979"/>
    <mergeCell ref="Q3977:Q3979"/>
    <mergeCell ref="R3977:R3979"/>
    <mergeCell ref="R3986:R3992"/>
    <mergeCell ref="Q3986:Q3992"/>
    <mergeCell ref="P3986:P3992"/>
    <mergeCell ref="O3986:O3992"/>
    <mergeCell ref="N3986:N3992"/>
    <mergeCell ref="G3977:G3979"/>
    <mergeCell ref="H3977:H3979"/>
    <mergeCell ref="I3977:I3979"/>
    <mergeCell ref="J3977:J3979"/>
    <mergeCell ref="K3977:K3979"/>
    <mergeCell ref="M3977:M3979"/>
    <mergeCell ref="A3977:A3979"/>
    <mergeCell ref="B3977:B3979"/>
    <mergeCell ref="C3977:C3979"/>
    <mergeCell ref="D3977:D3979"/>
    <mergeCell ref="E3977:E3979"/>
    <mergeCell ref="F3977:F3979"/>
    <mergeCell ref="H3961:H3963"/>
    <mergeCell ref="G3961:G3963"/>
    <mergeCell ref="F3961:F3963"/>
    <mergeCell ref="E3961:E3963"/>
    <mergeCell ref="D3961:D3963"/>
    <mergeCell ref="C3961:C3963"/>
    <mergeCell ref="O3961:O3963"/>
    <mergeCell ref="N3961:N3963"/>
    <mergeCell ref="M3961:M3963"/>
    <mergeCell ref="K3961:K3963"/>
    <mergeCell ref="J3961:J3963"/>
    <mergeCell ref="I3961:I3963"/>
    <mergeCell ref="N3944:N3946"/>
    <mergeCell ref="O3944:O3946"/>
    <mergeCell ref="P3944:P3946"/>
    <mergeCell ref="Q3944:Q3946"/>
    <mergeCell ref="R3944:R3946"/>
    <mergeCell ref="A3961:A3963"/>
    <mergeCell ref="B3961:B3963"/>
    <mergeCell ref="R3961:R3963"/>
    <mergeCell ref="Q3961:Q3963"/>
    <mergeCell ref="P3961:P3963"/>
    <mergeCell ref="G3944:G3946"/>
    <mergeCell ref="H3944:H3946"/>
    <mergeCell ref="I3944:I3946"/>
    <mergeCell ref="J3944:J3946"/>
    <mergeCell ref="K3944:K3946"/>
    <mergeCell ref="M3944:M3946"/>
    <mergeCell ref="A3944:A3946"/>
    <mergeCell ref="B3944:B3946"/>
    <mergeCell ref="C3944:C3946"/>
    <mergeCell ref="D3944:D3946"/>
    <mergeCell ref="E3944:E3946"/>
    <mergeCell ref="F3944:F3946"/>
    <mergeCell ref="M3896:M3898"/>
    <mergeCell ref="N3896:N3898"/>
    <mergeCell ref="O3896:O3898"/>
    <mergeCell ref="P3896:P3898"/>
    <mergeCell ref="Q3896:Q3898"/>
    <mergeCell ref="R3896:R3898"/>
    <mergeCell ref="F3896:F3898"/>
    <mergeCell ref="G3896:G3898"/>
    <mergeCell ref="H3896:H3898"/>
    <mergeCell ref="I3896:I3898"/>
    <mergeCell ref="J3896:J3898"/>
    <mergeCell ref="K3896:K3898"/>
    <mergeCell ref="N3836:N3838"/>
    <mergeCell ref="O3836:O3838"/>
    <mergeCell ref="P3836:P3838"/>
    <mergeCell ref="Q3836:Q3838"/>
    <mergeCell ref="R3836:R3838"/>
    <mergeCell ref="A3896:A3898"/>
    <mergeCell ref="B3896:B3898"/>
    <mergeCell ref="C3896:C3898"/>
    <mergeCell ref="D3896:D3898"/>
    <mergeCell ref="E3896:E3898"/>
    <mergeCell ref="G3836:G3838"/>
    <mergeCell ref="H3836:H3838"/>
    <mergeCell ref="I3836:I3838"/>
    <mergeCell ref="J3836:J3838"/>
    <mergeCell ref="K3836:K3838"/>
    <mergeCell ref="M3836:M3838"/>
    <mergeCell ref="A3836:A3838"/>
    <mergeCell ref="B3836:B3838"/>
    <mergeCell ref="C3836:C3838"/>
    <mergeCell ref="D3836:D3838"/>
    <mergeCell ref="E3836:E3838"/>
    <mergeCell ref="F3836:F3838"/>
    <mergeCell ref="M3832:M3834"/>
    <mergeCell ref="N3832:N3834"/>
    <mergeCell ref="O3832:O3834"/>
    <mergeCell ref="P3832:P3834"/>
    <mergeCell ref="Q3832:Q3834"/>
    <mergeCell ref="R3832:R3834"/>
    <mergeCell ref="F3832:F3834"/>
    <mergeCell ref="G3832:G3834"/>
    <mergeCell ref="H3832:H3834"/>
    <mergeCell ref="I3832:I3834"/>
    <mergeCell ref="J3832:J3834"/>
    <mergeCell ref="K3832:K3834"/>
    <mergeCell ref="N3816:N3820"/>
    <mergeCell ref="O3816:O3820"/>
    <mergeCell ref="P3816:P3820"/>
    <mergeCell ref="Q3816:Q3820"/>
    <mergeCell ref="R3816:R3820"/>
    <mergeCell ref="A3832:A3834"/>
    <mergeCell ref="B3832:B3834"/>
    <mergeCell ref="C3832:C3834"/>
    <mergeCell ref="D3832:D3834"/>
    <mergeCell ref="E3832:E3834"/>
    <mergeCell ref="G3816:G3820"/>
    <mergeCell ref="H3816:H3820"/>
    <mergeCell ref="I3816:I3820"/>
    <mergeCell ref="J3816:J3820"/>
    <mergeCell ref="K3816:K3820"/>
    <mergeCell ref="M3816:M3820"/>
    <mergeCell ref="A3816:A3820"/>
    <mergeCell ref="B3816:B3820"/>
    <mergeCell ref="C3816:C3820"/>
    <mergeCell ref="D3816:D3820"/>
    <mergeCell ref="E3816:E3820"/>
    <mergeCell ref="F3816:F3820"/>
    <mergeCell ref="M3813:M3815"/>
    <mergeCell ref="N3813:N3815"/>
    <mergeCell ref="O3813:O3815"/>
    <mergeCell ref="P3813:P3815"/>
    <mergeCell ref="Q3813:Q3815"/>
    <mergeCell ref="R3813:R3815"/>
    <mergeCell ref="F3813:F3815"/>
    <mergeCell ref="G3813:G3815"/>
    <mergeCell ref="H3813:H3815"/>
    <mergeCell ref="I3813:I3815"/>
    <mergeCell ref="J3813:J3815"/>
    <mergeCell ref="K3813:K3815"/>
    <mergeCell ref="N3809:N3811"/>
    <mergeCell ref="O3809:O3811"/>
    <mergeCell ref="P3809:P3811"/>
    <mergeCell ref="Q3809:Q3811"/>
    <mergeCell ref="R3809:R3811"/>
    <mergeCell ref="A3813:A3815"/>
    <mergeCell ref="B3813:B3815"/>
    <mergeCell ref="C3813:C3815"/>
    <mergeCell ref="D3813:D3815"/>
    <mergeCell ref="E3813:E3815"/>
    <mergeCell ref="G3809:G3811"/>
    <mergeCell ref="H3809:H3811"/>
    <mergeCell ref="I3809:I3811"/>
    <mergeCell ref="J3809:J3811"/>
    <mergeCell ref="K3809:K3811"/>
    <mergeCell ref="M3809:M3811"/>
    <mergeCell ref="A3809:A3811"/>
    <mergeCell ref="B3809:B3811"/>
    <mergeCell ref="C3809:C3811"/>
    <mergeCell ref="D3809:D3811"/>
    <mergeCell ref="E3809:E3811"/>
    <mergeCell ref="F3809:F3811"/>
    <mergeCell ref="M3793:M3797"/>
    <mergeCell ref="N3793:N3797"/>
    <mergeCell ref="O3793:O3797"/>
    <mergeCell ref="P3793:P3797"/>
    <mergeCell ref="Q3793:Q3797"/>
    <mergeCell ref="R3793:R3797"/>
    <mergeCell ref="F3793:F3797"/>
    <mergeCell ref="G3793:G3797"/>
    <mergeCell ref="H3793:H3797"/>
    <mergeCell ref="I3793:I3797"/>
    <mergeCell ref="J3793:J3797"/>
    <mergeCell ref="K3793:K3797"/>
    <mergeCell ref="N3787:N3789"/>
    <mergeCell ref="O3787:O3789"/>
    <mergeCell ref="P3787:P3789"/>
    <mergeCell ref="Q3787:Q3789"/>
    <mergeCell ref="R3787:R3789"/>
    <mergeCell ref="A3793:A3797"/>
    <mergeCell ref="B3793:B3797"/>
    <mergeCell ref="C3793:C3797"/>
    <mergeCell ref="D3793:D3797"/>
    <mergeCell ref="E3793:E3797"/>
    <mergeCell ref="G3787:G3789"/>
    <mergeCell ref="H3787:H3789"/>
    <mergeCell ref="I3787:I3789"/>
    <mergeCell ref="J3787:J3789"/>
    <mergeCell ref="K3787:K3789"/>
    <mergeCell ref="M3787:M3789"/>
    <mergeCell ref="A3787:A3789"/>
    <mergeCell ref="B3787:B3789"/>
    <mergeCell ref="C3787:C3789"/>
    <mergeCell ref="D3787:D3789"/>
    <mergeCell ref="E3787:E3789"/>
    <mergeCell ref="F3787:F3789"/>
    <mergeCell ref="M3776:M3782"/>
    <mergeCell ref="N3776:N3782"/>
    <mergeCell ref="O3776:O3782"/>
    <mergeCell ref="P3776:P3782"/>
    <mergeCell ref="Q3776:Q3782"/>
    <mergeCell ref="R3776:R3782"/>
    <mergeCell ref="F3776:F3782"/>
    <mergeCell ref="G3776:G3782"/>
    <mergeCell ref="H3776:H3782"/>
    <mergeCell ref="I3776:I3782"/>
    <mergeCell ref="J3776:J3782"/>
    <mergeCell ref="K3776:K3782"/>
    <mergeCell ref="N3761:N3763"/>
    <mergeCell ref="O3761:O3763"/>
    <mergeCell ref="P3761:P3763"/>
    <mergeCell ref="Q3761:Q3763"/>
    <mergeCell ref="R3761:R3763"/>
    <mergeCell ref="A3776:A3782"/>
    <mergeCell ref="B3776:B3782"/>
    <mergeCell ref="C3776:C3782"/>
    <mergeCell ref="D3776:D3782"/>
    <mergeCell ref="E3776:E3782"/>
    <mergeCell ref="G3761:G3763"/>
    <mergeCell ref="H3761:H3763"/>
    <mergeCell ref="I3761:I3763"/>
    <mergeCell ref="J3761:J3763"/>
    <mergeCell ref="K3761:K3763"/>
    <mergeCell ref="M3761:M3763"/>
    <mergeCell ref="A3761:A3763"/>
    <mergeCell ref="B3761:B3763"/>
    <mergeCell ref="C3761:C3763"/>
    <mergeCell ref="D3761:D3763"/>
    <mergeCell ref="E3761:E3763"/>
    <mergeCell ref="F3761:F3763"/>
    <mergeCell ref="M3757:M3759"/>
    <mergeCell ref="N3757:N3759"/>
    <mergeCell ref="O3757:O3759"/>
    <mergeCell ref="P3757:P3759"/>
    <mergeCell ref="Q3757:Q3759"/>
    <mergeCell ref="R3757:R3759"/>
    <mergeCell ref="F3757:F3759"/>
    <mergeCell ref="G3757:G3759"/>
    <mergeCell ref="H3757:H3759"/>
    <mergeCell ref="I3757:I3759"/>
    <mergeCell ref="J3757:J3759"/>
    <mergeCell ref="K3757:K3759"/>
    <mergeCell ref="N3736:N3738"/>
    <mergeCell ref="O3736:O3738"/>
    <mergeCell ref="P3736:P3738"/>
    <mergeCell ref="Q3736:Q3738"/>
    <mergeCell ref="R3736:R3738"/>
    <mergeCell ref="A3757:A3759"/>
    <mergeCell ref="B3757:B3759"/>
    <mergeCell ref="C3757:C3759"/>
    <mergeCell ref="D3757:D3759"/>
    <mergeCell ref="E3757:E3759"/>
    <mergeCell ref="G3736:G3738"/>
    <mergeCell ref="H3736:H3738"/>
    <mergeCell ref="I3736:I3738"/>
    <mergeCell ref="J3736:J3738"/>
    <mergeCell ref="K3736:K3738"/>
    <mergeCell ref="M3736:M3738"/>
    <mergeCell ref="A3736:A3738"/>
    <mergeCell ref="B3736:B3738"/>
    <mergeCell ref="C3736:C3738"/>
    <mergeCell ref="D3736:D3738"/>
    <mergeCell ref="E3736:E3738"/>
    <mergeCell ref="F3736:F3738"/>
    <mergeCell ref="M3730:M3732"/>
    <mergeCell ref="N3730:N3732"/>
    <mergeCell ref="O3730:O3732"/>
    <mergeCell ref="P3730:P3732"/>
    <mergeCell ref="Q3730:Q3732"/>
    <mergeCell ref="R3730:R3732"/>
    <mergeCell ref="F3730:F3732"/>
    <mergeCell ref="G3730:G3732"/>
    <mergeCell ref="H3730:H3732"/>
    <mergeCell ref="I3730:I3732"/>
    <mergeCell ref="J3730:J3732"/>
    <mergeCell ref="K3730:K3732"/>
    <mergeCell ref="N3723:N3725"/>
    <mergeCell ref="O3723:O3725"/>
    <mergeCell ref="P3723:P3725"/>
    <mergeCell ref="Q3723:Q3725"/>
    <mergeCell ref="R3723:R3725"/>
    <mergeCell ref="A3730:A3732"/>
    <mergeCell ref="B3730:B3732"/>
    <mergeCell ref="C3730:C3732"/>
    <mergeCell ref="D3730:D3732"/>
    <mergeCell ref="E3730:E3732"/>
    <mergeCell ref="G3723:G3725"/>
    <mergeCell ref="H3723:H3725"/>
    <mergeCell ref="I3723:I3725"/>
    <mergeCell ref="J3723:J3725"/>
    <mergeCell ref="K3723:K3725"/>
    <mergeCell ref="M3723:M3725"/>
    <mergeCell ref="A3723:A3725"/>
    <mergeCell ref="B3723:B3725"/>
    <mergeCell ref="C3723:C3725"/>
    <mergeCell ref="D3723:D3725"/>
    <mergeCell ref="E3723:E3725"/>
    <mergeCell ref="F3723:F3725"/>
    <mergeCell ref="M3690:M3692"/>
    <mergeCell ref="N3690:N3692"/>
    <mergeCell ref="O3690:O3692"/>
    <mergeCell ref="P3690:P3692"/>
    <mergeCell ref="Q3690:Q3692"/>
    <mergeCell ref="R3690:R3692"/>
    <mergeCell ref="F3690:F3692"/>
    <mergeCell ref="G3690:G3692"/>
    <mergeCell ref="H3690:H3692"/>
    <mergeCell ref="I3690:I3692"/>
    <mergeCell ref="J3690:J3692"/>
    <mergeCell ref="K3690:K3692"/>
    <mergeCell ref="N3671:N3675"/>
    <mergeCell ref="O3671:O3675"/>
    <mergeCell ref="P3671:P3675"/>
    <mergeCell ref="Q3671:Q3675"/>
    <mergeCell ref="R3671:R3675"/>
    <mergeCell ref="A3690:A3692"/>
    <mergeCell ref="B3690:B3692"/>
    <mergeCell ref="C3690:C3692"/>
    <mergeCell ref="D3690:D3692"/>
    <mergeCell ref="E3690:E3692"/>
    <mergeCell ref="G3671:G3675"/>
    <mergeCell ref="H3671:H3675"/>
    <mergeCell ref="I3671:I3675"/>
    <mergeCell ref="J3671:J3675"/>
    <mergeCell ref="K3671:K3675"/>
    <mergeCell ref="M3671:M3675"/>
    <mergeCell ref="A3671:A3675"/>
    <mergeCell ref="B3671:B3675"/>
    <mergeCell ref="C3671:C3675"/>
    <mergeCell ref="D3671:D3675"/>
    <mergeCell ref="E3671:E3675"/>
    <mergeCell ref="F3671:F3675"/>
    <mergeCell ref="M3666:M3670"/>
    <mergeCell ref="N3666:N3670"/>
    <mergeCell ref="O3666:O3670"/>
    <mergeCell ref="P3666:P3670"/>
    <mergeCell ref="Q3666:Q3670"/>
    <mergeCell ref="R3666:R3670"/>
    <mergeCell ref="F3666:F3670"/>
    <mergeCell ref="G3666:G3670"/>
    <mergeCell ref="H3666:H3670"/>
    <mergeCell ref="I3666:I3670"/>
    <mergeCell ref="J3666:J3670"/>
    <mergeCell ref="K3666:K3670"/>
    <mergeCell ref="N3661:N3665"/>
    <mergeCell ref="O3661:O3665"/>
    <mergeCell ref="P3661:P3665"/>
    <mergeCell ref="Q3661:Q3665"/>
    <mergeCell ref="R3661:R3665"/>
    <mergeCell ref="A3666:A3670"/>
    <mergeCell ref="B3666:B3670"/>
    <mergeCell ref="C3666:C3670"/>
    <mergeCell ref="D3666:D3670"/>
    <mergeCell ref="E3666:E3670"/>
    <mergeCell ref="G3661:G3665"/>
    <mergeCell ref="H3661:H3665"/>
    <mergeCell ref="I3661:I3665"/>
    <mergeCell ref="J3661:J3665"/>
    <mergeCell ref="K3661:K3665"/>
    <mergeCell ref="M3661:M3665"/>
    <mergeCell ref="A3661:A3665"/>
    <mergeCell ref="B3661:B3665"/>
    <mergeCell ref="C3661:C3665"/>
    <mergeCell ref="D3661:D3665"/>
    <mergeCell ref="E3661:E3665"/>
    <mergeCell ref="F3661:F3665"/>
    <mergeCell ref="M3656:M3660"/>
    <mergeCell ref="N3656:N3660"/>
    <mergeCell ref="O3656:O3660"/>
    <mergeCell ref="P3656:P3660"/>
    <mergeCell ref="Q3656:Q3660"/>
    <mergeCell ref="R3656:R3660"/>
    <mergeCell ref="F3656:F3660"/>
    <mergeCell ref="G3656:G3660"/>
    <mergeCell ref="H3656:H3660"/>
    <mergeCell ref="I3656:I3660"/>
    <mergeCell ref="J3656:J3660"/>
    <mergeCell ref="K3656:K3660"/>
    <mergeCell ref="N3651:N3655"/>
    <mergeCell ref="O3651:O3655"/>
    <mergeCell ref="P3651:P3655"/>
    <mergeCell ref="Q3651:Q3655"/>
    <mergeCell ref="R3651:R3655"/>
    <mergeCell ref="A3656:A3660"/>
    <mergeCell ref="B3656:B3660"/>
    <mergeCell ref="C3656:C3660"/>
    <mergeCell ref="D3656:D3660"/>
    <mergeCell ref="E3656:E3660"/>
    <mergeCell ref="G3651:G3655"/>
    <mergeCell ref="H3651:H3655"/>
    <mergeCell ref="I3651:I3655"/>
    <mergeCell ref="J3651:J3655"/>
    <mergeCell ref="K3651:K3655"/>
    <mergeCell ref="M3651:M3655"/>
    <mergeCell ref="A3651:A3655"/>
    <mergeCell ref="B3651:B3655"/>
    <mergeCell ref="C3651:C3655"/>
    <mergeCell ref="D3651:D3655"/>
    <mergeCell ref="E3651:E3655"/>
    <mergeCell ref="F3651:F3655"/>
    <mergeCell ref="M3646:M3650"/>
    <mergeCell ref="N3646:N3650"/>
    <mergeCell ref="O3646:O3650"/>
    <mergeCell ref="P3646:P3650"/>
    <mergeCell ref="Q3646:Q3650"/>
    <mergeCell ref="R3646:R3650"/>
    <mergeCell ref="F3646:F3650"/>
    <mergeCell ref="G3646:G3650"/>
    <mergeCell ref="H3646:H3650"/>
    <mergeCell ref="I3646:I3650"/>
    <mergeCell ref="J3646:J3650"/>
    <mergeCell ref="K3646:K3650"/>
    <mergeCell ref="N3616:N3618"/>
    <mergeCell ref="O3616:O3618"/>
    <mergeCell ref="P3616:P3618"/>
    <mergeCell ref="Q3616:Q3618"/>
    <mergeCell ref="R3616:R3618"/>
    <mergeCell ref="A3646:A3650"/>
    <mergeCell ref="B3646:B3650"/>
    <mergeCell ref="C3646:C3650"/>
    <mergeCell ref="D3646:D3650"/>
    <mergeCell ref="E3646:E3650"/>
    <mergeCell ref="G3616:G3618"/>
    <mergeCell ref="H3616:H3618"/>
    <mergeCell ref="I3616:I3618"/>
    <mergeCell ref="J3616:J3618"/>
    <mergeCell ref="K3616:K3618"/>
    <mergeCell ref="M3616:M3618"/>
    <mergeCell ref="A3616:A3618"/>
    <mergeCell ref="B3616:B3618"/>
    <mergeCell ref="C3616:C3618"/>
    <mergeCell ref="D3616:D3618"/>
    <mergeCell ref="E3616:E3618"/>
    <mergeCell ref="F3616:F3618"/>
    <mergeCell ref="M3606:M3607"/>
    <mergeCell ref="N3606:N3607"/>
    <mergeCell ref="O3606:O3607"/>
    <mergeCell ref="P3606:P3607"/>
    <mergeCell ref="Q3606:Q3607"/>
    <mergeCell ref="R3606:R3607"/>
    <mergeCell ref="F3606:F3607"/>
    <mergeCell ref="G3606:G3607"/>
    <mergeCell ref="H3606:H3607"/>
    <mergeCell ref="I3606:I3607"/>
    <mergeCell ref="J3606:J3607"/>
    <mergeCell ref="K3606:K3607"/>
    <mergeCell ref="N3604:N3605"/>
    <mergeCell ref="O3604:O3605"/>
    <mergeCell ref="P3604:P3605"/>
    <mergeCell ref="Q3604:Q3605"/>
    <mergeCell ref="R3604:R3605"/>
    <mergeCell ref="A3606:A3607"/>
    <mergeCell ref="B3606:B3607"/>
    <mergeCell ref="C3606:C3607"/>
    <mergeCell ref="D3606:D3607"/>
    <mergeCell ref="E3606:E3607"/>
    <mergeCell ref="G3604:G3605"/>
    <mergeCell ref="H3604:H3605"/>
    <mergeCell ref="I3604:I3605"/>
    <mergeCell ref="J3604:J3605"/>
    <mergeCell ref="K3604:K3605"/>
    <mergeCell ref="M3604:M3605"/>
    <mergeCell ref="A3604:A3605"/>
    <mergeCell ref="B3604:B3605"/>
    <mergeCell ref="C3604:C3605"/>
    <mergeCell ref="D3604:D3605"/>
    <mergeCell ref="E3604:E3605"/>
    <mergeCell ref="F3604:F3605"/>
    <mergeCell ref="M3602:M3603"/>
    <mergeCell ref="N3602:N3603"/>
    <mergeCell ref="O3602:O3603"/>
    <mergeCell ref="P3602:P3603"/>
    <mergeCell ref="Q3602:Q3603"/>
    <mergeCell ref="R3602:R3603"/>
    <mergeCell ref="F3602:F3603"/>
    <mergeCell ref="G3602:G3603"/>
    <mergeCell ref="H3602:H3603"/>
    <mergeCell ref="I3602:I3603"/>
    <mergeCell ref="J3602:J3603"/>
    <mergeCell ref="K3602:K3603"/>
    <mergeCell ref="N3587:N3589"/>
    <mergeCell ref="O3587:O3589"/>
    <mergeCell ref="P3587:P3589"/>
    <mergeCell ref="Q3587:Q3589"/>
    <mergeCell ref="R3587:R3589"/>
    <mergeCell ref="A3602:A3603"/>
    <mergeCell ref="B3602:B3603"/>
    <mergeCell ref="C3602:C3603"/>
    <mergeCell ref="D3602:D3603"/>
    <mergeCell ref="E3602:E3603"/>
    <mergeCell ref="G3587:G3589"/>
    <mergeCell ref="H3587:H3589"/>
    <mergeCell ref="I3587:I3589"/>
    <mergeCell ref="J3587:J3589"/>
    <mergeCell ref="K3587:K3589"/>
    <mergeCell ref="M3587:M3589"/>
    <mergeCell ref="A3587:A3589"/>
    <mergeCell ref="B3587:B3589"/>
    <mergeCell ref="C3587:C3589"/>
    <mergeCell ref="D3587:D3589"/>
    <mergeCell ref="E3587:E3589"/>
    <mergeCell ref="F3587:F3589"/>
    <mergeCell ref="M3568:M3570"/>
    <mergeCell ref="N3568:N3570"/>
    <mergeCell ref="O3568:O3570"/>
    <mergeCell ref="P3568:P3570"/>
    <mergeCell ref="Q3568:Q3570"/>
    <mergeCell ref="R3568:R3570"/>
    <mergeCell ref="F3568:F3570"/>
    <mergeCell ref="G3568:G3570"/>
    <mergeCell ref="H3568:H3570"/>
    <mergeCell ref="I3568:I3570"/>
    <mergeCell ref="J3568:J3570"/>
    <mergeCell ref="K3568:K3570"/>
    <mergeCell ref="N3557:N3559"/>
    <mergeCell ref="O3557:O3559"/>
    <mergeCell ref="P3557:P3559"/>
    <mergeCell ref="Q3557:Q3559"/>
    <mergeCell ref="R3557:R3559"/>
    <mergeCell ref="A3568:A3570"/>
    <mergeCell ref="B3568:B3570"/>
    <mergeCell ref="C3568:C3570"/>
    <mergeCell ref="D3568:D3570"/>
    <mergeCell ref="E3568:E3570"/>
    <mergeCell ref="G3557:G3559"/>
    <mergeCell ref="H3557:H3559"/>
    <mergeCell ref="I3557:I3559"/>
    <mergeCell ref="J3557:J3559"/>
    <mergeCell ref="K3557:K3559"/>
    <mergeCell ref="M3557:M3559"/>
    <mergeCell ref="A3557:A3559"/>
    <mergeCell ref="B3557:B3559"/>
    <mergeCell ref="C3557:C3559"/>
    <mergeCell ref="D3557:D3559"/>
    <mergeCell ref="E3557:E3559"/>
    <mergeCell ref="F3557:F3559"/>
    <mergeCell ref="M3542:M3544"/>
    <mergeCell ref="N3542:N3544"/>
    <mergeCell ref="O3542:O3544"/>
    <mergeCell ref="P3542:P3544"/>
    <mergeCell ref="Q3542:Q3544"/>
    <mergeCell ref="R3542:R3544"/>
    <mergeCell ref="F3542:F3544"/>
    <mergeCell ref="G3542:G3544"/>
    <mergeCell ref="H3542:H3544"/>
    <mergeCell ref="I3542:I3544"/>
    <mergeCell ref="J3542:J3544"/>
    <mergeCell ref="K3542:K3544"/>
    <mergeCell ref="N3538:N3540"/>
    <mergeCell ref="O3538:O3540"/>
    <mergeCell ref="P3538:P3540"/>
    <mergeCell ref="Q3538:Q3540"/>
    <mergeCell ref="R3538:R3540"/>
    <mergeCell ref="A3542:A3544"/>
    <mergeCell ref="B3542:B3544"/>
    <mergeCell ref="C3542:C3544"/>
    <mergeCell ref="D3542:D3544"/>
    <mergeCell ref="E3542:E3544"/>
    <mergeCell ref="G3538:G3540"/>
    <mergeCell ref="H3538:H3540"/>
    <mergeCell ref="I3538:I3540"/>
    <mergeCell ref="J3538:J3540"/>
    <mergeCell ref="K3538:K3540"/>
    <mergeCell ref="M3538:M3540"/>
    <mergeCell ref="A3538:A3540"/>
    <mergeCell ref="B3538:B3540"/>
    <mergeCell ref="C3538:C3540"/>
    <mergeCell ref="D3538:D3540"/>
    <mergeCell ref="E3538:E3540"/>
    <mergeCell ref="F3538:F3540"/>
    <mergeCell ref="M3508:M3510"/>
    <mergeCell ref="N3508:N3510"/>
    <mergeCell ref="O3508:O3510"/>
    <mergeCell ref="P3508:P3510"/>
    <mergeCell ref="Q3508:Q3510"/>
    <mergeCell ref="R3508:R3510"/>
    <mergeCell ref="F3508:F3510"/>
    <mergeCell ref="G3508:G3510"/>
    <mergeCell ref="H3508:H3510"/>
    <mergeCell ref="I3508:I3510"/>
    <mergeCell ref="J3508:J3510"/>
    <mergeCell ref="K3508:K3510"/>
    <mergeCell ref="N3503:N3505"/>
    <mergeCell ref="O3503:O3505"/>
    <mergeCell ref="P3503:P3505"/>
    <mergeCell ref="Q3503:Q3505"/>
    <mergeCell ref="R3503:R3505"/>
    <mergeCell ref="A3508:A3510"/>
    <mergeCell ref="B3508:B3510"/>
    <mergeCell ref="C3508:C3510"/>
    <mergeCell ref="D3508:D3510"/>
    <mergeCell ref="E3508:E3510"/>
    <mergeCell ref="G3503:G3505"/>
    <mergeCell ref="H3503:H3505"/>
    <mergeCell ref="I3503:I3505"/>
    <mergeCell ref="J3503:J3505"/>
    <mergeCell ref="K3503:K3505"/>
    <mergeCell ref="M3503:M3505"/>
    <mergeCell ref="A3503:A3505"/>
    <mergeCell ref="B3503:B3505"/>
    <mergeCell ref="C3503:C3505"/>
    <mergeCell ref="D3503:D3505"/>
    <mergeCell ref="E3503:E3505"/>
    <mergeCell ref="F3503:F3505"/>
    <mergeCell ref="M3479:M3481"/>
    <mergeCell ref="N3479:N3481"/>
    <mergeCell ref="O3479:O3481"/>
    <mergeCell ref="P3479:P3481"/>
    <mergeCell ref="Q3479:Q3481"/>
    <mergeCell ref="R3479:R3481"/>
    <mergeCell ref="F3479:F3481"/>
    <mergeCell ref="G3479:G3481"/>
    <mergeCell ref="H3479:H3481"/>
    <mergeCell ref="I3479:I3481"/>
    <mergeCell ref="J3479:J3481"/>
    <mergeCell ref="K3479:K3481"/>
    <mergeCell ref="N3455:N3457"/>
    <mergeCell ref="O3455:O3457"/>
    <mergeCell ref="P3455:P3457"/>
    <mergeCell ref="Q3455:Q3457"/>
    <mergeCell ref="R3455:R3457"/>
    <mergeCell ref="A3479:A3481"/>
    <mergeCell ref="B3479:B3481"/>
    <mergeCell ref="C3479:C3481"/>
    <mergeCell ref="D3479:D3481"/>
    <mergeCell ref="E3479:E3481"/>
    <mergeCell ref="G3455:G3457"/>
    <mergeCell ref="H3455:H3457"/>
    <mergeCell ref="I3455:I3457"/>
    <mergeCell ref="J3455:J3457"/>
    <mergeCell ref="K3455:K3457"/>
    <mergeCell ref="M3455:M3457"/>
    <mergeCell ref="A3455:A3457"/>
    <mergeCell ref="B3455:B3457"/>
    <mergeCell ref="C3455:C3457"/>
    <mergeCell ref="D3455:D3457"/>
    <mergeCell ref="E3455:E3457"/>
    <mergeCell ref="F3455:F3457"/>
    <mergeCell ref="M3421:M3423"/>
    <mergeCell ref="N3421:N3423"/>
    <mergeCell ref="O3421:O3423"/>
    <mergeCell ref="P3421:P3423"/>
    <mergeCell ref="Q3421:Q3423"/>
    <mergeCell ref="R3421:R3423"/>
    <mergeCell ref="F3421:F3423"/>
    <mergeCell ref="G3421:G3423"/>
    <mergeCell ref="H3421:H3423"/>
    <mergeCell ref="I3421:I3423"/>
    <mergeCell ref="J3421:J3423"/>
    <mergeCell ref="K3421:K3423"/>
    <mergeCell ref="N3413:N3414"/>
    <mergeCell ref="O3413:O3414"/>
    <mergeCell ref="P3413:P3414"/>
    <mergeCell ref="Q3413:Q3414"/>
    <mergeCell ref="R3413:R3414"/>
    <mergeCell ref="A3421:A3423"/>
    <mergeCell ref="B3421:B3423"/>
    <mergeCell ref="C3421:C3423"/>
    <mergeCell ref="D3421:D3423"/>
    <mergeCell ref="E3421:E3423"/>
    <mergeCell ref="G3413:G3414"/>
    <mergeCell ref="H3413:H3414"/>
    <mergeCell ref="I3413:I3414"/>
    <mergeCell ref="J3413:J3414"/>
    <mergeCell ref="K3413:K3414"/>
    <mergeCell ref="M3413:M3414"/>
    <mergeCell ref="A3413:A3414"/>
    <mergeCell ref="B3413:B3414"/>
    <mergeCell ref="C3413:C3414"/>
    <mergeCell ref="D3413:D3414"/>
    <mergeCell ref="E3413:E3414"/>
    <mergeCell ref="F3413:F3414"/>
    <mergeCell ref="M3411:M3412"/>
    <mergeCell ref="N3411:N3412"/>
    <mergeCell ref="O3411:O3412"/>
    <mergeCell ref="P3411:P3412"/>
    <mergeCell ref="Q3411:Q3412"/>
    <mergeCell ref="R3411:R3412"/>
    <mergeCell ref="F3411:F3412"/>
    <mergeCell ref="G3411:G3412"/>
    <mergeCell ref="H3411:H3412"/>
    <mergeCell ref="I3411:I3412"/>
    <mergeCell ref="J3411:J3412"/>
    <mergeCell ref="K3411:K3412"/>
    <mergeCell ref="N3409:N3410"/>
    <mergeCell ref="O3409:O3410"/>
    <mergeCell ref="P3409:P3410"/>
    <mergeCell ref="Q3409:Q3410"/>
    <mergeCell ref="R3409:R3410"/>
    <mergeCell ref="A3411:A3412"/>
    <mergeCell ref="B3411:B3412"/>
    <mergeCell ref="C3411:C3412"/>
    <mergeCell ref="D3411:D3412"/>
    <mergeCell ref="E3411:E3412"/>
    <mergeCell ref="G3409:G3410"/>
    <mergeCell ref="H3409:H3410"/>
    <mergeCell ref="I3409:I3410"/>
    <mergeCell ref="J3409:J3410"/>
    <mergeCell ref="K3409:K3410"/>
    <mergeCell ref="M3409:M3410"/>
    <mergeCell ref="A3409:A3410"/>
    <mergeCell ref="B3409:B3410"/>
    <mergeCell ref="C3409:C3410"/>
    <mergeCell ref="D3409:D3410"/>
    <mergeCell ref="E3409:E3410"/>
    <mergeCell ref="F3409:F3410"/>
    <mergeCell ref="M3359:M3361"/>
    <mergeCell ref="N3359:N3361"/>
    <mergeCell ref="O3359:O3361"/>
    <mergeCell ref="P3359:P3361"/>
    <mergeCell ref="Q3359:Q3361"/>
    <mergeCell ref="R3359:R3361"/>
    <mergeCell ref="F3359:F3361"/>
    <mergeCell ref="G3359:G3361"/>
    <mergeCell ref="H3359:H3361"/>
    <mergeCell ref="I3359:I3361"/>
    <mergeCell ref="J3359:J3361"/>
    <mergeCell ref="K3359:K3361"/>
    <mergeCell ref="N3338:N3342"/>
    <mergeCell ref="O3338:O3342"/>
    <mergeCell ref="P3338:P3342"/>
    <mergeCell ref="Q3338:Q3342"/>
    <mergeCell ref="R3338:R3342"/>
    <mergeCell ref="A3359:A3361"/>
    <mergeCell ref="B3359:B3361"/>
    <mergeCell ref="C3359:C3361"/>
    <mergeCell ref="D3359:D3361"/>
    <mergeCell ref="E3359:E3361"/>
    <mergeCell ref="G3338:G3342"/>
    <mergeCell ref="H3338:H3342"/>
    <mergeCell ref="I3338:I3342"/>
    <mergeCell ref="J3338:J3342"/>
    <mergeCell ref="K3338:K3342"/>
    <mergeCell ref="M3338:M3342"/>
    <mergeCell ref="A3338:A3342"/>
    <mergeCell ref="B3338:B3342"/>
    <mergeCell ref="C3338:C3342"/>
    <mergeCell ref="D3338:D3342"/>
    <mergeCell ref="E3338:E3342"/>
    <mergeCell ref="F3338:F3342"/>
    <mergeCell ref="M3333:M3337"/>
    <mergeCell ref="N3333:N3337"/>
    <mergeCell ref="O3333:O3337"/>
    <mergeCell ref="P3333:P3337"/>
    <mergeCell ref="Q3333:Q3337"/>
    <mergeCell ref="R3333:R3337"/>
    <mergeCell ref="F3333:F3337"/>
    <mergeCell ref="G3333:G3337"/>
    <mergeCell ref="H3333:H3337"/>
    <mergeCell ref="I3333:I3337"/>
    <mergeCell ref="J3333:J3337"/>
    <mergeCell ref="K3333:K3337"/>
    <mergeCell ref="N3328:N3332"/>
    <mergeCell ref="O3328:O3332"/>
    <mergeCell ref="P3328:P3332"/>
    <mergeCell ref="Q3328:Q3332"/>
    <mergeCell ref="R3328:R3332"/>
    <mergeCell ref="A3333:A3337"/>
    <mergeCell ref="B3333:B3337"/>
    <mergeCell ref="C3333:C3337"/>
    <mergeCell ref="D3333:D3337"/>
    <mergeCell ref="E3333:E3337"/>
    <mergeCell ref="G3328:G3332"/>
    <mergeCell ref="H3328:H3332"/>
    <mergeCell ref="I3328:I3332"/>
    <mergeCell ref="J3328:J3332"/>
    <mergeCell ref="K3328:K3332"/>
    <mergeCell ref="M3328:M3332"/>
    <mergeCell ref="A3328:A3332"/>
    <mergeCell ref="B3328:B3332"/>
    <mergeCell ref="C3328:C3332"/>
    <mergeCell ref="D3328:D3332"/>
    <mergeCell ref="E3328:E3332"/>
    <mergeCell ref="F3328:F3332"/>
    <mergeCell ref="M3323:M3327"/>
    <mergeCell ref="N3323:N3327"/>
    <mergeCell ref="O3323:O3327"/>
    <mergeCell ref="P3323:P3327"/>
    <mergeCell ref="Q3323:Q3327"/>
    <mergeCell ref="R3323:R3327"/>
    <mergeCell ref="F3323:F3327"/>
    <mergeCell ref="G3323:G3327"/>
    <mergeCell ref="H3323:H3327"/>
    <mergeCell ref="I3323:I3327"/>
    <mergeCell ref="J3323:J3327"/>
    <mergeCell ref="K3323:K3327"/>
    <mergeCell ref="N3318:N3322"/>
    <mergeCell ref="O3318:O3322"/>
    <mergeCell ref="P3318:P3322"/>
    <mergeCell ref="Q3318:Q3322"/>
    <mergeCell ref="R3318:R3322"/>
    <mergeCell ref="A3323:A3327"/>
    <mergeCell ref="B3323:B3327"/>
    <mergeCell ref="C3323:C3327"/>
    <mergeCell ref="D3323:D3327"/>
    <mergeCell ref="E3323:E3327"/>
    <mergeCell ref="G3318:G3322"/>
    <mergeCell ref="H3318:H3322"/>
    <mergeCell ref="I3318:I3322"/>
    <mergeCell ref="J3318:J3322"/>
    <mergeCell ref="K3318:K3322"/>
    <mergeCell ref="M3318:M3322"/>
    <mergeCell ref="A3318:A3322"/>
    <mergeCell ref="B3318:B3322"/>
    <mergeCell ref="C3318:C3322"/>
    <mergeCell ref="D3318:D3322"/>
    <mergeCell ref="E3318:E3322"/>
    <mergeCell ref="F3318:F3322"/>
    <mergeCell ref="M3313:M3317"/>
    <mergeCell ref="N3313:N3317"/>
    <mergeCell ref="O3313:O3317"/>
    <mergeCell ref="P3313:P3317"/>
    <mergeCell ref="Q3313:Q3317"/>
    <mergeCell ref="R3313:R3317"/>
    <mergeCell ref="F3313:F3317"/>
    <mergeCell ref="G3313:G3317"/>
    <mergeCell ref="H3313:H3317"/>
    <mergeCell ref="I3313:I3317"/>
    <mergeCell ref="J3313:J3317"/>
    <mergeCell ref="K3313:K3317"/>
    <mergeCell ref="N3286:N3288"/>
    <mergeCell ref="O3286:O3288"/>
    <mergeCell ref="P3286:P3288"/>
    <mergeCell ref="Q3286:Q3288"/>
    <mergeCell ref="R3286:R3288"/>
    <mergeCell ref="A3313:A3317"/>
    <mergeCell ref="B3313:B3317"/>
    <mergeCell ref="C3313:C3317"/>
    <mergeCell ref="D3313:D3317"/>
    <mergeCell ref="E3313:E3317"/>
    <mergeCell ref="G3286:G3288"/>
    <mergeCell ref="H3286:H3288"/>
    <mergeCell ref="I3286:I3288"/>
    <mergeCell ref="J3286:J3288"/>
    <mergeCell ref="K3286:K3288"/>
    <mergeCell ref="M3286:M3288"/>
    <mergeCell ref="A3286:A3288"/>
    <mergeCell ref="B3286:B3288"/>
    <mergeCell ref="C3286:C3288"/>
    <mergeCell ref="D3286:D3288"/>
    <mergeCell ref="E3286:E3288"/>
    <mergeCell ref="F3286:F3288"/>
    <mergeCell ref="M3278:M3279"/>
    <mergeCell ref="N3278:N3279"/>
    <mergeCell ref="O3278:O3279"/>
    <mergeCell ref="P3278:P3279"/>
    <mergeCell ref="Q3278:Q3279"/>
    <mergeCell ref="R3278:R3279"/>
    <mergeCell ref="F3278:F3279"/>
    <mergeCell ref="G3278:G3279"/>
    <mergeCell ref="H3278:H3279"/>
    <mergeCell ref="I3278:I3279"/>
    <mergeCell ref="J3278:J3279"/>
    <mergeCell ref="K3278:K3279"/>
    <mergeCell ref="N3276:N3277"/>
    <mergeCell ref="O3276:O3277"/>
    <mergeCell ref="P3276:P3277"/>
    <mergeCell ref="Q3276:Q3277"/>
    <mergeCell ref="R3276:R3277"/>
    <mergeCell ref="A3278:A3279"/>
    <mergeCell ref="B3278:B3279"/>
    <mergeCell ref="C3278:C3279"/>
    <mergeCell ref="D3278:D3279"/>
    <mergeCell ref="E3278:E3279"/>
    <mergeCell ref="G3276:G3277"/>
    <mergeCell ref="H3276:H3277"/>
    <mergeCell ref="I3276:I3277"/>
    <mergeCell ref="J3276:J3277"/>
    <mergeCell ref="K3276:K3277"/>
    <mergeCell ref="M3276:M3277"/>
    <mergeCell ref="A3276:A3277"/>
    <mergeCell ref="B3276:B3277"/>
    <mergeCell ref="C3276:C3277"/>
    <mergeCell ref="D3276:D3277"/>
    <mergeCell ref="E3276:E3277"/>
    <mergeCell ref="F3276:F3277"/>
    <mergeCell ref="M3274:M3275"/>
    <mergeCell ref="N3274:N3275"/>
    <mergeCell ref="O3274:O3275"/>
    <mergeCell ref="P3274:P3275"/>
    <mergeCell ref="Q3274:Q3275"/>
    <mergeCell ref="R3274:R3275"/>
    <mergeCell ref="F3274:F3275"/>
    <mergeCell ref="G3274:G3275"/>
    <mergeCell ref="H3274:H3275"/>
    <mergeCell ref="I3274:I3275"/>
    <mergeCell ref="J3274:J3275"/>
    <mergeCell ref="K3274:K3275"/>
    <mergeCell ref="N3265:N3267"/>
    <mergeCell ref="O3265:O3267"/>
    <mergeCell ref="P3265:P3267"/>
    <mergeCell ref="Q3265:Q3267"/>
    <mergeCell ref="R3265:R3267"/>
    <mergeCell ref="A3274:A3275"/>
    <mergeCell ref="B3274:B3275"/>
    <mergeCell ref="C3274:C3275"/>
    <mergeCell ref="D3274:D3275"/>
    <mergeCell ref="E3274:E3275"/>
    <mergeCell ref="G3265:G3267"/>
    <mergeCell ref="H3265:H3267"/>
    <mergeCell ref="I3265:I3267"/>
    <mergeCell ref="J3265:J3267"/>
    <mergeCell ref="K3265:K3267"/>
    <mergeCell ref="M3265:M3267"/>
    <mergeCell ref="A3265:A3267"/>
    <mergeCell ref="B3265:B3267"/>
    <mergeCell ref="C3265:C3267"/>
    <mergeCell ref="D3265:D3267"/>
    <mergeCell ref="E3265:E3267"/>
    <mergeCell ref="F3265:F3267"/>
    <mergeCell ref="M3248:M3250"/>
    <mergeCell ref="N3248:N3250"/>
    <mergeCell ref="O3248:O3250"/>
    <mergeCell ref="P3248:P3250"/>
    <mergeCell ref="Q3248:Q3250"/>
    <mergeCell ref="R3248:R3250"/>
    <mergeCell ref="F3248:F3250"/>
    <mergeCell ref="G3248:G3250"/>
    <mergeCell ref="H3248:H3250"/>
    <mergeCell ref="I3248:I3250"/>
    <mergeCell ref="J3248:J3250"/>
    <mergeCell ref="K3248:K3250"/>
    <mergeCell ref="N3229:N3231"/>
    <mergeCell ref="O3229:O3231"/>
    <mergeCell ref="P3229:P3231"/>
    <mergeCell ref="Q3229:Q3231"/>
    <mergeCell ref="R3229:R3231"/>
    <mergeCell ref="A3248:A3250"/>
    <mergeCell ref="B3248:B3250"/>
    <mergeCell ref="C3248:C3250"/>
    <mergeCell ref="D3248:D3250"/>
    <mergeCell ref="E3248:E3250"/>
    <mergeCell ref="G3229:G3231"/>
    <mergeCell ref="H3229:H3231"/>
    <mergeCell ref="I3229:I3231"/>
    <mergeCell ref="J3229:J3231"/>
    <mergeCell ref="K3229:K3231"/>
    <mergeCell ref="M3229:M3231"/>
    <mergeCell ref="A3229:A3231"/>
    <mergeCell ref="B3229:B3231"/>
    <mergeCell ref="C3229:C3231"/>
    <mergeCell ref="D3229:D3231"/>
    <mergeCell ref="E3229:E3231"/>
    <mergeCell ref="F3229:F3231"/>
    <mergeCell ref="M3206:M3208"/>
    <mergeCell ref="N3206:N3208"/>
    <mergeCell ref="O3206:O3208"/>
    <mergeCell ref="P3206:P3208"/>
    <mergeCell ref="Q3206:Q3208"/>
    <mergeCell ref="R3206:R3208"/>
    <mergeCell ref="F3206:F3208"/>
    <mergeCell ref="G3206:G3208"/>
    <mergeCell ref="H3206:H3208"/>
    <mergeCell ref="I3206:I3208"/>
    <mergeCell ref="J3206:J3208"/>
    <mergeCell ref="K3206:K3208"/>
    <mergeCell ref="N3203:N3205"/>
    <mergeCell ref="O3203:O3205"/>
    <mergeCell ref="P3203:P3205"/>
    <mergeCell ref="Q3203:Q3205"/>
    <mergeCell ref="R3203:R3205"/>
    <mergeCell ref="A3206:A3208"/>
    <mergeCell ref="B3206:B3208"/>
    <mergeCell ref="C3206:C3208"/>
    <mergeCell ref="D3206:D3208"/>
    <mergeCell ref="E3206:E3208"/>
    <mergeCell ref="G3203:G3205"/>
    <mergeCell ref="H3203:H3205"/>
    <mergeCell ref="I3203:I3205"/>
    <mergeCell ref="J3203:J3205"/>
    <mergeCell ref="K3203:K3205"/>
    <mergeCell ref="M3203:M3205"/>
    <mergeCell ref="A3203:A3205"/>
    <mergeCell ref="B3203:B3205"/>
    <mergeCell ref="C3203:C3205"/>
    <mergeCell ref="D3203:D3205"/>
    <mergeCell ref="E3203:E3205"/>
    <mergeCell ref="F3203:F3205"/>
    <mergeCell ref="M3180:M3182"/>
    <mergeCell ref="N3180:N3182"/>
    <mergeCell ref="O3180:O3182"/>
    <mergeCell ref="P3180:P3182"/>
    <mergeCell ref="Q3180:Q3182"/>
    <mergeCell ref="R3180:R3182"/>
    <mergeCell ref="F3180:F3182"/>
    <mergeCell ref="G3180:G3182"/>
    <mergeCell ref="H3180:H3182"/>
    <mergeCell ref="I3180:I3182"/>
    <mergeCell ref="J3180:J3182"/>
    <mergeCell ref="K3180:K3182"/>
    <mergeCell ref="N3174:N3176"/>
    <mergeCell ref="O3174:O3176"/>
    <mergeCell ref="P3174:P3176"/>
    <mergeCell ref="Q3174:Q3176"/>
    <mergeCell ref="R3174:R3176"/>
    <mergeCell ref="A3180:A3182"/>
    <mergeCell ref="B3180:B3182"/>
    <mergeCell ref="C3180:C3182"/>
    <mergeCell ref="D3180:D3182"/>
    <mergeCell ref="E3180:E3182"/>
    <mergeCell ref="G3174:G3176"/>
    <mergeCell ref="H3174:H3176"/>
    <mergeCell ref="I3174:I3176"/>
    <mergeCell ref="J3174:J3176"/>
    <mergeCell ref="K3174:K3176"/>
    <mergeCell ref="M3174:M3176"/>
    <mergeCell ref="A3174:A3176"/>
    <mergeCell ref="B3174:B3176"/>
    <mergeCell ref="C3174:C3176"/>
    <mergeCell ref="D3174:D3176"/>
    <mergeCell ref="E3174:E3176"/>
    <mergeCell ref="F3174:F3176"/>
    <mergeCell ref="M3145:M3147"/>
    <mergeCell ref="N3145:N3147"/>
    <mergeCell ref="O3145:O3147"/>
    <mergeCell ref="P3145:P3147"/>
    <mergeCell ref="Q3145:Q3147"/>
    <mergeCell ref="R3145:R3147"/>
    <mergeCell ref="F3145:F3147"/>
    <mergeCell ref="G3145:G3147"/>
    <mergeCell ref="H3145:H3147"/>
    <mergeCell ref="I3145:I3147"/>
    <mergeCell ref="J3145:J3147"/>
    <mergeCell ref="K3145:K3147"/>
    <mergeCell ref="N3140:N3142"/>
    <mergeCell ref="O3140:O3142"/>
    <mergeCell ref="P3140:P3142"/>
    <mergeCell ref="Q3140:Q3142"/>
    <mergeCell ref="R3140:R3142"/>
    <mergeCell ref="A3145:A3147"/>
    <mergeCell ref="B3145:B3147"/>
    <mergeCell ref="C3145:C3147"/>
    <mergeCell ref="D3145:D3147"/>
    <mergeCell ref="E3145:E3147"/>
    <mergeCell ref="G3140:G3142"/>
    <mergeCell ref="H3140:H3142"/>
    <mergeCell ref="I3140:I3142"/>
    <mergeCell ref="J3140:J3142"/>
    <mergeCell ref="K3140:K3142"/>
    <mergeCell ref="M3140:M3142"/>
    <mergeCell ref="A3140:A3142"/>
    <mergeCell ref="B3140:B3142"/>
    <mergeCell ref="C3140:C3142"/>
    <mergeCell ref="D3140:D3142"/>
    <mergeCell ref="E3140:E3142"/>
    <mergeCell ref="F3140:F3142"/>
    <mergeCell ref="M3116:M3118"/>
    <mergeCell ref="N3116:N3118"/>
    <mergeCell ref="O3116:O3118"/>
    <mergeCell ref="P3116:P3118"/>
    <mergeCell ref="Q3116:Q3118"/>
    <mergeCell ref="R3116:R3118"/>
    <mergeCell ref="F3116:F3118"/>
    <mergeCell ref="G3116:G3118"/>
    <mergeCell ref="H3116:H3118"/>
    <mergeCell ref="I3116:I3118"/>
    <mergeCell ref="J3116:J3118"/>
    <mergeCell ref="K3116:K3118"/>
    <mergeCell ref="N3078:N3080"/>
    <mergeCell ref="O3078:O3080"/>
    <mergeCell ref="P3078:P3080"/>
    <mergeCell ref="Q3078:Q3080"/>
    <mergeCell ref="R3078:R3080"/>
    <mergeCell ref="A3116:A3118"/>
    <mergeCell ref="B3116:B3118"/>
    <mergeCell ref="C3116:C3118"/>
    <mergeCell ref="D3116:D3118"/>
    <mergeCell ref="E3116:E3118"/>
    <mergeCell ref="G3078:G3080"/>
    <mergeCell ref="H3078:H3080"/>
    <mergeCell ref="I3078:I3080"/>
    <mergeCell ref="J3078:J3080"/>
    <mergeCell ref="K3078:K3080"/>
    <mergeCell ref="M3078:M3080"/>
    <mergeCell ref="A3078:A3080"/>
    <mergeCell ref="B3078:B3080"/>
    <mergeCell ref="C3078:C3080"/>
    <mergeCell ref="D3078:D3080"/>
    <mergeCell ref="E3078:E3080"/>
    <mergeCell ref="F3078:F3080"/>
    <mergeCell ref="M3070:M3071"/>
    <mergeCell ref="N3070:N3071"/>
    <mergeCell ref="O3070:O3071"/>
    <mergeCell ref="P3070:P3071"/>
    <mergeCell ref="Q3070:Q3071"/>
    <mergeCell ref="R3070:R3071"/>
    <mergeCell ref="F3070:F3071"/>
    <mergeCell ref="G3070:G3071"/>
    <mergeCell ref="H3070:H3071"/>
    <mergeCell ref="I3070:I3071"/>
    <mergeCell ref="J3070:J3071"/>
    <mergeCell ref="K3070:K3071"/>
    <mergeCell ref="N3068:N3069"/>
    <mergeCell ref="O3068:O3069"/>
    <mergeCell ref="P3068:P3069"/>
    <mergeCell ref="Q3068:Q3069"/>
    <mergeCell ref="R3068:R3069"/>
    <mergeCell ref="A3070:A3071"/>
    <mergeCell ref="B3070:B3071"/>
    <mergeCell ref="C3070:C3071"/>
    <mergeCell ref="D3070:D3071"/>
    <mergeCell ref="E3070:E3071"/>
    <mergeCell ref="G3068:G3069"/>
    <mergeCell ref="H3068:H3069"/>
    <mergeCell ref="I3068:I3069"/>
    <mergeCell ref="J3068:J3069"/>
    <mergeCell ref="K3068:K3069"/>
    <mergeCell ref="M3068:M3069"/>
    <mergeCell ref="A3068:A3069"/>
    <mergeCell ref="B3068:B3069"/>
    <mergeCell ref="C3068:C3069"/>
    <mergeCell ref="D3068:D3069"/>
    <mergeCell ref="E3068:E3069"/>
    <mergeCell ref="F3068:F3069"/>
    <mergeCell ref="M3066:M3067"/>
    <mergeCell ref="N3066:N3067"/>
    <mergeCell ref="O3066:O3067"/>
    <mergeCell ref="P3066:P3067"/>
    <mergeCell ref="Q3066:Q3067"/>
    <mergeCell ref="R3066:R3067"/>
    <mergeCell ref="F3066:F3067"/>
    <mergeCell ref="G3066:G3067"/>
    <mergeCell ref="H3066:H3067"/>
    <mergeCell ref="I3066:I3067"/>
    <mergeCell ref="J3066:J3067"/>
    <mergeCell ref="K3066:K3067"/>
    <mergeCell ref="N3018:N3020"/>
    <mergeCell ref="O3018:O3020"/>
    <mergeCell ref="P3018:P3020"/>
    <mergeCell ref="Q3018:Q3020"/>
    <mergeCell ref="R3018:R3020"/>
    <mergeCell ref="A3066:A3067"/>
    <mergeCell ref="B3066:B3067"/>
    <mergeCell ref="C3066:C3067"/>
    <mergeCell ref="D3066:D3067"/>
    <mergeCell ref="E3066:E3067"/>
    <mergeCell ref="G3018:G3020"/>
    <mergeCell ref="H3018:H3020"/>
    <mergeCell ref="I3018:I3020"/>
    <mergeCell ref="J3018:J3020"/>
    <mergeCell ref="K3018:K3020"/>
    <mergeCell ref="M3018:M3020"/>
    <mergeCell ref="A3018:A3020"/>
    <mergeCell ref="B3018:B3020"/>
    <mergeCell ref="C3018:C3020"/>
    <mergeCell ref="D3018:D3020"/>
    <mergeCell ref="E3018:E3020"/>
    <mergeCell ref="F3018:F3020"/>
    <mergeCell ref="M3003:M3007"/>
    <mergeCell ref="N3003:N3007"/>
    <mergeCell ref="O3003:O3007"/>
    <mergeCell ref="P3003:P3007"/>
    <mergeCell ref="Q3003:Q3007"/>
    <mergeCell ref="R3003:R3007"/>
    <mergeCell ref="F3003:F3007"/>
    <mergeCell ref="G3003:G3007"/>
    <mergeCell ref="H3003:H3007"/>
    <mergeCell ref="I3003:I3007"/>
    <mergeCell ref="J3003:J3007"/>
    <mergeCell ref="K3003:K3007"/>
    <mergeCell ref="N2998:N3002"/>
    <mergeCell ref="O2998:O3002"/>
    <mergeCell ref="P2998:P3002"/>
    <mergeCell ref="Q2998:Q3002"/>
    <mergeCell ref="R2998:R3002"/>
    <mergeCell ref="A3003:A3007"/>
    <mergeCell ref="B3003:B3007"/>
    <mergeCell ref="C3003:C3007"/>
    <mergeCell ref="D3003:D3007"/>
    <mergeCell ref="E3003:E3007"/>
    <mergeCell ref="G2998:G3002"/>
    <mergeCell ref="H2998:H3002"/>
    <mergeCell ref="I2998:I3002"/>
    <mergeCell ref="J2998:J3002"/>
    <mergeCell ref="K2998:K3002"/>
    <mergeCell ref="M2998:M3002"/>
    <mergeCell ref="A2998:A3002"/>
    <mergeCell ref="B2998:B3002"/>
    <mergeCell ref="C2998:C3002"/>
    <mergeCell ref="D2998:D3002"/>
    <mergeCell ref="E2998:E3002"/>
    <mergeCell ref="F2998:F3002"/>
    <mergeCell ref="M2993:M2997"/>
    <mergeCell ref="N2993:N2997"/>
    <mergeCell ref="O2993:O2997"/>
    <mergeCell ref="P2993:P2997"/>
    <mergeCell ref="Q2993:Q2997"/>
    <mergeCell ref="R2993:R2997"/>
    <mergeCell ref="F2993:F2997"/>
    <mergeCell ref="G2993:G2997"/>
    <mergeCell ref="H2993:H2997"/>
    <mergeCell ref="I2993:I2997"/>
    <mergeCell ref="J2993:J2997"/>
    <mergeCell ref="K2993:K2997"/>
    <mergeCell ref="N2988:N2992"/>
    <mergeCell ref="O2988:O2992"/>
    <mergeCell ref="P2988:P2992"/>
    <mergeCell ref="Q2988:Q2992"/>
    <mergeCell ref="R2988:R2992"/>
    <mergeCell ref="A2993:A2997"/>
    <mergeCell ref="B2993:B2997"/>
    <mergeCell ref="C2993:C2997"/>
    <mergeCell ref="D2993:D2997"/>
    <mergeCell ref="E2993:E2997"/>
    <mergeCell ref="G2988:G2992"/>
    <mergeCell ref="H2988:H2992"/>
    <mergeCell ref="I2988:I2992"/>
    <mergeCell ref="J2988:J2992"/>
    <mergeCell ref="K2988:K2992"/>
    <mergeCell ref="M2988:M2992"/>
    <mergeCell ref="A2988:A2992"/>
    <mergeCell ref="B2988:B2992"/>
    <mergeCell ref="C2988:C2992"/>
    <mergeCell ref="D2988:D2992"/>
    <mergeCell ref="E2988:E2992"/>
    <mergeCell ref="F2988:F2992"/>
    <mergeCell ref="M2983:M2987"/>
    <mergeCell ref="N2983:N2987"/>
    <mergeCell ref="O2983:O2987"/>
    <mergeCell ref="P2983:P2987"/>
    <mergeCell ref="Q2983:Q2987"/>
    <mergeCell ref="R2983:R2987"/>
    <mergeCell ref="F2983:F2987"/>
    <mergeCell ref="G2983:G2987"/>
    <mergeCell ref="H2983:H2987"/>
    <mergeCell ref="I2983:I2987"/>
    <mergeCell ref="J2983:J2987"/>
    <mergeCell ref="K2983:K2987"/>
    <mergeCell ref="N2978:N2982"/>
    <mergeCell ref="O2978:O2982"/>
    <mergeCell ref="P2978:P2982"/>
    <mergeCell ref="Q2978:Q2982"/>
    <mergeCell ref="R2978:R2982"/>
    <mergeCell ref="A2983:A2987"/>
    <mergeCell ref="B2983:B2987"/>
    <mergeCell ref="C2983:C2987"/>
    <mergeCell ref="D2983:D2987"/>
    <mergeCell ref="E2983:E2987"/>
    <mergeCell ref="G2978:G2982"/>
    <mergeCell ref="H2978:H2982"/>
    <mergeCell ref="I2978:I2982"/>
    <mergeCell ref="J2978:J2982"/>
    <mergeCell ref="K2978:K2982"/>
    <mergeCell ref="M2978:M2982"/>
    <mergeCell ref="A2978:A2982"/>
    <mergeCell ref="B2978:B2982"/>
    <mergeCell ref="C2978:C2982"/>
    <mergeCell ref="D2978:D2982"/>
    <mergeCell ref="E2978:E2982"/>
    <mergeCell ref="F2978:F2982"/>
    <mergeCell ref="M2951:M2953"/>
    <mergeCell ref="N2951:N2953"/>
    <mergeCell ref="O2951:O2953"/>
    <mergeCell ref="P2951:P2953"/>
    <mergeCell ref="Q2951:Q2953"/>
    <mergeCell ref="R2951:R2953"/>
    <mergeCell ref="F2951:F2953"/>
    <mergeCell ref="G2951:G2953"/>
    <mergeCell ref="H2951:H2953"/>
    <mergeCell ref="I2951:I2953"/>
    <mergeCell ref="J2951:J2953"/>
    <mergeCell ref="K2951:K2953"/>
    <mergeCell ref="N2943:N2944"/>
    <mergeCell ref="O2943:O2944"/>
    <mergeCell ref="P2943:P2944"/>
    <mergeCell ref="Q2943:Q2944"/>
    <mergeCell ref="R2943:R2944"/>
    <mergeCell ref="A2951:A2953"/>
    <mergeCell ref="B2951:B2953"/>
    <mergeCell ref="C2951:C2953"/>
    <mergeCell ref="D2951:D2953"/>
    <mergeCell ref="E2951:E2953"/>
    <mergeCell ref="G2943:G2944"/>
    <mergeCell ref="H2943:H2944"/>
    <mergeCell ref="I2943:I2944"/>
    <mergeCell ref="J2943:J2944"/>
    <mergeCell ref="K2943:K2944"/>
    <mergeCell ref="M2943:M2944"/>
    <mergeCell ref="A2943:A2944"/>
    <mergeCell ref="B2943:B2944"/>
    <mergeCell ref="C2943:C2944"/>
    <mergeCell ref="D2943:D2944"/>
    <mergeCell ref="E2943:E2944"/>
    <mergeCell ref="F2943:F2944"/>
    <mergeCell ref="M2941:M2942"/>
    <mergeCell ref="N2941:N2942"/>
    <mergeCell ref="O2941:O2942"/>
    <mergeCell ref="P2941:P2942"/>
    <mergeCell ref="Q2941:Q2942"/>
    <mergeCell ref="R2941:R2942"/>
    <mergeCell ref="F2941:F2942"/>
    <mergeCell ref="G2941:G2942"/>
    <mergeCell ref="H2941:H2942"/>
    <mergeCell ref="I2941:I2942"/>
    <mergeCell ref="J2941:J2942"/>
    <mergeCell ref="K2941:K2942"/>
    <mergeCell ref="N2939:N2940"/>
    <mergeCell ref="O2939:O2940"/>
    <mergeCell ref="P2939:P2940"/>
    <mergeCell ref="Q2939:Q2940"/>
    <mergeCell ref="R2939:R2940"/>
    <mergeCell ref="A2941:A2942"/>
    <mergeCell ref="B2941:B2942"/>
    <mergeCell ref="C2941:C2942"/>
    <mergeCell ref="D2941:D2942"/>
    <mergeCell ref="E2941:E2942"/>
    <mergeCell ref="G2939:G2940"/>
    <mergeCell ref="H2939:H2940"/>
    <mergeCell ref="I2939:I2940"/>
    <mergeCell ref="J2939:J2940"/>
    <mergeCell ref="K2939:K2940"/>
    <mergeCell ref="M2939:M2940"/>
    <mergeCell ref="A2939:A2940"/>
    <mergeCell ref="B2939:B2940"/>
    <mergeCell ref="C2939:C2940"/>
    <mergeCell ref="D2939:D2940"/>
    <mergeCell ref="E2939:E2940"/>
    <mergeCell ref="F2939:F2940"/>
    <mergeCell ref="M2932:M2934"/>
    <mergeCell ref="N2932:N2934"/>
    <mergeCell ref="O2932:O2934"/>
    <mergeCell ref="P2932:P2934"/>
    <mergeCell ref="Q2932:Q2934"/>
    <mergeCell ref="R2932:R2934"/>
    <mergeCell ref="F2932:F2934"/>
    <mergeCell ref="G2932:G2934"/>
    <mergeCell ref="H2932:H2934"/>
    <mergeCell ref="I2932:I2934"/>
    <mergeCell ref="J2932:J2934"/>
    <mergeCell ref="K2932:K2934"/>
    <mergeCell ref="N2913:N2915"/>
    <mergeCell ref="O2913:O2915"/>
    <mergeCell ref="P2913:P2915"/>
    <mergeCell ref="Q2913:Q2915"/>
    <mergeCell ref="R2913:R2915"/>
    <mergeCell ref="A2932:A2934"/>
    <mergeCell ref="B2932:B2934"/>
    <mergeCell ref="C2932:C2934"/>
    <mergeCell ref="D2932:D2934"/>
    <mergeCell ref="E2932:E2934"/>
    <mergeCell ref="G2913:G2915"/>
    <mergeCell ref="H2913:H2915"/>
    <mergeCell ref="I2913:I2915"/>
    <mergeCell ref="J2913:J2915"/>
    <mergeCell ref="K2913:K2915"/>
    <mergeCell ref="M2913:M2915"/>
    <mergeCell ref="A2913:A2915"/>
    <mergeCell ref="B2913:B2915"/>
    <mergeCell ref="C2913:C2915"/>
    <mergeCell ref="D2913:D2915"/>
    <mergeCell ref="E2913:E2915"/>
    <mergeCell ref="F2913:F2915"/>
    <mergeCell ref="M2901:M2903"/>
    <mergeCell ref="N2901:N2903"/>
    <mergeCell ref="O2901:O2903"/>
    <mergeCell ref="P2901:P2903"/>
    <mergeCell ref="Q2901:Q2903"/>
    <mergeCell ref="R2901:R2903"/>
    <mergeCell ref="F2901:F2903"/>
    <mergeCell ref="G2901:G2903"/>
    <mergeCell ref="H2901:H2903"/>
    <mergeCell ref="I2901:I2903"/>
    <mergeCell ref="J2901:J2903"/>
    <mergeCell ref="K2901:K2903"/>
    <mergeCell ref="N2883:N2885"/>
    <mergeCell ref="O2883:O2885"/>
    <mergeCell ref="P2883:P2885"/>
    <mergeCell ref="Q2883:Q2885"/>
    <mergeCell ref="R2883:R2885"/>
    <mergeCell ref="A2901:A2903"/>
    <mergeCell ref="B2901:B2903"/>
    <mergeCell ref="C2901:C2903"/>
    <mergeCell ref="D2901:D2903"/>
    <mergeCell ref="E2901:E2903"/>
    <mergeCell ref="G2883:G2885"/>
    <mergeCell ref="H2883:H2885"/>
    <mergeCell ref="I2883:I2885"/>
    <mergeCell ref="J2883:J2885"/>
    <mergeCell ref="K2883:K2885"/>
    <mergeCell ref="M2883:M2885"/>
    <mergeCell ref="A2883:A2885"/>
    <mergeCell ref="B2883:B2885"/>
    <mergeCell ref="C2883:C2885"/>
    <mergeCell ref="D2883:D2885"/>
    <mergeCell ref="E2883:E2885"/>
    <mergeCell ref="F2883:F2885"/>
    <mergeCell ref="M2846:M2850"/>
    <mergeCell ref="N2846:N2850"/>
    <mergeCell ref="O2846:O2850"/>
    <mergeCell ref="P2846:P2850"/>
    <mergeCell ref="Q2846:Q2850"/>
    <mergeCell ref="R2846:R2850"/>
    <mergeCell ref="F2846:F2850"/>
    <mergeCell ref="G2846:G2850"/>
    <mergeCell ref="H2846:H2850"/>
    <mergeCell ref="I2846:I2850"/>
    <mergeCell ref="J2846:J2850"/>
    <mergeCell ref="K2846:K2850"/>
    <mergeCell ref="N2841:N2845"/>
    <mergeCell ref="O2841:O2845"/>
    <mergeCell ref="P2841:P2845"/>
    <mergeCell ref="Q2841:Q2845"/>
    <mergeCell ref="R2841:R2845"/>
    <mergeCell ref="A2846:A2850"/>
    <mergeCell ref="B2846:B2850"/>
    <mergeCell ref="C2846:C2850"/>
    <mergeCell ref="D2846:D2850"/>
    <mergeCell ref="E2846:E2850"/>
    <mergeCell ref="G2841:G2845"/>
    <mergeCell ref="H2841:H2845"/>
    <mergeCell ref="I2841:I2845"/>
    <mergeCell ref="J2841:J2845"/>
    <mergeCell ref="K2841:K2845"/>
    <mergeCell ref="M2841:M2845"/>
    <mergeCell ref="A2841:A2845"/>
    <mergeCell ref="B2841:B2845"/>
    <mergeCell ref="C2841:C2845"/>
    <mergeCell ref="D2841:D2845"/>
    <mergeCell ref="E2841:E2845"/>
    <mergeCell ref="F2841:F2845"/>
    <mergeCell ref="M2836:M2840"/>
    <mergeCell ref="N2836:N2840"/>
    <mergeCell ref="O2836:O2840"/>
    <mergeCell ref="P2836:P2840"/>
    <mergeCell ref="Q2836:Q2840"/>
    <mergeCell ref="R2836:R2840"/>
    <mergeCell ref="F2836:F2840"/>
    <mergeCell ref="G2836:G2840"/>
    <mergeCell ref="H2836:H2840"/>
    <mergeCell ref="I2836:I2840"/>
    <mergeCell ref="J2836:J2840"/>
    <mergeCell ref="K2836:K2840"/>
    <mergeCell ref="N2831:N2835"/>
    <mergeCell ref="O2831:O2835"/>
    <mergeCell ref="P2831:P2835"/>
    <mergeCell ref="Q2831:Q2835"/>
    <mergeCell ref="R2831:R2835"/>
    <mergeCell ref="A2836:A2840"/>
    <mergeCell ref="B2836:B2840"/>
    <mergeCell ref="C2836:C2840"/>
    <mergeCell ref="D2836:D2840"/>
    <mergeCell ref="E2836:E2840"/>
    <mergeCell ref="G2831:G2835"/>
    <mergeCell ref="H2831:H2835"/>
    <mergeCell ref="I2831:I2835"/>
    <mergeCell ref="J2831:J2835"/>
    <mergeCell ref="K2831:K2835"/>
    <mergeCell ref="M2831:M2835"/>
    <mergeCell ref="A2831:A2835"/>
    <mergeCell ref="B2831:B2835"/>
    <mergeCell ref="C2831:C2835"/>
    <mergeCell ref="D2831:D2835"/>
    <mergeCell ref="E2831:E2835"/>
    <mergeCell ref="F2831:F2835"/>
    <mergeCell ref="M2826:M2830"/>
    <mergeCell ref="N2826:N2830"/>
    <mergeCell ref="O2826:O2830"/>
    <mergeCell ref="P2826:P2830"/>
    <mergeCell ref="Q2826:Q2830"/>
    <mergeCell ref="R2826:R2830"/>
    <mergeCell ref="F2826:F2830"/>
    <mergeCell ref="G2826:G2830"/>
    <mergeCell ref="H2826:H2830"/>
    <mergeCell ref="I2826:I2830"/>
    <mergeCell ref="J2826:J2830"/>
    <mergeCell ref="K2826:K2830"/>
    <mergeCell ref="N2821:N2825"/>
    <mergeCell ref="O2821:O2825"/>
    <mergeCell ref="P2821:P2825"/>
    <mergeCell ref="Q2821:Q2825"/>
    <mergeCell ref="R2821:R2825"/>
    <mergeCell ref="A2826:A2830"/>
    <mergeCell ref="B2826:B2830"/>
    <mergeCell ref="C2826:C2830"/>
    <mergeCell ref="D2826:D2830"/>
    <mergeCell ref="E2826:E2830"/>
    <mergeCell ref="G2821:G2825"/>
    <mergeCell ref="H2821:H2825"/>
    <mergeCell ref="I2821:I2825"/>
    <mergeCell ref="J2821:J2825"/>
    <mergeCell ref="K2821:K2825"/>
    <mergeCell ref="M2821:M2825"/>
    <mergeCell ref="A2821:A2825"/>
    <mergeCell ref="B2821:B2825"/>
    <mergeCell ref="C2821:C2825"/>
    <mergeCell ref="D2821:D2825"/>
    <mergeCell ref="E2821:E2825"/>
    <mergeCell ref="F2821:F2825"/>
    <mergeCell ref="M2794:M2796"/>
    <mergeCell ref="N2794:N2796"/>
    <mergeCell ref="O2794:O2796"/>
    <mergeCell ref="P2794:P2796"/>
    <mergeCell ref="Q2794:Q2796"/>
    <mergeCell ref="R2794:R2796"/>
    <mergeCell ref="F2794:F2796"/>
    <mergeCell ref="G2794:G2796"/>
    <mergeCell ref="H2794:H2796"/>
    <mergeCell ref="I2794:I2796"/>
    <mergeCell ref="J2794:J2796"/>
    <mergeCell ref="K2794:K2796"/>
    <mergeCell ref="N2786:N2787"/>
    <mergeCell ref="O2786:O2787"/>
    <mergeCell ref="P2786:P2787"/>
    <mergeCell ref="Q2786:Q2787"/>
    <mergeCell ref="R2786:R2787"/>
    <mergeCell ref="A2794:A2796"/>
    <mergeCell ref="B2794:B2796"/>
    <mergeCell ref="C2794:C2796"/>
    <mergeCell ref="D2794:D2796"/>
    <mergeCell ref="E2794:E2796"/>
    <mergeCell ref="G2786:G2787"/>
    <mergeCell ref="H2786:H2787"/>
    <mergeCell ref="I2786:I2787"/>
    <mergeCell ref="J2786:J2787"/>
    <mergeCell ref="K2786:K2787"/>
    <mergeCell ref="M2786:M2787"/>
    <mergeCell ref="A2786:A2787"/>
    <mergeCell ref="B2786:B2787"/>
    <mergeCell ref="C2786:C2787"/>
    <mergeCell ref="D2786:D2787"/>
    <mergeCell ref="E2786:E2787"/>
    <mergeCell ref="F2786:F2787"/>
    <mergeCell ref="M2784:M2785"/>
    <mergeCell ref="N2784:N2785"/>
    <mergeCell ref="O2784:O2785"/>
    <mergeCell ref="P2784:P2785"/>
    <mergeCell ref="Q2784:Q2785"/>
    <mergeCell ref="R2784:R2785"/>
    <mergeCell ref="F2784:F2785"/>
    <mergeCell ref="G2784:G2785"/>
    <mergeCell ref="H2784:H2785"/>
    <mergeCell ref="I2784:I2785"/>
    <mergeCell ref="J2784:J2785"/>
    <mergeCell ref="K2784:K2785"/>
    <mergeCell ref="N2782:N2783"/>
    <mergeCell ref="O2782:O2783"/>
    <mergeCell ref="P2782:P2783"/>
    <mergeCell ref="Q2782:Q2783"/>
    <mergeCell ref="R2782:R2783"/>
    <mergeCell ref="A2784:A2785"/>
    <mergeCell ref="B2784:B2785"/>
    <mergeCell ref="C2784:C2785"/>
    <mergeCell ref="D2784:D2785"/>
    <mergeCell ref="E2784:E2785"/>
    <mergeCell ref="G2782:G2783"/>
    <mergeCell ref="H2782:H2783"/>
    <mergeCell ref="I2782:I2783"/>
    <mergeCell ref="J2782:J2783"/>
    <mergeCell ref="K2782:K2783"/>
    <mergeCell ref="M2782:M2783"/>
    <mergeCell ref="A2782:A2783"/>
    <mergeCell ref="B2782:B2783"/>
    <mergeCell ref="C2782:C2783"/>
    <mergeCell ref="D2782:D2783"/>
    <mergeCell ref="E2782:E2783"/>
    <mergeCell ref="F2782:F2783"/>
    <mergeCell ref="M2766:M2768"/>
    <mergeCell ref="N2766:N2768"/>
    <mergeCell ref="O2766:O2768"/>
    <mergeCell ref="P2766:P2768"/>
    <mergeCell ref="Q2766:Q2768"/>
    <mergeCell ref="R2766:R2768"/>
    <mergeCell ref="F2766:F2768"/>
    <mergeCell ref="G2766:G2768"/>
    <mergeCell ref="H2766:H2768"/>
    <mergeCell ref="I2766:I2768"/>
    <mergeCell ref="J2766:J2768"/>
    <mergeCell ref="K2766:K2768"/>
    <mergeCell ref="N2741:N2743"/>
    <mergeCell ref="O2741:O2743"/>
    <mergeCell ref="P2741:P2743"/>
    <mergeCell ref="Q2741:Q2743"/>
    <mergeCell ref="R2741:R2743"/>
    <mergeCell ref="A2766:A2768"/>
    <mergeCell ref="B2766:B2768"/>
    <mergeCell ref="C2766:C2768"/>
    <mergeCell ref="D2766:D2768"/>
    <mergeCell ref="E2766:E2768"/>
    <mergeCell ref="G2741:G2743"/>
    <mergeCell ref="H2741:H2743"/>
    <mergeCell ref="I2741:I2743"/>
    <mergeCell ref="J2741:J2743"/>
    <mergeCell ref="K2741:K2743"/>
    <mergeCell ref="M2741:M2743"/>
    <mergeCell ref="A2741:A2743"/>
    <mergeCell ref="B2741:B2743"/>
    <mergeCell ref="C2741:C2743"/>
    <mergeCell ref="D2741:D2743"/>
    <mergeCell ref="E2741:E2743"/>
    <mergeCell ref="F2741:F2743"/>
    <mergeCell ref="M2733:M2734"/>
    <mergeCell ref="N2733:N2734"/>
    <mergeCell ref="O2733:O2734"/>
    <mergeCell ref="P2733:P2734"/>
    <mergeCell ref="Q2733:Q2734"/>
    <mergeCell ref="R2733:R2734"/>
    <mergeCell ref="F2733:F2734"/>
    <mergeCell ref="G2733:G2734"/>
    <mergeCell ref="H2733:H2734"/>
    <mergeCell ref="I2733:I2734"/>
    <mergeCell ref="J2733:J2734"/>
    <mergeCell ref="K2733:K2734"/>
    <mergeCell ref="N2731:N2732"/>
    <mergeCell ref="O2731:O2732"/>
    <mergeCell ref="P2731:P2732"/>
    <mergeCell ref="Q2731:Q2732"/>
    <mergeCell ref="R2731:R2732"/>
    <mergeCell ref="A2733:A2734"/>
    <mergeCell ref="B2733:B2734"/>
    <mergeCell ref="C2733:C2734"/>
    <mergeCell ref="D2733:D2734"/>
    <mergeCell ref="E2733:E2734"/>
    <mergeCell ref="G2731:G2732"/>
    <mergeCell ref="H2731:H2732"/>
    <mergeCell ref="I2731:I2732"/>
    <mergeCell ref="J2731:J2732"/>
    <mergeCell ref="K2731:K2732"/>
    <mergeCell ref="M2731:M2732"/>
    <mergeCell ref="A2731:A2732"/>
    <mergeCell ref="B2731:B2732"/>
    <mergeCell ref="C2731:C2732"/>
    <mergeCell ref="D2731:D2732"/>
    <mergeCell ref="E2731:E2732"/>
    <mergeCell ref="F2731:F2732"/>
    <mergeCell ref="M2729:M2730"/>
    <mergeCell ref="N2729:N2730"/>
    <mergeCell ref="O2729:O2730"/>
    <mergeCell ref="P2729:P2730"/>
    <mergeCell ref="Q2729:Q2730"/>
    <mergeCell ref="R2729:R2730"/>
    <mergeCell ref="F2729:F2730"/>
    <mergeCell ref="G2729:G2730"/>
    <mergeCell ref="H2729:H2730"/>
    <mergeCell ref="I2729:I2730"/>
    <mergeCell ref="J2729:J2730"/>
    <mergeCell ref="K2729:K2730"/>
    <mergeCell ref="N2699:N2707"/>
    <mergeCell ref="O2699:O2707"/>
    <mergeCell ref="P2699:P2707"/>
    <mergeCell ref="Q2699:Q2707"/>
    <mergeCell ref="R2699:R2707"/>
    <mergeCell ref="A2729:A2730"/>
    <mergeCell ref="B2729:B2730"/>
    <mergeCell ref="C2729:C2730"/>
    <mergeCell ref="D2729:D2730"/>
    <mergeCell ref="E2729:E2730"/>
    <mergeCell ref="G2699:G2707"/>
    <mergeCell ref="H2699:H2707"/>
    <mergeCell ref="I2699:I2707"/>
    <mergeCell ref="J2699:J2707"/>
    <mergeCell ref="K2699:K2707"/>
    <mergeCell ref="M2699:M2707"/>
    <mergeCell ref="A2699:A2707"/>
    <mergeCell ref="B2699:B2707"/>
    <mergeCell ref="C2699:C2707"/>
    <mergeCell ref="D2699:D2707"/>
    <mergeCell ref="E2699:E2707"/>
    <mergeCell ref="F2699:F2707"/>
    <mergeCell ref="M2686:M2687"/>
    <mergeCell ref="N2686:N2687"/>
    <mergeCell ref="O2686:O2687"/>
    <mergeCell ref="P2686:P2687"/>
    <mergeCell ref="Q2686:Q2687"/>
    <mergeCell ref="R2686:R2687"/>
    <mergeCell ref="F2686:F2687"/>
    <mergeCell ref="G2686:G2687"/>
    <mergeCell ref="H2686:H2687"/>
    <mergeCell ref="I2686:I2687"/>
    <mergeCell ref="J2686:J2687"/>
    <mergeCell ref="K2686:K2687"/>
    <mergeCell ref="N2684:N2685"/>
    <mergeCell ref="O2684:O2685"/>
    <mergeCell ref="P2684:P2685"/>
    <mergeCell ref="Q2684:Q2685"/>
    <mergeCell ref="R2684:R2685"/>
    <mergeCell ref="A2686:A2687"/>
    <mergeCell ref="B2686:B2687"/>
    <mergeCell ref="C2686:C2687"/>
    <mergeCell ref="D2686:D2687"/>
    <mergeCell ref="E2686:E2687"/>
    <mergeCell ref="G2684:G2685"/>
    <mergeCell ref="H2684:H2685"/>
    <mergeCell ref="I2684:I2685"/>
    <mergeCell ref="J2684:J2685"/>
    <mergeCell ref="K2684:K2685"/>
    <mergeCell ref="M2684:M2685"/>
    <mergeCell ref="A2684:A2685"/>
    <mergeCell ref="B2684:B2685"/>
    <mergeCell ref="C2684:C2685"/>
    <mergeCell ref="D2684:D2685"/>
    <mergeCell ref="E2684:E2685"/>
    <mergeCell ref="F2684:F2685"/>
    <mergeCell ref="M2649:M2651"/>
    <mergeCell ref="N2649:N2651"/>
    <mergeCell ref="O2649:O2651"/>
    <mergeCell ref="P2649:P2651"/>
    <mergeCell ref="Q2649:Q2651"/>
    <mergeCell ref="R2649:R2651"/>
    <mergeCell ref="F2649:F2651"/>
    <mergeCell ref="G2649:G2651"/>
    <mergeCell ref="H2649:H2651"/>
    <mergeCell ref="I2649:I2651"/>
    <mergeCell ref="J2649:J2651"/>
    <mergeCell ref="K2649:K2651"/>
    <mergeCell ref="N2645:N2647"/>
    <mergeCell ref="O2645:O2647"/>
    <mergeCell ref="P2645:P2647"/>
    <mergeCell ref="Q2645:Q2647"/>
    <mergeCell ref="R2645:R2647"/>
    <mergeCell ref="A2649:A2651"/>
    <mergeCell ref="B2649:B2651"/>
    <mergeCell ref="C2649:C2651"/>
    <mergeCell ref="D2649:D2651"/>
    <mergeCell ref="E2649:E2651"/>
    <mergeCell ref="G2645:G2647"/>
    <mergeCell ref="H2645:H2647"/>
    <mergeCell ref="I2645:I2647"/>
    <mergeCell ref="J2645:J2647"/>
    <mergeCell ref="K2645:K2647"/>
    <mergeCell ref="M2645:M2647"/>
    <mergeCell ref="A2645:A2647"/>
    <mergeCell ref="B2645:B2647"/>
    <mergeCell ref="C2645:C2647"/>
    <mergeCell ref="D2645:D2647"/>
    <mergeCell ref="E2645:E2647"/>
    <mergeCell ref="F2645:F2647"/>
    <mergeCell ref="M2641:M2643"/>
    <mergeCell ref="N2641:N2643"/>
    <mergeCell ref="O2641:O2643"/>
    <mergeCell ref="P2641:P2643"/>
    <mergeCell ref="Q2641:Q2643"/>
    <mergeCell ref="R2641:R2643"/>
    <mergeCell ref="F2641:F2643"/>
    <mergeCell ref="G2641:G2643"/>
    <mergeCell ref="H2641:H2643"/>
    <mergeCell ref="I2641:I2643"/>
    <mergeCell ref="J2641:J2643"/>
    <mergeCell ref="K2641:K2643"/>
    <mergeCell ref="N2624:N2626"/>
    <mergeCell ref="O2624:O2626"/>
    <mergeCell ref="P2624:P2626"/>
    <mergeCell ref="Q2624:Q2626"/>
    <mergeCell ref="R2624:R2626"/>
    <mergeCell ref="A2641:A2643"/>
    <mergeCell ref="B2641:B2643"/>
    <mergeCell ref="C2641:C2643"/>
    <mergeCell ref="D2641:D2643"/>
    <mergeCell ref="E2641:E2643"/>
    <mergeCell ref="G2624:G2626"/>
    <mergeCell ref="H2624:H2626"/>
    <mergeCell ref="I2624:I2626"/>
    <mergeCell ref="J2624:J2626"/>
    <mergeCell ref="K2624:K2626"/>
    <mergeCell ref="M2624:M2626"/>
    <mergeCell ref="A2624:A2626"/>
    <mergeCell ref="B2624:B2626"/>
    <mergeCell ref="C2624:C2626"/>
    <mergeCell ref="D2624:D2626"/>
    <mergeCell ref="E2624:E2626"/>
    <mergeCell ref="F2624:F2626"/>
    <mergeCell ref="M2601:M2603"/>
    <mergeCell ref="N2601:N2603"/>
    <mergeCell ref="O2601:O2603"/>
    <mergeCell ref="P2601:P2603"/>
    <mergeCell ref="Q2601:Q2603"/>
    <mergeCell ref="R2601:R2603"/>
    <mergeCell ref="F2601:F2603"/>
    <mergeCell ref="G2601:G2603"/>
    <mergeCell ref="H2601:H2603"/>
    <mergeCell ref="I2601:I2603"/>
    <mergeCell ref="J2601:J2603"/>
    <mergeCell ref="K2601:K2603"/>
    <mergeCell ref="N2597:N2599"/>
    <mergeCell ref="O2597:O2599"/>
    <mergeCell ref="P2597:P2599"/>
    <mergeCell ref="Q2597:Q2599"/>
    <mergeCell ref="R2597:R2599"/>
    <mergeCell ref="A2601:A2603"/>
    <mergeCell ref="B2601:B2603"/>
    <mergeCell ref="C2601:C2603"/>
    <mergeCell ref="D2601:D2603"/>
    <mergeCell ref="E2601:E2603"/>
    <mergeCell ref="G2597:G2599"/>
    <mergeCell ref="H2597:H2599"/>
    <mergeCell ref="I2597:I2599"/>
    <mergeCell ref="J2597:J2599"/>
    <mergeCell ref="K2597:K2599"/>
    <mergeCell ref="M2597:M2599"/>
    <mergeCell ref="A2597:A2599"/>
    <mergeCell ref="B2597:B2599"/>
    <mergeCell ref="C2597:C2599"/>
    <mergeCell ref="D2597:D2599"/>
    <mergeCell ref="E2597:E2599"/>
    <mergeCell ref="F2597:F2599"/>
    <mergeCell ref="M2563:M2565"/>
    <mergeCell ref="N2563:N2565"/>
    <mergeCell ref="O2563:O2565"/>
    <mergeCell ref="P2563:P2565"/>
    <mergeCell ref="Q2563:Q2565"/>
    <mergeCell ref="R2563:R2565"/>
    <mergeCell ref="F2563:F2565"/>
    <mergeCell ref="G2563:G2565"/>
    <mergeCell ref="H2563:H2565"/>
    <mergeCell ref="I2563:I2565"/>
    <mergeCell ref="J2563:J2565"/>
    <mergeCell ref="K2563:K2565"/>
    <mergeCell ref="N2545:N2546"/>
    <mergeCell ref="O2545:O2546"/>
    <mergeCell ref="P2545:P2546"/>
    <mergeCell ref="Q2545:Q2546"/>
    <mergeCell ref="R2545:R2546"/>
    <mergeCell ref="A2563:A2565"/>
    <mergeCell ref="B2563:B2565"/>
    <mergeCell ref="C2563:C2565"/>
    <mergeCell ref="D2563:D2565"/>
    <mergeCell ref="E2563:E2565"/>
    <mergeCell ref="G2545:G2546"/>
    <mergeCell ref="H2545:H2546"/>
    <mergeCell ref="I2545:I2546"/>
    <mergeCell ref="J2545:J2546"/>
    <mergeCell ref="K2545:K2546"/>
    <mergeCell ref="M2545:M2546"/>
    <mergeCell ref="A2545:A2546"/>
    <mergeCell ref="B2545:B2546"/>
    <mergeCell ref="C2545:C2546"/>
    <mergeCell ref="D2545:D2546"/>
    <mergeCell ref="E2545:E2546"/>
    <mergeCell ref="F2545:F2546"/>
    <mergeCell ref="M2543:M2544"/>
    <mergeCell ref="N2543:N2544"/>
    <mergeCell ref="O2543:O2544"/>
    <mergeCell ref="P2543:P2544"/>
    <mergeCell ref="Q2543:Q2544"/>
    <mergeCell ref="R2543:R2544"/>
    <mergeCell ref="F2543:F2544"/>
    <mergeCell ref="G2543:G2544"/>
    <mergeCell ref="H2543:H2544"/>
    <mergeCell ref="I2543:I2544"/>
    <mergeCell ref="J2543:J2544"/>
    <mergeCell ref="K2543:K2544"/>
    <mergeCell ref="N2541:N2542"/>
    <mergeCell ref="O2541:O2542"/>
    <mergeCell ref="P2541:P2542"/>
    <mergeCell ref="Q2541:Q2542"/>
    <mergeCell ref="R2541:R2542"/>
    <mergeCell ref="A2543:A2544"/>
    <mergeCell ref="B2543:B2544"/>
    <mergeCell ref="C2543:C2544"/>
    <mergeCell ref="D2543:D2544"/>
    <mergeCell ref="E2543:E2544"/>
    <mergeCell ref="G2541:G2542"/>
    <mergeCell ref="H2541:H2542"/>
    <mergeCell ref="I2541:I2542"/>
    <mergeCell ref="J2541:J2542"/>
    <mergeCell ref="K2541:K2542"/>
    <mergeCell ref="M2541:M2542"/>
    <mergeCell ref="A2541:A2542"/>
    <mergeCell ref="B2541:B2542"/>
    <mergeCell ref="C2541:C2542"/>
    <mergeCell ref="D2541:D2542"/>
    <mergeCell ref="E2541:E2542"/>
    <mergeCell ref="F2541:F2542"/>
    <mergeCell ref="M2536:M2537"/>
    <mergeCell ref="N2536:N2537"/>
    <mergeCell ref="O2536:O2537"/>
    <mergeCell ref="P2536:P2537"/>
    <mergeCell ref="Q2536:Q2537"/>
    <mergeCell ref="R2536:R2537"/>
    <mergeCell ref="F2536:F2537"/>
    <mergeCell ref="G2536:G2537"/>
    <mergeCell ref="H2536:H2537"/>
    <mergeCell ref="I2536:I2537"/>
    <mergeCell ref="J2536:J2537"/>
    <mergeCell ref="K2536:K2537"/>
    <mergeCell ref="N2524:N2526"/>
    <mergeCell ref="O2524:O2526"/>
    <mergeCell ref="P2524:P2526"/>
    <mergeCell ref="Q2524:Q2526"/>
    <mergeCell ref="R2524:R2526"/>
    <mergeCell ref="A2536:A2537"/>
    <mergeCell ref="B2536:B2537"/>
    <mergeCell ref="C2536:C2537"/>
    <mergeCell ref="D2536:D2537"/>
    <mergeCell ref="E2536:E2537"/>
    <mergeCell ref="G2524:G2526"/>
    <mergeCell ref="H2524:H2526"/>
    <mergeCell ref="I2524:I2526"/>
    <mergeCell ref="J2524:J2526"/>
    <mergeCell ref="K2524:K2526"/>
    <mergeCell ref="M2524:M2526"/>
    <mergeCell ref="A2524:A2526"/>
    <mergeCell ref="B2524:B2526"/>
    <mergeCell ref="C2524:C2526"/>
    <mergeCell ref="D2524:D2526"/>
    <mergeCell ref="E2524:E2526"/>
    <mergeCell ref="F2524:F2526"/>
    <mergeCell ref="M2520:M2522"/>
    <mergeCell ref="N2520:N2522"/>
    <mergeCell ref="O2520:O2522"/>
    <mergeCell ref="P2520:P2522"/>
    <mergeCell ref="Q2520:Q2522"/>
    <mergeCell ref="R2520:R2522"/>
    <mergeCell ref="F2520:F2522"/>
    <mergeCell ref="G2520:G2522"/>
    <mergeCell ref="H2520:H2522"/>
    <mergeCell ref="I2520:I2522"/>
    <mergeCell ref="J2520:J2522"/>
    <mergeCell ref="K2520:K2522"/>
    <mergeCell ref="N2516:N2518"/>
    <mergeCell ref="O2516:O2518"/>
    <mergeCell ref="P2516:P2518"/>
    <mergeCell ref="Q2516:Q2518"/>
    <mergeCell ref="R2516:R2518"/>
    <mergeCell ref="A2520:A2522"/>
    <mergeCell ref="B2520:B2522"/>
    <mergeCell ref="C2520:C2522"/>
    <mergeCell ref="D2520:D2522"/>
    <mergeCell ref="E2520:E2522"/>
    <mergeCell ref="G2516:G2518"/>
    <mergeCell ref="H2516:H2518"/>
    <mergeCell ref="I2516:I2518"/>
    <mergeCell ref="J2516:J2518"/>
    <mergeCell ref="K2516:K2518"/>
    <mergeCell ref="M2516:M2518"/>
    <mergeCell ref="A2516:A2518"/>
    <mergeCell ref="B2516:B2518"/>
    <mergeCell ref="C2516:C2518"/>
    <mergeCell ref="D2516:D2518"/>
    <mergeCell ref="E2516:E2518"/>
    <mergeCell ref="F2516:F2518"/>
    <mergeCell ref="M2491:M2495"/>
    <mergeCell ref="N2491:N2495"/>
    <mergeCell ref="O2491:O2495"/>
    <mergeCell ref="P2491:P2495"/>
    <mergeCell ref="Q2491:Q2495"/>
    <mergeCell ref="R2491:R2495"/>
    <mergeCell ref="F2491:F2495"/>
    <mergeCell ref="G2491:G2495"/>
    <mergeCell ref="H2491:H2495"/>
    <mergeCell ref="I2491:I2495"/>
    <mergeCell ref="J2491:J2495"/>
    <mergeCell ref="K2491:K2495"/>
    <mergeCell ref="N2486:N2490"/>
    <mergeCell ref="O2486:O2490"/>
    <mergeCell ref="P2486:P2490"/>
    <mergeCell ref="Q2486:Q2490"/>
    <mergeCell ref="R2486:R2490"/>
    <mergeCell ref="A2491:A2495"/>
    <mergeCell ref="B2491:B2495"/>
    <mergeCell ref="C2491:C2495"/>
    <mergeCell ref="D2491:D2495"/>
    <mergeCell ref="E2491:E2495"/>
    <mergeCell ref="G2486:G2490"/>
    <mergeCell ref="H2486:H2490"/>
    <mergeCell ref="I2486:I2490"/>
    <mergeCell ref="J2486:J2490"/>
    <mergeCell ref="K2486:K2490"/>
    <mergeCell ref="M2486:M2490"/>
    <mergeCell ref="A2486:A2490"/>
    <mergeCell ref="B2486:B2490"/>
    <mergeCell ref="C2486:C2490"/>
    <mergeCell ref="D2486:D2490"/>
    <mergeCell ref="E2486:E2490"/>
    <mergeCell ref="F2486:F2490"/>
    <mergeCell ref="M2481:M2485"/>
    <mergeCell ref="N2481:N2485"/>
    <mergeCell ref="O2481:O2485"/>
    <mergeCell ref="P2481:P2485"/>
    <mergeCell ref="Q2481:Q2485"/>
    <mergeCell ref="R2481:R2485"/>
    <mergeCell ref="F2481:F2485"/>
    <mergeCell ref="G2481:G2485"/>
    <mergeCell ref="H2481:H2485"/>
    <mergeCell ref="I2481:I2485"/>
    <mergeCell ref="J2481:J2485"/>
    <mergeCell ref="K2481:K2485"/>
    <mergeCell ref="N2476:N2480"/>
    <mergeCell ref="O2476:O2480"/>
    <mergeCell ref="P2476:P2480"/>
    <mergeCell ref="Q2476:Q2480"/>
    <mergeCell ref="R2476:R2480"/>
    <mergeCell ref="A2481:A2485"/>
    <mergeCell ref="B2481:B2485"/>
    <mergeCell ref="C2481:C2485"/>
    <mergeCell ref="D2481:D2485"/>
    <mergeCell ref="E2481:E2485"/>
    <mergeCell ref="G2476:G2480"/>
    <mergeCell ref="H2476:H2480"/>
    <mergeCell ref="I2476:I2480"/>
    <mergeCell ref="J2476:J2480"/>
    <mergeCell ref="K2476:K2480"/>
    <mergeCell ref="M2476:M2480"/>
    <mergeCell ref="A2476:A2480"/>
    <mergeCell ref="B2476:B2480"/>
    <mergeCell ref="C2476:C2480"/>
    <mergeCell ref="D2476:D2480"/>
    <mergeCell ref="E2476:E2480"/>
    <mergeCell ref="F2476:F2480"/>
    <mergeCell ref="M2471:M2475"/>
    <mergeCell ref="N2471:N2475"/>
    <mergeCell ref="O2471:O2475"/>
    <mergeCell ref="P2471:P2475"/>
    <mergeCell ref="Q2471:Q2475"/>
    <mergeCell ref="R2471:R2475"/>
    <mergeCell ref="F2471:F2475"/>
    <mergeCell ref="G2471:G2475"/>
    <mergeCell ref="H2471:H2475"/>
    <mergeCell ref="I2471:I2475"/>
    <mergeCell ref="J2471:J2475"/>
    <mergeCell ref="K2471:K2475"/>
    <mergeCell ref="N2466:N2470"/>
    <mergeCell ref="O2466:O2470"/>
    <mergeCell ref="P2466:P2470"/>
    <mergeCell ref="Q2466:Q2470"/>
    <mergeCell ref="R2466:R2470"/>
    <mergeCell ref="A2471:A2475"/>
    <mergeCell ref="B2471:B2475"/>
    <mergeCell ref="C2471:C2475"/>
    <mergeCell ref="D2471:D2475"/>
    <mergeCell ref="E2471:E2475"/>
    <mergeCell ref="G2466:G2470"/>
    <mergeCell ref="H2466:H2470"/>
    <mergeCell ref="I2466:I2470"/>
    <mergeCell ref="J2466:J2470"/>
    <mergeCell ref="K2466:K2470"/>
    <mergeCell ref="M2466:M2470"/>
    <mergeCell ref="A2466:A2470"/>
    <mergeCell ref="B2466:B2470"/>
    <mergeCell ref="C2466:C2470"/>
    <mergeCell ref="D2466:D2470"/>
    <mergeCell ref="E2466:E2470"/>
    <mergeCell ref="F2466:F2470"/>
    <mergeCell ref="M2438:M2440"/>
    <mergeCell ref="N2438:N2440"/>
    <mergeCell ref="O2438:O2440"/>
    <mergeCell ref="P2438:P2440"/>
    <mergeCell ref="Q2438:Q2440"/>
    <mergeCell ref="R2438:R2440"/>
    <mergeCell ref="F2438:F2440"/>
    <mergeCell ref="G2438:G2440"/>
    <mergeCell ref="H2438:H2440"/>
    <mergeCell ref="I2438:I2440"/>
    <mergeCell ref="J2438:J2440"/>
    <mergeCell ref="K2438:K2440"/>
    <mergeCell ref="N2430:N2431"/>
    <mergeCell ref="O2430:O2431"/>
    <mergeCell ref="P2430:P2431"/>
    <mergeCell ref="Q2430:Q2431"/>
    <mergeCell ref="R2430:R2431"/>
    <mergeCell ref="A2438:A2440"/>
    <mergeCell ref="B2438:B2440"/>
    <mergeCell ref="C2438:C2440"/>
    <mergeCell ref="D2438:D2440"/>
    <mergeCell ref="E2438:E2440"/>
    <mergeCell ref="G2430:G2431"/>
    <mergeCell ref="H2430:H2431"/>
    <mergeCell ref="I2430:I2431"/>
    <mergeCell ref="J2430:J2431"/>
    <mergeCell ref="K2430:K2431"/>
    <mergeCell ref="M2430:M2431"/>
    <mergeCell ref="A2430:A2431"/>
    <mergeCell ref="B2430:B2431"/>
    <mergeCell ref="C2430:C2431"/>
    <mergeCell ref="D2430:D2431"/>
    <mergeCell ref="E2430:E2431"/>
    <mergeCell ref="F2430:F2431"/>
    <mergeCell ref="M2428:M2429"/>
    <mergeCell ref="N2428:N2429"/>
    <mergeCell ref="O2428:O2429"/>
    <mergeCell ref="P2428:P2429"/>
    <mergeCell ref="Q2428:Q2429"/>
    <mergeCell ref="R2428:R2429"/>
    <mergeCell ref="F2428:F2429"/>
    <mergeCell ref="G2428:G2429"/>
    <mergeCell ref="H2428:H2429"/>
    <mergeCell ref="I2428:I2429"/>
    <mergeCell ref="J2428:J2429"/>
    <mergeCell ref="K2428:K2429"/>
    <mergeCell ref="N2426:N2427"/>
    <mergeCell ref="O2426:O2427"/>
    <mergeCell ref="P2426:P2427"/>
    <mergeCell ref="Q2426:Q2427"/>
    <mergeCell ref="R2426:R2427"/>
    <mergeCell ref="A2428:A2429"/>
    <mergeCell ref="B2428:B2429"/>
    <mergeCell ref="C2428:C2429"/>
    <mergeCell ref="D2428:D2429"/>
    <mergeCell ref="E2428:E2429"/>
    <mergeCell ref="G2426:G2427"/>
    <mergeCell ref="H2426:H2427"/>
    <mergeCell ref="I2426:I2427"/>
    <mergeCell ref="J2426:J2427"/>
    <mergeCell ref="K2426:K2427"/>
    <mergeCell ref="M2426:M2427"/>
    <mergeCell ref="A2426:A2427"/>
    <mergeCell ref="B2426:B2427"/>
    <mergeCell ref="C2426:C2427"/>
    <mergeCell ref="D2426:D2427"/>
    <mergeCell ref="E2426:E2427"/>
    <mergeCell ref="F2426:F2427"/>
    <mergeCell ref="M2419:M2420"/>
    <mergeCell ref="N2419:N2420"/>
    <mergeCell ref="O2419:O2420"/>
    <mergeCell ref="P2419:P2420"/>
    <mergeCell ref="Q2419:Q2420"/>
    <mergeCell ref="R2419:R2420"/>
    <mergeCell ref="F2419:F2420"/>
    <mergeCell ref="G2419:G2420"/>
    <mergeCell ref="H2419:H2420"/>
    <mergeCell ref="I2419:I2420"/>
    <mergeCell ref="J2419:J2420"/>
    <mergeCell ref="K2419:K2420"/>
    <mergeCell ref="N2400:N2402"/>
    <mergeCell ref="O2400:O2402"/>
    <mergeCell ref="P2400:P2402"/>
    <mergeCell ref="Q2400:Q2402"/>
    <mergeCell ref="R2400:R2402"/>
    <mergeCell ref="A2419:A2420"/>
    <mergeCell ref="B2419:B2420"/>
    <mergeCell ref="C2419:C2420"/>
    <mergeCell ref="D2419:D2420"/>
    <mergeCell ref="E2419:E2420"/>
    <mergeCell ref="G2400:G2402"/>
    <mergeCell ref="H2400:H2402"/>
    <mergeCell ref="I2400:I2402"/>
    <mergeCell ref="J2400:J2402"/>
    <mergeCell ref="K2400:K2402"/>
    <mergeCell ref="M2400:M2402"/>
    <mergeCell ref="A2400:A2402"/>
    <mergeCell ref="B2400:B2402"/>
    <mergeCell ref="C2400:C2402"/>
    <mergeCell ref="D2400:D2402"/>
    <mergeCell ref="E2400:E2402"/>
    <mergeCell ref="F2400:F2402"/>
    <mergeCell ref="M2305:M2306"/>
    <mergeCell ref="N2305:N2306"/>
    <mergeCell ref="O2305:O2306"/>
    <mergeCell ref="P2305:P2306"/>
    <mergeCell ref="Q2305:Q2306"/>
    <mergeCell ref="R2305:R2306"/>
    <mergeCell ref="F2305:F2306"/>
    <mergeCell ref="G2305:G2306"/>
    <mergeCell ref="H2305:H2306"/>
    <mergeCell ref="I2305:I2306"/>
    <mergeCell ref="J2305:J2306"/>
    <mergeCell ref="K2305:K2306"/>
    <mergeCell ref="N2303:N2304"/>
    <mergeCell ref="O2303:O2304"/>
    <mergeCell ref="P2303:P2304"/>
    <mergeCell ref="Q2303:Q2304"/>
    <mergeCell ref="R2303:R2304"/>
    <mergeCell ref="A2305:A2306"/>
    <mergeCell ref="B2305:B2306"/>
    <mergeCell ref="C2305:C2306"/>
    <mergeCell ref="D2305:D2306"/>
    <mergeCell ref="E2305:E2306"/>
    <mergeCell ref="G2303:G2304"/>
    <mergeCell ref="H2303:H2304"/>
    <mergeCell ref="I2303:I2304"/>
    <mergeCell ref="J2303:J2304"/>
    <mergeCell ref="K2303:K2304"/>
    <mergeCell ref="M2303:M2304"/>
    <mergeCell ref="A2303:A2304"/>
    <mergeCell ref="B2303:B2304"/>
    <mergeCell ref="C2303:C2304"/>
    <mergeCell ref="D2303:D2304"/>
    <mergeCell ref="E2303:E2304"/>
    <mergeCell ref="F2303:F2304"/>
    <mergeCell ref="M2301:M2302"/>
    <mergeCell ref="N2301:N2302"/>
    <mergeCell ref="O2301:O2302"/>
    <mergeCell ref="P2301:P2302"/>
    <mergeCell ref="Q2301:Q2302"/>
    <mergeCell ref="R2301:R2302"/>
    <mergeCell ref="F2301:F2302"/>
    <mergeCell ref="G2301:G2302"/>
    <mergeCell ref="H2301:H2302"/>
    <mergeCell ref="I2301:I2302"/>
    <mergeCell ref="J2301:J2302"/>
    <mergeCell ref="K2301:K2302"/>
    <mergeCell ref="N2273:N2275"/>
    <mergeCell ref="O2273:O2275"/>
    <mergeCell ref="P2273:P2275"/>
    <mergeCell ref="Q2273:Q2275"/>
    <mergeCell ref="R2273:R2275"/>
    <mergeCell ref="A2301:A2302"/>
    <mergeCell ref="B2301:B2302"/>
    <mergeCell ref="C2301:C2302"/>
    <mergeCell ref="D2301:D2302"/>
    <mergeCell ref="E2301:E2302"/>
    <mergeCell ref="G2273:G2275"/>
    <mergeCell ref="H2273:H2275"/>
    <mergeCell ref="I2273:I2275"/>
    <mergeCell ref="J2273:J2275"/>
    <mergeCell ref="K2273:K2275"/>
    <mergeCell ref="M2273:M2275"/>
    <mergeCell ref="A2273:A2275"/>
    <mergeCell ref="B2273:B2275"/>
    <mergeCell ref="C2273:C2275"/>
    <mergeCell ref="D2273:D2275"/>
    <mergeCell ref="E2273:E2275"/>
    <mergeCell ref="F2273:F2275"/>
    <mergeCell ref="M2224:M2226"/>
    <mergeCell ref="N2224:N2226"/>
    <mergeCell ref="O2224:O2226"/>
    <mergeCell ref="P2224:P2226"/>
    <mergeCell ref="Q2224:Q2226"/>
    <mergeCell ref="R2224:R2226"/>
    <mergeCell ref="F2224:F2226"/>
    <mergeCell ref="G2224:G2226"/>
    <mergeCell ref="H2224:H2226"/>
    <mergeCell ref="I2224:I2226"/>
    <mergeCell ref="J2224:J2226"/>
    <mergeCell ref="K2224:K2226"/>
    <mergeCell ref="N2220:N2222"/>
    <mergeCell ref="O2220:O2222"/>
    <mergeCell ref="P2220:P2222"/>
    <mergeCell ref="Q2220:Q2222"/>
    <mergeCell ref="R2220:R2222"/>
    <mergeCell ref="A2224:A2226"/>
    <mergeCell ref="B2224:B2226"/>
    <mergeCell ref="C2224:C2226"/>
    <mergeCell ref="D2224:D2226"/>
    <mergeCell ref="E2224:E2226"/>
    <mergeCell ref="G2220:G2222"/>
    <mergeCell ref="H2220:H2222"/>
    <mergeCell ref="I2220:I2222"/>
    <mergeCell ref="J2220:J2222"/>
    <mergeCell ref="K2220:K2222"/>
    <mergeCell ref="M2220:M2222"/>
    <mergeCell ref="A2220:A2222"/>
    <mergeCell ref="B2220:B2222"/>
    <mergeCell ref="C2220:C2222"/>
    <mergeCell ref="D2220:D2222"/>
    <mergeCell ref="E2220:E2222"/>
    <mergeCell ref="F2220:F2222"/>
    <mergeCell ref="M2214:M2216"/>
    <mergeCell ref="N2214:N2216"/>
    <mergeCell ref="O2214:O2216"/>
    <mergeCell ref="P2214:P2216"/>
    <mergeCell ref="Q2214:Q2216"/>
    <mergeCell ref="R2214:R2216"/>
    <mergeCell ref="F2214:F2216"/>
    <mergeCell ref="G2214:G2216"/>
    <mergeCell ref="H2214:H2216"/>
    <mergeCell ref="I2214:I2216"/>
    <mergeCell ref="J2214:J2216"/>
    <mergeCell ref="K2214:K2216"/>
    <mergeCell ref="N2209:N2211"/>
    <mergeCell ref="O2209:O2211"/>
    <mergeCell ref="P2209:P2211"/>
    <mergeCell ref="Q2209:Q2211"/>
    <mergeCell ref="R2209:R2211"/>
    <mergeCell ref="A2214:A2216"/>
    <mergeCell ref="B2214:B2216"/>
    <mergeCell ref="C2214:C2216"/>
    <mergeCell ref="D2214:D2216"/>
    <mergeCell ref="E2214:E2216"/>
    <mergeCell ref="G2209:G2211"/>
    <mergeCell ref="H2209:H2211"/>
    <mergeCell ref="I2209:I2211"/>
    <mergeCell ref="J2209:J2211"/>
    <mergeCell ref="K2209:K2211"/>
    <mergeCell ref="M2209:M2211"/>
    <mergeCell ref="A2209:A2211"/>
    <mergeCell ref="B2209:B2211"/>
    <mergeCell ref="C2209:C2211"/>
    <mergeCell ref="D2209:D2211"/>
    <mergeCell ref="E2209:E2211"/>
    <mergeCell ref="F2209:F2211"/>
    <mergeCell ref="M2198:M2200"/>
    <mergeCell ref="N2198:N2200"/>
    <mergeCell ref="O2198:O2200"/>
    <mergeCell ref="P2198:P2200"/>
    <mergeCell ref="Q2198:Q2200"/>
    <mergeCell ref="R2198:R2200"/>
    <mergeCell ref="F2198:F2200"/>
    <mergeCell ref="G2198:G2200"/>
    <mergeCell ref="H2198:H2200"/>
    <mergeCell ref="I2198:I2200"/>
    <mergeCell ref="J2198:J2200"/>
    <mergeCell ref="K2198:K2200"/>
    <mergeCell ref="N2189:N2197"/>
    <mergeCell ref="O2189:O2197"/>
    <mergeCell ref="P2189:P2197"/>
    <mergeCell ref="Q2189:Q2197"/>
    <mergeCell ref="R2189:R2197"/>
    <mergeCell ref="A2198:A2200"/>
    <mergeCell ref="B2198:B2200"/>
    <mergeCell ref="C2198:C2200"/>
    <mergeCell ref="D2198:D2200"/>
    <mergeCell ref="E2198:E2200"/>
    <mergeCell ref="G2189:G2197"/>
    <mergeCell ref="H2189:H2197"/>
    <mergeCell ref="I2189:I2197"/>
    <mergeCell ref="J2189:J2197"/>
    <mergeCell ref="K2189:K2197"/>
    <mergeCell ref="M2189:M2197"/>
    <mergeCell ref="A2189:A2197"/>
    <mergeCell ref="B2189:B2197"/>
    <mergeCell ref="C2189:C2197"/>
    <mergeCell ref="D2189:D2197"/>
    <mergeCell ref="E2189:E2197"/>
    <mergeCell ref="F2189:F2197"/>
    <mergeCell ref="M2183:M2185"/>
    <mergeCell ref="N2183:N2185"/>
    <mergeCell ref="O2183:O2185"/>
    <mergeCell ref="P2183:P2185"/>
    <mergeCell ref="Q2183:Q2185"/>
    <mergeCell ref="R2183:R2185"/>
    <mergeCell ref="F2183:F2185"/>
    <mergeCell ref="G2183:G2185"/>
    <mergeCell ref="H2183:H2185"/>
    <mergeCell ref="I2183:I2185"/>
    <mergeCell ref="J2183:J2185"/>
    <mergeCell ref="K2183:K2185"/>
    <mergeCell ref="N2149:N2151"/>
    <mergeCell ref="O2149:O2151"/>
    <mergeCell ref="P2149:P2151"/>
    <mergeCell ref="Q2149:Q2151"/>
    <mergeCell ref="R2149:R2151"/>
    <mergeCell ref="A2183:A2185"/>
    <mergeCell ref="B2183:B2185"/>
    <mergeCell ref="C2183:C2185"/>
    <mergeCell ref="D2183:D2185"/>
    <mergeCell ref="E2183:E2185"/>
    <mergeCell ref="G2149:G2151"/>
    <mergeCell ref="H2149:H2151"/>
    <mergeCell ref="I2149:I2151"/>
    <mergeCell ref="J2149:J2151"/>
    <mergeCell ref="K2149:K2151"/>
    <mergeCell ref="M2149:M2151"/>
    <mergeCell ref="A2149:A2151"/>
    <mergeCell ref="B2149:B2151"/>
    <mergeCell ref="C2149:C2151"/>
    <mergeCell ref="D2149:D2151"/>
    <mergeCell ref="E2149:E2151"/>
    <mergeCell ref="F2149:F2151"/>
    <mergeCell ref="M2143:M2145"/>
    <mergeCell ref="N2143:N2145"/>
    <mergeCell ref="O2143:O2145"/>
    <mergeCell ref="P2143:P2145"/>
    <mergeCell ref="Q2143:Q2145"/>
    <mergeCell ref="R2143:R2145"/>
    <mergeCell ref="F2143:F2145"/>
    <mergeCell ref="G2143:G2145"/>
    <mergeCell ref="H2143:H2145"/>
    <mergeCell ref="I2143:I2145"/>
    <mergeCell ref="J2143:J2145"/>
    <mergeCell ref="K2143:K2145"/>
    <mergeCell ref="N2129:N2131"/>
    <mergeCell ref="O2129:O2131"/>
    <mergeCell ref="P2129:P2131"/>
    <mergeCell ref="Q2129:Q2131"/>
    <mergeCell ref="R2129:R2131"/>
    <mergeCell ref="A2143:A2145"/>
    <mergeCell ref="B2143:B2145"/>
    <mergeCell ref="C2143:C2145"/>
    <mergeCell ref="D2143:D2145"/>
    <mergeCell ref="E2143:E2145"/>
    <mergeCell ref="G2129:G2131"/>
    <mergeCell ref="H2129:H2131"/>
    <mergeCell ref="I2129:I2131"/>
    <mergeCell ref="J2129:J2131"/>
    <mergeCell ref="K2129:K2131"/>
    <mergeCell ref="M2129:M2131"/>
    <mergeCell ref="A2129:A2131"/>
    <mergeCell ref="B2129:B2131"/>
    <mergeCell ref="C2129:C2131"/>
    <mergeCell ref="D2129:D2131"/>
    <mergeCell ref="E2129:E2131"/>
    <mergeCell ref="F2129:F2131"/>
    <mergeCell ref="M2103:M2105"/>
    <mergeCell ref="N2103:N2105"/>
    <mergeCell ref="O2103:O2105"/>
    <mergeCell ref="P2103:P2105"/>
    <mergeCell ref="Q2103:Q2105"/>
    <mergeCell ref="R2103:R2105"/>
    <mergeCell ref="F2103:F2105"/>
    <mergeCell ref="G2103:G2105"/>
    <mergeCell ref="H2103:H2105"/>
    <mergeCell ref="I2103:I2105"/>
    <mergeCell ref="J2103:J2105"/>
    <mergeCell ref="K2103:K2105"/>
    <mergeCell ref="N2089:N2091"/>
    <mergeCell ref="O2089:O2091"/>
    <mergeCell ref="P2089:P2091"/>
    <mergeCell ref="Q2089:Q2091"/>
    <mergeCell ref="R2089:R2091"/>
    <mergeCell ref="A2103:A2105"/>
    <mergeCell ref="B2103:B2105"/>
    <mergeCell ref="C2103:C2105"/>
    <mergeCell ref="D2103:D2105"/>
    <mergeCell ref="E2103:E2105"/>
    <mergeCell ref="G2089:G2091"/>
    <mergeCell ref="H2089:H2091"/>
    <mergeCell ref="I2089:I2091"/>
    <mergeCell ref="J2089:J2091"/>
    <mergeCell ref="K2089:K2091"/>
    <mergeCell ref="M2089:M2091"/>
    <mergeCell ref="A2089:A2091"/>
    <mergeCell ref="B2089:B2091"/>
    <mergeCell ref="C2089:C2091"/>
    <mergeCell ref="D2089:D2091"/>
    <mergeCell ref="E2089:E2091"/>
    <mergeCell ref="F2089:F2091"/>
    <mergeCell ref="M2070:M2072"/>
    <mergeCell ref="N2070:N2072"/>
    <mergeCell ref="O2070:O2072"/>
    <mergeCell ref="P2070:P2072"/>
    <mergeCell ref="Q2070:Q2072"/>
    <mergeCell ref="R2070:R2072"/>
    <mergeCell ref="F2070:F2072"/>
    <mergeCell ref="G2070:G2072"/>
    <mergeCell ref="H2070:H2072"/>
    <mergeCell ref="I2070:I2072"/>
    <mergeCell ref="J2070:J2072"/>
    <mergeCell ref="K2070:K2072"/>
    <mergeCell ref="N2065:N2067"/>
    <mergeCell ref="O2065:O2067"/>
    <mergeCell ref="P2065:P2067"/>
    <mergeCell ref="Q2065:Q2067"/>
    <mergeCell ref="R2065:R2067"/>
    <mergeCell ref="A2070:A2072"/>
    <mergeCell ref="B2070:B2072"/>
    <mergeCell ref="C2070:C2072"/>
    <mergeCell ref="D2070:D2072"/>
    <mergeCell ref="E2070:E2072"/>
    <mergeCell ref="G2065:G2067"/>
    <mergeCell ref="H2065:H2067"/>
    <mergeCell ref="I2065:I2067"/>
    <mergeCell ref="J2065:J2067"/>
    <mergeCell ref="K2065:K2067"/>
    <mergeCell ref="M2065:M2067"/>
    <mergeCell ref="A2065:A2067"/>
    <mergeCell ref="B2065:B2067"/>
    <mergeCell ref="C2065:C2067"/>
    <mergeCell ref="D2065:D2067"/>
    <mergeCell ref="E2065:E2067"/>
    <mergeCell ref="F2065:F2067"/>
    <mergeCell ref="M2043:M2045"/>
    <mergeCell ref="N2043:N2045"/>
    <mergeCell ref="O2043:O2045"/>
    <mergeCell ref="P2043:P2045"/>
    <mergeCell ref="Q2043:Q2045"/>
    <mergeCell ref="R2043:R2045"/>
    <mergeCell ref="F2043:F2045"/>
    <mergeCell ref="G2043:G2045"/>
    <mergeCell ref="H2043:H2045"/>
    <mergeCell ref="I2043:I2045"/>
    <mergeCell ref="J2043:J2045"/>
    <mergeCell ref="K2043:K2045"/>
    <mergeCell ref="N2006:N2008"/>
    <mergeCell ref="O2006:O2008"/>
    <mergeCell ref="P2006:P2008"/>
    <mergeCell ref="Q2006:Q2008"/>
    <mergeCell ref="R2006:R2008"/>
    <mergeCell ref="A2043:A2045"/>
    <mergeCell ref="B2043:B2045"/>
    <mergeCell ref="C2043:C2045"/>
    <mergeCell ref="D2043:D2045"/>
    <mergeCell ref="E2043:E2045"/>
    <mergeCell ref="G2006:G2008"/>
    <mergeCell ref="H2006:H2008"/>
    <mergeCell ref="I2006:I2008"/>
    <mergeCell ref="J2006:J2008"/>
    <mergeCell ref="K2006:K2008"/>
    <mergeCell ref="M2006:M2008"/>
    <mergeCell ref="A2006:A2008"/>
    <mergeCell ref="B2006:B2008"/>
    <mergeCell ref="C2006:C2008"/>
    <mergeCell ref="D2006:D2008"/>
    <mergeCell ref="E2006:E2008"/>
    <mergeCell ref="F2006:F2008"/>
    <mergeCell ref="M1966:M1968"/>
    <mergeCell ref="N1966:N1968"/>
    <mergeCell ref="O1966:O1968"/>
    <mergeCell ref="P1966:P1968"/>
    <mergeCell ref="Q1966:Q1968"/>
    <mergeCell ref="R1966:R1968"/>
    <mergeCell ref="F1966:F1968"/>
    <mergeCell ref="G1966:G1968"/>
    <mergeCell ref="H1966:H1968"/>
    <mergeCell ref="I1966:I1968"/>
    <mergeCell ref="J1966:J1968"/>
    <mergeCell ref="K1966:K1968"/>
    <mergeCell ref="N1955:N1957"/>
    <mergeCell ref="O1955:O1957"/>
    <mergeCell ref="P1955:P1957"/>
    <mergeCell ref="Q1955:Q1957"/>
    <mergeCell ref="R1955:R1957"/>
    <mergeCell ref="A1966:A1968"/>
    <mergeCell ref="B1966:B1968"/>
    <mergeCell ref="C1966:C1968"/>
    <mergeCell ref="D1966:D1968"/>
    <mergeCell ref="E1966:E1968"/>
    <mergeCell ref="G1955:G1957"/>
    <mergeCell ref="H1955:H1957"/>
    <mergeCell ref="I1955:I1957"/>
    <mergeCell ref="J1955:J1957"/>
    <mergeCell ref="K1955:K1957"/>
    <mergeCell ref="M1955:M1957"/>
    <mergeCell ref="A1955:A1957"/>
    <mergeCell ref="B1955:B1957"/>
    <mergeCell ref="C1955:C1957"/>
    <mergeCell ref="D1955:D1957"/>
    <mergeCell ref="E1955:E1957"/>
    <mergeCell ref="F1955:F1957"/>
    <mergeCell ref="M1923:M1924"/>
    <mergeCell ref="N1923:N1924"/>
    <mergeCell ref="O1923:O1924"/>
    <mergeCell ref="P1923:P1924"/>
    <mergeCell ref="Q1923:Q1924"/>
    <mergeCell ref="R1923:R1924"/>
    <mergeCell ref="F1923:F1924"/>
    <mergeCell ref="G1923:G1924"/>
    <mergeCell ref="H1923:H1924"/>
    <mergeCell ref="I1923:I1924"/>
    <mergeCell ref="J1923:J1924"/>
    <mergeCell ref="K1923:K1924"/>
    <mergeCell ref="N1920:N1921"/>
    <mergeCell ref="O1920:O1921"/>
    <mergeCell ref="P1920:P1921"/>
    <mergeCell ref="Q1920:Q1921"/>
    <mergeCell ref="R1920:R1921"/>
    <mergeCell ref="A1923:A1924"/>
    <mergeCell ref="B1923:B1924"/>
    <mergeCell ref="C1923:C1924"/>
    <mergeCell ref="D1923:D1924"/>
    <mergeCell ref="E1923:E1924"/>
    <mergeCell ref="G1920:G1921"/>
    <mergeCell ref="H1920:H1921"/>
    <mergeCell ref="I1920:I1921"/>
    <mergeCell ref="J1920:J1921"/>
    <mergeCell ref="K1920:K1921"/>
    <mergeCell ref="M1920:M1921"/>
    <mergeCell ref="A1920:A1921"/>
    <mergeCell ref="B1920:B1921"/>
    <mergeCell ref="C1920:C1921"/>
    <mergeCell ref="D1920:D1921"/>
    <mergeCell ref="E1920:E1921"/>
    <mergeCell ref="F1920:F1921"/>
    <mergeCell ref="M1918:M1919"/>
    <mergeCell ref="N1918:N1919"/>
    <mergeCell ref="O1918:O1919"/>
    <mergeCell ref="P1918:P1919"/>
    <mergeCell ref="Q1918:Q1919"/>
    <mergeCell ref="R1918:R1919"/>
    <mergeCell ref="F1918:F1919"/>
    <mergeCell ref="G1918:G1919"/>
    <mergeCell ref="H1918:H1919"/>
    <mergeCell ref="I1918:I1919"/>
    <mergeCell ref="J1918:J1919"/>
    <mergeCell ref="K1918:K1919"/>
    <mergeCell ref="N1912:N1914"/>
    <mergeCell ref="O1912:O1914"/>
    <mergeCell ref="P1912:P1914"/>
    <mergeCell ref="Q1912:Q1914"/>
    <mergeCell ref="R1912:R1914"/>
    <mergeCell ref="A1918:A1919"/>
    <mergeCell ref="B1918:B1919"/>
    <mergeCell ref="C1918:C1919"/>
    <mergeCell ref="D1918:D1919"/>
    <mergeCell ref="E1918:E1919"/>
    <mergeCell ref="G1912:G1914"/>
    <mergeCell ref="H1912:H1914"/>
    <mergeCell ref="I1912:I1914"/>
    <mergeCell ref="J1912:J1914"/>
    <mergeCell ref="K1912:K1914"/>
    <mergeCell ref="M1912:M1914"/>
    <mergeCell ref="A1912:A1914"/>
    <mergeCell ref="B1912:B1914"/>
    <mergeCell ref="C1912:C1914"/>
    <mergeCell ref="D1912:D1914"/>
    <mergeCell ref="E1912:E1914"/>
    <mergeCell ref="F1912:F1914"/>
    <mergeCell ref="M1850:M1852"/>
    <mergeCell ref="N1850:N1852"/>
    <mergeCell ref="O1850:O1852"/>
    <mergeCell ref="P1850:P1852"/>
    <mergeCell ref="Q1850:Q1852"/>
    <mergeCell ref="R1850:R1852"/>
    <mergeCell ref="F1850:F1852"/>
    <mergeCell ref="G1850:G1852"/>
    <mergeCell ref="H1850:H1852"/>
    <mergeCell ref="I1850:I1852"/>
    <mergeCell ref="J1850:J1852"/>
    <mergeCell ref="K1850:K1852"/>
    <mergeCell ref="N1846:N1848"/>
    <mergeCell ref="O1846:O1848"/>
    <mergeCell ref="P1846:P1848"/>
    <mergeCell ref="Q1846:Q1848"/>
    <mergeCell ref="R1846:R1848"/>
    <mergeCell ref="A1850:A1852"/>
    <mergeCell ref="B1850:B1852"/>
    <mergeCell ref="C1850:C1852"/>
    <mergeCell ref="D1850:D1852"/>
    <mergeCell ref="E1850:E1852"/>
    <mergeCell ref="G1846:G1848"/>
    <mergeCell ref="H1846:H1848"/>
    <mergeCell ref="I1846:I1848"/>
    <mergeCell ref="J1846:J1848"/>
    <mergeCell ref="K1846:K1848"/>
    <mergeCell ref="M1846:M1848"/>
    <mergeCell ref="A1846:A1848"/>
    <mergeCell ref="B1846:B1848"/>
    <mergeCell ref="C1846:C1848"/>
    <mergeCell ref="D1846:D1848"/>
    <mergeCell ref="E1846:E1848"/>
    <mergeCell ref="F1846:F1848"/>
    <mergeCell ref="M1837:M1841"/>
    <mergeCell ref="N1837:N1841"/>
    <mergeCell ref="O1837:O1841"/>
    <mergeCell ref="P1837:P1841"/>
    <mergeCell ref="Q1837:Q1841"/>
    <mergeCell ref="R1837:R1841"/>
    <mergeCell ref="F1837:F1841"/>
    <mergeCell ref="G1837:G1841"/>
    <mergeCell ref="H1837:H1841"/>
    <mergeCell ref="I1837:I1841"/>
    <mergeCell ref="J1837:J1841"/>
    <mergeCell ref="K1837:K1841"/>
    <mergeCell ref="N1832:N1836"/>
    <mergeCell ref="O1832:O1836"/>
    <mergeCell ref="P1832:P1836"/>
    <mergeCell ref="Q1832:Q1836"/>
    <mergeCell ref="R1832:R1836"/>
    <mergeCell ref="A1837:A1841"/>
    <mergeCell ref="B1837:B1841"/>
    <mergeCell ref="C1837:C1841"/>
    <mergeCell ref="D1837:D1841"/>
    <mergeCell ref="E1837:E1841"/>
    <mergeCell ref="G1832:G1836"/>
    <mergeCell ref="H1832:H1836"/>
    <mergeCell ref="I1832:I1836"/>
    <mergeCell ref="J1832:J1836"/>
    <mergeCell ref="K1832:K1836"/>
    <mergeCell ref="M1832:M1836"/>
    <mergeCell ref="A1832:A1836"/>
    <mergeCell ref="B1832:B1836"/>
    <mergeCell ref="C1832:C1836"/>
    <mergeCell ref="D1832:D1836"/>
    <mergeCell ref="E1832:E1836"/>
    <mergeCell ref="F1832:F1836"/>
    <mergeCell ref="M1827:M1831"/>
    <mergeCell ref="N1827:N1831"/>
    <mergeCell ref="O1827:O1831"/>
    <mergeCell ref="P1827:P1831"/>
    <mergeCell ref="Q1827:Q1831"/>
    <mergeCell ref="R1827:R1831"/>
    <mergeCell ref="F1827:F1831"/>
    <mergeCell ref="G1827:G1831"/>
    <mergeCell ref="H1827:H1831"/>
    <mergeCell ref="I1827:I1831"/>
    <mergeCell ref="J1827:J1831"/>
    <mergeCell ref="K1827:K1831"/>
    <mergeCell ref="N1822:N1826"/>
    <mergeCell ref="O1822:O1826"/>
    <mergeCell ref="P1822:P1826"/>
    <mergeCell ref="Q1822:Q1826"/>
    <mergeCell ref="R1822:R1826"/>
    <mergeCell ref="A1827:A1831"/>
    <mergeCell ref="B1827:B1831"/>
    <mergeCell ref="C1827:C1831"/>
    <mergeCell ref="D1827:D1831"/>
    <mergeCell ref="E1827:E1831"/>
    <mergeCell ref="G1822:G1826"/>
    <mergeCell ref="H1822:H1826"/>
    <mergeCell ref="I1822:I1826"/>
    <mergeCell ref="J1822:J1826"/>
    <mergeCell ref="K1822:K1826"/>
    <mergeCell ref="M1822:M1826"/>
    <mergeCell ref="A1822:A1826"/>
    <mergeCell ref="B1822:B1826"/>
    <mergeCell ref="C1822:C1826"/>
    <mergeCell ref="D1822:D1826"/>
    <mergeCell ref="E1822:E1826"/>
    <mergeCell ref="F1822:F1826"/>
    <mergeCell ref="M1817:M1821"/>
    <mergeCell ref="N1817:N1821"/>
    <mergeCell ref="O1817:O1821"/>
    <mergeCell ref="P1817:P1821"/>
    <mergeCell ref="Q1817:Q1821"/>
    <mergeCell ref="R1817:R1821"/>
    <mergeCell ref="F1817:F1821"/>
    <mergeCell ref="G1817:G1821"/>
    <mergeCell ref="H1817:H1821"/>
    <mergeCell ref="I1817:I1821"/>
    <mergeCell ref="J1817:J1821"/>
    <mergeCell ref="K1817:K1821"/>
    <mergeCell ref="N1812:N1816"/>
    <mergeCell ref="O1812:O1816"/>
    <mergeCell ref="P1812:P1816"/>
    <mergeCell ref="Q1812:Q1816"/>
    <mergeCell ref="R1812:R1816"/>
    <mergeCell ref="A1817:A1821"/>
    <mergeCell ref="B1817:B1821"/>
    <mergeCell ref="C1817:C1821"/>
    <mergeCell ref="D1817:D1821"/>
    <mergeCell ref="E1817:E1821"/>
    <mergeCell ref="G1812:G1816"/>
    <mergeCell ref="H1812:H1816"/>
    <mergeCell ref="I1812:I1816"/>
    <mergeCell ref="J1812:J1816"/>
    <mergeCell ref="K1812:K1816"/>
    <mergeCell ref="M1812:M1816"/>
    <mergeCell ref="A1812:A1816"/>
    <mergeCell ref="B1812:B1816"/>
    <mergeCell ref="C1812:C1816"/>
    <mergeCell ref="D1812:D1816"/>
    <mergeCell ref="E1812:E1816"/>
    <mergeCell ref="F1812:F1816"/>
    <mergeCell ref="M1785:M1787"/>
    <mergeCell ref="N1785:N1787"/>
    <mergeCell ref="O1785:O1787"/>
    <mergeCell ref="P1785:P1787"/>
    <mergeCell ref="Q1785:Q1787"/>
    <mergeCell ref="R1785:R1787"/>
    <mergeCell ref="F1785:F1787"/>
    <mergeCell ref="G1785:G1787"/>
    <mergeCell ref="H1785:H1787"/>
    <mergeCell ref="I1785:I1787"/>
    <mergeCell ref="J1785:J1787"/>
    <mergeCell ref="K1785:K1787"/>
    <mergeCell ref="N1777:N1778"/>
    <mergeCell ref="O1777:O1778"/>
    <mergeCell ref="P1777:P1778"/>
    <mergeCell ref="Q1777:Q1778"/>
    <mergeCell ref="R1777:R1778"/>
    <mergeCell ref="A1785:A1787"/>
    <mergeCell ref="B1785:B1787"/>
    <mergeCell ref="C1785:C1787"/>
    <mergeCell ref="D1785:D1787"/>
    <mergeCell ref="E1785:E1787"/>
    <mergeCell ref="G1777:G1778"/>
    <mergeCell ref="H1777:H1778"/>
    <mergeCell ref="I1777:I1778"/>
    <mergeCell ref="J1777:J1778"/>
    <mergeCell ref="K1777:K1778"/>
    <mergeCell ref="M1777:M1778"/>
    <mergeCell ref="A1777:A1778"/>
    <mergeCell ref="B1777:B1778"/>
    <mergeCell ref="C1777:C1778"/>
    <mergeCell ref="D1777:D1778"/>
    <mergeCell ref="E1777:E1778"/>
    <mergeCell ref="F1777:F1778"/>
    <mergeCell ref="M1775:M1776"/>
    <mergeCell ref="N1775:N1776"/>
    <mergeCell ref="O1775:O1776"/>
    <mergeCell ref="P1775:P1776"/>
    <mergeCell ref="Q1775:Q1776"/>
    <mergeCell ref="R1775:R1776"/>
    <mergeCell ref="F1775:F1776"/>
    <mergeCell ref="G1775:G1776"/>
    <mergeCell ref="H1775:H1776"/>
    <mergeCell ref="I1775:I1776"/>
    <mergeCell ref="J1775:J1776"/>
    <mergeCell ref="K1775:K1776"/>
    <mergeCell ref="N1773:N1774"/>
    <mergeCell ref="O1773:O1774"/>
    <mergeCell ref="P1773:P1774"/>
    <mergeCell ref="Q1773:Q1774"/>
    <mergeCell ref="R1773:R1774"/>
    <mergeCell ref="A1775:A1776"/>
    <mergeCell ref="B1775:B1776"/>
    <mergeCell ref="C1775:C1776"/>
    <mergeCell ref="D1775:D1776"/>
    <mergeCell ref="E1775:E1776"/>
    <mergeCell ref="G1773:G1774"/>
    <mergeCell ref="H1773:H1774"/>
    <mergeCell ref="I1773:I1774"/>
    <mergeCell ref="J1773:J1774"/>
    <mergeCell ref="K1773:K1774"/>
    <mergeCell ref="M1773:M1774"/>
    <mergeCell ref="A1773:A1774"/>
    <mergeCell ref="B1773:B1774"/>
    <mergeCell ref="C1773:C1774"/>
    <mergeCell ref="D1773:D1774"/>
    <mergeCell ref="E1773:E1774"/>
    <mergeCell ref="F1773:F1774"/>
    <mergeCell ref="M1756:M1758"/>
    <mergeCell ref="N1756:N1758"/>
    <mergeCell ref="O1756:O1758"/>
    <mergeCell ref="P1756:P1758"/>
    <mergeCell ref="Q1756:Q1758"/>
    <mergeCell ref="R1756:R1758"/>
    <mergeCell ref="F1756:F1758"/>
    <mergeCell ref="G1756:G1758"/>
    <mergeCell ref="H1756:H1758"/>
    <mergeCell ref="I1756:I1758"/>
    <mergeCell ref="J1756:J1758"/>
    <mergeCell ref="K1756:K1758"/>
    <mergeCell ref="N1753:N1755"/>
    <mergeCell ref="O1753:O1755"/>
    <mergeCell ref="P1753:P1755"/>
    <mergeCell ref="Q1753:Q1755"/>
    <mergeCell ref="R1753:R1755"/>
    <mergeCell ref="A1756:A1758"/>
    <mergeCell ref="B1756:B1758"/>
    <mergeCell ref="C1756:C1758"/>
    <mergeCell ref="D1756:D1758"/>
    <mergeCell ref="E1756:E1758"/>
    <mergeCell ref="G1753:G1755"/>
    <mergeCell ref="H1753:H1755"/>
    <mergeCell ref="I1753:I1755"/>
    <mergeCell ref="J1753:J1755"/>
    <mergeCell ref="K1753:K1755"/>
    <mergeCell ref="M1753:M1755"/>
    <mergeCell ref="A1753:A1755"/>
    <mergeCell ref="B1753:B1755"/>
    <mergeCell ref="C1753:C1755"/>
    <mergeCell ref="D1753:D1755"/>
    <mergeCell ref="E1753:E1755"/>
    <mergeCell ref="F1753:F1755"/>
    <mergeCell ref="M1749:M1751"/>
    <mergeCell ref="N1749:N1751"/>
    <mergeCell ref="O1749:O1751"/>
    <mergeCell ref="P1749:P1751"/>
    <mergeCell ref="Q1749:Q1751"/>
    <mergeCell ref="R1749:R1751"/>
    <mergeCell ref="F1749:F1751"/>
    <mergeCell ref="G1749:G1751"/>
    <mergeCell ref="H1749:H1751"/>
    <mergeCell ref="I1749:I1751"/>
    <mergeCell ref="J1749:J1751"/>
    <mergeCell ref="K1749:K1751"/>
    <mergeCell ref="N1718:N1720"/>
    <mergeCell ref="O1718:O1720"/>
    <mergeCell ref="P1718:P1720"/>
    <mergeCell ref="Q1718:Q1720"/>
    <mergeCell ref="R1718:R1720"/>
    <mergeCell ref="A1749:A1751"/>
    <mergeCell ref="B1749:B1751"/>
    <mergeCell ref="C1749:C1751"/>
    <mergeCell ref="D1749:D1751"/>
    <mergeCell ref="E1749:E1751"/>
    <mergeCell ref="G1718:G1720"/>
    <mergeCell ref="H1718:H1720"/>
    <mergeCell ref="I1718:I1720"/>
    <mergeCell ref="J1718:J1720"/>
    <mergeCell ref="K1718:K1720"/>
    <mergeCell ref="M1718:M1720"/>
    <mergeCell ref="A1718:A1720"/>
    <mergeCell ref="B1718:B1720"/>
    <mergeCell ref="C1718:C1720"/>
    <mergeCell ref="D1718:D1720"/>
    <mergeCell ref="E1718:E1720"/>
    <mergeCell ref="F1718:F1720"/>
    <mergeCell ref="M1710:M1711"/>
    <mergeCell ref="N1710:N1711"/>
    <mergeCell ref="O1710:O1711"/>
    <mergeCell ref="P1710:P1711"/>
    <mergeCell ref="Q1710:Q1711"/>
    <mergeCell ref="R1710:R1711"/>
    <mergeCell ref="F1710:F1711"/>
    <mergeCell ref="G1710:G1711"/>
    <mergeCell ref="H1710:H1711"/>
    <mergeCell ref="I1710:I1711"/>
    <mergeCell ref="J1710:J1711"/>
    <mergeCell ref="K1710:K1711"/>
    <mergeCell ref="N1708:N1709"/>
    <mergeCell ref="O1708:O1709"/>
    <mergeCell ref="P1708:P1709"/>
    <mergeCell ref="Q1708:Q1709"/>
    <mergeCell ref="R1708:R1709"/>
    <mergeCell ref="A1710:A1711"/>
    <mergeCell ref="B1710:B1711"/>
    <mergeCell ref="C1710:C1711"/>
    <mergeCell ref="D1710:D1711"/>
    <mergeCell ref="E1710:E1711"/>
    <mergeCell ref="G1708:G1709"/>
    <mergeCell ref="H1708:H1709"/>
    <mergeCell ref="I1708:I1709"/>
    <mergeCell ref="J1708:J1709"/>
    <mergeCell ref="K1708:K1709"/>
    <mergeCell ref="M1708:M1709"/>
    <mergeCell ref="A1708:A1709"/>
    <mergeCell ref="B1708:B1709"/>
    <mergeCell ref="C1708:C1709"/>
    <mergeCell ref="D1708:D1709"/>
    <mergeCell ref="E1708:E1709"/>
    <mergeCell ref="F1708:F1709"/>
    <mergeCell ref="M1706:M1707"/>
    <mergeCell ref="N1706:N1707"/>
    <mergeCell ref="O1706:O1707"/>
    <mergeCell ref="P1706:P1707"/>
    <mergeCell ref="Q1706:Q1707"/>
    <mergeCell ref="R1706:R1707"/>
    <mergeCell ref="F1706:F1707"/>
    <mergeCell ref="G1706:G1707"/>
    <mergeCell ref="H1706:H1707"/>
    <mergeCell ref="I1706:I1707"/>
    <mergeCell ref="J1706:J1707"/>
    <mergeCell ref="K1706:K1707"/>
    <mergeCell ref="N1696:N1698"/>
    <mergeCell ref="O1696:O1698"/>
    <mergeCell ref="P1696:P1698"/>
    <mergeCell ref="Q1696:Q1698"/>
    <mergeCell ref="R1696:R1698"/>
    <mergeCell ref="A1706:A1707"/>
    <mergeCell ref="B1706:B1707"/>
    <mergeCell ref="C1706:C1707"/>
    <mergeCell ref="D1706:D1707"/>
    <mergeCell ref="E1706:E1707"/>
    <mergeCell ref="G1696:G1698"/>
    <mergeCell ref="H1696:H1698"/>
    <mergeCell ref="I1696:I1698"/>
    <mergeCell ref="J1696:J1698"/>
    <mergeCell ref="K1696:K1698"/>
    <mergeCell ref="M1696:M1698"/>
    <mergeCell ref="A1696:A1698"/>
    <mergeCell ref="B1696:B1698"/>
    <mergeCell ref="C1696:C1698"/>
    <mergeCell ref="D1696:D1698"/>
    <mergeCell ref="E1696:E1698"/>
    <mergeCell ref="F1696:F1698"/>
    <mergeCell ref="M1691:M1693"/>
    <mergeCell ref="N1691:N1693"/>
    <mergeCell ref="O1691:O1693"/>
    <mergeCell ref="P1691:P1693"/>
    <mergeCell ref="Q1691:Q1693"/>
    <mergeCell ref="R1691:R1693"/>
    <mergeCell ref="F1691:F1693"/>
    <mergeCell ref="G1691:G1693"/>
    <mergeCell ref="H1691:H1693"/>
    <mergeCell ref="I1691:I1693"/>
    <mergeCell ref="J1691:J1693"/>
    <mergeCell ref="K1691:K1693"/>
    <mergeCell ref="N1675:N1677"/>
    <mergeCell ref="O1675:O1677"/>
    <mergeCell ref="P1675:P1677"/>
    <mergeCell ref="Q1675:Q1677"/>
    <mergeCell ref="R1675:R1677"/>
    <mergeCell ref="A1691:A1693"/>
    <mergeCell ref="B1691:B1693"/>
    <mergeCell ref="C1691:C1693"/>
    <mergeCell ref="D1691:D1693"/>
    <mergeCell ref="E1691:E1693"/>
    <mergeCell ref="G1675:G1677"/>
    <mergeCell ref="H1675:H1677"/>
    <mergeCell ref="I1675:I1677"/>
    <mergeCell ref="J1675:J1677"/>
    <mergeCell ref="K1675:K1677"/>
    <mergeCell ref="M1675:M1677"/>
    <mergeCell ref="A1675:A1677"/>
    <mergeCell ref="B1675:B1677"/>
    <mergeCell ref="C1675:C1677"/>
    <mergeCell ref="D1675:D1677"/>
    <mergeCell ref="E1675:E1677"/>
    <mergeCell ref="F1675:F1677"/>
    <mergeCell ref="M1671:M1672"/>
    <mergeCell ref="N1671:N1672"/>
    <mergeCell ref="O1671:O1672"/>
    <mergeCell ref="P1671:P1672"/>
    <mergeCell ref="Q1671:Q1672"/>
    <mergeCell ref="R1671:R1672"/>
    <mergeCell ref="F1671:F1672"/>
    <mergeCell ref="G1671:G1672"/>
    <mergeCell ref="H1671:H1672"/>
    <mergeCell ref="I1671:I1672"/>
    <mergeCell ref="J1671:J1672"/>
    <mergeCell ref="K1671:K1672"/>
    <mergeCell ref="N1669:N1670"/>
    <mergeCell ref="O1669:O1670"/>
    <mergeCell ref="P1669:P1670"/>
    <mergeCell ref="Q1669:Q1670"/>
    <mergeCell ref="R1669:R1670"/>
    <mergeCell ref="A1671:A1672"/>
    <mergeCell ref="B1671:B1672"/>
    <mergeCell ref="C1671:C1672"/>
    <mergeCell ref="D1671:D1672"/>
    <mergeCell ref="E1671:E1672"/>
    <mergeCell ref="G1669:G1670"/>
    <mergeCell ref="H1669:H1670"/>
    <mergeCell ref="I1669:I1670"/>
    <mergeCell ref="J1669:J1670"/>
    <mergeCell ref="K1669:K1670"/>
    <mergeCell ref="M1669:M1670"/>
    <mergeCell ref="A1669:A1670"/>
    <mergeCell ref="B1669:B1670"/>
    <mergeCell ref="C1669:C1670"/>
    <mergeCell ref="D1669:D1670"/>
    <mergeCell ref="E1669:E1670"/>
    <mergeCell ref="F1669:F1670"/>
    <mergeCell ref="M1659:M1661"/>
    <mergeCell ref="N1659:N1661"/>
    <mergeCell ref="O1659:O1661"/>
    <mergeCell ref="P1659:P1661"/>
    <mergeCell ref="Q1659:Q1661"/>
    <mergeCell ref="R1659:R1661"/>
    <mergeCell ref="F1659:F1661"/>
    <mergeCell ref="G1659:G1661"/>
    <mergeCell ref="H1659:H1661"/>
    <mergeCell ref="I1659:I1661"/>
    <mergeCell ref="J1659:J1661"/>
    <mergeCell ref="K1659:K1661"/>
    <mergeCell ref="N1639:N1641"/>
    <mergeCell ref="O1639:O1641"/>
    <mergeCell ref="P1639:P1641"/>
    <mergeCell ref="Q1639:Q1641"/>
    <mergeCell ref="R1639:R1641"/>
    <mergeCell ref="A1659:A1661"/>
    <mergeCell ref="B1659:B1661"/>
    <mergeCell ref="C1659:C1661"/>
    <mergeCell ref="D1659:D1661"/>
    <mergeCell ref="E1659:E1661"/>
    <mergeCell ref="G1639:G1641"/>
    <mergeCell ref="H1639:H1641"/>
    <mergeCell ref="I1639:I1641"/>
    <mergeCell ref="J1639:J1641"/>
    <mergeCell ref="K1639:K1641"/>
    <mergeCell ref="M1639:M1641"/>
    <mergeCell ref="A1639:A1641"/>
    <mergeCell ref="B1639:B1641"/>
    <mergeCell ref="C1639:C1641"/>
    <mergeCell ref="D1639:D1641"/>
    <mergeCell ref="E1639:E1641"/>
    <mergeCell ref="F1639:F1641"/>
    <mergeCell ref="M1609:M1611"/>
    <mergeCell ref="N1609:N1611"/>
    <mergeCell ref="O1609:O1611"/>
    <mergeCell ref="P1609:P1611"/>
    <mergeCell ref="Q1609:Q1611"/>
    <mergeCell ref="R1609:R1611"/>
    <mergeCell ref="F1609:F1611"/>
    <mergeCell ref="G1609:G1611"/>
    <mergeCell ref="H1609:H1611"/>
    <mergeCell ref="I1609:I1611"/>
    <mergeCell ref="J1609:J1611"/>
    <mergeCell ref="K1609:K1611"/>
    <mergeCell ref="N1548:N1550"/>
    <mergeCell ref="O1548:O1550"/>
    <mergeCell ref="P1548:P1550"/>
    <mergeCell ref="Q1548:Q1550"/>
    <mergeCell ref="R1548:R1550"/>
    <mergeCell ref="A1609:A1611"/>
    <mergeCell ref="B1609:B1611"/>
    <mergeCell ref="C1609:C1611"/>
    <mergeCell ref="D1609:D1611"/>
    <mergeCell ref="E1609:E1611"/>
    <mergeCell ref="G1548:G1550"/>
    <mergeCell ref="H1548:H1550"/>
    <mergeCell ref="I1548:I1550"/>
    <mergeCell ref="J1548:J1550"/>
    <mergeCell ref="K1548:K1550"/>
    <mergeCell ref="M1548:M1550"/>
    <mergeCell ref="A1548:A1550"/>
    <mergeCell ref="B1548:B1550"/>
    <mergeCell ref="C1548:C1550"/>
    <mergeCell ref="D1548:D1550"/>
    <mergeCell ref="E1548:E1550"/>
    <mergeCell ref="F1548:F1550"/>
    <mergeCell ref="M1544:M1546"/>
    <mergeCell ref="N1544:N1546"/>
    <mergeCell ref="O1544:O1546"/>
    <mergeCell ref="P1544:P1546"/>
    <mergeCell ref="Q1544:Q1546"/>
    <mergeCell ref="R1544:R1546"/>
    <mergeCell ref="F1544:F1546"/>
    <mergeCell ref="G1544:G1546"/>
    <mergeCell ref="H1544:H1546"/>
    <mergeCell ref="I1544:I1546"/>
    <mergeCell ref="J1544:J1546"/>
    <mergeCell ref="K1544:K1546"/>
    <mergeCell ref="N1506:N1508"/>
    <mergeCell ref="O1506:O1508"/>
    <mergeCell ref="P1506:P1508"/>
    <mergeCell ref="Q1506:Q1508"/>
    <mergeCell ref="R1506:R1508"/>
    <mergeCell ref="A1544:A1546"/>
    <mergeCell ref="B1544:B1546"/>
    <mergeCell ref="C1544:C1546"/>
    <mergeCell ref="D1544:D1546"/>
    <mergeCell ref="E1544:E1546"/>
    <mergeCell ref="G1506:G1508"/>
    <mergeCell ref="H1506:H1508"/>
    <mergeCell ref="I1506:I1508"/>
    <mergeCell ref="J1506:J1508"/>
    <mergeCell ref="K1506:K1508"/>
    <mergeCell ref="M1506:M1508"/>
    <mergeCell ref="A1506:A1508"/>
    <mergeCell ref="B1506:B1508"/>
    <mergeCell ref="C1506:C1508"/>
    <mergeCell ref="D1506:D1508"/>
    <mergeCell ref="E1506:E1508"/>
    <mergeCell ref="F1506:F1508"/>
    <mergeCell ref="M1475:M1477"/>
    <mergeCell ref="N1475:N1477"/>
    <mergeCell ref="O1475:O1477"/>
    <mergeCell ref="P1475:P1477"/>
    <mergeCell ref="Q1475:Q1477"/>
    <mergeCell ref="R1475:R1477"/>
    <mergeCell ref="F1475:F1477"/>
    <mergeCell ref="G1475:G1477"/>
    <mergeCell ref="H1475:H1477"/>
    <mergeCell ref="I1475:I1477"/>
    <mergeCell ref="J1475:J1477"/>
    <mergeCell ref="K1475:K1477"/>
    <mergeCell ref="N1423:N1425"/>
    <mergeCell ref="O1423:O1425"/>
    <mergeCell ref="P1423:P1425"/>
    <mergeCell ref="Q1423:Q1425"/>
    <mergeCell ref="R1423:R1425"/>
    <mergeCell ref="A1475:A1477"/>
    <mergeCell ref="B1475:B1477"/>
    <mergeCell ref="C1475:C1477"/>
    <mergeCell ref="D1475:D1477"/>
    <mergeCell ref="E1475:E1477"/>
    <mergeCell ref="G1423:G1425"/>
    <mergeCell ref="H1423:H1425"/>
    <mergeCell ref="I1423:I1425"/>
    <mergeCell ref="J1423:J1425"/>
    <mergeCell ref="K1423:K1425"/>
    <mergeCell ref="M1423:M1425"/>
    <mergeCell ref="A1423:A1425"/>
    <mergeCell ref="B1423:B1425"/>
    <mergeCell ref="C1423:C1425"/>
    <mergeCell ref="D1423:D1425"/>
    <mergeCell ref="E1423:E1425"/>
    <mergeCell ref="F1423:F1425"/>
    <mergeCell ref="M1407:M1409"/>
    <mergeCell ref="N1407:N1409"/>
    <mergeCell ref="O1407:O1409"/>
    <mergeCell ref="P1407:P1409"/>
    <mergeCell ref="Q1407:Q1409"/>
    <mergeCell ref="R1407:R1409"/>
    <mergeCell ref="F1407:F1409"/>
    <mergeCell ref="G1407:G1409"/>
    <mergeCell ref="H1407:H1409"/>
    <mergeCell ref="I1407:I1409"/>
    <mergeCell ref="J1407:J1409"/>
    <mergeCell ref="K1407:K1409"/>
    <mergeCell ref="N1361:N1363"/>
    <mergeCell ref="O1361:O1363"/>
    <mergeCell ref="P1361:P1363"/>
    <mergeCell ref="Q1361:Q1363"/>
    <mergeCell ref="R1361:R1363"/>
    <mergeCell ref="A1407:A1409"/>
    <mergeCell ref="B1407:B1409"/>
    <mergeCell ref="C1407:C1409"/>
    <mergeCell ref="D1407:D1409"/>
    <mergeCell ref="E1407:E1409"/>
    <mergeCell ref="G1361:G1363"/>
    <mergeCell ref="H1361:H1363"/>
    <mergeCell ref="I1361:I1363"/>
    <mergeCell ref="J1361:J1363"/>
    <mergeCell ref="K1361:K1363"/>
    <mergeCell ref="M1361:M1363"/>
    <mergeCell ref="A1361:A1363"/>
    <mergeCell ref="B1361:B1363"/>
    <mergeCell ref="C1361:C1363"/>
    <mergeCell ref="D1361:D1363"/>
    <mergeCell ref="E1361:E1363"/>
    <mergeCell ref="F1361:F1363"/>
    <mergeCell ref="M1342:M1344"/>
    <mergeCell ref="N1342:N1344"/>
    <mergeCell ref="O1342:O1344"/>
    <mergeCell ref="P1342:P1344"/>
    <mergeCell ref="Q1342:Q1344"/>
    <mergeCell ref="R1342:R1344"/>
    <mergeCell ref="F1342:F1344"/>
    <mergeCell ref="G1342:G1344"/>
    <mergeCell ref="H1342:H1344"/>
    <mergeCell ref="I1342:I1344"/>
    <mergeCell ref="J1342:J1344"/>
    <mergeCell ref="K1342:K1344"/>
    <mergeCell ref="N1327:N1331"/>
    <mergeCell ref="O1327:O1331"/>
    <mergeCell ref="P1327:P1331"/>
    <mergeCell ref="Q1327:Q1331"/>
    <mergeCell ref="R1327:R1331"/>
    <mergeCell ref="A1342:A1344"/>
    <mergeCell ref="B1342:B1344"/>
    <mergeCell ref="C1342:C1344"/>
    <mergeCell ref="D1342:D1344"/>
    <mergeCell ref="E1342:E1344"/>
    <mergeCell ref="G1327:G1331"/>
    <mergeCell ref="H1327:H1331"/>
    <mergeCell ref="I1327:I1331"/>
    <mergeCell ref="J1327:J1331"/>
    <mergeCell ref="K1327:K1331"/>
    <mergeCell ref="M1327:M1331"/>
    <mergeCell ref="A1327:A1331"/>
    <mergeCell ref="B1327:B1331"/>
    <mergeCell ref="C1327:C1331"/>
    <mergeCell ref="D1327:D1331"/>
    <mergeCell ref="E1327:E1331"/>
    <mergeCell ref="F1327:F1331"/>
    <mergeCell ref="M1313:M1317"/>
    <mergeCell ref="N1313:N1317"/>
    <mergeCell ref="O1313:O1317"/>
    <mergeCell ref="P1313:P1317"/>
    <mergeCell ref="Q1313:Q1317"/>
    <mergeCell ref="R1313:R1317"/>
    <mergeCell ref="F1313:F1317"/>
    <mergeCell ref="G1313:G1317"/>
    <mergeCell ref="H1313:H1317"/>
    <mergeCell ref="I1313:I1317"/>
    <mergeCell ref="J1313:J1317"/>
    <mergeCell ref="K1313:K1317"/>
    <mergeCell ref="N1309:N1311"/>
    <mergeCell ref="O1309:O1311"/>
    <mergeCell ref="P1309:P1311"/>
    <mergeCell ref="Q1309:Q1311"/>
    <mergeCell ref="R1309:R1311"/>
    <mergeCell ref="A1313:A1317"/>
    <mergeCell ref="B1313:B1317"/>
    <mergeCell ref="C1313:C1317"/>
    <mergeCell ref="D1313:D1317"/>
    <mergeCell ref="E1313:E1317"/>
    <mergeCell ref="G1309:G1311"/>
    <mergeCell ref="H1309:H1311"/>
    <mergeCell ref="I1309:I1311"/>
    <mergeCell ref="J1309:J1311"/>
    <mergeCell ref="K1309:K1311"/>
    <mergeCell ref="M1309:M1311"/>
    <mergeCell ref="A1309:A1311"/>
    <mergeCell ref="B1309:B1311"/>
    <mergeCell ref="C1309:C1311"/>
    <mergeCell ref="D1309:D1311"/>
    <mergeCell ref="E1309:E1311"/>
    <mergeCell ref="F1309:F1311"/>
    <mergeCell ref="M1305:M1307"/>
    <mergeCell ref="N1305:N1307"/>
    <mergeCell ref="O1305:O1307"/>
    <mergeCell ref="P1305:P1307"/>
    <mergeCell ref="Q1305:Q1307"/>
    <mergeCell ref="R1305:R1307"/>
    <mergeCell ref="F1305:F1307"/>
    <mergeCell ref="G1305:G1307"/>
    <mergeCell ref="H1305:H1307"/>
    <mergeCell ref="I1305:I1307"/>
    <mergeCell ref="J1305:J1307"/>
    <mergeCell ref="K1305:K1307"/>
    <mergeCell ref="N1300:N1302"/>
    <mergeCell ref="O1300:O1302"/>
    <mergeCell ref="P1300:P1302"/>
    <mergeCell ref="Q1300:Q1302"/>
    <mergeCell ref="R1300:R1302"/>
    <mergeCell ref="A1305:A1307"/>
    <mergeCell ref="B1305:B1307"/>
    <mergeCell ref="C1305:C1307"/>
    <mergeCell ref="D1305:D1307"/>
    <mergeCell ref="E1305:E1307"/>
    <mergeCell ref="G1300:G1302"/>
    <mergeCell ref="H1300:H1302"/>
    <mergeCell ref="I1300:I1302"/>
    <mergeCell ref="J1300:J1302"/>
    <mergeCell ref="K1300:K1302"/>
    <mergeCell ref="M1300:M1302"/>
    <mergeCell ref="A1300:A1302"/>
    <mergeCell ref="B1300:B1302"/>
    <mergeCell ref="C1300:C1302"/>
    <mergeCell ref="D1300:D1302"/>
    <mergeCell ref="E1300:E1302"/>
    <mergeCell ref="F1300:F1302"/>
    <mergeCell ref="M1296:M1298"/>
    <mergeCell ref="N1296:N1298"/>
    <mergeCell ref="O1296:O1298"/>
    <mergeCell ref="P1296:P1298"/>
    <mergeCell ref="Q1296:Q1298"/>
    <mergeCell ref="R1296:R1298"/>
    <mergeCell ref="F1296:F1298"/>
    <mergeCell ref="G1296:G1298"/>
    <mergeCell ref="H1296:H1298"/>
    <mergeCell ref="I1296:I1298"/>
    <mergeCell ref="J1296:J1298"/>
    <mergeCell ref="K1296:K1298"/>
    <mergeCell ref="N1264:N1268"/>
    <mergeCell ref="O1264:O1268"/>
    <mergeCell ref="P1264:P1268"/>
    <mergeCell ref="Q1264:Q1268"/>
    <mergeCell ref="R1264:R1268"/>
    <mergeCell ref="A1296:A1298"/>
    <mergeCell ref="B1296:B1298"/>
    <mergeCell ref="C1296:C1298"/>
    <mergeCell ref="D1296:D1298"/>
    <mergeCell ref="E1296:E1298"/>
    <mergeCell ref="G1264:G1268"/>
    <mergeCell ref="H1264:H1268"/>
    <mergeCell ref="I1264:I1268"/>
    <mergeCell ref="J1264:J1268"/>
    <mergeCell ref="K1264:K1268"/>
    <mergeCell ref="M1264:M1268"/>
    <mergeCell ref="A1264:A1268"/>
    <mergeCell ref="B1264:B1268"/>
    <mergeCell ref="C1264:C1268"/>
    <mergeCell ref="D1264:D1268"/>
    <mergeCell ref="E1264:E1268"/>
    <mergeCell ref="F1264:F1268"/>
    <mergeCell ref="M1258:M1262"/>
    <mergeCell ref="N1258:N1262"/>
    <mergeCell ref="O1258:O1262"/>
    <mergeCell ref="P1258:P1262"/>
    <mergeCell ref="Q1258:Q1262"/>
    <mergeCell ref="R1258:R1262"/>
    <mergeCell ref="F1258:F1262"/>
    <mergeCell ref="G1258:G1262"/>
    <mergeCell ref="H1258:H1262"/>
    <mergeCell ref="I1258:I1262"/>
    <mergeCell ref="J1258:J1262"/>
    <mergeCell ref="K1258:K1262"/>
    <mergeCell ref="N1253:N1257"/>
    <mergeCell ref="O1253:O1257"/>
    <mergeCell ref="P1253:P1257"/>
    <mergeCell ref="Q1253:Q1257"/>
    <mergeCell ref="R1253:R1257"/>
    <mergeCell ref="A1258:A1262"/>
    <mergeCell ref="B1258:B1262"/>
    <mergeCell ref="C1258:C1262"/>
    <mergeCell ref="D1258:D1262"/>
    <mergeCell ref="E1258:E1262"/>
    <mergeCell ref="G1253:G1257"/>
    <mergeCell ref="H1253:H1257"/>
    <mergeCell ref="I1253:I1257"/>
    <mergeCell ref="J1253:J1257"/>
    <mergeCell ref="K1253:K1257"/>
    <mergeCell ref="M1253:M1257"/>
    <mergeCell ref="A1253:A1257"/>
    <mergeCell ref="B1253:B1257"/>
    <mergeCell ref="C1253:C1257"/>
    <mergeCell ref="D1253:D1257"/>
    <mergeCell ref="E1253:E1257"/>
    <mergeCell ref="F1253:F1257"/>
    <mergeCell ref="M1248:M1252"/>
    <mergeCell ref="N1248:N1252"/>
    <mergeCell ref="O1248:O1252"/>
    <mergeCell ref="P1248:P1252"/>
    <mergeCell ref="Q1248:Q1252"/>
    <mergeCell ref="R1248:R1252"/>
    <mergeCell ref="F1248:F1252"/>
    <mergeCell ref="G1248:G1252"/>
    <mergeCell ref="H1248:H1252"/>
    <mergeCell ref="I1248:I1252"/>
    <mergeCell ref="J1248:J1252"/>
    <mergeCell ref="K1248:K1252"/>
    <mergeCell ref="N1243:N1247"/>
    <mergeCell ref="O1243:O1247"/>
    <mergeCell ref="P1243:P1247"/>
    <mergeCell ref="Q1243:Q1247"/>
    <mergeCell ref="R1243:R1247"/>
    <mergeCell ref="A1248:A1252"/>
    <mergeCell ref="B1248:B1252"/>
    <mergeCell ref="C1248:C1252"/>
    <mergeCell ref="D1248:D1252"/>
    <mergeCell ref="E1248:E1252"/>
    <mergeCell ref="G1243:G1247"/>
    <mergeCell ref="H1243:H1247"/>
    <mergeCell ref="I1243:I1247"/>
    <mergeCell ref="J1243:J1247"/>
    <mergeCell ref="K1243:K1247"/>
    <mergeCell ref="M1243:M1247"/>
    <mergeCell ref="A1243:A1247"/>
    <mergeCell ref="B1243:B1247"/>
    <mergeCell ref="C1243:C1247"/>
    <mergeCell ref="D1243:D1247"/>
    <mergeCell ref="E1243:E1247"/>
    <mergeCell ref="F1243:F1247"/>
    <mergeCell ref="M1238:M1242"/>
    <mergeCell ref="N1238:N1242"/>
    <mergeCell ref="O1238:O1242"/>
    <mergeCell ref="P1238:P1242"/>
    <mergeCell ref="Q1238:Q1242"/>
    <mergeCell ref="R1238:R1242"/>
    <mergeCell ref="F1238:F1242"/>
    <mergeCell ref="G1238:G1242"/>
    <mergeCell ref="H1238:H1242"/>
    <mergeCell ref="I1238:I1242"/>
    <mergeCell ref="J1238:J1242"/>
    <mergeCell ref="K1238:K1242"/>
    <mergeCell ref="N1210:N1212"/>
    <mergeCell ref="O1210:O1212"/>
    <mergeCell ref="P1210:P1212"/>
    <mergeCell ref="Q1210:Q1212"/>
    <mergeCell ref="R1210:R1212"/>
    <mergeCell ref="A1238:A1242"/>
    <mergeCell ref="B1238:B1242"/>
    <mergeCell ref="C1238:C1242"/>
    <mergeCell ref="D1238:D1242"/>
    <mergeCell ref="E1238:E1242"/>
    <mergeCell ref="G1210:G1212"/>
    <mergeCell ref="H1210:H1212"/>
    <mergeCell ref="I1210:I1212"/>
    <mergeCell ref="J1210:J1212"/>
    <mergeCell ref="K1210:K1212"/>
    <mergeCell ref="M1210:M1212"/>
    <mergeCell ref="A1210:A1212"/>
    <mergeCell ref="B1210:B1212"/>
    <mergeCell ref="C1210:C1212"/>
    <mergeCell ref="D1210:D1212"/>
    <mergeCell ref="E1210:E1212"/>
    <mergeCell ref="F1210:F1212"/>
    <mergeCell ref="M1202:M1203"/>
    <mergeCell ref="N1202:N1203"/>
    <mergeCell ref="O1202:O1203"/>
    <mergeCell ref="P1202:P1203"/>
    <mergeCell ref="Q1202:Q1203"/>
    <mergeCell ref="R1202:R1203"/>
    <mergeCell ref="F1202:F1203"/>
    <mergeCell ref="G1202:G1203"/>
    <mergeCell ref="H1202:H1203"/>
    <mergeCell ref="I1202:I1203"/>
    <mergeCell ref="J1202:J1203"/>
    <mergeCell ref="K1202:K1203"/>
    <mergeCell ref="N1200:N1201"/>
    <mergeCell ref="O1200:O1201"/>
    <mergeCell ref="P1200:P1201"/>
    <mergeCell ref="Q1200:Q1201"/>
    <mergeCell ref="R1200:R1201"/>
    <mergeCell ref="A1202:A1203"/>
    <mergeCell ref="B1202:B1203"/>
    <mergeCell ref="C1202:C1203"/>
    <mergeCell ref="D1202:D1203"/>
    <mergeCell ref="E1202:E1203"/>
    <mergeCell ref="G1200:G1201"/>
    <mergeCell ref="H1200:H1201"/>
    <mergeCell ref="I1200:I1201"/>
    <mergeCell ref="J1200:J1201"/>
    <mergeCell ref="K1200:K1201"/>
    <mergeCell ref="M1200:M1201"/>
    <mergeCell ref="A1200:A1201"/>
    <mergeCell ref="B1200:B1201"/>
    <mergeCell ref="C1200:C1201"/>
    <mergeCell ref="D1200:D1201"/>
    <mergeCell ref="E1200:E1201"/>
    <mergeCell ref="F1200:F1201"/>
    <mergeCell ref="M1198:M1199"/>
    <mergeCell ref="N1198:N1199"/>
    <mergeCell ref="O1198:O1199"/>
    <mergeCell ref="P1198:P1199"/>
    <mergeCell ref="Q1198:Q1199"/>
    <mergeCell ref="R1198:R1199"/>
    <mergeCell ref="F1198:F1199"/>
    <mergeCell ref="G1198:G1199"/>
    <mergeCell ref="H1198:H1199"/>
    <mergeCell ref="I1198:I1199"/>
    <mergeCell ref="J1198:J1199"/>
    <mergeCell ref="K1198:K1199"/>
    <mergeCell ref="N1171:N1179"/>
    <mergeCell ref="O1171:O1179"/>
    <mergeCell ref="P1171:P1179"/>
    <mergeCell ref="Q1171:Q1179"/>
    <mergeCell ref="R1171:R1179"/>
    <mergeCell ref="A1198:A1199"/>
    <mergeCell ref="B1198:B1199"/>
    <mergeCell ref="C1198:C1199"/>
    <mergeCell ref="D1198:D1199"/>
    <mergeCell ref="E1198:E1199"/>
    <mergeCell ref="G1171:G1179"/>
    <mergeCell ref="H1171:H1179"/>
    <mergeCell ref="I1171:I1179"/>
    <mergeCell ref="J1171:J1179"/>
    <mergeCell ref="K1171:K1179"/>
    <mergeCell ref="M1171:M1179"/>
    <mergeCell ref="A1171:A1179"/>
    <mergeCell ref="B1171:B1179"/>
    <mergeCell ref="C1171:C1179"/>
    <mergeCell ref="D1171:D1179"/>
    <mergeCell ref="E1171:E1179"/>
    <mergeCell ref="F1171:F1179"/>
    <mergeCell ref="M1165:M1167"/>
    <mergeCell ref="N1165:N1167"/>
    <mergeCell ref="O1165:O1167"/>
    <mergeCell ref="P1165:P1167"/>
    <mergeCell ref="Q1165:Q1167"/>
    <mergeCell ref="R1165:R1167"/>
    <mergeCell ref="F1165:F1167"/>
    <mergeCell ref="G1165:G1167"/>
    <mergeCell ref="H1165:H1167"/>
    <mergeCell ref="I1165:I1167"/>
    <mergeCell ref="J1165:J1167"/>
    <mergeCell ref="K1165:K1167"/>
    <mergeCell ref="N1124:N1125"/>
    <mergeCell ref="O1124:O1125"/>
    <mergeCell ref="P1124:P1125"/>
    <mergeCell ref="Q1124:Q1125"/>
    <mergeCell ref="R1124:R1125"/>
    <mergeCell ref="A1165:A1167"/>
    <mergeCell ref="B1165:B1167"/>
    <mergeCell ref="C1165:C1167"/>
    <mergeCell ref="D1165:D1167"/>
    <mergeCell ref="E1165:E1167"/>
    <mergeCell ref="G1124:G1125"/>
    <mergeCell ref="H1124:H1125"/>
    <mergeCell ref="I1124:I1125"/>
    <mergeCell ref="J1124:J1125"/>
    <mergeCell ref="K1124:K1125"/>
    <mergeCell ref="M1124:M1125"/>
    <mergeCell ref="A1124:A1125"/>
    <mergeCell ref="B1124:B1125"/>
    <mergeCell ref="C1124:C1125"/>
    <mergeCell ref="D1124:D1125"/>
    <mergeCell ref="E1124:E1125"/>
    <mergeCell ref="F1124:F1125"/>
    <mergeCell ref="M1122:M1123"/>
    <mergeCell ref="N1122:N1123"/>
    <mergeCell ref="O1122:O1123"/>
    <mergeCell ref="P1122:P1123"/>
    <mergeCell ref="Q1122:Q1123"/>
    <mergeCell ref="R1122:R1123"/>
    <mergeCell ref="F1122:F1123"/>
    <mergeCell ref="G1122:G1123"/>
    <mergeCell ref="H1122:H1123"/>
    <mergeCell ref="I1122:I1123"/>
    <mergeCell ref="J1122:J1123"/>
    <mergeCell ref="K1122:K1123"/>
    <mergeCell ref="N1120:N1121"/>
    <mergeCell ref="O1120:O1121"/>
    <mergeCell ref="P1120:P1121"/>
    <mergeCell ref="Q1120:Q1121"/>
    <mergeCell ref="R1120:R1121"/>
    <mergeCell ref="A1122:A1123"/>
    <mergeCell ref="B1122:B1123"/>
    <mergeCell ref="C1122:C1123"/>
    <mergeCell ref="D1122:D1123"/>
    <mergeCell ref="E1122:E1123"/>
    <mergeCell ref="G1120:G1121"/>
    <mergeCell ref="H1120:H1121"/>
    <mergeCell ref="I1120:I1121"/>
    <mergeCell ref="J1120:J1121"/>
    <mergeCell ref="K1120:K1121"/>
    <mergeCell ref="M1120:M1121"/>
    <mergeCell ref="A1120:A1121"/>
    <mergeCell ref="B1120:B1121"/>
    <mergeCell ref="C1120:C1121"/>
    <mergeCell ref="D1120:D1121"/>
    <mergeCell ref="E1120:E1121"/>
    <mergeCell ref="F1120:F1121"/>
    <mergeCell ref="M1097:M1099"/>
    <mergeCell ref="N1097:N1099"/>
    <mergeCell ref="O1097:O1099"/>
    <mergeCell ref="P1097:P1099"/>
    <mergeCell ref="Q1097:Q1099"/>
    <mergeCell ref="R1097:R1099"/>
    <mergeCell ref="F1097:F1099"/>
    <mergeCell ref="G1097:G1099"/>
    <mergeCell ref="H1097:H1099"/>
    <mergeCell ref="I1097:I1099"/>
    <mergeCell ref="J1097:J1099"/>
    <mergeCell ref="K1097:K1099"/>
    <mergeCell ref="N1089:N1091"/>
    <mergeCell ref="O1089:O1091"/>
    <mergeCell ref="P1089:P1091"/>
    <mergeCell ref="Q1089:Q1091"/>
    <mergeCell ref="R1089:R1091"/>
    <mergeCell ref="A1097:A1099"/>
    <mergeCell ref="B1097:B1099"/>
    <mergeCell ref="C1097:C1099"/>
    <mergeCell ref="D1097:D1099"/>
    <mergeCell ref="E1097:E1099"/>
    <mergeCell ref="G1089:G1091"/>
    <mergeCell ref="H1089:H1091"/>
    <mergeCell ref="I1089:I1091"/>
    <mergeCell ref="J1089:J1091"/>
    <mergeCell ref="K1089:K1091"/>
    <mergeCell ref="M1089:M1091"/>
    <mergeCell ref="A1089:A1091"/>
    <mergeCell ref="B1089:B1091"/>
    <mergeCell ref="C1089:C1091"/>
    <mergeCell ref="D1089:D1091"/>
    <mergeCell ref="E1089:E1091"/>
    <mergeCell ref="F1089:F1091"/>
    <mergeCell ref="M1086:M1088"/>
    <mergeCell ref="N1086:N1088"/>
    <mergeCell ref="O1086:O1088"/>
    <mergeCell ref="P1086:P1088"/>
    <mergeCell ref="Q1086:Q1088"/>
    <mergeCell ref="R1086:R1088"/>
    <mergeCell ref="F1086:F1088"/>
    <mergeCell ref="G1086:G1088"/>
    <mergeCell ref="H1086:H1088"/>
    <mergeCell ref="I1086:I1088"/>
    <mergeCell ref="J1086:J1088"/>
    <mergeCell ref="K1086:K1088"/>
    <mergeCell ref="N1013:N1021"/>
    <mergeCell ref="O1013:O1021"/>
    <mergeCell ref="P1013:P1021"/>
    <mergeCell ref="Q1013:Q1021"/>
    <mergeCell ref="R1013:R1021"/>
    <mergeCell ref="A1086:A1088"/>
    <mergeCell ref="B1086:B1088"/>
    <mergeCell ref="C1086:C1088"/>
    <mergeCell ref="D1086:D1088"/>
    <mergeCell ref="E1086:E1088"/>
    <mergeCell ref="G1013:G1021"/>
    <mergeCell ref="H1013:H1021"/>
    <mergeCell ref="I1013:I1021"/>
    <mergeCell ref="J1013:J1021"/>
    <mergeCell ref="K1013:K1021"/>
    <mergeCell ref="M1013:M1021"/>
    <mergeCell ref="A1013:A1021"/>
    <mergeCell ref="B1013:B1021"/>
    <mergeCell ref="C1013:C1021"/>
    <mergeCell ref="D1013:D1021"/>
    <mergeCell ref="E1013:E1021"/>
    <mergeCell ref="F1013:F1021"/>
    <mergeCell ref="M1007:M1009"/>
    <mergeCell ref="N1007:N1009"/>
    <mergeCell ref="O1007:O1009"/>
    <mergeCell ref="P1007:P1009"/>
    <mergeCell ref="Q1007:Q1009"/>
    <mergeCell ref="R1007:R1009"/>
    <mergeCell ref="F1007:F1009"/>
    <mergeCell ref="G1007:G1009"/>
    <mergeCell ref="H1007:H1009"/>
    <mergeCell ref="I1007:I1009"/>
    <mergeCell ref="J1007:J1009"/>
    <mergeCell ref="K1007:K1009"/>
    <mergeCell ref="N975:N977"/>
    <mergeCell ref="O975:O977"/>
    <mergeCell ref="P975:P977"/>
    <mergeCell ref="Q975:Q977"/>
    <mergeCell ref="R975:R977"/>
    <mergeCell ref="A1007:A1009"/>
    <mergeCell ref="B1007:B1009"/>
    <mergeCell ref="C1007:C1009"/>
    <mergeCell ref="D1007:D1009"/>
    <mergeCell ref="E1007:E1009"/>
    <mergeCell ref="G975:G977"/>
    <mergeCell ref="H975:H977"/>
    <mergeCell ref="I975:I977"/>
    <mergeCell ref="J975:J977"/>
    <mergeCell ref="K975:K977"/>
    <mergeCell ref="M975:M977"/>
    <mergeCell ref="A975:A977"/>
    <mergeCell ref="B975:B977"/>
    <mergeCell ref="C975:C977"/>
    <mergeCell ref="D975:D977"/>
    <mergeCell ref="E975:E977"/>
    <mergeCell ref="F975:F977"/>
    <mergeCell ref="M968:M969"/>
    <mergeCell ref="N968:N969"/>
    <mergeCell ref="O968:O969"/>
    <mergeCell ref="P968:P969"/>
    <mergeCell ref="Q968:Q969"/>
    <mergeCell ref="R968:R969"/>
    <mergeCell ref="F968:F969"/>
    <mergeCell ref="G968:G969"/>
    <mergeCell ref="H968:H969"/>
    <mergeCell ref="I968:I969"/>
    <mergeCell ref="J968:J969"/>
    <mergeCell ref="K968:K969"/>
    <mergeCell ref="N943:N945"/>
    <mergeCell ref="O943:O945"/>
    <mergeCell ref="P943:P945"/>
    <mergeCell ref="Q943:Q945"/>
    <mergeCell ref="R943:R945"/>
    <mergeCell ref="A968:A969"/>
    <mergeCell ref="B968:B969"/>
    <mergeCell ref="C968:C969"/>
    <mergeCell ref="D968:D969"/>
    <mergeCell ref="E968:E969"/>
    <mergeCell ref="G943:G945"/>
    <mergeCell ref="H943:H945"/>
    <mergeCell ref="I943:I945"/>
    <mergeCell ref="J943:J945"/>
    <mergeCell ref="K943:K945"/>
    <mergeCell ref="M943:M945"/>
    <mergeCell ref="A943:A945"/>
    <mergeCell ref="B943:B945"/>
    <mergeCell ref="C943:C945"/>
    <mergeCell ref="D943:D945"/>
    <mergeCell ref="E943:E945"/>
    <mergeCell ref="F943:F945"/>
    <mergeCell ref="M888:M896"/>
    <mergeCell ref="N888:N896"/>
    <mergeCell ref="O888:O896"/>
    <mergeCell ref="P888:P896"/>
    <mergeCell ref="Q888:Q896"/>
    <mergeCell ref="R888:R896"/>
    <mergeCell ref="F888:F896"/>
    <mergeCell ref="G888:G896"/>
    <mergeCell ref="H888:H896"/>
    <mergeCell ref="I888:I896"/>
    <mergeCell ref="J888:J896"/>
    <mergeCell ref="K888:K896"/>
    <mergeCell ref="N882:N884"/>
    <mergeCell ref="O882:O884"/>
    <mergeCell ref="P882:P884"/>
    <mergeCell ref="Q882:Q884"/>
    <mergeCell ref="R882:R884"/>
    <mergeCell ref="A888:A896"/>
    <mergeCell ref="B888:B896"/>
    <mergeCell ref="C888:C896"/>
    <mergeCell ref="D888:D896"/>
    <mergeCell ref="E888:E896"/>
    <mergeCell ref="G882:G884"/>
    <mergeCell ref="H882:H884"/>
    <mergeCell ref="I882:I884"/>
    <mergeCell ref="J882:J884"/>
    <mergeCell ref="K882:K884"/>
    <mergeCell ref="M882:M884"/>
    <mergeCell ref="A882:A884"/>
    <mergeCell ref="B882:B884"/>
    <mergeCell ref="C882:C884"/>
    <mergeCell ref="D882:D884"/>
    <mergeCell ref="E882:E884"/>
    <mergeCell ref="F882:F884"/>
    <mergeCell ref="M833:M835"/>
    <mergeCell ref="N833:N835"/>
    <mergeCell ref="O833:O835"/>
    <mergeCell ref="P833:P835"/>
    <mergeCell ref="Q833:Q835"/>
    <mergeCell ref="R833:R835"/>
    <mergeCell ref="F833:F835"/>
    <mergeCell ref="G833:G835"/>
    <mergeCell ref="H833:H835"/>
    <mergeCell ref="I833:I835"/>
    <mergeCell ref="J833:J835"/>
    <mergeCell ref="K833:K835"/>
    <mergeCell ref="N828:N830"/>
    <mergeCell ref="O828:O830"/>
    <mergeCell ref="P828:P830"/>
    <mergeCell ref="Q828:Q830"/>
    <mergeCell ref="R828:R830"/>
    <mergeCell ref="A833:A835"/>
    <mergeCell ref="B833:B835"/>
    <mergeCell ref="C833:C835"/>
    <mergeCell ref="D833:D835"/>
    <mergeCell ref="E833:E835"/>
    <mergeCell ref="G828:G830"/>
    <mergeCell ref="H828:H830"/>
    <mergeCell ref="I828:I830"/>
    <mergeCell ref="J828:J830"/>
    <mergeCell ref="K828:K830"/>
    <mergeCell ref="M828:M830"/>
    <mergeCell ref="A828:A830"/>
    <mergeCell ref="B828:B830"/>
    <mergeCell ref="C828:C830"/>
    <mergeCell ref="D828:D830"/>
    <mergeCell ref="E828:E830"/>
    <mergeCell ref="F828:F830"/>
    <mergeCell ref="M775:M777"/>
    <mergeCell ref="N775:N777"/>
    <mergeCell ref="O775:O777"/>
    <mergeCell ref="P775:P777"/>
    <mergeCell ref="Q775:Q777"/>
    <mergeCell ref="R775:R777"/>
    <mergeCell ref="F775:F777"/>
    <mergeCell ref="G775:G777"/>
    <mergeCell ref="H775:H777"/>
    <mergeCell ref="I775:I777"/>
    <mergeCell ref="J775:J777"/>
    <mergeCell ref="K775:K777"/>
    <mergeCell ref="N743:N744"/>
    <mergeCell ref="O743:O744"/>
    <mergeCell ref="P743:P744"/>
    <mergeCell ref="Q743:Q744"/>
    <mergeCell ref="R743:R744"/>
    <mergeCell ref="A775:A777"/>
    <mergeCell ref="B775:B777"/>
    <mergeCell ref="C775:C777"/>
    <mergeCell ref="D775:D777"/>
    <mergeCell ref="E775:E777"/>
    <mergeCell ref="G743:G744"/>
    <mergeCell ref="H743:H744"/>
    <mergeCell ref="I743:I744"/>
    <mergeCell ref="J743:J744"/>
    <mergeCell ref="K743:K744"/>
    <mergeCell ref="M743:M744"/>
    <mergeCell ref="A743:A744"/>
    <mergeCell ref="B743:B744"/>
    <mergeCell ref="C743:C744"/>
    <mergeCell ref="D743:D744"/>
    <mergeCell ref="E743:E744"/>
    <mergeCell ref="F743:F744"/>
    <mergeCell ref="M741:M742"/>
    <mergeCell ref="N741:N742"/>
    <mergeCell ref="O741:O742"/>
    <mergeCell ref="P741:P742"/>
    <mergeCell ref="Q741:Q742"/>
    <mergeCell ref="R741:R742"/>
    <mergeCell ref="F741:F742"/>
    <mergeCell ref="G741:G742"/>
    <mergeCell ref="H741:H742"/>
    <mergeCell ref="I741:I742"/>
    <mergeCell ref="J741:J742"/>
    <mergeCell ref="K741:K742"/>
    <mergeCell ref="N739:N740"/>
    <mergeCell ref="O739:O740"/>
    <mergeCell ref="P739:P740"/>
    <mergeCell ref="Q739:Q740"/>
    <mergeCell ref="R739:R740"/>
    <mergeCell ref="A741:A742"/>
    <mergeCell ref="B741:B742"/>
    <mergeCell ref="C741:C742"/>
    <mergeCell ref="D741:D742"/>
    <mergeCell ref="E741:E742"/>
    <mergeCell ref="G739:G740"/>
    <mergeCell ref="H739:H740"/>
    <mergeCell ref="I739:I740"/>
    <mergeCell ref="J739:J740"/>
    <mergeCell ref="K739:K740"/>
    <mergeCell ref="M739:M740"/>
    <mergeCell ref="A739:A740"/>
    <mergeCell ref="B739:B740"/>
    <mergeCell ref="C739:C740"/>
    <mergeCell ref="D739:D740"/>
    <mergeCell ref="E739:E740"/>
    <mergeCell ref="F739:F740"/>
    <mergeCell ref="M710:M712"/>
    <mergeCell ref="N710:N712"/>
    <mergeCell ref="O710:O712"/>
    <mergeCell ref="P710:P712"/>
    <mergeCell ref="Q710:Q712"/>
    <mergeCell ref="R710:R712"/>
    <mergeCell ref="F710:F712"/>
    <mergeCell ref="G710:G712"/>
    <mergeCell ref="H710:H712"/>
    <mergeCell ref="I710:I712"/>
    <mergeCell ref="J710:J712"/>
    <mergeCell ref="K710:K712"/>
    <mergeCell ref="N703:N705"/>
    <mergeCell ref="O703:O705"/>
    <mergeCell ref="P703:P705"/>
    <mergeCell ref="Q703:Q705"/>
    <mergeCell ref="R703:R705"/>
    <mergeCell ref="A710:A712"/>
    <mergeCell ref="B710:B712"/>
    <mergeCell ref="C710:C712"/>
    <mergeCell ref="D710:D712"/>
    <mergeCell ref="E710:E712"/>
    <mergeCell ref="G703:G705"/>
    <mergeCell ref="H703:H705"/>
    <mergeCell ref="I703:I705"/>
    <mergeCell ref="J703:J705"/>
    <mergeCell ref="K703:K705"/>
    <mergeCell ref="M703:M705"/>
    <mergeCell ref="A703:A705"/>
    <mergeCell ref="B703:B705"/>
    <mergeCell ref="C703:C705"/>
    <mergeCell ref="D703:D705"/>
    <mergeCell ref="E703:E705"/>
    <mergeCell ref="F703:F705"/>
    <mergeCell ref="M682:M684"/>
    <mergeCell ref="N682:N684"/>
    <mergeCell ref="O682:O684"/>
    <mergeCell ref="P682:P684"/>
    <mergeCell ref="Q682:Q684"/>
    <mergeCell ref="R682:R684"/>
    <mergeCell ref="F682:F684"/>
    <mergeCell ref="G682:G684"/>
    <mergeCell ref="H682:H684"/>
    <mergeCell ref="I682:I684"/>
    <mergeCell ref="J682:J684"/>
    <mergeCell ref="K682:K684"/>
    <mergeCell ref="N662:N664"/>
    <mergeCell ref="O662:O664"/>
    <mergeCell ref="P662:P664"/>
    <mergeCell ref="Q662:Q664"/>
    <mergeCell ref="R662:R664"/>
    <mergeCell ref="A682:A684"/>
    <mergeCell ref="B682:B684"/>
    <mergeCell ref="C682:C684"/>
    <mergeCell ref="D682:D684"/>
    <mergeCell ref="E682:E684"/>
    <mergeCell ref="G662:G664"/>
    <mergeCell ref="H662:H664"/>
    <mergeCell ref="I662:I664"/>
    <mergeCell ref="J662:J664"/>
    <mergeCell ref="K662:K664"/>
    <mergeCell ref="M662:M664"/>
    <mergeCell ref="A662:A664"/>
    <mergeCell ref="B662:B664"/>
    <mergeCell ref="C662:C664"/>
    <mergeCell ref="D662:D664"/>
    <mergeCell ref="E662:E664"/>
    <mergeCell ref="F662:F664"/>
    <mergeCell ref="M649:M651"/>
    <mergeCell ref="N649:N651"/>
    <mergeCell ref="O649:O651"/>
    <mergeCell ref="P649:P651"/>
    <mergeCell ref="Q649:Q651"/>
    <mergeCell ref="R649:R651"/>
    <mergeCell ref="F649:F651"/>
    <mergeCell ref="G649:G651"/>
    <mergeCell ref="H649:H651"/>
    <mergeCell ref="I649:I651"/>
    <mergeCell ref="J649:J651"/>
    <mergeCell ref="K649:K651"/>
    <mergeCell ref="N615:N616"/>
    <mergeCell ref="O615:O616"/>
    <mergeCell ref="P615:P616"/>
    <mergeCell ref="Q615:Q616"/>
    <mergeCell ref="R615:R616"/>
    <mergeCell ref="A649:A651"/>
    <mergeCell ref="B649:B651"/>
    <mergeCell ref="C649:C651"/>
    <mergeCell ref="D649:D651"/>
    <mergeCell ref="E649:E651"/>
    <mergeCell ref="G615:G616"/>
    <mergeCell ref="H615:H616"/>
    <mergeCell ref="I615:I616"/>
    <mergeCell ref="J615:J616"/>
    <mergeCell ref="K615:K616"/>
    <mergeCell ref="M615:M616"/>
    <mergeCell ref="A615:A616"/>
    <mergeCell ref="B615:B616"/>
    <mergeCell ref="C615:C616"/>
    <mergeCell ref="D615:D616"/>
    <mergeCell ref="E615:E616"/>
    <mergeCell ref="F615:F616"/>
    <mergeCell ref="M613:M614"/>
    <mergeCell ref="N613:N614"/>
    <mergeCell ref="O613:O614"/>
    <mergeCell ref="P613:P614"/>
    <mergeCell ref="Q613:Q614"/>
    <mergeCell ref="R613:R614"/>
    <mergeCell ref="F613:F614"/>
    <mergeCell ref="G613:G614"/>
    <mergeCell ref="H613:H614"/>
    <mergeCell ref="I613:I614"/>
    <mergeCell ref="J613:J614"/>
    <mergeCell ref="K613:K614"/>
    <mergeCell ref="N611:N612"/>
    <mergeCell ref="O611:O612"/>
    <mergeCell ref="P611:P612"/>
    <mergeCell ref="Q611:Q612"/>
    <mergeCell ref="R611:R612"/>
    <mergeCell ref="A613:A614"/>
    <mergeCell ref="B613:B614"/>
    <mergeCell ref="C613:C614"/>
    <mergeCell ref="D613:D614"/>
    <mergeCell ref="E613:E614"/>
    <mergeCell ref="G611:G612"/>
    <mergeCell ref="H611:H612"/>
    <mergeCell ref="I611:I612"/>
    <mergeCell ref="J611:J612"/>
    <mergeCell ref="K611:K612"/>
    <mergeCell ref="M611:M612"/>
    <mergeCell ref="A611:A612"/>
    <mergeCell ref="B611:B612"/>
    <mergeCell ref="C611:C612"/>
    <mergeCell ref="D611:D612"/>
    <mergeCell ref="E611:E612"/>
    <mergeCell ref="F611:F612"/>
    <mergeCell ref="M605:M607"/>
    <mergeCell ref="N605:N607"/>
    <mergeCell ref="O605:O607"/>
    <mergeCell ref="P605:P607"/>
    <mergeCell ref="Q605:Q607"/>
    <mergeCell ref="R605:R607"/>
    <mergeCell ref="F605:F607"/>
    <mergeCell ref="G605:G607"/>
    <mergeCell ref="H605:H607"/>
    <mergeCell ref="I605:I607"/>
    <mergeCell ref="J605:J607"/>
    <mergeCell ref="K605:K607"/>
    <mergeCell ref="N519:N523"/>
    <mergeCell ref="O519:O523"/>
    <mergeCell ref="P519:P523"/>
    <mergeCell ref="Q519:Q523"/>
    <mergeCell ref="R519:R523"/>
    <mergeCell ref="A605:A607"/>
    <mergeCell ref="B605:B607"/>
    <mergeCell ref="C605:C607"/>
    <mergeCell ref="D605:D607"/>
    <mergeCell ref="E605:E607"/>
    <mergeCell ref="G519:G523"/>
    <mergeCell ref="H519:H523"/>
    <mergeCell ref="I519:I523"/>
    <mergeCell ref="J519:J523"/>
    <mergeCell ref="K519:K523"/>
    <mergeCell ref="M519:M523"/>
    <mergeCell ref="A519:A523"/>
    <mergeCell ref="B519:B523"/>
    <mergeCell ref="C519:C523"/>
    <mergeCell ref="D519:D523"/>
    <mergeCell ref="E519:E523"/>
    <mergeCell ref="F519:F523"/>
    <mergeCell ref="M514:M518"/>
    <mergeCell ref="N514:N518"/>
    <mergeCell ref="O514:O518"/>
    <mergeCell ref="P514:P518"/>
    <mergeCell ref="Q514:Q518"/>
    <mergeCell ref="R514:R518"/>
    <mergeCell ref="F514:F518"/>
    <mergeCell ref="G514:G518"/>
    <mergeCell ref="H514:H518"/>
    <mergeCell ref="I514:I518"/>
    <mergeCell ref="J514:J518"/>
    <mergeCell ref="K514:K518"/>
    <mergeCell ref="N509:N513"/>
    <mergeCell ref="O509:O513"/>
    <mergeCell ref="P509:P513"/>
    <mergeCell ref="Q509:Q513"/>
    <mergeCell ref="R509:R513"/>
    <mergeCell ref="A514:A518"/>
    <mergeCell ref="B514:B518"/>
    <mergeCell ref="C514:C518"/>
    <mergeCell ref="D514:D518"/>
    <mergeCell ref="E514:E518"/>
    <mergeCell ref="G509:G513"/>
    <mergeCell ref="H509:H513"/>
    <mergeCell ref="I509:I513"/>
    <mergeCell ref="J509:J513"/>
    <mergeCell ref="K509:K513"/>
    <mergeCell ref="M509:M513"/>
    <mergeCell ref="A509:A513"/>
    <mergeCell ref="B509:B513"/>
    <mergeCell ref="C509:C513"/>
    <mergeCell ref="D509:D513"/>
    <mergeCell ref="E509:E513"/>
    <mergeCell ref="F509:F513"/>
    <mergeCell ref="M504:M508"/>
    <mergeCell ref="N504:N508"/>
    <mergeCell ref="O504:O508"/>
    <mergeCell ref="P504:P508"/>
    <mergeCell ref="Q504:Q508"/>
    <mergeCell ref="R504:R508"/>
    <mergeCell ref="F504:F508"/>
    <mergeCell ref="G504:G508"/>
    <mergeCell ref="H504:H508"/>
    <mergeCell ref="I504:I508"/>
    <mergeCell ref="J504:J508"/>
    <mergeCell ref="K504:K508"/>
    <mergeCell ref="N499:N503"/>
    <mergeCell ref="O499:O503"/>
    <mergeCell ref="P499:P503"/>
    <mergeCell ref="Q499:Q503"/>
    <mergeCell ref="R499:R503"/>
    <mergeCell ref="A504:A508"/>
    <mergeCell ref="B504:B508"/>
    <mergeCell ref="C504:C508"/>
    <mergeCell ref="D504:D508"/>
    <mergeCell ref="E504:E508"/>
    <mergeCell ref="G499:G503"/>
    <mergeCell ref="H499:H503"/>
    <mergeCell ref="I499:I503"/>
    <mergeCell ref="J499:J503"/>
    <mergeCell ref="K499:K503"/>
    <mergeCell ref="M499:M503"/>
    <mergeCell ref="A499:A503"/>
    <mergeCell ref="B499:B503"/>
    <mergeCell ref="C499:C503"/>
    <mergeCell ref="D499:D503"/>
    <mergeCell ref="E499:E503"/>
    <mergeCell ref="F499:F503"/>
    <mergeCell ref="M494:M498"/>
    <mergeCell ref="N494:N498"/>
    <mergeCell ref="O494:O498"/>
    <mergeCell ref="P494:P498"/>
    <mergeCell ref="Q494:Q498"/>
    <mergeCell ref="R494:R498"/>
    <mergeCell ref="F494:F498"/>
    <mergeCell ref="G494:G498"/>
    <mergeCell ref="H494:H498"/>
    <mergeCell ref="I494:I498"/>
    <mergeCell ref="J494:J498"/>
    <mergeCell ref="K494:K498"/>
    <mergeCell ref="N468:N470"/>
    <mergeCell ref="O468:O470"/>
    <mergeCell ref="P468:P470"/>
    <mergeCell ref="Q468:Q470"/>
    <mergeCell ref="R468:R470"/>
    <mergeCell ref="A494:A498"/>
    <mergeCell ref="B494:B498"/>
    <mergeCell ref="C494:C498"/>
    <mergeCell ref="D494:D498"/>
    <mergeCell ref="E494:E498"/>
    <mergeCell ref="G468:G470"/>
    <mergeCell ref="H468:H470"/>
    <mergeCell ref="I468:I470"/>
    <mergeCell ref="J468:J470"/>
    <mergeCell ref="K468:K470"/>
    <mergeCell ref="M468:M470"/>
    <mergeCell ref="A468:A470"/>
    <mergeCell ref="B468:B470"/>
    <mergeCell ref="C468:C470"/>
    <mergeCell ref="D468:D470"/>
    <mergeCell ref="E468:E470"/>
    <mergeCell ref="F468:F470"/>
    <mergeCell ref="M460:M461"/>
    <mergeCell ref="N460:N461"/>
    <mergeCell ref="O460:O461"/>
    <mergeCell ref="P460:P461"/>
    <mergeCell ref="Q460:Q461"/>
    <mergeCell ref="R460:R461"/>
    <mergeCell ref="F460:F461"/>
    <mergeCell ref="G460:G461"/>
    <mergeCell ref="H460:H461"/>
    <mergeCell ref="I460:I461"/>
    <mergeCell ref="J460:J461"/>
    <mergeCell ref="K460:K461"/>
    <mergeCell ref="N458:N459"/>
    <mergeCell ref="O458:O459"/>
    <mergeCell ref="P458:P459"/>
    <mergeCell ref="Q458:Q459"/>
    <mergeCell ref="R458:R459"/>
    <mergeCell ref="A460:A461"/>
    <mergeCell ref="B460:B461"/>
    <mergeCell ref="C460:C461"/>
    <mergeCell ref="D460:D461"/>
    <mergeCell ref="E460:E461"/>
    <mergeCell ref="G458:G459"/>
    <mergeCell ref="H458:H459"/>
    <mergeCell ref="I458:I459"/>
    <mergeCell ref="J458:J459"/>
    <mergeCell ref="K458:K459"/>
    <mergeCell ref="M458:M459"/>
    <mergeCell ref="A458:A459"/>
    <mergeCell ref="B458:B459"/>
    <mergeCell ref="C458:C459"/>
    <mergeCell ref="D458:D459"/>
    <mergeCell ref="E458:E459"/>
    <mergeCell ref="F458:F459"/>
    <mergeCell ref="M456:M457"/>
    <mergeCell ref="N456:N457"/>
    <mergeCell ref="O456:O457"/>
    <mergeCell ref="P456:P457"/>
    <mergeCell ref="Q456:Q457"/>
    <mergeCell ref="R456:R457"/>
    <mergeCell ref="F456:F457"/>
    <mergeCell ref="G456:G457"/>
    <mergeCell ref="H456:H457"/>
    <mergeCell ref="I456:I457"/>
    <mergeCell ref="J456:J457"/>
    <mergeCell ref="K456:K457"/>
    <mergeCell ref="N445:N447"/>
    <mergeCell ref="O445:O447"/>
    <mergeCell ref="P445:P447"/>
    <mergeCell ref="Q445:Q447"/>
    <mergeCell ref="R445:R447"/>
    <mergeCell ref="A456:A457"/>
    <mergeCell ref="B456:B457"/>
    <mergeCell ref="C456:C457"/>
    <mergeCell ref="D456:D457"/>
    <mergeCell ref="E456:E457"/>
    <mergeCell ref="G445:G447"/>
    <mergeCell ref="H445:H447"/>
    <mergeCell ref="I445:I447"/>
    <mergeCell ref="J445:J447"/>
    <mergeCell ref="K445:K447"/>
    <mergeCell ref="M445:M447"/>
    <mergeCell ref="A445:A447"/>
    <mergeCell ref="B445:B447"/>
    <mergeCell ref="C445:C447"/>
    <mergeCell ref="D445:D447"/>
    <mergeCell ref="E445:E447"/>
    <mergeCell ref="F445:F447"/>
    <mergeCell ref="M398:M400"/>
    <mergeCell ref="N398:N400"/>
    <mergeCell ref="O398:O400"/>
    <mergeCell ref="P398:P400"/>
    <mergeCell ref="Q398:Q400"/>
    <mergeCell ref="R398:R400"/>
    <mergeCell ref="F398:F400"/>
    <mergeCell ref="G398:G400"/>
    <mergeCell ref="H398:H400"/>
    <mergeCell ref="I398:I400"/>
    <mergeCell ref="J398:J400"/>
    <mergeCell ref="K398:K400"/>
    <mergeCell ref="N390:N391"/>
    <mergeCell ref="O390:O391"/>
    <mergeCell ref="P390:P391"/>
    <mergeCell ref="Q390:Q391"/>
    <mergeCell ref="R390:R391"/>
    <mergeCell ref="A398:A400"/>
    <mergeCell ref="B398:B400"/>
    <mergeCell ref="C398:C400"/>
    <mergeCell ref="D398:D400"/>
    <mergeCell ref="E398:E400"/>
    <mergeCell ref="G390:G391"/>
    <mergeCell ref="H390:H391"/>
    <mergeCell ref="I390:I391"/>
    <mergeCell ref="J390:J391"/>
    <mergeCell ref="K390:K391"/>
    <mergeCell ref="M390:M391"/>
    <mergeCell ref="A390:A391"/>
    <mergeCell ref="B390:B391"/>
    <mergeCell ref="C390:C391"/>
    <mergeCell ref="D390:D391"/>
    <mergeCell ref="E390:E391"/>
    <mergeCell ref="F390:F391"/>
    <mergeCell ref="M388:M389"/>
    <mergeCell ref="N388:N389"/>
    <mergeCell ref="O388:O389"/>
    <mergeCell ref="P388:P389"/>
    <mergeCell ref="Q388:Q389"/>
    <mergeCell ref="R388:R389"/>
    <mergeCell ref="F388:F389"/>
    <mergeCell ref="G388:G389"/>
    <mergeCell ref="H388:H389"/>
    <mergeCell ref="I388:I389"/>
    <mergeCell ref="J388:J389"/>
    <mergeCell ref="K388:K389"/>
    <mergeCell ref="N386:N387"/>
    <mergeCell ref="O386:O387"/>
    <mergeCell ref="P386:P387"/>
    <mergeCell ref="Q386:Q387"/>
    <mergeCell ref="R386:R387"/>
    <mergeCell ref="A388:A389"/>
    <mergeCell ref="B388:B389"/>
    <mergeCell ref="C388:C389"/>
    <mergeCell ref="D388:D389"/>
    <mergeCell ref="E388:E389"/>
    <mergeCell ref="G386:G387"/>
    <mergeCell ref="H386:H387"/>
    <mergeCell ref="I386:I387"/>
    <mergeCell ref="J386:J387"/>
    <mergeCell ref="K386:K387"/>
    <mergeCell ref="M386:M387"/>
    <mergeCell ref="A386:A387"/>
    <mergeCell ref="B386:B387"/>
    <mergeCell ref="C386:C387"/>
    <mergeCell ref="D386:D387"/>
    <mergeCell ref="E386:E387"/>
    <mergeCell ref="F386:F387"/>
    <mergeCell ref="M374:M376"/>
    <mergeCell ref="N374:N376"/>
    <mergeCell ref="O374:O376"/>
    <mergeCell ref="P374:P376"/>
    <mergeCell ref="Q374:Q376"/>
    <mergeCell ref="R374:R376"/>
    <mergeCell ref="F374:F376"/>
    <mergeCell ref="G374:G376"/>
    <mergeCell ref="H374:H376"/>
    <mergeCell ref="I374:I376"/>
    <mergeCell ref="J374:J376"/>
    <mergeCell ref="K374:K376"/>
    <mergeCell ref="N368:N372"/>
    <mergeCell ref="O368:O372"/>
    <mergeCell ref="P368:P372"/>
    <mergeCell ref="Q368:Q372"/>
    <mergeCell ref="R368:R372"/>
    <mergeCell ref="A374:A376"/>
    <mergeCell ref="B374:B376"/>
    <mergeCell ref="C374:C376"/>
    <mergeCell ref="D374:D376"/>
    <mergeCell ref="E374:E376"/>
    <mergeCell ref="G368:G372"/>
    <mergeCell ref="H368:H372"/>
    <mergeCell ref="I368:I372"/>
    <mergeCell ref="J368:J372"/>
    <mergeCell ref="K368:K372"/>
    <mergeCell ref="M368:M372"/>
    <mergeCell ref="A368:A372"/>
    <mergeCell ref="B368:B372"/>
    <mergeCell ref="C368:C372"/>
    <mergeCell ref="D368:D372"/>
    <mergeCell ref="E368:E372"/>
    <mergeCell ref="F368:F372"/>
    <mergeCell ref="M313:M315"/>
    <mergeCell ref="N313:N315"/>
    <mergeCell ref="O313:O315"/>
    <mergeCell ref="P313:P315"/>
    <mergeCell ref="Q313:Q315"/>
    <mergeCell ref="R313:R315"/>
    <mergeCell ref="F313:F315"/>
    <mergeCell ref="G313:G315"/>
    <mergeCell ref="H313:H315"/>
    <mergeCell ref="I313:I315"/>
    <mergeCell ref="J313:J315"/>
    <mergeCell ref="K313:K315"/>
    <mergeCell ref="N309:N311"/>
    <mergeCell ref="O309:O311"/>
    <mergeCell ref="P309:P311"/>
    <mergeCell ref="Q309:Q311"/>
    <mergeCell ref="R309:R311"/>
    <mergeCell ref="A313:A315"/>
    <mergeCell ref="B313:B315"/>
    <mergeCell ref="C313:C315"/>
    <mergeCell ref="D313:D315"/>
    <mergeCell ref="E313:E315"/>
    <mergeCell ref="G309:G311"/>
    <mergeCell ref="H309:H311"/>
    <mergeCell ref="I309:I311"/>
    <mergeCell ref="J309:J311"/>
    <mergeCell ref="K309:K311"/>
    <mergeCell ref="M309:M311"/>
    <mergeCell ref="A309:A311"/>
    <mergeCell ref="B309:B311"/>
    <mergeCell ref="C309:C311"/>
    <mergeCell ref="D309:D311"/>
    <mergeCell ref="E309:E311"/>
    <mergeCell ref="F309:F311"/>
    <mergeCell ref="M273:M277"/>
    <mergeCell ref="N273:N277"/>
    <mergeCell ref="O273:O277"/>
    <mergeCell ref="P273:P277"/>
    <mergeCell ref="Q273:Q277"/>
    <mergeCell ref="R273:R277"/>
    <mergeCell ref="F273:F277"/>
    <mergeCell ref="G273:G277"/>
    <mergeCell ref="H273:H277"/>
    <mergeCell ref="I273:I277"/>
    <mergeCell ref="J273:J277"/>
    <mergeCell ref="K273:K277"/>
    <mergeCell ref="N248:N254"/>
    <mergeCell ref="O248:O254"/>
    <mergeCell ref="P248:P254"/>
    <mergeCell ref="Q248:Q254"/>
    <mergeCell ref="R248:R254"/>
    <mergeCell ref="A273:A277"/>
    <mergeCell ref="B273:B277"/>
    <mergeCell ref="C273:C277"/>
    <mergeCell ref="D273:D277"/>
    <mergeCell ref="E273:E277"/>
    <mergeCell ref="G248:G254"/>
    <mergeCell ref="H248:H254"/>
    <mergeCell ref="I248:I254"/>
    <mergeCell ref="J248:J254"/>
    <mergeCell ref="K248:K254"/>
    <mergeCell ref="M248:M254"/>
    <mergeCell ref="A248:A254"/>
    <mergeCell ref="B248:B254"/>
    <mergeCell ref="C248:C254"/>
    <mergeCell ref="D248:D254"/>
    <mergeCell ref="E248:E254"/>
    <mergeCell ref="F248:F254"/>
    <mergeCell ref="M210:M214"/>
    <mergeCell ref="N210:N214"/>
    <mergeCell ref="O210:O214"/>
    <mergeCell ref="P210:P214"/>
    <mergeCell ref="Q210:Q214"/>
    <mergeCell ref="R210:R214"/>
    <mergeCell ref="F210:F214"/>
    <mergeCell ref="G210:G214"/>
    <mergeCell ref="H210:H214"/>
    <mergeCell ref="I210:I214"/>
    <mergeCell ref="J210:J214"/>
    <mergeCell ref="K210:K214"/>
    <mergeCell ref="N203:N207"/>
    <mergeCell ref="O203:O207"/>
    <mergeCell ref="P203:P207"/>
    <mergeCell ref="Q203:Q207"/>
    <mergeCell ref="R203:R207"/>
    <mergeCell ref="A210:A214"/>
    <mergeCell ref="B210:B214"/>
    <mergeCell ref="C210:C214"/>
    <mergeCell ref="D210:D214"/>
    <mergeCell ref="E210:E214"/>
    <mergeCell ref="G203:G207"/>
    <mergeCell ref="H203:H207"/>
    <mergeCell ref="I203:I207"/>
    <mergeCell ref="J203:J207"/>
    <mergeCell ref="K203:K207"/>
    <mergeCell ref="M203:M207"/>
    <mergeCell ref="A203:A207"/>
    <mergeCell ref="B203:B207"/>
    <mergeCell ref="C203:C207"/>
    <mergeCell ref="D203:D207"/>
    <mergeCell ref="E203:E207"/>
    <mergeCell ref="F203:F207"/>
    <mergeCell ref="M198:M202"/>
    <mergeCell ref="N198:N202"/>
    <mergeCell ref="O198:O202"/>
    <mergeCell ref="P198:P202"/>
    <mergeCell ref="Q198:Q202"/>
    <mergeCell ref="R198:R202"/>
    <mergeCell ref="F198:F202"/>
    <mergeCell ref="G198:G202"/>
    <mergeCell ref="H198:H202"/>
    <mergeCell ref="I198:I202"/>
    <mergeCell ref="J198:J202"/>
    <mergeCell ref="K198:K202"/>
    <mergeCell ref="N193:N197"/>
    <mergeCell ref="O193:O197"/>
    <mergeCell ref="P193:P197"/>
    <mergeCell ref="Q193:Q197"/>
    <mergeCell ref="R193:R197"/>
    <mergeCell ref="A198:A202"/>
    <mergeCell ref="B198:B202"/>
    <mergeCell ref="C198:C202"/>
    <mergeCell ref="D198:D202"/>
    <mergeCell ref="E198:E202"/>
    <mergeCell ref="G193:G197"/>
    <mergeCell ref="H193:H197"/>
    <mergeCell ref="I193:I197"/>
    <mergeCell ref="J193:J197"/>
    <mergeCell ref="K193:K197"/>
    <mergeCell ref="M193:M197"/>
    <mergeCell ref="A193:A197"/>
    <mergeCell ref="B193:B197"/>
    <mergeCell ref="C193:C197"/>
    <mergeCell ref="D193:D197"/>
    <mergeCell ref="E193:E197"/>
    <mergeCell ref="F193:F197"/>
    <mergeCell ref="M188:M192"/>
    <mergeCell ref="N188:N192"/>
    <mergeCell ref="O188:O192"/>
    <mergeCell ref="P188:P192"/>
    <mergeCell ref="Q188:Q192"/>
    <mergeCell ref="R188:R192"/>
    <mergeCell ref="F188:F192"/>
    <mergeCell ref="G188:G192"/>
    <mergeCell ref="H188:H192"/>
    <mergeCell ref="I188:I192"/>
    <mergeCell ref="J188:J192"/>
    <mergeCell ref="K188:K192"/>
    <mergeCell ref="N183:N187"/>
    <mergeCell ref="O183:O187"/>
    <mergeCell ref="P183:P187"/>
    <mergeCell ref="Q183:Q187"/>
    <mergeCell ref="R183:R187"/>
    <mergeCell ref="A188:A192"/>
    <mergeCell ref="B188:B192"/>
    <mergeCell ref="C188:C192"/>
    <mergeCell ref="D188:D192"/>
    <mergeCell ref="E188:E192"/>
    <mergeCell ref="G183:G187"/>
    <mergeCell ref="H183:H187"/>
    <mergeCell ref="I183:I187"/>
    <mergeCell ref="J183:J187"/>
    <mergeCell ref="K183:K187"/>
    <mergeCell ref="M183:M187"/>
    <mergeCell ref="A183:A187"/>
    <mergeCell ref="B183:B187"/>
    <mergeCell ref="C183:C187"/>
    <mergeCell ref="D183:D187"/>
    <mergeCell ref="E183:E187"/>
    <mergeCell ref="F183:F187"/>
    <mergeCell ref="M159:M161"/>
    <mergeCell ref="N159:N161"/>
    <mergeCell ref="O159:O161"/>
    <mergeCell ref="P159:P161"/>
    <mergeCell ref="Q159:Q161"/>
    <mergeCell ref="R159:R161"/>
    <mergeCell ref="F159:F161"/>
    <mergeCell ref="G159:G161"/>
    <mergeCell ref="H159:H161"/>
    <mergeCell ref="I159:I161"/>
    <mergeCell ref="J159:J161"/>
    <mergeCell ref="K159:K161"/>
    <mergeCell ref="N152:N153"/>
    <mergeCell ref="O152:O153"/>
    <mergeCell ref="P152:P153"/>
    <mergeCell ref="Q152:Q153"/>
    <mergeCell ref="R152:R153"/>
    <mergeCell ref="A159:A161"/>
    <mergeCell ref="B159:B161"/>
    <mergeCell ref="C159:C161"/>
    <mergeCell ref="D159:D161"/>
    <mergeCell ref="E159:E161"/>
    <mergeCell ref="G152:G153"/>
    <mergeCell ref="H152:H153"/>
    <mergeCell ref="I152:I153"/>
    <mergeCell ref="J152:J153"/>
    <mergeCell ref="K152:K153"/>
    <mergeCell ref="M152:M153"/>
    <mergeCell ref="A152:A153"/>
    <mergeCell ref="B152:B153"/>
    <mergeCell ref="C152:C153"/>
    <mergeCell ref="D152:D153"/>
    <mergeCell ref="E152:E153"/>
    <mergeCell ref="F152:F153"/>
    <mergeCell ref="M150:M151"/>
    <mergeCell ref="N150:N151"/>
    <mergeCell ref="O150:O151"/>
    <mergeCell ref="P150:P151"/>
    <mergeCell ref="Q150:Q151"/>
    <mergeCell ref="R150:R151"/>
    <mergeCell ref="F150:F151"/>
    <mergeCell ref="G150:G151"/>
    <mergeCell ref="H150:H151"/>
    <mergeCell ref="I150:I151"/>
    <mergeCell ref="J150:J151"/>
    <mergeCell ref="K150:K151"/>
    <mergeCell ref="N148:N149"/>
    <mergeCell ref="O148:O149"/>
    <mergeCell ref="P148:P149"/>
    <mergeCell ref="Q148:Q149"/>
    <mergeCell ref="R148:R149"/>
    <mergeCell ref="A150:A151"/>
    <mergeCell ref="B150:B151"/>
    <mergeCell ref="C150:C151"/>
    <mergeCell ref="D150:D151"/>
    <mergeCell ref="E150:E151"/>
    <mergeCell ref="G148:G149"/>
    <mergeCell ref="H148:H149"/>
    <mergeCell ref="I148:I149"/>
    <mergeCell ref="J148:J149"/>
    <mergeCell ref="K148:K149"/>
    <mergeCell ref="M148:M149"/>
    <mergeCell ref="A148:A149"/>
    <mergeCell ref="B148:B149"/>
    <mergeCell ref="C148:C149"/>
    <mergeCell ref="D148:D149"/>
    <mergeCell ref="E148:E149"/>
    <mergeCell ref="F148:F149"/>
    <mergeCell ref="M38:M39"/>
    <mergeCell ref="N38:N39"/>
    <mergeCell ref="O38:O39"/>
    <mergeCell ref="P38:P39"/>
    <mergeCell ref="Q38:Q39"/>
    <mergeCell ref="R38:R39"/>
    <mergeCell ref="F38:F39"/>
    <mergeCell ref="G38:G39"/>
    <mergeCell ref="H38:H39"/>
    <mergeCell ref="I38:I39"/>
    <mergeCell ref="J38:J39"/>
    <mergeCell ref="K38:K39"/>
    <mergeCell ref="N36:N37"/>
    <mergeCell ref="O36:O37"/>
    <mergeCell ref="P36:P37"/>
    <mergeCell ref="Q36:Q37"/>
    <mergeCell ref="R36:R37"/>
    <mergeCell ref="A38:A39"/>
    <mergeCell ref="B38:B39"/>
    <mergeCell ref="C38:C39"/>
    <mergeCell ref="D38:D39"/>
    <mergeCell ref="E38:E39"/>
    <mergeCell ref="G36:G37"/>
    <mergeCell ref="H36:H37"/>
    <mergeCell ref="I36:I37"/>
    <mergeCell ref="J36:J37"/>
    <mergeCell ref="K36:K37"/>
    <mergeCell ref="M36:M37"/>
    <mergeCell ref="A36:A37"/>
    <mergeCell ref="B36:B37"/>
    <mergeCell ref="C36:C37"/>
    <mergeCell ref="D36:D37"/>
    <mergeCell ref="E36:E37"/>
    <mergeCell ref="F36:F37"/>
    <mergeCell ref="M34:M35"/>
    <mergeCell ref="N34:N35"/>
    <mergeCell ref="O34:O35"/>
    <mergeCell ref="P34:P35"/>
    <mergeCell ref="Q34:Q35"/>
    <mergeCell ref="R34:R35"/>
    <mergeCell ref="F34:F35"/>
    <mergeCell ref="G34:G35"/>
    <mergeCell ref="H34:H35"/>
    <mergeCell ref="I34:I35"/>
    <mergeCell ref="J34:J35"/>
    <mergeCell ref="K34:K35"/>
    <mergeCell ref="N5:N7"/>
    <mergeCell ref="O5:O7"/>
    <mergeCell ref="P5:P7"/>
    <mergeCell ref="Q5:Q7"/>
    <mergeCell ref="R5:R7"/>
    <mergeCell ref="A34:A35"/>
    <mergeCell ref="B34:B35"/>
    <mergeCell ref="C34:C35"/>
    <mergeCell ref="D34:D35"/>
    <mergeCell ref="E34:E35"/>
    <mergeCell ref="G5:G7"/>
    <mergeCell ref="H5:H7"/>
    <mergeCell ref="I5:I7"/>
    <mergeCell ref="J5:J7"/>
    <mergeCell ref="K5:K7"/>
    <mergeCell ref="M5:M7"/>
    <mergeCell ref="A5:A7"/>
    <mergeCell ref="B5:B7"/>
    <mergeCell ref="C5:C7"/>
    <mergeCell ref="D5:D7"/>
    <mergeCell ref="E5:E7"/>
    <mergeCell ref="F5:F7"/>
  </mergeCells>
  <hyperlinks>
    <hyperlink ref="L49" r:id="rId1" display="http://www.iso.org/iso/country_codes.htm" xr:uid="{98718818-78E6-49C7-84F6-18F4CB61148F}"/>
    <hyperlink ref="L126" r:id="rId2" display="https://ceds.ed.gov/pdf/ceds-addresses-professional-development-data-elements.pdf" xr:uid="{7E2C14B0-B3D2-46D0-A0D4-6506B7D1CD01}"/>
    <hyperlink ref="L127" r:id="rId3" display="https://ceds.ed.gov/pdf/ceds-addresses-professional-development-data-elements.pdf" xr:uid="{3A960277-9F44-468D-8B48-9FEE5C03C086}"/>
    <hyperlink ref="L128" r:id="rId4" display="https://ceds.ed.gov/pdf/ceds-addresses-professional-development-data-elements.pdf" xr:uid="{FFB7EA20-885A-4CF8-9BD1-B3525DF88A85}"/>
    <hyperlink ref="L171" r:id="rId5" display="http://www.iso.org/iso/country_codes.htm" xr:uid="{1B8EC9F7-881C-4B91-958F-8B2BCFD61917}"/>
    <hyperlink ref="L217" r:id="rId6" display="http://www.iso.org/iso/country_codes.htm" xr:uid="{B1D70BDA-98BA-41CC-BB9A-DB4A2F436201}"/>
    <hyperlink ref="L261" r:id="rId7" display="http://www.loc.gov/standards/iso639-2/langhome.html" xr:uid="{62227116-7BCA-475C-89A8-AC6DD36BCED8}"/>
    <hyperlink ref="L262" r:id="rId8" display="http://www-01.sil.org/iso639-3/default.asp" xr:uid="{5C0FDDAB-C101-405F-8B3B-C32E5B41554E}"/>
    <hyperlink ref="L263" r:id="rId9" display="http://www.loc.gov/standards/iso639-5/index.html" xr:uid="{4C1488C0-9B64-42BE-9C72-CAF4EC4E22B9}"/>
    <hyperlink ref="L336" r:id="rId10" xr:uid="{08B4C11B-734A-4F14-8459-EF3E9891898A}"/>
    <hyperlink ref="L418" r:id="rId11" display="http://www.iso.org/iso/country_codes.htm" xr:uid="{6F77EB05-067D-4652-AD32-AD97150EED12}"/>
    <hyperlink ref="L434" r:id="rId12" display="http://www.iso.org/iso/country_codes.htm" xr:uid="{B120ACD0-2DD6-4D74-86C5-CD25AF2D34A1}"/>
    <hyperlink ref="L440" r:id="rId13" display="http://www.loc.gov/standards/iso639-2/langhome.html" xr:uid="{99075B64-96CE-46B5-B393-08A1FCC03FBE}"/>
    <hyperlink ref="L441" r:id="rId14" display="http://www-01.sil.org/iso639-3/default.asp" xr:uid="{C27C784E-FF3F-46CC-9867-24654AC6B19D}"/>
    <hyperlink ref="L442" r:id="rId15" display="http://www.loc.gov/standards/iso639-5/index.html" xr:uid="{6A28DE21-0904-4659-99F0-9BDB04F179A9}"/>
    <hyperlink ref="L479" r:id="rId16" display="http://www.iso.org/iso/country_codes.htm" xr:uid="{93329CD5-1ED1-41DC-92EA-AAD49B9049EB}"/>
    <hyperlink ref="L525" r:id="rId17" display="http://www.iso.org/iso/country_codes.htm" xr:uid="{8FB49639-3A23-47CA-9923-9916934F7C35}"/>
    <hyperlink ref="L571" r:id="rId18" display="http://www.loc.gov/standards/iso639-2/langhome.html" xr:uid="{639ACBF7-12A0-4216-B9E4-02B9D0DD8025}"/>
    <hyperlink ref="L572" r:id="rId19" display="http://www-01.sil.org/iso639-3/default.asp" xr:uid="{A4F94A07-A2E7-40CC-9D3D-27DDA6390411}"/>
    <hyperlink ref="L573" r:id="rId20" display="http://www.loc.gov/standards/iso639-5/index.html" xr:uid="{C7529B6B-3CD8-4C10-A8EF-1C06CEF46FF5}"/>
    <hyperlink ref="L601" r:id="rId21" display="https://ceds.ed.gov/pdf/ceds-addresses-professional-development-data-elements.pdf" xr:uid="{61483AC7-CCCB-4D72-9A15-AC6C319B986C}"/>
    <hyperlink ref="L619" r:id="rId22" display="https://ceds.ed.gov/pdf/ceds-addresses-professional-development-data-elements.pdf" xr:uid="{7C5CADA3-B4D3-4323-8B65-95BEAAE5FB53}"/>
    <hyperlink ref="L642" r:id="rId23" display="http://www.loc.gov/standards/iso639-2/langhome.html" xr:uid="{7DEEB597-1CD9-4F74-8A2D-9EAF9972D628}"/>
    <hyperlink ref="L658" r:id="rId24" display="https://ceds.ed.gov/pdf/ceds-addresses-professional-development-data-elements.pdf" xr:uid="{3991FDA7-9A96-4B7C-B070-13AB6F4F5230}"/>
    <hyperlink ref="L703" r:id="rId25" display="http://nces.ed.gov/pubs2015/fin_acct/chapter6_4.asp" xr:uid="{63009353-893B-42D3-BFED-3BCDE9893616}"/>
    <hyperlink ref="L753" r:id="rId26" display="http://www.iso.org/iso/country_codes.htm" xr:uid="{3CDE0DA2-D1B4-44CE-B980-57330E4202F8}"/>
    <hyperlink ref="L882" r:id="rId27" display="http://nces.ed.gov/pubs2015/fin_acct/chapter6_4.asp" xr:uid="{2B6F9715-39AB-4E92-B290-8E8DF69DAADD}"/>
    <hyperlink ref="L885" r:id="rId28" display="http://nces.ed.gov/pubs2015/fin_acct/chapter6_5.asp" xr:uid="{F23296DA-D943-4FE0-9947-AFE6506D9319}"/>
    <hyperlink ref="L886" r:id="rId29" display="http://nces.ed.gov/pubs2015/fin_acct/chapter6_6.asp" xr:uid="{B56643D3-8945-471F-BB03-87A224649497}"/>
    <hyperlink ref="L887" r:id="rId30" display="http://nces.ed.gov/pubs2015/fin_acct/chapter6_8.asp" xr:uid="{680971FC-356C-4B9E-9E30-1318FD150C20}"/>
    <hyperlink ref="L888" r:id="rId31" display="http://nces.ed.gov/pubs2015/fin_acct/chapter6_7.asp" xr:uid="{BB8D1D6C-043D-4F9E-A649-A1342141C449}"/>
    <hyperlink ref="L897" r:id="rId32" display="http://nces.ed.gov/pubs2015/fin_acct/chapter6_3.asp" xr:uid="{DA87243E-6952-49A6-A1FB-FCE528C8A2CC}"/>
    <hyperlink ref="L903" r:id="rId33" display="http://nces.ed.gov/pubs2015/fin_acct/chapter6_1.asp" xr:uid="{E1AE366E-EBE5-4AEA-ACF9-F98B540671BC}"/>
    <hyperlink ref="L906" r:id="rId34" display="http://nces.ed.gov/pubs2015/fin_acct/chapter6_2.asp" xr:uid="{53E074B8-50F8-4D9F-8FFF-CBD545A80B7B}"/>
    <hyperlink ref="L938" r:id="rId35" display="https://ceds.ed.gov/pdf/ceds-addresses-professional-development-data-elements.pdf" xr:uid="{4DA77169-1B2F-4967-9251-85E0ED4A5D69}"/>
    <hyperlink ref="L939" r:id="rId36" display="https://ceds.ed.gov/pdf/ceds-addresses-professional-development-data-elements.pdf" xr:uid="{E06E707C-1E10-43D2-8231-026DB7B88ABE}"/>
    <hyperlink ref="L940" r:id="rId37" display="https://ceds.ed.gov/pdf/ceds-addresses-professional-development-data-elements.pdf" xr:uid="{48F01FFC-3395-42A0-A1CD-20BF53A53CE4}"/>
    <hyperlink ref="L1007" r:id="rId38" display="http://nces.ed.gov/pubs2015/fin_acct/chapter6_4.asp" xr:uid="{A1E7E6D1-110E-40DF-952F-F25E026ACC61}"/>
    <hyperlink ref="L1010" r:id="rId39" display="http://nces.ed.gov/pubs2015/fin_acct/chapter6_5.asp" xr:uid="{9CB373D7-526C-452C-8D7C-E3EFFA9146EA}"/>
    <hyperlink ref="L1011" r:id="rId40" display="http://nces.ed.gov/pubs2015/fin_acct/chapter6_6.asp" xr:uid="{C904E7ED-8949-458D-B9E6-5F1BB484E059}"/>
    <hyperlink ref="L1012" r:id="rId41" display="http://nces.ed.gov/pubs2015/fin_acct/chapter6_8.asp" xr:uid="{628B300C-7E45-4A0F-9F40-1950D50C0A31}"/>
    <hyperlink ref="L1013" r:id="rId42" display="http://nces.ed.gov/pubs2015/fin_acct/chapter6_7.asp" xr:uid="{3F65E670-D4FC-4325-949B-E1988C0C7777}"/>
    <hyperlink ref="L1022" r:id="rId43" display="http://nces.ed.gov/pubs2015/fin_acct/chapter6_3.asp" xr:uid="{D7389FD6-8003-481E-B270-C55A6183C7E1}"/>
    <hyperlink ref="L1028" r:id="rId44" display="http://nces.ed.gov/pubs2015/fin_acct/chapter6_1.asp" xr:uid="{6013D3FA-1A1A-450C-92E6-2A2623CB56C6}"/>
    <hyperlink ref="L1031" r:id="rId45" display="http://nces.ed.gov/pubs2015/fin_acct/chapter6_2.asp" xr:uid="{13ED7B4F-C742-40AD-85B2-252B9D929592}"/>
    <hyperlink ref="L1092" r:id="rId46" display="https://ceds.ed.gov/pdf/ceds-addresses-professional-development-data-elements.pdf" xr:uid="{44A9F5EE-FC8A-4055-81C9-D2F969549964}"/>
    <hyperlink ref="L1093" r:id="rId47" display="https://ceds.ed.gov/pdf/ceds-addresses-professional-development-data-elements.pdf" xr:uid="{5EFEF7DF-11BD-42CF-BF4E-951600B29FF5}"/>
    <hyperlink ref="L1094" r:id="rId48" display="https://ceds.ed.gov/pdf/ceds-addresses-professional-development-data-elements.pdf" xr:uid="{42745791-4183-467A-A099-2BACB6F1E569}"/>
    <hyperlink ref="L1134" r:id="rId49" display="http://www.iso.org/iso/country_codes.htm" xr:uid="{5EE93FD1-1323-4313-88F4-7D98AAF4DD3A}"/>
    <hyperlink ref="L1165" r:id="rId50" display="http://nces.ed.gov/pubs2015/fin_acct/chapter6_4.asp" xr:uid="{D9876B6D-78A2-47DE-B4F7-AF9A96822B68}"/>
    <hyperlink ref="L1168" r:id="rId51" display="http://nces.ed.gov/pubs2015/fin_acct/chapter6_5.asp" xr:uid="{76E9884C-4A37-4DCB-8F9C-B440FD6E2DA7}"/>
    <hyperlink ref="L1169" r:id="rId52" display="http://nces.ed.gov/pubs2015/fin_acct/chapter6_6.asp" xr:uid="{DA3BE747-1310-49F1-80D7-6E1063E6D17B}"/>
    <hyperlink ref="L1170" r:id="rId53" display="http://nces.ed.gov/pubs2015/fin_acct/chapter6_8.asp" xr:uid="{BDAFBB9D-29F9-4E4A-9E78-F0CF4E699F52}"/>
    <hyperlink ref="L1171" r:id="rId54" display="http://nces.ed.gov/pubs2015/fin_acct/chapter6_7.asp" xr:uid="{31826741-75C1-45B3-99FA-138C001B0DAD}"/>
    <hyperlink ref="L1180" r:id="rId55" display="http://nces.ed.gov/pubs2015/fin_acct/chapter6_3.asp" xr:uid="{9DED7EB8-F983-463C-B21C-CB42182496A6}"/>
    <hyperlink ref="L1186" r:id="rId56" display="http://nces.ed.gov/pubs2015/fin_acct/chapter6_1.asp" xr:uid="{9350D8CE-C752-4391-90BC-A58517ED320D}"/>
    <hyperlink ref="L1187" r:id="rId57" display="http://nces.ed.gov/pubs2015/fin_acct/chapter6_2.asp" xr:uid="{D44E090E-6966-4181-8245-F30DF8285B50}"/>
    <hyperlink ref="L1222" r:id="rId58" display="http://www.iso.org/iso/country_codes.htm" xr:uid="{C1A30CE4-1CAC-4AD6-AB0C-D0BC813085E1}"/>
    <hyperlink ref="L1269" r:id="rId59" display="http://www.iso.org/iso/country_codes.htm" xr:uid="{75CBFFBA-4B62-43CF-8982-257F544BA9C9}"/>
    <hyperlink ref="L1337" r:id="rId60" display="https://ceds.ed.gov/element/000202" xr:uid="{B6BB2035-5606-457C-A7CC-1FED8CA304A2}"/>
    <hyperlink ref="L1597" r:id="rId61" display="http://www.loc.gov/standards/iso639-2/langhome.html" xr:uid="{2713CB4F-14A7-4084-B9DF-5ECBE93F8C08}"/>
    <hyperlink ref="L1598" r:id="rId62" display="http://www-01.sil.org/iso639-3/default.asp" xr:uid="{2677FA00-6FC0-4AE5-9A2D-5CFFA4BCEE30}"/>
    <hyperlink ref="L1599" r:id="rId63" display="http://www.loc.gov/standards/iso639-5/index.html" xr:uid="{2F1A75C4-D204-404B-8640-486DA93114C5}"/>
    <hyperlink ref="L1615" r:id="rId64" xr:uid="{D5A7FD71-F024-41DB-9FA9-31390E24A523}"/>
    <hyperlink ref="L1657" r:id="rId65" display="http://www.iso.org/iso/country_codes.htm" xr:uid="{9A0C736C-4B48-4C9A-B33A-AA5DB6DF5E82}"/>
    <hyperlink ref="L1700" r:id="rId66" display="https://w3id.org/xapi/adl" xr:uid="{5954DEFD-28FA-4037-B764-07FFE0A3E10D}"/>
    <hyperlink ref="L1730" r:id="rId67" display="http://www.iso.org/iso/country_codes.htm" xr:uid="{D6F6F842-405B-4832-94BC-4432B32D6C33}"/>
    <hyperlink ref="L1746" r:id="rId68" display="http://www.iso.org/iso/country_codes.htm" xr:uid="{A95BF36B-A928-47FB-B929-ACBEDDFF1619}"/>
    <hyperlink ref="L1767" r:id="rId69" display="http://www.loc.gov/standards/iso639-2/langhome.html" xr:uid="{D426EFF4-BB24-4C03-8541-EE281434BF71}"/>
    <hyperlink ref="L1768" r:id="rId70" display="http://www-01.sil.org/iso639-3/default.asp" xr:uid="{9FDC9DD8-E5E7-400A-8598-00446DE574AA}"/>
    <hyperlink ref="L1769" r:id="rId71" display="http://www.loc.gov/standards/iso639-5/index.html" xr:uid="{3532A5C4-453A-4740-B0DF-710C76483EF0}"/>
    <hyperlink ref="L1797" r:id="rId72" display="http://www.iso.org/iso/country_codes.htm" xr:uid="{CDC29252-5594-4E39-8A94-0B51194D5F4B}"/>
    <hyperlink ref="L1843" r:id="rId73" display="http://www.iso.org/iso/country_codes.htm" xr:uid="{065A1837-C5A4-4A2C-BF5B-0F98807C74DA}"/>
    <hyperlink ref="L1935" r:id="rId74" display="https://ceds.ed.gov/pdf/ceds-addresses-professional-development-data-elements.pdf" xr:uid="{0AD797F0-3BCE-432D-A3E2-EB3F76146295}"/>
    <hyperlink ref="L1949" r:id="rId75" display="http://www.loc.gov/standards/iso639-2/langhome.html" xr:uid="{32512D05-D04C-4E6A-9A7F-A87404513613}"/>
    <hyperlink ref="L1997" r:id="rId76" display="https://ceds.ed.gov/pdf/ceds-addresses-professional-development-data-elements.pdf" xr:uid="{04A0B620-5B62-4667-B680-0B5C4A261B35}"/>
    <hyperlink ref="L1998" r:id="rId77" display="https://ceds.ed.gov/pdf/ceds-addresses-professional-development-data-elements.pdf" xr:uid="{C5AB303F-D8E3-45BE-95BA-F877AD4625FA}"/>
    <hyperlink ref="L1999" r:id="rId78" display="https://ceds.ed.gov/pdf/ceds-addresses-professional-development-data-elements.pdf" xr:uid="{F06503D7-9258-4C6F-A525-9B7BB1BA56F5}"/>
    <hyperlink ref="L2000" r:id="rId79" display="http://www.loc.gov/standards/iso639-2/langhome.html" xr:uid="{A5020854-0EB6-4C19-A9DC-0B2EA28BFA39}"/>
    <hyperlink ref="L2001" r:id="rId80" display="http://www-01.sil.org/iso639-3/default.asp" xr:uid="{6B4FD8A2-0183-4B70-85BB-EC9D07AC2979}"/>
    <hyperlink ref="L2002" r:id="rId81" display="http://www.loc.gov/standards/iso639-5/index.html" xr:uid="{AEB37E84-1563-44CE-AF7F-4C088356CD69}"/>
    <hyperlink ref="L2032" r:id="rId82" display="http://www.loc.gov/standards/iso639-2/langhome.html" xr:uid="{CB148572-B9C2-4131-AF71-C5BF2778534E}"/>
    <hyperlink ref="L2036" r:id="rId83" xr:uid="{6AF63030-940D-42E1-A498-329EF7428917}"/>
    <hyperlink ref="L2069" r:id="rId84" display="http://www.loc.gov/standards/iso639-2/langhome.html" xr:uid="{E75F3641-2744-48F7-8386-227357214BD2}"/>
    <hyperlink ref="L2170" r:id="rId85" display="http://nces.ed.gov/pubs2015/fin_acct/chapter6_3.asp" xr:uid="{307D7F55-E6EA-4947-BA52-2B8C9723F855}"/>
    <hyperlink ref="L2179" r:id="rId86" display="http://nces.ed.gov/pubs2015/fin_acct/chapter6_1.asp" xr:uid="{5B590F75-9C55-44FA-B5CB-3FD28130067A}"/>
    <hyperlink ref="L2180" r:id="rId87" display="http://nces.ed.gov/pubs2015/fin_acct/chapter6_2.asp" xr:uid="{807B9F5F-6D4C-47B3-8696-C131D7012B79}"/>
    <hyperlink ref="L2183" r:id="rId88" display="http://nces.ed.gov/pubs2015/fin_acct/chapter6_4.asp" xr:uid="{44656C20-AC32-4498-9059-2314ACB8020D}"/>
    <hyperlink ref="L2186" r:id="rId89" display="http://nces.ed.gov/pubs2015/fin_acct/chapter6_5.asp" xr:uid="{137A32F3-1724-4109-B283-3B9BC6E6F203}"/>
    <hyperlink ref="L2187" r:id="rId90" display="http://nces.ed.gov/pubs2015/fin_acct/chapter6_6.asp" xr:uid="{E8F16FE3-77BF-4BE8-8FDC-EF52C1AF6613}"/>
    <hyperlink ref="L2188" r:id="rId91" display="http://nces.ed.gov/pubs2015/fin_acct/chapter6_8.asp" xr:uid="{DD96DDAE-13D2-44FC-A122-0377DD1388EC}"/>
    <hyperlink ref="L2189" r:id="rId92" display="http://nces.ed.gov/pubs2015/fin_acct/chapter6_7.asp" xr:uid="{CD8C72F2-5E51-4659-A655-A0EF850BF4C0}"/>
    <hyperlink ref="L2315" r:id="rId93" display="http://www.iso.org/iso/country_codes.htm" xr:uid="{D41FD8FE-2487-4448-B08E-08F87162DEBE}"/>
    <hyperlink ref="L2450" r:id="rId94" display="http://www.iso.org/iso/country_codes.htm" xr:uid="{2E7FC6AD-98E2-4F60-8D11-346E6976E50A}"/>
    <hyperlink ref="L2511" r:id="rId95" display="http://www.iso.org/iso/country_codes.htm" xr:uid="{F4251322-0C8E-4B9C-AEFA-B82C559C744D}"/>
    <hyperlink ref="L2594" r:id="rId96" display="http://degreeprofile.org/" xr:uid="{7533F056-FED3-4042-A01E-BBAFB195EE65}"/>
    <hyperlink ref="L2639" r:id="rId97" display="http://degreeprofile.org/" xr:uid="{629EABFA-219A-4A0B-B518-82A72270D5F4}"/>
    <hyperlink ref="L2720" r:id="rId98" display="http://www.loc.gov/standards/iso639-2/langhome.html" xr:uid="{9E6A20C2-A57C-41D8-B2C6-991F5F12095E}"/>
    <hyperlink ref="L2721" r:id="rId99" display="http://www-01.sil.org/iso639-3/default.asp" xr:uid="{ED705F2E-05FC-41D1-89B1-8EE1B0A5337D}"/>
    <hyperlink ref="L2722" r:id="rId100" display="http://www.loc.gov/standards/iso639-5/index.html" xr:uid="{5E811772-5331-4CD9-B7E8-3BA774616C2D}"/>
    <hyperlink ref="L2753" r:id="rId101" display="http://www.iso.org/iso/country_codes.htm" xr:uid="{EC887D01-491C-429A-8FF2-6E766ACDB804}"/>
    <hyperlink ref="L2772" r:id="rId102" display="http://www.iso.org/iso/country_codes.htm" xr:uid="{000C4AFF-0610-4F32-AD94-393A2B0A3985}"/>
    <hyperlink ref="L2776" r:id="rId103" display="http://www.loc.gov/standards/iso639-2/langhome.html" xr:uid="{321C7448-2871-4635-8A61-DFAA3E2A6C6B}"/>
    <hyperlink ref="L2777" r:id="rId104" display="http://www-01.sil.org/iso639-3/default.asp" xr:uid="{4A02C6BD-B6D9-42B9-8189-A6EC8F118DD5}"/>
    <hyperlink ref="L2778" r:id="rId105" display="http://www.loc.gov/standards/iso639-5/index.html" xr:uid="{F7C3E44B-60E2-41B1-AE40-87ACAA198676}"/>
    <hyperlink ref="L2806" r:id="rId106" display="http://www.iso.org/iso/country_codes.htm" xr:uid="{E9406CDA-268C-4ABA-98F1-2983B0A92A64}"/>
    <hyperlink ref="L2853" r:id="rId107" display="http://www.iso.org/iso/country_codes.htm" xr:uid="{BC3B0E11-F582-4B4A-8855-2F1BBB7199C0}"/>
    <hyperlink ref="L2876" r:id="rId108" display="http://www.loc.gov/standards/iso639-2/langhome.html" xr:uid="{C5398660-4BB9-480E-AF28-B36E3A88D026}"/>
    <hyperlink ref="L2877" r:id="rId109" display="http://www-01.sil.org/iso639-3/default.asp" xr:uid="{D418403D-9ECD-4DFC-9299-293CA23DE7B3}"/>
    <hyperlink ref="L2878" r:id="rId110" display="http://www.loc.gov/standards/iso639-5/index.html" xr:uid="{A48CFA10-34B1-414F-B813-75D481DA6507}"/>
    <hyperlink ref="L2963" r:id="rId111" display="http://www.iso.org/iso/country_codes.htm" xr:uid="{4BABD7BA-0BB9-4DF0-9D5A-86F40229B94E}"/>
    <hyperlink ref="L3009" r:id="rId112" display="http://www.iso.org/iso/country_codes.htm" xr:uid="{473C5B88-96F2-4D5E-A097-F944AF29FCA6}"/>
    <hyperlink ref="L3033" r:id="rId113" display="http://degreeprofile.org/" xr:uid="{6AC85F87-55A6-48EB-A7CA-00982CB5EBCF}"/>
    <hyperlink ref="L3058" r:id="rId114" display="http://www.loc.gov/standards/iso639-2/langhome.html" xr:uid="{BB5A2787-FC8E-46E9-A480-5EE73FF1F821}"/>
    <hyperlink ref="L3059" r:id="rId115" display="http://www-01.sil.org/iso639-3/default.asp" xr:uid="{C0C01D08-E3CB-4DB6-BED8-EDE65B002850}"/>
    <hyperlink ref="L3060" r:id="rId116" display="http://www.loc.gov/standards/iso639-5/index.html" xr:uid="{A2718C42-B7BB-4BDE-BB0E-202F41487A74}"/>
    <hyperlink ref="L3090" r:id="rId117" display="http://www.iso.org/iso/country_codes.htm" xr:uid="{66F2BCAF-59E5-452C-911A-D6A99A548FDA}"/>
    <hyperlink ref="L3106" r:id="rId118" display="http://www.iso.org/iso/country_codes.htm" xr:uid="{02020205-F8F0-42E4-B492-0CFACC4D04A7}"/>
    <hyperlink ref="L3110" r:id="rId119" display="http://www.loc.gov/standards/iso639-2/langhome.html" xr:uid="{DA81748C-73C1-482C-B730-E8FF988513F4}"/>
    <hyperlink ref="L3111" r:id="rId120" display="http://www-01.sil.org/iso639-3/default.asp" xr:uid="{93798A66-F515-465D-BD89-D5775852C316}"/>
    <hyperlink ref="L3112" r:id="rId121" display="http://www.loc.gov/standards/iso639-5/index.html" xr:uid="{27FA10C5-F089-48F4-BDE9-A0E41F7A20DB}"/>
    <hyperlink ref="L3135" r:id="rId122" display="http://www.loc.gov/standards/iso639-2/langhome.html" xr:uid="{FEA74E3E-C3D5-4EED-B2A8-27E8F554E00F}"/>
    <hyperlink ref="L3136" r:id="rId123" xr:uid="{40845B16-4399-44DB-B329-57D27E17CAF2}"/>
    <hyperlink ref="L3179" r:id="rId124" display="http://www.loc.gov/standards/iso639-2/langhome.html" xr:uid="{134E5128-0FC9-41CE-8FF3-7E8765CB762E}"/>
    <hyperlink ref="L3298" r:id="rId125" display="http://www.iso.org/iso/country_codes.htm" xr:uid="{E7DAB61E-F60C-4131-A22D-D49BC0554DFE}"/>
    <hyperlink ref="L3347" r:id="rId126" display="http://www.iso.org/iso/country_codes.htm" xr:uid="{6A6A433D-7E50-4EF1-86D1-5145E1130818}"/>
    <hyperlink ref="L3362" r:id="rId127" display="http://degreeprofile.org/" xr:uid="{507DE37F-26F5-40E4-9E3A-02F2F23C8A68}"/>
    <hyperlink ref="L3403" r:id="rId128" display="http://www.loc.gov/standards/iso639-2/langhome.html" xr:uid="{B9236EC5-D338-4831-9BF5-1E58D10A94B1}"/>
    <hyperlink ref="L3404" r:id="rId129" display="http://www-01.sil.org/iso639-3/default.asp" xr:uid="{3EFEF165-7F41-4E30-89F1-378652DA6164}"/>
    <hyperlink ref="L3405" r:id="rId130" display="http://www.loc.gov/standards/iso639-5/index.html" xr:uid="{F78CCE35-4DC8-4C49-9A49-64633737C891}"/>
    <hyperlink ref="L3433" r:id="rId131" display="http://www.iso.org/iso/country_codes.htm" xr:uid="{41D56B78-D3F0-473F-98F9-3AD1C76C0896}"/>
    <hyperlink ref="L3470" r:id="rId132" display="http://www.iso.org/iso/country_codes.htm" xr:uid="{2647BB41-9FF3-4287-9D82-3A414EA5026A}"/>
    <hyperlink ref="L3473" r:id="rId133" display="http://www.loc.gov/standards/iso639-2/langhome.html" xr:uid="{4A76CB7A-B2EB-4D24-95B1-7D0E449086CF}"/>
    <hyperlink ref="L3474" r:id="rId134" display="http://www-01.sil.org/iso639-3/default.asp" xr:uid="{3F9C057C-C352-44F3-882D-0066959440BA}"/>
    <hyperlink ref="L3475" r:id="rId135" display="http://www.loc.gov/standards/iso639-5/index.html" xr:uid="{E7E1A247-FBB6-4F8F-A1E5-EC54485FCDCB}"/>
    <hyperlink ref="L3507" r:id="rId136" display="http://www.loc.gov/standards/iso639-2/langhome.html" xr:uid="{D65947DB-E20A-4193-BFE4-94377FC85309}"/>
    <hyperlink ref="L3680" r:id="rId137" display="http://www.iso.org/iso/country_codes.htm" xr:uid="{ADA28014-7EAA-4DAA-B74C-B9B3FC039406}"/>
    <hyperlink ref="L3694" r:id="rId138" display="http://degreeprofile.org/" xr:uid="{6FD92DFD-FDC6-410B-A065-D063C2E0E021}"/>
    <hyperlink ref="L3705" r:id="rId139" display="http://www.loc.gov/standards/iso639-2/langhome.html" xr:uid="{43937445-0746-4F3E-8CAC-1B7BF85C8AB1}"/>
    <hyperlink ref="L3706" r:id="rId140" display="http://www-01.sil.org/iso639-3/default.asp" xr:uid="{1EFF840C-18C7-4202-B567-1794F80B97C2}"/>
    <hyperlink ref="L3707" r:id="rId141" display="http://www.loc.gov/standards/iso639-5/index.html" xr:uid="{57F819C0-37D9-4116-96EA-A5F2AD4EBFAC}"/>
    <hyperlink ref="L3734" r:id="rId142" display="https://w3id.org/xapi/adl" xr:uid="{0F0CB1D6-31EB-4C03-8DEA-FABC299A0C67}"/>
    <hyperlink ref="L3747" r:id="rId143" display="http://www.loc.gov/standards/iso639-2/langhome.html" xr:uid="{7F2AFCF4-70F6-46A5-B290-4CCD9E99F217}"/>
    <hyperlink ref="L3784" r:id="rId144" display="http://www.loc.gov/standards/iso639-2/langhome.html" xr:uid="{C72BA88E-CC6F-46D3-9148-97A135BAD41B}"/>
    <hyperlink ref="L3785" r:id="rId145" display="http://www-01.sil.org/iso639-3/default.asp" xr:uid="{2C928D61-C1A6-4E81-A1B7-F996D5F3C79E}"/>
    <hyperlink ref="L3786" r:id="rId146" display="http://www.loc.gov/standards/iso639-5/index.html" xr:uid="{F2ECCC6B-7AC7-4044-9709-8751CC1DB597}"/>
    <hyperlink ref="L3804" r:id="rId147" display="http://www.loc.gov/standards/iso639-2/langhome.html" xr:uid="{AFD680A0-FFB4-4BC0-B264-A70B8B5C179E}"/>
    <hyperlink ref="L3958" r:id="rId148" display="http://www.loc.gov/standards/iso639-2/langhome.html" xr:uid="{3ECF22E4-70FC-4808-A425-B02CC4056D98}"/>
    <hyperlink ref="L3959" r:id="rId149" display="http://www-01.sil.org/iso639-3/default.asp" xr:uid="{C198B2F9-9426-4F7C-B469-806336EDB456}"/>
    <hyperlink ref="L3960" r:id="rId150" display="http://www.loc.gov/standards/iso639-5/index.html" xr:uid="{CE248900-39A0-4D1B-9E37-F775ED2DD957}"/>
    <hyperlink ref="L4085" r:id="rId151" display="http://www.loc.gov/standards/iso639-2/langhome.html" xr:uid="{2D368A68-CAA9-4371-AE04-9656A8F809D4}"/>
    <hyperlink ref="L4092" r:id="rId152" display="http://www.loc.gov/standards/iso639-2/langhome.html" xr:uid="{B44BB47A-0729-42FF-AC7C-754406678469}"/>
    <hyperlink ref="L4093" r:id="rId153" display="http://www.loc.gov/standards/iso639-2/langhome.html" xr:uid="{3F8210B2-30FD-4ACE-8374-DCC598689BBD}"/>
    <hyperlink ref="L4188" r:id="rId154" display="http://www.loc.gov/standards/iso639-2/langhome.html" xr:uid="{1BBB7C9E-60C7-4B59-B530-0B7AFD6158A5}"/>
    <hyperlink ref="L4216" r:id="rId155" location="RevocationList" display="http://openbadges.github.io/openbadges-specification/ - RevocationList" xr:uid="{771BADC5-8C1B-4978-9420-704F2BC10C64}"/>
    <hyperlink ref="L4255" r:id="rId156" location="polygon" display="http://geojson.org/geojson-spec.html - polygon" xr:uid="{0E677AA8-0E2E-46FA-B548-3BE81614EE50}"/>
    <hyperlink ref="L4256" r:id="rId157" location="polygon" display="http://geojson.org/geojson-spec.html - polygon" xr:uid="{94E9AD53-63B9-415A-9796-2A207FF90225}"/>
    <hyperlink ref="L4263" r:id="rId158" xr:uid="{F6013A5F-AEB6-4C6C-BD06-65463CA5DA78}"/>
    <hyperlink ref="L4266" r:id="rId159" location="AudienceLevel" display="https://credreg.net/ctdl/terms/Credential - AudienceLevel" xr:uid="{DF38D6E3-12F7-4C36-9DE4-E07284122F82}"/>
    <hyperlink ref="L4283" r:id="rId160" display="http://www.loc.gov/standards/iso639-2/langhome.html" xr:uid="{FB969C67-A6ED-408E-9891-37CF2FD214C7}"/>
    <hyperlink ref="L4320" r:id="rId161" display="http://www.loc.gov/standards/iso639-2/langhome.html" xr:uid="{1F04A79B-3622-471A-A3E3-3C85078A5FCA}"/>
    <hyperlink ref="L4378" r:id="rId162" display="http://www.loc.gov/standards/iso639-2/langhome.html" xr:uid="{EDD1B4DC-8B54-47B8-92D6-D908598A982C}"/>
  </hyperlinks>
  <pageMargins left="0.75" right="0.75" top="1" bottom="1" header="0.5" footer="0.5"/>
  <pageSetup orientation="portrait" r:id="rId16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vt:lpstr>
      <vt:lpstr>Changed</vt:lpstr>
      <vt:lpstr>Removed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jparkes</dc:creator>
  <cp:lastModifiedBy>J Parkes</cp:lastModifiedBy>
  <dcterms:created xsi:type="dcterms:W3CDTF">2016-06-29T00:52:27Z</dcterms:created>
  <dcterms:modified xsi:type="dcterms:W3CDTF">2021-02-16T23:15:39Z</dcterms:modified>
</cp:coreProperties>
</file>